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2.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3.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heets/sheet4.xml" ContentType="application/vnd.openxmlformats-officedocument.spreadsheetml.chart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chartsheets/sheet8.xml" ContentType="application/vnd.openxmlformats-officedocument.spreadsheetml.chart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chartsheets/sheet9.xml" ContentType="application/vnd.openxmlformats-officedocument.spreadsheetml.chart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worksheets/sheet90.xml" ContentType="application/vnd.openxmlformats-officedocument.spreadsheetml.worksheet+xml"/>
  <Override PartName="/xl/chartsheets/sheet17.xml" ContentType="application/vnd.openxmlformats-officedocument.spreadsheetml.chart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chartsheets/sheet18.xml" ContentType="application/vnd.openxmlformats-officedocument.spreadsheetml.chart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chartsheets/sheet19.xml" ContentType="application/vnd.openxmlformats-officedocument.spreadsheetml.chart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6.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7.xml" ContentType="application/vnd.openxmlformats-officedocument.drawingml.chart+xml"/>
  <Override PartName="/xl/drawings/drawing34.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5.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0.xml" ContentType="application/vnd.openxmlformats-officedocument.drawing+xml"/>
  <Override PartName="/xl/charts/chart11.xml" ContentType="application/vnd.openxmlformats-officedocument.drawingml.chart+xml"/>
  <Override PartName="/xl/drawings/drawing5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harts/chart14.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comments6.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charts/chart2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5.xml" ContentType="application/vnd.openxmlformats-officedocument.drawing+xml"/>
  <Override PartName="/xl/charts/chart21.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omments7.xml" ContentType="application/vnd.openxmlformats-officedocument.spreadsheetml.comments+xml"/>
  <Override PartName="/xl/charts/chart22.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comments8.xml" ContentType="application/vnd.openxmlformats-officedocument.spreadsheetml.comments+xml"/>
  <Override PartName="/xl/charts/chart23.xml" ContentType="application/vnd.openxmlformats-officedocument.drawingml.chart+xml"/>
  <Override PartName="/xl/drawings/drawing71.xml" ContentType="application/vnd.openxmlformats-officedocument.drawing+xml"/>
  <Override PartName="/xl/comments9.xml" ContentType="application/vnd.openxmlformats-officedocument.spreadsheetml.comments+xml"/>
  <Override PartName="/xl/charts/chart24.xml" ContentType="application/vnd.openxmlformats-officedocument.drawingml.chart+xml"/>
  <Override PartName="/xl/drawings/drawing7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6.xml" ContentType="application/vnd.openxmlformats-officedocument.drawing+xml"/>
  <Override PartName="/xl/comments10.xml" ContentType="application/vnd.openxmlformats-officedocument.spreadsheetml.comments+xml"/>
  <Override PartName="/xl/charts/chart32.xml" ContentType="application/vnd.openxmlformats-officedocument.drawingml.chart+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7.xml" ContentType="application/vnd.openxmlformats-officedocument.drawing+xml"/>
  <Override PartName="/xl/charts/chart35.xml" ContentType="application/vnd.openxmlformats-officedocument.drawingml.chart+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36.xml" ContentType="application/vnd.openxmlformats-officedocument.drawingml.chart+xml"/>
  <Override PartName="/xl/drawings/drawing93.xml" ContentType="application/vnd.openxmlformats-officedocument.drawing+xml"/>
  <Override PartName="/xl/comments11.xml" ContentType="application/vnd.openxmlformats-officedocument.spreadsheetml.comments+xml"/>
  <Override PartName="/xl/drawings/drawing94.xml" ContentType="application/vnd.openxmlformats-officedocument.drawing+xml"/>
  <Override PartName="/xl/comments12.xml" ContentType="application/vnd.openxmlformats-officedocument.spreadsheetml.comments+xml"/>
  <Override PartName="/xl/drawings/drawing95.xml" ContentType="application/vnd.openxmlformats-officedocument.drawing+xml"/>
  <Override PartName="/xl/drawings/drawing96.xml" ContentType="application/vnd.openxmlformats-officedocument.drawing+xml"/>
  <Override PartName="/xl/charts/chart37.xml" ContentType="application/vnd.openxmlformats-officedocument.drawingml.chart+xml"/>
  <Override PartName="/xl/theme/themeOverride1.xml" ContentType="application/vnd.openxmlformats-officedocument.themeOverride+xml"/>
  <Override PartName="/xl/drawings/drawing97.xml" ContentType="application/vnd.openxmlformats-officedocument.drawing+xml"/>
  <Override PartName="/xl/charts/chart3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8.xml" ContentType="application/vnd.openxmlformats-officedocument.drawing+xml"/>
  <Override PartName="/xl/charts/chart39.xml" ContentType="application/vnd.openxmlformats-officedocument.drawingml.chart+xml"/>
  <Override PartName="/xl/drawings/drawing99.xml" ContentType="application/vnd.openxmlformats-officedocument.drawing+xml"/>
  <Override PartName="/xl/charts/chart4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charts/chart41.xml" ContentType="application/vnd.openxmlformats-officedocument.drawingml.chart+xml"/>
  <Override PartName="/xl/drawings/drawing104.xml" ContentType="application/vnd.openxmlformats-officedocument.drawing+xml"/>
  <Override PartName="/xl/charts/chart42.xml" ContentType="application/vnd.openxmlformats-officedocument.drawingml.chart+xml"/>
  <Override PartName="/xl/drawings/drawing105.xml" ContentType="application/vnd.openxmlformats-officedocument.drawing+xml"/>
  <Override PartName="/xl/charts/chart43.xml" ContentType="application/vnd.openxmlformats-officedocument.drawingml.chart+xml"/>
  <Override PartName="/xl/drawings/drawing106.xml" ContentType="application/vnd.openxmlformats-officedocument.drawing+xml"/>
  <Override PartName="/xl/comments13.xml" ContentType="application/vnd.openxmlformats-officedocument.spreadsheetml.comments+xml"/>
  <Override PartName="/xl/drawings/drawing107.xml" ContentType="application/vnd.openxmlformats-officedocument.drawing+xml"/>
  <Override PartName="/xl/charts/chart44.xml" ContentType="application/vnd.openxmlformats-officedocument.drawingml.chart+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charts/chart45.xml" ContentType="application/vnd.openxmlformats-officedocument.drawingml.chart+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9.xml" ContentType="application/vnd.openxmlformats-officedocument.drawing+xml"/>
  <Override PartName="/xl/drawings/drawing1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defaultThemeVersion="124226"/>
  <mc:AlternateContent xmlns:mc="http://schemas.openxmlformats.org/markup-compatibility/2006">
    <mc:Choice Requires="x15">
      <x15ac:absPath xmlns:x15ac="http://schemas.microsoft.com/office/spreadsheetml/2010/11/ac" url="C:\Users\carol\Documents\PAD\Docs internes\Programme d'accompagnement\Contenu\Programme d'accompagnement\Outils pour partenaires\"/>
    </mc:Choice>
  </mc:AlternateContent>
  <xr:revisionPtr revIDLastSave="0" documentId="8_{1B521322-019F-4665-9A14-D720888CA915}" xr6:coauthVersionLast="45" xr6:coauthVersionMax="45" xr10:uidLastSave="{00000000-0000-0000-0000-000000000000}"/>
  <bookViews>
    <workbookView xWindow="-110" yWindow="-110" windowWidth="19420" windowHeight="10420" tabRatio="841" firstSheet="1" activeTab="1" xr2:uid="{00000000-000D-0000-FFFF-FFFF00000000}"/>
  </bookViews>
  <sheets>
    <sheet name="METHODOLOGY" sheetId="163" state="hidden" r:id="rId1"/>
    <sheet name="SUMMARY" sheetId="103" r:id="rId2"/>
    <sheet name="CHRONO" sheetId="116" r:id="rId3"/>
    <sheet name="ACTORS" sheetId="217" r:id="rId4"/>
    <sheet name="KEY FIGURES" sheetId="5" r:id="rId5"/>
    <sheet name="ADDED VALUE" sheetId="10" r:id="rId6"/>
    <sheet name="POSITIONING-OFR1" sheetId="119" r:id="rId7"/>
    <sheet name="BUSINESSCARD" sheetId="14" r:id="rId8"/>
    <sheet name="Graph BIC" sheetId="212" r:id="rId9"/>
    <sheet name="RESPONSABPARTNER" sheetId="70" r:id="rId10"/>
    <sheet name="SECTORMARKET" sheetId="39" r:id="rId11"/>
    <sheet name="COMPETITION" sheetId="40" r:id="rId12"/>
    <sheet name="VISION" sheetId="11" r:id="rId13"/>
    <sheet name="SALESPLAN 3Y" sheetId="76" r:id="rId14"/>
    <sheet name="Graph Plan de vente" sheetId="213" r:id="rId15"/>
    <sheet name="BIZ PLAN 2018 ventes et formati" sheetId="219" r:id="rId16"/>
    <sheet name="BIZ PLAN 2018 Marktg" sheetId="222" r:id="rId17"/>
    <sheet name="BIZ PLAN 2018 Commercial" sheetId="223" r:id="rId18"/>
    <sheet name="PLAN D'ACTIONS" sheetId="153" r:id="rId19"/>
    <sheet name="GOVERNANCE" sheetId="200" r:id="rId20"/>
    <sheet name="CRITICALFACTORS" sheetId="30" r:id="rId21"/>
    <sheet name="Graph Critical factors" sheetId="188" r:id="rId22"/>
    <sheet name="TODO" sheetId="13" r:id="rId23"/>
    <sheet name="EVALUATION" sheetId="32" r:id="rId24"/>
    <sheet name="SWOT" sheetId="9" state="hidden" r:id="rId25"/>
    <sheet name="INTERLOCUTORS" sheetId="89" state="hidden" r:id="rId26"/>
    <sheet name="CHANNELREADY" sheetId="33" state="hidden" r:id="rId27"/>
    <sheet name="Radar Channel ready" sheetId="182" state="hidden" r:id="rId28"/>
    <sheet name="DOMESTICMARKET" sheetId="45" state="hidden" r:id="rId29"/>
    <sheet name="FOREIGNMARKET" sheetId="48" state="hidden" r:id="rId30"/>
    <sheet name="TYPOPARTNER" sheetId="66" state="hidden" r:id="rId31"/>
    <sheet name="PROFILPARTNER" sheetId="68" state="hidden" r:id="rId32"/>
    <sheet name="Graph New biz 3 ans" sheetId="203" state="hidden" r:id="rId33"/>
    <sheet name="Graph CA  indirect 3 ans " sheetId="204" state="hidden" r:id="rId34"/>
    <sheet name="Graph recrutement par channel" sheetId="202" state="hidden" r:id="rId35"/>
    <sheet name="10-BUDGETPROGRAM-OFR2" sheetId="107" state="hidden" r:id="rId36"/>
    <sheet name="10-BUDGETPROGRAM-OFR3" sheetId="197" state="hidden" r:id="rId37"/>
    <sheet name="00-PARAMETERS" sheetId="19" r:id="rId38"/>
    <sheet name="Parametre" sheetId="4" r:id="rId39"/>
    <sheet name="PARTNERSALESKIT" sheetId="152" r:id="rId40"/>
    <sheet name="05-CHANNELTEAM-OFR2" sheetId="194" state="hidden" r:id="rId41"/>
    <sheet name="05-CHANNELTEAM-OFR3" sheetId="195" state="hidden" r:id="rId42"/>
    <sheet name="02-CHANNELCAPACITY-LIC-OFR1" sheetId="179" state="hidden" r:id="rId43"/>
    <sheet name="PRICINGSTRATEGY" sheetId="37" state="hidden" r:id="rId44"/>
    <sheet name="10-PARTNERSALESKIT-OFR2" sheetId="198" state="hidden" r:id="rId45"/>
    <sheet name="10-PARTNERSALESKIT-OFR3" sheetId="199" state="hidden" r:id="rId46"/>
    <sheet name="PROGRAMPARTNER" sheetId="31" state="hidden" r:id="rId47"/>
    <sheet name="BUDGETPROGRAM" sheetId="196" r:id="rId48"/>
    <sheet name="Graph Budget" sheetId="210" r:id="rId49"/>
    <sheet name="03-BUSINESSCARD-OFR2" sheetId="168" state="hidden" r:id="rId50"/>
    <sheet name="03-MARKETREADY-OFR2" sheetId="131" state="hidden" r:id="rId51"/>
    <sheet name="03-POSITIONING-OFR2" sheetId="132" state="hidden" r:id="rId52"/>
    <sheet name="03-CRITICITY-OFR2" sheetId="133" state="hidden" r:id="rId53"/>
    <sheet name="03-COMPETITION-OFR2" sheetId="134" state="hidden" r:id="rId54"/>
    <sheet name="03-CHANNELREADY-OFR2" sheetId="135" state="hidden" r:id="rId55"/>
    <sheet name="04-SECTORMARKET-OFR2" sheetId="143" state="hidden" r:id="rId56"/>
    <sheet name="04-DOMESTICMARKET-OFR2" sheetId="144" state="hidden" r:id="rId57"/>
    <sheet name="04-FOREIGNMARKET-OFR2" sheetId="145" state="hidden" r:id="rId58"/>
    <sheet name="06-TYPOPARTNER-OFR2" sheetId="80" state="hidden" r:id="rId59"/>
    <sheet name="06-RESPONSABPARTNER-OFR2" sheetId="84" state="hidden" r:id="rId60"/>
    <sheet name="06-PROFILPARTNER-OFR2" sheetId="161" state="hidden" r:id="rId61"/>
    <sheet name="08-VALUEAD4PARTNER-OFR2" sheetId="157" state="hidden" r:id="rId62"/>
    <sheet name="07-RECRUITMENTPLAN-OFR2" sheetId="149" state="hidden" r:id="rId63"/>
    <sheet name="02-SALESPLAN-OFR2" sheetId="170" state="hidden" r:id="rId64"/>
    <sheet name="02-BUSINESS4PARTNER-OFR2" sheetId="171" state="hidden" r:id="rId65"/>
    <sheet name="02-CHANNELCAPACITY-SAAS-OFR2" sheetId="178" state="hidden" r:id="rId66"/>
    <sheet name="02-CHANNELCAPACITY-LIC-OFR2" sheetId="102" state="hidden" r:id="rId67"/>
    <sheet name="09-PROFITPARTNER-OFR2" sheetId="169" state="hidden" r:id="rId68"/>
    <sheet name="10-LEADSCOVERAGE-OFR2" sheetId="120" state="hidden" r:id="rId69"/>
    <sheet name="03-BUSINESSCARD-OFR3" sheetId="174" state="hidden" r:id="rId70"/>
    <sheet name="09-PROFITPARTNER-OFR3" sheetId="175" state="hidden" r:id="rId71"/>
    <sheet name="03-MARKETREADY-OFR3" sheetId="137" state="hidden" r:id="rId72"/>
    <sheet name="03-POSITIONING-OFR3" sheetId="138" state="hidden" r:id="rId73"/>
    <sheet name="03-CRITICITY-OFR3" sheetId="139" state="hidden" r:id="rId74"/>
    <sheet name="03-COMPETITION-OFR3" sheetId="192" state="hidden" r:id="rId75"/>
    <sheet name="03-CHANNELREADY-OFR3" sheetId="141" state="hidden" r:id="rId76"/>
    <sheet name="04-SECTORMARKET-OFR3" sheetId="146" state="hidden" r:id="rId77"/>
    <sheet name="04-FOREIGNMARKET-OFR3" sheetId="148" state="hidden" r:id="rId78"/>
    <sheet name="04-DOMESTICMARKET-OFR3" sheetId="147" state="hidden" r:id="rId79"/>
    <sheet name="06-TYPOPARTNER-OFR3" sheetId="81" state="hidden" r:id="rId80"/>
    <sheet name="06-RESPONSABPARTNER-OFR3" sheetId="85" state="hidden" r:id="rId81"/>
    <sheet name="06-PROFILPARTNER-OFR3" sheetId="162" state="hidden" r:id="rId82"/>
    <sheet name="07-RECRUITMENTPLAN-OFR3" sheetId="150" state="hidden" r:id="rId83"/>
    <sheet name="10-LEADSCOVERAGE-OFR3" sheetId="121" state="hidden" r:id="rId84"/>
    <sheet name="08-VALUEAD4PARTNER-OFR3" sheetId="158" state="hidden" r:id="rId85"/>
    <sheet name="02-SALESPLAN-OFR3" sheetId="176" state="hidden" r:id="rId86"/>
    <sheet name="02-BUSINESS4PARTNER-OFR3" sheetId="177" state="hidden" r:id="rId87"/>
    <sheet name="02-CHANNELCAPACITY-SAAS-OFR3" sheetId="78" state="hidden" r:id="rId88"/>
    <sheet name="02-CHANNELCAPACITY-LIC-OFR3" sheetId="180" state="hidden" r:id="rId89"/>
    <sheet name="02-CHANNELSTRATEGY" sheetId="60" state="hidden" r:id="rId90"/>
    <sheet name="03-MARKETREADY-OFR1" sheetId="61" state="hidden" r:id="rId91"/>
    <sheet name="Martg Ready" sheetId="183" state="hidden" r:id="rId92"/>
    <sheet name="02-CHANNELCAPACITY-SAAS-OFR1" sheetId="172" state="hidden" r:id="rId93"/>
    <sheet name="02-BUSINESS4PARTNER-OFR1" sheetId="77" state="hidden" r:id="rId94"/>
    <sheet name="07-RECRUITMENTPLAN-OFR1" sheetId="71" state="hidden" r:id="rId95"/>
    <sheet name="Graph New biz par canal" sheetId="205" state="hidden" r:id="rId96"/>
    <sheet name="Graph No partenaires 3 ans " sheetId="206" state="hidden" r:id="rId97"/>
    <sheet name="Graph CA des Partenaires" sheetId="207" state="hidden" r:id="rId98"/>
    <sheet name="Graph Plan de recrutement 3 ans" sheetId="208" state="hidden" r:id="rId99"/>
    <sheet name="05-GOTOMARKET" sheetId="28" state="hidden" r:id="rId100"/>
    <sheet name="05-CHANNELTEAM-OFR1" sheetId="193" state="hidden" r:id="rId101"/>
    <sheet name="08-VALUEAD4PARTNER-OFR1" sheetId="36" state="hidden" r:id="rId102"/>
    <sheet name="Value Add 1" sheetId="184" state="hidden" r:id="rId103"/>
    <sheet name="Value Add 2" sheetId="185" state="hidden" r:id="rId104"/>
    <sheet name="Value Add 3" sheetId="186" state="hidden" r:id="rId105"/>
    <sheet name="09-PROFITPARTNER-OFR1" sheetId="74" state="hidden" r:id="rId106"/>
    <sheet name="Graph Profitabilité partenaire" sheetId="209" state="hidden" r:id="rId107"/>
    <sheet name="10-LEADSCOVERAGE-OFR1" sheetId="106" state="hidden" r:id="rId108"/>
    <sheet name="08-DISCOUNTSTRATEGY" sheetId="38" state="hidden" r:id="rId109"/>
    <sheet name="05-SOURCECONFLICT" sheetId="29" state="hidden" r:id="rId110"/>
    <sheet name="Graph Conflits" sheetId="211" state="hidden" r:id="rId111"/>
    <sheet name="11-KPIsFOLLOWUP" sheetId="181" state="hidden" r:id="rId112"/>
    <sheet name="11-GUIDE4VALUEPROP" sheetId="20" state="hidden" r:id="rId113"/>
    <sheet name="INPROGRESS" sheetId="1" state="hidden" r:id="rId114"/>
    <sheet name="Fiche partenaire" sheetId="220" r:id="rId115"/>
    <sheet name=" SWOT PARTNERSHIP" sheetId="221" r:id="rId116"/>
    <sheet name="EXPECTATIONS" sheetId="8" r:id="rId117"/>
    <sheet name="Graph Expectations" sheetId="214" r:id="rId118"/>
    <sheet name="CRITICITY" sheetId="21" r:id="rId119"/>
    <sheet name="MARKETSPECIFICITIES" sheetId="27" r:id="rId120"/>
  </sheets>
  <externalReferences>
    <externalReference r:id="rId121"/>
    <externalReference r:id="rId122"/>
    <externalReference r:id="rId123"/>
  </externalReferences>
  <definedNames>
    <definedName name="_1_A_traiter">'02-CHANNELCAPACITY-SAAS-OFR3'!$I$2</definedName>
    <definedName name="_11_08_2014_10_10">'02-CHANNELCAPACITY-SAAS-OFR2'!$L$2</definedName>
    <definedName name="_22_05_2014_21_57">'02-CHANNELCAPACITY-LIC-OFR2'!$L$2</definedName>
    <definedName name="_29_09_2014_10_38">'03-BUSINESSCARD-OFR2'!$L$2</definedName>
    <definedName name="_3_A_revalider">'02-CHANNELCAPACITY-SAAS-OFR2'!$I$2</definedName>
    <definedName name="_4_Validé">'03-BUSINESSCARD-OFR2'!$I$2</definedName>
    <definedName name="_xlnm._FilterDatabase" localSheetId="22" hidden="1">TODO!$A$9:$Q$87</definedName>
    <definedName name="AbrevClient" localSheetId="115">[1]Parametre!$C$19</definedName>
    <definedName name="AbrevClient">Parametre!$C$19</definedName>
    <definedName name="AnReference" localSheetId="115">'[1]00-PARAMETERS'!$E$8</definedName>
    <definedName name="AnReference" localSheetId="17">'[2]00-PARAMETERS'!$E$8</definedName>
    <definedName name="AnReference" localSheetId="16">'[2]00-PARAMETERS'!$E$8</definedName>
    <definedName name="AnReference" localSheetId="15">'[2]00-PARAMETERS'!$E$8</definedName>
    <definedName name="AnReference" localSheetId="114">'[2]00-PARAMETERS'!$E$8</definedName>
    <definedName name="AnReference">'00-PARAMETERS'!$E$8</definedName>
    <definedName name="AvancementTheme" localSheetId="115">[1]Parametre!$B$3:$B$7</definedName>
    <definedName name="AvancementTheme">Parametre!$B$3:$B$7</definedName>
    <definedName name="ChanlReadyAxe1" localSheetId="115">'[1]00-PARAMETERS'!$E$16</definedName>
    <definedName name="ChanlReadyAxe1">'00-PARAMETERS'!$E$16</definedName>
    <definedName name="ChanlReadyAxe2" localSheetId="115">'[1]00-PARAMETERS'!$E$17</definedName>
    <definedName name="ChanlReadyAxe2">'00-PARAMETERS'!$E$17</definedName>
    <definedName name="Démontrer_l_opportunité_de_business_sur_une_affaire_moyenne__CA_total__CA_pour_le_partenaire__commissions_versées_et_CA_récurrent_.__Démontrer_les_caractéristiques_du_cycle_commercial" localSheetId="115">[1]BUSINESSCARD!#REF!</definedName>
    <definedName name="Démontrer_l_opportunité_de_business_sur_une_affaire_moyenne__CA_total__CA_pour_le_partenaire__commissions_versées_et_CA_récurrent_.__Démontrer_les_caractéristiques_du_cycle_commercial" localSheetId="3">BUSINESSCARD!#REF!</definedName>
    <definedName name="Démontrer_l_opportunité_de_business_sur_une_affaire_moyenne__CA_total__CA_pour_le_partenaire__commissions_versées_et_CA_récurrent_.__Démontrer_les_caractéristiques_du_cycle_commercial" localSheetId="17">BUSINESSCARD!#REF!</definedName>
    <definedName name="Démontrer_l_opportunité_de_business_sur_une_affaire_moyenne__CA_total__CA_pour_le_partenaire__commissions_versées_et_CA_récurrent_.__Démontrer_les_caractéristiques_du_cycle_commercial" localSheetId="16">BUSINESSCARD!#REF!</definedName>
    <definedName name="Démontrer_l_opportunité_de_business_sur_une_affaire_moyenne__CA_total__CA_pour_le_partenaire__commissions_versées_et_CA_récurrent_.__Démontrer_les_caractéristiques_du_cycle_commercial">BUSINESSCARD!#REF!</definedName>
    <definedName name="DernOnglet" localSheetId="19">GOVERNANCE!$O$2</definedName>
    <definedName name="DernOnglet">TODO!$O$2</definedName>
    <definedName name="DKPI_01SW" localSheetId="115">' SWOT PARTNERSHIP'!#REF!</definedName>
    <definedName name="DKPI_01SW" localSheetId="3">SWOT!#REF!</definedName>
    <definedName name="DKPI_01SW" localSheetId="17">SWOT!#REF!</definedName>
    <definedName name="DKPI_01SW" localSheetId="16">SWOT!#REF!</definedName>
    <definedName name="DKPI_01SW">SWOT!#REF!</definedName>
    <definedName name="DKPI_02AT" localSheetId="115">[1]EXPECTATIONS!#REF!</definedName>
    <definedName name="DKPI_02AT" localSheetId="3">EXPECTATIONS!#REF!</definedName>
    <definedName name="DKPI_02AT" localSheetId="17">EXPECTATIONS!#REF!</definedName>
    <definedName name="DKPI_02AT" localSheetId="16">EXPECTATIONS!#REF!</definedName>
    <definedName name="DKPI_02AT">EXPECTATIONS!#REF!</definedName>
    <definedName name="DKPI_02DL1" localSheetId="42">'02-CHANNELCAPACITY-LIC-OFR1'!$A$58</definedName>
    <definedName name="DKPI_02DL2" localSheetId="115">'[1]02-CHANNELCAPACITY-LIC-OFR2'!$A$58</definedName>
    <definedName name="DKPI_02DL2">'02-CHANNELCAPACITY-LIC-OFR2'!$A$58</definedName>
    <definedName name="DKPI_02DL3" localSheetId="115">'[1]02-CHANNELCAPACITY-LIC-OFR3'!$A$58</definedName>
    <definedName name="DKPI_02DL3">'02-CHANNELCAPACITY-LIC-OFR3'!$A$58</definedName>
    <definedName name="DKPI_02DS1" localSheetId="92">'02-CHANNELCAPACITY-SAAS-OFR1'!$A$115</definedName>
    <definedName name="DKPI_02DS2" localSheetId="115">'[1]02-CHANNELCAPACITY-SAAS-OFR2'!$A$57</definedName>
    <definedName name="DKPI_02DS2">'02-CHANNELCAPACITY-SAAS-OFR2'!$A$57</definedName>
    <definedName name="DKPI_02DS3" localSheetId="115">'[1]02-CHANNELCAPACITY-SAAS-OFR3'!$A$57</definedName>
    <definedName name="DKPI_02DS3">'02-CHANNELCAPACITY-SAAS-OFR3'!$A$57</definedName>
    <definedName name="DKPI_02MV1" localSheetId="115">[1]SALESPLAN!#REF!</definedName>
    <definedName name="DKPI_02MV1" localSheetId="3">'SALESPLAN 3Y'!#REF!</definedName>
    <definedName name="DKPI_02MV1" localSheetId="17">'SALESPLAN 3Y'!#REF!</definedName>
    <definedName name="DKPI_02MV1" localSheetId="16">'SALESPLAN 3Y'!#REF!</definedName>
    <definedName name="DKPI_02MV1">'SALESPLAN 3Y'!#REF!</definedName>
    <definedName name="DKPI_02MV2" localSheetId="115">'[1]02-SALESPLAN-OFR2'!$A$168</definedName>
    <definedName name="DKPI_02MV2">'02-SALESPLAN-OFR2'!$A$168</definedName>
    <definedName name="DKPI_02MV3" localSheetId="115">'[1]02-SALESPLAN-OFR3'!$A$168</definedName>
    <definedName name="DKPI_02MV3">'02-SALESPLAN-OFR3'!$A$168</definedName>
    <definedName name="DKPI_02OP1" localSheetId="115">'[1]02-BUSINESS4PARTNER-OFR1'!$A$75</definedName>
    <definedName name="DKPI_02OP1">'02-BUSINESS4PARTNER-OFR1'!$A$75</definedName>
    <definedName name="DKPI_02OP2" localSheetId="115">'[1]02-BUSINESS4PARTNER-OFR2'!$A$130</definedName>
    <definedName name="DKPI_02OP2">'02-BUSINESS4PARTNER-OFR2'!$A$130</definedName>
    <definedName name="DKPI_02OP3">'02-BUSINESS4PARTNER-OFR3'!$A$157</definedName>
    <definedName name="DKPI_02ST" localSheetId="89">'02-CHANNELSTRATEGY'!$A$99</definedName>
    <definedName name="DKPI_02VI" localSheetId="115">[1]VISION!#REF!</definedName>
    <definedName name="DKPI_02VI" localSheetId="3">VISION!#REF!</definedName>
    <definedName name="DKPI_02VI" localSheetId="17">VISION!#REF!</definedName>
    <definedName name="DKPI_02VI" localSheetId="16">VISION!#REF!</definedName>
    <definedName name="DKPI_02VI">VISION!#REF!</definedName>
    <definedName name="DKPI_03BI1" localSheetId="115">[1]BUSINESSCARD!#REF!</definedName>
    <definedName name="DKPI_03BI1" localSheetId="3">BUSINESSCARD!#REF!</definedName>
    <definedName name="DKPI_03BI1" localSheetId="17">BUSINESSCARD!#REF!</definedName>
    <definedName name="DKPI_03BI1" localSheetId="16">BUSINESSCARD!#REF!</definedName>
    <definedName name="DKPI_03BI1">BUSINESSCARD!#REF!</definedName>
    <definedName name="DKPI_03BI2" localSheetId="115">'[1]03-BUSINESSCARD-OFR2'!$A$109</definedName>
    <definedName name="DKPI_03BI2">'03-BUSINESSCARD-OFR2'!$A$109</definedName>
    <definedName name="DKPI_03BI3" localSheetId="115">'[1]03-BUSINESSCARD-OFR3'!$A$110</definedName>
    <definedName name="DKPI_03BI3">'03-BUSINESSCARD-OFR3'!$A$110</definedName>
    <definedName name="DKPI_03CK1" localSheetId="115">[1]CHANNELREADY!#REF!</definedName>
    <definedName name="DKPI_03CK1" localSheetId="3">CHANNELREADY!#REF!</definedName>
    <definedName name="DKPI_03CK1" localSheetId="17">CHANNELREADY!#REF!</definedName>
    <definedName name="DKPI_03CK1" localSheetId="16">CHANNELREADY!#REF!</definedName>
    <definedName name="DKPI_03CK1">CHANNELREADY!#REF!</definedName>
    <definedName name="DKPI_03CK2" localSheetId="115">'[1]03-CHANNELREADY-OFR2'!$A$98</definedName>
    <definedName name="DKPI_03CK2">'03-CHANNELREADY-OFR2'!$A$98</definedName>
    <definedName name="DKPI_03CK3" localSheetId="115">'[1]03-CHANNELREADY-OFR3'!$A$98</definedName>
    <definedName name="DKPI_03CK3">'03-CHANNELREADY-OFR3'!$A$98</definedName>
    <definedName name="DKPI_03CP1" localSheetId="115">[1]COMPETITION!$A$63</definedName>
    <definedName name="DKPI_03CP1">COMPETITION!$A$63</definedName>
    <definedName name="DKPI_03CP2" localSheetId="115">'[1]03-COMPETITION-OFR2'!$A$63</definedName>
    <definedName name="DKPI_03CP2">'03-COMPETITION-OFR2'!$A$63</definedName>
    <definedName name="DKPI_03CP3" localSheetId="115">'[1]03-COMPETITION-OFR3'!$A$63</definedName>
    <definedName name="DKPI_03CP3">'03-COMPETITION-OFR3'!$A$63</definedName>
    <definedName name="DKPI_03CR1" localSheetId="115">[1]CRITICITY!$A$42</definedName>
    <definedName name="DKPI_03CR1">CRITICITY!$A$42</definedName>
    <definedName name="DKPI_03CR2" localSheetId="115">'[1]03-CRITICITY-OFR2'!$A$35</definedName>
    <definedName name="DKPI_03CR2">'03-CRITICITY-OFR2'!$A$35</definedName>
    <definedName name="DKPI_03CR3" localSheetId="115">'[1]03-CRITICITY-OFR3'!$A$35</definedName>
    <definedName name="DKPI_03CR3">'03-CRITICITY-OFR3'!$A$35</definedName>
    <definedName name="DKPI_03IP" localSheetId="115">[1]INTERLOCUTORS!#REF!</definedName>
    <definedName name="DKPI_03IP" localSheetId="3">INTERLOCUTORS!#REF!</definedName>
    <definedName name="DKPI_03IP" localSheetId="17">INTERLOCUTORS!#REF!</definedName>
    <definedName name="DKPI_03IP" localSheetId="16">INTERLOCUTORS!#REF!</definedName>
    <definedName name="DKPI_03IP">INTERLOCUTORS!#REF!</definedName>
    <definedName name="DKPI_03MK1" localSheetId="115">'[1]03-MARKETREADY-OFR1'!$A$114</definedName>
    <definedName name="DKPI_03MK1">'03-MARKETREADY-OFR1'!$A$114</definedName>
    <definedName name="DKPI_03MK2" localSheetId="115">'[1]03-MARKETREADY-OFR2'!$A$75</definedName>
    <definedName name="DKPI_03MK2">'03-MARKETREADY-OFR2'!$A$75</definedName>
    <definedName name="DKPI_03MK3" localSheetId="115">'[1]03-MARKETREADY-OFR3'!$A$75</definedName>
    <definedName name="DKPI_03MK3">'03-MARKETREADY-OFR3'!$A$75</definedName>
    <definedName name="DKPI_03PO1" localSheetId="115">'[1]POSITIONING-OFR1'!#REF!</definedName>
    <definedName name="DKPI_03PO1" localSheetId="3">'POSITIONING-OFR1'!#REF!</definedName>
    <definedName name="DKPI_03PO1" localSheetId="17">'POSITIONING-OFR1'!#REF!</definedName>
    <definedName name="DKPI_03PO1" localSheetId="16">'POSITIONING-OFR1'!#REF!</definedName>
    <definedName name="DKPI_03PO1">'POSITIONING-OFR1'!#REF!</definedName>
    <definedName name="DKPI_03PO2" localSheetId="115">'[1]03-POSITIONING-OFR2'!$A$36</definedName>
    <definedName name="DKPI_03PO2">'03-POSITIONING-OFR2'!$A$36</definedName>
    <definedName name="DKPI_03PO3" localSheetId="115">'[1]03-POSITIONING-OFR3'!$A$36</definedName>
    <definedName name="DKPI_03PO3">'03-POSITIONING-OFR3'!$A$36</definedName>
    <definedName name="DKPI_04GF1" localSheetId="115">[1]DOMESTICMARKET!$A$31</definedName>
    <definedName name="DKPI_04GF1">DOMESTICMARKET!$A$31</definedName>
    <definedName name="DKPI_04GF2" localSheetId="115">'[1]04-DOMESTICMARKET-OFR2'!$A$29</definedName>
    <definedName name="DKPI_04GF2">'04-DOMESTICMARKET-OFR2'!$A$29</definedName>
    <definedName name="DKPI_04GF3" localSheetId="115">'[1]04-DOMESTICMARKET-OFR3'!$A$29</definedName>
    <definedName name="DKPI_04GF3">'04-DOMESTICMARKET-OFR3'!$A$29</definedName>
    <definedName name="DKPI_04GI1" localSheetId="115">[1]FOREIGNMARKET!$A$29</definedName>
    <definedName name="DKPI_04GI1">FOREIGNMARKET!$A$29</definedName>
    <definedName name="DKPI_04GI2" localSheetId="115">'[1]04-FOREIGNMARKET-OFR2'!$A$27</definedName>
    <definedName name="DKPI_04GI2">'04-FOREIGNMARKET-OFR2'!$A$27</definedName>
    <definedName name="DKPI_04GI3" localSheetId="115">'[1]04-FOREIGNMARKET-OFR3'!$A$27</definedName>
    <definedName name="DKPI_04GI3">'04-FOREIGNMARKET-OFR3'!$A$27</definedName>
    <definedName name="DKPI_04ME" localSheetId="115">[1]MARKETSPECIFICITIES!#REF!</definedName>
    <definedName name="DKPI_04ME" localSheetId="3">MARKETSPECIFICITIES!#REF!</definedName>
    <definedName name="DKPI_04ME" localSheetId="17">MARKETSPECIFICITIES!#REF!</definedName>
    <definedName name="DKPI_04ME" localSheetId="16">MARKETSPECIFICITIES!#REF!</definedName>
    <definedName name="DKPI_04ME">MARKETSPECIFICITIES!#REF!</definedName>
    <definedName name="DKPI_04SC1" localSheetId="115">[1]SECTORMARKET!$A$30</definedName>
    <definedName name="DKPI_04SC1" localSheetId="17">SECTORMARKET!#REF!</definedName>
    <definedName name="DKPI_04SC1" localSheetId="16">SECTORMARKET!#REF!</definedName>
    <definedName name="DKPI_04SC1">SECTORMARKET!#REF!</definedName>
    <definedName name="DKPI_04SC2" localSheetId="115">'[1]04-SECTORMARKET-OFR2'!$A$31</definedName>
    <definedName name="DKPI_04SC2">'04-SECTORMARKET-OFR2'!$A$31</definedName>
    <definedName name="DKPI_04SC3" localSheetId="115">'[1]04-SECTORMARKET-OFR3'!$A$31</definedName>
    <definedName name="DKPI_04SC3">'04-SECTORMARKET-OFR3'!$A$31</definedName>
    <definedName name="DKPI_05CT1" localSheetId="115">'[1]05-CHANNELTEAM-OFR1'!$A$22</definedName>
    <definedName name="DKPI_05CT1">'05-CHANNELTEAM-OFR1'!$A$22</definedName>
    <definedName name="DKPI_05CT2" localSheetId="115">'[1]05-CHANNELTEAM-OFR2'!$A$22</definedName>
    <definedName name="DKPI_05CT2">'05-CHANNELTEAM-OFR2'!$A$22</definedName>
    <definedName name="DKPI_05CT3" localSheetId="115">'[1]05-CHANNELTEAM-OFR3'!$A$22</definedName>
    <definedName name="DKPI_05CT3">'05-CHANNELTEAM-OFR3'!$A$22</definedName>
    <definedName name="DKPI_05GM" localSheetId="115">'[1]05-GOTOMARKET'!$A$31</definedName>
    <definedName name="DKPI_05GM">'05-GOTOMARKET'!$A$31</definedName>
    <definedName name="DKPI_05SC" localSheetId="115">'[1]05-SOURCECONFLICT'!$A$35</definedName>
    <definedName name="DKPI_05SC">'05-SOURCECONFLICT'!$A$35</definedName>
    <definedName name="DKPI_05ST">'[3]05-SALESTERRITORIES'!$A$27</definedName>
    <definedName name="DKPI_06PP1" localSheetId="115">[1]PROFILPARTNER!$A$114</definedName>
    <definedName name="DKPI_06PP1">PROFILPARTNER!$A$114</definedName>
    <definedName name="DKPI_06PP2" localSheetId="115">'[1]06-PROFILPARTNER-OFR2'!$A$117</definedName>
    <definedName name="DKPI_06PP2">'06-PROFILPARTNER-OFR2'!$A$117</definedName>
    <definedName name="DKPI_06PP21">'06-PROFILPARTNER-OFR2'!$A$117</definedName>
    <definedName name="DKPI_06PP3" localSheetId="115">'[1]06-PROFILPARTNER-OFR3'!$A$35</definedName>
    <definedName name="DKPI_06PP3">'06-PROFILPARTNER-OFR3'!$A$35</definedName>
    <definedName name="DKPI_06RP1" localSheetId="115">'[1]06-RESPONSABPARTNER-OFR1'!$A$39</definedName>
    <definedName name="DKPI_06RP1">RESPONSABPARTNER!$A$29</definedName>
    <definedName name="DKPI_06RP2" localSheetId="115">'[1]06-RESPONSABPARTNER-OFR2'!$A$39</definedName>
    <definedName name="DKPI_06RP2">'06-RESPONSABPARTNER-OFR2'!$A$39</definedName>
    <definedName name="DKPI_06RP3" localSheetId="115">'[1]06-RESPONSABPARTNER-OFR3'!$A$39</definedName>
    <definedName name="DKPI_06RP3">'06-RESPONSABPARTNER-OFR3'!$A$39</definedName>
    <definedName name="DKPI_06TP1" localSheetId="115">[1]TYPOPARTNER!$A$36</definedName>
    <definedName name="DKPI_06TP1">TYPOPARTNER!$A$36</definedName>
    <definedName name="DKPI_06TP2" localSheetId="115">'[1]06-TYPOPARTNER-OFR2'!$A$38</definedName>
    <definedName name="DKPI_06TP2">'06-TYPOPARTNER-OFR2'!$A$38</definedName>
    <definedName name="DKPI_06TP3" localSheetId="115">'[1]06-TYPOPARTNER-OFR3'!$A$38</definedName>
    <definedName name="DKPI_06TP3">'06-TYPOPARTNER-OFR3'!$A$38</definedName>
    <definedName name="DKPI_07DC1" localSheetId="115">'[1]07-RECRUITMENTPLAN-OFR1'!$A$36</definedName>
    <definedName name="DKPI_07DC1">'07-RECRUITMENTPLAN-OFR1'!$A$36</definedName>
    <definedName name="DKPI_07DC2" localSheetId="115">'[1]07-RECRUITMENTPLAN-OFR2'!$A$38</definedName>
    <definedName name="DKPI_07DC2">'07-RECRUITMENTPLAN-OFR2'!$A$38</definedName>
    <definedName name="DKPI_07DC3" localSheetId="115">'[1]07-RECRUITMENTPLAN-OFR3'!$A$38</definedName>
    <definedName name="DKPI_07DC3">'07-RECRUITMENTPLAN-OFR3'!$A$38</definedName>
    <definedName name="DKPI_07FS" localSheetId="115">[1]FASTSTART!#REF!</definedName>
    <definedName name="DKPI_07FS" localSheetId="3">'PLAN D''ACTIONS'!#REF!</definedName>
    <definedName name="DKPI_07FS" localSheetId="17">'PLAN D''ACTIONS'!#REF!</definedName>
    <definedName name="DKPI_07FS" localSheetId="16">'PLAN D''ACTIONS'!#REF!</definedName>
    <definedName name="DKPI_07FS">'PLAN D''ACTIONS'!#REF!</definedName>
    <definedName name="DKPI_08SP" localSheetId="115">[1]PRICINGSTRATEGY!$A$65</definedName>
    <definedName name="DKPI_08SP">PRICINGSTRATEGY!$A$65</definedName>
    <definedName name="DKPI_08SR" localSheetId="115">'[1]08-DISCOUNTSTRATEGY'!$A$39</definedName>
    <definedName name="DKPI_08SR">'08-DISCOUNTSTRATEGY'!$A$39</definedName>
    <definedName name="DKPI_08VA1" localSheetId="115">'[1]08-VALUEAD4PARTNER-OFR1'!$A$55</definedName>
    <definedName name="DKPI_08VA1">'08-VALUEAD4PARTNER-OFR1'!$A$55</definedName>
    <definedName name="DKPI_08VA2" localSheetId="115">'[1]08-VALUEAD4PARTNER-OFR2'!$A$55</definedName>
    <definedName name="DKPI_08VA2">'08-VALUEAD4PARTNER-OFR2'!$A$55</definedName>
    <definedName name="DKPI_08VA3" localSheetId="115">'[1]08-VALUEAD4PARTNER-OFR3'!$A$55</definedName>
    <definedName name="DKPI_08VA3">'08-VALUEAD4PARTNER-OFR3'!$A$55</definedName>
    <definedName name="DKPI_09PP1" localSheetId="115">'[1]09-PROFITPARTNER-OFR1'!$A$172</definedName>
    <definedName name="DKPI_09PP1" localSheetId="67">'09-PROFITPARTNER-OFR2'!$A$168</definedName>
    <definedName name="DKPI_09PP1" localSheetId="70">'09-PROFITPARTNER-OFR3'!$A$166</definedName>
    <definedName name="DKPI_09PP1">'09-PROFITPARTNER-OFR1'!$A$172</definedName>
    <definedName name="DKPI_09PP2" localSheetId="115">'[1]09-PROFITPARTNER-OFR2'!$A$168</definedName>
    <definedName name="DKPI_09PP2">'09-PROFITPARTNER-OFR2'!$A$168</definedName>
    <definedName name="DKPI_09PP3" localSheetId="115">'[1]09-PROFITPARTNER-OFR3'!$A$166</definedName>
    <definedName name="DKPI_09PP3">'09-PROFITPARTNER-OFR3'!$A$166</definedName>
    <definedName name="DKPI_10BP1" localSheetId="115">[1]BUDGETPROGRAM!$A$65</definedName>
    <definedName name="DKPI_10BP1">BUDGETPROGRAM!$A$65</definedName>
    <definedName name="DKPI_10BP2" localSheetId="115">'[1]10-BUDGETPROGRAM-OFR2'!$A$74</definedName>
    <definedName name="DKPI_10BP2">'10-BUDGETPROGRAM-OFR2'!$A$74</definedName>
    <definedName name="DKPI_10BP3" localSheetId="115">'[1]10-BUDGETPROGRAM-OFR3'!$A$74</definedName>
    <definedName name="DKPI_10BP3">'10-BUDGETPROGRAM-OFR3'!$A$74</definedName>
    <definedName name="DKPI_10FS">'[3]07-FASTSTART'!$A$88</definedName>
    <definedName name="DKPI_10PP" localSheetId="115">[1]PROGRAMPARTNER!#REF!</definedName>
    <definedName name="DKPI_10PP" localSheetId="3">PROGRAMPARTNER!#REF!</definedName>
    <definedName name="DKPI_10PP" localSheetId="17">PROGRAMPARTNER!#REF!</definedName>
    <definedName name="DKPI_10PP" localSheetId="16">PROGRAMPARTNER!#REF!</definedName>
    <definedName name="DKPI_10PP">PROGRAMPARTNER!#REF!</definedName>
    <definedName name="DKPI_10SK1" localSheetId="115">[1]PARTNERSALESKIT!#REF!</definedName>
    <definedName name="DKPI_10SK1" localSheetId="3">PARTNERSALESKIT!#REF!</definedName>
    <definedName name="DKPI_10SK1" localSheetId="17">PARTNERSALESKIT!#REF!</definedName>
    <definedName name="DKPI_10SK1" localSheetId="16">PARTNERSALESKIT!#REF!</definedName>
    <definedName name="DKPI_10SK1">PARTNERSALESKIT!#REF!</definedName>
    <definedName name="DKPI_10SK2" localSheetId="115">'[1]10-PARTNERSALESKIT-OFR2'!$A$90</definedName>
    <definedName name="DKPI_10SK2">'10-PARTNERSALESKIT-OFR2'!$A$90</definedName>
    <definedName name="DKPI_10SK3" localSheetId="115">'[1]10-PARTNERSALESKIT-OFR3'!$A$90</definedName>
    <definedName name="DKPI_10SK3">'10-PARTNERSALESKIT-OFR3'!$A$90</definedName>
    <definedName name="DKPI_10TL1" localSheetId="115">'[1]10-LEADSCOVERAGE-OFR1'!$A$26</definedName>
    <definedName name="DKPI_10TL1">'10-LEADSCOVERAGE-OFR1'!$A$26</definedName>
    <definedName name="DKPI_10TL2" localSheetId="115">'[1]10-LEADSCOVERAGE-OFR2'!$A$26</definedName>
    <definedName name="DKPI_10TL2">'10-LEADSCOVERAGE-OFR2'!$A$26</definedName>
    <definedName name="DKPI_10TL3" localSheetId="115">'[1]10-LEADSCOVERAGE-OFR3'!$A$26</definedName>
    <definedName name="DKPI_10TL3">'10-LEADSCOVERAGE-OFR3'!$A$26</definedName>
    <definedName name="DKPI_11FC" localSheetId="115">[1]CRITICALFACTORS!$A$73</definedName>
    <definedName name="DKPI_11FC">CRITICALFACTORS!$A$72</definedName>
    <definedName name="DKPI_11SW" localSheetId="115">'[1]12-SWOT'!#REF!</definedName>
    <definedName name="DKPI_11SW" localSheetId="3">EVALUATION!#REF!</definedName>
    <definedName name="DKPI_11SW" localSheetId="17">EVALUATION!#REF!</definedName>
    <definedName name="DKPI_11SW" localSheetId="16">EVALUATION!#REF!</definedName>
    <definedName name="DKPI_11SW">EVALUATION!#REF!</definedName>
    <definedName name="DPDV_01SW" localSheetId="115">' SWOT PARTNERSHIP'!#REF!</definedName>
    <definedName name="DPDV_01SW" localSheetId="3">SWOT!#REF!</definedName>
    <definedName name="DPDV_01SW" localSheetId="17">SWOT!#REF!</definedName>
    <definedName name="DPDV_01SW" localSheetId="16">SWOT!#REF!</definedName>
    <definedName name="DPDV_01SW">SWOT!#REF!</definedName>
    <definedName name="DPDV_02AT" localSheetId="115">[1]EXPECTATIONS!#REF!</definedName>
    <definedName name="DPDV_02AT" localSheetId="3">EXPECTATIONS!#REF!</definedName>
    <definedName name="DPDV_02AT" localSheetId="17">EXPECTATIONS!#REF!</definedName>
    <definedName name="DPDV_02AT" localSheetId="16">EXPECTATIONS!#REF!</definedName>
    <definedName name="DPDV_02AT">EXPECTATIONS!#REF!</definedName>
    <definedName name="DPDV_02DL1" localSheetId="42">'02-CHANNELCAPACITY-LIC-OFR1'!$A$51</definedName>
    <definedName name="DPDV_02DL2" localSheetId="115">'[1]02-CHANNELCAPACITY-LIC-OFR2'!$A$51</definedName>
    <definedName name="DPDV_02DL2">'02-CHANNELCAPACITY-LIC-OFR2'!$A$51</definedName>
    <definedName name="DPDV_02DL3" localSheetId="115">'[1]02-CHANNELCAPACITY-LIC-OFR3'!$A$51</definedName>
    <definedName name="DPDV_02DL3">'02-CHANNELCAPACITY-LIC-OFR3'!$A$51</definedName>
    <definedName name="DPDV_02DS1" localSheetId="92">'02-CHANNELCAPACITY-SAAS-OFR1'!$A$108</definedName>
    <definedName name="DPDV_02DS2" localSheetId="115">'[1]02-CHANNELCAPACITY-SAAS-OFR2'!$A$50</definedName>
    <definedName name="DPDV_02DS2">'02-CHANNELCAPACITY-SAAS-OFR2'!$A$50</definedName>
    <definedName name="DPDV_02DS3" localSheetId="115">'[1]02-CHANNELCAPACITY-SAAS-OFR3'!$A$50</definedName>
    <definedName name="DPDV_02DS3">'02-CHANNELCAPACITY-SAAS-OFR3'!$A$50</definedName>
    <definedName name="DPDV_02MV1" localSheetId="115">[1]SALESPLAN!#REF!</definedName>
    <definedName name="DPDV_02MV1" localSheetId="3">'SALESPLAN 3Y'!#REF!</definedName>
    <definedName name="DPDV_02MV1" localSheetId="17">'SALESPLAN 3Y'!#REF!</definedName>
    <definedName name="DPDV_02MV1" localSheetId="16">'SALESPLAN 3Y'!#REF!</definedName>
    <definedName name="DPDV_02MV1">'SALESPLAN 3Y'!#REF!</definedName>
    <definedName name="DPDV_02MV2" localSheetId="115">'[1]02-SALESPLAN-OFR2'!$A$161</definedName>
    <definedName name="DPDV_02MV2">'02-SALESPLAN-OFR2'!$A$161</definedName>
    <definedName name="DPDV_02MV3" localSheetId="115">'[1]02-SALESPLAN-OFR3'!$A$161</definedName>
    <definedName name="DPDV_02MV3">'02-SALESPLAN-OFR3'!$A$161</definedName>
    <definedName name="DPDV_02OP1" localSheetId="115">'[1]02-BUSINESS4PARTNER-OFR1'!$A$68</definedName>
    <definedName name="DPDV_02OP1">'02-BUSINESS4PARTNER-OFR1'!$A$68</definedName>
    <definedName name="DPDV_02OP2" localSheetId="115">'[1]02-BUSINESS4PARTNER-OFR2'!$A$123</definedName>
    <definedName name="DPDV_02OP2">'02-BUSINESS4PARTNER-OFR2'!$A$123</definedName>
    <definedName name="DPDV_02OP3" localSheetId="115">'[1]02-BUSINESS4PARTNER-OFR3'!$A$150</definedName>
    <definedName name="DPDV_02OP3">'02-BUSINESS4PARTNER-OFR3'!$A$150</definedName>
    <definedName name="DPDV_02ST" localSheetId="115">'[1]02-CHANNELSTRATEGY'!$A$91</definedName>
    <definedName name="DPDV_02ST">'02-CHANNELSTRATEGY'!$A$91</definedName>
    <definedName name="DPDV_02VI" localSheetId="115">[1]VISION!#REF!</definedName>
    <definedName name="DPDV_02VI" localSheetId="3">VISION!#REF!</definedName>
    <definedName name="DPDV_02VI" localSheetId="17">VISION!#REF!</definedName>
    <definedName name="DPDV_02VI" localSheetId="16">VISION!#REF!</definedName>
    <definedName name="DPDV_02VI">VISION!#REF!</definedName>
    <definedName name="DPDV_03BI1" localSheetId="115">[1]BUSINESSCARD!#REF!</definedName>
    <definedName name="DPDV_03BI1" localSheetId="3">BUSINESSCARD!#REF!</definedName>
    <definedName name="DPDV_03BI1" localSheetId="17">BUSINESSCARD!#REF!</definedName>
    <definedName name="DPDV_03BI1" localSheetId="16">BUSINESSCARD!#REF!</definedName>
    <definedName name="DPDV_03BI1">BUSINESSCARD!#REF!</definedName>
    <definedName name="DPDV_03BI2" localSheetId="115">'[1]03-BUSINESSCARD-OFR2'!$A$102</definedName>
    <definedName name="DPDV_03BI2">'03-BUSINESSCARD-OFR2'!$A$102</definedName>
    <definedName name="DPDV_03BI3" localSheetId="115">'[1]03-BUSINESSCARD-OFR3'!$A$103</definedName>
    <definedName name="DPDV_03BI3">'03-BUSINESSCARD-OFR3'!$A$103</definedName>
    <definedName name="DPDV_03CK1" localSheetId="115">[1]CHANNELREADY!#REF!</definedName>
    <definedName name="DPDV_03CK1" localSheetId="3">CHANNELREADY!#REF!</definedName>
    <definedName name="DPDV_03CK1" localSheetId="17">CHANNELREADY!#REF!</definedName>
    <definedName name="DPDV_03CK1" localSheetId="16">CHANNELREADY!#REF!</definedName>
    <definedName name="DPDV_03CK1">CHANNELREADY!#REF!</definedName>
    <definedName name="DPDV_03CK2" localSheetId="115">'[1]03-CHANNELREADY-OFR2'!$A$90</definedName>
    <definedName name="DPDV_03CK2">'03-CHANNELREADY-OFR2'!$A$90</definedName>
    <definedName name="DPDV_03CK3" localSheetId="115">'[1]03-CHANNELREADY-OFR3'!$A$90</definedName>
    <definedName name="DPDV_03CK3">'03-CHANNELREADY-OFR3'!$A$90</definedName>
    <definedName name="DPDV_03CP1" localSheetId="115">[1]COMPETITION!$A$56</definedName>
    <definedName name="DPDV_03CP1">COMPETITION!$A$56</definedName>
    <definedName name="DPDV_03CP2" localSheetId="115">'[1]03-COMPETITION-OFR2'!$A$56</definedName>
    <definedName name="DPDV_03CP2">'03-COMPETITION-OFR2'!$A$56</definedName>
    <definedName name="DPDV_03CP3" localSheetId="115">'[1]03-COMPETITION-OFR3'!$A$56</definedName>
    <definedName name="DPDV_03CP3">'03-COMPETITION-OFR3'!$A$56</definedName>
    <definedName name="DPDV_03CR1" localSheetId="115">[1]CRITICITY!$A$32</definedName>
    <definedName name="DPDV_03CR1">CRITICITY!$A$32</definedName>
    <definedName name="DPDV_03CR2" localSheetId="115">'[1]03-CRITICITY-OFR2'!$A$25</definedName>
    <definedName name="DPDV_03CR2">'03-CRITICITY-OFR2'!$A$25</definedName>
    <definedName name="DPDV_03CR3" localSheetId="115">'[1]03-CRITICITY-OFR3'!$A$25</definedName>
    <definedName name="DPDV_03CR3">'03-CRITICITY-OFR3'!$A$25</definedName>
    <definedName name="DPDV_03IP" localSheetId="115">[1]INTERLOCUTORS!#REF!</definedName>
    <definedName name="DPDV_03IP" localSheetId="3">INTERLOCUTORS!#REF!</definedName>
    <definedName name="DPDV_03IP" localSheetId="17">INTERLOCUTORS!#REF!</definedName>
    <definedName name="DPDV_03IP" localSheetId="16">INTERLOCUTORS!#REF!</definedName>
    <definedName name="DPDV_03IP">INTERLOCUTORS!#REF!</definedName>
    <definedName name="DPDV_03MK1" localSheetId="115">'[1]03-MARKETREADY-OFR1'!$A$107</definedName>
    <definedName name="DPDV_03MK1">'03-MARKETREADY-OFR1'!$A$107</definedName>
    <definedName name="DPDV_03MK2" localSheetId="115">'[1]03-MARKETREADY-OFR2'!$A$68</definedName>
    <definedName name="DPDV_03MK2">'03-MARKETREADY-OFR2'!$A$68</definedName>
    <definedName name="DPDV_03MK3" localSheetId="115">'[1]03-MARKETREADY-OFR3'!$A$68</definedName>
    <definedName name="DPDV_03MK3">'03-MARKETREADY-OFR3'!$A$68</definedName>
    <definedName name="DPDV_03PO1" localSheetId="115">'[1]POSITIONING-OFR1'!#REF!</definedName>
    <definedName name="DPDV_03PO1" localSheetId="3">'POSITIONING-OFR1'!#REF!</definedName>
    <definedName name="DPDV_03PO1" localSheetId="17">'POSITIONING-OFR1'!#REF!</definedName>
    <definedName name="DPDV_03PO1" localSheetId="16">'POSITIONING-OFR1'!#REF!</definedName>
    <definedName name="DPDV_03PO1">'POSITIONING-OFR1'!#REF!</definedName>
    <definedName name="DPDV_03PO2" localSheetId="115">'[1]03-POSITIONING-OFR2'!$A$26</definedName>
    <definedName name="DPDV_03PO2">'03-POSITIONING-OFR2'!$A$26</definedName>
    <definedName name="DPDV_03PO3" localSheetId="115">'[1]03-POSITIONING-OFR3'!$A$26</definedName>
    <definedName name="DPDV_03PO3">'03-POSITIONING-OFR3'!$A$26</definedName>
    <definedName name="DPDV_04GF1" localSheetId="115">[1]DOMESTICMARKET!$A$25</definedName>
    <definedName name="DPDV_04GF1">DOMESTICMARKET!$A$25</definedName>
    <definedName name="DPDV_04GF2" localSheetId="115">'[1]04-DOMESTICMARKET-OFR2'!$A$23</definedName>
    <definedName name="DPDV_04GF2">'04-DOMESTICMARKET-OFR2'!$A$23</definedName>
    <definedName name="DPDV_04GF3" localSheetId="115">'[1]04-DOMESTICMARKET-OFR3'!$A$23</definedName>
    <definedName name="DPDV_04GF3">'04-DOMESTICMARKET-OFR3'!$A$23</definedName>
    <definedName name="DPDV_04GI1" localSheetId="115">[1]FOREIGNMARKET!$A$23</definedName>
    <definedName name="DPDV_04GI1">FOREIGNMARKET!$A$23</definedName>
    <definedName name="DPDV_04GI2" localSheetId="115">'[1]04-FOREIGNMARKET-OFR2'!$A$21</definedName>
    <definedName name="DPDV_04GI2">'04-FOREIGNMARKET-OFR2'!$A$21</definedName>
    <definedName name="DPDV_04GI3" localSheetId="115">'[1]04-FOREIGNMARKET-OFR3'!$A$21</definedName>
    <definedName name="DPDV_04GI3">'04-FOREIGNMARKET-OFR3'!$A$21</definedName>
    <definedName name="DPDV_04ME" localSheetId="115">[1]MARKETSPECIFICITIES!#REF!</definedName>
    <definedName name="DPDV_04ME" localSheetId="3">MARKETSPECIFICITIES!#REF!</definedName>
    <definedName name="DPDV_04ME" localSheetId="17">MARKETSPECIFICITIES!#REF!</definedName>
    <definedName name="DPDV_04ME" localSheetId="16">MARKETSPECIFICITIES!#REF!</definedName>
    <definedName name="DPDV_04ME">MARKETSPECIFICITIES!#REF!</definedName>
    <definedName name="DPDV_04SC1" localSheetId="115">[1]SECTORMARKET!$A$24</definedName>
    <definedName name="DPDV_04SC1" localSheetId="17">SECTORMARKET!#REF!</definedName>
    <definedName name="DPDV_04SC1" localSheetId="16">SECTORMARKET!#REF!</definedName>
    <definedName name="DPDV_04SC1">SECTORMARKET!#REF!</definedName>
    <definedName name="DPDV_04SC2" localSheetId="115">'[1]04-SECTORMARKET-OFR2'!$A$25</definedName>
    <definedName name="DPDV_04SC2">'04-SECTORMARKET-OFR2'!$A$25</definedName>
    <definedName name="DPDV_04SC3" localSheetId="115">'[1]04-SECTORMARKET-OFR3'!$A$25</definedName>
    <definedName name="DPDV_04SC3">'04-SECTORMARKET-OFR3'!$A$25</definedName>
    <definedName name="DPDV_05CT1" localSheetId="115">'[1]05-CHANNELTEAM-OFR1'!$A$16</definedName>
    <definedName name="DPDV_05CT1">'05-CHANNELTEAM-OFR1'!$A$16</definedName>
    <definedName name="DPDV_05CT2" localSheetId="115">'[1]05-CHANNELTEAM-OFR2'!$A$16</definedName>
    <definedName name="DPDV_05CT2">'05-CHANNELTEAM-OFR2'!$A$16</definedName>
    <definedName name="DPDV_05CT3" localSheetId="115">'[1]05-CHANNELTEAM-OFR3'!$A$16</definedName>
    <definedName name="DPDV_05CT3">'05-CHANNELTEAM-OFR3'!$A$16</definedName>
    <definedName name="DPDV_05GM" localSheetId="115">'[1]05-GOTOMARKET'!$A$25</definedName>
    <definedName name="DPDV_05GM">'05-GOTOMARKET'!$A$25</definedName>
    <definedName name="DPDV_05SC" localSheetId="115">'[1]05-SOURCECONFLICT'!$A$29</definedName>
    <definedName name="DPDV_05SC">'05-SOURCECONFLICT'!$A$29</definedName>
    <definedName name="DPDV_05ST">'[3]05-SALESTERRITORIES'!$A$21</definedName>
    <definedName name="DPDV_06PP1" localSheetId="115">[1]PROFILPARTNER!$A$108</definedName>
    <definedName name="DPDV_06PP1">PROFILPARTNER!$A$108</definedName>
    <definedName name="DPDV_06PP2" localSheetId="115">'[1]06-PROFILPARTNER-OFR2'!$A$111</definedName>
    <definedName name="DPDV_06PP2">'06-PROFILPARTNER-OFR2'!$A$111</definedName>
    <definedName name="DPDV_06PP3" localSheetId="115">'[1]06-PROFILPARTNER-OFR3'!$A$29</definedName>
    <definedName name="DPDV_06PP3">'06-PROFILPARTNER-OFR3'!$A$29</definedName>
    <definedName name="DPDV_06RP1" localSheetId="115">'[1]06-RESPONSABPARTNER-OFR1'!$A$33</definedName>
    <definedName name="DPDV_06RP1">RESPONSABPARTNER!$A$23</definedName>
    <definedName name="DPDV_06RP2" localSheetId="115">'[1]06-RESPONSABPARTNER-OFR2'!$A$33</definedName>
    <definedName name="DPDV_06RP2">'06-RESPONSABPARTNER-OFR2'!$A$33</definedName>
    <definedName name="DPDV_06RP3" localSheetId="115">'[1]06-RESPONSABPARTNER-OFR3'!$A$33</definedName>
    <definedName name="DPDV_06RP3">'06-RESPONSABPARTNER-OFR3'!$A$33</definedName>
    <definedName name="DPDV_06TP1" localSheetId="115">[1]TYPOPARTNER!$A$29</definedName>
    <definedName name="DPDV_06TP1">TYPOPARTNER!$A$29</definedName>
    <definedName name="DPDV_06TP2" localSheetId="115">'[1]06-TYPOPARTNER-OFR2'!$A$31</definedName>
    <definedName name="DPDV_06TP2">'06-TYPOPARTNER-OFR2'!$A$31</definedName>
    <definedName name="DPDV_06TP3" localSheetId="115">'[1]06-TYPOPARTNER-OFR3'!$A$31</definedName>
    <definedName name="DPDV_06TP3">'06-TYPOPARTNER-OFR3'!$A$31</definedName>
    <definedName name="DPDV_07DC1" localSheetId="115">'[1]07-RECRUITMENTPLAN-OFR1'!$A$30</definedName>
    <definedName name="DPDV_07DC1">'07-RECRUITMENTPLAN-OFR1'!$A$30</definedName>
    <definedName name="DPDV_07DC2" localSheetId="115">'[1]07-RECRUITMENTPLAN-OFR2'!$A$32</definedName>
    <definedName name="DPDV_07DC2">'07-RECRUITMENTPLAN-OFR2'!$A$32</definedName>
    <definedName name="DPDV_07DC3" localSheetId="115">'[1]07-RECRUITMENTPLAN-OFR3'!$A$32</definedName>
    <definedName name="DPDV_07DC3">'07-RECRUITMENTPLAN-OFR3'!$A$32</definedName>
    <definedName name="DPDV_07FS" localSheetId="115">[1]FASTSTART!#REF!</definedName>
    <definedName name="DPDV_07FS" localSheetId="3">'PLAN D''ACTIONS'!#REF!</definedName>
    <definedName name="DPDV_07FS" localSheetId="17">'PLAN D''ACTIONS'!#REF!</definedName>
    <definedName name="DPDV_07FS" localSheetId="16">'PLAN D''ACTIONS'!#REF!</definedName>
    <definedName name="DPDV_07FS">'PLAN D''ACTIONS'!#REF!</definedName>
    <definedName name="DPDV_08SP" localSheetId="115">[1]PRICINGSTRATEGY!$A$59</definedName>
    <definedName name="DPDV_08SP">PRICINGSTRATEGY!$A$59</definedName>
    <definedName name="DPDV_08SR" localSheetId="115">'[1]08-DISCOUNTSTRATEGY'!$A$33</definedName>
    <definedName name="DPDV_08SR">'08-DISCOUNTSTRATEGY'!$A$33</definedName>
    <definedName name="DPDV_08VA1" localSheetId="115">'[1]08-VALUEAD4PARTNER-OFR1'!$A$49</definedName>
    <definedName name="DPDV_08VA1">'08-VALUEAD4PARTNER-OFR1'!$A$49</definedName>
    <definedName name="DPDV_08VA2" localSheetId="115">'[1]08-VALUEAD4PARTNER-OFR2'!$A$49</definedName>
    <definedName name="DPDV_08VA2">'08-VALUEAD4PARTNER-OFR2'!$A$49</definedName>
    <definedName name="DPDV_08VA3" localSheetId="115">'[1]08-VALUEAD4PARTNER-OFR3'!$A$49</definedName>
    <definedName name="DPDV_08VA3">'08-VALUEAD4PARTNER-OFR3'!$A$49</definedName>
    <definedName name="DPDV_09PP1" localSheetId="115">'[1]09-PROFITPARTNER-OFR1'!$A$166</definedName>
    <definedName name="DPDV_09PP1" localSheetId="67">'09-PROFITPARTNER-OFR2'!$A$162</definedName>
    <definedName name="DPDV_09PP1" localSheetId="70">'09-PROFITPARTNER-OFR3'!$A$160</definedName>
    <definedName name="DPDV_09PP1">'09-PROFITPARTNER-OFR1'!$A$166</definedName>
    <definedName name="DPDV_09PP2" localSheetId="115">'[1]09-PROFITPARTNER-OFR2'!$A$162</definedName>
    <definedName name="DPDV_09PP2">'09-PROFITPARTNER-OFR2'!$A$162</definedName>
    <definedName name="DPDV_09PP3" localSheetId="115">'[1]09-PROFITPARTNER-OFR3'!$A$160</definedName>
    <definedName name="DPDV_09PP3">'09-PROFITPARTNER-OFR3'!$A$160</definedName>
    <definedName name="DPDV_10BP1" localSheetId="115">[1]BUDGETPROGRAM!$A$59</definedName>
    <definedName name="DPDV_10BP1">BUDGETPROGRAM!$A$59</definedName>
    <definedName name="DPDV_10BP2" localSheetId="115">'[1]10-BUDGETPROGRAM-OFR2'!$A$68</definedName>
    <definedName name="DPDV_10BP2">'10-BUDGETPROGRAM-OFR2'!$A$68</definedName>
    <definedName name="DPDV_10BP3" localSheetId="115">'[1]10-BUDGETPROGRAM-OFR3'!$A$68</definedName>
    <definedName name="DPDV_10BP3">'10-BUDGETPROGRAM-OFR3'!$A$68</definedName>
    <definedName name="DPDV_10FS">'[3]07-FASTSTART'!$A$82</definedName>
    <definedName name="DPDV_10PP" localSheetId="115">[1]PROGRAMPARTNER!#REF!</definedName>
    <definedName name="DPDV_10PP" localSheetId="3">PROGRAMPARTNER!#REF!</definedName>
    <definedName name="DPDV_10PP" localSheetId="17">PROGRAMPARTNER!#REF!</definedName>
    <definedName name="DPDV_10PP" localSheetId="16">PROGRAMPARTNER!#REF!</definedName>
    <definedName name="DPDV_10PP">PROGRAMPARTNER!#REF!</definedName>
    <definedName name="DPDV_10SK1" localSheetId="115">[1]PARTNERSALESKIT!#REF!</definedName>
    <definedName name="DPDV_10SK1" localSheetId="3">PARTNERSALESKIT!#REF!</definedName>
    <definedName name="DPDV_10SK1" localSheetId="17">PARTNERSALESKIT!#REF!</definedName>
    <definedName name="DPDV_10SK1" localSheetId="16">PARTNERSALESKIT!#REF!</definedName>
    <definedName name="DPDV_10SK1">PARTNERSALESKIT!#REF!</definedName>
    <definedName name="DPDV_10SK2" localSheetId="115">'[1]10-PARTNERSALESKIT-OFR2'!$A$84</definedName>
    <definedName name="DPDV_10SK2">'10-PARTNERSALESKIT-OFR2'!$A$84</definedName>
    <definedName name="DPDV_10SK3" localSheetId="115">'[1]10-PARTNERSALESKIT-OFR3'!$A$84</definedName>
    <definedName name="DPDV_10SK3">'10-PARTNERSALESKIT-OFR3'!$A$84</definedName>
    <definedName name="DPDV_10TL1" localSheetId="115">'[1]10-LEADSCOVERAGE-OFR1'!$A$20</definedName>
    <definedName name="DPDV_10TL1">'10-LEADSCOVERAGE-OFR1'!$A$20</definedName>
    <definedName name="DPDV_10TL2" localSheetId="115">'[1]10-LEADSCOVERAGE-OFR2'!$A$20</definedName>
    <definedName name="DPDV_10TL2">'10-LEADSCOVERAGE-OFR2'!$A$20</definedName>
    <definedName name="DPDV_10TL3" localSheetId="115">'[1]10-LEADSCOVERAGE-OFR3'!$A$20</definedName>
    <definedName name="DPDV_10TL3">'10-LEADSCOVERAGE-OFR3'!$A$20</definedName>
    <definedName name="DPDV_11FC" localSheetId="115">[1]CRITICALFACTORS!$A$67</definedName>
    <definedName name="DPDV_11FC">CRITICALFACTORS!$A$66</definedName>
    <definedName name="DPDV_11SW">EVALUATION!$A$58</definedName>
    <definedName name="DPDVGI3">'04-FOREIGNMARKET-OFR3'!$A$21</definedName>
    <definedName name="DPKI_02VA3">'08-VALUEAD4PARTNER-OFR3'!$A$55</definedName>
    <definedName name="DPKI_03BK2">'03-MARKETREADY-OFR2'!$A$75</definedName>
    <definedName name="DPKI_08VA2">'08-VALUEAD4PARTNER-OFR2'!$A$55</definedName>
    <definedName name="KPI_NBmini" localSheetId="115">[1]Parametre!$A$40</definedName>
    <definedName name="KPI_NBmini">Parametre!$A$40</definedName>
    <definedName name="KPI_s">'02-CHANNELCAPACITY-SAAS-OFR2'!$P$2</definedName>
    <definedName name="NbAnVision" localSheetId="115">'[1]00-PARAMETERS'!$E$9</definedName>
    <definedName name="NbAnVision" localSheetId="17">'[2]00-PARAMETERS'!$E$9</definedName>
    <definedName name="NbAnVision" localSheetId="16">'[2]00-PARAMETERS'!$E$9</definedName>
    <definedName name="NbAnVision" localSheetId="15">'[2]00-PARAMETERS'!$E$9</definedName>
    <definedName name="NbAnVision" localSheetId="114">'[2]00-PARAMETERS'!$E$9</definedName>
    <definedName name="NbAnVision">'00-PARAMETERS'!$E$9</definedName>
    <definedName name="NbProduit" localSheetId="115">'[1]00-PARAMETERS'!$E$11</definedName>
    <definedName name="NbProduit">'00-PARAMETERS'!$E$11</definedName>
    <definedName name="NomClient" localSheetId="115">[1]Parametre!$B$19</definedName>
    <definedName name="NomClient">Parametre!$B$19</definedName>
    <definedName name="NomProd1" localSheetId="115">'[1]00-PARAMETERS'!$E$12</definedName>
    <definedName name="NomProd1">'00-PARAMETERS'!$E$12</definedName>
    <definedName name="NomProd2" localSheetId="115">'[1]00-PARAMETERS'!$E$13</definedName>
    <definedName name="NomProd2">'00-PARAMETERS'!$E$13</definedName>
    <definedName name="NomProd3" localSheetId="115">'[1]00-PARAMETERS'!$E$14</definedName>
    <definedName name="NomProd3">'00-PARAMETERS'!$E$14</definedName>
    <definedName name="PdV">'02-BUSINESS4PARTNER-OFR2'!$O$2</definedName>
    <definedName name="PDV_NBmini" localSheetId="115">[1]Parametre!$A$37</definedName>
    <definedName name="PDV_NBmini">Parametre!$A$37</definedName>
    <definedName name="Tableau_du_CA_service_des_partenaires.__Par_canal_de_vente__le_rapport_CA_partenaire___CA_fournisseur">'02-BUSINESS4PARTNER-OFR2'!$A$130</definedName>
    <definedName name="ThemesAbrev">Parametre!$C$22:$C$34</definedName>
    <definedName name="TrigramActeur" localSheetId="115">'[1]00-ACTORS'!$A$8:$A$14</definedName>
    <definedName name="TrigramActeur" localSheetId="3">ACTORS!$A$8:$A$22</definedName>
    <definedName name="TrigramActeur" localSheetId="17">'KEY FIGURES'!#REF!</definedName>
    <definedName name="TrigramActeur" localSheetId="16">'KEY FIGURES'!#REF!</definedName>
    <definedName name="TrigramActeur">'KEY FIGURES'!#REF!</definedName>
    <definedName name="_xlnm.Print_Area" localSheetId="115">' SWOT PARTNERSHIP'!$A$1:$P$48</definedName>
    <definedName name="_xlnm.Print_Area" localSheetId="93">'02-BUSINESS4PARTNER-OFR1'!$A$1:$Q$103</definedName>
    <definedName name="_xlnm.Print_Area" localSheetId="64">'02-BUSINESS4PARTNER-OFR2'!$A$1:$Q$158</definedName>
    <definedName name="_xlnm.Print_Area" localSheetId="86">'02-BUSINESS4PARTNER-OFR3'!$A$1:$Q$185</definedName>
    <definedName name="_xlnm.Print_Area" localSheetId="42">'02-CHANNELCAPACITY-LIC-OFR1'!$A$1:$R$104</definedName>
    <definedName name="_xlnm.Print_Area" localSheetId="66">'02-CHANNELCAPACITY-LIC-OFR2'!$A$1:$R$104</definedName>
    <definedName name="_xlnm.Print_Area" localSheetId="88">'02-CHANNELCAPACITY-LIC-OFR3'!$A$1:$R$104</definedName>
    <definedName name="_xlnm.Print_Area" localSheetId="92">'02-CHANNELCAPACITY-SAAS-OFR1'!$A$1:$R$157</definedName>
    <definedName name="_xlnm.Print_Area" localSheetId="65">'02-CHANNELCAPACITY-SAAS-OFR2'!$A$1:$R$98</definedName>
    <definedName name="_xlnm.Print_Area" localSheetId="87">'02-CHANNELCAPACITY-SAAS-OFR3'!$A$1:$R$98</definedName>
    <definedName name="_xlnm.Print_Area" localSheetId="89">'02-CHANNELSTRATEGY'!$A$1:$P$120</definedName>
    <definedName name="_xlnm.Print_Area" localSheetId="63">'02-SALESPLAN-OFR2'!$A$1:$S$175</definedName>
    <definedName name="_xlnm.Print_Area" localSheetId="85">'02-SALESPLAN-OFR3'!$A$1:$S$175</definedName>
    <definedName name="_xlnm.Print_Area" localSheetId="49">'03-BUSINESSCARD-OFR2'!$A$1:$P$136</definedName>
    <definedName name="_xlnm.Print_Area" localSheetId="69">'03-BUSINESSCARD-OFR3'!$A$1:$P$137</definedName>
    <definedName name="_xlnm.Print_Area" localSheetId="54">'03-CHANNELREADY-OFR2'!$A$1:$P$5</definedName>
    <definedName name="_xlnm.Print_Area" localSheetId="75">'03-CHANNELREADY-OFR3'!$A$1:$P$5</definedName>
    <definedName name="_xlnm.Print_Area" localSheetId="53">'03-COMPETITION-OFR2'!$A$1:$P$67</definedName>
    <definedName name="_xlnm.Print_Area" localSheetId="74">'03-COMPETITION-OFR3'!$A$1:$P$67</definedName>
    <definedName name="_xlnm.Print_Area" localSheetId="52">'03-CRITICITY-OFR2'!$A$1:$U$43</definedName>
    <definedName name="_xlnm.Print_Area" localSheetId="73">'03-CRITICITY-OFR3'!$A$1:$U$44</definedName>
    <definedName name="_xlnm.Print_Area" localSheetId="90">'03-MARKETREADY-OFR1'!$A$1:$S$119</definedName>
    <definedName name="_xlnm.Print_Area" localSheetId="50">'03-MARKETREADY-OFR2'!$A$1:$S$80</definedName>
    <definedName name="_xlnm.Print_Area" localSheetId="71">'03-MARKETREADY-OFR3'!$A$1:$S$81</definedName>
    <definedName name="_xlnm.Print_Area" localSheetId="51">'03-POSITIONING-OFR2'!$A$1:$U$44</definedName>
    <definedName name="_xlnm.Print_Area" localSheetId="72">'03-POSITIONING-OFR3'!$A$1:$U$44</definedName>
    <definedName name="_xlnm.Print_Area" localSheetId="56">'04-DOMESTICMARKET-OFR2'!$A$1:$AA$47</definedName>
    <definedName name="_xlnm.Print_Area" localSheetId="78">'04-DOMESTICMARKET-OFR3'!$A$1:$AA$46</definedName>
    <definedName name="_xlnm.Print_Area" localSheetId="57">'04-FOREIGNMARKET-OFR2'!$A$1:$AA$44</definedName>
    <definedName name="_xlnm.Print_Area" localSheetId="77">'04-FOREIGNMARKET-OFR3'!$A$1:$AA$44</definedName>
    <definedName name="_xlnm.Print_Area" localSheetId="55">'04-SECTORMARKET-OFR2'!$A$1:$AA$48</definedName>
    <definedName name="_xlnm.Print_Area" localSheetId="76">'04-SECTORMARKET-OFR3'!$A$1:$AA$48</definedName>
    <definedName name="_xlnm.Print_Area" localSheetId="100">'05-CHANNELTEAM-OFR1'!$A$1:$Q$26</definedName>
    <definedName name="_xlnm.Print_Area" localSheetId="40">'05-CHANNELTEAM-OFR2'!$A$1:$Q$26</definedName>
    <definedName name="_xlnm.Print_Area" localSheetId="41">'05-CHANNELTEAM-OFR3'!$A$1:$Q$26</definedName>
    <definedName name="_xlnm.Print_Area" localSheetId="99">'05-GOTOMARKET'!$A$1:$Q$35</definedName>
    <definedName name="_xlnm.Print_Area" localSheetId="60">'06-PROFILPARTNER-OFR2'!$A$1:$Q$8</definedName>
    <definedName name="_xlnm.Print_Area" localSheetId="81">'06-PROFILPARTNER-OFR3'!$A$1:$Q$39</definedName>
    <definedName name="_xlnm.Print_Area" localSheetId="59">'06-RESPONSABPARTNER-OFR2'!$A$1:$S$56</definedName>
    <definedName name="_xlnm.Print_Area" localSheetId="80">'06-RESPONSABPARTNER-OFR3'!$A$1:$S$56</definedName>
    <definedName name="_xlnm.Print_Area" localSheetId="58">'06-TYPOPARTNER-OFR2'!$A$1:$Q$42</definedName>
    <definedName name="_xlnm.Print_Area" localSheetId="79">'06-TYPOPARTNER-OFR3'!$A$1:$Q$42</definedName>
    <definedName name="_xlnm.Print_Area" localSheetId="94">'07-RECRUITMENTPLAN-OFR1'!$A$1:$P$40</definedName>
    <definedName name="_xlnm.Print_Area" localSheetId="62">'07-RECRUITMENTPLAN-OFR2'!$A$1:$P$42</definedName>
    <definedName name="_xlnm.Print_Area" localSheetId="82">'07-RECRUITMENTPLAN-OFR3'!$A$1:$P$42</definedName>
    <definedName name="_xlnm.Print_Area" localSheetId="108">'08-DISCOUNTSTRATEGY'!$A$1:$P$43</definedName>
    <definedName name="_xlnm.Print_Area" localSheetId="101">'08-VALUEAD4PARTNER-OFR1'!$A$1:$P$99</definedName>
    <definedName name="_xlnm.Print_Area" localSheetId="61">'08-VALUEAD4PARTNER-OFR2'!$A$1:$P$98</definedName>
    <definedName name="_xlnm.Print_Area" localSheetId="84">'08-VALUEAD4PARTNER-OFR3'!$A$1:$P$99</definedName>
    <definedName name="_xlnm.Print_Area" localSheetId="105">'09-PROFITPARTNER-OFR1'!$A$1:$P$6</definedName>
    <definedName name="_xlnm.Print_Area" localSheetId="67">'09-PROFITPARTNER-OFR2'!$A$1:$P$6</definedName>
    <definedName name="_xlnm.Print_Area" localSheetId="70">'09-PROFITPARTNER-OFR3'!$A$1:$P$6</definedName>
    <definedName name="_xlnm.Print_Area" localSheetId="35">'10-BUDGETPROGRAM-OFR2'!$A$1:$U$78</definedName>
    <definedName name="_xlnm.Print_Area" localSheetId="36">'10-BUDGETPROGRAM-OFR3'!$A$1:$U$78</definedName>
    <definedName name="_xlnm.Print_Area" localSheetId="107">'10-LEADSCOVERAGE-OFR1'!$A$1:$Q$40</definedName>
    <definedName name="_xlnm.Print_Area" localSheetId="68">'10-LEADSCOVERAGE-OFR2'!$A$1:$Q$40</definedName>
    <definedName name="_xlnm.Print_Area" localSheetId="83">'10-LEADSCOVERAGE-OFR3'!$A$1:$Q$39</definedName>
    <definedName name="_xlnm.Print_Area" localSheetId="44">'10-PARTNERSALESKIT-OFR2'!$A$1:$Q$94</definedName>
    <definedName name="_xlnm.Print_Area" localSheetId="45">'10-PARTNERSALESKIT-OFR3'!$A$1:$Q$94</definedName>
    <definedName name="_xlnm.Print_Area" localSheetId="112">'11-GUIDE4VALUEPROP'!$A$1:$O$42</definedName>
    <definedName name="_xlnm.Print_Area" localSheetId="111">'11-KPIsFOLLOWUP'!$A$1:$P$99</definedName>
    <definedName name="_xlnm.Print_Area" localSheetId="3">ACTORS!$A$1:$Q$23</definedName>
    <definedName name="_xlnm.Print_Area" localSheetId="5">'ADDED VALUE'!$A$1:$P$54</definedName>
    <definedName name="_xlnm.Print_Area" localSheetId="47">BUDGETPROGRAM!$A$1:$U$69</definedName>
    <definedName name="_xlnm.Print_Area" localSheetId="7">BUSINESSCARD!$A$1:$P$118</definedName>
    <definedName name="_xlnm.Print_Area" localSheetId="26">CHANNELREADY!$A$1:$P$78</definedName>
    <definedName name="_xlnm.Print_Area" localSheetId="2">CHRONO!$A$1:$J$27</definedName>
    <definedName name="_xlnm.Print_Area" localSheetId="11">COMPETITION!$A$1:$P$67</definedName>
    <definedName name="_xlnm.Print_Area" localSheetId="20">CRITICALFACTORS!$A$1:$P$125</definedName>
    <definedName name="_xlnm.Print_Area" localSheetId="118">CRITICITY!$A$1:$U$50</definedName>
    <definedName name="_xlnm.Print_Area" localSheetId="28">DOMESTICMARKET!$A$1:$AA$47</definedName>
    <definedName name="_xlnm.Print_Area" localSheetId="23">EVALUATION!$A$1:$P$62</definedName>
    <definedName name="_xlnm.Print_Area" localSheetId="116">EXPECTATIONS!$A$1:$P$53</definedName>
    <definedName name="_xlnm.Print_Area" localSheetId="29">FOREIGNMARKET!$A$1:$AA$46</definedName>
    <definedName name="_xlnm.Print_Area" localSheetId="19">GOVERNANCE!$A$1:$Q$125</definedName>
    <definedName name="_xlnm.Print_Area" localSheetId="113">INPROGRESS!$A$1:$P$136</definedName>
    <definedName name="_xlnm.Print_Area" localSheetId="25">INTERLOCUTORS!$A$1:$AA$19</definedName>
    <definedName name="_xlnm.Print_Area" localSheetId="4">'KEY FIGURES'!$A$1:$Q$66</definedName>
    <definedName name="_xlnm.Print_Area" localSheetId="119">MARKETSPECIFICITIES!$A$1:$P$21</definedName>
    <definedName name="_xlnm.Print_Area" localSheetId="0">METHODOLOGY!$A$1:$L$38</definedName>
    <definedName name="_xlnm.Print_Area" localSheetId="39">PARTNERSALESKIT!$A$1:$Q$89</definedName>
    <definedName name="_xlnm.Print_Area" localSheetId="18">'PLAN D''ACTIONS'!$A$1:$S$93</definedName>
    <definedName name="_xlnm.Print_Area" localSheetId="6">'POSITIONING-OFR1'!$A$1:$U$55</definedName>
    <definedName name="_xlnm.Print_Area" localSheetId="43">PRICINGSTRATEGY!$A$1:$P$69</definedName>
    <definedName name="_xlnm.Print_Area" localSheetId="31">PROFILPARTNER!$A$1:$Q$118</definedName>
    <definedName name="_xlnm.Print_Area" localSheetId="46">PROGRAMPARTNER!$A$1:$Q$111</definedName>
    <definedName name="_xlnm.Print_Area" localSheetId="9">RESPONSABPARTNER!$A$1:$Q$46</definedName>
    <definedName name="_xlnm.Print_Area" localSheetId="13">'SALESPLAN 3Y'!$A$1:$S$57</definedName>
    <definedName name="_xlnm.Print_Area" localSheetId="10">SECTORMARKET!$A$1:$AA$46</definedName>
    <definedName name="_xlnm.Print_Area" localSheetId="1">SUMMARY!$A$1:$L$19</definedName>
    <definedName name="_xlnm.Print_Area" localSheetId="24">SWOT!$A$1:$P$48</definedName>
    <definedName name="_xlnm.Print_Area" localSheetId="22">TODO!$A$1:$Q$154</definedName>
    <definedName name="_xlnm.Print_Area" localSheetId="30">TYPOPARTNER!$A$1:$Q$40</definedName>
    <definedName name="_xlnm.Print_Area" localSheetId="12">VISION!$A$1:$P$68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1" i="11" l="1"/>
  <c r="G11" i="11"/>
  <c r="P18" i="223"/>
  <c r="P17" i="223"/>
  <c r="P16" i="223"/>
  <c r="P15" i="223"/>
  <c r="N14" i="223"/>
  <c r="N12" i="223" s="1"/>
  <c r="L14" i="223"/>
  <c r="L12" i="223" s="1"/>
  <c r="J14" i="223"/>
  <c r="J12" i="223" s="1"/>
  <c r="H14" i="223"/>
  <c r="P10" i="223"/>
  <c r="O10" i="223"/>
  <c r="A4" i="223"/>
  <c r="D2" i="223"/>
  <c r="H60" i="222"/>
  <c r="I60" i="222"/>
  <c r="J60" i="222"/>
  <c r="K60" i="222"/>
  <c r="L60" i="222"/>
  <c r="M60" i="222"/>
  <c r="N60" i="222"/>
  <c r="O60" i="222"/>
  <c r="P60" i="222"/>
  <c r="G60" i="222"/>
  <c r="P42" i="219"/>
  <c r="P31" i="222"/>
  <c r="M31" i="222"/>
  <c r="K31" i="222"/>
  <c r="I31" i="222"/>
  <c r="G31" i="222"/>
  <c r="P27" i="222"/>
  <c r="O27" i="222"/>
  <c r="P26" i="222"/>
  <c r="Q26" i="222" s="1"/>
  <c r="O26" i="222"/>
  <c r="P23" i="222"/>
  <c r="O23" i="222"/>
  <c r="P22" i="222"/>
  <c r="O22" i="222"/>
  <c r="P21" i="222"/>
  <c r="O21" i="222"/>
  <c r="P20" i="222"/>
  <c r="Q20" i="222" s="1"/>
  <c r="O20" i="222"/>
  <c r="P17" i="222"/>
  <c r="P16" i="222"/>
  <c r="P15" i="222"/>
  <c r="P14" i="222"/>
  <c r="N13" i="222"/>
  <c r="L13" i="222"/>
  <c r="L11" i="222" s="1"/>
  <c r="J13" i="222"/>
  <c r="J11" i="222" s="1"/>
  <c r="H13" i="222"/>
  <c r="N11" i="222"/>
  <c r="P9" i="222"/>
  <c r="O9" i="222"/>
  <c r="A4" i="222"/>
  <c r="D2" i="222"/>
  <c r="P26" i="219"/>
  <c r="P27" i="219"/>
  <c r="O27" i="219"/>
  <c r="O26" i="219"/>
  <c r="P20" i="219"/>
  <c r="P21" i="219"/>
  <c r="P22" i="219"/>
  <c r="P23" i="219"/>
  <c r="O21" i="219"/>
  <c r="O22" i="219"/>
  <c r="O23" i="219"/>
  <c r="O20" i="219"/>
  <c r="M31" i="219"/>
  <c r="K31" i="219"/>
  <c r="I31" i="219"/>
  <c r="G31" i="219"/>
  <c r="N13" i="219"/>
  <c r="N11" i="219" s="1"/>
  <c r="L13" i="219"/>
  <c r="L11" i="219" s="1"/>
  <c r="J13" i="219"/>
  <c r="J11" i="219" s="1"/>
  <c r="H13" i="219"/>
  <c r="H11" i="219" s="1"/>
  <c r="F53" i="76"/>
  <c r="Q23" i="219" l="1"/>
  <c r="P14" i="223"/>
  <c r="R10" i="223"/>
  <c r="Q10" i="223"/>
  <c r="H12" i="223"/>
  <c r="P12" i="223" s="1"/>
  <c r="Q23" i="222"/>
  <c r="P13" i="222"/>
  <c r="Q21" i="222"/>
  <c r="R9" i="222"/>
  <c r="H11" i="222"/>
  <c r="P11" i="222" s="1"/>
  <c r="Q9" i="222"/>
  <c r="Q22" i="222"/>
  <c r="Q27" i="222"/>
  <c r="O31" i="222"/>
  <c r="Q31" i="222" s="1"/>
  <c r="Q22" i="219"/>
  <c r="Q21" i="219"/>
  <c r="Q20" i="219"/>
  <c r="Q27" i="219"/>
  <c r="Q26" i="219"/>
  <c r="P11" i="219"/>
  <c r="M36" i="219"/>
  <c r="O36" i="219" s="1"/>
  <c r="K36" i="219"/>
  <c r="I36" i="219"/>
  <c r="G36" i="219"/>
  <c r="P36" i="219"/>
  <c r="R31" i="222" l="1"/>
  <c r="H35" i="219" l="1"/>
  <c r="O35" i="219"/>
  <c r="P37" i="219"/>
  <c r="L35" i="219" l="1"/>
  <c r="J35" i="219"/>
  <c r="N35" i="219" l="1"/>
  <c r="P35" i="219" s="1"/>
  <c r="O37" i="219"/>
  <c r="O38" i="219" s="1"/>
  <c r="M38" i="219"/>
  <c r="K38" i="219"/>
  <c r="K42" i="219" s="1"/>
  <c r="I38" i="219"/>
  <c r="I42" i="219" s="1"/>
  <c r="G38" i="219"/>
  <c r="G42" i="219" s="1"/>
  <c r="P31" i="219"/>
  <c r="P14" i="219"/>
  <c r="P17" i="219"/>
  <c r="P16" i="219"/>
  <c r="P15" i="219"/>
  <c r="P9" i="219"/>
  <c r="O9" i="219"/>
  <c r="I16" i="11"/>
  <c r="G22" i="11"/>
  <c r="G21" i="11" s="1"/>
  <c r="G20" i="11" s="1"/>
  <c r="G19" i="11" s="1"/>
  <c r="G18" i="11" s="1"/>
  <c r="G17" i="11" s="1"/>
  <c r="G16" i="11" s="1"/>
  <c r="I54" i="11"/>
  <c r="G54" i="11"/>
  <c r="H4" i="11"/>
  <c r="Q9" i="219" l="1"/>
  <c r="M42" i="219"/>
  <c r="O42" i="219" s="1"/>
  <c r="O31" i="219"/>
  <c r="Q31" i="219" s="1"/>
  <c r="R9" i="219"/>
  <c r="R42" i="219" l="1"/>
  <c r="Q42" i="219"/>
  <c r="R31" i="219"/>
  <c r="G6" i="11"/>
  <c r="C63" i="39"/>
  <c r="C65" i="39"/>
  <c r="C64" i="39"/>
  <c r="C66" i="39" s="1"/>
  <c r="Z66" i="39"/>
  <c r="Y66" i="39"/>
  <c r="X66" i="39"/>
  <c r="W66" i="39"/>
  <c r="V66" i="39"/>
  <c r="U66" i="39"/>
  <c r="T66" i="39"/>
  <c r="S66" i="39"/>
  <c r="R66" i="39"/>
  <c r="Q66" i="39"/>
  <c r="P66" i="39"/>
  <c r="O66" i="39"/>
  <c r="N66" i="39"/>
  <c r="M66" i="39"/>
  <c r="L66" i="39"/>
  <c r="K66" i="39"/>
  <c r="J66" i="39"/>
  <c r="I66" i="39"/>
  <c r="H66" i="39"/>
  <c r="G66" i="39"/>
  <c r="F66" i="39"/>
  <c r="E66" i="39"/>
  <c r="C53" i="39"/>
  <c r="Z54" i="39"/>
  <c r="Y54" i="39"/>
  <c r="X54" i="39"/>
  <c r="W54" i="39"/>
  <c r="V54" i="39"/>
  <c r="U54" i="39"/>
  <c r="T54" i="39"/>
  <c r="S54" i="39"/>
  <c r="R54" i="39"/>
  <c r="Q54" i="39"/>
  <c r="P54" i="39"/>
  <c r="O54" i="39"/>
  <c r="N54" i="39"/>
  <c r="M54" i="39"/>
  <c r="L54" i="39"/>
  <c r="K54" i="39"/>
  <c r="J54" i="39"/>
  <c r="I54" i="39"/>
  <c r="H54" i="39"/>
  <c r="G54" i="39"/>
  <c r="F54" i="39"/>
  <c r="E54" i="39"/>
  <c r="D66" i="39" l="1"/>
  <c r="C51" i="39"/>
  <c r="C54" i="39" s="1"/>
  <c r="D54" i="39"/>
  <c r="H55" i="76" l="1"/>
  <c r="P2" i="221" l="1"/>
  <c r="O2" i="221"/>
  <c r="P2" i="220" l="1"/>
  <c r="O2" i="220"/>
  <c r="D2" i="220"/>
  <c r="C28" i="220"/>
  <c r="C34" i="220" s="1"/>
  <c r="C29" i="220"/>
  <c r="C30" i="220"/>
  <c r="C31" i="220"/>
  <c r="C32" i="220"/>
  <c r="C33" i="220"/>
  <c r="B34" i="220"/>
  <c r="K38" i="8"/>
  <c r="K39" i="8"/>
  <c r="K40" i="8"/>
  <c r="K41" i="8"/>
  <c r="K42" i="8"/>
  <c r="K43" i="8"/>
  <c r="K44" i="8"/>
  <c r="K45" i="8"/>
  <c r="K46" i="8"/>
  <c r="K47" i="8"/>
  <c r="K48" i="8"/>
  <c r="K49" i="8"/>
  <c r="K37" i="8"/>
  <c r="K32" i="8"/>
  <c r="K31" i="8"/>
  <c r="K30" i="8"/>
  <c r="K29" i="8"/>
  <c r="K28" i="8"/>
  <c r="K27" i="8"/>
  <c r="K26" i="8"/>
  <c r="A4" i="219"/>
  <c r="D2" i="219"/>
  <c r="K54" i="14" l="1"/>
  <c r="I54" i="14" s="1"/>
  <c r="K52" i="14"/>
  <c r="I52" i="14" s="1"/>
  <c r="K51" i="14"/>
  <c r="K22" i="14"/>
  <c r="I22" i="14" s="1"/>
  <c r="K11" i="14"/>
  <c r="I11" i="14" s="1"/>
  <c r="K12" i="14"/>
  <c r="I12" i="14" s="1"/>
  <c r="K13" i="14"/>
  <c r="I13" i="14" s="1"/>
  <c r="Z44" i="39"/>
  <c r="T44" i="39"/>
  <c r="Q44" i="39"/>
  <c r="P44" i="39"/>
  <c r="N44" i="39"/>
  <c r="M44" i="39"/>
  <c r="K44" i="39"/>
  <c r="J44" i="39"/>
  <c r="E44" i="39"/>
  <c r="D44" i="39"/>
  <c r="Z43" i="39"/>
  <c r="Y43" i="39"/>
  <c r="Y44" i="39" s="1"/>
  <c r="X43" i="39"/>
  <c r="X44" i="39" s="1"/>
  <c r="W43" i="39"/>
  <c r="W44" i="39" s="1"/>
  <c r="V43" i="39"/>
  <c r="V44" i="39" s="1"/>
  <c r="U43" i="39"/>
  <c r="U44" i="39" s="1"/>
  <c r="S43" i="39"/>
  <c r="S44" i="39" s="1"/>
  <c r="R43" i="39"/>
  <c r="R44" i="39" s="1"/>
  <c r="O43" i="39"/>
  <c r="O44" i="39" s="1"/>
  <c r="L43" i="39"/>
  <c r="L44" i="39" s="1"/>
  <c r="I43" i="39"/>
  <c r="I44" i="39" s="1"/>
  <c r="H43" i="39"/>
  <c r="H44" i="39" s="1"/>
  <c r="G43" i="39"/>
  <c r="G44" i="39" s="1"/>
  <c r="F43" i="39"/>
  <c r="F44" i="39" s="1"/>
  <c r="C42" i="39"/>
  <c r="C41" i="39"/>
  <c r="Z31" i="39"/>
  <c r="T31" i="39"/>
  <c r="Q31" i="39"/>
  <c r="P31" i="39"/>
  <c r="N31" i="39"/>
  <c r="M31" i="39"/>
  <c r="K31" i="39"/>
  <c r="J31" i="39"/>
  <c r="E31" i="39"/>
  <c r="D31" i="39"/>
  <c r="Y31" i="39"/>
  <c r="X31" i="39"/>
  <c r="W31" i="39"/>
  <c r="V31" i="39"/>
  <c r="U31" i="39"/>
  <c r="S31" i="39"/>
  <c r="R31" i="39"/>
  <c r="O31" i="39"/>
  <c r="L31" i="39"/>
  <c r="I31" i="39"/>
  <c r="H31" i="39"/>
  <c r="G31" i="39"/>
  <c r="F31" i="39"/>
  <c r="C29" i="39"/>
  <c r="C17" i="39"/>
  <c r="J20" i="39"/>
  <c r="K20" i="39"/>
  <c r="M20" i="39"/>
  <c r="Q20" i="39"/>
  <c r="T20" i="39"/>
  <c r="E20" i="39"/>
  <c r="D20" i="39"/>
  <c r="Z20" i="39"/>
  <c r="F20" i="39"/>
  <c r="G20" i="39"/>
  <c r="H20" i="39"/>
  <c r="I20" i="39"/>
  <c r="L20" i="39"/>
  <c r="N20" i="39"/>
  <c r="O20" i="39"/>
  <c r="P20" i="39"/>
  <c r="R20" i="39"/>
  <c r="S20" i="39"/>
  <c r="U20" i="39"/>
  <c r="V20" i="39"/>
  <c r="W20" i="39"/>
  <c r="X20" i="39"/>
  <c r="Y20" i="39"/>
  <c r="A35" i="39"/>
  <c r="C18" i="39"/>
  <c r="A12" i="39"/>
  <c r="C44" i="39" l="1"/>
  <c r="C43" i="39"/>
  <c r="C20" i="39"/>
  <c r="C31" i="39"/>
  <c r="C30" i="39"/>
  <c r="C19" i="39"/>
  <c r="R7" i="217" l="1"/>
  <c r="D2" i="217"/>
  <c r="G36" i="76" l="1"/>
  <c r="G40" i="76" s="1"/>
  <c r="G45" i="76" s="1"/>
  <c r="H46" i="76" s="1"/>
  <c r="K14" i="8"/>
  <c r="K15" i="8"/>
  <c r="K16" i="8"/>
  <c r="K17" i="8"/>
  <c r="K18" i="8"/>
  <c r="K19" i="8"/>
  <c r="K20" i="8"/>
  <c r="K21" i="8"/>
  <c r="K22" i="8"/>
  <c r="K13" i="8"/>
  <c r="K12" i="8"/>
  <c r="G47" i="76" l="1"/>
  <c r="G60" i="76" s="1"/>
  <c r="H9" i="196" l="1"/>
  <c r="H17" i="196" s="1"/>
  <c r="G53" i="76"/>
  <c r="G59" i="76" s="1"/>
  <c r="G61" i="76" s="1"/>
  <c r="H34" i="36"/>
  <c r="J34" i="36"/>
  <c r="F34" i="36"/>
  <c r="I45" i="14"/>
  <c r="D23" i="77"/>
  <c r="D15" i="77"/>
  <c r="D14" i="77"/>
  <c r="D13" i="77"/>
  <c r="D12" i="77"/>
  <c r="F12" i="77" s="1"/>
  <c r="D11" i="77"/>
  <c r="F11" i="77" s="1"/>
  <c r="D10" i="77"/>
  <c r="D9" i="77"/>
  <c r="K44" i="76"/>
  <c r="J44" i="76"/>
  <c r="I44" i="76"/>
  <c r="H44" i="76"/>
  <c r="G44" i="76"/>
  <c r="H4" i="172"/>
  <c r="F29" i="172"/>
  <c r="K29" i="172"/>
  <c r="L101" i="172"/>
  <c r="L105" i="172" s="1"/>
  <c r="P7" i="71"/>
  <c r="O7" i="71"/>
  <c r="N7" i="71"/>
  <c r="M7" i="71"/>
  <c r="G6" i="172"/>
  <c r="M6" i="172" s="1"/>
  <c r="A119" i="74"/>
  <c r="A118" i="74"/>
  <c r="A116" i="74"/>
  <c r="F69" i="74"/>
  <c r="J69" i="74" s="1"/>
  <c r="B68" i="74"/>
  <c r="B72" i="74"/>
  <c r="K40" i="14"/>
  <c r="F70" i="74" s="1"/>
  <c r="J70" i="74" s="1"/>
  <c r="K41" i="14"/>
  <c r="F71" i="74" s="1"/>
  <c r="J71" i="74" s="1"/>
  <c r="K42" i="14"/>
  <c r="F72" i="74" s="1"/>
  <c r="J72" i="74" s="1"/>
  <c r="H44" i="74"/>
  <c r="H43" i="74"/>
  <c r="H42" i="74"/>
  <c r="H40" i="74"/>
  <c r="H37" i="74"/>
  <c r="F39" i="74"/>
  <c r="F40" i="74"/>
  <c r="B39" i="74"/>
  <c r="B40" i="74"/>
  <c r="B41" i="74"/>
  <c r="B42" i="74"/>
  <c r="B43" i="74"/>
  <c r="B44" i="74"/>
  <c r="B38" i="74"/>
  <c r="F59" i="74"/>
  <c r="K35" i="14"/>
  <c r="F60" i="74" s="1"/>
  <c r="K36" i="14"/>
  <c r="F61" i="74" s="1"/>
  <c r="F62" i="74"/>
  <c r="F66" i="74"/>
  <c r="K37" i="14"/>
  <c r="F67" i="74" s="1"/>
  <c r="K38" i="14"/>
  <c r="J6" i="36"/>
  <c r="H6" i="36"/>
  <c r="F6" i="36"/>
  <c r="P6" i="193"/>
  <c r="N6" i="193"/>
  <c r="L6" i="193"/>
  <c r="J6" i="193"/>
  <c r="H6" i="193"/>
  <c r="F6" i="193"/>
  <c r="D6" i="193"/>
  <c r="A17" i="71"/>
  <c r="A18" i="71"/>
  <c r="A19" i="71"/>
  <c r="H7" i="196"/>
  <c r="F10" i="77"/>
  <c r="F13" i="77"/>
  <c r="F15" i="77"/>
  <c r="F9" i="77"/>
  <c r="J45" i="77"/>
  <c r="I45" i="77"/>
  <c r="P45" i="77" s="1"/>
  <c r="H45" i="77"/>
  <c r="O45" i="77" s="1"/>
  <c r="G45" i="77"/>
  <c r="F45" i="77"/>
  <c r="M45" i="77" s="1"/>
  <c r="Q46" i="77"/>
  <c r="P46" i="77"/>
  <c r="O46" i="77"/>
  <c r="N46" i="77"/>
  <c r="M46" i="77"/>
  <c r="K46" i="77"/>
  <c r="A16" i="76"/>
  <c r="A22" i="28" s="1"/>
  <c r="A17" i="76"/>
  <c r="A53" i="77" s="1"/>
  <c r="R17" i="76"/>
  <c r="Q17" i="76"/>
  <c r="P17" i="76"/>
  <c r="O17" i="76"/>
  <c r="N17" i="76"/>
  <c r="L17" i="76"/>
  <c r="S17" i="76" s="1"/>
  <c r="F20" i="172"/>
  <c r="A25" i="77"/>
  <c r="A26" i="77"/>
  <c r="A27" i="77"/>
  <c r="A28" i="77"/>
  <c r="A29" i="77"/>
  <c r="A30" i="77"/>
  <c r="A31" i="77"/>
  <c r="A32" i="77"/>
  <c r="A33" i="77"/>
  <c r="A24" i="77"/>
  <c r="A46" i="77"/>
  <c r="F98" i="172"/>
  <c r="G93" i="172"/>
  <c r="F90" i="172"/>
  <c r="G85" i="172"/>
  <c r="F82" i="172"/>
  <c r="G77" i="172"/>
  <c r="G16" i="71" s="1"/>
  <c r="G78" i="172"/>
  <c r="F74" i="172"/>
  <c r="G69" i="172"/>
  <c r="G70" i="172" s="1"/>
  <c r="F66" i="172"/>
  <c r="G61" i="172"/>
  <c r="G62" i="172" s="1"/>
  <c r="F58" i="172"/>
  <c r="G53" i="172"/>
  <c r="F50" i="172"/>
  <c r="G45" i="172"/>
  <c r="K41" i="77"/>
  <c r="K39" i="77"/>
  <c r="A12" i="76"/>
  <c r="A48" i="77" s="1"/>
  <c r="A13" i="76"/>
  <c r="A15" i="172" s="1"/>
  <c r="A14" i="76"/>
  <c r="A20" i="28" s="1"/>
  <c r="A15" i="76"/>
  <c r="A21" i="28" s="1"/>
  <c r="A11" i="76"/>
  <c r="A17" i="28" s="1"/>
  <c r="O12" i="107"/>
  <c r="M12" i="107"/>
  <c r="K12" i="197"/>
  <c r="I12" i="197"/>
  <c r="H12" i="197"/>
  <c r="K51" i="76"/>
  <c r="J51" i="76"/>
  <c r="I51" i="76"/>
  <c r="H51" i="76"/>
  <c r="G51" i="76"/>
  <c r="K34" i="76"/>
  <c r="J34" i="76"/>
  <c r="I34" i="76"/>
  <c r="H34" i="76"/>
  <c r="G34" i="76"/>
  <c r="A97" i="68"/>
  <c r="A89" i="68"/>
  <c r="A81" i="68"/>
  <c r="A73" i="68"/>
  <c r="A65" i="68"/>
  <c r="A57" i="68"/>
  <c r="A25" i="68"/>
  <c r="A17" i="68"/>
  <c r="A14" i="71"/>
  <c r="A15" i="71"/>
  <c r="A16" i="71"/>
  <c r="A13" i="71"/>
  <c r="I42" i="71" s="1"/>
  <c r="M57" i="14"/>
  <c r="G57" i="14"/>
  <c r="G94" i="172"/>
  <c r="G18" i="71"/>
  <c r="G15" i="71"/>
  <c r="I126" i="1"/>
  <c r="G126" i="1" s="1"/>
  <c r="H126" i="1" s="1"/>
  <c r="J127" i="1"/>
  <c r="I127" i="1"/>
  <c r="G127" i="1" s="1"/>
  <c r="H127" i="1" s="1"/>
  <c r="B4" i="200"/>
  <c r="D2" i="200"/>
  <c r="J128" i="1"/>
  <c r="I128" i="1"/>
  <c r="H4" i="199"/>
  <c r="P2" i="199"/>
  <c r="L122" i="1" s="1"/>
  <c r="O2" i="199"/>
  <c r="K122" i="1" s="1"/>
  <c r="J122" i="1"/>
  <c r="I122" i="1"/>
  <c r="H4" i="198"/>
  <c r="P2" i="198"/>
  <c r="L121" i="1" s="1"/>
  <c r="O2" i="198"/>
  <c r="K121" i="1" s="1"/>
  <c r="J121" i="1"/>
  <c r="I121" i="1"/>
  <c r="I120" i="1"/>
  <c r="G120" i="1" s="1"/>
  <c r="H120" i="1" s="1"/>
  <c r="P2" i="152"/>
  <c r="L120" i="1" s="1"/>
  <c r="O2" i="152"/>
  <c r="K120" i="1" s="1"/>
  <c r="J80" i="199"/>
  <c r="I80" i="199"/>
  <c r="H80" i="199"/>
  <c r="B4" i="199"/>
  <c r="D2" i="199"/>
  <c r="J80" i="198"/>
  <c r="I80" i="198"/>
  <c r="H80" i="198"/>
  <c r="B4" i="198"/>
  <c r="D2" i="198"/>
  <c r="C122" i="1"/>
  <c r="C121" i="1"/>
  <c r="C120" i="1"/>
  <c r="M7" i="197"/>
  <c r="F61" i="197" s="1"/>
  <c r="O7" i="197"/>
  <c r="G61" i="197" s="1"/>
  <c r="P7" i="197"/>
  <c r="Q29" i="197" s="1"/>
  <c r="K7" i="197"/>
  <c r="K29" i="197" s="1"/>
  <c r="T2" i="197"/>
  <c r="L116" i="1" s="1"/>
  <c r="S2" i="197"/>
  <c r="K116" i="1" s="1"/>
  <c r="J116" i="1"/>
  <c r="I116" i="1"/>
  <c r="C116" i="1"/>
  <c r="P7" i="107"/>
  <c r="Q29" i="107" s="1"/>
  <c r="O7" i="107"/>
  <c r="M7" i="107"/>
  <c r="F61" i="107" s="1"/>
  <c r="K7" i="107"/>
  <c r="K29" i="107" s="1"/>
  <c r="K7" i="196"/>
  <c r="T2" i="107"/>
  <c r="S2" i="107"/>
  <c r="K115" i="1" s="1"/>
  <c r="H4" i="107"/>
  <c r="C115" i="1"/>
  <c r="J114" i="1"/>
  <c r="I114" i="1"/>
  <c r="C114" i="1"/>
  <c r="O7" i="196"/>
  <c r="G52" i="196" s="1"/>
  <c r="M7" i="196"/>
  <c r="F52" i="196" s="1"/>
  <c r="H6" i="77"/>
  <c r="H39" i="77" s="1"/>
  <c r="T2" i="196"/>
  <c r="L114" i="1" s="1"/>
  <c r="S2" i="196"/>
  <c r="K114" i="1" s="1"/>
  <c r="H4" i="196"/>
  <c r="H4" i="197"/>
  <c r="D57" i="197"/>
  <c r="E56" i="197"/>
  <c r="E55" i="197"/>
  <c r="E54" i="197"/>
  <c r="Q42" i="197"/>
  <c r="O42" i="197"/>
  <c r="M42" i="197"/>
  <c r="K42" i="197"/>
  <c r="I42" i="197"/>
  <c r="R41" i="197"/>
  <c r="P41" i="197"/>
  <c r="N41" i="197"/>
  <c r="L41" i="197"/>
  <c r="J41" i="197"/>
  <c r="R40" i="197"/>
  <c r="P40" i="197"/>
  <c r="N40" i="197"/>
  <c r="L40" i="197"/>
  <c r="J40" i="197"/>
  <c r="R39" i="197"/>
  <c r="P39" i="197"/>
  <c r="N39" i="197"/>
  <c r="L39" i="197"/>
  <c r="J39" i="197"/>
  <c r="R38" i="197"/>
  <c r="P38" i="197"/>
  <c r="N38" i="197"/>
  <c r="L38" i="197"/>
  <c r="J38" i="197"/>
  <c r="R37" i="197"/>
  <c r="P37" i="197"/>
  <c r="N37" i="197"/>
  <c r="L37" i="197"/>
  <c r="L43" i="197" s="1"/>
  <c r="J37" i="197"/>
  <c r="R36" i="197"/>
  <c r="P36" i="197"/>
  <c r="P43" i="197"/>
  <c r="N36" i="197"/>
  <c r="L36" i="197"/>
  <c r="J36" i="197"/>
  <c r="R35" i="197"/>
  <c r="P35" i="197"/>
  <c r="N35" i="197"/>
  <c r="L35" i="197"/>
  <c r="J35" i="197"/>
  <c r="R34" i="197"/>
  <c r="P34" i="197"/>
  <c r="N34" i="197"/>
  <c r="L34" i="197"/>
  <c r="J34" i="197"/>
  <c r="R33" i="197"/>
  <c r="P33" i="197"/>
  <c r="N33" i="197"/>
  <c r="L33" i="197"/>
  <c r="J33" i="197"/>
  <c r="R32" i="197"/>
  <c r="P32" i="197"/>
  <c r="N32" i="197"/>
  <c r="N42" i="197" s="1"/>
  <c r="L32" i="197"/>
  <c r="J32" i="197"/>
  <c r="R31" i="197"/>
  <c r="R42" i="197" s="1"/>
  <c r="P31" i="197"/>
  <c r="N31" i="197"/>
  <c r="L31" i="197"/>
  <c r="J31" i="197"/>
  <c r="I7" i="197"/>
  <c r="B4" i="197"/>
  <c r="D2" i="197"/>
  <c r="D48" i="196"/>
  <c r="E47" i="196"/>
  <c r="E46" i="196"/>
  <c r="E45" i="196"/>
  <c r="O33" i="196"/>
  <c r="M33" i="196"/>
  <c r="K33" i="196"/>
  <c r="I33" i="196"/>
  <c r="P32" i="196"/>
  <c r="N32" i="196"/>
  <c r="L32" i="196"/>
  <c r="J32" i="196"/>
  <c r="P31" i="196"/>
  <c r="N31" i="196"/>
  <c r="L31" i="196"/>
  <c r="J31" i="196"/>
  <c r="P30" i="196"/>
  <c r="N30" i="196"/>
  <c r="L30" i="196"/>
  <c r="J30" i="196"/>
  <c r="P29" i="196"/>
  <c r="N29" i="196"/>
  <c r="L29" i="196"/>
  <c r="J29" i="196"/>
  <c r="P28" i="196"/>
  <c r="N28" i="196"/>
  <c r="L28" i="196"/>
  <c r="J28" i="196"/>
  <c r="P27" i="196"/>
  <c r="P34" i="196" s="1"/>
  <c r="N27" i="196"/>
  <c r="L27" i="196"/>
  <c r="L34" i="196" s="1"/>
  <c r="L35" i="196" s="1"/>
  <c r="E53" i="196" s="1"/>
  <c r="J27" i="196"/>
  <c r="P26" i="196"/>
  <c r="N26" i="196"/>
  <c r="L26" i="196"/>
  <c r="J26" i="196"/>
  <c r="P25" i="196"/>
  <c r="N25" i="196"/>
  <c r="L25" i="196"/>
  <c r="J25" i="196"/>
  <c r="P24" i="196"/>
  <c r="N24" i="196"/>
  <c r="L24" i="196"/>
  <c r="J24" i="196"/>
  <c r="P23" i="196"/>
  <c r="P33" i="196" s="1"/>
  <c r="N23" i="196"/>
  <c r="L23" i="196"/>
  <c r="J23" i="196"/>
  <c r="P22" i="196"/>
  <c r="N22" i="196"/>
  <c r="L22" i="196"/>
  <c r="J22" i="196"/>
  <c r="J33" i="196" s="1"/>
  <c r="I7" i="196"/>
  <c r="I20" i="196" s="1"/>
  <c r="B4" i="196"/>
  <c r="D2" i="196"/>
  <c r="P2" i="175"/>
  <c r="O2" i="175"/>
  <c r="K109" i="1" s="1"/>
  <c r="P2" i="169"/>
  <c r="O2" i="169"/>
  <c r="K108" i="1" s="1"/>
  <c r="L95" i="1"/>
  <c r="K95" i="1"/>
  <c r="J95" i="1"/>
  <c r="I95" i="1"/>
  <c r="G95" i="1" s="1"/>
  <c r="H95" i="1" s="1"/>
  <c r="J75" i="1"/>
  <c r="I75" i="1"/>
  <c r="J74" i="1"/>
  <c r="I74" i="1"/>
  <c r="C74" i="1"/>
  <c r="J73" i="1"/>
  <c r="I73" i="1"/>
  <c r="C75" i="1"/>
  <c r="C73" i="1"/>
  <c r="H4" i="195"/>
  <c r="P2" i="195"/>
  <c r="L75" i="1" s="1"/>
  <c r="O2" i="195"/>
  <c r="K75" i="1" s="1"/>
  <c r="P11" i="195"/>
  <c r="N10" i="195"/>
  <c r="N12" i="195" s="1"/>
  <c r="D10" i="195"/>
  <c r="D12" i="195" s="1"/>
  <c r="N8" i="195"/>
  <c r="A4" i="195"/>
  <c r="D2" i="195"/>
  <c r="H4" i="194"/>
  <c r="P2" i="194"/>
  <c r="L74" i="1" s="1"/>
  <c r="O2" i="194"/>
  <c r="K74" i="1" s="1"/>
  <c r="P11" i="194"/>
  <c r="N10" i="194"/>
  <c r="N12" i="194"/>
  <c r="D10" i="194"/>
  <c r="D12" i="194" s="1"/>
  <c r="N8" i="194"/>
  <c r="A4" i="194"/>
  <c r="D2" i="194"/>
  <c r="P2" i="193"/>
  <c r="L73" i="1" s="1"/>
  <c r="O2" i="193"/>
  <c r="K73" i="1" s="1"/>
  <c r="H4" i="193"/>
  <c r="L33" i="196"/>
  <c r="N33" i="196"/>
  <c r="R11" i="193"/>
  <c r="A4" i="193"/>
  <c r="D2" i="193"/>
  <c r="J54" i="1"/>
  <c r="I54" i="1"/>
  <c r="H4" i="192"/>
  <c r="P2" i="192"/>
  <c r="L54" i="1" s="1"/>
  <c r="O2" i="192"/>
  <c r="K54" i="1" s="1"/>
  <c r="O50" i="192"/>
  <c r="M50" i="192"/>
  <c r="K50" i="192"/>
  <c r="I50" i="192"/>
  <c r="G50" i="192"/>
  <c r="E50" i="192"/>
  <c r="A34" i="192"/>
  <c r="K33" i="192"/>
  <c r="E33" i="192"/>
  <c r="M7" i="192"/>
  <c r="A7" i="192"/>
  <c r="A4" i="192"/>
  <c r="D2" i="192"/>
  <c r="P2" i="174"/>
  <c r="L50" i="1" s="1"/>
  <c r="O2" i="174"/>
  <c r="K50" i="1" s="1"/>
  <c r="P2" i="168"/>
  <c r="O2" i="168"/>
  <c r="L44" i="1" s="1"/>
  <c r="P2" i="33"/>
  <c r="L39" i="1" s="1"/>
  <c r="O2" i="33"/>
  <c r="K39" i="1" s="1"/>
  <c r="P2" i="180"/>
  <c r="L33" i="1" s="1"/>
  <c r="O2" i="180"/>
  <c r="J6" i="180"/>
  <c r="Q6" i="180" s="1"/>
  <c r="I6" i="180"/>
  <c r="I34" i="180" s="1"/>
  <c r="H6" i="180"/>
  <c r="O6" i="180" s="1"/>
  <c r="H6" i="78"/>
  <c r="H36" i="78" s="1"/>
  <c r="K70" i="78" s="1"/>
  <c r="K90" i="78" s="1"/>
  <c r="P2" i="78"/>
  <c r="L32" i="1" s="1"/>
  <c r="O2" i="78"/>
  <c r="K32" i="1" s="1"/>
  <c r="J6" i="78"/>
  <c r="Q6" i="78" s="1"/>
  <c r="I6" i="78"/>
  <c r="I22" i="78" s="1"/>
  <c r="H6" i="177"/>
  <c r="H42" i="177" s="1"/>
  <c r="H58" i="177" s="1"/>
  <c r="J31" i="1"/>
  <c r="O2" i="177"/>
  <c r="K31" i="1" s="1"/>
  <c r="J6" i="177"/>
  <c r="J36" i="177" s="1"/>
  <c r="I6" i="177"/>
  <c r="I21" i="177" s="1"/>
  <c r="P23" i="177" s="1"/>
  <c r="I13" i="176"/>
  <c r="P13" i="176" s="1"/>
  <c r="C31" i="1"/>
  <c r="O2" i="176"/>
  <c r="K30" i="1" s="1"/>
  <c r="P2" i="176"/>
  <c r="L30" i="1" s="1"/>
  <c r="H4" i="176"/>
  <c r="K13" i="176"/>
  <c r="J13" i="176"/>
  <c r="Q13" i="176" s="1"/>
  <c r="I13" i="170"/>
  <c r="I30" i="170" s="1"/>
  <c r="M30" i="1"/>
  <c r="M31" i="1"/>
  <c r="M27" i="1"/>
  <c r="C30" i="1"/>
  <c r="P2" i="102"/>
  <c r="L29" i="1" s="1"/>
  <c r="O2" i="102"/>
  <c r="K29" i="1" s="1"/>
  <c r="J6" i="102"/>
  <c r="J21" i="102" s="1"/>
  <c r="I6" i="102"/>
  <c r="I34" i="102" s="1"/>
  <c r="H6" i="102"/>
  <c r="H34" i="102" s="1"/>
  <c r="H6" i="178"/>
  <c r="P2" i="178"/>
  <c r="L28" i="1" s="1"/>
  <c r="O2" i="178"/>
  <c r="K28" i="1" s="1"/>
  <c r="J6" i="178"/>
  <c r="J22" i="178" s="1"/>
  <c r="I6" i="178"/>
  <c r="P6" i="178" s="1"/>
  <c r="H6" i="171"/>
  <c r="H42" i="171" s="1"/>
  <c r="H56" i="171" s="1"/>
  <c r="P2" i="171"/>
  <c r="L27" i="1" s="1"/>
  <c r="O2" i="171"/>
  <c r="K27" i="1" s="1"/>
  <c r="J6" i="171"/>
  <c r="J42" i="171" s="1"/>
  <c r="I6" i="171"/>
  <c r="I42" i="171" s="1"/>
  <c r="C27" i="1"/>
  <c r="H4" i="170"/>
  <c r="K13" i="170"/>
  <c r="K30" i="170" s="1"/>
  <c r="J13" i="170"/>
  <c r="P2" i="170"/>
  <c r="O2" i="170"/>
  <c r="K26" i="1" s="1"/>
  <c r="M26" i="1"/>
  <c r="C26" i="1"/>
  <c r="J6" i="179"/>
  <c r="J21" i="179" s="1"/>
  <c r="I6" i="179"/>
  <c r="I34" i="179" s="1"/>
  <c r="H6" i="179"/>
  <c r="O6" i="179" s="1"/>
  <c r="J6" i="172"/>
  <c r="J42" i="172" s="1"/>
  <c r="I6" i="172"/>
  <c r="I42" i="172" s="1"/>
  <c r="H6" i="172"/>
  <c r="N6" i="172" s="1"/>
  <c r="J6" i="77"/>
  <c r="J21" i="77" s="1"/>
  <c r="Q23" i="77" s="1"/>
  <c r="Q7" i="77" s="1"/>
  <c r="I6" i="77"/>
  <c r="I39" i="77" s="1"/>
  <c r="J25" i="1"/>
  <c r="J24" i="1"/>
  <c r="J23" i="1"/>
  <c r="M23" i="1"/>
  <c r="C23" i="1"/>
  <c r="M22" i="1"/>
  <c r="C22" i="1"/>
  <c r="M19" i="1"/>
  <c r="G74" i="1"/>
  <c r="H74" i="1" s="1"/>
  <c r="G73" i="1"/>
  <c r="H73" i="1"/>
  <c r="G75" i="1"/>
  <c r="H75" i="1"/>
  <c r="J94" i="1"/>
  <c r="I94" i="1"/>
  <c r="G94" i="1"/>
  <c r="H94" i="1" s="1"/>
  <c r="C94" i="1"/>
  <c r="G116" i="1"/>
  <c r="H116" i="1"/>
  <c r="J115" i="1"/>
  <c r="I115" i="1"/>
  <c r="G115" i="1"/>
  <c r="H115" i="1" s="1"/>
  <c r="J120" i="1"/>
  <c r="G121" i="1"/>
  <c r="H121" i="1"/>
  <c r="J129" i="1"/>
  <c r="I129" i="1"/>
  <c r="G129" i="1" s="1"/>
  <c r="H129" i="1" s="1"/>
  <c r="G128" i="1"/>
  <c r="H128" i="1" s="1"/>
  <c r="J126" i="1"/>
  <c r="J133" i="1"/>
  <c r="I133" i="1"/>
  <c r="G133" i="1" s="1"/>
  <c r="H133" i="1" s="1"/>
  <c r="C19" i="1"/>
  <c r="I6" i="11"/>
  <c r="F58" i="74"/>
  <c r="Q42" i="107"/>
  <c r="R32" i="107"/>
  <c r="R33" i="107"/>
  <c r="R34" i="107"/>
  <c r="R35" i="107"/>
  <c r="R36" i="107"/>
  <c r="R37" i="107"/>
  <c r="R38" i="107"/>
  <c r="R39" i="107"/>
  <c r="R40" i="107"/>
  <c r="R41" i="107"/>
  <c r="R31" i="107"/>
  <c r="G19" i="172"/>
  <c r="G36" i="172" s="1"/>
  <c r="G92" i="172" s="1"/>
  <c r="G95" i="172" s="1"/>
  <c r="G97" i="172" s="1"/>
  <c r="G20" i="172"/>
  <c r="G17" i="172"/>
  <c r="G16" i="172"/>
  <c r="G50" i="77" s="1"/>
  <c r="G18" i="172"/>
  <c r="G52" i="77" s="1"/>
  <c r="G14" i="172"/>
  <c r="G31" i="172" s="1"/>
  <c r="G52" i="172" s="1"/>
  <c r="G15" i="172"/>
  <c r="G32" i="172" s="1"/>
  <c r="G60" i="172" s="1"/>
  <c r="I15" i="172"/>
  <c r="I49" i="77" s="1"/>
  <c r="I20" i="172"/>
  <c r="H15" i="172"/>
  <c r="H49" i="77" s="1"/>
  <c r="H18" i="172"/>
  <c r="H52" i="77" s="1"/>
  <c r="H19" i="172"/>
  <c r="H17" i="172"/>
  <c r="H51" i="77" s="1"/>
  <c r="I17" i="172"/>
  <c r="I51" i="77" s="1"/>
  <c r="I18" i="172"/>
  <c r="I19" i="172"/>
  <c r="I36" i="172" s="1"/>
  <c r="I92" i="172" s="1"/>
  <c r="J18" i="172"/>
  <c r="J52" i="77" s="1"/>
  <c r="J17" i="172"/>
  <c r="J51" i="77" s="1"/>
  <c r="J19" i="172"/>
  <c r="J53" i="77" s="1"/>
  <c r="I16" i="172"/>
  <c r="I33" i="172" s="1"/>
  <c r="I68" i="172" s="1"/>
  <c r="H16" i="172"/>
  <c r="J16" i="172"/>
  <c r="J33" i="172" s="1"/>
  <c r="J68" i="172" s="1"/>
  <c r="J15" i="172"/>
  <c r="P20" i="107"/>
  <c r="P16" i="107"/>
  <c r="P20" i="197"/>
  <c r="P16" i="197"/>
  <c r="L27" i="74"/>
  <c r="O42" i="107"/>
  <c r="M42" i="107"/>
  <c r="K42" i="107"/>
  <c r="F14" i="172"/>
  <c r="F31" i="172" s="1"/>
  <c r="F15" i="172"/>
  <c r="F16" i="172"/>
  <c r="F33" i="172" s="1"/>
  <c r="F68" i="172" s="1"/>
  <c r="F17" i="172"/>
  <c r="F51" i="77" s="1"/>
  <c r="F18" i="172"/>
  <c r="F52" i="77" s="1"/>
  <c r="F19" i="172"/>
  <c r="F53" i="77" s="1"/>
  <c r="D2" i="20"/>
  <c r="I19" i="76"/>
  <c r="I26" i="76" s="1"/>
  <c r="J19" i="76"/>
  <c r="K20" i="76" s="1"/>
  <c r="K19" i="76"/>
  <c r="R19" i="76" s="1"/>
  <c r="H19" i="76"/>
  <c r="H26" i="76" s="1"/>
  <c r="D2" i="13"/>
  <c r="D2" i="28"/>
  <c r="G122" i="169"/>
  <c r="K122" i="169" s="1"/>
  <c r="G139" i="169"/>
  <c r="G121" i="169"/>
  <c r="K121" i="169" s="1"/>
  <c r="E158" i="169"/>
  <c r="K148" i="169"/>
  <c r="K147" i="169"/>
  <c r="K146" i="169"/>
  <c r="K111" i="169"/>
  <c r="H51" i="169"/>
  <c r="F51" i="169"/>
  <c r="J51" i="169" s="1"/>
  <c r="B51" i="169"/>
  <c r="H50" i="169"/>
  <c r="F50" i="169"/>
  <c r="J50" i="169" s="1"/>
  <c r="B50" i="169"/>
  <c r="H49" i="169"/>
  <c r="F49" i="169"/>
  <c r="B49" i="169"/>
  <c r="H48" i="169"/>
  <c r="F48" i="169"/>
  <c r="J48" i="169" s="1"/>
  <c r="B48" i="169"/>
  <c r="H47" i="169"/>
  <c r="F47" i="169"/>
  <c r="B47" i="169"/>
  <c r="H46" i="169"/>
  <c r="F46" i="169"/>
  <c r="B46" i="169"/>
  <c r="H45" i="169"/>
  <c r="J45" i="169" s="1"/>
  <c r="F45" i="169"/>
  <c r="B45" i="169"/>
  <c r="H44" i="169"/>
  <c r="B44" i="169"/>
  <c r="B42" i="169"/>
  <c r="H41" i="169"/>
  <c r="F41" i="169"/>
  <c r="B41" i="169"/>
  <c r="H40" i="169"/>
  <c r="F40" i="169"/>
  <c r="J40" i="169" s="1"/>
  <c r="B40" i="169"/>
  <c r="H39" i="169"/>
  <c r="F39" i="169"/>
  <c r="J39" i="169" s="1"/>
  <c r="B39" i="169"/>
  <c r="H38" i="169"/>
  <c r="J38" i="169" s="1"/>
  <c r="F38" i="169"/>
  <c r="B38" i="169"/>
  <c r="H37" i="169"/>
  <c r="B37" i="169"/>
  <c r="K24" i="168"/>
  <c r="I24" i="168" s="1"/>
  <c r="K22" i="168"/>
  <c r="I22" i="168" s="1"/>
  <c r="K21" i="168"/>
  <c r="I21" i="168" s="1"/>
  <c r="K20" i="168"/>
  <c r="I20" i="168" s="1"/>
  <c r="K19" i="168"/>
  <c r="I19" i="168" s="1"/>
  <c r="K18" i="168"/>
  <c r="I18" i="168" s="1"/>
  <c r="G17" i="168"/>
  <c r="E129" i="169"/>
  <c r="K15" i="168"/>
  <c r="I15" i="168" s="1"/>
  <c r="K14" i="168"/>
  <c r="I14" i="168" s="1"/>
  <c r="K13" i="168"/>
  <c r="I13" i="168" s="1"/>
  <c r="K12" i="168"/>
  <c r="I12" i="168" s="1"/>
  <c r="K11" i="168"/>
  <c r="I11" i="168" s="1"/>
  <c r="G10" i="168"/>
  <c r="E116" i="169"/>
  <c r="I121" i="169"/>
  <c r="I122" i="169"/>
  <c r="I139" i="169" s="1"/>
  <c r="J46" i="169"/>
  <c r="F53" i="74"/>
  <c r="F49" i="74"/>
  <c r="F51" i="74"/>
  <c r="F52" i="74"/>
  <c r="H47" i="74"/>
  <c r="B48" i="74"/>
  <c r="B49" i="74"/>
  <c r="B50" i="74"/>
  <c r="B51" i="74"/>
  <c r="B52" i="74"/>
  <c r="B53" i="74"/>
  <c r="B47" i="74"/>
  <c r="J31" i="107"/>
  <c r="J32" i="107"/>
  <c r="J33" i="107"/>
  <c r="J34" i="107"/>
  <c r="J35" i="107"/>
  <c r="J36" i="107"/>
  <c r="J37" i="107"/>
  <c r="J38" i="107"/>
  <c r="J39" i="107"/>
  <c r="J40" i="107"/>
  <c r="J41" i="107"/>
  <c r="H39" i="74"/>
  <c r="A60" i="171"/>
  <c r="A58" i="171"/>
  <c r="K57" i="171"/>
  <c r="K58" i="77"/>
  <c r="Q45" i="77"/>
  <c r="N45" i="77"/>
  <c r="A8" i="77"/>
  <c r="K8" i="77"/>
  <c r="G6" i="77"/>
  <c r="G39" i="77" s="1"/>
  <c r="F6" i="77"/>
  <c r="F39" i="77" s="1"/>
  <c r="F27" i="171"/>
  <c r="G27" i="171"/>
  <c r="H27" i="171"/>
  <c r="K27" i="171" s="1"/>
  <c r="I27" i="171"/>
  <c r="J27" i="171"/>
  <c r="F28" i="171"/>
  <c r="G28" i="171"/>
  <c r="H28" i="171"/>
  <c r="I28" i="171"/>
  <c r="J28" i="171"/>
  <c r="F29" i="171"/>
  <c r="G29" i="171"/>
  <c r="H29" i="171"/>
  <c r="I29" i="171"/>
  <c r="J29" i="171"/>
  <c r="F30" i="171"/>
  <c r="G30" i="171"/>
  <c r="H30" i="171"/>
  <c r="I30" i="171"/>
  <c r="J30" i="171"/>
  <c r="F31" i="171"/>
  <c r="G31" i="171"/>
  <c r="H31" i="171"/>
  <c r="I31" i="171"/>
  <c r="J31" i="171"/>
  <c r="J26" i="171"/>
  <c r="I26" i="171"/>
  <c r="H26" i="171"/>
  <c r="G26" i="171"/>
  <c r="F26" i="171"/>
  <c r="K26" i="171" s="1"/>
  <c r="J25" i="171"/>
  <c r="I25" i="171"/>
  <c r="H25" i="171"/>
  <c r="G25" i="171"/>
  <c r="F25" i="171"/>
  <c r="F10" i="171"/>
  <c r="G10" i="171"/>
  <c r="H10" i="171"/>
  <c r="I10" i="171"/>
  <c r="J10" i="171"/>
  <c r="F11" i="171"/>
  <c r="G11" i="171"/>
  <c r="H11" i="171"/>
  <c r="I11" i="171"/>
  <c r="J11" i="171"/>
  <c r="F12" i="171"/>
  <c r="G12" i="171"/>
  <c r="H12" i="171"/>
  <c r="I12" i="171"/>
  <c r="K12" i="171" s="1"/>
  <c r="J12" i="171"/>
  <c r="F13" i="171"/>
  <c r="G13" i="171"/>
  <c r="H13" i="171"/>
  <c r="I13" i="171"/>
  <c r="J13" i="171"/>
  <c r="F14" i="171"/>
  <c r="G14" i="171"/>
  <c r="K14" i="171" s="1"/>
  <c r="H14" i="171"/>
  <c r="I14" i="171"/>
  <c r="J14" i="171"/>
  <c r="F15" i="171"/>
  <c r="G15" i="171"/>
  <c r="H15" i="171"/>
  <c r="I15" i="171"/>
  <c r="J15" i="171"/>
  <c r="K15" i="171" s="1"/>
  <c r="G9" i="171"/>
  <c r="H9" i="171"/>
  <c r="I9" i="171"/>
  <c r="J9" i="171"/>
  <c r="O32" i="170"/>
  <c r="P32" i="170"/>
  <c r="Q32" i="170"/>
  <c r="R32" i="170"/>
  <c r="P35" i="170"/>
  <c r="Q35" i="170"/>
  <c r="R35" i="170"/>
  <c r="O36" i="170"/>
  <c r="Q36" i="170"/>
  <c r="R36" i="170"/>
  <c r="O37" i="170"/>
  <c r="P37" i="170"/>
  <c r="R37" i="170"/>
  <c r="O39" i="170"/>
  <c r="P39" i="170"/>
  <c r="Q39" i="170"/>
  <c r="R39" i="170"/>
  <c r="O15" i="170"/>
  <c r="P15" i="170"/>
  <c r="Q15" i="170"/>
  <c r="N18" i="170"/>
  <c r="O18" i="170"/>
  <c r="P18" i="170"/>
  <c r="Q18" i="170"/>
  <c r="N20" i="170"/>
  <c r="P20" i="170"/>
  <c r="Q20" i="170"/>
  <c r="R15" i="170"/>
  <c r="R18" i="170"/>
  <c r="R20" i="170"/>
  <c r="H66" i="170"/>
  <c r="O66" i="170"/>
  <c r="I66" i="170"/>
  <c r="P66" i="170" s="1"/>
  <c r="J66" i="170"/>
  <c r="Q66" i="170" s="1"/>
  <c r="Q112" i="170" s="1"/>
  <c r="K66" i="170"/>
  <c r="H67" i="170"/>
  <c r="G44" i="171" s="1"/>
  <c r="I67" i="170"/>
  <c r="H44" i="171" s="1"/>
  <c r="J67" i="170"/>
  <c r="I44" i="171" s="1"/>
  <c r="K67" i="170"/>
  <c r="J44" i="171" s="1"/>
  <c r="H68" i="170"/>
  <c r="G45" i="171" s="1"/>
  <c r="I68" i="170"/>
  <c r="H45" i="171" s="1"/>
  <c r="J68" i="170"/>
  <c r="K68" i="170"/>
  <c r="J45" i="171" s="1"/>
  <c r="H69" i="170"/>
  <c r="I69" i="170"/>
  <c r="J69" i="170"/>
  <c r="I46" i="171" s="1"/>
  <c r="K69" i="170"/>
  <c r="J46" i="171" s="1"/>
  <c r="H70" i="170"/>
  <c r="G47" i="171" s="1"/>
  <c r="I70" i="170"/>
  <c r="H47" i="171" s="1"/>
  <c r="J70" i="170"/>
  <c r="K70" i="170"/>
  <c r="J47" i="171" s="1"/>
  <c r="H71" i="170"/>
  <c r="G48" i="171" s="1"/>
  <c r="I71" i="170"/>
  <c r="J71" i="170"/>
  <c r="K71" i="170"/>
  <c r="J48" i="171" s="1"/>
  <c r="H72" i="170"/>
  <c r="G49" i="171" s="1"/>
  <c r="I72" i="170"/>
  <c r="H49" i="171" s="1"/>
  <c r="J72" i="170"/>
  <c r="K72" i="170"/>
  <c r="H73" i="170"/>
  <c r="I73" i="170"/>
  <c r="H50" i="171" s="1"/>
  <c r="J73" i="170"/>
  <c r="I50" i="171" s="1"/>
  <c r="K73" i="170"/>
  <c r="J50" i="171" s="1"/>
  <c r="G67" i="170"/>
  <c r="F44" i="171"/>
  <c r="G68" i="170"/>
  <c r="F45" i="171"/>
  <c r="G69" i="170"/>
  <c r="F46" i="171" s="1"/>
  <c r="G70" i="170"/>
  <c r="F47" i="171"/>
  <c r="G71" i="170"/>
  <c r="F48" i="171"/>
  <c r="G72" i="170"/>
  <c r="F49" i="171"/>
  <c r="G73" i="170"/>
  <c r="F50" i="171" s="1"/>
  <c r="G66" i="170"/>
  <c r="K16" i="149"/>
  <c r="Q73" i="170"/>
  <c r="P73" i="170"/>
  <c r="R69" i="170"/>
  <c r="R115" i="170" s="1"/>
  <c r="I48" i="171"/>
  <c r="Q71" i="170"/>
  <c r="Q69" i="170"/>
  <c r="H48" i="171"/>
  <c r="P71" i="170"/>
  <c r="O71" i="170"/>
  <c r="I47" i="171"/>
  <c r="J49" i="171"/>
  <c r="I49" i="171"/>
  <c r="I45" i="171"/>
  <c r="K13" i="174"/>
  <c r="J55" i="175"/>
  <c r="H42" i="175"/>
  <c r="F43" i="175"/>
  <c r="F44" i="175"/>
  <c r="F45" i="175"/>
  <c r="F46" i="175"/>
  <c r="F47" i="175"/>
  <c r="F48" i="175"/>
  <c r="F49" i="175"/>
  <c r="F39" i="175"/>
  <c r="F40" i="175"/>
  <c r="I44" i="174"/>
  <c r="F62" i="175"/>
  <c r="F63" i="175"/>
  <c r="J63" i="175" s="1"/>
  <c r="F64" i="175"/>
  <c r="F65" i="175"/>
  <c r="F66" i="175"/>
  <c r="H38" i="175"/>
  <c r="J38" i="175" s="1"/>
  <c r="F38" i="175"/>
  <c r="H37" i="175"/>
  <c r="G122" i="175"/>
  <c r="G121" i="175"/>
  <c r="E111" i="175"/>
  <c r="B44" i="175"/>
  <c r="B45" i="175"/>
  <c r="B46" i="175"/>
  <c r="B47" i="175"/>
  <c r="B48" i="175"/>
  <c r="B49" i="175"/>
  <c r="B43" i="175"/>
  <c r="H54" i="175"/>
  <c r="H53" i="175"/>
  <c r="B61" i="175"/>
  <c r="B60" i="175"/>
  <c r="B59" i="175"/>
  <c r="B58" i="175"/>
  <c r="B57" i="175"/>
  <c r="B56" i="175"/>
  <c r="B55" i="175"/>
  <c r="B54" i="175"/>
  <c r="B53" i="175"/>
  <c r="F37" i="175"/>
  <c r="E160" i="74"/>
  <c r="J6" i="157"/>
  <c r="H6" i="157"/>
  <c r="F6" i="157"/>
  <c r="C41" i="68"/>
  <c r="A101" i="161"/>
  <c r="A93" i="161"/>
  <c r="A85" i="161"/>
  <c r="A77" i="161"/>
  <c r="A69" i="161"/>
  <c r="A61" i="161"/>
  <c r="A53" i="161"/>
  <c r="A45" i="161"/>
  <c r="A37" i="161"/>
  <c r="A21" i="161"/>
  <c r="A12" i="161"/>
  <c r="I24" i="1"/>
  <c r="I25" i="1"/>
  <c r="R18" i="76"/>
  <c r="K59" i="77"/>
  <c r="H63" i="74"/>
  <c r="B63" i="74"/>
  <c r="F12" i="74"/>
  <c r="J23" i="74"/>
  <c r="F13" i="74"/>
  <c r="J24" i="74" s="1"/>
  <c r="H66" i="74"/>
  <c r="H67" i="74"/>
  <c r="B66" i="74"/>
  <c r="B67" i="74"/>
  <c r="I88" i="152"/>
  <c r="J88" i="152"/>
  <c r="H88" i="152"/>
  <c r="F63" i="74"/>
  <c r="H53" i="74"/>
  <c r="H52" i="74"/>
  <c r="H51" i="74"/>
  <c r="H50" i="74"/>
  <c r="H49" i="74"/>
  <c r="H48" i="74"/>
  <c r="H38" i="74"/>
  <c r="H46" i="74"/>
  <c r="H59" i="74"/>
  <c r="H60" i="74"/>
  <c r="H61" i="74"/>
  <c r="H62" i="74"/>
  <c r="H64" i="74"/>
  <c r="H65" i="74"/>
  <c r="G123" i="74"/>
  <c r="I123" i="74" s="1"/>
  <c r="G124" i="74"/>
  <c r="G141" i="74" s="1"/>
  <c r="H57" i="74"/>
  <c r="H58" i="74"/>
  <c r="C119" i="1"/>
  <c r="C118" i="1"/>
  <c r="C117" i="1"/>
  <c r="C109" i="1"/>
  <c r="C108" i="1"/>
  <c r="C107" i="1"/>
  <c r="C103" i="1"/>
  <c r="C102" i="1"/>
  <c r="C101" i="1"/>
  <c r="B97" i="1"/>
  <c r="C92" i="1"/>
  <c r="C93" i="1"/>
  <c r="C88" i="1"/>
  <c r="C85" i="1"/>
  <c r="C87" i="1"/>
  <c r="C84" i="1"/>
  <c r="C82" i="1"/>
  <c r="C81" i="1"/>
  <c r="C66" i="1"/>
  <c r="C63" i="1"/>
  <c r="C60" i="1"/>
  <c r="C65" i="1"/>
  <c r="C62" i="1"/>
  <c r="C68" i="1"/>
  <c r="C67" i="1"/>
  <c r="C64" i="1"/>
  <c r="C55" i="1"/>
  <c r="C54" i="1"/>
  <c r="C53" i="1"/>
  <c r="C52" i="1"/>
  <c r="C51" i="1"/>
  <c r="C50" i="1"/>
  <c r="C49" i="1"/>
  <c r="C48" i="1"/>
  <c r="C41" i="1"/>
  <c r="C47" i="1"/>
  <c r="C46" i="1"/>
  <c r="C45" i="1"/>
  <c r="C40" i="1"/>
  <c r="C39" i="1"/>
  <c r="C44" i="1"/>
  <c r="C61" i="1"/>
  <c r="C43" i="1"/>
  <c r="C42" i="1"/>
  <c r="C38" i="1"/>
  <c r="C33" i="1"/>
  <c r="C32" i="1"/>
  <c r="C28" i="1"/>
  <c r="C25" i="1"/>
  <c r="C24" i="1"/>
  <c r="C29" i="1"/>
  <c r="I33" i="1"/>
  <c r="J33" i="1"/>
  <c r="I31" i="1"/>
  <c r="I32" i="1"/>
  <c r="J32" i="1"/>
  <c r="I30" i="1"/>
  <c r="J30" i="1"/>
  <c r="J50" i="1"/>
  <c r="I50" i="1"/>
  <c r="I44" i="1"/>
  <c r="J44" i="1"/>
  <c r="H4" i="168"/>
  <c r="I29" i="1"/>
  <c r="J29" i="1"/>
  <c r="I28" i="1"/>
  <c r="J28" i="1"/>
  <c r="I27" i="1"/>
  <c r="I26" i="1"/>
  <c r="J27" i="1"/>
  <c r="J109" i="1"/>
  <c r="I109" i="1"/>
  <c r="I108" i="1"/>
  <c r="J108" i="1"/>
  <c r="J26" i="1"/>
  <c r="J14" i="180"/>
  <c r="I14" i="180"/>
  <c r="H14" i="180"/>
  <c r="G14" i="180"/>
  <c r="F14" i="180"/>
  <c r="A14" i="180"/>
  <c r="J13" i="180"/>
  <c r="I13" i="180"/>
  <c r="H13" i="180"/>
  <c r="G13" i="180"/>
  <c r="F13" i="180"/>
  <c r="A13" i="180"/>
  <c r="J12" i="180"/>
  <c r="I12" i="180"/>
  <c r="H12" i="180"/>
  <c r="H27" i="180"/>
  <c r="H40" i="180" s="1"/>
  <c r="G12" i="180"/>
  <c r="G27" i="180" s="1"/>
  <c r="F12" i="180"/>
  <c r="A12" i="180"/>
  <c r="J11" i="180"/>
  <c r="I11" i="180"/>
  <c r="I26" i="180" s="1"/>
  <c r="I39" i="180" s="1"/>
  <c r="H11" i="180"/>
  <c r="G11" i="180"/>
  <c r="F11" i="180"/>
  <c r="A11" i="180"/>
  <c r="A39" i="180" s="1"/>
  <c r="J10" i="180"/>
  <c r="I10" i="180"/>
  <c r="I25" i="180"/>
  <c r="I38" i="180" s="1"/>
  <c r="H10" i="180"/>
  <c r="H25" i="180"/>
  <c r="H38" i="180" s="1"/>
  <c r="G10" i="180"/>
  <c r="F10" i="180"/>
  <c r="F25" i="180"/>
  <c r="F38" i="180" s="1"/>
  <c r="A10" i="180"/>
  <c r="A25" i="180" s="1"/>
  <c r="J9" i="180"/>
  <c r="I9" i="180"/>
  <c r="I24" i="180" s="1"/>
  <c r="H9" i="180"/>
  <c r="G9" i="180"/>
  <c r="G24" i="180" s="1"/>
  <c r="F9" i="180"/>
  <c r="A9" i="180"/>
  <c r="J8" i="180"/>
  <c r="I8" i="180"/>
  <c r="I23" i="180"/>
  <c r="H8" i="180"/>
  <c r="H23" i="180" s="1"/>
  <c r="H36" i="180"/>
  <c r="G8" i="180"/>
  <c r="G23" i="180" s="1"/>
  <c r="F8" i="180"/>
  <c r="F23" i="180" s="1"/>
  <c r="F36" i="180" s="1"/>
  <c r="A8" i="180"/>
  <c r="A23" i="180" s="1"/>
  <c r="J7" i="180"/>
  <c r="I7" i="180"/>
  <c r="H7" i="180"/>
  <c r="G7" i="180"/>
  <c r="F7" i="180"/>
  <c r="A7" i="180"/>
  <c r="A22" i="180" s="1"/>
  <c r="H4" i="180"/>
  <c r="J92" i="180"/>
  <c r="I92" i="180"/>
  <c r="H92" i="180"/>
  <c r="K91" i="180"/>
  <c r="J91" i="180"/>
  <c r="I91" i="180"/>
  <c r="H91" i="180"/>
  <c r="K90" i="180"/>
  <c r="J90" i="180"/>
  <c r="I90" i="180"/>
  <c r="K89" i="180"/>
  <c r="J89" i="180"/>
  <c r="I89" i="180"/>
  <c r="H89" i="180"/>
  <c r="K88" i="180"/>
  <c r="J88" i="180"/>
  <c r="H88" i="180"/>
  <c r="K87" i="180"/>
  <c r="J87" i="180"/>
  <c r="H87" i="180"/>
  <c r="J84" i="180"/>
  <c r="I84" i="180"/>
  <c r="H84" i="180"/>
  <c r="J83" i="180"/>
  <c r="I83" i="180"/>
  <c r="H83" i="180"/>
  <c r="J82" i="180"/>
  <c r="I82" i="180"/>
  <c r="H82" i="180"/>
  <c r="J81" i="180"/>
  <c r="I81" i="180"/>
  <c r="H81" i="180"/>
  <c r="J80" i="180"/>
  <c r="I80" i="180"/>
  <c r="H80" i="180"/>
  <c r="J79" i="180"/>
  <c r="I79" i="180"/>
  <c r="J42" i="180"/>
  <c r="I42" i="180"/>
  <c r="H42" i="180"/>
  <c r="G42" i="180"/>
  <c r="F42" i="180"/>
  <c r="J41" i="180"/>
  <c r="I41" i="180"/>
  <c r="H41" i="180"/>
  <c r="G41" i="180"/>
  <c r="F41" i="180"/>
  <c r="A41" i="180"/>
  <c r="A36" i="180"/>
  <c r="G88" i="180" s="1"/>
  <c r="J35" i="180"/>
  <c r="I35" i="180"/>
  <c r="H35" i="180"/>
  <c r="G35" i="180"/>
  <c r="F35" i="180"/>
  <c r="K34" i="180"/>
  <c r="J29" i="180"/>
  <c r="I29" i="180"/>
  <c r="H29" i="180"/>
  <c r="G29" i="180"/>
  <c r="F29" i="180"/>
  <c r="J28" i="180"/>
  <c r="I28" i="180"/>
  <c r="H28" i="180"/>
  <c r="G28" i="180"/>
  <c r="F28" i="180"/>
  <c r="H26" i="180"/>
  <c r="F26" i="180"/>
  <c r="F39" i="180" s="1"/>
  <c r="A26" i="180"/>
  <c r="J22" i="180"/>
  <c r="I22" i="180"/>
  <c r="H22" i="180"/>
  <c r="G22" i="180"/>
  <c r="F22" i="180"/>
  <c r="K21" i="180"/>
  <c r="A28" i="180"/>
  <c r="J27" i="180"/>
  <c r="A38" i="180"/>
  <c r="H24" i="180"/>
  <c r="H37" i="180" s="1"/>
  <c r="A37" i="180"/>
  <c r="R6" i="180"/>
  <c r="G6" i="180"/>
  <c r="L75" i="180" s="1"/>
  <c r="L95" i="180" s="1"/>
  <c r="F6" i="180"/>
  <c r="F21" i="180" s="1"/>
  <c r="A4" i="180"/>
  <c r="K33" i="1"/>
  <c r="D2" i="180"/>
  <c r="J14" i="179"/>
  <c r="I14" i="179"/>
  <c r="H14" i="179"/>
  <c r="G14" i="179"/>
  <c r="F14" i="179"/>
  <c r="K14" i="179" s="1"/>
  <c r="A14" i="179"/>
  <c r="A42" i="179" s="1"/>
  <c r="J13" i="179"/>
  <c r="J28" i="179" s="1"/>
  <c r="J41" i="179" s="1"/>
  <c r="I13" i="179"/>
  <c r="I28" i="179" s="1"/>
  <c r="I41" i="179" s="1"/>
  <c r="H13" i="179"/>
  <c r="H28" i="179" s="1"/>
  <c r="H41" i="179" s="1"/>
  <c r="G13" i="179"/>
  <c r="G28" i="179" s="1"/>
  <c r="G41" i="179" s="1"/>
  <c r="F13" i="179"/>
  <c r="F28" i="179" s="1"/>
  <c r="F41" i="179" s="1"/>
  <c r="J12" i="179"/>
  <c r="J27" i="179" s="1"/>
  <c r="J40" i="179" s="1"/>
  <c r="I12" i="179"/>
  <c r="I27" i="179" s="1"/>
  <c r="I40" i="179" s="1"/>
  <c r="H12" i="179"/>
  <c r="H27" i="179" s="1"/>
  <c r="H40" i="179" s="1"/>
  <c r="G12" i="179"/>
  <c r="G27" i="179" s="1"/>
  <c r="F12" i="179"/>
  <c r="J11" i="179"/>
  <c r="J26" i="179" s="1"/>
  <c r="J39" i="179" s="1"/>
  <c r="I11" i="179"/>
  <c r="I26" i="179" s="1"/>
  <c r="I39" i="179" s="1"/>
  <c r="H11" i="179"/>
  <c r="H26" i="179" s="1"/>
  <c r="H39" i="179" s="1"/>
  <c r="G11" i="179"/>
  <c r="G26" i="179" s="1"/>
  <c r="F11" i="179"/>
  <c r="F26" i="179" s="1"/>
  <c r="F39" i="179" s="1"/>
  <c r="J10" i="179"/>
  <c r="J25" i="179" s="1"/>
  <c r="J38" i="179" s="1"/>
  <c r="I10" i="179"/>
  <c r="I25" i="179" s="1"/>
  <c r="I38" i="179" s="1"/>
  <c r="H10" i="179"/>
  <c r="H25" i="179" s="1"/>
  <c r="H38" i="179" s="1"/>
  <c r="G10" i="179"/>
  <c r="G25" i="179" s="1"/>
  <c r="F10" i="179"/>
  <c r="F25" i="179" s="1"/>
  <c r="F38" i="179" s="1"/>
  <c r="J9" i="179"/>
  <c r="J24" i="179" s="1"/>
  <c r="J37" i="179" s="1"/>
  <c r="I9" i="179"/>
  <c r="I24" i="179" s="1"/>
  <c r="I37" i="179" s="1"/>
  <c r="H9" i="179"/>
  <c r="H24" i="179" s="1"/>
  <c r="H37" i="179" s="1"/>
  <c r="G9" i="179"/>
  <c r="G24" i="179" s="1"/>
  <c r="G37" i="179" s="1"/>
  <c r="F9" i="179"/>
  <c r="F24" i="179" s="1"/>
  <c r="F37" i="179" s="1"/>
  <c r="J8" i="179"/>
  <c r="I8" i="179"/>
  <c r="I23" i="179" s="1"/>
  <c r="I36" i="179" s="1"/>
  <c r="H8" i="179"/>
  <c r="H23" i="179" s="1"/>
  <c r="H36" i="179" s="1"/>
  <c r="G8" i="179"/>
  <c r="G23" i="179" s="1"/>
  <c r="G36" i="179" s="1"/>
  <c r="F8" i="179"/>
  <c r="F23" i="179" s="1"/>
  <c r="F36" i="179" s="1"/>
  <c r="J7" i="179"/>
  <c r="I7" i="179"/>
  <c r="H7" i="179"/>
  <c r="G7" i="179"/>
  <c r="F7" i="179"/>
  <c r="A7" i="179"/>
  <c r="A35" i="179" s="1"/>
  <c r="H4" i="179"/>
  <c r="J92" i="179"/>
  <c r="I92" i="179"/>
  <c r="H92" i="179"/>
  <c r="K91" i="179"/>
  <c r="J91" i="179"/>
  <c r="I91" i="179"/>
  <c r="H91" i="179"/>
  <c r="K90" i="179"/>
  <c r="J90" i="179"/>
  <c r="I90" i="179"/>
  <c r="K89" i="179"/>
  <c r="J89" i="179"/>
  <c r="I89" i="179"/>
  <c r="H89" i="179"/>
  <c r="K88" i="179"/>
  <c r="J88" i="179"/>
  <c r="H88" i="179"/>
  <c r="K87" i="179"/>
  <c r="J87" i="179"/>
  <c r="H87" i="179"/>
  <c r="J84" i="179"/>
  <c r="I84" i="179"/>
  <c r="H84" i="179"/>
  <c r="J83" i="179"/>
  <c r="I83" i="179"/>
  <c r="H83" i="179"/>
  <c r="J82" i="179"/>
  <c r="I82" i="179"/>
  <c r="H82" i="179"/>
  <c r="J81" i="179"/>
  <c r="I81" i="179"/>
  <c r="H81" i="179"/>
  <c r="J80" i="179"/>
  <c r="I80" i="179"/>
  <c r="H80" i="179"/>
  <c r="J79" i="179"/>
  <c r="I79" i="179"/>
  <c r="J42" i="179"/>
  <c r="I42" i="179"/>
  <c r="H42" i="179"/>
  <c r="G42" i="179"/>
  <c r="F42" i="179"/>
  <c r="J35" i="179"/>
  <c r="I35" i="179"/>
  <c r="H35" i="179"/>
  <c r="G35" i="179"/>
  <c r="F35" i="179"/>
  <c r="K34" i="179"/>
  <c r="J29" i="179"/>
  <c r="I29" i="179"/>
  <c r="H29" i="179"/>
  <c r="G29" i="179"/>
  <c r="F29" i="179"/>
  <c r="J22" i="179"/>
  <c r="I22" i="179"/>
  <c r="H22" i="179"/>
  <c r="G22" i="179"/>
  <c r="F22" i="179"/>
  <c r="K21" i="179"/>
  <c r="R6" i="179"/>
  <c r="Q6" i="179"/>
  <c r="G6" i="179"/>
  <c r="F6" i="179"/>
  <c r="K75" i="179" s="1"/>
  <c r="K95" i="179" s="1"/>
  <c r="A4" i="179"/>
  <c r="P2" i="179"/>
  <c r="L25" i="1" s="1"/>
  <c r="O2" i="179"/>
  <c r="K25" i="1" s="1"/>
  <c r="D2" i="179"/>
  <c r="H4" i="102"/>
  <c r="J14" i="178"/>
  <c r="I14" i="178"/>
  <c r="H14" i="178"/>
  <c r="G14" i="178"/>
  <c r="F14" i="178"/>
  <c r="A14" i="178"/>
  <c r="A44" i="178" s="1"/>
  <c r="J13" i="178"/>
  <c r="I13" i="178"/>
  <c r="H13" i="178"/>
  <c r="G13" i="178"/>
  <c r="F13" i="178"/>
  <c r="A13" i="178"/>
  <c r="A43" i="178" s="1"/>
  <c r="J12" i="178"/>
  <c r="I12" i="178"/>
  <c r="I28" i="178" s="1"/>
  <c r="I42" i="178" s="1"/>
  <c r="H12" i="178"/>
  <c r="H28" i="178" s="1"/>
  <c r="H42" i="178" s="1"/>
  <c r="G12" i="178"/>
  <c r="G28" i="178" s="1"/>
  <c r="F12" i="178"/>
  <c r="A12" i="178"/>
  <c r="J11" i="178"/>
  <c r="J27" i="178" s="1"/>
  <c r="J41" i="178" s="1"/>
  <c r="I11" i="178"/>
  <c r="H11" i="178"/>
  <c r="G11" i="178"/>
  <c r="G27" i="178" s="1"/>
  <c r="G41" i="178" s="1"/>
  <c r="F11" i="178"/>
  <c r="A11" i="178"/>
  <c r="A41" i="178" s="1"/>
  <c r="E79" i="178" s="1"/>
  <c r="E87" i="178" s="1"/>
  <c r="J10" i="178"/>
  <c r="J26" i="178"/>
  <c r="J40" i="178"/>
  <c r="I10" i="178"/>
  <c r="H10" i="178"/>
  <c r="G10" i="178"/>
  <c r="G26" i="178"/>
  <c r="F10" i="178"/>
  <c r="F26" i="178" s="1"/>
  <c r="F40" i="178" s="1"/>
  <c r="A10" i="178"/>
  <c r="J9" i="178"/>
  <c r="J25" i="178" s="1"/>
  <c r="J39" i="178" s="1"/>
  <c r="I9" i="178"/>
  <c r="I25" i="178" s="1"/>
  <c r="H9" i="178"/>
  <c r="H25" i="178" s="1"/>
  <c r="H39" i="178" s="1"/>
  <c r="G9" i="178"/>
  <c r="G25" i="178" s="1"/>
  <c r="F9" i="178"/>
  <c r="A9" i="178"/>
  <c r="J8" i="178"/>
  <c r="J24" i="178" s="1"/>
  <c r="I8" i="178"/>
  <c r="I24" i="178" s="1"/>
  <c r="I38" i="178" s="1"/>
  <c r="H8" i="178"/>
  <c r="H24" i="178" s="1"/>
  <c r="G8" i="178"/>
  <c r="G24" i="178"/>
  <c r="F8" i="178"/>
  <c r="F24" i="178" s="1"/>
  <c r="A8" i="178"/>
  <c r="A38" i="178" s="1"/>
  <c r="E76" i="178" s="1"/>
  <c r="E84" i="178" s="1"/>
  <c r="J7" i="178"/>
  <c r="J23" i="178" s="1"/>
  <c r="I7" i="178"/>
  <c r="I23" i="178" s="1"/>
  <c r="H7" i="178"/>
  <c r="G7" i="178"/>
  <c r="F7" i="178"/>
  <c r="F23" i="178" s="1"/>
  <c r="A7" i="178"/>
  <c r="A37" i="178" s="1"/>
  <c r="E75" i="178" s="1"/>
  <c r="E83" i="178" s="1"/>
  <c r="H4" i="178"/>
  <c r="I88" i="178"/>
  <c r="H88" i="178"/>
  <c r="I87" i="178"/>
  <c r="H87" i="178"/>
  <c r="I86" i="178"/>
  <c r="H86" i="178"/>
  <c r="I85" i="178"/>
  <c r="H85" i="178"/>
  <c r="I84" i="178"/>
  <c r="H84" i="178"/>
  <c r="I83" i="178"/>
  <c r="H83" i="178"/>
  <c r="F83" i="178"/>
  <c r="I80" i="178"/>
  <c r="H80" i="178"/>
  <c r="F80" i="178"/>
  <c r="F88" i="178" s="1"/>
  <c r="I79" i="178"/>
  <c r="H79" i="178"/>
  <c r="G79" i="178"/>
  <c r="F79" i="178"/>
  <c r="F87" i="178" s="1"/>
  <c r="I78" i="178"/>
  <c r="H78" i="178"/>
  <c r="G78" i="178"/>
  <c r="F78" i="178"/>
  <c r="F86" i="178" s="1"/>
  <c r="I77" i="178"/>
  <c r="H77" i="178"/>
  <c r="G77" i="178"/>
  <c r="F77" i="178"/>
  <c r="F85" i="178" s="1"/>
  <c r="I76" i="178"/>
  <c r="H76" i="178"/>
  <c r="G76" i="178"/>
  <c r="F76" i="178"/>
  <c r="F84" i="178"/>
  <c r="I75" i="178"/>
  <c r="H75" i="178"/>
  <c r="G75" i="178"/>
  <c r="A42" i="178"/>
  <c r="E80" i="178" s="1"/>
  <c r="E88" i="178" s="1"/>
  <c r="J37" i="178"/>
  <c r="I37" i="178"/>
  <c r="H37" i="178"/>
  <c r="G37" i="178"/>
  <c r="F37" i="178"/>
  <c r="J30" i="178"/>
  <c r="J44" i="178" s="1"/>
  <c r="I30" i="178"/>
  <c r="I44" i="178" s="1"/>
  <c r="H30" i="178"/>
  <c r="H44" i="178" s="1"/>
  <c r="G30" i="178"/>
  <c r="F30" i="178"/>
  <c r="F44" i="178" s="1"/>
  <c r="J29" i="178"/>
  <c r="J43" i="178" s="1"/>
  <c r="I29" i="178"/>
  <c r="I43" i="178" s="1"/>
  <c r="H29" i="178"/>
  <c r="G29" i="178"/>
  <c r="F29" i="178"/>
  <c r="F43" i="178" s="1"/>
  <c r="A28" i="178"/>
  <c r="K22" i="178"/>
  <c r="R6" i="178"/>
  <c r="G6" i="178"/>
  <c r="G36" i="178" s="1"/>
  <c r="J70" i="178" s="1"/>
  <c r="J90" i="178" s="1"/>
  <c r="F6" i="178"/>
  <c r="F22" i="178" s="1"/>
  <c r="A4" i="178"/>
  <c r="D2" i="178"/>
  <c r="E135" i="172"/>
  <c r="E143" i="172" s="1"/>
  <c r="A10" i="172"/>
  <c r="A29" i="172" s="1"/>
  <c r="E25" i="177"/>
  <c r="F25" i="177"/>
  <c r="G25" i="177"/>
  <c r="H25" i="177"/>
  <c r="I25" i="177"/>
  <c r="J25" i="177"/>
  <c r="E26" i="177"/>
  <c r="F26" i="177"/>
  <c r="G26" i="177"/>
  <c r="H26" i="177"/>
  <c r="I26" i="177"/>
  <c r="J26" i="177"/>
  <c r="E27" i="177"/>
  <c r="F27" i="177"/>
  <c r="G27" i="177"/>
  <c r="H27" i="177"/>
  <c r="K27" i="177" s="1"/>
  <c r="I27" i="177"/>
  <c r="J27" i="177"/>
  <c r="E28" i="177"/>
  <c r="F28" i="177"/>
  <c r="G28" i="177"/>
  <c r="H28" i="177"/>
  <c r="I28" i="177"/>
  <c r="J28" i="177"/>
  <c r="E29" i="177"/>
  <c r="F29" i="177"/>
  <c r="G29" i="177"/>
  <c r="H29" i="177"/>
  <c r="I29" i="177"/>
  <c r="J29" i="177"/>
  <c r="E30" i="177"/>
  <c r="F30" i="177"/>
  <c r="K30" i="177" s="1"/>
  <c r="G30" i="177"/>
  <c r="H30" i="177"/>
  <c r="I30" i="177"/>
  <c r="J30" i="177"/>
  <c r="E31" i="177"/>
  <c r="F31" i="177"/>
  <c r="G31" i="177"/>
  <c r="H31" i="177"/>
  <c r="K31" i="177" s="1"/>
  <c r="I31" i="177"/>
  <c r="J31" i="177"/>
  <c r="D26" i="177"/>
  <c r="D27" i="177"/>
  <c r="D28" i="177"/>
  <c r="D29" i="177"/>
  <c r="D30" i="177"/>
  <c r="D31" i="177"/>
  <c r="D25" i="177"/>
  <c r="J15" i="177"/>
  <c r="I15" i="177"/>
  <c r="H15" i="177"/>
  <c r="K15" i="177" s="1"/>
  <c r="G15" i="177"/>
  <c r="F15" i="177"/>
  <c r="J14" i="177"/>
  <c r="I14" i="177"/>
  <c r="H14" i="177"/>
  <c r="G14" i="177"/>
  <c r="F14" i="177"/>
  <c r="J13" i="177"/>
  <c r="I13" i="177"/>
  <c r="H13" i="177"/>
  <c r="G13" i="177"/>
  <c r="F13" i="177"/>
  <c r="J12" i="177"/>
  <c r="I12" i="177"/>
  <c r="H12" i="177"/>
  <c r="G12" i="177"/>
  <c r="F12" i="177"/>
  <c r="J11" i="177"/>
  <c r="I11" i="177"/>
  <c r="H11" i="177"/>
  <c r="G11" i="177"/>
  <c r="F11" i="177"/>
  <c r="J10" i="177"/>
  <c r="I10" i="177"/>
  <c r="H10" i="177"/>
  <c r="G10" i="177"/>
  <c r="F10" i="177"/>
  <c r="J9" i="177"/>
  <c r="I9" i="177"/>
  <c r="H9" i="177"/>
  <c r="G9" i="177"/>
  <c r="F9" i="177"/>
  <c r="A8" i="177"/>
  <c r="H4" i="177"/>
  <c r="G147" i="177"/>
  <c r="L144" i="177"/>
  <c r="L143" i="177"/>
  <c r="K142" i="177"/>
  <c r="J142" i="177"/>
  <c r="I142" i="177"/>
  <c r="H142" i="177"/>
  <c r="L142" i="177"/>
  <c r="K141" i="177"/>
  <c r="J141" i="177"/>
  <c r="I141" i="177"/>
  <c r="H141" i="177"/>
  <c r="L141" i="177" s="1"/>
  <c r="K140" i="177"/>
  <c r="J140" i="177"/>
  <c r="I140" i="177"/>
  <c r="H140" i="177"/>
  <c r="L140" i="177" s="1"/>
  <c r="K139" i="177"/>
  <c r="K147" i="177" s="1"/>
  <c r="J139" i="177"/>
  <c r="J147" i="177" s="1"/>
  <c r="I139" i="177"/>
  <c r="I147" i="177"/>
  <c r="G137" i="177"/>
  <c r="L134" i="177"/>
  <c r="L133" i="177"/>
  <c r="G124" i="177"/>
  <c r="L121" i="177"/>
  <c r="L120" i="177"/>
  <c r="K119" i="177"/>
  <c r="K132" i="177"/>
  <c r="J119" i="177"/>
  <c r="J132" i="177" s="1"/>
  <c r="I119" i="177"/>
  <c r="I132" i="177" s="1"/>
  <c r="H119" i="177"/>
  <c r="K118" i="177"/>
  <c r="K131" i="177" s="1"/>
  <c r="J118" i="177"/>
  <c r="J131" i="177" s="1"/>
  <c r="I118" i="177"/>
  <c r="I131" i="177" s="1"/>
  <c r="H118" i="177"/>
  <c r="H131" i="177" s="1"/>
  <c r="L131" i="177" s="1"/>
  <c r="K117" i="177"/>
  <c r="K130" i="177"/>
  <c r="J117" i="177"/>
  <c r="J130" i="177" s="1"/>
  <c r="I117" i="177"/>
  <c r="I130" i="177" s="1"/>
  <c r="H117" i="177"/>
  <c r="K116" i="177"/>
  <c r="J116" i="177"/>
  <c r="J124" i="177" s="1"/>
  <c r="I116" i="177"/>
  <c r="H116" i="177"/>
  <c r="H124" i="177" s="1"/>
  <c r="L124" i="177" s="1"/>
  <c r="G87" i="177"/>
  <c r="L84" i="177"/>
  <c r="L83" i="177"/>
  <c r="K82" i="177"/>
  <c r="J82" i="177"/>
  <c r="I82" i="177"/>
  <c r="H82" i="177"/>
  <c r="L82" i="177" s="1"/>
  <c r="K81" i="177"/>
  <c r="J81" i="177"/>
  <c r="I81" i="177"/>
  <c r="H81" i="177"/>
  <c r="L81" i="177" s="1"/>
  <c r="K80" i="177"/>
  <c r="J80" i="177"/>
  <c r="I80" i="177"/>
  <c r="H80" i="177"/>
  <c r="H87" i="177" s="1"/>
  <c r="L87" i="177" s="1"/>
  <c r="K79" i="177"/>
  <c r="K87" i="177" s="1"/>
  <c r="J79" i="177"/>
  <c r="J87" i="177" s="1"/>
  <c r="I79" i="177"/>
  <c r="G77" i="177"/>
  <c r="L74" i="177"/>
  <c r="L73" i="177"/>
  <c r="G64" i="177"/>
  <c r="L61" i="177"/>
  <c r="L60" i="177"/>
  <c r="J59" i="177"/>
  <c r="J72" i="177" s="1"/>
  <c r="I59" i="177"/>
  <c r="I72" i="177" s="1"/>
  <c r="H59" i="177"/>
  <c r="L59" i="177" s="1"/>
  <c r="K57" i="177"/>
  <c r="K70" i="177"/>
  <c r="J57" i="177"/>
  <c r="J70" i="177" s="1"/>
  <c r="I57" i="177"/>
  <c r="I70" i="177" s="1"/>
  <c r="H57" i="177"/>
  <c r="H70" i="177" s="1"/>
  <c r="L70" i="177" s="1"/>
  <c r="K56" i="177"/>
  <c r="K64" i="177"/>
  <c r="J56" i="177"/>
  <c r="J69" i="177"/>
  <c r="J77" i="177" s="1"/>
  <c r="I56" i="177"/>
  <c r="H56" i="177"/>
  <c r="J50" i="177"/>
  <c r="I50" i="177"/>
  <c r="H50" i="177"/>
  <c r="G50" i="177"/>
  <c r="F50" i="177"/>
  <c r="K50" i="177" s="1"/>
  <c r="J49" i="177"/>
  <c r="I49" i="177"/>
  <c r="H49" i="177"/>
  <c r="G49" i="177"/>
  <c r="F49" i="177"/>
  <c r="J48" i="177"/>
  <c r="I48" i="177"/>
  <c r="H48" i="177"/>
  <c r="G48" i="177"/>
  <c r="F48" i="177"/>
  <c r="J47" i="177"/>
  <c r="I47" i="177"/>
  <c r="H47" i="177"/>
  <c r="G47" i="177"/>
  <c r="F47" i="177"/>
  <c r="J46" i="177"/>
  <c r="I46" i="177"/>
  <c r="H46" i="177"/>
  <c r="G46" i="177"/>
  <c r="F46" i="177"/>
  <c r="J45" i="177"/>
  <c r="I45" i="177"/>
  <c r="H45" i="177"/>
  <c r="G45" i="177"/>
  <c r="F45" i="177"/>
  <c r="J44" i="177"/>
  <c r="I44" i="177"/>
  <c r="H44" i="177"/>
  <c r="G44" i="177"/>
  <c r="G52" i="177" s="1"/>
  <c r="F44" i="177"/>
  <c r="K43" i="177"/>
  <c r="K59" i="177" s="1"/>
  <c r="K72" i="177" s="1"/>
  <c r="A43" i="177"/>
  <c r="K42" i="177"/>
  <c r="K58" i="177" s="1"/>
  <c r="K71" i="177" s="1"/>
  <c r="K36" i="177"/>
  <c r="K21" i="177"/>
  <c r="A15" i="177"/>
  <c r="A50" i="177" s="1"/>
  <c r="A24" i="177"/>
  <c r="G6" i="177"/>
  <c r="G42" i="177" s="1"/>
  <c r="F6" i="177"/>
  <c r="F21" i="177" s="1"/>
  <c r="M23" i="177" s="1"/>
  <c r="A4" i="177"/>
  <c r="P2" i="177"/>
  <c r="L31" i="1" s="1"/>
  <c r="D2" i="177"/>
  <c r="J14" i="78"/>
  <c r="I14" i="78"/>
  <c r="H14" i="78"/>
  <c r="G14" i="78"/>
  <c r="F14" i="78"/>
  <c r="A14" i="78"/>
  <c r="J13" i="78"/>
  <c r="I13" i="78"/>
  <c r="K13" i="78" s="1"/>
  <c r="H13" i="78"/>
  <c r="G13" i="78"/>
  <c r="F13" i="78"/>
  <c r="A13" i="78"/>
  <c r="J12" i="78"/>
  <c r="I12" i="78"/>
  <c r="H12" i="78"/>
  <c r="G12" i="78"/>
  <c r="G28" i="78" s="1"/>
  <c r="F12" i="78"/>
  <c r="A12" i="78"/>
  <c r="J11" i="78"/>
  <c r="I11" i="78"/>
  <c r="H11" i="78"/>
  <c r="G11" i="78"/>
  <c r="F11" i="78"/>
  <c r="F17" i="78" s="1"/>
  <c r="A11" i="78"/>
  <c r="A27" i="78" s="1"/>
  <c r="J10" i="78"/>
  <c r="I10" i="78"/>
  <c r="H10" i="78"/>
  <c r="G10" i="78"/>
  <c r="F10" i="78"/>
  <c r="A10" i="78"/>
  <c r="J9" i="78"/>
  <c r="J17" i="78" s="1"/>
  <c r="I9" i="78"/>
  <c r="I17" i="78" s="1"/>
  <c r="H9" i="78"/>
  <c r="G9" i="78"/>
  <c r="F9" i="78"/>
  <c r="A9" i="78"/>
  <c r="J8" i="78"/>
  <c r="I8" i="78"/>
  <c r="H8" i="78"/>
  <c r="G8" i="78"/>
  <c r="G16" i="78" s="1"/>
  <c r="F8" i="78"/>
  <c r="A8" i="78"/>
  <c r="J7" i="78"/>
  <c r="I7" i="78"/>
  <c r="H7" i="78"/>
  <c r="G7" i="78"/>
  <c r="F7" i="78"/>
  <c r="F16" i="78" s="1"/>
  <c r="A7" i="78"/>
  <c r="A23" i="78" s="1"/>
  <c r="H4" i="78"/>
  <c r="G158" i="176"/>
  <c r="L155" i="176"/>
  <c r="L154" i="176"/>
  <c r="K153" i="176"/>
  <c r="J153" i="176"/>
  <c r="I153" i="176"/>
  <c r="H153" i="176"/>
  <c r="L153" i="176" s="1"/>
  <c r="K152" i="176"/>
  <c r="J152" i="176"/>
  <c r="I152" i="176"/>
  <c r="H152" i="176"/>
  <c r="L152" i="176"/>
  <c r="K151" i="176"/>
  <c r="J151" i="176"/>
  <c r="I151" i="176"/>
  <c r="H151" i="176"/>
  <c r="K150" i="176"/>
  <c r="K158" i="176" s="1"/>
  <c r="J150" i="176"/>
  <c r="J158" i="176" s="1"/>
  <c r="I150" i="176"/>
  <c r="I158" i="176" s="1"/>
  <c r="G148" i="176"/>
  <c r="L145" i="176"/>
  <c r="L144" i="176"/>
  <c r="G135" i="176"/>
  <c r="L132" i="176"/>
  <c r="L131" i="176"/>
  <c r="K130" i="176"/>
  <c r="K143" i="176" s="1"/>
  <c r="J130" i="176"/>
  <c r="J143" i="176" s="1"/>
  <c r="I130" i="176"/>
  <c r="I143" i="176" s="1"/>
  <c r="H130" i="176"/>
  <c r="K129" i="176"/>
  <c r="K142" i="176"/>
  <c r="J129" i="176"/>
  <c r="J142" i="176" s="1"/>
  <c r="I129" i="176"/>
  <c r="I142" i="176"/>
  <c r="H129" i="176"/>
  <c r="K128" i="176"/>
  <c r="K141" i="176"/>
  <c r="J128" i="176"/>
  <c r="J141" i="176" s="1"/>
  <c r="I128" i="176"/>
  <c r="I141" i="176" s="1"/>
  <c r="H128" i="176"/>
  <c r="K127" i="176"/>
  <c r="J127" i="176"/>
  <c r="I127" i="176"/>
  <c r="I140" i="176" s="1"/>
  <c r="I148" i="176" s="1"/>
  <c r="H127" i="176"/>
  <c r="H135" i="176"/>
  <c r="L135" i="176" s="1"/>
  <c r="S121" i="176"/>
  <c r="R121" i="176"/>
  <c r="Q121" i="176"/>
  <c r="P121" i="176"/>
  <c r="O121" i="176"/>
  <c r="N121" i="176"/>
  <c r="M121" i="176"/>
  <c r="L121" i="176"/>
  <c r="G121" i="176"/>
  <c r="D121" i="176"/>
  <c r="M120" i="176"/>
  <c r="D120" i="176"/>
  <c r="M115" i="176"/>
  <c r="G115" i="176"/>
  <c r="M114" i="176"/>
  <c r="M113" i="176"/>
  <c r="M112" i="176"/>
  <c r="J112" i="176"/>
  <c r="G112" i="176"/>
  <c r="S111" i="176"/>
  <c r="O111" i="176"/>
  <c r="N111" i="176"/>
  <c r="M111" i="176"/>
  <c r="L111" i="176"/>
  <c r="H111" i="176"/>
  <c r="G111" i="176"/>
  <c r="D111" i="176"/>
  <c r="K73" i="176"/>
  <c r="K119" i="176" s="1"/>
  <c r="J73" i="176"/>
  <c r="J119" i="176" s="1"/>
  <c r="I73" i="176"/>
  <c r="I119" i="176" s="1"/>
  <c r="H73" i="176"/>
  <c r="G73" i="176"/>
  <c r="N73" i="176" s="1"/>
  <c r="N119" i="176" s="1"/>
  <c r="A73" i="176"/>
  <c r="D119" i="176" s="1"/>
  <c r="J72" i="176"/>
  <c r="I72" i="176"/>
  <c r="H72" i="176"/>
  <c r="G72" i="176"/>
  <c r="G118" i="176"/>
  <c r="A72" i="176"/>
  <c r="D118" i="176" s="1"/>
  <c r="I71" i="176"/>
  <c r="H71" i="176"/>
  <c r="G71" i="176"/>
  <c r="A71" i="176"/>
  <c r="D117" i="176" s="1"/>
  <c r="I70" i="176"/>
  <c r="I116" i="176"/>
  <c r="H70" i="176"/>
  <c r="H116" i="176" s="1"/>
  <c r="G70" i="176"/>
  <c r="G116" i="176" s="1"/>
  <c r="A70" i="176"/>
  <c r="D116" i="176" s="1"/>
  <c r="N69" i="176"/>
  <c r="N115" i="176"/>
  <c r="I69" i="176"/>
  <c r="H69" i="176"/>
  <c r="H115" i="176" s="1"/>
  <c r="A69" i="176"/>
  <c r="D115" i="176" s="1"/>
  <c r="I68" i="176"/>
  <c r="I114" i="176"/>
  <c r="H68" i="176"/>
  <c r="G68" i="176"/>
  <c r="G114" i="176"/>
  <c r="A68" i="176"/>
  <c r="D114" i="176" s="1"/>
  <c r="I67" i="176"/>
  <c r="H67" i="176"/>
  <c r="H113" i="176" s="1"/>
  <c r="G67" i="176"/>
  <c r="A67" i="176"/>
  <c r="D113" i="176" s="1"/>
  <c r="K66" i="176"/>
  <c r="K112" i="176" s="1"/>
  <c r="J66" i="176"/>
  <c r="I66" i="176"/>
  <c r="H66" i="176"/>
  <c r="A66" i="176"/>
  <c r="D112" i="176" s="1"/>
  <c r="O65" i="176"/>
  <c r="N65" i="176"/>
  <c r="H65" i="176"/>
  <c r="G65" i="176"/>
  <c r="K57" i="176"/>
  <c r="J57" i="176"/>
  <c r="I57" i="176"/>
  <c r="H57" i="176"/>
  <c r="G57" i="176"/>
  <c r="H56" i="176"/>
  <c r="G56" i="176"/>
  <c r="G51" i="176"/>
  <c r="H47" i="176"/>
  <c r="G47" i="176"/>
  <c r="I43" i="176"/>
  <c r="H43" i="176"/>
  <c r="G43" i="176"/>
  <c r="I41" i="176"/>
  <c r="H41" i="176"/>
  <c r="O38" i="176" s="1"/>
  <c r="G41" i="176"/>
  <c r="A40" i="176"/>
  <c r="N39" i="176"/>
  <c r="L39" i="176"/>
  <c r="A39" i="176"/>
  <c r="N38" i="176"/>
  <c r="A38" i="176"/>
  <c r="J71" i="176"/>
  <c r="A37" i="176"/>
  <c r="A36" i="176"/>
  <c r="N35" i="176"/>
  <c r="A35" i="176"/>
  <c r="N34" i="176"/>
  <c r="A34" i="176"/>
  <c r="N33" i="176"/>
  <c r="A33" i="176"/>
  <c r="L32" i="176"/>
  <c r="A32" i="176"/>
  <c r="S30" i="176"/>
  <c r="H30" i="176"/>
  <c r="O30" i="176" s="1"/>
  <c r="G30" i="176"/>
  <c r="N30" i="176" s="1"/>
  <c r="I26" i="176"/>
  <c r="H26" i="176"/>
  <c r="G26" i="176"/>
  <c r="I24" i="176"/>
  <c r="P22" i="176" s="1"/>
  <c r="H24" i="176"/>
  <c r="H48" i="176"/>
  <c r="G24" i="176"/>
  <c r="H25" i="176" s="1"/>
  <c r="A23" i="176"/>
  <c r="N22" i="176"/>
  <c r="L22" i="176"/>
  <c r="O21" i="176"/>
  <c r="N21" i="176"/>
  <c r="L21" i="176"/>
  <c r="N20" i="176"/>
  <c r="N19" i="176"/>
  <c r="N18" i="176"/>
  <c r="N17" i="176"/>
  <c r="O16" i="176"/>
  <c r="N16" i="176"/>
  <c r="J67" i="176"/>
  <c r="N15" i="176"/>
  <c r="L15" i="176"/>
  <c r="O13" i="176"/>
  <c r="N13" i="176"/>
  <c r="H13" i="176"/>
  <c r="G13" i="176"/>
  <c r="A4" i="176"/>
  <c r="D2" i="176"/>
  <c r="B70" i="74"/>
  <c r="B71" i="74"/>
  <c r="B69" i="74"/>
  <c r="B46" i="74"/>
  <c r="B37" i="74"/>
  <c r="B42" i="175"/>
  <c r="B40" i="175"/>
  <c r="B38" i="175"/>
  <c r="B37" i="175"/>
  <c r="H4" i="175"/>
  <c r="K150" i="175"/>
  <c r="K149" i="175"/>
  <c r="K148" i="175"/>
  <c r="K147" i="175"/>
  <c r="E142" i="175"/>
  <c r="E141" i="175"/>
  <c r="G141" i="175"/>
  <c r="A114" i="175"/>
  <c r="K108" i="175"/>
  <c r="H82" i="175"/>
  <c r="F82" i="175"/>
  <c r="J66" i="175"/>
  <c r="J65" i="175"/>
  <c r="J64" i="175"/>
  <c r="E112" i="175"/>
  <c r="H31" i="175"/>
  <c r="F31" i="175"/>
  <c r="L29" i="175"/>
  <c r="L28" i="175"/>
  <c r="L26" i="175"/>
  <c r="L25" i="175"/>
  <c r="L23" i="175"/>
  <c r="F15" i="175"/>
  <c r="F14" i="175"/>
  <c r="F13" i="175"/>
  <c r="L24" i="175"/>
  <c r="F12" i="175"/>
  <c r="J78" i="175" s="1"/>
  <c r="L78" i="175" s="1"/>
  <c r="F11" i="175"/>
  <c r="L22" i="175"/>
  <c r="F10" i="175"/>
  <c r="J77" i="175" s="1"/>
  <c r="L77" i="175"/>
  <c r="F9" i="175"/>
  <c r="J76" i="175" s="1"/>
  <c r="L76" i="175" s="1"/>
  <c r="L21" i="175"/>
  <c r="A4" i="175"/>
  <c r="L109" i="1"/>
  <c r="D2" i="175"/>
  <c r="H4" i="174"/>
  <c r="K81" i="174"/>
  <c r="I81" i="174"/>
  <c r="G81" i="174"/>
  <c r="G57" i="174"/>
  <c r="K55" i="174"/>
  <c r="K54" i="174"/>
  <c r="K53" i="174"/>
  <c r="M53" i="174" s="1"/>
  <c r="K52" i="174"/>
  <c r="K51" i="174"/>
  <c r="I50" i="174"/>
  <c r="K37" i="174"/>
  <c r="F61" i="175" s="1"/>
  <c r="K36" i="174"/>
  <c r="F60" i="175"/>
  <c r="K35" i="174"/>
  <c r="F59" i="175" s="1"/>
  <c r="K34" i="174"/>
  <c r="F58" i="175"/>
  <c r="K33" i="174"/>
  <c r="K32" i="174"/>
  <c r="F56" i="175" s="1"/>
  <c r="F55" i="175"/>
  <c r="K30" i="174"/>
  <c r="F54" i="175" s="1"/>
  <c r="K29" i="174"/>
  <c r="F53" i="175"/>
  <c r="K25" i="174"/>
  <c r="I25" i="174" s="1"/>
  <c r="K24" i="174"/>
  <c r="I24" i="174" s="1"/>
  <c r="K23" i="174"/>
  <c r="I23" i="174"/>
  <c r="K22" i="174"/>
  <c r="I22" i="174" s="1"/>
  <c r="K21" i="174"/>
  <c r="I21" i="174"/>
  <c r="K20" i="174"/>
  <c r="I20" i="174" s="1"/>
  <c r="K19" i="174"/>
  <c r="I19" i="174" s="1"/>
  <c r="K18" i="174"/>
  <c r="I18" i="174" s="1"/>
  <c r="K17" i="174"/>
  <c r="I17" i="174" s="1"/>
  <c r="K16" i="174"/>
  <c r="I16" i="174" s="1"/>
  <c r="G15" i="174"/>
  <c r="K11" i="174"/>
  <c r="I11" i="174" s="1"/>
  <c r="K10" i="174"/>
  <c r="B9" i="174"/>
  <c r="I7" i="174"/>
  <c r="I46" i="174" s="1"/>
  <c r="A4" i="174"/>
  <c r="D2" i="174"/>
  <c r="J14" i="102"/>
  <c r="I14" i="102"/>
  <c r="H14" i="102"/>
  <c r="G14" i="102"/>
  <c r="F14" i="102"/>
  <c r="A14" i="102"/>
  <c r="J13" i="102"/>
  <c r="I13" i="102"/>
  <c r="H13" i="102"/>
  <c r="G13" i="102"/>
  <c r="F13" i="102"/>
  <c r="A13" i="102"/>
  <c r="J12" i="102"/>
  <c r="I12" i="102"/>
  <c r="H12" i="102"/>
  <c r="H27" i="102" s="1"/>
  <c r="G12" i="102"/>
  <c r="F12" i="102"/>
  <c r="K12" i="102" s="1"/>
  <c r="A12" i="102"/>
  <c r="A27" i="102" s="1"/>
  <c r="J11" i="102"/>
  <c r="I11" i="102"/>
  <c r="H11" i="102"/>
  <c r="G11" i="102"/>
  <c r="F11" i="102"/>
  <c r="A11" i="102"/>
  <c r="J10" i="102"/>
  <c r="J25" i="102" s="1"/>
  <c r="J38" i="102" s="1"/>
  <c r="I10" i="102"/>
  <c r="I16" i="102" s="1"/>
  <c r="H10" i="102"/>
  <c r="G10" i="102"/>
  <c r="F10" i="102"/>
  <c r="A10" i="102"/>
  <c r="J9" i="102"/>
  <c r="I9" i="102"/>
  <c r="H9" i="102"/>
  <c r="H24" i="102" s="1"/>
  <c r="H37" i="102" s="1"/>
  <c r="G9" i="102"/>
  <c r="F9" i="102"/>
  <c r="F24" i="102" s="1"/>
  <c r="A9" i="102"/>
  <c r="J8" i="102"/>
  <c r="I8" i="102"/>
  <c r="H8" i="102"/>
  <c r="G8" i="102"/>
  <c r="F8" i="102"/>
  <c r="F23" i="102" s="1"/>
  <c r="A8" i="102"/>
  <c r="A23" i="102" s="1"/>
  <c r="J7" i="102"/>
  <c r="I7" i="102"/>
  <c r="H7" i="102"/>
  <c r="G7" i="102"/>
  <c r="F7" i="102"/>
  <c r="A7" i="102"/>
  <c r="I146" i="172"/>
  <c r="H146" i="172"/>
  <c r="I145" i="172"/>
  <c r="H145" i="172"/>
  <c r="I144" i="172"/>
  <c r="H144" i="172"/>
  <c r="I143" i="172"/>
  <c r="H143" i="172"/>
  <c r="I142" i="172"/>
  <c r="H142" i="172"/>
  <c r="I141" i="172"/>
  <c r="H141" i="172"/>
  <c r="F141" i="172"/>
  <c r="I138" i="172"/>
  <c r="H138" i="172"/>
  <c r="F138" i="172"/>
  <c r="F146" i="172" s="1"/>
  <c r="I137" i="172"/>
  <c r="H137" i="172"/>
  <c r="G137" i="172"/>
  <c r="F137" i="172"/>
  <c r="F145" i="172" s="1"/>
  <c r="I136" i="172"/>
  <c r="H136" i="172"/>
  <c r="G136" i="172"/>
  <c r="F136" i="172"/>
  <c r="F144" i="172"/>
  <c r="I135" i="172"/>
  <c r="H135" i="172"/>
  <c r="G135" i="172"/>
  <c r="F135" i="172"/>
  <c r="F143" i="172" s="1"/>
  <c r="I134" i="172"/>
  <c r="H134" i="172"/>
  <c r="G134" i="172"/>
  <c r="F134" i="172"/>
  <c r="F142" i="172" s="1"/>
  <c r="I133" i="172"/>
  <c r="H133" i="172"/>
  <c r="G133" i="172"/>
  <c r="F6" i="172"/>
  <c r="L6" i="172" s="1"/>
  <c r="A4" i="172"/>
  <c r="P2" i="172"/>
  <c r="L24" i="1" s="1"/>
  <c r="O2" i="172"/>
  <c r="K24" i="1" s="1"/>
  <c r="D2" i="172"/>
  <c r="F9" i="171"/>
  <c r="A15" i="171"/>
  <c r="A50" i="171"/>
  <c r="A14" i="171"/>
  <c r="A49" i="171" s="1"/>
  <c r="A13" i="171"/>
  <c r="A48" i="171"/>
  <c r="A12" i="171"/>
  <c r="A11" i="171"/>
  <c r="A27" i="171" s="1"/>
  <c r="A10" i="171"/>
  <c r="A9" i="171"/>
  <c r="A8" i="171"/>
  <c r="A43" i="171" s="1"/>
  <c r="H4" i="171"/>
  <c r="G120" i="171"/>
  <c r="L117" i="171"/>
  <c r="L116" i="171"/>
  <c r="K115" i="171"/>
  <c r="J115" i="171"/>
  <c r="I115" i="171"/>
  <c r="H115" i="171"/>
  <c r="L115" i="171" s="1"/>
  <c r="K114" i="171"/>
  <c r="J114" i="171"/>
  <c r="I114" i="171"/>
  <c r="H114" i="171"/>
  <c r="L114" i="171" s="1"/>
  <c r="K113" i="171"/>
  <c r="J113" i="171"/>
  <c r="I113" i="171"/>
  <c r="H113" i="171"/>
  <c r="H120" i="171" s="1"/>
  <c r="L120" i="171"/>
  <c r="K112" i="171"/>
  <c r="K120" i="171" s="1"/>
  <c r="J112" i="171"/>
  <c r="J120" i="171" s="1"/>
  <c r="I112" i="171"/>
  <c r="G110" i="171"/>
  <c r="L107" i="171"/>
  <c r="L106" i="171"/>
  <c r="G97" i="171"/>
  <c r="L94" i="171"/>
  <c r="L93" i="171"/>
  <c r="K92" i="171"/>
  <c r="K105" i="171" s="1"/>
  <c r="J92" i="171"/>
  <c r="J105" i="171"/>
  <c r="I92" i="171"/>
  <c r="I105" i="171" s="1"/>
  <c r="H92" i="171"/>
  <c r="H105" i="171"/>
  <c r="L105" i="171" s="1"/>
  <c r="K91" i="171"/>
  <c r="K104" i="171" s="1"/>
  <c r="J91" i="171"/>
  <c r="J104" i="171"/>
  <c r="I91" i="171"/>
  <c r="I104" i="171" s="1"/>
  <c r="H91" i="171"/>
  <c r="K90" i="171"/>
  <c r="K103" i="171"/>
  <c r="J90" i="171"/>
  <c r="J103" i="171" s="1"/>
  <c r="I90" i="171"/>
  <c r="I103" i="171" s="1"/>
  <c r="H90" i="171"/>
  <c r="H103" i="171" s="1"/>
  <c r="L103" i="171" s="1"/>
  <c r="K89" i="171"/>
  <c r="J89" i="171"/>
  <c r="J97" i="171"/>
  <c r="I89" i="171"/>
  <c r="H89" i="171"/>
  <c r="K43" i="171"/>
  <c r="K42" i="171"/>
  <c r="K56" i="171" s="1"/>
  <c r="K36" i="171"/>
  <c r="K21" i="171"/>
  <c r="A29" i="171"/>
  <c r="A25" i="171"/>
  <c r="K8" i="171"/>
  <c r="J21" i="171"/>
  <c r="Q23" i="171" s="1"/>
  <c r="G6" i="171"/>
  <c r="F6" i="171"/>
  <c r="A4" i="171"/>
  <c r="D2" i="171"/>
  <c r="G158" i="170"/>
  <c r="L155" i="170"/>
  <c r="L154" i="170"/>
  <c r="K153" i="170"/>
  <c r="J153" i="170"/>
  <c r="I153" i="170"/>
  <c r="H153" i="170"/>
  <c r="L153" i="170" s="1"/>
  <c r="K152" i="170"/>
  <c r="J152" i="170"/>
  <c r="I152" i="170"/>
  <c r="H152" i="170"/>
  <c r="L152" i="170" s="1"/>
  <c r="K151" i="170"/>
  <c r="J151" i="170"/>
  <c r="I151" i="170"/>
  <c r="H151" i="170"/>
  <c r="K150" i="170"/>
  <c r="K158" i="170" s="1"/>
  <c r="J150" i="170"/>
  <c r="J158" i="170" s="1"/>
  <c r="I150" i="170"/>
  <c r="G148" i="170"/>
  <c r="L145" i="170"/>
  <c r="L144" i="170"/>
  <c r="G135" i="170"/>
  <c r="L132" i="170"/>
  <c r="L131" i="170"/>
  <c r="K130" i="170"/>
  <c r="K143" i="170" s="1"/>
  <c r="J130" i="170"/>
  <c r="J143" i="170" s="1"/>
  <c r="I130" i="170"/>
  <c r="I143" i="170"/>
  <c r="H130" i="170"/>
  <c r="L130" i="170" s="1"/>
  <c r="K129" i="170"/>
  <c r="K142" i="170"/>
  <c r="J129" i="170"/>
  <c r="J142" i="170" s="1"/>
  <c r="I129" i="170"/>
  <c r="I142" i="170" s="1"/>
  <c r="H129" i="170"/>
  <c r="K128" i="170"/>
  <c r="K141" i="170" s="1"/>
  <c r="J128" i="170"/>
  <c r="J141" i="170" s="1"/>
  <c r="I128" i="170"/>
  <c r="I141" i="170" s="1"/>
  <c r="H128" i="170"/>
  <c r="H141" i="170" s="1"/>
  <c r="L141" i="170" s="1"/>
  <c r="K127" i="170"/>
  <c r="K135" i="170" s="1"/>
  <c r="J127" i="170"/>
  <c r="J135" i="170" s="1"/>
  <c r="I127" i="170"/>
  <c r="H127" i="170"/>
  <c r="S121" i="170"/>
  <c r="R121" i="170"/>
  <c r="Q121" i="170"/>
  <c r="P121" i="170"/>
  <c r="O121" i="170"/>
  <c r="N121" i="170"/>
  <c r="M121" i="170"/>
  <c r="L121" i="170"/>
  <c r="G121" i="170"/>
  <c r="D121" i="170"/>
  <c r="M120" i="170"/>
  <c r="D120" i="170"/>
  <c r="H119" i="170"/>
  <c r="J117" i="170"/>
  <c r="M115" i="170"/>
  <c r="G115" i="170"/>
  <c r="M114" i="170"/>
  <c r="M113" i="170"/>
  <c r="M112" i="170"/>
  <c r="G112" i="170"/>
  <c r="S111" i="170"/>
  <c r="R111" i="170"/>
  <c r="Q111" i="170"/>
  <c r="P111" i="170"/>
  <c r="O111" i="170"/>
  <c r="N111" i="170"/>
  <c r="M111" i="170"/>
  <c r="L111" i="170"/>
  <c r="K111" i="170"/>
  <c r="J111" i="170"/>
  <c r="I111" i="170"/>
  <c r="H111" i="170"/>
  <c r="G111" i="170"/>
  <c r="D111" i="170"/>
  <c r="K119" i="170"/>
  <c r="I119" i="170"/>
  <c r="G119" i="170"/>
  <c r="A73" i="170"/>
  <c r="D119" i="170" s="1"/>
  <c r="I118" i="170"/>
  <c r="H118" i="170"/>
  <c r="A72" i="170"/>
  <c r="D118" i="170" s="1"/>
  <c r="I117" i="170"/>
  <c r="H117" i="170"/>
  <c r="A71" i="170"/>
  <c r="D117" i="170" s="1"/>
  <c r="I116" i="170"/>
  <c r="H116" i="170"/>
  <c r="G116" i="170"/>
  <c r="A70" i="170"/>
  <c r="D116" i="170" s="1"/>
  <c r="N69" i="170"/>
  <c r="N115" i="170" s="1"/>
  <c r="A69" i="170"/>
  <c r="D115" i="170" s="1"/>
  <c r="I114" i="170"/>
  <c r="H114" i="170"/>
  <c r="G114" i="170"/>
  <c r="A68" i="170"/>
  <c r="D114" i="170"/>
  <c r="H113" i="170"/>
  <c r="A67" i="170"/>
  <c r="D113" i="170" s="1"/>
  <c r="J112" i="170"/>
  <c r="I112" i="170"/>
  <c r="H112" i="170"/>
  <c r="A66" i="170"/>
  <c r="D112" i="170"/>
  <c r="O65" i="170"/>
  <c r="N65" i="170"/>
  <c r="H65" i="170"/>
  <c r="G65" i="170"/>
  <c r="K57" i="170"/>
  <c r="J57" i="170"/>
  <c r="I57" i="170"/>
  <c r="H57" i="170"/>
  <c r="G57" i="170"/>
  <c r="H56" i="170"/>
  <c r="G56" i="170"/>
  <c r="G51" i="170"/>
  <c r="H47" i="170"/>
  <c r="G47" i="170"/>
  <c r="J43" i="170"/>
  <c r="I43" i="170"/>
  <c r="H43" i="170"/>
  <c r="G43" i="170"/>
  <c r="J41" i="170"/>
  <c r="I41" i="170"/>
  <c r="I49" i="170" s="1"/>
  <c r="H41" i="170"/>
  <c r="G41" i="170"/>
  <c r="A40" i="170"/>
  <c r="N39" i="170"/>
  <c r="L39" i="170"/>
  <c r="A39" i="170"/>
  <c r="A38" i="170"/>
  <c r="L37" i="170"/>
  <c r="A37" i="170"/>
  <c r="A36" i="170"/>
  <c r="N35" i="170"/>
  <c r="A35" i="170"/>
  <c r="A34" i="170"/>
  <c r="L33" i="170"/>
  <c r="A33" i="170"/>
  <c r="L32" i="170"/>
  <c r="A32" i="170"/>
  <c r="S30" i="170"/>
  <c r="H30" i="170"/>
  <c r="O30" i="170" s="1"/>
  <c r="G30" i="170"/>
  <c r="N30" i="170" s="1"/>
  <c r="I26" i="170"/>
  <c r="H26" i="170"/>
  <c r="G26" i="170"/>
  <c r="I24" i="170"/>
  <c r="I25" i="170" s="1"/>
  <c r="P21" i="170"/>
  <c r="H24" i="170"/>
  <c r="O21" i="170"/>
  <c r="G24" i="170"/>
  <c r="A23" i="170"/>
  <c r="L22" i="170"/>
  <c r="L21" i="170"/>
  <c r="L20" i="170"/>
  <c r="J24" i="170"/>
  <c r="Q21" i="170"/>
  <c r="L15" i="170"/>
  <c r="O13" i="170"/>
  <c r="N13" i="170"/>
  <c r="H13" i="170"/>
  <c r="G13" i="170"/>
  <c r="A4" i="170"/>
  <c r="L26" i="1"/>
  <c r="D2" i="170"/>
  <c r="H143" i="170"/>
  <c r="L143" i="170"/>
  <c r="O15" i="176"/>
  <c r="O19" i="176"/>
  <c r="O22" i="176"/>
  <c r="L150" i="176"/>
  <c r="J64" i="177"/>
  <c r="L118" i="177"/>
  <c r="G17" i="177"/>
  <c r="G37" i="177" s="1"/>
  <c r="K12" i="177"/>
  <c r="L128" i="170"/>
  <c r="L127" i="176"/>
  <c r="J129" i="177"/>
  <c r="J137" i="177" s="1"/>
  <c r="O18" i="176"/>
  <c r="O20" i="176"/>
  <c r="H140" i="176"/>
  <c r="K69" i="177"/>
  <c r="K77" i="177" s="1"/>
  <c r="L139" i="177"/>
  <c r="N72" i="176"/>
  <c r="N118" i="176" s="1"/>
  <c r="L57" i="177"/>
  <c r="L80" i="177"/>
  <c r="L116" i="177"/>
  <c r="H129" i="177"/>
  <c r="F34" i="180"/>
  <c r="O34" i="176"/>
  <c r="I25" i="176"/>
  <c r="F17" i="177"/>
  <c r="F37" i="177" s="1"/>
  <c r="K13" i="177"/>
  <c r="N68" i="176"/>
  <c r="N114" i="176" s="1"/>
  <c r="I48" i="176"/>
  <c r="K10" i="177"/>
  <c r="G113" i="176"/>
  <c r="P21" i="176"/>
  <c r="N16" i="170"/>
  <c r="N21" i="170"/>
  <c r="P22" i="170"/>
  <c r="P16" i="170"/>
  <c r="Q22" i="170"/>
  <c r="Q16" i="170"/>
  <c r="O22" i="170"/>
  <c r="O16" i="170"/>
  <c r="L113" i="171"/>
  <c r="A24" i="171"/>
  <c r="Q38" i="170"/>
  <c r="Q33" i="170"/>
  <c r="P38" i="170"/>
  <c r="P33" i="170"/>
  <c r="O38" i="170"/>
  <c r="O33" i="170"/>
  <c r="N33" i="170"/>
  <c r="N38" i="170"/>
  <c r="Q37" i="170"/>
  <c r="Q34" i="170"/>
  <c r="P36" i="170"/>
  <c r="P34" i="170"/>
  <c r="O35" i="170"/>
  <c r="O34" i="170"/>
  <c r="N19" i="170"/>
  <c r="N22" i="170"/>
  <c r="O17" i="170"/>
  <c r="O19" i="170"/>
  <c r="L57" i="170"/>
  <c r="N15" i="170"/>
  <c r="N17" i="170"/>
  <c r="H48" i="170"/>
  <c r="O20" i="170"/>
  <c r="P17" i="170"/>
  <c r="P19" i="170"/>
  <c r="Q19" i="170"/>
  <c r="Q17" i="170"/>
  <c r="K11" i="171"/>
  <c r="G58" i="170"/>
  <c r="L73" i="170"/>
  <c r="L119" i="170"/>
  <c r="F27" i="178"/>
  <c r="K25" i="171"/>
  <c r="K13" i="178"/>
  <c r="H44" i="170"/>
  <c r="I44" i="170"/>
  <c r="L66" i="170"/>
  <c r="L112" i="170" s="1"/>
  <c r="M6" i="180"/>
  <c r="K75" i="180"/>
  <c r="K95" i="180" s="1"/>
  <c r="J17" i="171"/>
  <c r="J37" i="171" s="1"/>
  <c r="K29" i="180"/>
  <c r="A35" i="180"/>
  <c r="G79" i="180"/>
  <c r="K28" i="180"/>
  <c r="G36" i="180"/>
  <c r="I36" i="180"/>
  <c r="G90" i="180"/>
  <c r="G82" i="180"/>
  <c r="G37" i="180"/>
  <c r="G40" i="180"/>
  <c r="G81" i="180"/>
  <c r="G89" i="180"/>
  <c r="A24" i="180"/>
  <c r="G25" i="180"/>
  <c r="J23" i="180"/>
  <c r="F27" i="180"/>
  <c r="F40" i="180" s="1"/>
  <c r="K8" i="180"/>
  <c r="J26" i="180"/>
  <c r="J39" i="180" s="1"/>
  <c r="G80" i="180"/>
  <c r="G87" i="180"/>
  <c r="G34" i="179"/>
  <c r="Q6" i="178"/>
  <c r="A27" i="178"/>
  <c r="H38" i="178"/>
  <c r="G42" i="178"/>
  <c r="G39" i="178"/>
  <c r="F38" i="178"/>
  <c r="I39" i="178"/>
  <c r="K8" i="178"/>
  <c r="I16" i="178"/>
  <c r="A24" i="178"/>
  <c r="F25" i="178"/>
  <c r="F39" i="178"/>
  <c r="G43" i="178"/>
  <c r="F17" i="178"/>
  <c r="A23" i="178"/>
  <c r="H26" i="178"/>
  <c r="H40" i="178"/>
  <c r="I27" i="178"/>
  <c r="K10" i="178"/>
  <c r="G17" i="178"/>
  <c r="I26" i="178"/>
  <c r="I40" i="178" s="1"/>
  <c r="A30" i="178"/>
  <c r="A29" i="178"/>
  <c r="I17" i="178"/>
  <c r="H23" i="178"/>
  <c r="K9" i="178"/>
  <c r="F16" i="178"/>
  <c r="J17" i="178"/>
  <c r="K25" i="177"/>
  <c r="H147" i="177"/>
  <c r="L147" i="177" s="1"/>
  <c r="H72" i="177"/>
  <c r="L72" i="177" s="1"/>
  <c r="I36" i="177"/>
  <c r="L56" i="177"/>
  <c r="E138" i="172"/>
  <c r="E146" i="172"/>
  <c r="J113" i="176"/>
  <c r="K69" i="176"/>
  <c r="G28" i="172"/>
  <c r="L33" i="176"/>
  <c r="N70" i="176"/>
  <c r="N116" i="176" s="1"/>
  <c r="K68" i="176"/>
  <c r="L38" i="176"/>
  <c r="L18" i="176"/>
  <c r="J26" i="176"/>
  <c r="L35" i="176"/>
  <c r="J118" i="176"/>
  <c r="L34" i="176"/>
  <c r="K72" i="176"/>
  <c r="L17" i="176"/>
  <c r="N37" i="176"/>
  <c r="G49" i="176"/>
  <c r="N36" i="176"/>
  <c r="N32" i="176"/>
  <c r="J70" i="176"/>
  <c r="H44" i="176"/>
  <c r="I113" i="176"/>
  <c r="H141" i="176"/>
  <c r="L141" i="176"/>
  <c r="L128" i="176"/>
  <c r="L20" i="176"/>
  <c r="J24" i="176"/>
  <c r="Q17" i="176"/>
  <c r="I42" i="176"/>
  <c r="G50" i="176"/>
  <c r="G53" i="176" s="1"/>
  <c r="G54" i="176"/>
  <c r="I118" i="176"/>
  <c r="H158" i="176"/>
  <c r="L158" i="176" s="1"/>
  <c r="L151" i="176"/>
  <c r="Q18" i="176"/>
  <c r="I112" i="176"/>
  <c r="P18" i="176"/>
  <c r="P17" i="176"/>
  <c r="P15" i="176"/>
  <c r="P24" i="176" s="1"/>
  <c r="P16" i="176"/>
  <c r="H49" i="176"/>
  <c r="O36" i="176"/>
  <c r="O32" i="176"/>
  <c r="H50" i="176"/>
  <c r="H53" i="176" s="1"/>
  <c r="H42" i="176"/>
  <c r="O35" i="176"/>
  <c r="L16" i="176"/>
  <c r="N71" i="176"/>
  <c r="N117" i="176"/>
  <c r="G117" i="176"/>
  <c r="L19" i="176"/>
  <c r="J41" i="176"/>
  <c r="Q35" i="176" s="1"/>
  <c r="J43" i="176"/>
  <c r="J44" i="176" s="1"/>
  <c r="J69" i="176"/>
  <c r="H117" i="176"/>
  <c r="O17" i="176"/>
  <c r="O24" i="176"/>
  <c r="N23" i="176"/>
  <c r="N24" i="176" s="1"/>
  <c r="L37" i="176"/>
  <c r="J68" i="176"/>
  <c r="E128" i="175"/>
  <c r="G112" i="175"/>
  <c r="G143" i="175"/>
  <c r="L31" i="175"/>
  <c r="F97" i="175" s="1"/>
  <c r="G111" i="175"/>
  <c r="I111" i="175"/>
  <c r="E127" i="175"/>
  <c r="I122" i="175"/>
  <c r="K122" i="175" s="1"/>
  <c r="I141" i="175"/>
  <c r="K141" i="175" s="1"/>
  <c r="E133" i="172"/>
  <c r="E141" i="172"/>
  <c r="E136" i="172"/>
  <c r="E144" i="172" s="1"/>
  <c r="J36" i="171"/>
  <c r="I17" i="171"/>
  <c r="I37" i="171" s="1"/>
  <c r="I39" i="171" s="1"/>
  <c r="I58" i="171" s="1"/>
  <c r="L92" i="171"/>
  <c r="A30" i="171"/>
  <c r="F33" i="171"/>
  <c r="M43" i="171" s="1"/>
  <c r="K44" i="171"/>
  <c r="A46" i="171"/>
  <c r="K9" i="171"/>
  <c r="A44" i="171"/>
  <c r="J102" i="171"/>
  <c r="J110" i="171" s="1"/>
  <c r="A31" i="171"/>
  <c r="L90" i="171"/>
  <c r="J25" i="170"/>
  <c r="J48" i="170"/>
  <c r="L17" i="170"/>
  <c r="J44" i="170"/>
  <c r="I113" i="170"/>
  <c r="I75" i="170"/>
  <c r="P70" i="170"/>
  <c r="H115" i="170"/>
  <c r="H58" i="170"/>
  <c r="H27" i="170"/>
  <c r="I135" i="170"/>
  <c r="I140" i="170"/>
  <c r="I148" i="170" s="1"/>
  <c r="I27" i="170"/>
  <c r="G49" i="170"/>
  <c r="N36" i="170"/>
  <c r="N32" i="170"/>
  <c r="G50" i="170"/>
  <c r="G53" i="170" s="1"/>
  <c r="G117" i="170"/>
  <c r="K140" i="170"/>
  <c r="K148" i="170" s="1"/>
  <c r="J26" i="170"/>
  <c r="L36" i="170"/>
  <c r="H42" i="170"/>
  <c r="I48" i="170"/>
  <c r="G48" i="170"/>
  <c r="K41" i="170"/>
  <c r="R33" i="170"/>
  <c r="H75" i="170"/>
  <c r="I76" i="170" s="1"/>
  <c r="I121" i="170" s="1"/>
  <c r="O70" i="170"/>
  <c r="J118" i="170"/>
  <c r="I115" i="170"/>
  <c r="L19" i="170"/>
  <c r="H25" i="170"/>
  <c r="N34" i="170"/>
  <c r="N37" i="170"/>
  <c r="L38" i="170"/>
  <c r="J49" i="170"/>
  <c r="G75" i="170"/>
  <c r="G113" i="170"/>
  <c r="N67" i="170"/>
  <c r="N113" i="170" s="1"/>
  <c r="G118" i="170"/>
  <c r="J119" i="170"/>
  <c r="L151" i="170"/>
  <c r="H158" i="170"/>
  <c r="L158" i="170"/>
  <c r="Q16" i="176"/>
  <c r="H54" i="176"/>
  <c r="P72" i="170"/>
  <c r="P118" i="170" s="1"/>
  <c r="P67" i="170"/>
  <c r="P113" i="170" s="1"/>
  <c r="O72" i="170"/>
  <c r="O118" i="170" s="1"/>
  <c r="O67" i="170"/>
  <c r="O113" i="170" s="1"/>
  <c r="K47" i="171"/>
  <c r="H33" i="171"/>
  <c r="O43" i="171" s="1"/>
  <c r="I33" i="171"/>
  <c r="K31" i="171"/>
  <c r="K29" i="171"/>
  <c r="N73" i="170"/>
  <c r="N119" i="170" s="1"/>
  <c r="N72" i="170"/>
  <c r="N118" i="170"/>
  <c r="R38" i="170"/>
  <c r="R34" i="170"/>
  <c r="P68" i="170"/>
  <c r="P114" i="170" s="1"/>
  <c r="O68" i="170"/>
  <c r="O114" i="170" s="1"/>
  <c r="N24" i="170"/>
  <c r="P24" i="170"/>
  <c r="I52" i="171"/>
  <c r="P116" i="170"/>
  <c r="J67" i="175"/>
  <c r="J36" i="180"/>
  <c r="K23" i="180"/>
  <c r="P7" i="178"/>
  <c r="P16" i="178" s="1"/>
  <c r="K29" i="177"/>
  <c r="G33" i="177"/>
  <c r="H33" i="177"/>
  <c r="I33" i="177"/>
  <c r="K70" i="176"/>
  <c r="K116" i="176" s="1"/>
  <c r="L36" i="176"/>
  <c r="K71" i="176"/>
  <c r="K117" i="176" s="1"/>
  <c r="K41" i="176"/>
  <c r="K43" i="176"/>
  <c r="K67" i="176"/>
  <c r="K114" i="176"/>
  <c r="J58" i="176"/>
  <c r="J27" i="176"/>
  <c r="K118" i="176"/>
  <c r="J115" i="176"/>
  <c r="H63" i="176"/>
  <c r="H51" i="176"/>
  <c r="J114" i="176"/>
  <c r="O41" i="176"/>
  <c r="Q38" i="176"/>
  <c r="K24" i="176"/>
  <c r="K26" i="176"/>
  <c r="Q15" i="176"/>
  <c r="J25" i="176"/>
  <c r="Q22" i="176"/>
  <c r="Q19" i="176"/>
  <c r="Q21" i="176"/>
  <c r="Q20" i="176"/>
  <c r="J48" i="176"/>
  <c r="K115" i="176"/>
  <c r="I112" i="175"/>
  <c r="I128" i="175" s="1"/>
  <c r="G128" i="175"/>
  <c r="I143" i="175"/>
  <c r="K143" i="175" s="1"/>
  <c r="I127" i="175"/>
  <c r="M31" i="171"/>
  <c r="M29" i="171"/>
  <c r="M27" i="171"/>
  <c r="M25" i="171"/>
  <c r="F38" i="171"/>
  <c r="M30" i="171"/>
  <c r="M28" i="171"/>
  <c r="M26" i="171"/>
  <c r="M24" i="171"/>
  <c r="K42" i="170"/>
  <c r="J33" i="171"/>
  <c r="Q43" i="171" s="1"/>
  <c r="K49" i="170"/>
  <c r="K26" i="170"/>
  <c r="K27" i="170" s="1"/>
  <c r="L67" i="170"/>
  <c r="L113" i="170" s="1"/>
  <c r="K24" i="170"/>
  <c r="R21" i="170"/>
  <c r="L35" i="170"/>
  <c r="J115" i="170"/>
  <c r="N66" i="170"/>
  <c r="N112" i="170" s="1"/>
  <c r="N70" i="170"/>
  <c r="N116" i="170"/>
  <c r="G120" i="170"/>
  <c r="N68" i="170"/>
  <c r="N114" i="170" s="1"/>
  <c r="L16" i="170"/>
  <c r="J114" i="170"/>
  <c r="N71" i="170"/>
  <c r="N117" i="170" s="1"/>
  <c r="O116" i="170"/>
  <c r="O117" i="170"/>
  <c r="J116" i="170"/>
  <c r="K118" i="170"/>
  <c r="L72" i="170"/>
  <c r="J113" i="170"/>
  <c r="J75" i="170"/>
  <c r="J76" i="170" s="1"/>
  <c r="J121" i="170" s="1"/>
  <c r="Q70" i="170"/>
  <c r="Q116" i="170" s="1"/>
  <c r="Q41" i="170"/>
  <c r="L34" i="170"/>
  <c r="L43" i="170" s="1"/>
  <c r="L58" i="170" s="1"/>
  <c r="O41" i="170"/>
  <c r="I120" i="170"/>
  <c r="P119" i="170"/>
  <c r="P117" i="170"/>
  <c r="K43" i="170"/>
  <c r="K117" i="170"/>
  <c r="L71" i="170"/>
  <c r="J27" i="170"/>
  <c r="J58" i="170"/>
  <c r="L18" i="170"/>
  <c r="L26" i="170" s="1"/>
  <c r="L70" i="170"/>
  <c r="R17" i="176"/>
  <c r="P43" i="171"/>
  <c r="R22" i="170"/>
  <c r="R16" i="170"/>
  <c r="Q72" i="170"/>
  <c r="Q118" i="170"/>
  <c r="Q67" i="170"/>
  <c r="O31" i="171"/>
  <c r="P31" i="171"/>
  <c r="I38" i="171"/>
  <c r="P25" i="171"/>
  <c r="O28" i="171"/>
  <c r="O27" i="171"/>
  <c r="O30" i="171"/>
  <c r="O26" i="171"/>
  <c r="H38" i="171"/>
  <c r="Q29" i="171"/>
  <c r="P24" i="171"/>
  <c r="K30" i="171"/>
  <c r="G33" i="171"/>
  <c r="P28" i="171"/>
  <c r="J38" i="171"/>
  <c r="Q68" i="170"/>
  <c r="Q114" i="170"/>
  <c r="R17" i="170"/>
  <c r="R19" i="170"/>
  <c r="J52" i="171"/>
  <c r="Q49" i="171" s="1"/>
  <c r="K48" i="171"/>
  <c r="N31" i="177"/>
  <c r="N26" i="177"/>
  <c r="N25" i="177"/>
  <c r="N28" i="177"/>
  <c r="N27" i="177"/>
  <c r="N24" i="177"/>
  <c r="N30" i="177"/>
  <c r="N29" i="177"/>
  <c r="G38" i="177"/>
  <c r="P29" i="177"/>
  <c r="P27" i="177"/>
  <c r="P31" i="177"/>
  <c r="P24" i="177"/>
  <c r="Q24" i="176"/>
  <c r="K48" i="176"/>
  <c r="R21" i="176"/>
  <c r="K27" i="176"/>
  <c r="L116" i="170"/>
  <c r="P112" i="170"/>
  <c r="L118" i="170"/>
  <c r="K114" i="170"/>
  <c r="O112" i="170"/>
  <c r="L68" i="170"/>
  <c r="K115" i="170"/>
  <c r="K48" i="170"/>
  <c r="L69" i="170"/>
  <c r="L115" i="170" s="1"/>
  <c r="K116" i="170"/>
  <c r="J120" i="170"/>
  <c r="Q117" i="170"/>
  <c r="Q119" i="170"/>
  <c r="K75" i="170"/>
  <c r="K113" i="170"/>
  <c r="Q115" i="170"/>
  <c r="L117" i="170"/>
  <c r="R67" i="170"/>
  <c r="R113" i="170"/>
  <c r="R70" i="170"/>
  <c r="R116" i="170" s="1"/>
  <c r="R68" i="170"/>
  <c r="R114" i="170" s="1"/>
  <c r="R72" i="170"/>
  <c r="R118" i="170" s="1"/>
  <c r="S115" i="170"/>
  <c r="L114" i="170"/>
  <c r="R24" i="170"/>
  <c r="S41" i="170"/>
  <c r="S119" i="170"/>
  <c r="S116" i="170"/>
  <c r="S113" i="170"/>
  <c r="S118" i="170"/>
  <c r="S117" i="170"/>
  <c r="S114" i="170"/>
  <c r="S24" i="170"/>
  <c r="S112" i="170"/>
  <c r="S75" i="170"/>
  <c r="S120" i="170" s="1"/>
  <c r="H56" i="169"/>
  <c r="H57" i="169"/>
  <c r="H58" i="169"/>
  <c r="H59" i="169"/>
  <c r="H60" i="169"/>
  <c r="H61" i="169"/>
  <c r="H62" i="169"/>
  <c r="H63" i="169"/>
  <c r="H55" i="169"/>
  <c r="F69" i="169"/>
  <c r="J69" i="169" s="1"/>
  <c r="F68" i="169"/>
  <c r="J68" i="169" s="1"/>
  <c r="F67" i="169"/>
  <c r="J67" i="169" s="1"/>
  <c r="F66" i="169"/>
  <c r="J66" i="169" s="1"/>
  <c r="F65" i="169"/>
  <c r="J65" i="169" s="1"/>
  <c r="B66" i="169"/>
  <c r="B67" i="169"/>
  <c r="B68" i="169"/>
  <c r="B69" i="169"/>
  <c r="B65" i="169"/>
  <c r="B63" i="169"/>
  <c r="B62" i="169"/>
  <c r="B61" i="169"/>
  <c r="B60" i="169"/>
  <c r="B59" i="169"/>
  <c r="B58" i="169"/>
  <c r="B57" i="169"/>
  <c r="B56" i="169"/>
  <c r="B55" i="169"/>
  <c r="H4" i="169"/>
  <c r="H84" i="169"/>
  <c r="F84" i="169"/>
  <c r="H31" i="169"/>
  <c r="F31" i="169"/>
  <c r="L29" i="169"/>
  <c r="L28" i="169"/>
  <c r="L26" i="169"/>
  <c r="L25" i="169"/>
  <c r="J23" i="169"/>
  <c r="L23" i="169" s="1"/>
  <c r="F15" i="169"/>
  <c r="F14" i="169"/>
  <c r="F13" i="169"/>
  <c r="J24" i="169" s="1"/>
  <c r="L24" i="169" s="1"/>
  <c r="F12" i="169"/>
  <c r="J80" i="169"/>
  <c r="L80" i="169" s="1"/>
  <c r="F11" i="169"/>
  <c r="J22" i="169" s="1"/>
  <c r="L22" i="169" s="1"/>
  <c r="F10" i="169"/>
  <c r="J79" i="169" s="1"/>
  <c r="L79" i="169" s="1"/>
  <c r="F9" i="169"/>
  <c r="J21" i="169" s="1"/>
  <c r="L21" i="169" s="1"/>
  <c r="A4" i="169"/>
  <c r="L108" i="1"/>
  <c r="D2" i="169"/>
  <c r="K80" i="168"/>
  <c r="I80" i="168"/>
  <c r="G80" i="168"/>
  <c r="G56" i="168"/>
  <c r="K54" i="168"/>
  <c r="K53" i="168"/>
  <c r="K56" i="168" s="1"/>
  <c r="K57" i="168" s="1"/>
  <c r="K52" i="168"/>
  <c r="K51" i="168"/>
  <c r="I51" i="168"/>
  <c r="K50" i="168"/>
  <c r="I49" i="168"/>
  <c r="I43" i="168"/>
  <c r="K36" i="168"/>
  <c r="F63" i="169"/>
  <c r="J63" i="169" s="1"/>
  <c r="K35" i="168"/>
  <c r="F62" i="169" s="1"/>
  <c r="K34" i="168"/>
  <c r="F61" i="169"/>
  <c r="J61" i="169" s="1"/>
  <c r="K33" i="168"/>
  <c r="F60" i="169" s="1"/>
  <c r="J60" i="169" s="1"/>
  <c r="K32" i="168"/>
  <c r="F59" i="169" s="1"/>
  <c r="J59" i="169" s="1"/>
  <c r="K31" i="168"/>
  <c r="F58" i="169" s="1"/>
  <c r="K30" i="168"/>
  <c r="F57" i="169" s="1"/>
  <c r="J57" i="169" s="1"/>
  <c r="K29" i="168"/>
  <c r="F56" i="169" s="1"/>
  <c r="J56" i="169" s="1"/>
  <c r="K28" i="168"/>
  <c r="F55" i="169" s="1"/>
  <c r="B9" i="168"/>
  <c r="B36" i="169" s="1"/>
  <c r="I7" i="168"/>
  <c r="I45" i="168" s="1"/>
  <c r="A4" i="168"/>
  <c r="K44" i="1"/>
  <c r="D2" i="168"/>
  <c r="G132" i="169"/>
  <c r="M51" i="168"/>
  <c r="K7" i="78"/>
  <c r="B58" i="74"/>
  <c r="B59" i="74"/>
  <c r="B60" i="74"/>
  <c r="B61" i="74"/>
  <c r="B62" i="74"/>
  <c r="B64" i="74"/>
  <c r="B65" i="74"/>
  <c r="B57" i="74"/>
  <c r="K11" i="102"/>
  <c r="H17" i="78"/>
  <c r="J35" i="102"/>
  <c r="I35" i="102"/>
  <c r="H35" i="102"/>
  <c r="G35" i="102"/>
  <c r="F35" i="102"/>
  <c r="J22" i="102"/>
  <c r="I22" i="102"/>
  <c r="H22" i="102"/>
  <c r="G22" i="102"/>
  <c r="F22" i="102"/>
  <c r="L65" i="137"/>
  <c r="J65" i="137"/>
  <c r="O64" i="137"/>
  <c r="L64" i="137"/>
  <c r="J64" i="137"/>
  <c r="L63" i="137"/>
  <c r="J63" i="137"/>
  <c r="N62" i="137"/>
  <c r="N61" i="137"/>
  <c r="N60" i="137"/>
  <c r="N59" i="137"/>
  <c r="N58" i="137"/>
  <c r="N57" i="137"/>
  <c r="N56" i="137"/>
  <c r="L54" i="137"/>
  <c r="J54" i="137"/>
  <c r="N53" i="137"/>
  <c r="N52" i="137"/>
  <c r="N51" i="137"/>
  <c r="N50" i="137"/>
  <c r="N49" i="137"/>
  <c r="N48" i="137"/>
  <c r="N47" i="137"/>
  <c r="N46" i="137"/>
  <c r="N45" i="137"/>
  <c r="N44" i="137"/>
  <c r="N43" i="137"/>
  <c r="N42" i="137"/>
  <c r="N41" i="137"/>
  <c r="N40" i="137"/>
  <c r="N39" i="137"/>
  <c r="L37" i="137"/>
  <c r="J37" i="137"/>
  <c r="N36" i="137"/>
  <c r="N35" i="137"/>
  <c r="N34" i="137"/>
  <c r="N33" i="137"/>
  <c r="N32" i="137"/>
  <c r="N31" i="137"/>
  <c r="N30" i="137"/>
  <c r="N29" i="137"/>
  <c r="L27" i="137"/>
  <c r="J27" i="137"/>
  <c r="N26" i="137"/>
  <c r="N25" i="137"/>
  <c r="N24" i="137"/>
  <c r="N23" i="137"/>
  <c r="N22" i="137"/>
  <c r="N21" i="137"/>
  <c r="N20" i="137"/>
  <c r="L18" i="137"/>
  <c r="J18" i="137"/>
  <c r="N17" i="137"/>
  <c r="N16" i="137"/>
  <c r="N15" i="137"/>
  <c r="N14" i="137"/>
  <c r="N13" i="137"/>
  <c r="N12" i="137"/>
  <c r="N11" i="137"/>
  <c r="N10" i="137"/>
  <c r="L6" i="137"/>
  <c r="J6" i="137"/>
  <c r="L65" i="131"/>
  <c r="J65" i="131"/>
  <c r="O64" i="131"/>
  <c r="L64" i="131"/>
  <c r="J64" i="131"/>
  <c r="L63" i="131"/>
  <c r="J63" i="131"/>
  <c r="N62" i="131"/>
  <c r="N61" i="131"/>
  <c r="N60" i="131"/>
  <c r="N59" i="131"/>
  <c r="N58" i="131"/>
  <c r="N57" i="131"/>
  <c r="N56" i="131"/>
  <c r="L54" i="131"/>
  <c r="J54" i="131"/>
  <c r="N53" i="131"/>
  <c r="N52" i="131"/>
  <c r="N51" i="131"/>
  <c r="N50" i="131"/>
  <c r="N49" i="131"/>
  <c r="N48" i="131"/>
  <c r="N47" i="131"/>
  <c r="N46" i="131"/>
  <c r="N45" i="131"/>
  <c r="N44" i="131"/>
  <c r="N43" i="131"/>
  <c r="N42" i="131"/>
  <c r="N41" i="131"/>
  <c r="N40" i="131"/>
  <c r="N39" i="131"/>
  <c r="L37" i="131"/>
  <c r="J37" i="131"/>
  <c r="N36" i="131"/>
  <c r="N35" i="131"/>
  <c r="N34" i="131"/>
  <c r="N33" i="131"/>
  <c r="N32" i="131"/>
  <c r="N31" i="131"/>
  <c r="N30" i="131"/>
  <c r="N29" i="131"/>
  <c r="L27" i="131"/>
  <c r="J27" i="131"/>
  <c r="N26" i="131"/>
  <c r="N25" i="131"/>
  <c r="N24" i="131"/>
  <c r="N23" i="131"/>
  <c r="N22" i="131"/>
  <c r="N21" i="131"/>
  <c r="N20" i="131"/>
  <c r="L18" i="131"/>
  <c r="J18" i="131"/>
  <c r="N17" i="131"/>
  <c r="N16" i="131"/>
  <c r="N15" i="131"/>
  <c r="N14" i="131"/>
  <c r="N13" i="131"/>
  <c r="N12" i="131"/>
  <c r="N11" i="131"/>
  <c r="N10" i="131"/>
  <c r="L6" i="131"/>
  <c r="J6" i="131"/>
  <c r="J65" i="61"/>
  <c r="L65" i="61"/>
  <c r="H55" i="141"/>
  <c r="F55" i="141"/>
  <c r="L54" i="141"/>
  <c r="H54" i="141"/>
  <c r="F54" i="141"/>
  <c r="H52" i="141"/>
  <c r="F52" i="141"/>
  <c r="J51" i="141"/>
  <c r="J50" i="141"/>
  <c r="J49" i="141"/>
  <c r="J48" i="141"/>
  <c r="J47" i="141"/>
  <c r="J46" i="141"/>
  <c r="J45" i="141"/>
  <c r="H43" i="141"/>
  <c r="F43" i="141"/>
  <c r="J42" i="141"/>
  <c r="J41" i="141"/>
  <c r="J40" i="141"/>
  <c r="J39" i="141"/>
  <c r="J38" i="141"/>
  <c r="J37" i="141"/>
  <c r="J36" i="141"/>
  <c r="J35" i="141"/>
  <c r="H33" i="141"/>
  <c r="F33" i="141"/>
  <c r="J32" i="141"/>
  <c r="J31" i="141"/>
  <c r="J30" i="141"/>
  <c r="J29" i="141"/>
  <c r="J28" i="141"/>
  <c r="J27" i="141"/>
  <c r="J26" i="141"/>
  <c r="J25" i="141"/>
  <c r="J24" i="141"/>
  <c r="J23" i="141"/>
  <c r="H21" i="141"/>
  <c r="F21" i="141"/>
  <c r="J20" i="141"/>
  <c r="J19" i="141"/>
  <c r="J18" i="141"/>
  <c r="J17" i="141"/>
  <c r="J16" i="141"/>
  <c r="J15" i="141"/>
  <c r="J14" i="141"/>
  <c r="J13" i="141"/>
  <c r="J12" i="141"/>
  <c r="J11" i="141"/>
  <c r="J10" i="141"/>
  <c r="J9" i="141"/>
  <c r="H6" i="141"/>
  <c r="F6" i="141"/>
  <c r="H55" i="135"/>
  <c r="F55" i="135"/>
  <c r="L54" i="135"/>
  <c r="H54" i="135"/>
  <c r="F54" i="135"/>
  <c r="H52" i="135"/>
  <c r="F52" i="135"/>
  <c r="J51" i="135"/>
  <c r="J50" i="135"/>
  <c r="J49" i="135"/>
  <c r="J48" i="135"/>
  <c r="J47" i="135"/>
  <c r="J46" i="135"/>
  <c r="J45" i="135"/>
  <c r="H43" i="135"/>
  <c r="F43" i="135"/>
  <c r="J42" i="135"/>
  <c r="J41" i="135"/>
  <c r="J40" i="135"/>
  <c r="J39" i="135"/>
  <c r="J38" i="135"/>
  <c r="J37" i="135"/>
  <c r="J36" i="135"/>
  <c r="J35" i="135"/>
  <c r="H33" i="135"/>
  <c r="F33" i="135"/>
  <c r="J32" i="135"/>
  <c r="J31" i="135"/>
  <c r="J30" i="135"/>
  <c r="J29" i="135"/>
  <c r="J28" i="135"/>
  <c r="J27" i="135"/>
  <c r="J26" i="135"/>
  <c r="J25" i="135"/>
  <c r="J24" i="135"/>
  <c r="J23" i="135"/>
  <c r="H21" i="135"/>
  <c r="F21" i="135"/>
  <c r="J20" i="135"/>
  <c r="J19" i="135"/>
  <c r="S18" i="135"/>
  <c r="J18" i="135"/>
  <c r="J17" i="135"/>
  <c r="J16" i="135"/>
  <c r="J15" i="135"/>
  <c r="J14" i="135"/>
  <c r="J13" i="135"/>
  <c r="J12" i="135"/>
  <c r="J11" i="135"/>
  <c r="J10" i="135"/>
  <c r="J9" i="135"/>
  <c r="H6" i="135"/>
  <c r="F6" i="135"/>
  <c r="H55" i="33"/>
  <c r="F55" i="33"/>
  <c r="D57" i="107"/>
  <c r="E56" i="107"/>
  <c r="E55" i="107"/>
  <c r="E54" i="107"/>
  <c r="I42" i="107"/>
  <c r="P41" i="107"/>
  <c r="N41" i="107"/>
  <c r="L41" i="107"/>
  <c r="P40" i="107"/>
  <c r="N40" i="107"/>
  <c r="L40" i="107"/>
  <c r="P39" i="107"/>
  <c r="N39" i="107"/>
  <c r="L39" i="107"/>
  <c r="P38" i="107"/>
  <c r="N38" i="107"/>
  <c r="L38" i="107"/>
  <c r="P37" i="107"/>
  <c r="N37" i="107"/>
  <c r="L37" i="107"/>
  <c r="P36" i="107"/>
  <c r="N36" i="107"/>
  <c r="L36" i="107"/>
  <c r="P35" i="107"/>
  <c r="N35" i="107"/>
  <c r="L35" i="107"/>
  <c r="P34" i="107"/>
  <c r="N34" i="107"/>
  <c r="N42" i="107" s="1"/>
  <c r="L34" i="107"/>
  <c r="P33" i="107"/>
  <c r="N33" i="107"/>
  <c r="L33" i="107"/>
  <c r="P32" i="107"/>
  <c r="N32" i="107"/>
  <c r="L32" i="107"/>
  <c r="L42" i="107" s="1"/>
  <c r="P31" i="107"/>
  <c r="N31" i="107"/>
  <c r="L31" i="107"/>
  <c r="I7" i="107"/>
  <c r="D61" i="107" s="1"/>
  <c r="K150" i="74"/>
  <c r="K149" i="74"/>
  <c r="K148" i="74"/>
  <c r="K113" i="74"/>
  <c r="H87" i="74"/>
  <c r="F87" i="74"/>
  <c r="H31" i="74"/>
  <c r="F31" i="74"/>
  <c r="L29" i="74"/>
  <c r="L28" i="74"/>
  <c r="L26" i="74"/>
  <c r="L25" i="74"/>
  <c r="L31" i="74" s="1"/>
  <c r="F102" i="74" s="1"/>
  <c r="L23" i="74"/>
  <c r="F14" i="74"/>
  <c r="F11" i="74"/>
  <c r="J82" i="74" s="1"/>
  <c r="L82" i="74" s="1"/>
  <c r="F10" i="74"/>
  <c r="F9" i="74"/>
  <c r="J21" i="74" s="1"/>
  <c r="H42" i="36"/>
  <c r="J42" i="36"/>
  <c r="F42" i="36"/>
  <c r="F41" i="36"/>
  <c r="H41" i="36"/>
  <c r="J41" i="36"/>
  <c r="H40" i="36"/>
  <c r="J40" i="36"/>
  <c r="F40" i="36"/>
  <c r="H18" i="36"/>
  <c r="J18" i="36"/>
  <c r="F18" i="36"/>
  <c r="J42" i="102"/>
  <c r="I42" i="102"/>
  <c r="H42" i="102"/>
  <c r="G42" i="102"/>
  <c r="F42" i="102"/>
  <c r="J41" i="102"/>
  <c r="I41" i="102"/>
  <c r="H41" i="102"/>
  <c r="G41" i="102"/>
  <c r="F41" i="102"/>
  <c r="A41" i="102"/>
  <c r="A36" i="102"/>
  <c r="A35" i="102"/>
  <c r="K34" i="102"/>
  <c r="J29" i="102"/>
  <c r="I29" i="102"/>
  <c r="H29" i="102"/>
  <c r="G29" i="102"/>
  <c r="F29" i="102"/>
  <c r="J28" i="102"/>
  <c r="I28" i="102"/>
  <c r="H28" i="102"/>
  <c r="G28" i="102"/>
  <c r="K28" i="102" s="1"/>
  <c r="F28" i="102"/>
  <c r="J27" i="102"/>
  <c r="J40" i="102" s="1"/>
  <c r="I27" i="102"/>
  <c r="I40" i="102"/>
  <c r="J26" i="102"/>
  <c r="J39" i="102" s="1"/>
  <c r="I26" i="102"/>
  <c r="I39" i="102" s="1"/>
  <c r="H26" i="102"/>
  <c r="H39" i="102" s="1"/>
  <c r="G26" i="102"/>
  <c r="F26" i="102"/>
  <c r="F39" i="102"/>
  <c r="H25" i="102"/>
  <c r="H38" i="102" s="1"/>
  <c r="G25" i="102"/>
  <c r="G38" i="102" s="1"/>
  <c r="F25" i="102"/>
  <c r="F38" i="102" s="1"/>
  <c r="A25" i="102"/>
  <c r="J24" i="102"/>
  <c r="J37" i="102" s="1"/>
  <c r="F37" i="102"/>
  <c r="J23" i="102"/>
  <c r="J36" i="102"/>
  <c r="I23" i="102"/>
  <c r="I36" i="102"/>
  <c r="H23" i="102"/>
  <c r="H36" i="102" s="1"/>
  <c r="G23" i="102"/>
  <c r="K21" i="102"/>
  <c r="A42" i="102"/>
  <c r="A28" i="102"/>
  <c r="H40" i="102"/>
  <c r="G27" i="102"/>
  <c r="A39" i="102"/>
  <c r="I25" i="102"/>
  <c r="I38" i="102" s="1"/>
  <c r="A38" i="102"/>
  <c r="G90" i="102" s="1"/>
  <c r="I24" i="102"/>
  <c r="I37" i="102" s="1"/>
  <c r="A37" i="102"/>
  <c r="A22" i="102"/>
  <c r="R6" i="102"/>
  <c r="G6" i="102"/>
  <c r="G34" i="102" s="1"/>
  <c r="F6" i="102"/>
  <c r="F21" i="102" s="1"/>
  <c r="A8" i="28"/>
  <c r="L21" i="74"/>
  <c r="J22" i="74"/>
  <c r="L22" i="74" s="1"/>
  <c r="L24" i="74"/>
  <c r="J83" i="74"/>
  <c r="L83" i="74"/>
  <c r="J42" i="107"/>
  <c r="J43" i="107"/>
  <c r="G36" i="102"/>
  <c r="G39" i="102"/>
  <c r="H16" i="102"/>
  <c r="O12" i="102" s="1"/>
  <c r="A26" i="102"/>
  <c r="G61" i="107"/>
  <c r="O29" i="107"/>
  <c r="G16" i="102"/>
  <c r="N7" i="102" s="1"/>
  <c r="A24" i="102"/>
  <c r="A40" i="102"/>
  <c r="A29" i="102"/>
  <c r="J44" i="107"/>
  <c r="D62" i="107"/>
  <c r="I88" i="78"/>
  <c r="H88" i="78"/>
  <c r="I87" i="78"/>
  <c r="H87" i="78"/>
  <c r="I86" i="78"/>
  <c r="H86" i="78"/>
  <c r="I85" i="78"/>
  <c r="H85" i="78"/>
  <c r="I84" i="78"/>
  <c r="H84" i="78"/>
  <c r="I83" i="78"/>
  <c r="H83" i="78"/>
  <c r="F83" i="78"/>
  <c r="I80" i="78"/>
  <c r="H80" i="78"/>
  <c r="F80" i="78"/>
  <c r="F88" i="78"/>
  <c r="I79" i="78"/>
  <c r="H79" i="78"/>
  <c r="G79" i="78"/>
  <c r="F79" i="78"/>
  <c r="F87" i="78" s="1"/>
  <c r="I78" i="78"/>
  <c r="H78" i="78"/>
  <c r="G78" i="78"/>
  <c r="F78" i="78"/>
  <c r="F86" i="78"/>
  <c r="I77" i="78"/>
  <c r="H77" i="78"/>
  <c r="G77" i="78"/>
  <c r="F77" i="78"/>
  <c r="F85" i="78"/>
  <c r="I76" i="78"/>
  <c r="H76" i="78"/>
  <c r="G76" i="78"/>
  <c r="F76" i="78"/>
  <c r="F84" i="78" s="1"/>
  <c r="I75" i="78"/>
  <c r="H75" i="78"/>
  <c r="G75" i="78"/>
  <c r="A43" i="78"/>
  <c r="J37" i="78"/>
  <c r="I37" i="78"/>
  <c r="H37" i="78"/>
  <c r="G37" i="78"/>
  <c r="F37" i="78"/>
  <c r="J30" i="78"/>
  <c r="J44" i="78"/>
  <c r="I30" i="78"/>
  <c r="I44" i="78" s="1"/>
  <c r="H30" i="78"/>
  <c r="H44" i="78"/>
  <c r="G30" i="78"/>
  <c r="G44" i="78" s="1"/>
  <c r="F30" i="78"/>
  <c r="F44" i="78"/>
  <c r="J29" i="78"/>
  <c r="J43" i="78" s="1"/>
  <c r="I29" i="78"/>
  <c r="I43" i="78" s="1"/>
  <c r="H29" i="78"/>
  <c r="H43" i="78" s="1"/>
  <c r="G29" i="78"/>
  <c r="F29" i="78"/>
  <c r="F43" i="78" s="1"/>
  <c r="I27" i="78"/>
  <c r="I41" i="78" s="1"/>
  <c r="J23" i="78"/>
  <c r="I23" i="78"/>
  <c r="H23" i="78"/>
  <c r="G23" i="78"/>
  <c r="F23" i="78"/>
  <c r="K22" i="78"/>
  <c r="A30" i="78"/>
  <c r="A29" i="78"/>
  <c r="J28" i="78"/>
  <c r="J42" i="78" s="1"/>
  <c r="I28" i="78"/>
  <c r="I42" i="78" s="1"/>
  <c r="H28" i="78"/>
  <c r="H42" i="78"/>
  <c r="A28" i="78"/>
  <c r="J27" i="78"/>
  <c r="J41" i="78"/>
  <c r="H27" i="78"/>
  <c r="H41" i="78" s="1"/>
  <c r="G27" i="78"/>
  <c r="G41" i="78" s="1"/>
  <c r="F27" i="78"/>
  <c r="F41" i="78"/>
  <c r="A41" i="78"/>
  <c r="E79" i="78" s="1"/>
  <c r="E87" i="78" s="1"/>
  <c r="J26" i="78"/>
  <c r="J40" i="78" s="1"/>
  <c r="G26" i="78"/>
  <c r="F26" i="78"/>
  <c r="F40" i="78" s="1"/>
  <c r="A40" i="78"/>
  <c r="E78" i="78"/>
  <c r="E86" i="78" s="1"/>
  <c r="J25" i="78"/>
  <c r="J39" i="78" s="1"/>
  <c r="H25" i="78"/>
  <c r="G25" i="78"/>
  <c r="G39" i="78"/>
  <c r="A39" i="78"/>
  <c r="E77" i="78" s="1"/>
  <c r="E85" i="78" s="1"/>
  <c r="I24" i="78"/>
  <c r="I38" i="78"/>
  <c r="H24" i="78"/>
  <c r="H38" i="78" s="1"/>
  <c r="A24" i="78"/>
  <c r="R6" i="78"/>
  <c r="G6" i="78"/>
  <c r="G22" i="78" s="1"/>
  <c r="F6" i="78"/>
  <c r="F22" i="78" s="1"/>
  <c r="F59" i="171"/>
  <c r="I21" i="76"/>
  <c r="K10" i="196" s="1"/>
  <c r="K14" i="196" s="1"/>
  <c r="H21" i="76"/>
  <c r="I10" i="196" s="1"/>
  <c r="I14" i="196" s="1"/>
  <c r="G21" i="76"/>
  <c r="G19" i="76"/>
  <c r="H20" i="76" s="1"/>
  <c r="A18" i="76"/>
  <c r="A20" i="172" s="1"/>
  <c r="L10" i="76"/>
  <c r="S10" i="76" s="1"/>
  <c r="R8" i="76"/>
  <c r="Q8" i="76"/>
  <c r="P8" i="76"/>
  <c r="O8" i="76"/>
  <c r="N8" i="76"/>
  <c r="K8" i="76"/>
  <c r="J8" i="76"/>
  <c r="I8" i="76"/>
  <c r="H8" i="76"/>
  <c r="G8" i="76"/>
  <c r="C97" i="68"/>
  <c r="C89" i="68"/>
  <c r="C81" i="68"/>
  <c r="C73" i="68"/>
  <c r="C65" i="68"/>
  <c r="C57" i="68"/>
  <c r="C49" i="68"/>
  <c r="A49" i="68"/>
  <c r="A41" i="68"/>
  <c r="C33" i="68"/>
  <c r="A33" i="68"/>
  <c r="C25" i="68"/>
  <c r="C17" i="68"/>
  <c r="H54" i="33"/>
  <c r="F54" i="33"/>
  <c r="L54" i="33"/>
  <c r="H52" i="33"/>
  <c r="F52" i="33"/>
  <c r="H43" i="33"/>
  <c r="F43" i="33"/>
  <c r="H33" i="33"/>
  <c r="F33" i="33"/>
  <c r="H21" i="33"/>
  <c r="F21" i="33"/>
  <c r="S18" i="33"/>
  <c r="P15" i="76"/>
  <c r="O15" i="76"/>
  <c r="N13" i="76"/>
  <c r="N15" i="76"/>
  <c r="P13" i="76"/>
  <c r="O13" i="76"/>
  <c r="N14" i="76"/>
  <c r="N11" i="76"/>
  <c r="P14" i="76"/>
  <c r="P16" i="76"/>
  <c r="O14" i="76"/>
  <c r="O10" i="76"/>
  <c r="O11" i="76"/>
  <c r="O12" i="76"/>
  <c r="O16" i="76"/>
  <c r="P10" i="76"/>
  <c r="P11" i="76"/>
  <c r="P12" i="76"/>
  <c r="N16" i="76"/>
  <c r="N12" i="76"/>
  <c r="N10" i="76"/>
  <c r="G43" i="78"/>
  <c r="P6" i="78"/>
  <c r="A26" i="78"/>
  <c r="K14" i="78"/>
  <c r="J16" i="78"/>
  <c r="Q7" i="78" s="1"/>
  <c r="Q16" i="78" s="1"/>
  <c r="H16" i="78"/>
  <c r="O10" i="78" s="1"/>
  <c r="K11" i="78"/>
  <c r="A42" i="78"/>
  <c r="E80" i="78" s="1"/>
  <c r="E88" i="78" s="1"/>
  <c r="F28" i="78"/>
  <c r="F42" i="78"/>
  <c r="K8" i="78"/>
  <c r="A44" i="78"/>
  <c r="A25" i="78"/>
  <c r="J24" i="78"/>
  <c r="F25" i="78"/>
  <c r="F39" i="78" s="1"/>
  <c r="H26" i="78"/>
  <c r="H40" i="78" s="1"/>
  <c r="I26" i="78"/>
  <c r="I40" i="78" s="1"/>
  <c r="A38" i="78"/>
  <c r="E76" i="78"/>
  <c r="E84" i="78" s="1"/>
  <c r="K10" i="78"/>
  <c r="F24" i="78"/>
  <c r="F33" i="78" s="1"/>
  <c r="G40" i="78"/>
  <c r="J21" i="76"/>
  <c r="M9" i="197" s="1"/>
  <c r="M17" i="197" s="1"/>
  <c r="L12" i="76"/>
  <c r="L14" i="76"/>
  <c r="S14" i="76" s="1"/>
  <c r="L16" i="76"/>
  <c r="S16" i="76" s="1"/>
  <c r="L15" i="76"/>
  <c r="S15" i="76" s="1"/>
  <c r="Q15" i="76"/>
  <c r="Q13" i="76"/>
  <c r="Q14" i="76"/>
  <c r="Q10" i="76"/>
  <c r="Q11" i="76"/>
  <c r="Q12" i="76"/>
  <c r="Q16" i="76"/>
  <c r="O8" i="78"/>
  <c r="O14" i="78"/>
  <c r="O13" i="78"/>
  <c r="J38" i="78"/>
  <c r="L13" i="76"/>
  <c r="S13" i="76" s="1"/>
  <c r="K21" i="76"/>
  <c r="O9" i="197" s="1"/>
  <c r="O17" i="197" s="1"/>
  <c r="L11" i="76"/>
  <c r="S11" i="76" s="1"/>
  <c r="R15" i="76"/>
  <c r="R16" i="76"/>
  <c r="R13" i="76"/>
  <c r="R14" i="76"/>
  <c r="R11" i="76"/>
  <c r="R10" i="76"/>
  <c r="R12" i="76"/>
  <c r="P12" i="197"/>
  <c r="P12" i="107"/>
  <c r="J6" i="61"/>
  <c r="L6" i="61"/>
  <c r="J51" i="33"/>
  <c r="J50" i="33"/>
  <c r="J49" i="33"/>
  <c r="J48" i="33"/>
  <c r="J47" i="33"/>
  <c r="J46" i="33"/>
  <c r="J45" i="33"/>
  <c r="J42" i="33"/>
  <c r="J41" i="33"/>
  <c r="J40" i="33"/>
  <c r="J39" i="33"/>
  <c r="J38" i="33"/>
  <c r="J37" i="33"/>
  <c r="J36" i="33"/>
  <c r="J35" i="33"/>
  <c r="J32" i="33"/>
  <c r="J31" i="33"/>
  <c r="J30" i="33"/>
  <c r="J29" i="33"/>
  <c r="J28" i="33"/>
  <c r="J27" i="33"/>
  <c r="J26" i="33"/>
  <c r="J25" i="33"/>
  <c r="J24" i="33"/>
  <c r="J23" i="33"/>
  <c r="J20" i="33"/>
  <c r="J19" i="33"/>
  <c r="J18" i="33"/>
  <c r="J17" i="33"/>
  <c r="J16" i="33"/>
  <c r="J15" i="33"/>
  <c r="J14" i="33"/>
  <c r="J13" i="33"/>
  <c r="J12" i="33"/>
  <c r="J11" i="33"/>
  <c r="J10" i="33"/>
  <c r="J9" i="33"/>
  <c r="O64" i="61"/>
  <c r="L64" i="61"/>
  <c r="J64" i="61"/>
  <c r="L63" i="61"/>
  <c r="J63" i="61"/>
  <c r="N62" i="61"/>
  <c r="N61" i="61"/>
  <c r="N60" i="61"/>
  <c r="N59" i="61"/>
  <c r="N58" i="61"/>
  <c r="N57" i="61"/>
  <c r="N56" i="61"/>
  <c r="L54" i="61"/>
  <c r="J54" i="61"/>
  <c r="N53" i="61"/>
  <c r="N52" i="61"/>
  <c r="N51" i="61"/>
  <c r="N50" i="61"/>
  <c r="N49" i="61"/>
  <c r="N48" i="61"/>
  <c r="N47" i="61"/>
  <c r="N46" i="61"/>
  <c r="N45" i="61"/>
  <c r="N44" i="61"/>
  <c r="N43" i="61"/>
  <c r="N42" i="61"/>
  <c r="N41" i="61"/>
  <c r="N40" i="61"/>
  <c r="N39" i="61"/>
  <c r="L37" i="61"/>
  <c r="J37" i="61"/>
  <c r="N36" i="61"/>
  <c r="N35" i="61"/>
  <c r="N34" i="61"/>
  <c r="N33" i="61"/>
  <c r="N32" i="61"/>
  <c r="N31" i="61"/>
  <c r="N30" i="61"/>
  <c r="N29" i="61"/>
  <c r="L27" i="61"/>
  <c r="J27" i="61"/>
  <c r="N26" i="61"/>
  <c r="N25" i="61"/>
  <c r="N24" i="61"/>
  <c r="N23" i="61"/>
  <c r="N22" i="61"/>
  <c r="N21" i="61"/>
  <c r="N20" i="61"/>
  <c r="L18" i="61"/>
  <c r="J18" i="61"/>
  <c r="N17" i="61"/>
  <c r="N16" i="61"/>
  <c r="N15" i="61"/>
  <c r="N14" i="61"/>
  <c r="N13" i="61"/>
  <c r="N12" i="61"/>
  <c r="N11" i="61"/>
  <c r="N10" i="61"/>
  <c r="I43" i="14"/>
  <c r="F57" i="74"/>
  <c r="K24" i="14"/>
  <c r="I24" i="14" s="1"/>
  <c r="F65" i="74"/>
  <c r="F64" i="74"/>
  <c r="J54" i="175"/>
  <c r="J68" i="175" s="1"/>
  <c r="L8" i="195"/>
  <c r="L10" i="195" s="1"/>
  <c r="L12" i="195" s="1"/>
  <c r="L8" i="194"/>
  <c r="L10" i="194"/>
  <c r="L12" i="194" s="1"/>
  <c r="G29" i="172"/>
  <c r="G37" i="106"/>
  <c r="G36" i="106"/>
  <c r="G35" i="106"/>
  <c r="H29" i="172"/>
  <c r="Q19" i="71"/>
  <c r="Q20" i="71"/>
  <c r="Q21" i="71"/>
  <c r="Q22" i="71"/>
  <c r="Q23" i="71"/>
  <c r="Q24" i="71"/>
  <c r="Q11" i="71"/>
  <c r="H20" i="172"/>
  <c r="I29" i="172"/>
  <c r="C13" i="48"/>
  <c r="C16" i="45"/>
  <c r="J29" i="172"/>
  <c r="H4" i="162"/>
  <c r="H4" i="161"/>
  <c r="J20" i="172"/>
  <c r="H4" i="77"/>
  <c r="H4" i="121"/>
  <c r="A4" i="20"/>
  <c r="B4" i="13"/>
  <c r="D2" i="163"/>
  <c r="H4" i="158"/>
  <c r="F4" i="150"/>
  <c r="J88" i="1"/>
  <c r="J85" i="1"/>
  <c r="I88" i="1"/>
  <c r="I87" i="1"/>
  <c r="G87" i="1" s="1"/>
  <c r="H87" i="1" s="1"/>
  <c r="I86" i="1"/>
  <c r="G86" i="1" s="1"/>
  <c r="H86" i="1" s="1"/>
  <c r="I85" i="1"/>
  <c r="I84" i="1"/>
  <c r="I83" i="1"/>
  <c r="I82" i="1"/>
  <c r="G82" i="1" s="1"/>
  <c r="H82" i="1" s="1"/>
  <c r="I81" i="1"/>
  <c r="G81" i="1" s="1"/>
  <c r="H81" i="1" s="1"/>
  <c r="I80" i="1"/>
  <c r="Q2" i="161"/>
  <c r="L85" i="1" s="1"/>
  <c r="P2" i="161"/>
  <c r="K85" i="1" s="1"/>
  <c r="Q2" i="162"/>
  <c r="L88" i="1" s="1"/>
  <c r="P2" i="162"/>
  <c r="K88" i="1" s="1"/>
  <c r="C24" i="162"/>
  <c r="A24" i="162"/>
  <c r="C23" i="162"/>
  <c r="A23" i="162"/>
  <c r="C22" i="162"/>
  <c r="A22" i="162"/>
  <c r="C21" i="162"/>
  <c r="A21" i="162"/>
  <c r="C20" i="162"/>
  <c r="A20" i="162"/>
  <c r="C19" i="162"/>
  <c r="A19" i="162"/>
  <c r="C18" i="162"/>
  <c r="A18" i="162"/>
  <c r="C17" i="162"/>
  <c r="A17" i="162"/>
  <c r="C16" i="162"/>
  <c r="A16" i="162"/>
  <c r="C15" i="162"/>
  <c r="A15" i="162"/>
  <c r="C14" i="162"/>
  <c r="A14" i="162"/>
  <c r="C13" i="162"/>
  <c r="A13" i="162"/>
  <c r="C12" i="162"/>
  <c r="A12" i="162"/>
  <c r="C11" i="162"/>
  <c r="A11" i="162"/>
  <c r="C10" i="162"/>
  <c r="A10" i="162"/>
  <c r="C9" i="162"/>
  <c r="A9" i="162"/>
  <c r="A4" i="162"/>
  <c r="D2" i="162"/>
  <c r="A4" i="161"/>
  <c r="D2" i="161"/>
  <c r="C86" i="1"/>
  <c r="C83" i="1"/>
  <c r="C80" i="1"/>
  <c r="A4" i="32"/>
  <c r="Q1" i="1"/>
  <c r="H4" i="74"/>
  <c r="P2" i="74"/>
  <c r="L107" i="1" s="1"/>
  <c r="O2" i="74"/>
  <c r="K107" i="1" s="1"/>
  <c r="J103" i="1"/>
  <c r="I103" i="1"/>
  <c r="J102" i="1"/>
  <c r="I102" i="1"/>
  <c r="P2" i="158"/>
  <c r="L103" i="1" s="1"/>
  <c r="O2" i="158"/>
  <c r="K103" i="1" s="1"/>
  <c r="J42" i="158"/>
  <c r="H42" i="158"/>
  <c r="F42" i="158"/>
  <c r="J41" i="158"/>
  <c r="H41" i="158"/>
  <c r="F41" i="158"/>
  <c r="A4" i="158"/>
  <c r="D2" i="158"/>
  <c r="P2" i="36"/>
  <c r="L101" i="1" s="1"/>
  <c r="O2" i="36"/>
  <c r="P2" i="157"/>
  <c r="L102" i="1" s="1"/>
  <c r="O2" i="157"/>
  <c r="K102" i="1" s="1"/>
  <c r="H4" i="157"/>
  <c r="J42" i="157"/>
  <c r="H42" i="157"/>
  <c r="F42" i="157"/>
  <c r="J41" i="157"/>
  <c r="H41" i="157"/>
  <c r="F41" i="157"/>
  <c r="A4" i="157"/>
  <c r="D2" i="157"/>
  <c r="G109" i="1"/>
  <c r="H109" i="1" s="1"/>
  <c r="G108" i="1"/>
  <c r="H108" i="1" s="1"/>
  <c r="J107" i="1"/>
  <c r="I107" i="1"/>
  <c r="G103" i="1"/>
  <c r="H103" i="1" s="1"/>
  <c r="G102" i="1"/>
  <c r="H102" i="1" s="1"/>
  <c r="H4" i="36"/>
  <c r="B4" i="153"/>
  <c r="D2" i="153"/>
  <c r="G122" i="1"/>
  <c r="H122" i="1" s="1"/>
  <c r="B4" i="152"/>
  <c r="D2" i="152"/>
  <c r="P2" i="121"/>
  <c r="L119" i="1" s="1"/>
  <c r="O2" i="121"/>
  <c r="K119" i="1" s="1"/>
  <c r="H4" i="120"/>
  <c r="O2" i="120"/>
  <c r="K118" i="1" s="1"/>
  <c r="P2" i="120"/>
  <c r="L118" i="1" s="1"/>
  <c r="H4" i="106"/>
  <c r="I119" i="1"/>
  <c r="G119" i="1"/>
  <c r="H119" i="1" s="1"/>
  <c r="J119" i="1"/>
  <c r="J118" i="1"/>
  <c r="I118" i="1"/>
  <c r="G118" i="1"/>
  <c r="H118" i="1" s="1"/>
  <c r="J93" i="1"/>
  <c r="I93" i="1"/>
  <c r="G93" i="1"/>
  <c r="H93" i="1" s="1"/>
  <c r="P2" i="150"/>
  <c r="L94" i="1" s="1"/>
  <c r="O2" i="150"/>
  <c r="K94" i="1" s="1"/>
  <c r="P28" i="150"/>
  <c r="O28" i="150"/>
  <c r="N28" i="150"/>
  <c r="M28" i="150"/>
  <c r="I28" i="150"/>
  <c r="K26" i="150"/>
  <c r="C26" i="150"/>
  <c r="A26" i="150"/>
  <c r="K25" i="150"/>
  <c r="C25" i="150"/>
  <c r="A25" i="150"/>
  <c r="K24" i="150"/>
  <c r="C24" i="150"/>
  <c r="A24" i="150"/>
  <c r="K23" i="150"/>
  <c r="C23" i="150"/>
  <c r="A23" i="150"/>
  <c r="K22" i="150"/>
  <c r="C22" i="150"/>
  <c r="A22" i="150"/>
  <c r="K21" i="150"/>
  <c r="C21" i="150"/>
  <c r="A21" i="150"/>
  <c r="K20" i="150"/>
  <c r="C20" i="150"/>
  <c r="A20" i="150"/>
  <c r="K19" i="150"/>
  <c r="C19" i="150"/>
  <c r="A19" i="150"/>
  <c r="K18" i="150"/>
  <c r="C18" i="150"/>
  <c r="A18" i="150"/>
  <c r="K17" i="150"/>
  <c r="C17" i="150"/>
  <c r="A17" i="150"/>
  <c r="K16" i="150"/>
  <c r="C16" i="150"/>
  <c r="A16" i="150"/>
  <c r="K15" i="150"/>
  <c r="C15" i="150"/>
  <c r="A15" i="150"/>
  <c r="K14" i="150"/>
  <c r="C14" i="150"/>
  <c r="A14" i="150"/>
  <c r="K13" i="150"/>
  <c r="C13" i="150"/>
  <c r="A13" i="150"/>
  <c r="K12" i="150"/>
  <c r="C12" i="150"/>
  <c r="A12" i="150"/>
  <c r="C11" i="150"/>
  <c r="A11" i="150"/>
  <c r="A4" i="150"/>
  <c r="D2" i="150"/>
  <c r="F4" i="149"/>
  <c r="P2" i="149"/>
  <c r="L93" i="1" s="1"/>
  <c r="O2" i="149"/>
  <c r="K93" i="1" s="1"/>
  <c r="P28" i="149"/>
  <c r="O28" i="149"/>
  <c r="N28" i="149"/>
  <c r="M28" i="149"/>
  <c r="I28" i="149"/>
  <c r="K26" i="149"/>
  <c r="C26" i="149"/>
  <c r="A26" i="149"/>
  <c r="K25" i="149"/>
  <c r="C25" i="149"/>
  <c r="A25" i="149"/>
  <c r="K24" i="149"/>
  <c r="C24" i="149"/>
  <c r="A24" i="149"/>
  <c r="K23" i="149"/>
  <c r="C23" i="149"/>
  <c r="A23" i="149"/>
  <c r="K22" i="149"/>
  <c r="C22" i="149"/>
  <c r="A22" i="149"/>
  <c r="K21" i="149"/>
  <c r="C21" i="149"/>
  <c r="A21" i="149"/>
  <c r="K20" i="149"/>
  <c r="C20" i="149"/>
  <c r="A20" i="149"/>
  <c r="K19" i="149"/>
  <c r="C19" i="149"/>
  <c r="A19" i="149"/>
  <c r="K18" i="149"/>
  <c r="C18" i="149"/>
  <c r="A18" i="149"/>
  <c r="K17" i="149"/>
  <c r="C17" i="149"/>
  <c r="A17" i="149"/>
  <c r="C16" i="149"/>
  <c r="A16" i="149"/>
  <c r="K15" i="149"/>
  <c r="C15" i="149"/>
  <c r="A15" i="149"/>
  <c r="K14" i="149"/>
  <c r="C14" i="149"/>
  <c r="A14" i="149"/>
  <c r="K13" i="149"/>
  <c r="C13" i="149"/>
  <c r="A13" i="149"/>
  <c r="K12" i="149"/>
  <c r="C12" i="149"/>
  <c r="A12" i="149"/>
  <c r="K11" i="149"/>
  <c r="C11" i="149"/>
  <c r="A11" i="149"/>
  <c r="A4" i="149"/>
  <c r="D2" i="149"/>
  <c r="C12" i="71"/>
  <c r="C13" i="71"/>
  <c r="C14" i="71"/>
  <c r="C15" i="71"/>
  <c r="C16" i="71"/>
  <c r="C17" i="71"/>
  <c r="C18" i="71"/>
  <c r="C19" i="71"/>
  <c r="C20" i="71"/>
  <c r="C21" i="71"/>
  <c r="C22" i="71"/>
  <c r="C23" i="71"/>
  <c r="C24" i="71"/>
  <c r="C11" i="71"/>
  <c r="F4" i="71"/>
  <c r="E14" i="85"/>
  <c r="E15" i="85"/>
  <c r="E16" i="85"/>
  <c r="E17" i="85"/>
  <c r="E18" i="85"/>
  <c r="E19" i="85"/>
  <c r="E20" i="85"/>
  <c r="E21" i="85"/>
  <c r="E22" i="85"/>
  <c r="E23" i="85"/>
  <c r="E24" i="85"/>
  <c r="E25" i="85"/>
  <c r="E26" i="85"/>
  <c r="E27" i="85"/>
  <c r="E28" i="85"/>
  <c r="E13" i="85"/>
  <c r="E14" i="84"/>
  <c r="E15" i="84"/>
  <c r="E16" i="84"/>
  <c r="E17" i="84"/>
  <c r="E18" i="84"/>
  <c r="E19" i="84"/>
  <c r="E20" i="84"/>
  <c r="E21" i="84"/>
  <c r="E22" i="84"/>
  <c r="E23" i="84"/>
  <c r="E24" i="84"/>
  <c r="E25" i="84"/>
  <c r="E26" i="84"/>
  <c r="E27" i="84"/>
  <c r="E28" i="84"/>
  <c r="E13" i="84"/>
  <c r="C9" i="68"/>
  <c r="C8" i="68"/>
  <c r="J68" i="1"/>
  <c r="J67" i="1"/>
  <c r="J66" i="1"/>
  <c r="I68" i="1"/>
  <c r="I67" i="1"/>
  <c r="G67" i="1" s="1"/>
  <c r="H67" i="1" s="1"/>
  <c r="I66" i="1"/>
  <c r="G66" i="1" s="1"/>
  <c r="H66" i="1" s="1"/>
  <c r="J65" i="1"/>
  <c r="J64" i="1"/>
  <c r="J63" i="1"/>
  <c r="I65" i="1"/>
  <c r="I64" i="1"/>
  <c r="I63" i="1"/>
  <c r="Y2" i="148"/>
  <c r="L68" i="1" s="1"/>
  <c r="X2" i="148"/>
  <c r="K68" i="1" s="1"/>
  <c r="Y2" i="147"/>
  <c r="L67" i="1" s="1"/>
  <c r="X2" i="147"/>
  <c r="K67" i="1" s="1"/>
  <c r="Y2" i="146"/>
  <c r="L66" i="1" s="1"/>
  <c r="X2" i="146"/>
  <c r="K66" i="1" s="1"/>
  <c r="K4" i="146"/>
  <c r="K4" i="147"/>
  <c r="K4" i="148"/>
  <c r="AA17" i="148"/>
  <c r="Z17" i="148"/>
  <c r="Y17" i="148"/>
  <c r="X17" i="148"/>
  <c r="W17" i="148"/>
  <c r="V17" i="148"/>
  <c r="U17" i="148"/>
  <c r="T17" i="148"/>
  <c r="S17" i="148"/>
  <c r="R17" i="148"/>
  <c r="Q17" i="148"/>
  <c r="P17" i="148"/>
  <c r="O17" i="148"/>
  <c r="N17" i="148"/>
  <c r="M17" i="148"/>
  <c r="L17" i="148"/>
  <c r="K17" i="148"/>
  <c r="J17" i="148"/>
  <c r="I17" i="148"/>
  <c r="H17" i="148"/>
  <c r="G17" i="148"/>
  <c r="F17" i="148"/>
  <c r="E17" i="148"/>
  <c r="D17" i="148"/>
  <c r="C16" i="148"/>
  <c r="C15" i="148"/>
  <c r="C14" i="148"/>
  <c r="C10" i="148"/>
  <c r="A10" i="148"/>
  <c r="A9" i="148"/>
  <c r="A4" i="148"/>
  <c r="E2" i="148"/>
  <c r="X19" i="147"/>
  <c r="W19" i="147"/>
  <c r="V19" i="147"/>
  <c r="U19" i="147"/>
  <c r="T19" i="147"/>
  <c r="S19" i="147"/>
  <c r="R19" i="147"/>
  <c r="Q19" i="147"/>
  <c r="P19" i="147"/>
  <c r="O19" i="147"/>
  <c r="N19" i="147"/>
  <c r="M19" i="147"/>
  <c r="L19" i="147"/>
  <c r="K19" i="147"/>
  <c r="J19" i="147"/>
  <c r="I19" i="147"/>
  <c r="H19" i="147"/>
  <c r="G19" i="147"/>
  <c r="F19" i="147"/>
  <c r="E19" i="147"/>
  <c r="D19" i="147"/>
  <c r="C18" i="147"/>
  <c r="C19" i="147" s="1"/>
  <c r="C17" i="147"/>
  <c r="C16" i="147"/>
  <c r="C11" i="147"/>
  <c r="A11" i="147"/>
  <c r="C10" i="147"/>
  <c r="A9" i="147"/>
  <c r="A4" i="147"/>
  <c r="E2" i="147"/>
  <c r="Z20" i="146"/>
  <c r="Z21" i="146" s="1"/>
  <c r="Y20" i="146"/>
  <c r="Y21" i="146" s="1"/>
  <c r="X20" i="146"/>
  <c r="X21" i="146"/>
  <c r="W20" i="146"/>
  <c r="W21" i="146"/>
  <c r="V20" i="146"/>
  <c r="V21" i="146" s="1"/>
  <c r="U20" i="146"/>
  <c r="U21" i="146" s="1"/>
  <c r="T20" i="146"/>
  <c r="T21" i="146"/>
  <c r="S20" i="146"/>
  <c r="S21" i="146"/>
  <c r="R20" i="146"/>
  <c r="R21" i="146" s="1"/>
  <c r="Q20" i="146"/>
  <c r="Q21" i="146" s="1"/>
  <c r="P20" i="146"/>
  <c r="P21" i="146"/>
  <c r="O20" i="146"/>
  <c r="O21" i="146"/>
  <c r="N20" i="146"/>
  <c r="N21" i="146" s="1"/>
  <c r="M20" i="146"/>
  <c r="M21" i="146" s="1"/>
  <c r="L20" i="146"/>
  <c r="L21" i="146"/>
  <c r="K20" i="146"/>
  <c r="K21" i="146"/>
  <c r="J20" i="146"/>
  <c r="J21" i="146" s="1"/>
  <c r="I20" i="146"/>
  <c r="I21" i="146" s="1"/>
  <c r="H20" i="146"/>
  <c r="H21" i="146"/>
  <c r="G20" i="146"/>
  <c r="G21" i="146"/>
  <c r="F20" i="146"/>
  <c r="F21" i="146" s="1"/>
  <c r="E20" i="146"/>
  <c r="E21" i="146" s="1"/>
  <c r="D20" i="146"/>
  <c r="D21" i="146"/>
  <c r="C19" i="146"/>
  <c r="C18" i="146"/>
  <c r="C20" i="146" s="1"/>
  <c r="C17" i="146"/>
  <c r="C16" i="146"/>
  <c r="C11" i="146"/>
  <c r="A11" i="146"/>
  <c r="A9" i="146"/>
  <c r="A4" i="146"/>
  <c r="E2" i="146"/>
  <c r="Y2" i="145"/>
  <c r="L65" i="1" s="1"/>
  <c r="X2" i="145"/>
  <c r="K65" i="1" s="1"/>
  <c r="Y2" i="144"/>
  <c r="L64" i="1" s="1"/>
  <c r="X2" i="144"/>
  <c r="K64" i="1" s="1"/>
  <c r="Y2" i="143"/>
  <c r="L63" i="1" s="1"/>
  <c r="X2" i="143"/>
  <c r="K63" i="1" s="1"/>
  <c r="K4" i="143"/>
  <c r="K4" i="144"/>
  <c r="K4" i="145"/>
  <c r="AA17" i="145"/>
  <c r="Z17" i="145"/>
  <c r="Y17" i="145"/>
  <c r="X17" i="145"/>
  <c r="W17" i="145"/>
  <c r="V17" i="145"/>
  <c r="U17" i="145"/>
  <c r="T17" i="145"/>
  <c r="S17" i="145"/>
  <c r="R17" i="145"/>
  <c r="Q17" i="145"/>
  <c r="P17" i="145"/>
  <c r="O17" i="145"/>
  <c r="N17" i="145"/>
  <c r="M17" i="145"/>
  <c r="L17" i="145"/>
  <c r="K17" i="145"/>
  <c r="J17" i="145"/>
  <c r="I17" i="145"/>
  <c r="H17" i="145"/>
  <c r="G17" i="145"/>
  <c r="F17" i="145"/>
  <c r="E17" i="145"/>
  <c r="D17" i="145"/>
  <c r="C17" i="145" s="1"/>
  <c r="C16" i="145"/>
  <c r="C15" i="145"/>
  <c r="C14" i="145"/>
  <c r="C10" i="145"/>
  <c r="A10" i="145"/>
  <c r="A9" i="145"/>
  <c r="A4" i="145"/>
  <c r="E2" i="145"/>
  <c r="X19" i="144"/>
  <c r="W19" i="144"/>
  <c r="V19" i="144"/>
  <c r="U19" i="144"/>
  <c r="T19" i="144"/>
  <c r="S19" i="144"/>
  <c r="R19" i="144"/>
  <c r="Q19" i="144"/>
  <c r="P19" i="144"/>
  <c r="O19" i="144"/>
  <c r="N19" i="144"/>
  <c r="M19" i="144"/>
  <c r="L19" i="144"/>
  <c r="K19" i="144"/>
  <c r="J19" i="144"/>
  <c r="I19" i="144"/>
  <c r="H19" i="144"/>
  <c r="G19" i="144"/>
  <c r="F19" i="144"/>
  <c r="E19" i="144"/>
  <c r="D19" i="144"/>
  <c r="C18" i="144"/>
  <c r="C19" i="144" s="1"/>
  <c r="C17" i="144"/>
  <c r="C16" i="144"/>
  <c r="C11" i="144"/>
  <c r="A11" i="144"/>
  <c r="C10" i="144"/>
  <c r="A9" i="144"/>
  <c r="A4" i="144"/>
  <c r="E2" i="144"/>
  <c r="Z20" i="143"/>
  <c r="Z21" i="143"/>
  <c r="Y20" i="143"/>
  <c r="Y21" i="143" s="1"/>
  <c r="X20" i="143"/>
  <c r="X21" i="143" s="1"/>
  <c r="W20" i="143"/>
  <c r="W21" i="143"/>
  <c r="V20" i="143"/>
  <c r="V21" i="143"/>
  <c r="U20" i="143"/>
  <c r="U21" i="143" s="1"/>
  <c r="T20" i="143"/>
  <c r="T21" i="143" s="1"/>
  <c r="S20" i="143"/>
  <c r="S21" i="143" s="1"/>
  <c r="R20" i="143"/>
  <c r="R21" i="143" s="1"/>
  <c r="Q20" i="143"/>
  <c r="Q21" i="143" s="1"/>
  <c r="P20" i="143"/>
  <c r="P21" i="143" s="1"/>
  <c r="O20" i="143"/>
  <c r="O21" i="143" s="1"/>
  <c r="N20" i="143"/>
  <c r="N21" i="143" s="1"/>
  <c r="M20" i="143"/>
  <c r="M21" i="143" s="1"/>
  <c r="L20" i="143"/>
  <c r="L21" i="143" s="1"/>
  <c r="K20" i="143"/>
  <c r="K21" i="143" s="1"/>
  <c r="J20" i="143"/>
  <c r="J21" i="143" s="1"/>
  <c r="I20" i="143"/>
  <c r="I21" i="143" s="1"/>
  <c r="H20" i="143"/>
  <c r="H21" i="143" s="1"/>
  <c r="G20" i="143"/>
  <c r="G21" i="143"/>
  <c r="F20" i="143"/>
  <c r="F21" i="143" s="1"/>
  <c r="E20" i="143"/>
  <c r="E21" i="143"/>
  <c r="D20" i="143"/>
  <c r="D21" i="143" s="1"/>
  <c r="C19" i="143"/>
  <c r="C18" i="143"/>
  <c r="C17" i="143"/>
  <c r="C16" i="143"/>
  <c r="C11" i="143"/>
  <c r="A11" i="143"/>
  <c r="A9" i="143"/>
  <c r="A4" i="143"/>
  <c r="E2" i="143"/>
  <c r="K4" i="48"/>
  <c r="J47" i="1"/>
  <c r="I47" i="1"/>
  <c r="J55" i="1"/>
  <c r="J53" i="1"/>
  <c r="J52" i="1"/>
  <c r="J51" i="1"/>
  <c r="I55" i="1"/>
  <c r="G55" i="1"/>
  <c r="H55" i="1" s="1"/>
  <c r="I53" i="1"/>
  <c r="I52" i="1"/>
  <c r="I51" i="1"/>
  <c r="G51" i="1" s="1"/>
  <c r="H51" i="1" s="1"/>
  <c r="G50" i="1"/>
  <c r="H50" i="1" s="1"/>
  <c r="P2" i="141"/>
  <c r="L51" i="1" s="1"/>
  <c r="O2" i="141"/>
  <c r="K51" i="1" s="1"/>
  <c r="P2" i="139"/>
  <c r="L53" i="1" s="1"/>
  <c r="O2" i="139"/>
  <c r="K53" i="1" s="1"/>
  <c r="R2" i="138"/>
  <c r="L55" i="1" s="1"/>
  <c r="Q2" i="138"/>
  <c r="K55" i="1" s="1"/>
  <c r="S2" i="137"/>
  <c r="L52" i="1" s="1"/>
  <c r="R2" i="137"/>
  <c r="K52" i="1" s="1"/>
  <c r="H4" i="141"/>
  <c r="H4" i="139"/>
  <c r="H4" i="138"/>
  <c r="J4" i="137"/>
  <c r="A4" i="141"/>
  <c r="D2" i="141"/>
  <c r="A4" i="139"/>
  <c r="D2" i="139"/>
  <c r="D2" i="138"/>
  <c r="A4" i="137"/>
  <c r="F2" i="137"/>
  <c r="J49" i="1"/>
  <c r="I49" i="1"/>
  <c r="G49" i="1"/>
  <c r="H49" i="1" s="1"/>
  <c r="J48" i="1"/>
  <c r="I48" i="1"/>
  <c r="J46" i="1"/>
  <c r="I46" i="1"/>
  <c r="J45" i="1"/>
  <c r="I45" i="1"/>
  <c r="G45" i="1" s="1"/>
  <c r="H45" i="1" s="1"/>
  <c r="H4" i="135"/>
  <c r="P2" i="134"/>
  <c r="L48" i="1" s="1"/>
  <c r="O2" i="134"/>
  <c r="K48" i="1" s="1"/>
  <c r="H4" i="134"/>
  <c r="P2" i="133"/>
  <c r="L47" i="1" s="1"/>
  <c r="O2" i="133"/>
  <c r="K47" i="1" s="1"/>
  <c r="H4" i="133"/>
  <c r="R2" i="132"/>
  <c r="L49" i="1" s="1"/>
  <c r="Q2" i="132"/>
  <c r="K49" i="1" s="1"/>
  <c r="H4" i="132"/>
  <c r="S2" i="131"/>
  <c r="L46" i="1" s="1"/>
  <c r="R2" i="131"/>
  <c r="K46" i="1" s="1"/>
  <c r="J4" i="131"/>
  <c r="A4" i="135"/>
  <c r="D2" i="135"/>
  <c r="O50" i="134"/>
  <c r="M50" i="134"/>
  <c r="K50" i="134"/>
  <c r="I50" i="134"/>
  <c r="G50" i="134"/>
  <c r="E50" i="134"/>
  <c r="A34" i="134"/>
  <c r="K33" i="134"/>
  <c r="E33" i="134"/>
  <c r="M7" i="134"/>
  <c r="A7" i="134"/>
  <c r="A4" i="134"/>
  <c r="D2" i="134"/>
  <c r="A4" i="133"/>
  <c r="D2" i="133"/>
  <c r="D2" i="132"/>
  <c r="A4" i="131"/>
  <c r="F2" i="131"/>
  <c r="J43" i="1"/>
  <c r="I43" i="1"/>
  <c r="G43" i="1" s="1"/>
  <c r="H43" i="1" s="1"/>
  <c r="L43" i="1"/>
  <c r="K43" i="1"/>
  <c r="E50" i="40"/>
  <c r="G50" i="40"/>
  <c r="X2" i="89"/>
  <c r="K37" i="1" s="1"/>
  <c r="G29" i="1"/>
  <c r="G28" i="1"/>
  <c r="G27" i="1"/>
  <c r="J22" i="1"/>
  <c r="I22" i="1"/>
  <c r="G22" i="1" s="1"/>
  <c r="H22" i="1" s="1"/>
  <c r="G26" i="1"/>
  <c r="H26" i="1" s="1"/>
  <c r="A4" i="116"/>
  <c r="D2" i="116"/>
  <c r="I10" i="121"/>
  <c r="I11" i="121" s="1"/>
  <c r="A7" i="121"/>
  <c r="B4" i="121"/>
  <c r="D2" i="121"/>
  <c r="I10" i="120"/>
  <c r="I12" i="120" s="1"/>
  <c r="I13" i="120" s="1"/>
  <c r="A7" i="120"/>
  <c r="B4" i="120"/>
  <c r="D2" i="120"/>
  <c r="C20" i="143"/>
  <c r="D2" i="103"/>
  <c r="D2" i="119"/>
  <c r="K19" i="71"/>
  <c r="K20" i="71"/>
  <c r="K21" i="71"/>
  <c r="K22" i="71"/>
  <c r="K23" i="71"/>
  <c r="K24" i="71"/>
  <c r="A17" i="70"/>
  <c r="A18" i="70"/>
  <c r="G9" i="27"/>
  <c r="G11" i="27" s="1"/>
  <c r="XBK9" i="27"/>
  <c r="XAU9" i="27"/>
  <c r="XAE9" i="27"/>
  <c r="WZO9" i="27"/>
  <c r="WYY9" i="27"/>
  <c r="WYI9" i="27"/>
  <c r="WXS9" i="27"/>
  <c r="WXC9" i="27"/>
  <c r="WWM9" i="27"/>
  <c r="WVW9" i="27"/>
  <c r="WVG9" i="27"/>
  <c r="WUQ9" i="27"/>
  <c r="WUA9" i="27"/>
  <c r="WTK9" i="27"/>
  <c r="WSU9" i="27"/>
  <c r="WSE9" i="27"/>
  <c r="WRO9" i="27"/>
  <c r="WQY9" i="27"/>
  <c r="WQI9" i="27"/>
  <c r="WPS9" i="27"/>
  <c r="WPC9" i="27"/>
  <c r="WOM9" i="27"/>
  <c r="WNW9" i="27"/>
  <c r="WNG9" i="27"/>
  <c r="WMQ9" i="27"/>
  <c r="WMA9" i="27"/>
  <c r="WLK9" i="27"/>
  <c r="WKU9" i="27"/>
  <c r="WKE9" i="27"/>
  <c r="WJO9" i="27"/>
  <c r="WIY9" i="27"/>
  <c r="WII9" i="27"/>
  <c r="WHS9" i="27"/>
  <c r="WHC9" i="27"/>
  <c r="WGM9" i="27"/>
  <c r="WFW9" i="27"/>
  <c r="WFG9" i="27"/>
  <c r="WEQ9" i="27"/>
  <c r="WEA9" i="27"/>
  <c r="WDK9" i="27"/>
  <c r="WCU9" i="27"/>
  <c r="WCE9" i="27"/>
  <c r="WBO9" i="27"/>
  <c r="WAY9" i="27"/>
  <c r="WAI9" i="27"/>
  <c r="VZS9" i="27"/>
  <c r="VZC9" i="27"/>
  <c r="VYM9" i="27"/>
  <c r="VXW9" i="27"/>
  <c r="VXG9" i="27"/>
  <c r="VWQ9" i="27"/>
  <c r="VWA9" i="27"/>
  <c r="VVK9" i="27"/>
  <c r="VUU9" i="27"/>
  <c r="VUE9" i="27"/>
  <c r="VTO9" i="27"/>
  <c r="VSY9" i="27"/>
  <c r="VSI9" i="27"/>
  <c r="VRS9" i="27"/>
  <c r="VRC9" i="27"/>
  <c r="VQM9" i="27"/>
  <c r="VPW9" i="27"/>
  <c r="VPG9" i="27"/>
  <c r="VOQ9" i="27"/>
  <c r="VOA9" i="27"/>
  <c r="VNK9" i="27"/>
  <c r="VMU9" i="27"/>
  <c r="VME9" i="27"/>
  <c r="VLO9" i="27"/>
  <c r="VKY9" i="27"/>
  <c r="VKI9" i="27"/>
  <c r="VJS9" i="27"/>
  <c r="VJC9" i="27"/>
  <c r="VIM9" i="27"/>
  <c r="VHW9" i="27"/>
  <c r="VHG9" i="27"/>
  <c r="VGQ9" i="27"/>
  <c r="VGA9" i="27"/>
  <c r="VFK9" i="27"/>
  <c r="VEU9" i="27"/>
  <c r="VEE9" i="27"/>
  <c r="VDO9" i="27"/>
  <c r="VCY9" i="27"/>
  <c r="VCI9" i="27"/>
  <c r="VBS9" i="27"/>
  <c r="VBC9" i="27"/>
  <c r="VAM9" i="27"/>
  <c r="UZW9" i="27"/>
  <c r="UZG9" i="27"/>
  <c r="UYQ9" i="27"/>
  <c r="UYA9" i="27"/>
  <c r="UXK9" i="27"/>
  <c r="UWU9" i="27"/>
  <c r="UWE9" i="27"/>
  <c r="UVO9" i="27"/>
  <c r="UUY9" i="27"/>
  <c r="UUI9" i="27"/>
  <c r="UTS9" i="27"/>
  <c r="UTC9" i="27"/>
  <c r="USM9" i="27"/>
  <c r="URW9" i="27"/>
  <c r="URG9" i="27"/>
  <c r="UQQ9" i="27"/>
  <c r="UQA9" i="27"/>
  <c r="UPK9" i="27"/>
  <c r="UOU9" i="27"/>
  <c r="UOE9" i="27"/>
  <c r="UNO9" i="27"/>
  <c r="UMY9" i="27"/>
  <c r="UMI9" i="27"/>
  <c r="ULS9" i="27"/>
  <c r="ULC9" i="27"/>
  <c r="UKM9" i="27"/>
  <c r="UJW9" i="27"/>
  <c r="UJG9" i="27"/>
  <c r="UIQ9" i="27"/>
  <c r="UIA9" i="27"/>
  <c r="UHK9" i="27"/>
  <c r="UGU9" i="27"/>
  <c r="UGE9" i="27"/>
  <c r="UFO9" i="27"/>
  <c r="UEY9" i="27"/>
  <c r="UEI9" i="27"/>
  <c r="UDS9" i="27"/>
  <c r="UDC9" i="27"/>
  <c r="UCM9" i="27"/>
  <c r="UBW9" i="27"/>
  <c r="UBG9" i="27"/>
  <c r="UAQ9" i="27"/>
  <c r="UAA9" i="27"/>
  <c r="TZK9" i="27"/>
  <c r="TYU9" i="27"/>
  <c r="TYE9" i="27"/>
  <c r="TXO9" i="27"/>
  <c r="TWY9" i="27"/>
  <c r="TWI9" i="27"/>
  <c r="TVS9" i="27"/>
  <c r="TVC9" i="27"/>
  <c r="TUM9" i="27"/>
  <c r="TTW9" i="27"/>
  <c r="TTG9" i="27"/>
  <c r="TSQ9" i="27"/>
  <c r="TSA9" i="27"/>
  <c r="TRK9" i="27"/>
  <c r="TQU9" i="27"/>
  <c r="TQE9" i="27"/>
  <c r="TPO9" i="27"/>
  <c r="TOY9" i="27"/>
  <c r="TOI9" i="27"/>
  <c r="TNS9" i="27"/>
  <c r="TNC9" i="27"/>
  <c r="TMM9" i="27"/>
  <c r="TLW9" i="27"/>
  <c r="TLG9" i="27"/>
  <c r="TKQ9" i="27"/>
  <c r="TKA9" i="27"/>
  <c r="TJK9" i="27"/>
  <c r="TIU9" i="27"/>
  <c r="TIE9" i="27"/>
  <c r="THO9" i="27"/>
  <c r="TGY9" i="27"/>
  <c r="TGI9" i="27"/>
  <c r="TFS9" i="27"/>
  <c r="TFC9" i="27"/>
  <c r="TEM9" i="27"/>
  <c r="TDW9" i="27"/>
  <c r="TDG9" i="27"/>
  <c r="TCQ9" i="27"/>
  <c r="TCA9" i="27"/>
  <c r="TBK9" i="27"/>
  <c r="TAU9" i="27"/>
  <c r="TAE9" i="27"/>
  <c r="SZO9" i="27"/>
  <c r="SYY9" i="27"/>
  <c r="SYI9" i="27"/>
  <c r="SXS9" i="27"/>
  <c r="SXC9" i="27"/>
  <c r="SWM9" i="27"/>
  <c r="SVW9" i="27"/>
  <c r="SVG9" i="27"/>
  <c r="SUQ9" i="27"/>
  <c r="SUA9" i="27"/>
  <c r="STK9" i="27"/>
  <c r="SSU9" i="27"/>
  <c r="SSE9" i="27"/>
  <c r="SRO9" i="27"/>
  <c r="SQY9" i="27"/>
  <c r="SQI9" i="27"/>
  <c r="SPS9" i="27"/>
  <c r="SPC9" i="27"/>
  <c r="SOM9" i="27"/>
  <c r="SNW9" i="27"/>
  <c r="SNG9" i="27"/>
  <c r="SMQ9" i="27"/>
  <c r="SMA9" i="27"/>
  <c r="SLK9" i="27"/>
  <c r="SKU9" i="27"/>
  <c r="SKE9" i="27"/>
  <c r="SJO9" i="27"/>
  <c r="SIY9" i="27"/>
  <c r="SII9" i="27"/>
  <c r="SHS9" i="27"/>
  <c r="SHC9" i="27"/>
  <c r="SGM9" i="27"/>
  <c r="SFW9" i="27"/>
  <c r="SFG9" i="27"/>
  <c r="SEQ9" i="27"/>
  <c r="SEA9" i="27"/>
  <c r="SDK9" i="27"/>
  <c r="SCU9" i="27"/>
  <c r="SCE9" i="27"/>
  <c r="SBO9" i="27"/>
  <c r="SAY9" i="27"/>
  <c r="SAI9" i="27"/>
  <c r="RZS9" i="27"/>
  <c r="RZC9" i="27"/>
  <c r="RYM9" i="27"/>
  <c r="RXW9" i="27"/>
  <c r="RXG9" i="27"/>
  <c r="RWQ9" i="27"/>
  <c r="RWA9" i="27"/>
  <c r="RVK9" i="27"/>
  <c r="RUU9" i="27"/>
  <c r="RUE9" i="27"/>
  <c r="RTO9" i="27"/>
  <c r="RSY9" i="27"/>
  <c r="RSI9" i="27"/>
  <c r="RRS9" i="27"/>
  <c r="RRC9" i="27"/>
  <c r="RQM9" i="27"/>
  <c r="RPW9" i="27"/>
  <c r="RPG9" i="27"/>
  <c r="ROQ9" i="27"/>
  <c r="ROA9" i="27"/>
  <c r="RNK9" i="27"/>
  <c r="RMU9" i="27"/>
  <c r="RME9" i="27"/>
  <c r="RLO9" i="27"/>
  <c r="RKY9" i="27"/>
  <c r="RKI9" i="27"/>
  <c r="RJS9" i="27"/>
  <c r="RJC9" i="27"/>
  <c r="RIM9" i="27"/>
  <c r="RHW9" i="27"/>
  <c r="RHG9" i="27"/>
  <c r="RGQ9" i="27"/>
  <c r="RGA9" i="27"/>
  <c r="RFK9" i="27"/>
  <c r="REU9" i="27"/>
  <c r="REE9" i="27"/>
  <c r="RDO9" i="27"/>
  <c r="RCY9" i="27"/>
  <c r="RCI9" i="27"/>
  <c r="RBS9" i="27"/>
  <c r="RBC9" i="27"/>
  <c r="RAM9" i="27"/>
  <c r="QZW9" i="27"/>
  <c r="QZG9" i="27"/>
  <c r="QYQ9" i="27"/>
  <c r="QYA9" i="27"/>
  <c r="QXK9" i="27"/>
  <c r="QWU9" i="27"/>
  <c r="QWE9" i="27"/>
  <c r="QVO9" i="27"/>
  <c r="QUY9" i="27"/>
  <c r="QUI9" i="27"/>
  <c r="QTS9" i="27"/>
  <c r="QTC9" i="27"/>
  <c r="QSM9" i="27"/>
  <c r="QRW9" i="27"/>
  <c r="QRG9" i="27"/>
  <c r="QQQ9" i="27"/>
  <c r="QQA9" i="27"/>
  <c r="QPK9" i="27"/>
  <c r="QOU9" i="27"/>
  <c r="QOE9" i="27"/>
  <c r="QNO9" i="27"/>
  <c r="QMY9" i="27"/>
  <c r="QMI9" i="27"/>
  <c r="QLS9" i="27"/>
  <c r="QLC9" i="27"/>
  <c r="QKM9" i="27"/>
  <c r="QJW9" i="27"/>
  <c r="QJG9" i="27"/>
  <c r="QIQ9" i="27"/>
  <c r="QIA9" i="27"/>
  <c r="QHK9" i="27"/>
  <c r="QGU9" i="27"/>
  <c r="QGE9" i="27"/>
  <c r="QFO9" i="27"/>
  <c r="QEY9" i="27"/>
  <c r="QEI9" i="27"/>
  <c r="QDS9" i="27"/>
  <c r="QDC9" i="27"/>
  <c r="QCM9" i="27"/>
  <c r="QBW9" i="27"/>
  <c r="QBG9" i="27"/>
  <c r="QAQ9" i="27"/>
  <c r="QAA9" i="27"/>
  <c r="PZK9" i="27"/>
  <c r="PYU9" i="27"/>
  <c r="PYE9" i="27"/>
  <c r="PXO9" i="27"/>
  <c r="PWY9" i="27"/>
  <c r="PWI9" i="27"/>
  <c r="PVS9" i="27"/>
  <c r="PVC9" i="27"/>
  <c r="PUM9" i="27"/>
  <c r="PTW9" i="27"/>
  <c r="PTG9" i="27"/>
  <c r="PSQ9" i="27"/>
  <c r="PSA9" i="27"/>
  <c r="PRK9" i="27"/>
  <c r="PQU9" i="27"/>
  <c r="PQE9" i="27"/>
  <c r="PPO9" i="27"/>
  <c r="POY9" i="27"/>
  <c r="POI9" i="27"/>
  <c r="PNS9" i="27"/>
  <c r="PNC9" i="27"/>
  <c r="PMM9" i="27"/>
  <c r="PLW9" i="27"/>
  <c r="PLG9" i="27"/>
  <c r="PKQ9" i="27"/>
  <c r="PKA9" i="27"/>
  <c r="PJK9" i="27"/>
  <c r="PIU9" i="27"/>
  <c r="PIE9" i="27"/>
  <c r="PHO9" i="27"/>
  <c r="PGY9" i="27"/>
  <c r="PGI9" i="27"/>
  <c r="PFS9" i="27"/>
  <c r="PFC9" i="27"/>
  <c r="PEM9" i="27"/>
  <c r="PDW9" i="27"/>
  <c r="PDG9" i="27"/>
  <c r="PCQ9" i="27"/>
  <c r="PCA9" i="27"/>
  <c r="PBK9" i="27"/>
  <c r="PAU9" i="27"/>
  <c r="PAE9" i="27"/>
  <c r="OZO9" i="27"/>
  <c r="OYY9" i="27"/>
  <c r="OYI9" i="27"/>
  <c r="OXS9" i="27"/>
  <c r="OXC9" i="27"/>
  <c r="OWM9" i="27"/>
  <c r="OVW9" i="27"/>
  <c r="OVG9" i="27"/>
  <c r="OUQ9" i="27"/>
  <c r="OUA9" i="27"/>
  <c r="OTK9" i="27"/>
  <c r="OSU9" i="27"/>
  <c r="OSE9" i="27"/>
  <c r="ORO9" i="27"/>
  <c r="OQY9" i="27"/>
  <c r="OQI9" i="27"/>
  <c r="OPS9" i="27"/>
  <c r="OPC9" i="27"/>
  <c r="OOM9" i="27"/>
  <c r="ONW9" i="27"/>
  <c r="ONG9" i="27"/>
  <c r="OMQ9" i="27"/>
  <c r="OMA9" i="27"/>
  <c r="OLK9" i="27"/>
  <c r="OKU9" i="27"/>
  <c r="OKE9" i="27"/>
  <c r="OJO9" i="27"/>
  <c r="OIY9" i="27"/>
  <c r="OII9" i="27"/>
  <c r="OHS9" i="27"/>
  <c r="OHC9" i="27"/>
  <c r="OGM9" i="27"/>
  <c r="OFW9" i="27"/>
  <c r="OFG9" i="27"/>
  <c r="OEQ9" i="27"/>
  <c r="OEA9" i="27"/>
  <c r="ODK9" i="27"/>
  <c r="OCU9" i="27"/>
  <c r="OCE9" i="27"/>
  <c r="OBO9" i="27"/>
  <c r="OAY9" i="27"/>
  <c r="OAI9" i="27"/>
  <c r="NZS9" i="27"/>
  <c r="NZC9" i="27"/>
  <c r="NYM9" i="27"/>
  <c r="NXW9" i="27"/>
  <c r="NXG9" i="27"/>
  <c r="NWQ9" i="27"/>
  <c r="NWA9" i="27"/>
  <c r="NVK9" i="27"/>
  <c r="NUU9" i="27"/>
  <c r="NUE9" i="27"/>
  <c r="NTO9" i="27"/>
  <c r="NSY9" i="27"/>
  <c r="NSI9" i="27"/>
  <c r="NRS9" i="27"/>
  <c r="NRC9" i="27"/>
  <c r="NQM9" i="27"/>
  <c r="NPW9" i="27"/>
  <c r="NPG9" i="27"/>
  <c r="NOQ9" i="27"/>
  <c r="NOA9" i="27"/>
  <c r="NNK9" i="27"/>
  <c r="NMU9" i="27"/>
  <c r="NME9" i="27"/>
  <c r="NLO9" i="27"/>
  <c r="NKY9" i="27"/>
  <c r="NKI9" i="27"/>
  <c r="NJS9" i="27"/>
  <c r="NJC9" i="27"/>
  <c r="NIM9" i="27"/>
  <c r="NHW9" i="27"/>
  <c r="NHG9" i="27"/>
  <c r="NGQ9" i="27"/>
  <c r="NGA9" i="27"/>
  <c r="NFK9" i="27"/>
  <c r="NEU9" i="27"/>
  <c r="NEE9" i="27"/>
  <c r="NDO9" i="27"/>
  <c r="NCY9" i="27"/>
  <c r="NCI9" i="27"/>
  <c r="NBS9" i="27"/>
  <c r="NBC9" i="27"/>
  <c r="NAM9" i="27"/>
  <c r="MZW9" i="27"/>
  <c r="MZG9" i="27"/>
  <c r="MYQ9" i="27"/>
  <c r="MYA9" i="27"/>
  <c r="MXK9" i="27"/>
  <c r="MWU9" i="27"/>
  <c r="MWE9" i="27"/>
  <c r="MVO9" i="27"/>
  <c r="MUY9" i="27"/>
  <c r="MUI9" i="27"/>
  <c r="MTS9" i="27"/>
  <c r="MTC9" i="27"/>
  <c r="MSM9" i="27"/>
  <c r="MRW9" i="27"/>
  <c r="MRG9" i="27"/>
  <c r="MQQ9" i="27"/>
  <c r="MQA9" i="27"/>
  <c r="MPK9" i="27"/>
  <c r="MOU9" i="27"/>
  <c r="MOE9" i="27"/>
  <c r="MNO9" i="27"/>
  <c r="MMY9" i="27"/>
  <c r="MMI9" i="27"/>
  <c r="MLS9" i="27"/>
  <c r="MLC9" i="27"/>
  <c r="MKM9" i="27"/>
  <c r="MJW9" i="27"/>
  <c r="MJG9" i="27"/>
  <c r="MIQ9" i="27"/>
  <c r="MIA9" i="27"/>
  <c r="MHK9" i="27"/>
  <c r="MGU9" i="27"/>
  <c r="MGE9" i="27"/>
  <c r="MFO9" i="27"/>
  <c r="MEY9" i="27"/>
  <c r="MEI9" i="27"/>
  <c r="MDS9" i="27"/>
  <c r="MDC9" i="27"/>
  <c r="MCM9" i="27"/>
  <c r="MBW9" i="27"/>
  <c r="MBG9" i="27"/>
  <c r="MAQ9" i="27"/>
  <c r="MAA9" i="27"/>
  <c r="LZK9" i="27"/>
  <c r="LYU9" i="27"/>
  <c r="LYE9" i="27"/>
  <c r="LXO9" i="27"/>
  <c r="LWY9" i="27"/>
  <c r="LWI9" i="27"/>
  <c r="LVS9" i="27"/>
  <c r="LVC9" i="27"/>
  <c r="LUM9" i="27"/>
  <c r="LTW9" i="27"/>
  <c r="LTG9" i="27"/>
  <c r="LSQ9" i="27"/>
  <c r="LSA9" i="27"/>
  <c r="LRK9" i="27"/>
  <c r="LQU9" i="27"/>
  <c r="LQE9" i="27"/>
  <c r="LPO9" i="27"/>
  <c r="LOY9" i="27"/>
  <c r="LOI9" i="27"/>
  <c r="LNS9" i="27"/>
  <c r="LNC9" i="27"/>
  <c r="LMM9" i="27"/>
  <c r="LLW9" i="27"/>
  <c r="LLG9" i="27"/>
  <c r="LKQ9" i="27"/>
  <c r="LKA9" i="27"/>
  <c r="LJK9" i="27"/>
  <c r="LIU9" i="27"/>
  <c r="LIE9" i="27"/>
  <c r="LHO9" i="27"/>
  <c r="LGY9" i="27"/>
  <c r="LGI9" i="27"/>
  <c r="LFS9" i="27"/>
  <c r="LFC9" i="27"/>
  <c r="LEM9" i="27"/>
  <c r="LDW9" i="27"/>
  <c r="LDG9" i="27"/>
  <c r="LCQ9" i="27"/>
  <c r="LCA9" i="27"/>
  <c r="LBK9" i="27"/>
  <c r="LAU9" i="27"/>
  <c r="LAE9" i="27"/>
  <c r="KZO9" i="27"/>
  <c r="KYY9" i="27"/>
  <c r="KYI9" i="27"/>
  <c r="KXS9" i="27"/>
  <c r="KXC9" i="27"/>
  <c r="KWM9" i="27"/>
  <c r="KVW9" i="27"/>
  <c r="KVG9" i="27"/>
  <c r="KUQ9" i="27"/>
  <c r="KUA9" i="27"/>
  <c r="KTK9" i="27"/>
  <c r="KSU9" i="27"/>
  <c r="KSE9" i="27"/>
  <c r="KRO9" i="27"/>
  <c r="KQY9" i="27"/>
  <c r="KQI9" i="27"/>
  <c r="KPS9" i="27"/>
  <c r="KPC9" i="27"/>
  <c r="KOM9" i="27"/>
  <c r="KNW9" i="27"/>
  <c r="KNG9" i="27"/>
  <c r="KMQ9" i="27"/>
  <c r="KMA9" i="27"/>
  <c r="KLK9" i="27"/>
  <c r="KKU9" i="27"/>
  <c r="KKE9" i="27"/>
  <c r="KJO9" i="27"/>
  <c r="KIY9" i="27"/>
  <c r="KII9" i="27"/>
  <c r="KHS9" i="27"/>
  <c r="KHC9" i="27"/>
  <c r="KGM9" i="27"/>
  <c r="KFW9" i="27"/>
  <c r="KFG9" i="27"/>
  <c r="KEQ9" i="27"/>
  <c r="KEA9" i="27"/>
  <c r="KDK9" i="27"/>
  <c r="KCU9" i="27"/>
  <c r="KCE9" i="27"/>
  <c r="KBO9" i="27"/>
  <c r="KAY9" i="27"/>
  <c r="KAI9" i="27"/>
  <c r="JZS9" i="27"/>
  <c r="JZC9" i="27"/>
  <c r="JYM9" i="27"/>
  <c r="JXW9" i="27"/>
  <c r="JXG9" i="27"/>
  <c r="JWQ9" i="27"/>
  <c r="JWA9" i="27"/>
  <c r="JVK9" i="27"/>
  <c r="JUU9" i="27"/>
  <c r="JUE9" i="27"/>
  <c r="JTO9" i="27"/>
  <c r="JSY9" i="27"/>
  <c r="JSI9" i="27"/>
  <c r="JRS9" i="27"/>
  <c r="JRC9" i="27"/>
  <c r="JQM9" i="27"/>
  <c r="JPW9" i="27"/>
  <c r="JPG9" i="27"/>
  <c r="JOQ9" i="27"/>
  <c r="JOA9" i="27"/>
  <c r="JNK9" i="27"/>
  <c r="JMU9" i="27"/>
  <c r="JME9" i="27"/>
  <c r="JLO9" i="27"/>
  <c r="JKY9" i="27"/>
  <c r="JKI9" i="27"/>
  <c r="JJS9" i="27"/>
  <c r="JJC9" i="27"/>
  <c r="JIM9" i="27"/>
  <c r="JHW9" i="27"/>
  <c r="JHG9" i="27"/>
  <c r="JGQ9" i="27"/>
  <c r="JGA9" i="27"/>
  <c r="JFK9" i="27"/>
  <c r="JEU9" i="27"/>
  <c r="JEE9" i="27"/>
  <c r="JDO9" i="27"/>
  <c r="JCY9" i="27"/>
  <c r="JCI9" i="27"/>
  <c r="JBS9" i="27"/>
  <c r="JBC9" i="27"/>
  <c r="JAM9" i="27"/>
  <c r="IZW9" i="27"/>
  <c r="IZG9" i="27"/>
  <c r="IYQ9" i="27"/>
  <c r="IYA9" i="27"/>
  <c r="IXK9" i="27"/>
  <c r="IWU9" i="27"/>
  <c r="IWE9" i="27"/>
  <c r="IVO9" i="27"/>
  <c r="IUY9" i="27"/>
  <c r="IUI9" i="27"/>
  <c r="ITS9" i="27"/>
  <c r="ITC9" i="27"/>
  <c r="ISM9" i="27"/>
  <c r="IRW9" i="27"/>
  <c r="IRG9" i="27"/>
  <c r="IQQ9" i="27"/>
  <c r="IQA9" i="27"/>
  <c r="IPK9" i="27"/>
  <c r="IOU9" i="27"/>
  <c r="IOE9" i="27"/>
  <c r="INO9" i="27"/>
  <c r="IMY9" i="27"/>
  <c r="IMI9" i="27"/>
  <c r="ILS9" i="27"/>
  <c r="ILC9" i="27"/>
  <c r="IKM9" i="27"/>
  <c r="IJW9" i="27"/>
  <c r="IJG9" i="27"/>
  <c r="IIQ9" i="27"/>
  <c r="IIA9" i="27"/>
  <c r="IHK9" i="27"/>
  <c r="IGU9" i="27"/>
  <c r="IGE9" i="27"/>
  <c r="IFO9" i="27"/>
  <c r="IEY9" i="27"/>
  <c r="IEI9" i="27"/>
  <c r="IDS9" i="27"/>
  <c r="IDC9" i="27"/>
  <c r="ICM9" i="27"/>
  <c r="IBW9" i="27"/>
  <c r="IBG9" i="27"/>
  <c r="IAQ9" i="27"/>
  <c r="IAA9" i="27"/>
  <c r="HZK9" i="27"/>
  <c r="HYU9" i="27"/>
  <c r="HYE9" i="27"/>
  <c r="HXO9" i="27"/>
  <c r="HWY9" i="27"/>
  <c r="HWI9" i="27"/>
  <c r="HVS9" i="27"/>
  <c r="HVC9" i="27"/>
  <c r="HUM9" i="27"/>
  <c r="HTW9" i="27"/>
  <c r="HTG9" i="27"/>
  <c r="HSQ9" i="27"/>
  <c r="HSA9" i="27"/>
  <c r="HRK9" i="27"/>
  <c r="HQU9" i="27"/>
  <c r="HQE9" i="27"/>
  <c r="HPO9" i="27"/>
  <c r="HOY9" i="27"/>
  <c r="HOI9" i="27"/>
  <c r="HNS9" i="27"/>
  <c r="HNC9" i="27"/>
  <c r="HMM9" i="27"/>
  <c r="HLW9" i="27"/>
  <c r="HLG9" i="27"/>
  <c r="HKQ9" i="27"/>
  <c r="HKA9" i="27"/>
  <c r="HJK9" i="27"/>
  <c r="HIU9" i="27"/>
  <c r="HIE9" i="27"/>
  <c r="HHO9" i="27"/>
  <c r="HGY9" i="27"/>
  <c r="HGI9" i="27"/>
  <c r="HFS9" i="27"/>
  <c r="HFC9" i="27"/>
  <c r="HEM9" i="27"/>
  <c r="HDW9" i="27"/>
  <c r="HDG9" i="27"/>
  <c r="HCQ9" i="27"/>
  <c r="HCA9" i="27"/>
  <c r="HBK9" i="27"/>
  <c r="HAU9" i="27"/>
  <c r="HAE9" i="27"/>
  <c r="GZO9" i="27"/>
  <c r="GYY9" i="27"/>
  <c r="GYI9" i="27"/>
  <c r="GXS9" i="27"/>
  <c r="GXC9" i="27"/>
  <c r="GWM9" i="27"/>
  <c r="GVW9" i="27"/>
  <c r="GVG9" i="27"/>
  <c r="GUQ9" i="27"/>
  <c r="GUA9" i="27"/>
  <c r="GTK9" i="27"/>
  <c r="GSU9" i="27"/>
  <c r="GSE9" i="27"/>
  <c r="GRO9" i="27"/>
  <c r="GQY9" i="27"/>
  <c r="GQI9" i="27"/>
  <c r="GPS9" i="27"/>
  <c r="GPC9" i="27"/>
  <c r="GOM9" i="27"/>
  <c r="GNW9" i="27"/>
  <c r="GNG9" i="27"/>
  <c r="GMQ9" i="27"/>
  <c r="GMA9" i="27"/>
  <c r="GLK9" i="27"/>
  <c r="GKU9" i="27"/>
  <c r="GKE9" i="27"/>
  <c r="GJO9" i="27"/>
  <c r="GIY9" i="27"/>
  <c r="GII9" i="27"/>
  <c r="GHS9" i="27"/>
  <c r="GHC9" i="27"/>
  <c r="GGM9" i="27"/>
  <c r="GFW9" i="27"/>
  <c r="GFG9" i="27"/>
  <c r="GEQ9" i="27"/>
  <c r="GEA9" i="27"/>
  <c r="GDK9" i="27"/>
  <c r="GCU9" i="27"/>
  <c r="GCE9" i="27"/>
  <c r="GBO9" i="27"/>
  <c r="GAY9" i="27"/>
  <c r="GAI9" i="27"/>
  <c r="FZS9" i="27"/>
  <c r="FZC9" i="27"/>
  <c r="FYM9" i="27"/>
  <c r="FXW9" i="27"/>
  <c r="FXG9" i="27"/>
  <c r="FWQ9" i="27"/>
  <c r="FWA9" i="27"/>
  <c r="FVK9" i="27"/>
  <c r="FUU9" i="27"/>
  <c r="FUE9" i="27"/>
  <c r="FTO9" i="27"/>
  <c r="FSY9" i="27"/>
  <c r="FSI9" i="27"/>
  <c r="FRS9" i="27"/>
  <c r="FRC9" i="27"/>
  <c r="FQM9" i="27"/>
  <c r="FPW9" i="27"/>
  <c r="FPG9" i="27"/>
  <c r="FOQ9" i="27"/>
  <c r="FOA9" i="27"/>
  <c r="FNK9" i="27"/>
  <c r="FMU9" i="27"/>
  <c r="FME9" i="27"/>
  <c r="FLO9" i="27"/>
  <c r="FKY9" i="27"/>
  <c r="FKI9" i="27"/>
  <c r="FJS9" i="27"/>
  <c r="FJC9" i="27"/>
  <c r="FIM9" i="27"/>
  <c r="FHW9" i="27"/>
  <c r="FHG9" i="27"/>
  <c r="FGQ9" i="27"/>
  <c r="FGA9" i="27"/>
  <c r="FFK9" i="27"/>
  <c r="FEU9" i="27"/>
  <c r="FEE9" i="27"/>
  <c r="FDO9" i="27"/>
  <c r="FCY9" i="27"/>
  <c r="FCI9" i="27"/>
  <c r="FBS9" i="27"/>
  <c r="FBC9" i="27"/>
  <c r="FAM9" i="27"/>
  <c r="EZW9" i="27"/>
  <c r="EZG9" i="27"/>
  <c r="EYQ9" i="27"/>
  <c r="EYA9" i="27"/>
  <c r="EXK9" i="27"/>
  <c r="EWU9" i="27"/>
  <c r="EWE9" i="27"/>
  <c r="EVO9" i="27"/>
  <c r="EUY9" i="27"/>
  <c r="EUI9" i="27"/>
  <c r="ETS9" i="27"/>
  <c r="ETC9" i="27"/>
  <c r="ESM9" i="27"/>
  <c r="ERW9" i="27"/>
  <c r="ERG9" i="27"/>
  <c r="EQQ9" i="27"/>
  <c r="EQA9" i="27"/>
  <c r="EPK9" i="27"/>
  <c r="EOU9" i="27"/>
  <c r="EOE9" i="27"/>
  <c r="ENO9" i="27"/>
  <c r="EMY9" i="27"/>
  <c r="EMI9" i="27"/>
  <c r="ELS9" i="27"/>
  <c r="ELC9" i="27"/>
  <c r="EKM9" i="27"/>
  <c r="EJW9" i="27"/>
  <c r="EJG9" i="27"/>
  <c r="EIQ9" i="27"/>
  <c r="EIA9" i="27"/>
  <c r="EHK9" i="27"/>
  <c r="EGU9" i="27"/>
  <c r="EGE9" i="27"/>
  <c r="EFO9" i="27"/>
  <c r="EEY9" i="27"/>
  <c r="EEI9" i="27"/>
  <c r="EDS9" i="27"/>
  <c r="EDC9" i="27"/>
  <c r="ECM9" i="27"/>
  <c r="EBW9" i="27"/>
  <c r="EBG9" i="27"/>
  <c r="EAQ9" i="27"/>
  <c r="EAA9" i="27"/>
  <c r="DZK9" i="27"/>
  <c r="DYU9" i="27"/>
  <c r="DYE9" i="27"/>
  <c r="DXO9" i="27"/>
  <c r="DWY9" i="27"/>
  <c r="DWI9" i="27"/>
  <c r="DVS9" i="27"/>
  <c r="DVC9" i="27"/>
  <c r="DUM9" i="27"/>
  <c r="DTW9" i="27"/>
  <c r="DTG9" i="27"/>
  <c r="DSQ9" i="27"/>
  <c r="DSA9" i="27"/>
  <c r="DRK9" i="27"/>
  <c r="DQU9" i="27"/>
  <c r="DQE9" i="27"/>
  <c r="DPO9" i="27"/>
  <c r="DOY9" i="27"/>
  <c r="DOI9" i="27"/>
  <c r="DNS9" i="27"/>
  <c r="DNC9" i="27"/>
  <c r="DMM9" i="27"/>
  <c r="DLW9" i="27"/>
  <c r="DLG9" i="27"/>
  <c r="DKQ9" i="27"/>
  <c r="DKA9" i="27"/>
  <c r="DJK9" i="27"/>
  <c r="DIU9" i="27"/>
  <c r="DIE9" i="27"/>
  <c r="DHO9" i="27"/>
  <c r="DGY9" i="27"/>
  <c r="DGI9" i="27"/>
  <c r="DFS9" i="27"/>
  <c r="DFC9" i="27"/>
  <c r="DEM9" i="27"/>
  <c r="DDW9" i="27"/>
  <c r="DDG9" i="27"/>
  <c r="DCQ9" i="27"/>
  <c r="DCA9" i="27"/>
  <c r="DBK9" i="27"/>
  <c r="DAU9" i="27"/>
  <c r="DAE9" i="27"/>
  <c r="CZO9" i="27"/>
  <c r="CYY9" i="27"/>
  <c r="CYI9" i="27"/>
  <c r="CXS9" i="27"/>
  <c r="CXC9" i="27"/>
  <c r="CWM9" i="27"/>
  <c r="CVW9" i="27"/>
  <c r="CVG9" i="27"/>
  <c r="CUQ9" i="27"/>
  <c r="CUA9" i="27"/>
  <c r="CTK9" i="27"/>
  <c r="CSU9" i="27"/>
  <c r="CSE9" i="27"/>
  <c r="CRO9" i="27"/>
  <c r="CQY9" i="27"/>
  <c r="CQI9" i="27"/>
  <c r="CPS9" i="27"/>
  <c r="CPC9" i="27"/>
  <c r="COM9" i="27"/>
  <c r="CNW9" i="27"/>
  <c r="CNG9" i="27"/>
  <c r="CMQ9" i="27"/>
  <c r="CMA9" i="27"/>
  <c r="CLK9" i="27"/>
  <c r="CKU9" i="27"/>
  <c r="CKE9" i="27"/>
  <c r="CJO9" i="27"/>
  <c r="CIY9" i="27"/>
  <c r="CII9" i="27"/>
  <c r="CHS9" i="27"/>
  <c r="CHC9" i="27"/>
  <c r="CGM9" i="27"/>
  <c r="CFW9" i="27"/>
  <c r="CFG9" i="27"/>
  <c r="CEQ9" i="27"/>
  <c r="CEA9" i="27"/>
  <c r="CDK9" i="27"/>
  <c r="CCU9" i="27"/>
  <c r="CCE9" i="27"/>
  <c r="CBO9" i="27"/>
  <c r="CAY9" i="27"/>
  <c r="CAI9" i="27"/>
  <c r="BZS9" i="27"/>
  <c r="BZC9" i="27"/>
  <c r="BYM9" i="27"/>
  <c r="BXW9" i="27"/>
  <c r="BXG9" i="27"/>
  <c r="BWQ9" i="27"/>
  <c r="BWA9" i="27"/>
  <c r="BVK9" i="27"/>
  <c r="BUU9" i="27"/>
  <c r="BUE9" i="27"/>
  <c r="BTO9" i="27"/>
  <c r="BSY9" i="27"/>
  <c r="BSI9" i="27"/>
  <c r="BRS9" i="27"/>
  <c r="BRC9" i="27"/>
  <c r="BQM9" i="27"/>
  <c r="BPW9" i="27"/>
  <c r="BPG9" i="27"/>
  <c r="BOQ9" i="27"/>
  <c r="BOA9" i="27"/>
  <c r="BNK9" i="27"/>
  <c r="BMU9" i="27"/>
  <c r="BME9" i="27"/>
  <c r="BLO9" i="27"/>
  <c r="BKY9" i="27"/>
  <c r="BKI9" i="27"/>
  <c r="BJS9" i="27"/>
  <c r="BJC9" i="27"/>
  <c r="BIM9" i="27"/>
  <c r="BHW9" i="27"/>
  <c r="BHG9" i="27"/>
  <c r="BGQ9" i="27"/>
  <c r="BGA9" i="27"/>
  <c r="BFK9" i="27"/>
  <c r="BEU9" i="27"/>
  <c r="BEE9" i="27"/>
  <c r="BDO9" i="27"/>
  <c r="BCY9" i="27"/>
  <c r="BCI9" i="27"/>
  <c r="BBS9" i="27"/>
  <c r="BBC9" i="27"/>
  <c r="BAM9" i="27"/>
  <c r="AZW9" i="27"/>
  <c r="AZG9" i="27"/>
  <c r="AYQ9" i="27"/>
  <c r="AYA9" i="27"/>
  <c r="AXK9" i="27"/>
  <c r="AWU9" i="27"/>
  <c r="AWE9" i="27"/>
  <c r="AVO9" i="27"/>
  <c r="AUY9" i="27"/>
  <c r="AUI9" i="27"/>
  <c r="ATS9" i="27"/>
  <c r="ATC9" i="27"/>
  <c r="ASM9" i="27"/>
  <c r="ARW9" i="27"/>
  <c r="ARG9" i="27"/>
  <c r="AQQ9" i="27"/>
  <c r="AQA9" i="27"/>
  <c r="APK9" i="27"/>
  <c r="AOU9" i="27"/>
  <c r="AOE9" i="27"/>
  <c r="ANO9" i="27"/>
  <c r="AMY9" i="27"/>
  <c r="AMI9" i="27"/>
  <c r="ALS9" i="27"/>
  <c r="ALC9" i="27"/>
  <c r="AKM9" i="27"/>
  <c r="AJW9" i="27"/>
  <c r="AJG9" i="27"/>
  <c r="AIQ9" i="27"/>
  <c r="AIA9" i="27"/>
  <c r="AHK9" i="27"/>
  <c r="AGU9" i="27"/>
  <c r="AGE9" i="27"/>
  <c r="AFO9" i="27"/>
  <c r="AEY9" i="27"/>
  <c r="AEI9" i="27"/>
  <c r="ADS9" i="27"/>
  <c r="ADC9" i="27"/>
  <c r="ACM9" i="27"/>
  <c r="ABW9" i="27"/>
  <c r="ABG9" i="27"/>
  <c r="AAQ9" i="27"/>
  <c r="AAA9" i="27"/>
  <c r="ZK9" i="27"/>
  <c r="YU9" i="27"/>
  <c r="YE9" i="27"/>
  <c r="XO9" i="27"/>
  <c r="WY9" i="27"/>
  <c r="WI9" i="27"/>
  <c r="VS9" i="27"/>
  <c r="VC9" i="27"/>
  <c r="UM9" i="27"/>
  <c r="TW9" i="27"/>
  <c r="TG9" i="27"/>
  <c r="SQ9" i="27"/>
  <c r="SA9" i="27"/>
  <c r="RK9" i="27"/>
  <c r="QU9" i="27"/>
  <c r="QE9" i="27"/>
  <c r="PO9" i="27"/>
  <c r="OY9" i="27"/>
  <c r="OI9" i="27"/>
  <c r="NS9" i="27"/>
  <c r="NC9" i="27"/>
  <c r="MM9" i="27"/>
  <c r="LW9" i="27"/>
  <c r="LG9" i="27"/>
  <c r="KQ9" i="27"/>
  <c r="KA9" i="27"/>
  <c r="JK9" i="27"/>
  <c r="IU9" i="27"/>
  <c r="IE9" i="27"/>
  <c r="HO9" i="27"/>
  <c r="GY9" i="27"/>
  <c r="GI9" i="27"/>
  <c r="FS9" i="27"/>
  <c r="FC9" i="27"/>
  <c r="EM9" i="27"/>
  <c r="DW9" i="27"/>
  <c r="DG9" i="27"/>
  <c r="CQ9" i="27"/>
  <c r="CA9" i="27"/>
  <c r="BK9" i="27"/>
  <c r="AU9" i="27"/>
  <c r="H92" i="102"/>
  <c r="I92" i="102"/>
  <c r="J92" i="102"/>
  <c r="H84" i="102"/>
  <c r="I84" i="102"/>
  <c r="J84" i="102"/>
  <c r="C17" i="48"/>
  <c r="C18" i="48"/>
  <c r="D19" i="48"/>
  <c r="E19" i="48"/>
  <c r="F19" i="48"/>
  <c r="G19" i="48"/>
  <c r="H19" i="48"/>
  <c r="I19" i="48"/>
  <c r="J19" i="48"/>
  <c r="K19" i="48"/>
  <c r="L19" i="48"/>
  <c r="M19" i="48"/>
  <c r="N19" i="48"/>
  <c r="O19" i="48"/>
  <c r="P19" i="48"/>
  <c r="Q19" i="48"/>
  <c r="R19" i="48"/>
  <c r="S19" i="48"/>
  <c r="T19" i="48"/>
  <c r="U19" i="48"/>
  <c r="V19" i="48"/>
  <c r="W19" i="48"/>
  <c r="X19" i="48"/>
  <c r="Y19" i="48"/>
  <c r="Z19" i="48"/>
  <c r="AA19" i="48"/>
  <c r="C16" i="48"/>
  <c r="X21" i="45"/>
  <c r="W21" i="45"/>
  <c r="V21" i="45"/>
  <c r="U21" i="45"/>
  <c r="T21" i="45"/>
  <c r="S21" i="45"/>
  <c r="R21" i="45"/>
  <c r="Q21" i="45"/>
  <c r="P21" i="45"/>
  <c r="O21" i="45"/>
  <c r="N21" i="45"/>
  <c r="M21" i="45"/>
  <c r="L21" i="45"/>
  <c r="K21" i="45"/>
  <c r="J21" i="45"/>
  <c r="I21" i="45"/>
  <c r="H21" i="45"/>
  <c r="G21" i="45"/>
  <c r="F21" i="45"/>
  <c r="E21" i="45"/>
  <c r="D21" i="45"/>
  <c r="C18" i="45"/>
  <c r="C19" i="45"/>
  <c r="C20" i="45"/>
  <c r="G32" i="1"/>
  <c r="H32" i="1" s="1"/>
  <c r="G31" i="1"/>
  <c r="H31" i="1" s="1"/>
  <c r="H29" i="1"/>
  <c r="H28" i="1"/>
  <c r="H27" i="1"/>
  <c r="G33" i="1"/>
  <c r="H33" i="1" s="1"/>
  <c r="G30" i="1"/>
  <c r="H30" i="1" s="1"/>
  <c r="I117" i="1"/>
  <c r="G117" i="1" s="1"/>
  <c r="H117" i="1" s="1"/>
  <c r="P2" i="106"/>
  <c r="L117" i="1" s="1"/>
  <c r="O2" i="106"/>
  <c r="K117" i="1" s="1"/>
  <c r="J117" i="1"/>
  <c r="G114" i="1"/>
  <c r="H114" i="1" s="1"/>
  <c r="A7" i="106"/>
  <c r="I10" i="106"/>
  <c r="I11" i="106" s="1"/>
  <c r="I12" i="106" s="1"/>
  <c r="I13" i="106" s="1"/>
  <c r="B4" i="107"/>
  <c r="D2" i="107"/>
  <c r="B4" i="106"/>
  <c r="D2" i="106"/>
  <c r="A9" i="48"/>
  <c r="A7" i="40"/>
  <c r="B36" i="74"/>
  <c r="J87" i="102"/>
  <c r="K87" i="102"/>
  <c r="J88" i="102"/>
  <c r="K88" i="102"/>
  <c r="J89" i="102"/>
  <c r="K89" i="102"/>
  <c r="J90" i="102"/>
  <c r="K90" i="102"/>
  <c r="J91" i="102"/>
  <c r="K91" i="102"/>
  <c r="G83" i="102"/>
  <c r="I91" i="102"/>
  <c r="H91" i="102"/>
  <c r="I90" i="102"/>
  <c r="I89" i="102"/>
  <c r="H89" i="102"/>
  <c r="H88" i="102"/>
  <c r="H87" i="102"/>
  <c r="J80" i="102"/>
  <c r="J81" i="102"/>
  <c r="J82" i="102"/>
  <c r="J83" i="102"/>
  <c r="J79" i="102"/>
  <c r="I79" i="102"/>
  <c r="H80" i="102"/>
  <c r="I80" i="102"/>
  <c r="H81" i="102"/>
  <c r="I81" i="102"/>
  <c r="H82" i="102"/>
  <c r="I82" i="102"/>
  <c r="H83" i="102"/>
  <c r="I83" i="102"/>
  <c r="E3" i="1"/>
  <c r="P2" i="77"/>
  <c r="L23" i="1" s="1"/>
  <c r="O2" i="77"/>
  <c r="K23" i="1" s="1"/>
  <c r="L22" i="1"/>
  <c r="K22" i="1"/>
  <c r="G24" i="1"/>
  <c r="H24" i="1" s="1"/>
  <c r="G25" i="1"/>
  <c r="H25" i="1" s="1"/>
  <c r="A4" i="102"/>
  <c r="D2" i="102"/>
  <c r="I23" i="1"/>
  <c r="G23" i="1" s="1"/>
  <c r="H23" i="1" s="1"/>
  <c r="A4" i="78"/>
  <c r="D2" i="78"/>
  <c r="A4" i="77"/>
  <c r="D2" i="77"/>
  <c r="A4" i="76"/>
  <c r="D2" i="76"/>
  <c r="G54" i="1"/>
  <c r="H54" i="1"/>
  <c r="G52" i="1"/>
  <c r="H52" i="1" s="1"/>
  <c r="G48" i="1"/>
  <c r="H48" i="1" s="1"/>
  <c r="G47" i="1"/>
  <c r="H47" i="1" s="1"/>
  <c r="G46" i="1"/>
  <c r="H46" i="1" s="1"/>
  <c r="J37" i="1"/>
  <c r="I37" i="1"/>
  <c r="G37" i="1" s="1"/>
  <c r="H37" i="1" s="1"/>
  <c r="Y2" i="89"/>
  <c r="L37" i="1" s="1"/>
  <c r="A4" i="89"/>
  <c r="E2" i="89"/>
  <c r="J100" i="1"/>
  <c r="I100" i="1"/>
  <c r="G100" i="1"/>
  <c r="H100" i="1" s="1"/>
  <c r="J87" i="1"/>
  <c r="J86" i="1"/>
  <c r="J84" i="1"/>
  <c r="J83" i="1"/>
  <c r="G88" i="1"/>
  <c r="H88" i="1"/>
  <c r="G85" i="1"/>
  <c r="H85" i="1" s="1"/>
  <c r="G84" i="1"/>
  <c r="H84" i="1" s="1"/>
  <c r="G83" i="1"/>
  <c r="H83" i="1" s="1"/>
  <c r="A28" i="85"/>
  <c r="A27" i="85"/>
  <c r="A26" i="85"/>
  <c r="A25" i="85"/>
  <c r="A24" i="85"/>
  <c r="A23" i="85"/>
  <c r="A22" i="85"/>
  <c r="A21" i="85"/>
  <c r="A20" i="85"/>
  <c r="A19" i="85"/>
  <c r="A18" i="85"/>
  <c r="A17" i="85"/>
  <c r="A16" i="85"/>
  <c r="A15" i="85"/>
  <c r="A14" i="85"/>
  <c r="A13" i="85"/>
  <c r="Q2" i="85"/>
  <c r="L87" i="1" s="1"/>
  <c r="P2" i="85"/>
  <c r="K87" i="1" s="1"/>
  <c r="Q2" i="81"/>
  <c r="L86" i="1" s="1"/>
  <c r="P2" i="81"/>
  <c r="K86" i="1" s="1"/>
  <c r="Q2" i="84"/>
  <c r="L84" i="1" s="1"/>
  <c r="P2" i="84"/>
  <c r="K84" i="1" s="1"/>
  <c r="A28" i="84"/>
  <c r="A27" i="84"/>
  <c r="A26" i="84"/>
  <c r="A25" i="84"/>
  <c r="A24" i="84"/>
  <c r="A23" i="84"/>
  <c r="A22" i="84"/>
  <c r="A21" i="84"/>
  <c r="A20" i="84"/>
  <c r="A19" i="84"/>
  <c r="A18" i="84"/>
  <c r="A17" i="84"/>
  <c r="A16" i="84"/>
  <c r="A15" i="84"/>
  <c r="A14" i="84"/>
  <c r="A13" i="84"/>
  <c r="P2" i="71"/>
  <c r="L92" i="1" s="1"/>
  <c r="O2" i="71"/>
  <c r="K92" i="1" s="1"/>
  <c r="L81" i="1"/>
  <c r="K81" i="1"/>
  <c r="Q2" i="68"/>
  <c r="L82" i="1" s="1"/>
  <c r="P2" i="68"/>
  <c r="K82" i="1" s="1"/>
  <c r="Q2" i="80"/>
  <c r="L83" i="1" s="1"/>
  <c r="P2" i="80"/>
  <c r="K83" i="1" s="1"/>
  <c r="H4" i="85"/>
  <c r="J54" i="85"/>
  <c r="J53" i="85"/>
  <c r="J52" i="85"/>
  <c r="J51" i="85"/>
  <c r="J50" i="85"/>
  <c r="J49" i="85"/>
  <c r="J48" i="85"/>
  <c r="A4" i="85"/>
  <c r="D2" i="85"/>
  <c r="H4" i="84"/>
  <c r="J54" i="84"/>
  <c r="J53" i="84"/>
  <c r="J52" i="84"/>
  <c r="J51" i="84"/>
  <c r="J50" i="84"/>
  <c r="J49" i="84"/>
  <c r="J48" i="84"/>
  <c r="A4" i="84"/>
  <c r="D2" i="84"/>
  <c r="H4" i="81"/>
  <c r="A4" i="81"/>
  <c r="D2" i="81"/>
  <c r="H4" i="80"/>
  <c r="A4" i="80"/>
  <c r="D2" i="80"/>
  <c r="A9" i="45"/>
  <c r="A4" i="28"/>
  <c r="A4" i="29"/>
  <c r="B4" i="31"/>
  <c r="A4" i="36"/>
  <c r="A4" i="37"/>
  <c r="A4" i="38"/>
  <c r="A4" i="74"/>
  <c r="A4" i="48"/>
  <c r="A4" i="45"/>
  <c r="A4" i="39"/>
  <c r="A4" i="27"/>
  <c r="A4" i="40"/>
  <c r="A4" i="21"/>
  <c r="A4" i="61"/>
  <c r="A4" i="33"/>
  <c r="A4" i="14"/>
  <c r="A4" i="71"/>
  <c r="A4" i="68"/>
  <c r="A4" i="66"/>
  <c r="C4" i="60"/>
  <c r="A4" i="8"/>
  <c r="A4" i="11"/>
  <c r="A4" i="19"/>
  <c r="H39" i="70"/>
  <c r="L39" i="70" s="1"/>
  <c r="H40" i="70"/>
  <c r="L40" i="70" s="1"/>
  <c r="H41" i="70"/>
  <c r="L41" i="70" s="1"/>
  <c r="H42" i="70"/>
  <c r="L42" i="70" s="1"/>
  <c r="H43" i="70"/>
  <c r="L43" i="70" s="1"/>
  <c r="H44" i="70"/>
  <c r="L44" i="70" s="1"/>
  <c r="H38" i="70"/>
  <c r="L38" i="70" s="1"/>
  <c r="D2" i="74"/>
  <c r="J92" i="1"/>
  <c r="I92" i="1"/>
  <c r="G92" i="1"/>
  <c r="H92" i="1" s="1"/>
  <c r="J82" i="1"/>
  <c r="J81" i="1"/>
  <c r="A24" i="71"/>
  <c r="A23" i="71"/>
  <c r="A22" i="71"/>
  <c r="A21" i="71"/>
  <c r="A20" i="71"/>
  <c r="A12" i="71"/>
  <c r="G42" i="71" s="1"/>
  <c r="A11" i="71"/>
  <c r="D2" i="71"/>
  <c r="I62" i="1"/>
  <c r="G62" i="1"/>
  <c r="H62" i="1" s="1"/>
  <c r="X2" i="45"/>
  <c r="K61" i="1" s="1"/>
  <c r="C18" i="70"/>
  <c r="C17" i="70"/>
  <c r="A9" i="68"/>
  <c r="A8" i="68"/>
  <c r="D2" i="68"/>
  <c r="J80" i="1"/>
  <c r="G80" i="1"/>
  <c r="H80" i="1" s="1"/>
  <c r="Q2" i="66"/>
  <c r="L80" i="1" s="1"/>
  <c r="P2" i="66"/>
  <c r="K80" i="1" s="1"/>
  <c r="D2" i="66"/>
  <c r="J21" i="1"/>
  <c r="I21" i="1"/>
  <c r="G21" i="1" s="1"/>
  <c r="H21" i="1" s="1"/>
  <c r="I20" i="1"/>
  <c r="G20" i="1" s="1"/>
  <c r="H20" i="1" s="1"/>
  <c r="I40" i="1"/>
  <c r="G40" i="1" s="1"/>
  <c r="H40" i="1" s="1"/>
  <c r="J40" i="1"/>
  <c r="S2" i="61"/>
  <c r="R2" i="61"/>
  <c r="K40" i="1" s="1"/>
  <c r="F2" i="61"/>
  <c r="D2" i="60"/>
  <c r="O2" i="60"/>
  <c r="K21" i="1" s="1"/>
  <c r="P2" i="60"/>
  <c r="L21" i="1" s="1"/>
  <c r="E6" i="60"/>
  <c r="E106" i="60" s="1"/>
  <c r="G6" i="60"/>
  <c r="G106" i="60" s="1"/>
  <c r="I6" i="60"/>
  <c r="I106" i="60" s="1"/>
  <c r="I10" i="1"/>
  <c r="G10" i="1" s="1"/>
  <c r="H10" i="1" s="1"/>
  <c r="I99" i="1"/>
  <c r="G99" i="1" s="1"/>
  <c r="H99" i="1" s="1"/>
  <c r="K42" i="1"/>
  <c r="O2" i="9"/>
  <c r="K14" i="1" s="1"/>
  <c r="J101" i="1"/>
  <c r="I101" i="1"/>
  <c r="G101" i="1" s="1"/>
  <c r="H101" i="1" s="1"/>
  <c r="G68" i="1"/>
  <c r="H68" i="1" s="1"/>
  <c r="G65" i="1"/>
  <c r="H65" i="1" s="1"/>
  <c r="G64" i="1"/>
  <c r="H64" i="1"/>
  <c r="J62" i="1"/>
  <c r="J61" i="1"/>
  <c r="I61" i="1"/>
  <c r="G61" i="1" s="1"/>
  <c r="H61" i="1" s="1"/>
  <c r="Y2" i="48"/>
  <c r="L62" i="1" s="1"/>
  <c r="X2" i="48"/>
  <c r="K62" i="1" s="1"/>
  <c r="C10" i="48"/>
  <c r="A10" i="48"/>
  <c r="E2" i="48"/>
  <c r="Y2" i="45"/>
  <c r="L61" i="1" s="1"/>
  <c r="A11" i="45"/>
  <c r="C10" i="45"/>
  <c r="C11" i="45"/>
  <c r="E2" i="45"/>
  <c r="G63" i="1"/>
  <c r="H63" i="1" s="1"/>
  <c r="I60" i="1"/>
  <c r="G60" i="1" s="1"/>
  <c r="H60" i="1" s="1"/>
  <c r="J60" i="1"/>
  <c r="L60" i="1"/>
  <c r="K60" i="1"/>
  <c r="J42" i="1"/>
  <c r="I42" i="1"/>
  <c r="G42" i="1" s="1"/>
  <c r="H42" i="1" s="1"/>
  <c r="M7" i="40"/>
  <c r="K33" i="40"/>
  <c r="E33" i="40"/>
  <c r="O50" i="40"/>
  <c r="M50" i="40"/>
  <c r="K50" i="40"/>
  <c r="I50" i="40"/>
  <c r="A34" i="40"/>
  <c r="L42" i="1"/>
  <c r="D2" i="40"/>
  <c r="E2" i="39"/>
  <c r="G107" i="1"/>
  <c r="H107" i="1" s="1"/>
  <c r="J99" i="1"/>
  <c r="P2" i="38"/>
  <c r="L100" i="1" s="1"/>
  <c r="O2" i="38"/>
  <c r="K100" i="1" s="1"/>
  <c r="J6" i="38"/>
  <c r="H6" i="38"/>
  <c r="F6" i="38"/>
  <c r="D2" i="38"/>
  <c r="P2" i="37"/>
  <c r="L99" i="1" s="1"/>
  <c r="O2" i="37"/>
  <c r="K99" i="1" s="1"/>
  <c r="J6" i="37"/>
  <c r="H6" i="37"/>
  <c r="F6" i="37"/>
  <c r="D2" i="37"/>
  <c r="K101" i="1"/>
  <c r="D2" i="36"/>
  <c r="J39" i="1"/>
  <c r="I39" i="1"/>
  <c r="G39" i="1" s="1"/>
  <c r="H39" i="1" s="1"/>
  <c r="D2" i="33"/>
  <c r="B78" i="1"/>
  <c r="B90" i="1"/>
  <c r="B105" i="1"/>
  <c r="J134" i="1"/>
  <c r="I134" i="1"/>
  <c r="G134" i="1" s="1"/>
  <c r="H134" i="1" s="1"/>
  <c r="D2" i="32"/>
  <c r="J113" i="1"/>
  <c r="I113" i="1"/>
  <c r="G113" i="1" s="1"/>
  <c r="H113" i="1" s="1"/>
  <c r="B111" i="1"/>
  <c r="P2" i="31"/>
  <c r="L113" i="1" s="1"/>
  <c r="O2" i="31"/>
  <c r="K113" i="1" s="1"/>
  <c r="D2" i="31"/>
  <c r="F61" i="30"/>
  <c r="H61" i="30"/>
  <c r="P2" i="30"/>
  <c r="L133" i="1" s="1"/>
  <c r="O2" i="30"/>
  <c r="K133" i="1" s="1"/>
  <c r="D2" i="30"/>
  <c r="B124" i="1"/>
  <c r="J76" i="1"/>
  <c r="I76" i="1"/>
  <c r="G76" i="1"/>
  <c r="H76" i="1" s="1"/>
  <c r="P2" i="29"/>
  <c r="L76" i="1" s="1"/>
  <c r="O2" i="29"/>
  <c r="K76" i="1" s="1"/>
  <c r="O24" i="29"/>
  <c r="M25" i="29" s="1"/>
  <c r="M24" i="29"/>
  <c r="D2" i="29"/>
  <c r="J72" i="1"/>
  <c r="I72" i="1"/>
  <c r="G72" i="1"/>
  <c r="H72" i="1" s="1"/>
  <c r="P2" i="28"/>
  <c r="L72" i="1" s="1"/>
  <c r="O2" i="28"/>
  <c r="B70" i="1"/>
  <c r="J59" i="1"/>
  <c r="I59" i="1"/>
  <c r="G59" i="1" s="1"/>
  <c r="H59" i="1" s="1"/>
  <c r="L59" i="1"/>
  <c r="K59" i="1"/>
  <c r="D2" i="27"/>
  <c r="G53" i="1"/>
  <c r="H53" i="1" s="1"/>
  <c r="J41" i="1"/>
  <c r="I41" i="1"/>
  <c r="G41" i="1" s="1"/>
  <c r="H41" i="1" s="1"/>
  <c r="L41" i="1"/>
  <c r="K41" i="1"/>
  <c r="L38" i="1"/>
  <c r="K38" i="1"/>
  <c r="D2" i="21"/>
  <c r="G44" i="1"/>
  <c r="H44" i="1"/>
  <c r="J9" i="1"/>
  <c r="I9" i="1"/>
  <c r="D2" i="19"/>
  <c r="B57" i="1"/>
  <c r="J38" i="1"/>
  <c r="I38" i="1"/>
  <c r="G38" i="1" s="1"/>
  <c r="H38" i="1" s="1"/>
  <c r="B35" i="1"/>
  <c r="D2" i="14"/>
  <c r="L20" i="1"/>
  <c r="K20" i="1"/>
  <c r="P2" i="11"/>
  <c r="L19" i="1" s="1"/>
  <c r="O2" i="11"/>
  <c r="K19" i="1" s="1"/>
  <c r="L15" i="1"/>
  <c r="K15" i="1"/>
  <c r="P2" i="9"/>
  <c r="L14" i="1" s="1"/>
  <c r="B17" i="1"/>
  <c r="B12" i="1"/>
  <c r="B7" i="1"/>
  <c r="J19" i="1"/>
  <c r="J20" i="1"/>
  <c r="J14" i="1"/>
  <c r="J15" i="1"/>
  <c r="I19" i="1"/>
  <c r="G19" i="1" s="1"/>
  <c r="H19" i="1" s="1"/>
  <c r="I14" i="1"/>
  <c r="G14" i="1" s="1"/>
  <c r="H14" i="1" s="1"/>
  <c r="I15" i="1"/>
  <c r="G15" i="1" s="1"/>
  <c r="H15" i="1" s="1"/>
  <c r="D2" i="11"/>
  <c r="D2" i="8"/>
  <c r="D2" i="10"/>
  <c r="D2" i="9"/>
  <c r="J10" i="1"/>
  <c r="D2" i="5"/>
  <c r="K72" i="1"/>
  <c r="L115" i="1"/>
  <c r="L40" i="1"/>
  <c r="G88" i="102"/>
  <c r="G79" i="102"/>
  <c r="G87" i="102"/>
  <c r="G81" i="102"/>
  <c r="G89" i="102"/>
  <c r="G91" i="102"/>
  <c r="G82" i="102"/>
  <c r="G80" i="102"/>
  <c r="G84" i="102"/>
  <c r="G92" i="102"/>
  <c r="O2" i="135"/>
  <c r="K45" i="1" s="1"/>
  <c r="P2" i="135"/>
  <c r="L45" i="1" s="1"/>
  <c r="H8" i="195"/>
  <c r="H10" i="195"/>
  <c r="H12" i="195" s="1"/>
  <c r="H8" i="194"/>
  <c r="H10" i="194"/>
  <c r="H12" i="194" s="1"/>
  <c r="J8" i="194"/>
  <c r="J10" i="194" s="1"/>
  <c r="J12" i="194" s="1"/>
  <c r="J8" i="195"/>
  <c r="J10" i="195" s="1"/>
  <c r="J12" i="195" s="1"/>
  <c r="I150" i="172"/>
  <c r="I152" i="172" s="1"/>
  <c r="J150" i="172"/>
  <c r="J152" i="172" s="1"/>
  <c r="K150" i="172"/>
  <c r="K152" i="172" s="1"/>
  <c r="L150" i="172"/>
  <c r="L152" i="172" s="1"/>
  <c r="F8" i="194"/>
  <c r="F10" i="194" s="1"/>
  <c r="F8" i="195"/>
  <c r="F10" i="195"/>
  <c r="F12" i="195" s="1"/>
  <c r="M76" i="102" l="1"/>
  <c r="P12" i="102"/>
  <c r="P9" i="102"/>
  <c r="P7" i="102"/>
  <c r="P11" i="102"/>
  <c r="P13" i="102"/>
  <c r="P8" i="102"/>
  <c r="P10" i="102"/>
  <c r="P14" i="102"/>
  <c r="I17" i="102"/>
  <c r="M11" i="78"/>
  <c r="M14" i="78"/>
  <c r="M9" i="78"/>
  <c r="N7" i="78"/>
  <c r="N16" i="78" s="1"/>
  <c r="N10" i="78"/>
  <c r="N14" i="78"/>
  <c r="N13" i="78"/>
  <c r="N8" i="78"/>
  <c r="M7" i="78"/>
  <c r="M16" i="78" s="1"/>
  <c r="I71" i="78"/>
  <c r="M10" i="78"/>
  <c r="N9" i="78"/>
  <c r="F36" i="102"/>
  <c r="I44" i="102"/>
  <c r="M96" i="102" s="1"/>
  <c r="M98" i="102" s="1"/>
  <c r="C21" i="146"/>
  <c r="P8" i="195"/>
  <c r="O9" i="78"/>
  <c r="O11" i="78"/>
  <c r="A37" i="78"/>
  <c r="E75" i="78" s="1"/>
  <c r="E83" i="78" s="1"/>
  <c r="F32" i="78"/>
  <c r="K29" i="78"/>
  <c r="O11" i="102"/>
  <c r="O8" i="102"/>
  <c r="F16" i="102"/>
  <c r="M9" i="102" s="1"/>
  <c r="J54" i="135"/>
  <c r="J55" i="135" s="1"/>
  <c r="K8" i="102"/>
  <c r="R19" i="176"/>
  <c r="R20" i="176"/>
  <c r="R22" i="176"/>
  <c r="R18" i="176"/>
  <c r="R16" i="176"/>
  <c r="R15" i="176"/>
  <c r="R24" i="176" s="1"/>
  <c r="K25" i="176"/>
  <c r="J42" i="170"/>
  <c r="J18" i="178"/>
  <c r="H114" i="176"/>
  <c r="L68" i="176"/>
  <c r="L114" i="176" s="1"/>
  <c r="I117" i="176"/>
  <c r="L71" i="176"/>
  <c r="L117" i="176" s="1"/>
  <c r="G119" i="176"/>
  <c r="A26" i="178"/>
  <c r="A40" i="178"/>
  <c r="E78" i="178" s="1"/>
  <c r="E86" i="178" s="1"/>
  <c r="F28" i="178"/>
  <c r="F42" i="178" s="1"/>
  <c r="K12" i="178"/>
  <c r="I37" i="180"/>
  <c r="Q44" i="171"/>
  <c r="I69" i="177"/>
  <c r="I77" i="177" s="1"/>
  <c r="I64" i="177"/>
  <c r="G16" i="178"/>
  <c r="N7" i="178" s="1"/>
  <c r="N16" i="178" s="1"/>
  <c r="K7" i="178"/>
  <c r="C19" i="48"/>
  <c r="I12" i="121"/>
  <c r="I13" i="121" s="1"/>
  <c r="Q12" i="78"/>
  <c r="O12" i="78"/>
  <c r="N14" i="102"/>
  <c r="O7" i="102"/>
  <c r="O13" i="102"/>
  <c r="J16" i="102"/>
  <c r="K25" i="102"/>
  <c r="G54" i="170"/>
  <c r="J49" i="176"/>
  <c r="G18" i="178"/>
  <c r="I52" i="174"/>
  <c r="M52" i="174"/>
  <c r="M57" i="174" s="1"/>
  <c r="K57" i="174"/>
  <c r="K58" i="174" s="1"/>
  <c r="J117" i="176"/>
  <c r="J75" i="176"/>
  <c r="J120" i="176" s="1"/>
  <c r="H143" i="176"/>
  <c r="L143" i="176" s="1"/>
  <c r="L130" i="176"/>
  <c r="H132" i="177"/>
  <c r="L132" i="177" s="1"/>
  <c r="L119" i="177"/>
  <c r="J38" i="178"/>
  <c r="K35" i="180"/>
  <c r="K7" i="180"/>
  <c r="H16" i="180"/>
  <c r="O13" i="180" s="1"/>
  <c r="P46" i="171"/>
  <c r="C17" i="148"/>
  <c r="I18" i="78"/>
  <c r="G24" i="78"/>
  <c r="G32" i="78" s="1"/>
  <c r="N9" i="102"/>
  <c r="K25" i="178"/>
  <c r="L129" i="177"/>
  <c r="H137" i="177"/>
  <c r="L137" i="177" s="1"/>
  <c r="G75" i="176"/>
  <c r="N67" i="176"/>
  <c r="N113" i="176" s="1"/>
  <c r="I87" i="177"/>
  <c r="L79" i="177"/>
  <c r="H43" i="178"/>
  <c r="K29" i="178"/>
  <c r="A39" i="178"/>
  <c r="E77" i="178" s="1"/>
  <c r="E85" i="178" s="1"/>
  <c r="A25" i="178"/>
  <c r="J25" i="180"/>
  <c r="J38" i="180" s="1"/>
  <c r="K10" i="180"/>
  <c r="K76" i="102"/>
  <c r="K28" i="149"/>
  <c r="F38" i="78"/>
  <c r="F46" i="78" s="1"/>
  <c r="L71" i="78"/>
  <c r="J71" i="78"/>
  <c r="H39" i="78"/>
  <c r="H46" i="78" s="1"/>
  <c r="J91" i="78" s="1"/>
  <c r="J93" i="78" s="1"/>
  <c r="Q8" i="78"/>
  <c r="K27" i="102"/>
  <c r="G40" i="102"/>
  <c r="P25" i="177"/>
  <c r="P28" i="177"/>
  <c r="I38" i="177"/>
  <c r="P30" i="177"/>
  <c r="P26" i="177"/>
  <c r="J50" i="170"/>
  <c r="J53" i="170"/>
  <c r="H49" i="170"/>
  <c r="H50" i="170"/>
  <c r="H53" i="170" s="1"/>
  <c r="H142" i="176"/>
  <c r="L142" i="176" s="1"/>
  <c r="L129" i="176"/>
  <c r="H39" i="180"/>
  <c r="H44" i="180" s="1"/>
  <c r="L96" i="180" s="1"/>
  <c r="L98" i="180" s="1"/>
  <c r="H31" i="180"/>
  <c r="F52" i="171"/>
  <c r="M50" i="171" s="1"/>
  <c r="O7" i="78"/>
  <c r="O16" i="78" s="1"/>
  <c r="K12" i="78"/>
  <c r="I46" i="78"/>
  <c r="K91" i="78" s="1"/>
  <c r="K93" i="78" s="1"/>
  <c r="I25" i="78"/>
  <c r="I39" i="78" s="1"/>
  <c r="J32" i="78"/>
  <c r="O14" i="102"/>
  <c r="J81" i="74"/>
  <c r="L81" i="74" s="1"/>
  <c r="L87" i="74"/>
  <c r="L89" i="74" s="1"/>
  <c r="F95" i="74" s="1"/>
  <c r="K22" i="102"/>
  <c r="O27" i="177"/>
  <c r="O26" i="177"/>
  <c r="H38" i="177"/>
  <c r="O29" i="177"/>
  <c r="O25" i="177"/>
  <c r="O31" i="177"/>
  <c r="O28" i="177"/>
  <c r="Q36" i="176"/>
  <c r="H102" i="171"/>
  <c r="L89" i="171"/>
  <c r="H97" i="171"/>
  <c r="L97" i="171" s="1"/>
  <c r="H27" i="178"/>
  <c r="K11" i="178"/>
  <c r="H16" i="178"/>
  <c r="H17" i="178"/>
  <c r="J16" i="178"/>
  <c r="J28" i="178"/>
  <c r="Q45" i="171"/>
  <c r="L76" i="102"/>
  <c r="K28" i="150"/>
  <c r="N64" i="61"/>
  <c r="N65" i="61" s="1"/>
  <c r="Q14" i="78"/>
  <c r="K30" i="78"/>
  <c r="F27" i="102"/>
  <c r="F40" i="102" s="1"/>
  <c r="K26" i="102"/>
  <c r="G17" i="78"/>
  <c r="H18" i="78" s="1"/>
  <c r="L31" i="169"/>
  <c r="F99" i="169" s="1"/>
  <c r="K71" i="178"/>
  <c r="P9" i="178"/>
  <c r="I44" i="176"/>
  <c r="I58" i="176"/>
  <c r="I115" i="176"/>
  <c r="L69" i="176"/>
  <c r="L115" i="176" s="1"/>
  <c r="I75" i="176"/>
  <c r="P67" i="176" s="1"/>
  <c r="P113" i="176" s="1"/>
  <c r="K135" i="176"/>
  <c r="K140" i="176"/>
  <c r="K148" i="176" s="1"/>
  <c r="I124" i="177"/>
  <c r="I129" i="177"/>
  <c r="I137" i="177" s="1"/>
  <c r="K24" i="178"/>
  <c r="G38" i="178"/>
  <c r="P10" i="195"/>
  <c r="P12" i="195" s="1"/>
  <c r="K9" i="78"/>
  <c r="K17" i="78" s="1"/>
  <c r="I16" i="78"/>
  <c r="P9" i="78" s="1"/>
  <c r="P42" i="107"/>
  <c r="L43" i="107"/>
  <c r="L44" i="107" s="1"/>
  <c r="E62" i="107" s="1"/>
  <c r="E57" i="107"/>
  <c r="E58" i="107" s="1"/>
  <c r="H57" i="107" s="1"/>
  <c r="D63" i="107" s="1"/>
  <c r="D64" i="107" s="1"/>
  <c r="N43" i="171"/>
  <c r="N30" i="171"/>
  <c r="N27" i="171"/>
  <c r="J50" i="176"/>
  <c r="J53" i="176" s="1"/>
  <c r="Q39" i="176"/>
  <c r="Q34" i="176"/>
  <c r="Q37" i="176"/>
  <c r="Q33" i="176"/>
  <c r="Q32" i="176"/>
  <c r="Q41" i="176" s="1"/>
  <c r="G23" i="178"/>
  <c r="K23" i="178" s="1"/>
  <c r="I158" i="170"/>
  <c r="L150" i="170"/>
  <c r="K9" i="102"/>
  <c r="G24" i="102"/>
  <c r="G37" i="102" s="1"/>
  <c r="K37" i="102" s="1"/>
  <c r="K13" i="102"/>
  <c r="L82" i="175"/>
  <c r="L84" i="175" s="1"/>
  <c r="J63" i="176"/>
  <c r="J17" i="177"/>
  <c r="J37" i="177" s="1"/>
  <c r="K9" i="177"/>
  <c r="K11" i="177"/>
  <c r="K17" i="177" s="1"/>
  <c r="K37" i="177" s="1"/>
  <c r="H17" i="177"/>
  <c r="H37" i="177" s="1"/>
  <c r="H39" i="177" s="1"/>
  <c r="I17" i="177"/>
  <c r="I37" i="177" s="1"/>
  <c r="I39" i="177" s="1"/>
  <c r="K14" i="177"/>
  <c r="J33" i="177"/>
  <c r="K28" i="177"/>
  <c r="F33" i="177"/>
  <c r="F38" i="177" s="1"/>
  <c r="F39" i="177" s="1"/>
  <c r="K26" i="177"/>
  <c r="G44" i="178"/>
  <c r="K30" i="178"/>
  <c r="I27" i="180"/>
  <c r="I40" i="180" s="1"/>
  <c r="K12" i="180"/>
  <c r="I16" i="180"/>
  <c r="A42" i="180"/>
  <c r="A29" i="180"/>
  <c r="I121" i="175"/>
  <c r="I135" i="175" s="1"/>
  <c r="I142" i="175" s="1"/>
  <c r="G135" i="175"/>
  <c r="K121" i="175"/>
  <c r="K45" i="171"/>
  <c r="K14" i="178"/>
  <c r="R71" i="170"/>
  <c r="R117" i="170" s="1"/>
  <c r="K139" i="169"/>
  <c r="R42" i="107"/>
  <c r="N43" i="107"/>
  <c r="N44" i="107" s="1"/>
  <c r="F62" i="107" s="1"/>
  <c r="K35" i="102"/>
  <c r="G39" i="177"/>
  <c r="K17" i="178"/>
  <c r="I53" i="174"/>
  <c r="G48" i="176"/>
  <c r="O33" i="176"/>
  <c r="O37" i="176"/>
  <c r="J37" i="175"/>
  <c r="J41" i="169"/>
  <c r="K29" i="102"/>
  <c r="J54" i="141"/>
  <c r="J55" i="141" s="1"/>
  <c r="N64" i="131"/>
  <c r="N65" i="131" s="1"/>
  <c r="N64" i="137"/>
  <c r="N65" i="137" s="1"/>
  <c r="K43" i="168"/>
  <c r="Q52" i="171"/>
  <c r="R41" i="170"/>
  <c r="H62" i="170"/>
  <c r="K7" i="102"/>
  <c r="O39" i="176"/>
  <c r="K49" i="171"/>
  <c r="F21" i="77"/>
  <c r="M23" i="77" s="1"/>
  <c r="M7" i="77" s="1"/>
  <c r="I17" i="168"/>
  <c r="J49" i="169"/>
  <c r="E48" i="196"/>
  <c r="E49" i="196" s="1"/>
  <c r="H48" i="196" s="1"/>
  <c r="K23" i="102"/>
  <c r="L70" i="176"/>
  <c r="L116" i="176" s="1"/>
  <c r="I58" i="170"/>
  <c r="H59" i="170"/>
  <c r="H61" i="170" s="1"/>
  <c r="K35" i="179"/>
  <c r="K44" i="179" s="1"/>
  <c r="K13" i="180"/>
  <c r="J47" i="169"/>
  <c r="R43" i="107"/>
  <c r="E57" i="197"/>
  <c r="E58" i="197" s="1"/>
  <c r="H57" i="197" s="1"/>
  <c r="O24" i="171"/>
  <c r="L24" i="170"/>
  <c r="L48" i="170" s="1"/>
  <c r="K58" i="176"/>
  <c r="K59" i="176" s="1"/>
  <c r="N41" i="176"/>
  <c r="G58" i="176"/>
  <c r="G59" i="176" s="1"/>
  <c r="G61" i="176" s="1"/>
  <c r="I135" i="176"/>
  <c r="R73" i="170"/>
  <c r="R119" i="170" s="1"/>
  <c r="J42" i="197"/>
  <c r="G14" i="71"/>
  <c r="I31" i="102"/>
  <c r="K44" i="176"/>
  <c r="P41" i="170"/>
  <c r="K10" i="102"/>
  <c r="K14" i="102"/>
  <c r="J34" i="196"/>
  <c r="N43" i="197"/>
  <c r="J36" i="178"/>
  <c r="P6" i="180"/>
  <c r="N75" i="179"/>
  <c r="N95" i="179" s="1"/>
  <c r="H42" i="172"/>
  <c r="P6" i="179"/>
  <c r="F34" i="102"/>
  <c r="M6" i="102"/>
  <c r="I28" i="172"/>
  <c r="J21" i="180"/>
  <c r="J34" i="179"/>
  <c r="E61" i="107"/>
  <c r="I21" i="77"/>
  <c r="P23" i="77" s="1"/>
  <c r="P7" i="77" s="1"/>
  <c r="N6" i="178"/>
  <c r="O29" i="197"/>
  <c r="O6" i="172"/>
  <c r="I42" i="177"/>
  <c r="I58" i="177" s="1"/>
  <c r="I71" i="177" s="1"/>
  <c r="K128" i="172"/>
  <c r="K149" i="172" s="1"/>
  <c r="M75" i="180"/>
  <c r="M95" i="180" s="1"/>
  <c r="H21" i="180"/>
  <c r="K75" i="102"/>
  <c r="K95" i="102" s="1"/>
  <c r="J22" i="78"/>
  <c r="M29" i="107"/>
  <c r="F42" i="177"/>
  <c r="H21" i="179"/>
  <c r="F36" i="78"/>
  <c r="I70" i="78" s="1"/>
  <c r="I90" i="78" s="1"/>
  <c r="J36" i="78"/>
  <c r="F36" i="177"/>
  <c r="I22" i="178"/>
  <c r="M6" i="78"/>
  <c r="F28" i="172"/>
  <c r="I36" i="178"/>
  <c r="L70" i="178" s="1"/>
  <c r="L90" i="178" s="1"/>
  <c r="H34" i="180"/>
  <c r="M75" i="179"/>
  <c r="M95" i="179" s="1"/>
  <c r="H58" i="77"/>
  <c r="J67" i="74"/>
  <c r="J28" i="172"/>
  <c r="G42" i="172"/>
  <c r="F34" i="179"/>
  <c r="L128" i="172"/>
  <c r="L149" i="172" s="1"/>
  <c r="I128" i="172"/>
  <c r="I149" i="172" s="1"/>
  <c r="J42" i="177"/>
  <c r="J58" i="177" s="1"/>
  <c r="J71" i="177" s="1"/>
  <c r="F58" i="77"/>
  <c r="I58" i="77"/>
  <c r="H36" i="171"/>
  <c r="F21" i="179"/>
  <c r="M6" i="179"/>
  <c r="P6" i="172"/>
  <c r="Q6" i="102"/>
  <c r="J34" i="102"/>
  <c r="J30" i="176"/>
  <c r="H21" i="77"/>
  <c r="O23" i="77" s="1"/>
  <c r="O7" i="77" s="1"/>
  <c r="R13" i="170"/>
  <c r="I30" i="176"/>
  <c r="P10" i="194"/>
  <c r="P12" i="194" s="1"/>
  <c r="F12" i="194"/>
  <c r="J46" i="78"/>
  <c r="L91" i="78" s="1"/>
  <c r="L93" i="78" s="1"/>
  <c r="K38" i="102"/>
  <c r="C21" i="143"/>
  <c r="L88" i="74"/>
  <c r="H44" i="102"/>
  <c r="L96" i="102" s="1"/>
  <c r="L98" i="102" s="1"/>
  <c r="F70" i="169"/>
  <c r="J55" i="169"/>
  <c r="K49" i="176"/>
  <c r="R37" i="176"/>
  <c r="R33" i="176"/>
  <c r="K42" i="176"/>
  <c r="R34" i="176"/>
  <c r="R39" i="176"/>
  <c r="R35" i="176"/>
  <c r="Q67" i="176"/>
  <c r="Q113" i="176" s="1"/>
  <c r="Q72" i="176"/>
  <c r="Q118" i="176" s="1"/>
  <c r="J76" i="176"/>
  <c r="J121" i="176" s="1"/>
  <c r="Q66" i="176"/>
  <c r="G12" i="71"/>
  <c r="G46" i="172"/>
  <c r="G86" i="172"/>
  <c r="G104" i="172"/>
  <c r="G17" i="71"/>
  <c r="C21" i="45"/>
  <c r="P39" i="176"/>
  <c r="P38" i="176"/>
  <c r="P37" i="176"/>
  <c r="P34" i="176"/>
  <c r="P32" i="176"/>
  <c r="P41" i="176" s="1"/>
  <c r="I50" i="176"/>
  <c r="I54" i="176" s="1"/>
  <c r="J42" i="176"/>
  <c r="P35" i="176"/>
  <c r="I49" i="176"/>
  <c r="L66" i="176"/>
  <c r="H112" i="176"/>
  <c r="H75" i="176"/>
  <c r="O66" i="176" s="1"/>
  <c r="P8" i="194"/>
  <c r="K23" i="78"/>
  <c r="N13" i="102"/>
  <c r="L59" i="170"/>
  <c r="L61" i="170" s="1"/>
  <c r="J59" i="170"/>
  <c r="J61" i="170" s="1"/>
  <c r="K25" i="170"/>
  <c r="Q71" i="176"/>
  <c r="Q117" i="176" s="1"/>
  <c r="P47" i="171"/>
  <c r="P44" i="171"/>
  <c r="I60" i="171"/>
  <c r="P49" i="171"/>
  <c r="P48" i="171"/>
  <c r="I44" i="180"/>
  <c r="M96" i="180" s="1"/>
  <c r="M98" i="180" s="1"/>
  <c r="K36" i="180"/>
  <c r="H27" i="176"/>
  <c r="H58" i="176"/>
  <c r="I11" i="120"/>
  <c r="J54" i="33"/>
  <c r="J55" i="33" s="1"/>
  <c r="K28" i="78"/>
  <c r="G42" i="78"/>
  <c r="K26" i="78"/>
  <c r="Q11" i="78"/>
  <c r="H32" i="78"/>
  <c r="K16" i="78"/>
  <c r="M13" i="78"/>
  <c r="Q9" i="78"/>
  <c r="M8" i="78"/>
  <c r="N11" i="78"/>
  <c r="K27" i="78"/>
  <c r="N8" i="102"/>
  <c r="N10" i="102"/>
  <c r="M8" i="102"/>
  <c r="M7" i="102"/>
  <c r="H31" i="102"/>
  <c r="K36" i="102"/>
  <c r="G141" i="169"/>
  <c r="J78" i="169"/>
  <c r="L78" i="169" s="1"/>
  <c r="L84" i="169" s="1"/>
  <c r="L86" i="169" s="1"/>
  <c r="N28" i="171"/>
  <c r="R32" i="176"/>
  <c r="R41" i="176" s="1"/>
  <c r="J59" i="176"/>
  <c r="J61" i="176" s="1"/>
  <c r="N33" i="177"/>
  <c r="Q47" i="171"/>
  <c r="J60" i="171"/>
  <c r="Q50" i="171"/>
  <c r="Q48" i="171"/>
  <c r="P50" i="171"/>
  <c r="K62" i="176"/>
  <c r="Q69" i="176"/>
  <c r="Q115" i="176" s="1"/>
  <c r="K113" i="176"/>
  <c r="K75" i="176"/>
  <c r="R67" i="176"/>
  <c r="R113" i="176" s="1"/>
  <c r="L67" i="176"/>
  <c r="L24" i="176"/>
  <c r="S18" i="176"/>
  <c r="G46" i="178"/>
  <c r="I91" i="178" s="1"/>
  <c r="I93" i="178" s="1"/>
  <c r="P8" i="178"/>
  <c r="P10" i="178"/>
  <c r="P14" i="178"/>
  <c r="P12" i="178"/>
  <c r="P11" i="178"/>
  <c r="P13" i="178"/>
  <c r="K25" i="180"/>
  <c r="G38" i="180"/>
  <c r="F41" i="178"/>
  <c r="F32" i="178"/>
  <c r="F33" i="178"/>
  <c r="H64" i="177"/>
  <c r="L64" i="177" s="1"/>
  <c r="H69" i="177"/>
  <c r="K124" i="177"/>
  <c r="K129" i="177"/>
  <c r="K137" i="177" s="1"/>
  <c r="F36" i="178"/>
  <c r="I70" i="178" s="1"/>
  <c r="I90" i="178" s="1"/>
  <c r="M6" i="178"/>
  <c r="J40" i="180"/>
  <c r="K27" i="180"/>
  <c r="J24" i="180"/>
  <c r="J37" i="180" s="1"/>
  <c r="K9" i="180"/>
  <c r="G83" i="180"/>
  <c r="G91" i="180"/>
  <c r="F37" i="169"/>
  <c r="E114" i="169"/>
  <c r="R44" i="107"/>
  <c r="S20" i="176"/>
  <c r="H33" i="78"/>
  <c r="J33" i="78"/>
  <c r="G36" i="78"/>
  <c r="J70" i="78" s="1"/>
  <c r="J90" i="78" s="1"/>
  <c r="N6" i="78"/>
  <c r="N11" i="102"/>
  <c r="K24" i="102"/>
  <c r="J31" i="102"/>
  <c r="J58" i="169"/>
  <c r="R38" i="176"/>
  <c r="P52" i="171"/>
  <c r="Q25" i="171"/>
  <c r="Q28" i="171"/>
  <c r="Q30" i="171"/>
  <c r="Q31" i="171"/>
  <c r="Q27" i="171"/>
  <c r="Q26" i="171"/>
  <c r="J54" i="170"/>
  <c r="J63" i="170"/>
  <c r="H51" i="170"/>
  <c r="P36" i="176"/>
  <c r="O11" i="180"/>
  <c r="O12" i="180"/>
  <c r="O9" i="180"/>
  <c r="L76" i="180"/>
  <c r="G59" i="170"/>
  <c r="G61" i="170" s="1"/>
  <c r="L57" i="176"/>
  <c r="L41" i="176"/>
  <c r="S32" i="176" s="1"/>
  <c r="S41" i="176" s="1"/>
  <c r="P33" i="176"/>
  <c r="Q10" i="78"/>
  <c r="Q13" i="78"/>
  <c r="M12" i="78"/>
  <c r="N12" i="78"/>
  <c r="I33" i="78"/>
  <c r="H17" i="102"/>
  <c r="N12" i="102"/>
  <c r="Q12" i="102"/>
  <c r="I29" i="107"/>
  <c r="O10" i="102"/>
  <c r="O9" i="102"/>
  <c r="P43" i="107"/>
  <c r="P44" i="107" s="1"/>
  <c r="G62" i="107" s="1"/>
  <c r="G63" i="107" s="1"/>
  <c r="G64" i="107" s="1"/>
  <c r="J44" i="102"/>
  <c r="N96" i="102" s="1"/>
  <c r="N98" i="102" s="1"/>
  <c r="J62" i="169"/>
  <c r="M52" i="168"/>
  <c r="M56" i="168" s="1"/>
  <c r="I132" i="169"/>
  <c r="I141" i="169" s="1"/>
  <c r="I52" i="168"/>
  <c r="I56" i="168" s="1"/>
  <c r="K50" i="170"/>
  <c r="K53" i="170" s="1"/>
  <c r="K120" i="170"/>
  <c r="L75" i="170"/>
  <c r="L120" i="170" s="1"/>
  <c r="K76" i="170"/>
  <c r="K121" i="170" s="1"/>
  <c r="K112" i="175"/>
  <c r="K50" i="176"/>
  <c r="R36" i="176"/>
  <c r="L43" i="176"/>
  <c r="P33" i="177"/>
  <c r="N29" i="171"/>
  <c r="N24" i="171"/>
  <c r="N25" i="171"/>
  <c r="G38" i="171"/>
  <c r="N31" i="171"/>
  <c r="N26" i="171"/>
  <c r="Q24" i="171"/>
  <c r="Q113" i="170"/>
  <c r="Q75" i="170"/>
  <c r="Q120" i="170" s="1"/>
  <c r="P45" i="171"/>
  <c r="L26" i="176"/>
  <c r="L58" i="176" s="1"/>
  <c r="Q73" i="176"/>
  <c r="Q119" i="176" s="1"/>
  <c r="K128" i="175"/>
  <c r="I27" i="176"/>
  <c r="Q70" i="176"/>
  <c r="Q116" i="176" s="1"/>
  <c r="J116" i="176"/>
  <c r="P71" i="176"/>
  <c r="P117" i="176" s="1"/>
  <c r="P70" i="176"/>
  <c r="P116" i="176" s="1"/>
  <c r="P72" i="176"/>
  <c r="P118" i="176" s="1"/>
  <c r="I76" i="176"/>
  <c r="I121" i="176" s="1"/>
  <c r="P69" i="176"/>
  <c r="P115" i="176" s="1"/>
  <c r="H135" i="170"/>
  <c r="L135" i="170" s="1"/>
  <c r="L127" i="170"/>
  <c r="H140" i="170"/>
  <c r="F42" i="171"/>
  <c r="F56" i="171" s="1"/>
  <c r="F36" i="171"/>
  <c r="F21" i="171"/>
  <c r="M23" i="171" s="1"/>
  <c r="I97" i="171"/>
  <c r="I102" i="171"/>
  <c r="I110" i="171" s="1"/>
  <c r="A45" i="171"/>
  <c r="A26" i="171"/>
  <c r="H130" i="177"/>
  <c r="L130" i="177" s="1"/>
  <c r="L117" i="177"/>
  <c r="K22" i="180"/>
  <c r="K44" i="170"/>
  <c r="K58" i="170"/>
  <c r="P29" i="171"/>
  <c r="P26" i="171"/>
  <c r="P33" i="171" s="1"/>
  <c r="P30" i="171"/>
  <c r="P27" i="171"/>
  <c r="H120" i="170"/>
  <c r="H76" i="170"/>
  <c r="H121" i="170" s="1"/>
  <c r="G127" i="175"/>
  <c r="K127" i="175" s="1"/>
  <c r="K111" i="175"/>
  <c r="K16" i="178"/>
  <c r="J39" i="171"/>
  <c r="J58" i="171" s="1"/>
  <c r="L140" i="176"/>
  <c r="H148" i="176"/>
  <c r="L148" i="176" s="1"/>
  <c r="L41" i="170"/>
  <c r="I50" i="170"/>
  <c r="I42" i="170"/>
  <c r="H142" i="170"/>
  <c r="L142" i="170" s="1"/>
  <c r="L129" i="170"/>
  <c r="H104" i="171"/>
  <c r="L104" i="171" s="1"/>
  <c r="L91" i="171"/>
  <c r="G40" i="178"/>
  <c r="G33" i="178"/>
  <c r="G32" i="178"/>
  <c r="K26" i="178"/>
  <c r="G21" i="179"/>
  <c r="L75" i="179"/>
  <c r="L95" i="179" s="1"/>
  <c r="M25" i="177"/>
  <c r="M27" i="177"/>
  <c r="O24" i="177"/>
  <c r="O30" i="177"/>
  <c r="O29" i="171"/>
  <c r="O25" i="171"/>
  <c r="O33" i="171" s="1"/>
  <c r="N41" i="170"/>
  <c r="I41" i="178"/>
  <c r="I46" i="178" s="1"/>
  <c r="K91" i="178" s="1"/>
  <c r="K93" i="178" s="1"/>
  <c r="I33" i="178"/>
  <c r="I32" i="178"/>
  <c r="P8" i="180"/>
  <c r="P9" i="180"/>
  <c r="I17" i="180"/>
  <c r="O24" i="170"/>
  <c r="K97" i="171"/>
  <c r="K102" i="171"/>
  <c r="K110" i="171" s="1"/>
  <c r="A28" i="171"/>
  <c r="A47" i="171"/>
  <c r="G26" i="174"/>
  <c r="K15" i="174"/>
  <c r="J42" i="175" s="1"/>
  <c r="J50" i="175" s="1"/>
  <c r="J70" i="175" s="1"/>
  <c r="F42" i="175"/>
  <c r="E117" i="175" s="1"/>
  <c r="F57" i="175"/>
  <c r="F68" i="175" s="1"/>
  <c r="K44" i="174"/>
  <c r="G47" i="174" s="1"/>
  <c r="H118" i="176"/>
  <c r="O72" i="176"/>
  <c r="O118" i="176" s="1"/>
  <c r="L72" i="176"/>
  <c r="K11" i="180"/>
  <c r="G26" i="180"/>
  <c r="G31" i="180" s="1"/>
  <c r="A40" i="180"/>
  <c r="A27" i="180"/>
  <c r="Q46" i="171"/>
  <c r="R66" i="170"/>
  <c r="K112" i="170"/>
  <c r="Q24" i="170"/>
  <c r="K13" i="171"/>
  <c r="H17" i="171"/>
  <c r="H37" i="171" s="1"/>
  <c r="H39" i="171" s="1"/>
  <c r="H58" i="171" s="1"/>
  <c r="F17" i="171"/>
  <c r="F37" i="171" s="1"/>
  <c r="F39" i="171" s="1"/>
  <c r="F58" i="171" s="1"/>
  <c r="F62" i="171" s="1"/>
  <c r="K62" i="171" s="1"/>
  <c r="K10" i="171"/>
  <c r="G17" i="171"/>
  <c r="G37" i="171" s="1"/>
  <c r="L42" i="197"/>
  <c r="L44" i="197" s="1"/>
  <c r="E62" i="197" s="1"/>
  <c r="I120" i="171"/>
  <c r="L112" i="171"/>
  <c r="I10" i="174"/>
  <c r="J140" i="176"/>
  <c r="J148" i="176" s="1"/>
  <c r="J135" i="176"/>
  <c r="J16" i="180"/>
  <c r="F16" i="180"/>
  <c r="F24" i="180"/>
  <c r="G130" i="169"/>
  <c r="G117" i="169"/>
  <c r="G116" i="169"/>
  <c r="I10" i="168"/>
  <c r="I25" i="168" s="1"/>
  <c r="I46" i="168" s="1"/>
  <c r="K30" i="176"/>
  <c r="K47" i="176" s="1"/>
  <c r="K56" i="176" s="1"/>
  <c r="K65" i="176" s="1"/>
  <c r="R13" i="176"/>
  <c r="N75" i="180"/>
  <c r="N95" i="180" s="1"/>
  <c r="I21" i="180"/>
  <c r="N44" i="197"/>
  <c r="F62" i="197" s="1"/>
  <c r="F63" i="197" s="1"/>
  <c r="F64" i="197" s="1"/>
  <c r="P19" i="176"/>
  <c r="P20" i="176"/>
  <c r="H119" i="176"/>
  <c r="L73" i="176"/>
  <c r="G36" i="177"/>
  <c r="G21" i="177"/>
  <c r="N23" i="177" s="1"/>
  <c r="G16" i="180"/>
  <c r="K24" i="180"/>
  <c r="I130" i="169"/>
  <c r="I140" i="169" s="1"/>
  <c r="K10" i="168"/>
  <c r="P6" i="102"/>
  <c r="I21" i="102"/>
  <c r="D61" i="197"/>
  <c r="I29" i="197"/>
  <c r="J140" i="170"/>
  <c r="J148" i="170" s="1"/>
  <c r="K14" i="180"/>
  <c r="H46" i="171"/>
  <c r="P69" i="170"/>
  <c r="K17" i="168"/>
  <c r="K25" i="168" s="1"/>
  <c r="K46" i="168" s="1"/>
  <c r="G63" i="172"/>
  <c r="G65" i="172" s="1"/>
  <c r="G66" i="172" s="1"/>
  <c r="P35" i="196"/>
  <c r="G53" i="196" s="1"/>
  <c r="J43" i="197"/>
  <c r="J44" i="197" s="1"/>
  <c r="D62" i="197" s="1"/>
  <c r="D63" i="197" s="1"/>
  <c r="D64" i="197" s="1"/>
  <c r="R43" i="197"/>
  <c r="R44" i="197" s="1"/>
  <c r="G54" i="172"/>
  <c r="G55" i="172" s="1"/>
  <c r="G56" i="172" s="1"/>
  <c r="H53" i="172" s="1"/>
  <c r="G13" i="71"/>
  <c r="G50" i="171"/>
  <c r="O73" i="170"/>
  <c r="O119" i="170" s="1"/>
  <c r="G46" i="171"/>
  <c r="O69" i="170"/>
  <c r="K28" i="171"/>
  <c r="K33" i="171" s="1"/>
  <c r="K38" i="171" s="1"/>
  <c r="G25" i="168"/>
  <c r="G46" i="168" s="1"/>
  <c r="F44" i="169"/>
  <c r="J44" i="169" s="1"/>
  <c r="H22" i="178"/>
  <c r="O6" i="178"/>
  <c r="P42" i="197"/>
  <c r="P44" i="197" s="1"/>
  <c r="G62" i="197" s="1"/>
  <c r="G63" i="197" s="1"/>
  <c r="G64" i="197" s="1"/>
  <c r="N34" i="196"/>
  <c r="N35" i="196" s="1"/>
  <c r="F53" i="196" s="1"/>
  <c r="F54" i="196" s="1"/>
  <c r="F55" i="196" s="1"/>
  <c r="F62" i="30"/>
  <c r="E54" i="196"/>
  <c r="E55" i="196" s="1"/>
  <c r="J35" i="196"/>
  <c r="D53" i="196" s="1"/>
  <c r="D54" i="196" s="1"/>
  <c r="D55" i="196" s="1"/>
  <c r="D52" i="196"/>
  <c r="M20" i="196"/>
  <c r="K88" i="152"/>
  <c r="I9" i="107"/>
  <c r="I17" i="107" s="1"/>
  <c r="G26" i="76"/>
  <c r="G28" i="76" s="1"/>
  <c r="A14" i="177"/>
  <c r="A30" i="177" s="1"/>
  <c r="J22" i="76"/>
  <c r="I30" i="76"/>
  <c r="A9" i="179"/>
  <c r="A24" i="179" s="1"/>
  <c r="K9" i="197"/>
  <c r="K17" i="197" s="1"/>
  <c r="A10" i="177"/>
  <c r="A26" i="177" s="1"/>
  <c r="I9" i="197"/>
  <c r="I17" i="197" s="1"/>
  <c r="A18" i="28"/>
  <c r="K26" i="76"/>
  <c r="J20" i="76"/>
  <c r="H22" i="76"/>
  <c r="J30" i="76"/>
  <c r="K9" i="107"/>
  <c r="K17" i="107" s="1"/>
  <c r="K45" i="177"/>
  <c r="G30" i="76"/>
  <c r="I22" i="76"/>
  <c r="H9" i="107"/>
  <c r="H30" i="76"/>
  <c r="K44" i="177"/>
  <c r="H9" i="197"/>
  <c r="K49" i="177"/>
  <c r="I20" i="76"/>
  <c r="N19" i="76"/>
  <c r="H10" i="196"/>
  <c r="L21" i="76"/>
  <c r="P10" i="196" s="1"/>
  <c r="O10" i="196"/>
  <c r="O14" i="196" s="1"/>
  <c r="A11" i="179"/>
  <c r="A26" i="179" s="1"/>
  <c r="K30" i="76"/>
  <c r="J26" i="76"/>
  <c r="A13" i="28"/>
  <c r="I12" i="107"/>
  <c r="K59" i="171"/>
  <c r="A12" i="28"/>
  <c r="A10" i="77"/>
  <c r="O9" i="107"/>
  <c r="O17" i="107" s="1"/>
  <c r="M10" i="196"/>
  <c r="M14" i="196" s="1"/>
  <c r="A12" i="77"/>
  <c r="K22" i="76"/>
  <c r="M9" i="107"/>
  <c r="M17" i="107" s="1"/>
  <c r="A16" i="172"/>
  <c r="K46" i="177"/>
  <c r="K25" i="179"/>
  <c r="K47" i="177"/>
  <c r="H44" i="179"/>
  <c r="L96" i="179" s="1"/>
  <c r="L98" i="179" s="1"/>
  <c r="K48" i="177"/>
  <c r="A29" i="179"/>
  <c r="A32" i="172"/>
  <c r="A60" i="172"/>
  <c r="H31" i="179"/>
  <c r="K22" i="179"/>
  <c r="K28" i="179"/>
  <c r="O12" i="197"/>
  <c r="A11" i="177"/>
  <c r="A22" i="179"/>
  <c r="K13" i="179"/>
  <c r="A14" i="172"/>
  <c r="J16" i="179"/>
  <c r="N76" i="179" s="1"/>
  <c r="Q19" i="76"/>
  <c r="A11" i="28"/>
  <c r="I52" i="177"/>
  <c r="A10" i="28"/>
  <c r="A31" i="177"/>
  <c r="J52" i="177"/>
  <c r="H52" i="177"/>
  <c r="K29" i="179"/>
  <c r="K7" i="179"/>
  <c r="H16" i="179"/>
  <c r="L76" i="179" s="1"/>
  <c r="A12" i="179"/>
  <c r="A9" i="77"/>
  <c r="A51" i="77"/>
  <c r="A52" i="77"/>
  <c r="G16" i="179"/>
  <c r="N8" i="179" s="1"/>
  <c r="K12" i="179"/>
  <c r="M12" i="197"/>
  <c r="F27" i="179"/>
  <c r="F40" i="179" s="1"/>
  <c r="F44" i="179" s="1"/>
  <c r="F52" i="177"/>
  <c r="K52" i="177" s="1"/>
  <c r="A11" i="77"/>
  <c r="A17" i="172"/>
  <c r="A50" i="77"/>
  <c r="P19" i="76"/>
  <c r="A19" i="28"/>
  <c r="L19" i="76"/>
  <c r="L26" i="76" s="1"/>
  <c r="O19" i="76"/>
  <c r="J23" i="179"/>
  <c r="J36" i="179" s="1"/>
  <c r="J44" i="179" s="1"/>
  <c r="N96" i="179" s="1"/>
  <c r="N98" i="179" s="1"/>
  <c r="F16" i="179"/>
  <c r="M14" i="179" s="1"/>
  <c r="K8" i="179"/>
  <c r="A10" i="179"/>
  <c r="A49" i="77"/>
  <c r="G79" i="179"/>
  <c r="G87" i="179"/>
  <c r="O12" i="179"/>
  <c r="G39" i="179"/>
  <c r="K26" i="179"/>
  <c r="I44" i="179"/>
  <c r="M96" i="179" s="1"/>
  <c r="M98" i="179" s="1"/>
  <c r="G40" i="179"/>
  <c r="K27" i="179"/>
  <c r="I53" i="77"/>
  <c r="A8" i="179"/>
  <c r="A15" i="77"/>
  <c r="I31" i="179"/>
  <c r="H12" i="107"/>
  <c r="I16" i="179"/>
  <c r="K11" i="179"/>
  <c r="A12" i="177"/>
  <c r="G31" i="179"/>
  <c r="A9" i="28"/>
  <c r="A47" i="77"/>
  <c r="G38" i="179"/>
  <c r="K10" i="179"/>
  <c r="K24" i="179"/>
  <c r="A13" i="172"/>
  <c r="S12" i="76"/>
  <c r="S19" i="76" s="1"/>
  <c r="K12" i="107"/>
  <c r="K9" i="179"/>
  <c r="A9" i="177"/>
  <c r="A13" i="177"/>
  <c r="A13" i="77"/>
  <c r="A19" i="172"/>
  <c r="A14" i="28"/>
  <c r="A18" i="172"/>
  <c r="A14" i="77"/>
  <c r="A13" i="179"/>
  <c r="G13" i="27"/>
  <c r="G14" i="27" s="1"/>
  <c r="G15" i="27" s="1"/>
  <c r="G17" i="27" s="1"/>
  <c r="G18" i="27" s="1"/>
  <c r="G19" i="27" s="1"/>
  <c r="J59" i="74"/>
  <c r="K43" i="14"/>
  <c r="J40" i="74"/>
  <c r="J60" i="74"/>
  <c r="J65" i="74"/>
  <c r="J63" i="74"/>
  <c r="I124" i="74"/>
  <c r="K124" i="74" s="1"/>
  <c r="J49" i="74"/>
  <c r="J57" i="74"/>
  <c r="G48" i="77"/>
  <c r="G33" i="172"/>
  <c r="G68" i="172" s="1"/>
  <c r="G71" i="172" s="1"/>
  <c r="G73" i="172" s="1"/>
  <c r="G35" i="172"/>
  <c r="G84" i="172" s="1"/>
  <c r="J58" i="74"/>
  <c r="J66" i="74"/>
  <c r="J62" i="74"/>
  <c r="H34" i="172"/>
  <c r="H76" i="172" s="1"/>
  <c r="J51" i="74"/>
  <c r="I50" i="77"/>
  <c r="J52" i="74"/>
  <c r="J39" i="74"/>
  <c r="I34" i="172"/>
  <c r="I76" i="172" s="1"/>
  <c r="J36" i="172"/>
  <c r="J92" i="172" s="1"/>
  <c r="K123" i="74"/>
  <c r="F36" i="172"/>
  <c r="F92" i="172" s="1"/>
  <c r="H35" i="172"/>
  <c r="H84" i="172" s="1"/>
  <c r="F34" i="172"/>
  <c r="F76" i="172" s="1"/>
  <c r="J64" i="74"/>
  <c r="J61" i="74"/>
  <c r="G49" i="77"/>
  <c r="J53" i="74"/>
  <c r="F50" i="77"/>
  <c r="J50" i="77"/>
  <c r="H73" i="74"/>
  <c r="F73" i="74"/>
  <c r="F35" i="172"/>
  <c r="F84" i="172" s="1"/>
  <c r="J34" i="172"/>
  <c r="J76" i="172" s="1"/>
  <c r="H32" i="172"/>
  <c r="H60" i="172" s="1"/>
  <c r="J49" i="77"/>
  <c r="J32" i="172"/>
  <c r="J60" i="172" s="1"/>
  <c r="I52" i="77"/>
  <c r="K52" i="77" s="1"/>
  <c r="I35" i="172"/>
  <c r="I57" i="14"/>
  <c r="G134" i="74"/>
  <c r="G96" i="172"/>
  <c r="H93" i="172" s="1"/>
  <c r="H50" i="77"/>
  <c r="H33" i="172"/>
  <c r="H36" i="172"/>
  <c r="H92" i="172" s="1"/>
  <c r="F49" i="77"/>
  <c r="K57" i="14"/>
  <c r="K58" i="14" s="1"/>
  <c r="F32" i="172"/>
  <c r="F52" i="172"/>
  <c r="G51" i="77"/>
  <c r="G34" i="172"/>
  <c r="G76" i="172" s="1"/>
  <c r="G79" i="172" s="1"/>
  <c r="H53" i="77"/>
  <c r="G98" i="172"/>
  <c r="F48" i="77"/>
  <c r="G53" i="77"/>
  <c r="I32" i="172"/>
  <c r="I60" i="172" s="1"/>
  <c r="J35" i="172"/>
  <c r="J84" i="172" s="1"/>
  <c r="L75" i="102"/>
  <c r="L95" i="102" s="1"/>
  <c r="G21" i="102"/>
  <c r="P30" i="170"/>
  <c r="I47" i="170"/>
  <c r="I56" i="170" s="1"/>
  <c r="I65" i="170" s="1"/>
  <c r="P65" i="170" s="1"/>
  <c r="M42" i="171"/>
  <c r="G36" i="171"/>
  <c r="G42" i="171"/>
  <c r="G21" i="180"/>
  <c r="G34" i="180"/>
  <c r="K47" i="170"/>
  <c r="K56" i="170" s="1"/>
  <c r="K65" i="170" s="1"/>
  <c r="R65" i="170" s="1"/>
  <c r="R30" i="170"/>
  <c r="H21" i="177"/>
  <c r="O23" i="177" s="1"/>
  <c r="H36" i="177"/>
  <c r="O20" i="196"/>
  <c r="G21" i="171"/>
  <c r="N23" i="171" s="1"/>
  <c r="G22" i="178"/>
  <c r="O42" i="171"/>
  <c r="J58" i="77"/>
  <c r="J39" i="77"/>
  <c r="P42" i="171"/>
  <c r="I56" i="171"/>
  <c r="N6" i="180"/>
  <c r="J34" i="180"/>
  <c r="Q42" i="171"/>
  <c r="J56" i="171"/>
  <c r="N6" i="102"/>
  <c r="L58" i="177"/>
  <c r="H71" i="177"/>
  <c r="L71" i="177" s="1"/>
  <c r="F42" i="172"/>
  <c r="H21" i="102"/>
  <c r="M75" i="102"/>
  <c r="M95" i="102" s="1"/>
  <c r="O6" i="102"/>
  <c r="Q13" i="170"/>
  <c r="J30" i="170"/>
  <c r="K20" i="196"/>
  <c r="E52" i="196"/>
  <c r="H22" i="78"/>
  <c r="J21" i="177"/>
  <c r="Q23" i="177" s="1"/>
  <c r="H34" i="179"/>
  <c r="J128" i="172"/>
  <c r="J149" i="172" s="1"/>
  <c r="G58" i="77"/>
  <c r="G21" i="77"/>
  <c r="N23" i="77" s="1"/>
  <c r="N7" i="77" s="1"/>
  <c r="E61" i="197"/>
  <c r="N75" i="102"/>
  <c r="N95" i="102" s="1"/>
  <c r="I36" i="78"/>
  <c r="L70" i="78" s="1"/>
  <c r="L90" i="78" s="1"/>
  <c r="I21" i="179"/>
  <c r="N6" i="179"/>
  <c r="H28" i="172"/>
  <c r="H36" i="178"/>
  <c r="K70" i="178" s="1"/>
  <c r="K90" i="178" s="1"/>
  <c r="I36" i="171"/>
  <c r="H21" i="171"/>
  <c r="O23" i="171" s="1"/>
  <c r="P13" i="170"/>
  <c r="M29" i="197"/>
  <c r="I21" i="171"/>
  <c r="P23" i="171" s="1"/>
  <c r="O6" i="78"/>
  <c r="G54" i="196" l="1"/>
  <c r="G55" i="196" s="1"/>
  <c r="G39" i="171"/>
  <c r="G58" i="171" s="1"/>
  <c r="I120" i="176"/>
  <c r="N16" i="102"/>
  <c r="O7" i="180"/>
  <c r="O16" i="180" s="1"/>
  <c r="K132" i="169"/>
  <c r="Q68" i="176"/>
  <c r="Q114" i="176" s="1"/>
  <c r="F63" i="107"/>
  <c r="F64" i="107" s="1"/>
  <c r="K33" i="177"/>
  <c r="K38" i="177" s="1"/>
  <c r="K39" i="177" s="1"/>
  <c r="I32" i="78"/>
  <c r="K32" i="78" s="1"/>
  <c r="G18" i="78"/>
  <c r="F44" i="102"/>
  <c r="M28" i="177"/>
  <c r="M24" i="177"/>
  <c r="M30" i="177"/>
  <c r="M31" i="177"/>
  <c r="M26" i="177"/>
  <c r="M29" i="177"/>
  <c r="M14" i="178"/>
  <c r="H41" i="178"/>
  <c r="H46" i="178" s="1"/>
  <c r="J91" i="178" s="1"/>
  <c r="J93" i="178" s="1"/>
  <c r="K27" i="178"/>
  <c r="K33" i="178" s="1"/>
  <c r="H33" i="178"/>
  <c r="H32" i="178"/>
  <c r="K32" i="178" s="1"/>
  <c r="K25" i="78"/>
  <c r="K33" i="78" s="1"/>
  <c r="J54" i="176"/>
  <c r="M10" i="102"/>
  <c r="M14" i="102"/>
  <c r="G17" i="102"/>
  <c r="M12" i="102"/>
  <c r="M16" i="102" s="1"/>
  <c r="M13" i="102"/>
  <c r="M11" i="102"/>
  <c r="J62" i="176"/>
  <c r="I59" i="176"/>
  <c r="I61" i="176" s="1"/>
  <c r="J42" i="178"/>
  <c r="K28" i="178"/>
  <c r="N66" i="176"/>
  <c r="N112" i="176" s="1"/>
  <c r="G120" i="176"/>
  <c r="K24" i="78"/>
  <c r="G33" i="78"/>
  <c r="G38" i="78"/>
  <c r="I31" i="180"/>
  <c r="F54" i="76"/>
  <c r="P13" i="180"/>
  <c r="P14" i="180"/>
  <c r="M76" i="180"/>
  <c r="P7" i="180"/>
  <c r="P11" i="180"/>
  <c r="P12" i="180"/>
  <c r="Q31" i="177"/>
  <c r="Q27" i="177"/>
  <c r="Q25" i="177"/>
  <c r="Q30" i="177"/>
  <c r="Q28" i="177"/>
  <c r="Q24" i="177"/>
  <c r="Q26" i="177"/>
  <c r="Q29" i="177"/>
  <c r="J38" i="177"/>
  <c r="J39" i="177" s="1"/>
  <c r="L83" i="175"/>
  <c r="F90" i="175"/>
  <c r="Q11" i="178"/>
  <c r="Q9" i="178"/>
  <c r="Q10" i="178"/>
  <c r="Q7" i="178"/>
  <c r="Q16" i="178" s="1"/>
  <c r="Q14" i="178"/>
  <c r="L71" i="178"/>
  <c r="Q13" i="178"/>
  <c r="Q8" i="178"/>
  <c r="J33" i="178"/>
  <c r="J17" i="102"/>
  <c r="Q14" i="102"/>
  <c r="Q8" i="102"/>
  <c r="N76" i="102"/>
  <c r="Q9" i="102"/>
  <c r="Q10" i="102"/>
  <c r="Q7" i="102"/>
  <c r="Q11" i="102"/>
  <c r="Q13" i="102"/>
  <c r="M12" i="178"/>
  <c r="J18" i="78"/>
  <c r="P10" i="180"/>
  <c r="Q33" i="171"/>
  <c r="H63" i="170"/>
  <c r="F46" i="178"/>
  <c r="G31" i="102"/>
  <c r="K16" i="102"/>
  <c r="R13" i="102" s="1"/>
  <c r="I59" i="170"/>
  <c r="I61" i="170" s="1"/>
  <c r="J62" i="170"/>
  <c r="I62" i="170"/>
  <c r="E63" i="107"/>
  <c r="E64" i="107" s="1"/>
  <c r="Q12" i="178"/>
  <c r="L102" i="171"/>
  <c r="H110" i="171"/>
  <c r="L110" i="171" s="1"/>
  <c r="H54" i="170"/>
  <c r="J32" i="178"/>
  <c r="P13" i="78"/>
  <c r="J46" i="178"/>
  <c r="L91" i="178" s="1"/>
  <c r="L93" i="178" s="1"/>
  <c r="P16" i="102"/>
  <c r="K44" i="102"/>
  <c r="H18" i="178"/>
  <c r="I18" i="178"/>
  <c r="I57" i="174"/>
  <c r="N8" i="178"/>
  <c r="N12" i="178"/>
  <c r="M11" i="178"/>
  <c r="N14" i="178"/>
  <c r="M7" i="178"/>
  <c r="M16" i="178" s="1"/>
  <c r="M13" i="178"/>
  <c r="M8" i="178"/>
  <c r="I71" i="178"/>
  <c r="N9" i="178"/>
  <c r="M10" i="178"/>
  <c r="N13" i="178"/>
  <c r="N10" i="178"/>
  <c r="M9" i="178"/>
  <c r="N11" i="178"/>
  <c r="G46" i="78"/>
  <c r="I91" i="78" s="1"/>
  <c r="I93" i="78" s="1"/>
  <c r="K71" i="78"/>
  <c r="P7" i="78"/>
  <c r="P16" i="78" s="1"/>
  <c r="P12" i="78"/>
  <c r="P10" i="78"/>
  <c r="P14" i="78"/>
  <c r="P8" i="78"/>
  <c r="P11" i="78"/>
  <c r="J71" i="178"/>
  <c r="O14" i="178"/>
  <c r="O13" i="178"/>
  <c r="O12" i="178"/>
  <c r="O7" i="178"/>
  <c r="O16" i="178" s="1"/>
  <c r="O8" i="178"/>
  <c r="O9" i="178"/>
  <c r="O10" i="178"/>
  <c r="O33" i="177"/>
  <c r="E63" i="197"/>
  <c r="E64" i="197" s="1"/>
  <c r="G44" i="102"/>
  <c r="K96" i="102" s="1"/>
  <c r="K98" i="102" s="1"/>
  <c r="K61" i="176"/>
  <c r="K135" i="175"/>
  <c r="G142" i="175"/>
  <c r="K142" i="175" s="1"/>
  <c r="P66" i="176"/>
  <c r="P73" i="176"/>
  <c r="P119" i="176" s="1"/>
  <c r="P68" i="176"/>
  <c r="P114" i="176" s="1"/>
  <c r="O11" i="178"/>
  <c r="M45" i="171"/>
  <c r="F60" i="171"/>
  <c r="M47" i="171"/>
  <c r="M49" i="171"/>
  <c r="M48" i="171"/>
  <c r="M46" i="171"/>
  <c r="M44" i="171"/>
  <c r="M52" i="171" s="1"/>
  <c r="O10" i="180"/>
  <c r="O8" i="180"/>
  <c r="O14" i="180"/>
  <c r="F31" i="102"/>
  <c r="A49" i="177"/>
  <c r="E121" i="74"/>
  <c r="E154" i="74" s="1"/>
  <c r="G64" i="172"/>
  <c r="H61" i="172" s="1"/>
  <c r="H62" i="172" s="1"/>
  <c r="H63" i="172" s="1"/>
  <c r="H65" i="172" s="1"/>
  <c r="Q30" i="176"/>
  <c r="J47" i="176"/>
  <c r="J56" i="176" s="1"/>
  <c r="J65" i="176" s="1"/>
  <c r="I47" i="176"/>
  <c r="I56" i="176" s="1"/>
  <c r="I65" i="176" s="1"/>
  <c r="P30" i="176"/>
  <c r="E119" i="175"/>
  <c r="G119" i="175"/>
  <c r="I119" i="175"/>
  <c r="K37" i="180"/>
  <c r="J44" i="180"/>
  <c r="N96" i="180" s="1"/>
  <c r="N98" i="180" s="1"/>
  <c r="L69" i="177"/>
  <c r="H77" i="177"/>
  <c r="L77" i="177" s="1"/>
  <c r="L85" i="169"/>
  <c r="F92" i="169"/>
  <c r="R13" i="78"/>
  <c r="R7" i="78"/>
  <c r="R16" i="78" s="1"/>
  <c r="R8" i="78"/>
  <c r="R9" i="78"/>
  <c r="R14" i="78"/>
  <c r="R10" i="78"/>
  <c r="R11" i="78"/>
  <c r="O112" i="176"/>
  <c r="O75" i="176"/>
  <c r="O120" i="176" s="1"/>
  <c r="N75" i="176"/>
  <c r="N120" i="176" s="1"/>
  <c r="P115" i="170"/>
  <c r="P75" i="170"/>
  <c r="P120" i="170" s="1"/>
  <c r="G158" i="169"/>
  <c r="I117" i="169"/>
  <c r="I158" i="169" s="1"/>
  <c r="Q11" i="180"/>
  <c r="Q14" i="180"/>
  <c r="J17" i="180"/>
  <c r="Q9" i="180"/>
  <c r="Q8" i="180"/>
  <c r="Q12" i="180"/>
  <c r="Q7" i="180"/>
  <c r="Q13" i="180"/>
  <c r="N76" i="180"/>
  <c r="Q10" i="180"/>
  <c r="R14" i="178"/>
  <c r="R8" i="178"/>
  <c r="R13" i="178"/>
  <c r="R7" i="178"/>
  <c r="R16" i="178" s="1"/>
  <c r="R9" i="178"/>
  <c r="R12" i="178"/>
  <c r="R10" i="178"/>
  <c r="R11" i="178"/>
  <c r="F52" i="169"/>
  <c r="F72" i="169" s="1"/>
  <c r="O86" i="169" s="1"/>
  <c r="J37" i="169"/>
  <c r="L113" i="176"/>
  <c r="G87" i="172"/>
  <c r="G89" i="172" s="1"/>
  <c r="G90" i="172" s="1"/>
  <c r="O115" i="170"/>
  <c r="O75" i="170"/>
  <c r="O120" i="170" s="1"/>
  <c r="N75" i="170"/>
  <c r="N120" i="170" s="1"/>
  <c r="L118" i="176"/>
  <c r="F50" i="175"/>
  <c r="N33" i="171"/>
  <c r="R30" i="176"/>
  <c r="G57" i="172"/>
  <c r="G58" i="172" s="1"/>
  <c r="J52" i="169"/>
  <c r="G52" i="171"/>
  <c r="N50" i="171" s="1"/>
  <c r="N46" i="171"/>
  <c r="K46" i="171"/>
  <c r="I116" i="169"/>
  <c r="G129" i="169"/>
  <c r="F37" i="180"/>
  <c r="F44" i="180" s="1"/>
  <c r="F31" i="180"/>
  <c r="G84" i="180"/>
  <c r="G92" i="180"/>
  <c r="I15" i="174"/>
  <c r="I26" i="174" s="1"/>
  <c r="P16" i="180"/>
  <c r="K62" i="170"/>
  <c r="K59" i="170"/>
  <c r="K61" i="170"/>
  <c r="K53" i="176"/>
  <c r="K51" i="176"/>
  <c r="K63" i="176"/>
  <c r="L63" i="176"/>
  <c r="J31" i="180"/>
  <c r="K31" i="180" s="1"/>
  <c r="S15" i="176"/>
  <c r="S24" i="176" s="1"/>
  <c r="S17" i="176"/>
  <c r="S21" i="176"/>
  <c r="S19" i="176"/>
  <c r="L48" i="176"/>
  <c r="S22" i="176"/>
  <c r="S16" i="176"/>
  <c r="R72" i="176"/>
  <c r="R118" i="176" s="1"/>
  <c r="K120" i="176"/>
  <c r="R69" i="176"/>
  <c r="R115" i="176" s="1"/>
  <c r="K76" i="176"/>
  <c r="K121" i="176" s="1"/>
  <c r="R68" i="176"/>
  <c r="R114" i="176" s="1"/>
  <c r="R70" i="176"/>
  <c r="R116" i="176" s="1"/>
  <c r="R71" i="176"/>
  <c r="R117" i="176" s="1"/>
  <c r="R66" i="176"/>
  <c r="R73" i="176"/>
  <c r="R119" i="176" s="1"/>
  <c r="K141" i="169"/>
  <c r="H59" i="176"/>
  <c r="H61" i="176" s="1"/>
  <c r="I62" i="176"/>
  <c r="H62" i="176"/>
  <c r="L112" i="176"/>
  <c r="I51" i="176"/>
  <c r="I53" i="176"/>
  <c r="I63" i="176"/>
  <c r="J51" i="176"/>
  <c r="J70" i="169"/>
  <c r="K50" i="171"/>
  <c r="L119" i="176"/>
  <c r="F89" i="175"/>
  <c r="F92" i="175" s="1"/>
  <c r="L49" i="170"/>
  <c r="L50" i="170"/>
  <c r="L63" i="170" s="1"/>
  <c r="L140" i="170"/>
  <c r="H148" i="170"/>
  <c r="L148" i="170" s="1"/>
  <c r="L62" i="176"/>
  <c r="L59" i="176"/>
  <c r="L61" i="176" s="1"/>
  <c r="N9" i="180"/>
  <c r="N11" i="180"/>
  <c r="K76" i="180"/>
  <c r="N10" i="180"/>
  <c r="N12" i="180"/>
  <c r="N14" i="180"/>
  <c r="N13" i="180"/>
  <c r="N7" i="180"/>
  <c r="N8" i="180"/>
  <c r="G140" i="169"/>
  <c r="K140" i="169" s="1"/>
  <c r="K130" i="169"/>
  <c r="K17" i="171"/>
  <c r="K37" i="171" s="1"/>
  <c r="K39" i="171" s="1"/>
  <c r="K58" i="171" s="1"/>
  <c r="L49" i="176"/>
  <c r="S39" i="176"/>
  <c r="S37" i="176"/>
  <c r="L50" i="176"/>
  <c r="S36" i="176"/>
  <c r="S38" i="176"/>
  <c r="S35" i="176"/>
  <c r="K47" i="168"/>
  <c r="M8" i="180"/>
  <c r="M7" i="180"/>
  <c r="G17" i="180"/>
  <c r="M9" i="180"/>
  <c r="M12" i="180"/>
  <c r="M11" i="180"/>
  <c r="M10" i="180"/>
  <c r="K16" i="180"/>
  <c r="R9" i="180" s="1"/>
  <c r="M13" i="180"/>
  <c r="M14" i="180"/>
  <c r="K26" i="174"/>
  <c r="I47" i="174" s="1"/>
  <c r="K47" i="174" s="1"/>
  <c r="K48" i="174" s="1"/>
  <c r="R112" i="170"/>
  <c r="R75" i="170"/>
  <c r="R120" i="170" s="1"/>
  <c r="G39" i="180"/>
  <c r="G44" i="180" s="1"/>
  <c r="K96" i="180" s="1"/>
  <c r="K98" i="180" s="1"/>
  <c r="K26" i="180"/>
  <c r="E133" i="175"/>
  <c r="G117" i="175"/>
  <c r="H52" i="171"/>
  <c r="O46" i="171" s="1"/>
  <c r="I63" i="170"/>
  <c r="I53" i="170"/>
  <c r="I51" i="170"/>
  <c r="I54" i="170"/>
  <c r="K54" i="170"/>
  <c r="K63" i="170"/>
  <c r="K51" i="170"/>
  <c r="O16" i="102"/>
  <c r="H17" i="180"/>
  <c r="J51" i="170"/>
  <c r="I114" i="169"/>
  <c r="E127" i="169"/>
  <c r="G114" i="169"/>
  <c r="K38" i="180"/>
  <c r="K44" i="180" s="1"/>
  <c r="S34" i="176"/>
  <c r="K31" i="102"/>
  <c r="R11" i="102"/>
  <c r="R8" i="102"/>
  <c r="R12" i="102"/>
  <c r="R7" i="102"/>
  <c r="R16" i="102" s="1"/>
  <c r="R14" i="102"/>
  <c r="S33" i="176"/>
  <c r="L62" i="170"/>
  <c r="O70" i="176"/>
  <c r="O116" i="176" s="1"/>
  <c r="O71" i="176"/>
  <c r="O117" i="176" s="1"/>
  <c r="H120" i="176"/>
  <c r="L75" i="176"/>
  <c r="O67" i="176"/>
  <c r="O113" i="176" s="1"/>
  <c r="O73" i="176"/>
  <c r="O119" i="176" s="1"/>
  <c r="H76" i="176"/>
  <c r="H121" i="176" s="1"/>
  <c r="O68" i="176"/>
  <c r="O114" i="176" s="1"/>
  <c r="O69" i="176"/>
  <c r="O115" i="176" s="1"/>
  <c r="Q112" i="176"/>
  <c r="Q75" i="176"/>
  <c r="Q120" i="176" s="1"/>
  <c r="K54" i="176"/>
  <c r="G119" i="169"/>
  <c r="G152" i="169" s="1"/>
  <c r="I119" i="169"/>
  <c r="I152" i="169" s="1"/>
  <c r="E119" i="169"/>
  <c r="R12" i="78"/>
  <c r="H27" i="76"/>
  <c r="H28" i="76" s="1"/>
  <c r="P9" i="107"/>
  <c r="A37" i="179"/>
  <c r="G81" i="179" s="1"/>
  <c r="P9" i="197"/>
  <c r="A45" i="177"/>
  <c r="L30" i="76"/>
  <c r="O13" i="179"/>
  <c r="G32" i="76"/>
  <c r="H31" i="76"/>
  <c r="I31" i="76" s="1"/>
  <c r="Q7" i="179"/>
  <c r="Q16" i="179" s="1"/>
  <c r="Q9" i="179"/>
  <c r="Q10" i="179"/>
  <c r="G44" i="179"/>
  <c r="K96" i="179" s="1"/>
  <c r="K98" i="179" s="1"/>
  <c r="A68" i="172"/>
  <c r="A33" i="172"/>
  <c r="M12" i="179"/>
  <c r="K16" i="179"/>
  <c r="A39" i="179"/>
  <c r="G91" i="179" s="1"/>
  <c r="Q8" i="179"/>
  <c r="G17" i="179"/>
  <c r="O11" i="179"/>
  <c r="O7" i="179"/>
  <c r="O16" i="179" s="1"/>
  <c r="Q14" i="179"/>
  <c r="O8" i="179"/>
  <c r="I17" i="179"/>
  <c r="Q12" i="179"/>
  <c r="Q13" i="179"/>
  <c r="O9" i="179"/>
  <c r="F31" i="179"/>
  <c r="Q11" i="179"/>
  <c r="O10" i="179"/>
  <c r="O14" i="179"/>
  <c r="A31" i="172"/>
  <c r="A52" i="172"/>
  <c r="E134" i="172" s="1"/>
  <c r="E142" i="172" s="1"/>
  <c r="N10" i="179"/>
  <c r="N11" i="179"/>
  <c r="M7" i="179"/>
  <c r="N7" i="179"/>
  <c r="N16" i="179" s="1"/>
  <c r="A27" i="179"/>
  <c r="A40" i="179"/>
  <c r="M13" i="179"/>
  <c r="M8" i="179"/>
  <c r="N14" i="179"/>
  <c r="K76" i="179"/>
  <c r="J31" i="179"/>
  <c r="K31" i="179" s="1"/>
  <c r="A34" i="172"/>
  <c r="A76" i="172"/>
  <c r="M11" i="179"/>
  <c r="H17" i="179"/>
  <c r="N13" i="179"/>
  <c r="A46" i="177"/>
  <c r="A27" i="177"/>
  <c r="N9" i="179"/>
  <c r="M10" i="179"/>
  <c r="M9" i="179"/>
  <c r="N12" i="179"/>
  <c r="A25" i="179"/>
  <c r="A38" i="179"/>
  <c r="K23" i="179"/>
  <c r="A48" i="177"/>
  <c r="A29" i="177"/>
  <c r="A25" i="177"/>
  <c r="A44" i="177"/>
  <c r="A28" i="177"/>
  <c r="A47" i="177"/>
  <c r="A23" i="179"/>
  <c r="A36" i="179"/>
  <c r="A36" i="172"/>
  <c r="A92" i="172"/>
  <c r="E137" i="172" s="1"/>
  <c r="E145" i="172" s="1"/>
  <c r="A44" i="172"/>
  <c r="A30" i="172"/>
  <c r="P8" i="179"/>
  <c r="P13" i="179"/>
  <c r="P9" i="179"/>
  <c r="P14" i="179"/>
  <c r="P12" i="179"/>
  <c r="P11" i="179"/>
  <c r="P7" i="179"/>
  <c r="P16" i="179" s="1"/>
  <c r="M76" i="179"/>
  <c r="J17" i="179"/>
  <c r="P10" i="179"/>
  <c r="A28" i="179"/>
  <c r="A41" i="179"/>
  <c r="A35" i="172"/>
  <c r="A84" i="172"/>
  <c r="G72" i="172"/>
  <c r="H69" i="172" s="1"/>
  <c r="H70" i="172" s="1"/>
  <c r="I141" i="74"/>
  <c r="K141" i="74" s="1"/>
  <c r="J73" i="74"/>
  <c r="K34" i="172"/>
  <c r="G121" i="74"/>
  <c r="I121" i="74"/>
  <c r="I154" i="74" s="1"/>
  <c r="G80" i="172"/>
  <c r="H77" i="172" s="1"/>
  <c r="G81" i="172"/>
  <c r="G143" i="74"/>
  <c r="H68" i="172"/>
  <c r="K33" i="172"/>
  <c r="K49" i="77"/>
  <c r="H94" i="172"/>
  <c r="H95" i="172" s="1"/>
  <c r="I84" i="172"/>
  <c r="K35" i="172"/>
  <c r="K36" i="172"/>
  <c r="K50" i="77"/>
  <c r="K53" i="77"/>
  <c r="K51" i="77"/>
  <c r="I134" i="74"/>
  <c r="I143" i="74" s="1"/>
  <c r="F60" i="172"/>
  <c r="K32" i="172"/>
  <c r="G74" i="172"/>
  <c r="H54" i="172"/>
  <c r="J47" i="170"/>
  <c r="J56" i="170" s="1"/>
  <c r="J65" i="170" s="1"/>
  <c r="Q65" i="170" s="1"/>
  <c r="Q30" i="170"/>
  <c r="R65" i="176"/>
  <c r="K111" i="176"/>
  <c r="R111" i="176" s="1"/>
  <c r="G56" i="171"/>
  <c r="N42" i="171"/>
  <c r="R10" i="102" l="1"/>
  <c r="P75" i="176"/>
  <c r="P120" i="176" s="1"/>
  <c r="P112" i="176"/>
  <c r="Q16" i="102"/>
  <c r="R9" i="102"/>
  <c r="H54" i="76"/>
  <c r="H56" i="76" s="1"/>
  <c r="I55" i="76" s="1"/>
  <c r="I56" i="76" s="1"/>
  <c r="J55" i="76" s="1"/>
  <c r="J56" i="76" s="1"/>
  <c r="K55" i="76" s="1"/>
  <c r="K54" i="76"/>
  <c r="I54" i="76"/>
  <c r="J54" i="76"/>
  <c r="Q33" i="177"/>
  <c r="I27" i="76"/>
  <c r="M13" i="71"/>
  <c r="Q65" i="176"/>
  <c r="J111" i="176"/>
  <c r="Q111" i="176" s="1"/>
  <c r="P65" i="176"/>
  <c r="I111" i="176"/>
  <c r="P111" i="176" s="1"/>
  <c r="L120" i="176"/>
  <c r="S69" i="176"/>
  <c r="S115" i="176" s="1"/>
  <c r="S68" i="176"/>
  <c r="S114" i="176" s="1"/>
  <c r="S70" i="176"/>
  <c r="S116" i="176" s="1"/>
  <c r="S71" i="176"/>
  <c r="S117" i="176" s="1"/>
  <c r="E134" i="169"/>
  <c r="G133" i="175"/>
  <c r="I117" i="175"/>
  <c r="I133" i="175" s="1"/>
  <c r="K133" i="175" s="1"/>
  <c r="M16" i="180"/>
  <c r="F98" i="175"/>
  <c r="G140" i="175"/>
  <c r="E140" i="175"/>
  <c r="I140" i="175"/>
  <c r="E114" i="175"/>
  <c r="F70" i="175"/>
  <c r="S67" i="176"/>
  <c r="S113" i="176" s="1"/>
  <c r="O47" i="171"/>
  <c r="O44" i="171"/>
  <c r="O52" i="171" s="1"/>
  <c r="O45" i="171"/>
  <c r="H60" i="171"/>
  <c r="O49" i="171"/>
  <c r="O48" i="171"/>
  <c r="O50" i="171"/>
  <c r="R112" i="176"/>
  <c r="R75" i="176"/>
  <c r="R120" i="176" s="1"/>
  <c r="E152" i="169"/>
  <c r="K119" i="169"/>
  <c r="K152" i="169" s="1"/>
  <c r="E124" i="169"/>
  <c r="I127" i="169"/>
  <c r="K127" i="169" s="1"/>
  <c r="I124" i="169"/>
  <c r="I149" i="169" s="1"/>
  <c r="K117" i="175"/>
  <c r="S73" i="176"/>
  <c r="S119" i="176" s="1"/>
  <c r="I129" i="169"/>
  <c r="K129" i="169" s="1"/>
  <c r="K116" i="169"/>
  <c r="N44" i="171"/>
  <c r="N52" i="171" s="1"/>
  <c r="N45" i="171"/>
  <c r="N49" i="171"/>
  <c r="K52" i="171"/>
  <c r="K60" i="171" s="1"/>
  <c r="N48" i="171"/>
  <c r="G60" i="171"/>
  <c r="N47" i="171"/>
  <c r="Q16" i="180"/>
  <c r="K158" i="169"/>
  <c r="K119" i="175"/>
  <c r="G88" i="172"/>
  <c r="H85" i="172" s="1"/>
  <c r="H86" i="172" s="1"/>
  <c r="H87" i="172" s="1"/>
  <c r="H88" i="172" s="1"/>
  <c r="I85" i="172" s="1"/>
  <c r="G127" i="169"/>
  <c r="G134" i="169" s="1"/>
  <c r="G124" i="169"/>
  <c r="G149" i="169" s="1"/>
  <c r="G150" i="169"/>
  <c r="K114" i="169"/>
  <c r="R8" i="180"/>
  <c r="R10" i="180"/>
  <c r="R12" i="180"/>
  <c r="R7" i="180"/>
  <c r="R16" i="180" s="1"/>
  <c r="R13" i="180"/>
  <c r="N16" i="180"/>
  <c r="S66" i="176"/>
  <c r="R14" i="180"/>
  <c r="J72" i="169"/>
  <c r="S72" i="176"/>
  <c r="S118" i="176" s="1"/>
  <c r="K117" i="169"/>
  <c r="R11" i="180"/>
  <c r="G89" i="179"/>
  <c r="G83" i="179"/>
  <c r="H32" i="76"/>
  <c r="J31" i="76"/>
  <c r="I32" i="76"/>
  <c r="H10" i="197"/>
  <c r="H8" i="197" s="1"/>
  <c r="H11" i="196"/>
  <c r="H10" i="107"/>
  <c r="H8" i="107" s="1"/>
  <c r="R12" i="179"/>
  <c r="R11" i="179"/>
  <c r="R13" i="179"/>
  <c r="R10" i="179"/>
  <c r="R7" i="179"/>
  <c r="R16" i="179" s="1"/>
  <c r="R14" i="179"/>
  <c r="M16" i="179"/>
  <c r="G82" i="179"/>
  <c r="G90" i="179"/>
  <c r="R8" i="179"/>
  <c r="R9" i="179"/>
  <c r="G92" i="179"/>
  <c r="G84" i="179"/>
  <c r="G80" i="179"/>
  <c r="G88" i="179"/>
  <c r="H64" i="172"/>
  <c r="I61" i="172" s="1"/>
  <c r="I62" i="172" s="1"/>
  <c r="I63" i="172" s="1"/>
  <c r="I64" i="172" s="1"/>
  <c r="J61" i="172" s="1"/>
  <c r="J62" i="172" s="1"/>
  <c r="J63" i="172" s="1"/>
  <c r="M14" i="71"/>
  <c r="H66" i="172"/>
  <c r="G154" i="74"/>
  <c r="K121" i="74"/>
  <c r="K154" i="74" s="1"/>
  <c r="H71" i="172"/>
  <c r="H73" i="172" s="1"/>
  <c r="H97" i="172"/>
  <c r="H96" i="172"/>
  <c r="I93" i="172" s="1"/>
  <c r="K143" i="74"/>
  <c r="K134" i="74"/>
  <c r="G82" i="172"/>
  <c r="H78" i="172"/>
  <c r="H79" i="172" s="1"/>
  <c r="K56" i="76" l="1"/>
  <c r="I28" i="76"/>
  <c r="J27" i="76"/>
  <c r="F91" i="169"/>
  <c r="F94" i="169" s="1"/>
  <c r="M72" i="169"/>
  <c r="O84" i="175"/>
  <c r="M70" i="175"/>
  <c r="K140" i="175"/>
  <c r="E146" i="175"/>
  <c r="F100" i="175"/>
  <c r="F101" i="175"/>
  <c r="H89" i="172"/>
  <c r="M17" i="71" s="1"/>
  <c r="G151" i="169"/>
  <c r="G153" i="169" s="1"/>
  <c r="G135" i="169"/>
  <c r="G159" i="169"/>
  <c r="I134" i="169"/>
  <c r="G131" i="175"/>
  <c r="G115" i="175"/>
  <c r="G114" i="175"/>
  <c r="E130" i="175"/>
  <c r="E124" i="175"/>
  <c r="I92" i="175"/>
  <c r="E151" i="169"/>
  <c r="E153" i="169" s="1"/>
  <c r="E135" i="169"/>
  <c r="E150" i="169"/>
  <c r="S112" i="176"/>
  <c r="S75" i="176"/>
  <c r="S120" i="176" s="1"/>
  <c r="K124" i="169"/>
  <c r="K149" i="169" s="1"/>
  <c r="E159" i="169"/>
  <c r="E149" i="169"/>
  <c r="I159" i="169"/>
  <c r="K10" i="197"/>
  <c r="K10" i="107"/>
  <c r="K11" i="196"/>
  <c r="K15" i="196" s="1"/>
  <c r="K31" i="76"/>
  <c r="J32" i="76"/>
  <c r="I10" i="107"/>
  <c r="I11" i="196"/>
  <c r="I15" i="196" s="1"/>
  <c r="I10" i="197"/>
  <c r="I65" i="172"/>
  <c r="N14" i="71" s="1"/>
  <c r="H72" i="172"/>
  <c r="I69" i="172" s="1"/>
  <c r="I70" i="172" s="1"/>
  <c r="I71" i="172" s="1"/>
  <c r="J64" i="172"/>
  <c r="J65" i="172"/>
  <c r="M15" i="71"/>
  <c r="H74" i="172"/>
  <c r="I86" i="172"/>
  <c r="I87" i="172" s="1"/>
  <c r="I94" i="172"/>
  <c r="I95" i="172" s="1"/>
  <c r="H80" i="172"/>
  <c r="I77" i="172" s="1"/>
  <c r="H81" i="172"/>
  <c r="M18" i="71"/>
  <c r="H98" i="172"/>
  <c r="J28" i="76" l="1"/>
  <c r="K27" i="76"/>
  <c r="H90" i="172"/>
  <c r="I131" i="175"/>
  <c r="K131" i="175" s="1"/>
  <c r="K159" i="169"/>
  <c r="I135" i="169"/>
  <c r="I151" i="169"/>
  <c r="I153" i="169" s="1"/>
  <c r="I150" i="169"/>
  <c r="E151" i="175"/>
  <c r="I114" i="175"/>
  <c r="G130" i="175"/>
  <c r="G137" i="175" s="1"/>
  <c r="G124" i="175"/>
  <c r="E137" i="175"/>
  <c r="K134" i="169"/>
  <c r="G144" i="175"/>
  <c r="I115" i="175"/>
  <c r="K115" i="175" s="1"/>
  <c r="G153" i="175"/>
  <c r="F100" i="169"/>
  <c r="E138" i="169"/>
  <c r="I94" i="169"/>
  <c r="G138" i="169"/>
  <c r="G143" i="169" s="1"/>
  <c r="I138" i="169"/>
  <c r="I143" i="169" s="1"/>
  <c r="I18" i="107"/>
  <c r="I8" i="107"/>
  <c r="L31" i="76"/>
  <c r="K32" i="76"/>
  <c r="K18" i="107"/>
  <c r="K8" i="107"/>
  <c r="M10" i="197"/>
  <c r="M11" i="196"/>
  <c r="M15" i="196" s="1"/>
  <c r="M10" i="107"/>
  <c r="I18" i="197"/>
  <c r="I8" i="197"/>
  <c r="K8" i="197"/>
  <c r="K18" i="197"/>
  <c r="I66" i="172"/>
  <c r="O14" i="71"/>
  <c r="K65" i="172"/>
  <c r="J66" i="172"/>
  <c r="L66" i="172" s="1"/>
  <c r="I14" i="71" s="1"/>
  <c r="M16" i="71"/>
  <c r="H82" i="172"/>
  <c r="I78" i="172"/>
  <c r="I79" i="172" s="1"/>
  <c r="I97" i="172"/>
  <c r="I96" i="172"/>
  <c r="J93" i="172" s="1"/>
  <c r="I89" i="172"/>
  <c r="I88" i="172"/>
  <c r="J85" i="172" s="1"/>
  <c r="I72" i="172"/>
  <c r="J69" i="172" s="1"/>
  <c r="I73" i="172"/>
  <c r="K28" i="76" l="1"/>
  <c r="L28" i="76" s="1"/>
  <c r="L27" i="76"/>
  <c r="I155" i="169"/>
  <c r="I156" i="169" s="1"/>
  <c r="I144" i="169"/>
  <c r="F102" i="169"/>
  <c r="F103" i="169"/>
  <c r="G146" i="175"/>
  <c r="E152" i="175"/>
  <c r="G155" i="169"/>
  <c r="G156" i="169" s="1"/>
  <c r="G144" i="169"/>
  <c r="G155" i="175"/>
  <c r="K151" i="169"/>
  <c r="K153" i="169" s="1"/>
  <c r="K135" i="169"/>
  <c r="K150" i="169"/>
  <c r="K138" i="169"/>
  <c r="E143" i="169"/>
  <c r="I153" i="175"/>
  <c r="K153" i="175" s="1"/>
  <c r="I144" i="175"/>
  <c r="I146" i="175" s="1"/>
  <c r="I151" i="175" s="1"/>
  <c r="I152" i="175" s="1"/>
  <c r="I130" i="175"/>
  <c r="I124" i="175"/>
  <c r="K124" i="175" s="1"/>
  <c r="K114" i="175"/>
  <c r="O10" i="107"/>
  <c r="O10" i="197"/>
  <c r="O11" i="196"/>
  <c r="O15" i="196" s="1"/>
  <c r="M18" i="197"/>
  <c r="M8" i="197"/>
  <c r="L32" i="76"/>
  <c r="M8" i="107"/>
  <c r="M18" i="107"/>
  <c r="N15" i="71"/>
  <c r="I74" i="172"/>
  <c r="K14" i="71"/>
  <c r="H8" i="193" s="1"/>
  <c r="H10" i="193" s="1"/>
  <c r="H12" i="193" s="1"/>
  <c r="P14" i="71"/>
  <c r="Q14" i="71" s="1"/>
  <c r="J94" i="172"/>
  <c r="J95" i="172" s="1"/>
  <c r="J86" i="172"/>
  <c r="J87" i="172" s="1"/>
  <c r="N18" i="71"/>
  <c r="I98" i="172"/>
  <c r="N17" i="71"/>
  <c r="I90" i="172"/>
  <c r="J70" i="172"/>
  <c r="J71" i="172" s="1"/>
  <c r="I80" i="172"/>
  <c r="J77" i="172" s="1"/>
  <c r="I81" i="172"/>
  <c r="K155" i="175" l="1"/>
  <c r="I137" i="175"/>
  <c r="K137" i="175" s="1"/>
  <c r="K130" i="175"/>
  <c r="E155" i="169"/>
  <c r="E144" i="169"/>
  <c r="K143" i="169"/>
  <c r="K144" i="169" s="1"/>
  <c r="G151" i="175"/>
  <c r="K146" i="175"/>
  <c r="I155" i="175"/>
  <c r="I154" i="175"/>
  <c r="K144" i="175"/>
  <c r="P11" i="196"/>
  <c r="P10" i="197"/>
  <c r="P8" i="197" s="1"/>
  <c r="P26" i="197" s="1"/>
  <c r="R46" i="197" s="1"/>
  <c r="P10" i="107"/>
  <c r="P8" i="107" s="1"/>
  <c r="P26" i="107" s="1"/>
  <c r="R46" i="107" s="1"/>
  <c r="O18" i="197"/>
  <c r="O8" i="197"/>
  <c r="O18" i="107"/>
  <c r="O8" i="107"/>
  <c r="J88" i="172"/>
  <c r="J89" i="172"/>
  <c r="J97" i="172"/>
  <c r="J96" i="172"/>
  <c r="N16" i="71"/>
  <c r="I82" i="172"/>
  <c r="J72" i="172"/>
  <c r="J73" i="172"/>
  <c r="J78" i="172"/>
  <c r="J79" i="172" s="1"/>
  <c r="G152" i="175" l="1"/>
  <c r="K151" i="175"/>
  <c r="G154" i="175"/>
  <c r="E156" i="169"/>
  <c r="K155" i="169"/>
  <c r="K156" i="169" s="1"/>
  <c r="Q49" i="107"/>
  <c r="R47" i="107"/>
  <c r="R47" i="197"/>
  <c r="Q49" i="197"/>
  <c r="O17" i="71"/>
  <c r="J90" i="172"/>
  <c r="L90" i="172" s="1"/>
  <c r="I17" i="71" s="1"/>
  <c r="K89" i="172"/>
  <c r="P17" i="71" s="1"/>
  <c r="J81" i="172"/>
  <c r="J80" i="172"/>
  <c r="O18" i="71"/>
  <c r="J98" i="172"/>
  <c r="L98" i="172" s="1"/>
  <c r="I18" i="71" s="1"/>
  <c r="K97" i="172"/>
  <c r="O15" i="71"/>
  <c r="K73" i="172"/>
  <c r="J74" i="172"/>
  <c r="L74" i="172" s="1"/>
  <c r="I15" i="71" s="1"/>
  <c r="K152" i="175" l="1"/>
  <c r="K154" i="175"/>
  <c r="K18" i="71"/>
  <c r="P8" i="193" s="1"/>
  <c r="P10" i="193" s="1"/>
  <c r="P12" i="193" s="1"/>
  <c r="P18" i="71"/>
  <c r="Q18" i="71" s="1"/>
  <c r="P15" i="71"/>
  <c r="Q15" i="71" s="1"/>
  <c r="K15" i="71"/>
  <c r="J8" i="193" s="1"/>
  <c r="J10" i="193" s="1"/>
  <c r="J12" i="193" s="1"/>
  <c r="Q17" i="71"/>
  <c r="O16" i="71"/>
  <c r="K81" i="172"/>
  <c r="J82" i="172"/>
  <c r="L82" i="172" s="1"/>
  <c r="I16" i="71" s="1"/>
  <c r="K16" i="71" l="1"/>
  <c r="L8" i="193" s="1"/>
  <c r="L10" i="193" s="1"/>
  <c r="L12" i="193" s="1"/>
  <c r="K17" i="71"/>
  <c r="N8" i="193" s="1"/>
  <c r="N10" i="193" s="1"/>
  <c r="N12" i="193" s="1"/>
  <c r="P16" i="71"/>
  <c r="Q16" i="71" s="1"/>
  <c r="F38" i="74" l="1"/>
  <c r="J38" i="74" s="1"/>
  <c r="K50" i="14" l="1"/>
  <c r="K17" i="14"/>
  <c r="F44" i="74" l="1"/>
  <c r="J44" i="74" s="1"/>
  <c r="G59" i="171" l="1"/>
  <c r="G62" i="171" s="1"/>
  <c r="I14" i="172"/>
  <c r="H14" i="172"/>
  <c r="H13" i="172"/>
  <c r="J14" i="172"/>
  <c r="H48" i="77" l="1"/>
  <c r="H31" i="172"/>
  <c r="J48" i="77"/>
  <c r="J31" i="172"/>
  <c r="J52" i="172" s="1"/>
  <c r="I31" i="172"/>
  <c r="I52" i="172" s="1"/>
  <c r="I48" i="77"/>
  <c r="H23" i="172"/>
  <c r="N13" i="172" s="1"/>
  <c r="H30" i="172"/>
  <c r="I59" i="171" l="1"/>
  <c r="I62" i="171" s="1"/>
  <c r="H59" i="171"/>
  <c r="H62" i="171" s="1"/>
  <c r="H38" i="172"/>
  <c r="H39" i="172"/>
  <c r="H44" i="172"/>
  <c r="K31" i="172"/>
  <c r="H52" i="172"/>
  <c r="H55" i="172" s="1"/>
  <c r="N15" i="172"/>
  <c r="N19" i="172"/>
  <c r="N17" i="172"/>
  <c r="N18" i="172"/>
  <c r="K20" i="107"/>
  <c r="K20" i="197"/>
  <c r="N16" i="172"/>
  <c r="N20" i="172"/>
  <c r="K48" i="77"/>
  <c r="N14" i="172"/>
  <c r="J59" i="171" l="1"/>
  <c r="J62" i="171" s="1"/>
  <c r="N23" i="172"/>
  <c r="K16" i="197"/>
  <c r="K26" i="197" s="1"/>
  <c r="L46" i="197" s="1"/>
  <c r="M21" i="197"/>
  <c r="O22" i="197" s="1"/>
  <c r="H57" i="172"/>
  <c r="H56" i="172"/>
  <c r="I53" i="172" s="1"/>
  <c r="M21" i="107"/>
  <c r="O22" i="107" s="1"/>
  <c r="K16" i="107"/>
  <c r="K26" i="107" s="1"/>
  <c r="L46" i="107" s="1"/>
  <c r="I54" i="172" l="1"/>
  <c r="I55" i="172" s="1"/>
  <c r="H58" i="172"/>
  <c r="N13" i="71"/>
  <c r="L47" i="107"/>
  <c r="K49" i="107"/>
  <c r="K49" i="197"/>
  <c r="L47" i="197"/>
  <c r="I56" i="172" l="1"/>
  <c r="J53" i="172" s="1"/>
  <c r="I57" i="172"/>
  <c r="O13" i="71" l="1"/>
  <c r="I58" i="172"/>
  <c r="J54" i="172"/>
  <c r="J55" i="172" s="1"/>
  <c r="J57" i="172" l="1"/>
  <c r="J56" i="172"/>
  <c r="P13" i="71" l="1"/>
  <c r="Q13" i="71" s="1"/>
  <c r="J58" i="172"/>
  <c r="L58" i="172" s="1"/>
  <c r="I13" i="71" s="1"/>
  <c r="K57" i="172"/>
  <c r="K13" i="71" s="1"/>
  <c r="F8" i="193" s="1"/>
  <c r="F10" i="193" s="1"/>
  <c r="F12" i="193" s="1"/>
  <c r="G13" i="172"/>
  <c r="G30" i="172" s="1"/>
  <c r="I13" i="172"/>
  <c r="I30" i="172" s="1"/>
  <c r="J13" i="172"/>
  <c r="J30" i="172" s="1"/>
  <c r="F13" i="172"/>
  <c r="F23" i="172" s="1"/>
  <c r="J23" i="172" l="1"/>
  <c r="P13" i="172" s="1"/>
  <c r="J44" i="172"/>
  <c r="J39" i="172"/>
  <c r="G23" i="172"/>
  <c r="M15" i="172" s="1"/>
  <c r="F30" i="172"/>
  <c r="F39" i="172" s="1"/>
  <c r="I23" i="172"/>
  <c r="O20" i="172" s="1"/>
  <c r="I44" i="172"/>
  <c r="I38" i="172"/>
  <c r="I39" i="172"/>
  <c r="L14" i="172"/>
  <c r="H20" i="197"/>
  <c r="L16" i="172"/>
  <c r="L20" i="172"/>
  <c r="L17" i="172"/>
  <c r="G24" i="172"/>
  <c r="L13" i="172"/>
  <c r="J38" i="172"/>
  <c r="G38" i="172"/>
  <c r="G44" i="172"/>
  <c r="G47" i="172" s="1"/>
  <c r="G39" i="172"/>
  <c r="L19" i="172"/>
  <c r="L15" i="172"/>
  <c r="H20" i="107"/>
  <c r="L18" i="172"/>
  <c r="P15" i="172" l="1"/>
  <c r="O15" i="172"/>
  <c r="I24" i="172"/>
  <c r="O13" i="172"/>
  <c r="J24" i="172"/>
  <c r="O16" i="172"/>
  <c r="I20" i="197"/>
  <c r="I16" i="197" s="1"/>
  <c r="I26" i="197" s="1"/>
  <c r="J46" i="197" s="1"/>
  <c r="P17" i="172"/>
  <c r="K30" i="172"/>
  <c r="K38" i="172" s="1"/>
  <c r="O20" i="107"/>
  <c r="O16" i="107" s="1"/>
  <c r="O26" i="107" s="1"/>
  <c r="P46" i="107" s="1"/>
  <c r="P47" i="107" s="1"/>
  <c r="H24" i="172"/>
  <c r="O20" i="197"/>
  <c r="O16" i="197" s="1"/>
  <c r="O26" i="197" s="1"/>
  <c r="P46" i="197" s="1"/>
  <c r="P47" i="197" s="1"/>
  <c r="P16" i="172"/>
  <c r="F38" i="172"/>
  <c r="P18" i="172"/>
  <c r="M20" i="107"/>
  <c r="M16" i="107" s="1"/>
  <c r="M26" i="107" s="1"/>
  <c r="N46" i="107" s="1"/>
  <c r="P20" i="172"/>
  <c r="P19" i="172"/>
  <c r="O19" i="172"/>
  <c r="O17" i="172"/>
  <c r="P14" i="172"/>
  <c r="I20" i="107"/>
  <c r="M20" i="172"/>
  <c r="M14" i="172"/>
  <c r="M16" i="172"/>
  <c r="M13" i="172"/>
  <c r="M19" i="172"/>
  <c r="M17" i="172"/>
  <c r="M18" i="172"/>
  <c r="F44" i="172"/>
  <c r="O18" i="172"/>
  <c r="M20" i="197"/>
  <c r="O14" i="172"/>
  <c r="L23" i="172"/>
  <c r="I21" i="197"/>
  <c r="K22" i="197" s="1"/>
  <c r="M23" i="197" s="1"/>
  <c r="H16" i="197"/>
  <c r="H26" i="197" s="1"/>
  <c r="G48" i="172"/>
  <c r="H45" i="172" s="1"/>
  <c r="G49" i="172"/>
  <c r="H16" i="107"/>
  <c r="H26" i="107" s="1"/>
  <c r="I21" i="107"/>
  <c r="K22" i="107" s="1"/>
  <c r="M23" i="107" s="1"/>
  <c r="K21" i="197" l="1"/>
  <c r="M22" i="197" s="1"/>
  <c r="O23" i="197" s="1"/>
  <c r="K39" i="172"/>
  <c r="O21" i="107"/>
  <c r="O49" i="197"/>
  <c r="O49" i="107"/>
  <c r="O23" i="172"/>
  <c r="P23" i="172"/>
  <c r="M23" i="172"/>
  <c r="I16" i="107"/>
  <c r="I26" i="107" s="1"/>
  <c r="J46" i="107" s="1"/>
  <c r="K21" i="107"/>
  <c r="M22" i="107" s="1"/>
  <c r="O23" i="107" s="1"/>
  <c r="M16" i="197"/>
  <c r="M26" i="197" s="1"/>
  <c r="N46" i="197" s="1"/>
  <c r="O21" i="197"/>
  <c r="I49" i="197"/>
  <c r="J47" i="197"/>
  <c r="G100" i="172"/>
  <c r="G103" i="172" s="1"/>
  <c r="G50" i="172"/>
  <c r="M12" i="71"/>
  <c r="M49" i="107"/>
  <c r="N47" i="107"/>
  <c r="H104" i="172"/>
  <c r="H46" i="172"/>
  <c r="H47" i="172" s="1"/>
  <c r="I49" i="107" l="1"/>
  <c r="J47" i="107"/>
  <c r="M49" i="197"/>
  <c r="N47" i="197"/>
  <c r="G105" i="172"/>
  <c r="M26" i="71"/>
  <c r="H49" i="172"/>
  <c r="H48" i="172"/>
  <c r="I45" i="172" s="1"/>
  <c r="I104" i="172" l="1"/>
  <c r="I46" i="172"/>
  <c r="I47" i="172" s="1"/>
  <c r="N12" i="71"/>
  <c r="H100" i="172"/>
  <c r="H50" i="172"/>
  <c r="H103" i="172" l="1"/>
  <c r="G101" i="172"/>
  <c r="N26" i="71"/>
  <c r="I49" i="172"/>
  <c r="I48" i="172"/>
  <c r="J45" i="172" s="1"/>
  <c r="J104" i="172" l="1"/>
  <c r="J46" i="172"/>
  <c r="J47" i="172" s="1"/>
  <c r="O12" i="71"/>
  <c r="I100" i="172"/>
  <c r="I50" i="172"/>
  <c r="H105" i="172"/>
  <c r="J49" i="172" l="1"/>
  <c r="J48" i="172"/>
  <c r="O26" i="71"/>
  <c r="I103" i="172"/>
  <c r="H101" i="172"/>
  <c r="I105" i="172" l="1"/>
  <c r="P12" i="71"/>
  <c r="J100" i="172"/>
  <c r="J50" i="172"/>
  <c r="L50" i="172" s="1"/>
  <c r="K49" i="172"/>
  <c r="J103" i="172" l="1"/>
  <c r="I101" i="172"/>
  <c r="P26" i="71"/>
  <c r="Q26" i="71" s="1"/>
  <c r="Q12" i="71"/>
  <c r="K12" i="71"/>
  <c r="K100" i="172"/>
  <c r="I12" i="71"/>
  <c r="I26" i="71" s="1"/>
  <c r="L100" i="172"/>
  <c r="L104" i="172" s="1"/>
  <c r="K26" i="71" l="1"/>
  <c r="D8" i="193"/>
  <c r="J105" i="172"/>
  <c r="K103" i="172"/>
  <c r="D10" i="193" l="1"/>
  <c r="R8" i="193"/>
  <c r="D12" i="193" l="1"/>
  <c r="R10" i="193"/>
  <c r="R12" i="193" s="1"/>
  <c r="F43" i="74"/>
  <c r="J43" i="74" s="1"/>
  <c r="K16" i="14"/>
  <c r="I16" i="14" s="1"/>
  <c r="F41" i="74"/>
  <c r="J41" i="74" s="1"/>
  <c r="K14" i="14"/>
  <c r="I14" i="14" s="1"/>
  <c r="F42" i="74"/>
  <c r="J42" i="74" s="1"/>
  <c r="G10" i="14"/>
  <c r="K15" i="14"/>
  <c r="I15" i="14" s="1"/>
  <c r="I10" i="14" l="1"/>
  <c r="F37" i="74"/>
  <c r="K10" i="14"/>
  <c r="E116" i="74"/>
  <c r="I116" i="74" l="1"/>
  <c r="G116" i="74"/>
  <c r="E129" i="74"/>
  <c r="I129" i="74"/>
  <c r="G129" i="74"/>
  <c r="J37" i="74"/>
  <c r="K129" i="74" l="1"/>
  <c r="K116" i="74"/>
  <c r="F47" i="74"/>
  <c r="J47" i="74" s="1"/>
  <c r="K20" i="14"/>
  <c r="I20" i="14" l="1"/>
  <c r="F48" i="74"/>
  <c r="J48" i="74" s="1"/>
  <c r="K21" i="14"/>
  <c r="I21" i="14" s="1"/>
  <c r="F50" i="74"/>
  <c r="J50" i="74" s="1"/>
  <c r="G19" i="14"/>
  <c r="E118" i="74" s="1"/>
  <c r="K23" i="14"/>
  <c r="I23" i="14" s="1"/>
  <c r="K19" i="14" l="1"/>
  <c r="E131" i="74" s="1"/>
  <c r="E136" i="74" s="1"/>
  <c r="E152" i="74" s="1"/>
  <c r="F46" i="74"/>
  <c r="I19" i="14"/>
  <c r="I25" i="14" s="1"/>
  <c r="I26" i="14" s="1"/>
  <c r="G25" i="14"/>
  <c r="G46" i="14" s="1"/>
  <c r="G132" i="74"/>
  <c r="E126" i="74"/>
  <c r="G118" i="74"/>
  <c r="G119" i="74"/>
  <c r="K38" i="76" l="1"/>
  <c r="K36" i="76" s="1"/>
  <c r="K40" i="76" s="1"/>
  <c r="J38" i="76"/>
  <c r="J36" i="76" s="1"/>
  <c r="J40" i="76" s="1"/>
  <c r="I38" i="76"/>
  <c r="I36" i="76" s="1"/>
  <c r="I40" i="76" s="1"/>
  <c r="H38" i="76"/>
  <c r="M43" i="14"/>
  <c r="K25" i="14"/>
  <c r="I27" i="14"/>
  <c r="G27" i="14"/>
  <c r="G26" i="14"/>
  <c r="J46" i="74"/>
  <c r="J54" i="74" s="1"/>
  <c r="J75" i="74" s="1"/>
  <c r="F54" i="74"/>
  <c r="F75" i="74" s="1"/>
  <c r="O89" i="74" s="1"/>
  <c r="F8" i="172"/>
  <c r="G126" i="74"/>
  <c r="G151" i="74" s="1"/>
  <c r="G131" i="74"/>
  <c r="I118" i="74"/>
  <c r="I132" i="74"/>
  <c r="I142" i="74" s="1"/>
  <c r="E161" i="74"/>
  <c r="E151" i="74"/>
  <c r="E137" i="74"/>
  <c r="E153" i="74"/>
  <c r="G160" i="74"/>
  <c r="I119" i="74"/>
  <c r="I160" i="74" s="1"/>
  <c r="G142" i="74"/>
  <c r="M11" i="222" l="1"/>
  <c r="M13" i="222" s="1"/>
  <c r="M12" i="223"/>
  <c r="M14" i="223" s="1"/>
  <c r="M17" i="223" s="1"/>
  <c r="K11" i="222"/>
  <c r="K13" i="222" s="1"/>
  <c r="I11" i="222"/>
  <c r="I13" i="222" s="1"/>
  <c r="K12" i="223"/>
  <c r="K14" i="223" s="1"/>
  <c r="K17" i="223" s="1"/>
  <c r="G11" i="222"/>
  <c r="I12" i="223"/>
  <c r="I14" i="223" s="1"/>
  <c r="I17" i="223" s="1"/>
  <c r="G12" i="223"/>
  <c r="H36" i="76"/>
  <c r="H40" i="76" s="1"/>
  <c r="I11" i="219"/>
  <c r="I13" i="219" s="1"/>
  <c r="M11" i="219"/>
  <c r="M13" i="219" s="1"/>
  <c r="G11" i="219"/>
  <c r="K11" i="219"/>
  <c r="K13" i="219" s="1"/>
  <c r="K46" i="14"/>
  <c r="M47" i="14" s="1"/>
  <c r="M25" i="14"/>
  <c r="I46" i="14"/>
  <c r="K132" i="74"/>
  <c r="H9" i="172"/>
  <c r="I9" i="172"/>
  <c r="F9" i="172"/>
  <c r="J9" i="172"/>
  <c r="G9" i="172"/>
  <c r="E155" i="74"/>
  <c r="K142" i="74"/>
  <c r="M75" i="74"/>
  <c r="F94" i="74"/>
  <c r="F97" i="74" s="1"/>
  <c r="K119" i="74"/>
  <c r="G136" i="74"/>
  <c r="G161" i="74"/>
  <c r="K160" i="74"/>
  <c r="I126" i="74"/>
  <c r="I131" i="74"/>
  <c r="I136" i="74" s="1"/>
  <c r="I152" i="74" s="1"/>
  <c r="K118" i="74"/>
  <c r="K30" i="219" l="1"/>
  <c r="K16" i="219"/>
  <c r="O11" i="219"/>
  <c r="Q11" i="219" s="1"/>
  <c r="G13" i="219"/>
  <c r="I16" i="222"/>
  <c r="I30" i="222"/>
  <c r="M16" i="219"/>
  <c r="M30" i="219"/>
  <c r="K16" i="222"/>
  <c r="K30" i="222"/>
  <c r="G13" i="222"/>
  <c r="O11" i="222"/>
  <c r="I30" i="219"/>
  <c r="I16" i="219"/>
  <c r="G14" i="223"/>
  <c r="O12" i="223"/>
  <c r="M30" i="222"/>
  <c r="M16" i="222"/>
  <c r="I47" i="14"/>
  <c r="F42" i="76" s="1"/>
  <c r="I15" i="223"/>
  <c r="K14" i="222"/>
  <c r="M14" i="219"/>
  <c r="G14" i="219"/>
  <c r="G15" i="223"/>
  <c r="I14" i="222"/>
  <c r="K14" i="219"/>
  <c r="M15" i="223"/>
  <c r="G14" i="222"/>
  <c r="I14" i="219"/>
  <c r="K15" i="223"/>
  <c r="M14" i="222"/>
  <c r="K47" i="14"/>
  <c r="G17" i="222"/>
  <c r="G18" i="223"/>
  <c r="K18" i="223"/>
  <c r="M17" i="222"/>
  <c r="K17" i="222"/>
  <c r="M18" i="223"/>
  <c r="I17" i="222"/>
  <c r="I18" i="223"/>
  <c r="I17" i="219"/>
  <c r="K17" i="219"/>
  <c r="M17" i="219"/>
  <c r="G17" i="219"/>
  <c r="F31" i="77"/>
  <c r="H25" i="77"/>
  <c r="H36" i="77" s="1"/>
  <c r="O34" i="77" s="1"/>
  <c r="G27" i="77"/>
  <c r="J28" i="77"/>
  <c r="H26" i="77"/>
  <c r="I25" i="77"/>
  <c r="I36" i="77" s="1"/>
  <c r="P24" i="77" s="1"/>
  <c r="P36" i="77" s="1"/>
  <c r="G29" i="77"/>
  <c r="I26" i="77"/>
  <c r="J30" i="77"/>
  <c r="G26" i="77"/>
  <c r="F28" i="77"/>
  <c r="J33" i="77"/>
  <c r="Q8" i="77" s="1"/>
  <c r="Q18" i="77" s="1"/>
  <c r="H29" i="77"/>
  <c r="G30" i="77"/>
  <c r="G25" i="77"/>
  <c r="G36" i="77" s="1"/>
  <c r="N34" i="77" s="1"/>
  <c r="F27" i="77"/>
  <c r="F33" i="77"/>
  <c r="M8" i="77" s="1"/>
  <c r="M18" i="77" s="1"/>
  <c r="G42" i="76"/>
  <c r="F7" i="172" s="1"/>
  <c r="F11" i="172" s="1"/>
  <c r="I33" i="77"/>
  <c r="P8" i="77" s="1"/>
  <c r="P18" i="77" s="1"/>
  <c r="G28" i="77"/>
  <c r="F32" i="77"/>
  <c r="I42" i="76"/>
  <c r="I45" i="76" s="1"/>
  <c r="J31" i="77"/>
  <c r="H32" i="77"/>
  <c r="H30" i="77"/>
  <c r="J29" i="77"/>
  <c r="H31" i="77"/>
  <c r="G32" i="77"/>
  <c r="F29" i="77"/>
  <c r="I28" i="77"/>
  <c r="F26" i="77"/>
  <c r="F25" i="77"/>
  <c r="F36" i="77" s="1"/>
  <c r="M26" i="77" s="1"/>
  <c r="K42" i="76"/>
  <c r="J7" i="172" s="1"/>
  <c r="J11" i="172" s="1"/>
  <c r="I31" i="77"/>
  <c r="J25" i="77"/>
  <c r="J36" i="77" s="1"/>
  <c r="Q28" i="77" s="1"/>
  <c r="H33" i="77"/>
  <c r="O8" i="77" s="1"/>
  <c r="O18" i="77" s="1"/>
  <c r="H27" i="77"/>
  <c r="M46" i="14"/>
  <c r="D47" i="77" s="1"/>
  <c r="J47" i="77" s="1"/>
  <c r="J55" i="77" s="1"/>
  <c r="M32" i="77"/>
  <c r="M30" i="77"/>
  <c r="Q25" i="77"/>
  <c r="Q33" i="77"/>
  <c r="Q30" i="77"/>
  <c r="O31" i="77"/>
  <c r="M34" i="77"/>
  <c r="Q34" i="77"/>
  <c r="Q31" i="77"/>
  <c r="M24" i="77"/>
  <c r="M36" i="77" s="1"/>
  <c r="M33" i="77"/>
  <c r="I41" i="77"/>
  <c r="O29" i="77"/>
  <c r="O27" i="77"/>
  <c r="P32" i="77"/>
  <c r="O26" i="77"/>
  <c r="H41" i="77"/>
  <c r="P25" i="77"/>
  <c r="O32" i="77"/>
  <c r="O33" i="77"/>
  <c r="I97" i="74"/>
  <c r="I140" i="74"/>
  <c r="I145" i="74" s="1"/>
  <c r="I157" i="74" s="1"/>
  <c r="I158" i="74" s="1"/>
  <c r="G140" i="74"/>
  <c r="G145" i="74" s="1"/>
  <c r="G157" i="74" s="1"/>
  <c r="G158" i="74" s="1"/>
  <c r="F103" i="74"/>
  <c r="E140" i="74"/>
  <c r="I137" i="74"/>
  <c r="I153" i="74"/>
  <c r="K131" i="74"/>
  <c r="I151" i="74"/>
  <c r="K126" i="74"/>
  <c r="K151" i="74" s="1"/>
  <c r="G137" i="74"/>
  <c r="G153" i="74"/>
  <c r="G155" i="74" s="1"/>
  <c r="G152" i="74"/>
  <c r="K136" i="74"/>
  <c r="K152" i="74" s="1"/>
  <c r="I161" i="74"/>
  <c r="P34" i="77" l="1"/>
  <c r="O14" i="223"/>
  <c r="G17" i="223"/>
  <c r="O17" i="223" s="1"/>
  <c r="Q24" i="77"/>
  <c r="Q36" i="77" s="1"/>
  <c r="O28" i="77"/>
  <c r="O30" i="77"/>
  <c r="P26" i="77"/>
  <c r="Q26" i="77"/>
  <c r="J41" i="77"/>
  <c r="P28" i="77"/>
  <c r="P31" i="77"/>
  <c r="R12" i="223"/>
  <c r="Q12" i="223"/>
  <c r="P33" i="77"/>
  <c r="O14" i="222"/>
  <c r="Q14" i="222" s="1"/>
  <c r="Q11" i="222"/>
  <c r="R11" i="222"/>
  <c r="G30" i="219"/>
  <c r="O30" i="219" s="1"/>
  <c r="G16" i="219"/>
  <c r="O16" i="219" s="1"/>
  <c r="O13" i="219"/>
  <c r="P27" i="77"/>
  <c r="P29" i="77"/>
  <c r="O25" i="77"/>
  <c r="Q32" i="77"/>
  <c r="O24" i="77"/>
  <c r="O36" i="77" s="1"/>
  <c r="P30" i="77"/>
  <c r="Q27" i="77"/>
  <c r="M27" i="77"/>
  <c r="Q29" i="77"/>
  <c r="G30" i="222"/>
  <c r="O30" i="222" s="1"/>
  <c r="O13" i="222"/>
  <c r="G16" i="222"/>
  <c r="O16" i="222" s="1"/>
  <c r="O18" i="223"/>
  <c r="N24" i="77"/>
  <c r="N36" i="77" s="1"/>
  <c r="M31" i="77"/>
  <c r="M28" i="77"/>
  <c r="F41" i="77"/>
  <c r="M29" i="77"/>
  <c r="O17" i="222"/>
  <c r="N27" i="77"/>
  <c r="H47" i="77"/>
  <c r="H55" i="77" s="1"/>
  <c r="O47" i="77" s="1"/>
  <c r="O17" i="219"/>
  <c r="F41" i="76"/>
  <c r="M16" i="223"/>
  <c r="I15" i="222"/>
  <c r="I16" i="223"/>
  <c r="M15" i="222"/>
  <c r="G15" i="222"/>
  <c r="K15" i="222"/>
  <c r="K16" i="223"/>
  <c r="G16" i="223"/>
  <c r="K15" i="219"/>
  <c r="M15" i="219"/>
  <c r="I15" i="219"/>
  <c r="G15" i="219"/>
  <c r="R14" i="222"/>
  <c r="O15" i="223"/>
  <c r="N28" i="77"/>
  <c r="M25" i="77"/>
  <c r="F30" i="77"/>
  <c r="J26" i="77"/>
  <c r="I30" i="77"/>
  <c r="H28" i="77"/>
  <c r="H42" i="76"/>
  <c r="J32" i="77"/>
  <c r="I29" i="77"/>
  <c r="J42" i="76"/>
  <c r="J27" i="77"/>
  <c r="G33" i="77"/>
  <c r="N8" i="77" s="1"/>
  <c r="N18" i="77" s="1"/>
  <c r="G31" i="77"/>
  <c r="I27" i="77"/>
  <c r="I32" i="77"/>
  <c r="F10" i="172"/>
  <c r="F22" i="172" s="1"/>
  <c r="L11" i="172" s="1"/>
  <c r="H7" i="172"/>
  <c r="H11" i="172" s="1"/>
  <c r="K45" i="76"/>
  <c r="N30" i="77"/>
  <c r="N26" i="77"/>
  <c r="N31" i="77"/>
  <c r="N29" i="77"/>
  <c r="N32" i="77"/>
  <c r="N33" i="77"/>
  <c r="N25" i="77"/>
  <c r="G41" i="77"/>
  <c r="Q47" i="77"/>
  <c r="Q50" i="77"/>
  <c r="F47" i="77"/>
  <c r="F55" i="77" s="1"/>
  <c r="M50" i="77" s="1"/>
  <c r="G47" i="77"/>
  <c r="G55" i="77" s="1"/>
  <c r="I47" i="77"/>
  <c r="I55" i="77" s="1"/>
  <c r="P48" i="77" s="1"/>
  <c r="J62" i="77"/>
  <c r="Q48" i="77"/>
  <c r="Q51" i="77"/>
  <c r="O53" i="77"/>
  <c r="O50" i="77"/>
  <c r="O48" i="77"/>
  <c r="Q49" i="77"/>
  <c r="H62" i="77"/>
  <c r="O51" i="77"/>
  <c r="O49" i="77"/>
  <c r="Q52" i="77"/>
  <c r="Q53" i="77"/>
  <c r="O52" i="77"/>
  <c r="G146" i="74"/>
  <c r="I146" i="74"/>
  <c r="L10" i="172"/>
  <c r="K161" i="74"/>
  <c r="F106" i="74"/>
  <c r="F105" i="74"/>
  <c r="E145" i="74"/>
  <c r="K140" i="74"/>
  <c r="I155" i="74"/>
  <c r="K137" i="74"/>
  <c r="K153" i="74"/>
  <c r="K155" i="74" s="1"/>
  <c r="R30" i="222" l="1"/>
  <c r="Q30" i="222"/>
  <c r="R13" i="222"/>
  <c r="Q13" i="222"/>
  <c r="O16" i="223"/>
  <c r="Q16" i="219"/>
  <c r="R16" i="219"/>
  <c r="R17" i="223"/>
  <c r="Q17" i="223"/>
  <c r="R30" i="219"/>
  <c r="Q30" i="219"/>
  <c r="Q14" i="223"/>
  <c r="R14" i="223"/>
  <c r="Q16" i="222"/>
  <c r="R16" i="222"/>
  <c r="M52" i="77"/>
  <c r="O15" i="219"/>
  <c r="R15" i="219" s="1"/>
  <c r="Q15" i="219"/>
  <c r="I13" i="77"/>
  <c r="I10" i="77"/>
  <c r="G11" i="77"/>
  <c r="I11" i="77"/>
  <c r="I12" i="77"/>
  <c r="G15" i="77"/>
  <c r="J16" i="77"/>
  <c r="J13" i="77"/>
  <c r="J41" i="76"/>
  <c r="H14" i="77"/>
  <c r="I16" i="77"/>
  <c r="G9" i="77"/>
  <c r="G14" i="77"/>
  <c r="G13" i="77"/>
  <c r="G16" i="77"/>
  <c r="F14" i="77"/>
  <c r="F18" i="77" s="1"/>
  <c r="H9" i="77"/>
  <c r="H18" i="77" s="1"/>
  <c r="I9" i="77"/>
  <c r="I18" i="77" s="1"/>
  <c r="G10" i="77"/>
  <c r="J14" i="77"/>
  <c r="I14" i="77"/>
  <c r="H15" i="77"/>
  <c r="J11" i="77"/>
  <c r="I15" i="77"/>
  <c r="H41" i="76"/>
  <c r="H10" i="77"/>
  <c r="J9" i="77"/>
  <c r="J18" i="77" s="1"/>
  <c r="K41" i="76"/>
  <c r="J10" i="77"/>
  <c r="H12" i="77"/>
  <c r="G12" i="77"/>
  <c r="I41" i="76"/>
  <c r="J12" i="77"/>
  <c r="H13" i="77"/>
  <c r="J15" i="77"/>
  <c r="G41" i="76"/>
  <c r="H16" i="77"/>
  <c r="H11" i="77"/>
  <c r="Q17" i="222"/>
  <c r="R17" i="222"/>
  <c r="Q15" i="223"/>
  <c r="R15" i="223"/>
  <c r="Q17" i="219"/>
  <c r="R17" i="219"/>
  <c r="H45" i="76"/>
  <c r="G7" i="172"/>
  <c r="G11" i="172" s="1"/>
  <c r="Q16" i="223"/>
  <c r="R16" i="223"/>
  <c r="I7" i="172"/>
  <c r="I11" i="172" s="1"/>
  <c r="J45" i="76"/>
  <c r="O15" i="222"/>
  <c r="R18" i="223"/>
  <c r="Q18" i="223"/>
  <c r="M51" i="77"/>
  <c r="M47" i="77"/>
  <c r="P53" i="77"/>
  <c r="P49" i="77"/>
  <c r="P47" i="77"/>
  <c r="K55" i="77"/>
  <c r="I62" i="77"/>
  <c r="M48" i="77"/>
  <c r="M53" i="77"/>
  <c r="F62" i="77"/>
  <c r="M49" i="77"/>
  <c r="P50" i="77"/>
  <c r="P52" i="77"/>
  <c r="P51" i="77"/>
  <c r="K47" i="77"/>
  <c r="N47" i="77"/>
  <c r="N52" i="77"/>
  <c r="N50" i="77"/>
  <c r="N53" i="77"/>
  <c r="N51" i="77"/>
  <c r="G62" i="77"/>
  <c r="N48" i="77"/>
  <c r="N49" i="77"/>
  <c r="O55" i="77"/>
  <c r="Q55" i="77"/>
  <c r="E157" i="74"/>
  <c r="K145" i="74"/>
  <c r="K146" i="74" s="1"/>
  <c r="E146" i="74"/>
  <c r="M55" i="77" l="1"/>
  <c r="H47" i="76"/>
  <c r="I46" i="76"/>
  <c r="O10" i="77"/>
  <c r="O13" i="77"/>
  <c r="O14" i="77"/>
  <c r="O12" i="77"/>
  <c r="O16" i="77"/>
  <c r="O15" i="77"/>
  <c r="O9" i="77"/>
  <c r="O11" i="77"/>
  <c r="H40" i="77"/>
  <c r="H42" i="77" s="1"/>
  <c r="H60" i="77" s="1"/>
  <c r="H64" i="77" s="1"/>
  <c r="K14" i="77"/>
  <c r="K13" i="77"/>
  <c r="M12" i="77"/>
  <c r="M16" i="77"/>
  <c r="M13" i="77"/>
  <c r="M9" i="77"/>
  <c r="M14" i="77"/>
  <c r="M11" i="77"/>
  <c r="M10" i="77"/>
  <c r="M15" i="77"/>
  <c r="F40" i="77"/>
  <c r="F42" i="77" s="1"/>
  <c r="K9" i="77"/>
  <c r="K18" i="77" s="1"/>
  <c r="K40" i="77" s="1"/>
  <c r="G18" i="77"/>
  <c r="P10" i="77"/>
  <c r="P9" i="77"/>
  <c r="I40" i="77"/>
  <c r="I42" i="77" s="1"/>
  <c r="I60" i="77" s="1"/>
  <c r="I64" i="77" s="1"/>
  <c r="P15" i="77"/>
  <c r="P16" i="77"/>
  <c r="P14" i="77"/>
  <c r="P12" i="77"/>
  <c r="P13" i="77"/>
  <c r="P11" i="77"/>
  <c r="K15" i="77"/>
  <c r="Q15" i="222"/>
  <c r="R15" i="222"/>
  <c r="K12" i="77"/>
  <c r="Q16" i="77"/>
  <c r="Q10" i="77"/>
  <c r="Q12" i="77"/>
  <c r="Q15" i="77"/>
  <c r="Q11" i="77"/>
  <c r="J40" i="77"/>
  <c r="J42" i="77" s="1"/>
  <c r="J60" i="77" s="1"/>
  <c r="J64" i="77" s="1"/>
  <c r="Q9" i="77"/>
  <c r="Q14" i="77"/>
  <c r="Q13" i="77"/>
  <c r="K10" i="77"/>
  <c r="K16" i="77"/>
  <c r="K11" i="77"/>
  <c r="P55" i="77"/>
  <c r="K62" i="77"/>
  <c r="N55" i="77"/>
  <c r="K157" i="74"/>
  <c r="K158" i="74" s="1"/>
  <c r="E158" i="74"/>
  <c r="F60" i="77" l="1"/>
  <c r="K42" i="77"/>
  <c r="J46" i="76"/>
  <c r="I47" i="76"/>
  <c r="H60" i="76"/>
  <c r="I9" i="196"/>
  <c r="I17" i="196" s="1"/>
  <c r="J37" i="196" s="1"/>
  <c r="H53" i="76"/>
  <c r="H48" i="76"/>
  <c r="N16" i="77"/>
  <c r="N11" i="77"/>
  <c r="N9" i="77"/>
  <c r="N13" i="77"/>
  <c r="N15" i="77"/>
  <c r="G40" i="77"/>
  <c r="G42" i="77" s="1"/>
  <c r="G60" i="77" s="1"/>
  <c r="G64" i="77" s="1"/>
  <c r="N10" i="77"/>
  <c r="N12" i="77"/>
  <c r="N14" i="77"/>
  <c r="K9" i="196" l="1"/>
  <c r="K17" i="196" s="1"/>
  <c r="L37" i="196" s="1"/>
  <c r="I53" i="76"/>
  <c r="I60" i="76"/>
  <c r="I48" i="76"/>
  <c r="H59" i="76"/>
  <c r="H61" i="76" s="1"/>
  <c r="G8" i="172"/>
  <c r="G10" i="172" s="1"/>
  <c r="G22" i="172" s="1"/>
  <c r="K46" i="76"/>
  <c r="K47" i="76" s="1"/>
  <c r="J47" i="76"/>
  <c r="J38" i="196"/>
  <c r="I40" i="196"/>
  <c r="F64" i="77"/>
  <c r="K64" i="77" s="1"/>
  <c r="K60" i="77"/>
  <c r="J60" i="76" l="1"/>
  <c r="M9" i="196"/>
  <c r="M17" i="196" s="1"/>
  <c r="N37" i="196" s="1"/>
  <c r="J53" i="76"/>
  <c r="J48" i="76"/>
  <c r="K53" i="76"/>
  <c r="K59" i="76" s="1"/>
  <c r="K61" i="76" s="1"/>
  <c r="O9" i="196"/>
  <c r="O17" i="196" s="1"/>
  <c r="P37" i="196" s="1"/>
  <c r="K60" i="76"/>
  <c r="K48" i="76"/>
  <c r="M10" i="172"/>
  <c r="M11" i="172"/>
  <c r="I129" i="172"/>
  <c r="O14" i="219"/>
  <c r="I59" i="76"/>
  <c r="I61" i="76" s="1"/>
  <c r="H8" i="172"/>
  <c r="H10" i="172" s="1"/>
  <c r="H22" i="172" s="1"/>
  <c r="L38" i="196"/>
  <c r="K40" i="196"/>
  <c r="J8" i="172" l="1"/>
  <c r="J10" i="172" s="1"/>
  <c r="J22" i="172" s="1"/>
  <c r="N11" i="172"/>
  <c r="N10" i="172"/>
  <c r="J129" i="172"/>
  <c r="R14" i="219"/>
  <c r="Q14" i="219"/>
  <c r="J59" i="76"/>
  <c r="J61" i="76" s="1"/>
  <c r="I8" i="172"/>
  <c r="I10" i="172" s="1"/>
  <c r="I22" i="172" s="1"/>
  <c r="O40" i="196"/>
  <c r="P38" i="196"/>
  <c r="N38" i="196"/>
  <c r="M40" i="196"/>
  <c r="P10" i="172"/>
  <c r="L129" i="172"/>
  <c r="P11" i="172"/>
  <c r="P13" i="219"/>
  <c r="Q13" i="219" s="1"/>
  <c r="K129" i="172" l="1"/>
  <c r="O10" i="172"/>
  <c r="O11" i="172"/>
  <c r="R11" i="219"/>
  <c r="R13" i="219"/>
  <c r="H23" i="1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René CAUSSE</author>
  </authors>
  <commentList>
    <comment ref="B38" authorId="0" shapeId="0" xr:uid="{00000000-0006-0000-0700-000001000000}">
      <text>
        <r>
          <rPr>
            <b/>
            <sz val="9"/>
            <color indexed="81"/>
            <rFont val="Tahoma"/>
            <family val="2"/>
          </rPr>
          <t xml:space="preserve">Montant forfaitaire annuel </t>
        </r>
        <r>
          <rPr>
            <sz val="9"/>
            <color indexed="81"/>
            <rFont val="Tahoma"/>
            <family val="2"/>
          </rPr>
          <t xml:space="preserve">
</t>
        </r>
      </text>
    </comment>
    <comment ref="K51" authorId="0" shapeId="0" xr:uid="{00000000-0006-0000-0700-000002000000}">
      <text>
        <r>
          <rPr>
            <b/>
            <sz val="9"/>
            <color indexed="81"/>
            <rFont val="Tahoma"/>
            <family val="2"/>
          </rPr>
          <t xml:space="preserve">Taux de commission = taux en année N </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RENE</author>
  </authors>
  <commentList>
    <comment ref="A31" authorId="0" shapeId="0" xr:uid="{00000000-0006-0000-5500-000001000000}">
      <text>
        <r>
          <rPr>
            <sz val="9"/>
            <color indexed="81"/>
            <rFont val="Tahoma"/>
            <family val="2"/>
          </rPr>
          <t>CA récurrent: Abonnement + Suiv</t>
        </r>
        <r>
          <rPr>
            <b/>
            <sz val="9"/>
            <color indexed="81"/>
            <rFont val="Tahoma"/>
            <family val="2"/>
          </rPr>
          <t>i</t>
        </r>
        <r>
          <rPr>
            <sz val="9"/>
            <color indexed="81"/>
            <rFont val="Tahoma"/>
            <family val="2"/>
          </rPr>
          <t xml:space="preserve">
+ Maintenance annuelle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René CAUSSE</author>
    <author>STETTEN Claire SCE/ELOB</author>
  </authors>
  <commentList>
    <comment ref="F7" authorId="0" shapeId="0" xr:uid="{00000000-0006-0000-5C00-000001000000}">
      <text>
        <r>
          <rPr>
            <b/>
            <sz val="9"/>
            <color indexed="81"/>
            <rFont val="Tahoma"/>
            <family val="2"/>
          </rPr>
          <t>Egale le New biz total moins le new biz provenant du upselling sur la base installée</t>
        </r>
        <r>
          <rPr>
            <sz val="9"/>
            <color indexed="81"/>
            <rFont val="Tahoma"/>
            <family val="2"/>
          </rPr>
          <t xml:space="preserve">
</t>
        </r>
      </text>
    </comment>
    <comment ref="A28" authorId="0" shapeId="0" xr:uid="{00000000-0006-0000-5C00-000002000000}">
      <text>
        <r>
          <rPr>
            <b/>
            <sz val="9"/>
            <color indexed="81"/>
            <rFont val="Tahoma"/>
            <family val="2"/>
          </rPr>
          <t xml:space="preserve">le nombre de nouveaux clients est égal CA par partenaire divisé par la valeur de son panier moyen </t>
        </r>
        <r>
          <rPr>
            <sz val="9"/>
            <color indexed="81"/>
            <rFont val="Tahoma"/>
            <family val="2"/>
          </rPr>
          <t xml:space="preserve">
</t>
        </r>
      </text>
    </comment>
    <comment ref="D28" authorId="0" shapeId="0" xr:uid="{00000000-0006-0000-5C00-000003000000}">
      <text>
        <r>
          <rPr>
            <b/>
            <sz val="9"/>
            <color indexed="81"/>
            <rFont val="Tahoma"/>
            <family val="2"/>
          </rPr>
          <t xml:space="preserve">Panier moyen = CA One charge + CA souscription annuelle </t>
        </r>
        <r>
          <rPr>
            <sz val="9"/>
            <color indexed="81"/>
            <rFont val="Tahoma"/>
            <family val="2"/>
          </rPr>
          <t xml:space="preserve">
</t>
        </r>
      </text>
    </comment>
    <comment ref="L42" authorId="0" shapeId="0" xr:uid="{00000000-0006-0000-5C00-000004000000}">
      <text>
        <r>
          <rPr>
            <b/>
            <sz val="9"/>
            <color indexed="81"/>
            <rFont val="Tahoma"/>
            <family val="2"/>
          </rPr>
          <t>Partenaires existants + partenaires à recruter dans l'année ( avant churn )</t>
        </r>
        <r>
          <rPr>
            <sz val="9"/>
            <color indexed="81"/>
            <rFont val="Tahoma"/>
            <family val="2"/>
          </rPr>
          <t xml:space="preserve">
</t>
        </r>
      </text>
    </comment>
    <comment ref="G44" authorId="1" shapeId="0" xr:uid="{00000000-0006-0000-5C00-000005000000}">
      <text>
        <r>
          <rPr>
            <b/>
            <sz val="9"/>
            <color indexed="81"/>
            <rFont val="Tahoma"/>
            <family val="2"/>
          </rPr>
          <t>Target Nombre de clients</t>
        </r>
        <r>
          <rPr>
            <sz val="9"/>
            <color indexed="81"/>
            <rFont val="Tahoma"/>
            <family val="2"/>
          </rPr>
          <t xml:space="preserve">
</t>
        </r>
      </text>
    </comment>
    <comment ref="A50" authorId="0" shapeId="0" xr:uid="{00000000-0006-0000-5C00-000006000000}">
      <text>
        <r>
          <rPr>
            <b/>
            <sz val="9"/>
            <color indexed="81"/>
            <rFont val="Tahoma"/>
            <family val="2"/>
          </rPr>
          <t>Partenaires existants + # partenaires à recruter ( en tenant compte du Churn )</t>
        </r>
        <r>
          <rPr>
            <sz val="9"/>
            <color indexed="81"/>
            <rFont val="Tahoma"/>
            <family val="2"/>
          </rPr>
          <t xml:space="preserve">
</t>
        </r>
      </text>
    </comment>
    <comment ref="G52" authorId="1" shapeId="0" xr:uid="{00000000-0006-0000-5C00-000007000000}">
      <text>
        <r>
          <rPr>
            <b/>
            <sz val="9"/>
            <color indexed="81"/>
            <rFont val="Tahoma"/>
            <family val="2"/>
          </rPr>
          <t xml:space="preserve">Target </t>
        </r>
        <r>
          <rPr>
            <sz val="9"/>
            <color indexed="81"/>
            <rFont val="Tahoma"/>
            <family val="2"/>
          </rPr>
          <t xml:space="preserve">
</t>
        </r>
      </text>
    </comment>
    <comment ref="G60" authorId="1" shapeId="0" xr:uid="{00000000-0006-0000-5C00-000008000000}">
      <text>
        <r>
          <rPr>
            <b/>
            <sz val="9"/>
            <color indexed="81"/>
            <rFont val="Tahoma"/>
            <family val="2"/>
          </rPr>
          <t xml:space="preserve">Target </t>
        </r>
        <r>
          <rPr>
            <sz val="9"/>
            <color indexed="81"/>
            <rFont val="Tahoma"/>
            <family val="2"/>
          </rPr>
          <t xml:space="preserve">
</t>
        </r>
      </text>
    </comment>
    <comment ref="G68" authorId="1" shapeId="0" xr:uid="{00000000-0006-0000-5C00-000009000000}">
      <text>
        <r>
          <rPr>
            <b/>
            <sz val="9"/>
            <color indexed="81"/>
            <rFont val="Tahoma"/>
            <family val="2"/>
          </rPr>
          <t xml:space="preserve">Target </t>
        </r>
        <r>
          <rPr>
            <sz val="9"/>
            <color indexed="81"/>
            <rFont val="Tahoma"/>
            <family val="2"/>
          </rPr>
          <t xml:space="preserve">
</t>
        </r>
      </text>
    </comment>
    <comment ref="G76" authorId="1" shapeId="0" xr:uid="{00000000-0006-0000-5C00-00000A000000}">
      <text>
        <r>
          <rPr>
            <b/>
            <sz val="9"/>
            <color indexed="81"/>
            <rFont val="Tahoma"/>
            <family val="2"/>
          </rPr>
          <t xml:space="preserve">Target </t>
        </r>
        <r>
          <rPr>
            <sz val="9"/>
            <color indexed="81"/>
            <rFont val="Tahoma"/>
            <family val="2"/>
          </rPr>
          <t xml:space="preserve">
</t>
        </r>
      </text>
    </comment>
    <comment ref="G84" authorId="1" shapeId="0" xr:uid="{00000000-0006-0000-5C00-00000B000000}">
      <text>
        <r>
          <rPr>
            <b/>
            <sz val="9"/>
            <color indexed="81"/>
            <rFont val="Tahoma"/>
            <family val="2"/>
          </rPr>
          <t xml:space="preserve">Target </t>
        </r>
        <r>
          <rPr>
            <sz val="9"/>
            <color indexed="81"/>
            <rFont val="Tahoma"/>
            <family val="2"/>
          </rPr>
          <t xml:space="preserve">
</t>
        </r>
      </text>
    </comment>
    <comment ref="G92" authorId="1" shapeId="0" xr:uid="{00000000-0006-0000-5C00-00000C000000}">
      <text>
        <r>
          <rPr>
            <b/>
            <sz val="9"/>
            <color indexed="81"/>
            <rFont val="Tahoma"/>
            <family val="2"/>
          </rPr>
          <t xml:space="preserve">Target </t>
        </r>
        <r>
          <rPr>
            <sz val="9"/>
            <color indexed="81"/>
            <rFont val="Tahoma"/>
            <family val="2"/>
          </rPr>
          <t xml:space="preserve">
</t>
        </r>
      </text>
    </comment>
    <comment ref="G101" authorId="0" shapeId="0" xr:uid="{00000000-0006-0000-5C00-00000D000000}">
      <text>
        <r>
          <rPr>
            <sz val="9"/>
            <color indexed="81"/>
            <rFont val="Tahoma"/>
            <family val="2"/>
          </rPr>
          <t xml:space="preserve">
Partenaires N + N+1</t>
        </r>
      </text>
    </comment>
    <comment ref="J101" authorId="0" shapeId="0" xr:uid="{00000000-0006-0000-5C00-00000E000000}">
      <text>
        <r>
          <rPr>
            <b/>
            <sz val="9"/>
            <color indexed="81"/>
            <rFont val="Tahoma"/>
            <family val="2"/>
          </rPr>
          <t xml:space="preserve">Estimation du nbre de partenaires à recruter pour êtrs productifs en 2020 ( décalage de 12 mois ) </t>
        </r>
        <r>
          <rPr>
            <sz val="9"/>
            <color indexed="81"/>
            <rFont val="Tahoma"/>
            <family val="2"/>
          </rPr>
          <t xml:space="preserve">
</t>
        </r>
      </text>
    </comment>
    <comment ref="L104" authorId="0" shapeId="0" xr:uid="{00000000-0006-0000-5C00-00000F000000}">
      <text>
        <r>
          <rPr>
            <b/>
            <sz val="9"/>
            <color indexed="81"/>
            <rFont val="Tahoma"/>
            <family val="2"/>
          </rPr>
          <t>Nbre de partenaires actifs + nbre de partenaires à recruter en dernière année</t>
        </r>
        <r>
          <rPr>
            <sz val="9"/>
            <color indexed="81"/>
            <rFont val="Tahoma"/>
            <family val="2"/>
          </rPr>
          <t xml:space="preserve">
</t>
        </r>
      </text>
    </comment>
    <comment ref="L105" authorId="0" shapeId="0" xr:uid="{00000000-0006-0000-5C00-000010000000}">
      <text>
        <r>
          <rPr>
            <b/>
            <sz val="9"/>
            <color indexed="81"/>
            <rFont val="Tahoma"/>
            <family val="2"/>
          </rPr>
          <t>Nbre de partenaires actifs + nbre de partenaires à recruter en dernière année</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René CAUSSE</author>
  </authors>
  <commentList>
    <comment ref="F7" authorId="0" shapeId="0" xr:uid="{00000000-0006-0000-5D00-000001000000}">
      <text>
        <r>
          <rPr>
            <b/>
            <sz val="9"/>
            <color indexed="81"/>
            <rFont val="Tahoma"/>
            <family val="2"/>
          </rPr>
          <t xml:space="preserve">Taux de commission * CA total new biz de chaque partenaire * le % de CA one charge
</t>
        </r>
        <r>
          <rPr>
            <sz val="9"/>
            <color indexed="81"/>
            <rFont val="Tahoma"/>
            <family val="2"/>
          </rPr>
          <t xml:space="preserve">
</t>
        </r>
      </text>
    </comment>
    <comment ref="F9" authorId="0" shapeId="0" xr:uid="{00000000-0006-0000-5D00-000002000000}">
      <text>
        <r>
          <rPr>
            <b/>
            <sz val="9"/>
            <color indexed="81"/>
            <rFont val="Tahoma"/>
            <family val="2"/>
          </rPr>
          <t>Taux de commission * CA total new biz de chaque partenaire * le % de CA one charge</t>
        </r>
        <r>
          <rPr>
            <sz val="9"/>
            <color indexed="81"/>
            <rFont val="Tahoma"/>
            <family val="2"/>
          </rPr>
          <t xml:space="preserve">
</t>
        </r>
      </text>
    </comment>
    <comment ref="F22" authorId="0" shapeId="0" xr:uid="{00000000-0006-0000-5D00-000003000000}">
      <text>
        <r>
          <rPr>
            <b/>
            <sz val="9"/>
            <color indexed="81"/>
            <rFont val="Tahoma"/>
            <family val="2"/>
          </rPr>
          <t>Mode de calcul:
CA souscription N * taux commission 1° année 
+ somme des CA souscription des années antérieures * taux commission années suivantes</t>
        </r>
        <r>
          <rPr>
            <sz val="9"/>
            <color indexed="81"/>
            <rFont val="Tahoma"/>
            <family val="2"/>
          </rPr>
          <t xml:space="preserve">
</t>
        </r>
      </text>
    </comment>
    <comment ref="F25" authorId="0" shapeId="0" xr:uid="{00000000-0006-0000-5D00-000004000000}">
      <text>
        <r>
          <rPr>
            <b/>
            <sz val="9"/>
            <color indexed="81"/>
            <rFont val="Tahoma"/>
            <family val="2"/>
          </rPr>
          <t>Mode de calcul:
( CA souscription année en cours N * taux commission 1° année ) 
+ ( somme des CA souscription des années antérieures * taux commission des années suivantes )</t>
        </r>
        <r>
          <rPr>
            <sz val="9"/>
            <color indexed="81"/>
            <rFont val="Tahoma"/>
            <family val="2"/>
          </rPr>
          <t xml:space="preserve">
</t>
        </r>
      </text>
    </comment>
    <comment ref="D47" authorId="0" shapeId="0" xr:uid="{00000000-0006-0000-5D00-000005000000}">
      <text>
        <r>
          <rPr>
            <b/>
            <sz val="9"/>
            <color indexed="81"/>
            <rFont val="Tahoma"/>
            <family val="2"/>
          </rPr>
          <t>Source: onglet "business card": ratio "CA service partenaire / CA fournisseur" ligne 53</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RENE</author>
  </authors>
  <commentList>
    <comment ref="A123" authorId="0" shapeId="0" xr:uid="{00000000-0006-0000-6900-000001000000}">
      <text>
        <r>
          <rPr>
            <sz val="9"/>
            <color indexed="81"/>
            <rFont val="Tahoma"/>
            <family val="2"/>
          </rPr>
          <t xml:space="preserve">CA additionnel du fournisseur sur les années N+1 et N+2 ( upselling, cross selling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René CAUSSE</author>
    <author>R C</author>
  </authors>
  <commentList>
    <comment ref="G36" authorId="0" shapeId="0" xr:uid="{00000000-0006-0000-0D00-000001000000}">
      <text>
        <r>
          <rPr>
            <b/>
            <sz val="9"/>
            <color indexed="81"/>
            <rFont val="Tahoma"/>
            <family val="2"/>
          </rPr>
          <t xml:space="preserve">Année N-1. Optionnel. A titre indicatif. </t>
        </r>
        <r>
          <rPr>
            <sz val="9"/>
            <color indexed="81"/>
            <rFont val="Tahoma"/>
            <family val="2"/>
          </rPr>
          <t xml:space="preserve">
</t>
        </r>
      </text>
    </comment>
    <comment ref="A40" authorId="0" shapeId="0" xr:uid="{00000000-0006-0000-0D00-000002000000}">
      <text>
        <r>
          <rPr>
            <b/>
            <sz val="9"/>
            <color indexed="81"/>
            <rFont val="Tahoma"/>
            <family val="2"/>
          </rPr>
          <t xml:space="preserve">Estimez de manière itérative le montant de new business pour atteindre l'objectif  ( ligne 36 )
L'objectif est d'obtenir un montant équivalent entre les lignes 46 et 36:
</t>
        </r>
        <r>
          <rPr>
            <sz val="9"/>
            <color indexed="81"/>
            <rFont val="Tahoma"/>
            <family val="2"/>
          </rPr>
          <t xml:space="preserve">
</t>
        </r>
      </text>
    </comment>
    <comment ref="O40" authorId="0" shapeId="0" xr:uid="{00000000-0006-0000-0D00-000003000000}">
      <text>
        <r>
          <rPr>
            <b/>
            <sz val="9"/>
            <color indexed="81"/>
            <rFont val="Tahoma"/>
            <family val="2"/>
          </rPr>
          <t xml:space="preserve">Facturation au mois. Donc, reconnaissance du business sur 6 mois ( moyenne ) </t>
        </r>
        <r>
          <rPr>
            <sz val="9"/>
            <color indexed="81"/>
            <rFont val="Tahoma"/>
            <family val="2"/>
          </rPr>
          <t xml:space="preserve">
</t>
        </r>
      </text>
    </comment>
    <comment ref="F41" authorId="0" shapeId="0" xr:uid="{00000000-0006-0000-0D00-000004000000}">
      <text>
        <r>
          <rPr>
            <b/>
            <sz val="9"/>
            <color indexed="81"/>
            <rFont val="Tahoma"/>
            <family val="2"/>
          </rPr>
          <t xml:space="preserve">% provenant de l'onglet BIC. Répartition du CA fournisseur sur un deal moyen entre CA fixe et CA récurrent. </t>
        </r>
        <r>
          <rPr>
            <sz val="9"/>
            <color indexed="81"/>
            <rFont val="Tahoma"/>
            <family val="2"/>
          </rPr>
          <t xml:space="preserve">
</t>
        </r>
      </text>
    </comment>
    <comment ref="F42" authorId="0" shapeId="0" xr:uid="{00000000-0006-0000-0D00-000005000000}">
      <text>
        <r>
          <rPr>
            <b/>
            <sz val="9"/>
            <color indexed="81"/>
            <rFont val="Tahoma"/>
            <family val="2"/>
          </rPr>
          <t xml:space="preserve">% provenant de l'onglet BIC. Répartition du CA fournisseur sur un deal moyen entre CA fixe et CA récurrent. </t>
        </r>
        <r>
          <rPr>
            <sz val="9"/>
            <color indexed="81"/>
            <rFont val="Tahoma"/>
            <family val="2"/>
          </rPr>
          <t xml:space="preserve">
</t>
        </r>
      </text>
    </comment>
    <comment ref="G46" authorId="0" shapeId="0" xr:uid="{00000000-0006-0000-0D00-000006000000}">
      <text>
        <r>
          <rPr>
            <b/>
            <sz val="9"/>
            <color indexed="81"/>
            <rFont val="Tahoma"/>
            <family val="2"/>
          </rPr>
          <t>CA souscription récurrent à N-1</t>
        </r>
        <r>
          <rPr>
            <sz val="9"/>
            <color indexed="81"/>
            <rFont val="Tahoma"/>
            <family val="2"/>
          </rPr>
          <t xml:space="preserve">
</t>
        </r>
      </text>
    </comment>
    <comment ref="A47" authorId="0" shapeId="0" xr:uid="{00000000-0006-0000-0D00-000007000000}">
      <text>
        <r>
          <rPr>
            <b/>
            <sz val="9"/>
            <color indexed="81"/>
            <rFont val="Tahoma"/>
            <family val="2"/>
          </rPr>
          <t>Total obtenu doit être égal ou proche de l'objectif de CA global ( la ligne 36)</t>
        </r>
        <r>
          <rPr>
            <sz val="9"/>
            <color indexed="81"/>
            <rFont val="Tahoma"/>
            <family val="2"/>
          </rPr>
          <t xml:space="preserve">
</t>
        </r>
      </text>
    </comment>
    <comment ref="F54" authorId="1" shapeId="0" xr:uid="{00000000-0006-0000-0D00-000008000000}">
      <text>
        <r>
          <rPr>
            <b/>
            <sz val="9"/>
            <color indexed="81"/>
            <rFont val="Tahoma"/>
            <family val="2"/>
          </rPr>
          <t>Panier moyen partenaire sur une affaire 12 premiers mois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 C</author>
  </authors>
  <commentList>
    <comment ref="A9" authorId="0" shapeId="0" xr:uid="{00000000-0006-0000-0F00-000001000000}">
      <text>
        <r>
          <rPr>
            <b/>
            <sz val="9"/>
            <color indexed="81"/>
            <rFont val="Tahoma"/>
            <family val="2"/>
          </rPr>
          <t>Reprendre le montant prévu pour l'année dans l'onglet "salesplan 3Y"</t>
        </r>
        <r>
          <rPr>
            <sz val="9"/>
            <color indexed="81"/>
            <rFont val="Tahoma"/>
            <family val="2"/>
          </rPr>
          <t xml:space="preserve">
</t>
        </r>
      </text>
    </comment>
    <comment ref="O9" authorId="0" shapeId="0" xr:uid="{00000000-0006-0000-0F00-000002000000}">
      <text>
        <r>
          <rPr>
            <b/>
            <sz val="9"/>
            <color indexed="81"/>
            <rFont val="Tahoma"/>
            <family val="2"/>
          </rPr>
          <t>Se reporter au sales plan 3 Years</t>
        </r>
        <r>
          <rPr>
            <sz val="9"/>
            <color indexed="81"/>
            <rFont val="Tahoma"/>
            <family val="2"/>
          </rPr>
          <t xml:space="preserve">
Valeur H37</t>
        </r>
      </text>
    </comment>
    <comment ref="A11" authorId="0" shapeId="0" xr:uid="{00000000-0006-0000-0F00-000003000000}">
      <text>
        <r>
          <rPr>
            <b/>
            <sz val="9"/>
            <color indexed="81"/>
            <rFont val="Tahoma"/>
            <family val="2"/>
          </rPr>
          <t>Egale au panier moyen calculé dans l'onglet "business card"</t>
        </r>
        <r>
          <rPr>
            <sz val="9"/>
            <color indexed="81"/>
            <rFont val="Tahoma"/>
            <family val="2"/>
          </rPr>
          <t xml:space="preserve">
</t>
        </r>
      </text>
    </comment>
    <comment ref="A14" authorId="0" shapeId="0" xr:uid="{00000000-0006-0000-0F00-000004000000}">
      <text>
        <r>
          <rPr>
            <b/>
            <sz val="9"/>
            <color indexed="81"/>
            <rFont val="Tahoma"/>
            <family val="2"/>
          </rPr>
          <t>Voir business card</t>
        </r>
        <r>
          <rPr>
            <sz val="9"/>
            <color indexed="81"/>
            <rFont val="Tahoma"/>
            <family val="2"/>
          </rPr>
          <t xml:space="preserve">
</t>
        </r>
      </text>
    </comment>
    <comment ref="A15" authorId="0" shapeId="0" xr:uid="{00000000-0006-0000-0F00-000005000000}">
      <text>
        <r>
          <rPr>
            <b/>
            <sz val="9"/>
            <color indexed="81"/>
            <rFont val="Tahoma"/>
            <family val="2"/>
          </rPr>
          <t>Voir Business Card</t>
        </r>
        <r>
          <rPr>
            <sz val="9"/>
            <color indexed="81"/>
            <rFont val="Tahoma"/>
            <family val="2"/>
          </rPr>
          <t xml:space="preserve">
</t>
        </r>
      </text>
    </comment>
    <comment ref="A16" authorId="0" shapeId="0" xr:uid="{00000000-0006-0000-0F00-000006000000}">
      <text>
        <r>
          <rPr>
            <b/>
            <sz val="9"/>
            <color indexed="81"/>
            <rFont val="Tahoma"/>
            <family val="2"/>
          </rPr>
          <t>Voir Business card</t>
        </r>
        <r>
          <rPr>
            <sz val="9"/>
            <color indexed="81"/>
            <rFont val="Tahoma"/>
            <family val="2"/>
          </rPr>
          <t xml:space="preserve">
</t>
        </r>
      </text>
    </comment>
    <comment ref="G35" authorId="0" shapeId="0" xr:uid="{00000000-0006-0000-0F00-000007000000}">
      <text>
        <r>
          <rPr>
            <b/>
            <sz val="9"/>
            <color indexed="81"/>
            <rFont val="Tahoma"/>
            <family val="2"/>
          </rPr>
          <t>Moyenne recherchée</t>
        </r>
        <r>
          <rPr>
            <sz val="9"/>
            <color indexed="81"/>
            <rFont val="Tahoma"/>
            <family val="2"/>
          </rPr>
          <t xml:space="preserve">
</t>
        </r>
      </text>
    </comment>
    <comment ref="H35" authorId="0" shapeId="0" xr:uid="{00000000-0006-0000-0F00-000008000000}">
      <text>
        <r>
          <rPr>
            <b/>
            <sz val="9"/>
            <color indexed="81"/>
            <rFont val="Tahoma"/>
            <family val="2"/>
          </rPr>
          <t>Moyenne constatée</t>
        </r>
        <r>
          <rPr>
            <sz val="9"/>
            <color indexed="81"/>
            <rFont val="Tahoma"/>
            <family val="2"/>
          </rPr>
          <t xml:space="preserve">
</t>
        </r>
      </text>
    </comment>
    <comment ref="O35" authorId="0" shapeId="0" xr:uid="{00000000-0006-0000-0F00-000009000000}">
      <text>
        <r>
          <rPr>
            <b/>
            <sz val="9"/>
            <color indexed="81"/>
            <rFont val="Tahoma"/>
            <family val="2"/>
          </rPr>
          <t>Moyenne recherchée</t>
        </r>
        <r>
          <rPr>
            <sz val="9"/>
            <color indexed="81"/>
            <rFont val="Tahoma"/>
            <family val="2"/>
          </rPr>
          <t xml:space="preserve">
</t>
        </r>
      </text>
    </comment>
    <comment ref="P35" authorId="0" shapeId="0" xr:uid="{00000000-0006-0000-0F00-00000A000000}">
      <text>
        <r>
          <rPr>
            <b/>
            <sz val="9"/>
            <color indexed="81"/>
            <rFont val="Tahoma"/>
            <family val="2"/>
          </rPr>
          <t>Moyenne constatée</t>
        </r>
        <r>
          <rPr>
            <sz val="9"/>
            <color indexed="81"/>
            <rFont val="Tahoma"/>
            <family val="2"/>
          </rPr>
          <t xml:space="preserve">
</t>
        </r>
      </text>
    </comment>
    <comment ref="O36" authorId="0" shapeId="0" xr:uid="{00000000-0006-0000-0F00-00000B000000}">
      <text>
        <r>
          <rPr>
            <b/>
            <sz val="9"/>
            <color indexed="81"/>
            <rFont val="Tahoma"/>
            <family val="2"/>
          </rPr>
          <t>Nbre final de commerciaux formés</t>
        </r>
        <r>
          <rPr>
            <sz val="9"/>
            <color indexed="81"/>
            <rFont val="Tahoma"/>
            <family val="2"/>
          </rPr>
          <t xml:space="preserve">
</t>
        </r>
      </text>
    </comment>
    <comment ref="P36" authorId="0" shapeId="0" xr:uid="{00000000-0006-0000-0F00-00000C000000}">
      <text>
        <r>
          <rPr>
            <b/>
            <sz val="9"/>
            <color indexed="81"/>
            <rFont val="Tahoma"/>
            <family val="2"/>
          </rPr>
          <t>Nbre de commerciaux formés pendant l'année</t>
        </r>
        <r>
          <rPr>
            <sz val="9"/>
            <color indexed="81"/>
            <rFont val="Tahoma"/>
            <family val="2"/>
          </rPr>
          <t xml:space="preserve">
</t>
        </r>
      </text>
    </comment>
    <comment ref="O37" authorId="0" shapeId="0" xr:uid="{00000000-0006-0000-0F00-00000D000000}">
      <text>
        <r>
          <rPr>
            <b/>
            <sz val="9"/>
            <color indexed="81"/>
            <rFont val="Tahoma"/>
            <family val="2"/>
          </rPr>
          <t>Nbre final de commerciaux formés</t>
        </r>
        <r>
          <rPr>
            <sz val="9"/>
            <color indexed="81"/>
            <rFont val="Tahoma"/>
            <family val="2"/>
          </rPr>
          <t xml:space="preserve">
</t>
        </r>
      </text>
    </comment>
    <comment ref="P37" authorId="0" shapeId="0" xr:uid="{00000000-0006-0000-0F00-00000E000000}">
      <text>
        <r>
          <rPr>
            <b/>
            <sz val="9"/>
            <color indexed="81"/>
            <rFont val="Tahoma"/>
            <family val="2"/>
          </rPr>
          <t>Nbre de commerciaux formés pendant l'année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 C</author>
  </authors>
  <commentList>
    <comment ref="O66" authorId="0" shapeId="0" xr:uid="{00000000-0006-0000-1000-000001000000}">
      <text>
        <r>
          <rPr>
            <b/>
            <sz val="9"/>
            <color indexed="81"/>
            <rFont val="Tahoma"/>
            <family val="2"/>
          </rPr>
          <t>Moyenne recherchée</t>
        </r>
        <r>
          <rPr>
            <sz val="9"/>
            <color indexed="81"/>
            <rFont val="Tahoma"/>
            <family val="2"/>
          </rPr>
          <t xml:space="preserve">
</t>
        </r>
      </text>
    </comment>
    <comment ref="P66" authorId="0" shapeId="0" xr:uid="{00000000-0006-0000-1000-000002000000}">
      <text>
        <r>
          <rPr>
            <b/>
            <sz val="9"/>
            <color indexed="81"/>
            <rFont val="Tahoma"/>
            <family val="2"/>
          </rPr>
          <t>Moyenne constatée</t>
        </r>
        <r>
          <rPr>
            <sz val="9"/>
            <color indexed="81"/>
            <rFont val="Tahoma"/>
            <family val="2"/>
          </rPr>
          <t xml:space="preserve">
</t>
        </r>
      </text>
    </comment>
    <comment ref="O67" authorId="0" shapeId="0" xr:uid="{00000000-0006-0000-1000-000003000000}">
      <text>
        <r>
          <rPr>
            <b/>
            <sz val="9"/>
            <color indexed="81"/>
            <rFont val="Tahoma"/>
            <family val="2"/>
          </rPr>
          <t>Nbre final de commerciaux formés</t>
        </r>
        <r>
          <rPr>
            <sz val="9"/>
            <color indexed="81"/>
            <rFont val="Tahoma"/>
            <family val="2"/>
          </rPr>
          <t xml:space="preserve">
</t>
        </r>
      </text>
    </comment>
    <comment ref="P67" authorId="0" shapeId="0" xr:uid="{00000000-0006-0000-1000-000004000000}">
      <text>
        <r>
          <rPr>
            <b/>
            <sz val="9"/>
            <color indexed="81"/>
            <rFont val="Tahoma"/>
            <family val="2"/>
          </rPr>
          <t>Nbre de commerciaux formés pendant l'année</t>
        </r>
        <r>
          <rPr>
            <sz val="9"/>
            <color indexed="81"/>
            <rFont val="Tahoma"/>
            <family val="2"/>
          </rPr>
          <t xml:space="preserve">
</t>
        </r>
      </text>
    </comment>
    <comment ref="O68" authorId="0" shapeId="0" xr:uid="{00000000-0006-0000-1000-000005000000}">
      <text>
        <r>
          <rPr>
            <b/>
            <sz val="9"/>
            <color indexed="81"/>
            <rFont val="Tahoma"/>
            <family val="2"/>
          </rPr>
          <t>Nbre final de commerciaux formés</t>
        </r>
        <r>
          <rPr>
            <sz val="9"/>
            <color indexed="81"/>
            <rFont val="Tahoma"/>
            <family val="2"/>
          </rPr>
          <t xml:space="preserve">
</t>
        </r>
      </text>
    </comment>
    <comment ref="P68" authorId="0" shapeId="0" xr:uid="{00000000-0006-0000-1000-000006000000}">
      <text>
        <r>
          <rPr>
            <b/>
            <sz val="9"/>
            <color indexed="81"/>
            <rFont val="Tahoma"/>
            <family val="2"/>
          </rPr>
          <t>Nbre de commerciaux formés pendant l'année</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 C</author>
  </authors>
  <commentList>
    <comment ref="O10" authorId="0" shapeId="0" xr:uid="{00000000-0006-0000-1100-000001000000}">
      <text>
        <r>
          <rPr>
            <b/>
            <sz val="9"/>
            <color indexed="81"/>
            <rFont val="Tahoma"/>
            <family val="2"/>
          </rPr>
          <t>Se reporter au sales plan 3 Years</t>
        </r>
        <r>
          <rPr>
            <sz val="9"/>
            <color indexed="81"/>
            <rFont val="Tahoma"/>
            <family val="2"/>
          </rPr>
          <t xml:space="preserve">
Valeur H37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RENE</author>
  </authors>
  <commentList>
    <comment ref="A31" authorId="0" shapeId="0" xr:uid="{00000000-0006-0000-3F00-000001000000}">
      <text>
        <r>
          <rPr>
            <sz val="9"/>
            <color indexed="81"/>
            <rFont val="Tahoma"/>
            <family val="2"/>
          </rPr>
          <t>CA récurrent: Abonnement + Suiv</t>
        </r>
        <r>
          <rPr>
            <b/>
            <sz val="9"/>
            <color indexed="81"/>
            <rFont val="Tahoma"/>
            <family val="2"/>
          </rPr>
          <t>i</t>
        </r>
        <r>
          <rPr>
            <sz val="9"/>
            <color indexed="81"/>
            <rFont val="Tahoma"/>
            <family val="2"/>
          </rPr>
          <t xml:space="preserve">
+ Maintenance annuelle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RENE</author>
  </authors>
  <commentList>
    <comment ref="A121" authorId="0" shapeId="0" xr:uid="{00000000-0006-0000-4300-000001000000}">
      <text>
        <r>
          <rPr>
            <sz val="9"/>
            <color indexed="81"/>
            <rFont val="Tahoma"/>
            <family val="2"/>
          </rPr>
          <t xml:space="preserve">CA additionnel du fournisseur sur les années N+1 et N+2 ( upselling, cross selling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RENE</author>
  </authors>
  <commentList>
    <comment ref="B15" authorId="0" shapeId="0" xr:uid="{00000000-0006-0000-4500-000001000000}">
      <text>
        <r>
          <rPr>
            <b/>
            <sz val="9"/>
            <color indexed="81"/>
            <rFont val="Tahoma"/>
            <family val="2"/>
          </rPr>
          <t>Que ce soit en mode licence ou en mode SaaS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RENE</author>
  </authors>
  <commentList>
    <comment ref="A121" authorId="0" shapeId="0" xr:uid="{00000000-0006-0000-4600-000001000000}">
      <text>
        <r>
          <rPr>
            <sz val="9"/>
            <color indexed="81"/>
            <rFont val="Tahoma"/>
            <family val="2"/>
          </rPr>
          <t xml:space="preserve">CA additionnel du fournisseur sur les années N+1 et N+2 ( upselling, cross selling )
</t>
        </r>
      </text>
    </comment>
    <comment ref="A141" authorId="0" shapeId="0" xr:uid="{00000000-0006-0000-4600-000002000000}">
      <text>
        <r>
          <rPr>
            <b/>
            <sz val="9"/>
            <color indexed="81"/>
            <rFont val="Tahoma"/>
            <family val="2"/>
          </rPr>
          <t>Marge ( Hyp de 50% ) sur les services additionnels effectués par le partenaire en N+1 et N+2</t>
        </r>
        <r>
          <rPr>
            <sz val="9"/>
            <color indexed="81"/>
            <rFont val="Tahoma"/>
            <family val="2"/>
          </rPr>
          <t xml:space="preserve">
</t>
        </r>
      </text>
    </comment>
    <comment ref="A142" authorId="0" shapeId="0" xr:uid="{00000000-0006-0000-4600-000003000000}">
      <text>
        <r>
          <rPr>
            <b/>
            <sz val="9"/>
            <color indexed="81"/>
            <rFont val="Tahoma"/>
            <family val="2"/>
          </rPr>
          <t xml:space="preserve">Commissions sur les ventes d'upsell du fournisseur ( souscriptions et/ou services supplémentaires ) </t>
        </r>
        <r>
          <rPr>
            <sz val="9"/>
            <color indexed="81"/>
            <rFont val="Tahoma"/>
            <family val="2"/>
          </rPr>
          <t xml:space="preserve">
</t>
        </r>
      </text>
    </comment>
    <comment ref="A143" authorId="0" shapeId="0" xr:uid="{00000000-0006-0000-4600-000004000000}">
      <text>
        <r>
          <rPr>
            <b/>
            <sz val="9"/>
            <color indexed="81"/>
            <rFont val="Tahoma"/>
            <family val="2"/>
          </rPr>
          <t>Commissions en cas de maintenance annuelle récurrente, surtout en mode licence</t>
        </r>
        <r>
          <rPr>
            <sz val="9"/>
            <color indexed="81"/>
            <rFont val="Tahoma"/>
            <family val="2"/>
          </rPr>
          <t xml:space="preserve">
</t>
        </r>
      </text>
    </comment>
    <comment ref="A144" authorId="0" shapeId="0" xr:uid="{00000000-0006-0000-4600-000005000000}">
      <text>
        <r>
          <rPr>
            <b/>
            <sz val="9"/>
            <color indexed="81"/>
            <rFont val="Tahoma"/>
            <family val="2"/>
          </rPr>
          <t>Commissions sur les revenus récurrents de souscription signée les années précédentes</t>
        </r>
        <r>
          <rPr>
            <sz val="9"/>
            <color indexed="81"/>
            <rFont val="Tahoma"/>
            <family val="2"/>
          </rPr>
          <t xml:space="preserve">
</t>
        </r>
      </text>
    </comment>
  </commentList>
</comments>
</file>

<file path=xl/sharedStrings.xml><?xml version="1.0" encoding="utf-8"?>
<sst xmlns="http://schemas.openxmlformats.org/spreadsheetml/2006/main" count="9115" uniqueCount="2980">
  <si>
    <t>Etat d'avancement des thèmes</t>
  </si>
  <si>
    <t>En cours</t>
  </si>
  <si>
    <t>PdV</t>
  </si>
  <si>
    <t>KPI's</t>
  </si>
  <si>
    <t>Nom du client</t>
  </si>
  <si>
    <t>Licence attribuée à :</t>
  </si>
  <si>
    <t>Etat d'avancement :</t>
  </si>
  <si>
    <t>Etat avancement</t>
  </si>
  <si>
    <t>au</t>
  </si>
  <si>
    <t>Date Heure Etat :</t>
  </si>
  <si>
    <t>Informations à reprendre dans la proposition de valeur (PdV)</t>
  </si>
  <si>
    <t>Informations à reprendre dans les KPI's</t>
  </si>
  <si>
    <t>SWOT</t>
  </si>
  <si>
    <t>Organisation</t>
  </si>
  <si>
    <t>Objectifs :</t>
  </si>
  <si>
    <t>Attentes</t>
  </si>
  <si>
    <t xml:space="preserve">Notez de 1 à 10 </t>
  </si>
  <si>
    <t>Produit / solution ==&gt;</t>
  </si>
  <si>
    <t>Commentaires</t>
  </si>
  <si>
    <t>Vision</t>
  </si>
  <si>
    <t/>
  </si>
  <si>
    <t xml:space="preserve">Messages stratégiques clés </t>
  </si>
  <si>
    <t xml:space="preserve">Stratégie partenaire. Nos engagements : </t>
  </si>
  <si>
    <t>Go to Market strategy : "be where the customers buy "</t>
  </si>
  <si>
    <t xml:space="preserve">Organisation Un modèle hybride ( Combinaison de ventes directes et de partenaires ) ou un modèle 100% indirect ? </t>
  </si>
  <si>
    <t xml:space="preserve">Exemples de Channel directions pour l'année en cours </t>
  </si>
  <si>
    <t>Développer un réseau de partenaires à forte valeur ajoutée : VARs, ISVs, integrators …</t>
  </si>
  <si>
    <t xml:space="preserve">Recrutement de partenaires volume: des partenaires revendeurs en volume sans forte valeur ajoutée </t>
  </si>
  <si>
    <t>Marché Grands comptes:  collaborer avec des SS2I/ cabinets de conseils pour vendre conjointement nos solutions avec nos forces de vente directe</t>
  </si>
  <si>
    <t xml:space="preserve">Stratégie année n: recruter de nouveaux partenaires et développer les existants </t>
  </si>
  <si>
    <t xml:space="preserve">Se Focaliser sur les partenaires existants qui ont un fort potentiel de croissance </t>
  </si>
  <si>
    <t xml:space="preserve">Garantir la satisfaction des partenaires pour améliorer leur loyauté et efficacité </t>
  </si>
  <si>
    <t xml:space="preserve">Autres </t>
  </si>
  <si>
    <t>Développer l'efficacité des programmes partenaires : leads, formation, support comemrcial</t>
  </si>
  <si>
    <t>Optimiser le "easy to do business with"</t>
  </si>
  <si>
    <t>Améliorer les process et les délais de livraison</t>
  </si>
  <si>
    <t xml:space="preserve">Annoncer des services produits supplémentaires à vendre par les partenaires </t>
  </si>
  <si>
    <t>Fournir un produit robuste et performant</t>
  </si>
  <si>
    <t>Fournir le meilleur support  ( sales,marketing  and technical )</t>
  </si>
  <si>
    <t>Fournir des leads aux partenaires</t>
  </si>
  <si>
    <t>Repeat business. Adresser les nouveaux marchés avec des offres packagées par nos partenaires</t>
  </si>
  <si>
    <t>Nos commerciaux supportent essentiellement les grands projets et les partenaires impliqués à fort potentiel</t>
  </si>
  <si>
    <t>Acteurs</t>
  </si>
  <si>
    <t>Logistique du WorkShop</t>
  </si>
  <si>
    <t>Constituer l'annuaire des participants au workshop</t>
  </si>
  <si>
    <t>Fonction</t>
  </si>
  <si>
    <t>Société / Service</t>
  </si>
  <si>
    <t>Email</t>
  </si>
  <si>
    <t>N° téléphone</t>
  </si>
  <si>
    <t>Themes principaux</t>
  </si>
  <si>
    <t>Logistique</t>
  </si>
  <si>
    <t>Bilan</t>
  </si>
  <si>
    <t>Vision, Attente &amp; Stratégie</t>
  </si>
  <si>
    <t>Offre</t>
  </si>
  <si>
    <t>Marche</t>
  </si>
  <si>
    <t>Organisation commerciale</t>
  </si>
  <si>
    <t>Channel</t>
  </si>
  <si>
    <t>Typologie des partenaires</t>
  </si>
  <si>
    <t>Partners</t>
  </si>
  <si>
    <t>Dimentionnement du réseau</t>
  </si>
  <si>
    <t>Proposition de valeur</t>
  </si>
  <si>
    <t>Valeur</t>
  </si>
  <si>
    <t>Profit</t>
  </si>
  <si>
    <t>Profitabilité des partenaires</t>
  </si>
  <si>
    <t>Programmes partenaires</t>
  </si>
  <si>
    <t>Programme</t>
  </si>
  <si>
    <t>Message: A l'écoute de notre éco-système. Nous vous avons écouté. Ce que nos partenairs apprécient et souhaitent améliorer. Résulat de l'étude de perception</t>
  </si>
  <si>
    <t xml:space="preserve">Notre Stratégie globale à 3 ans ; Pourquoi un ecosystème ? Nos Attentes vis à vis de l'Ecosystème; Le poids des partenaires dans notre business model  ( CA, #clients, pays, etc … ). Les perspectives de revenu pour nos partenaires. </t>
  </si>
  <si>
    <t>Description business de l'offre; Positionnement Must have.  Nos offres correspondent aux attentes des partenaires. les Complémentarités et périmètre d'intervention des partenaires</t>
  </si>
  <si>
    <t>Positionnement de l'offre</t>
  </si>
  <si>
    <t>Les marchés prioriatires à couvrir par les partenaires. Plan commercial par marché</t>
  </si>
  <si>
    <t>Marchés cibles</t>
  </si>
  <si>
    <t>Organisation commerciale et service / France et International / Définition des règles de fonctionnement entre direct et indirect.</t>
  </si>
  <si>
    <t>Expliquer les types de partenaires qui composent l'ecosystème. Les critères du partenaire idéal</t>
  </si>
  <si>
    <t>Calcul du nombre optimal de partenaires . Approche sélective avec des partenaires qui s'impliquent et jouent le jeu</t>
  </si>
  <si>
    <t>Pourquoi collaborer avec nous ?  avantages et bénéfices pour les partenaires</t>
  </si>
  <si>
    <t>Message: les partenaires sont profitables avec nos offres . Calcul du point mort et des perspectives de gain sur 3 ans</t>
  </si>
  <si>
    <t>Mode opératoire de notre collaboration : droits et devoirs réciproques</t>
  </si>
  <si>
    <t>Réussir</t>
  </si>
  <si>
    <t>outils destinés à faciliter la tracabilité des decisions prises par les acteurs du workshop</t>
  </si>
  <si>
    <t>00</t>
  </si>
  <si>
    <t>01</t>
  </si>
  <si>
    <t>02</t>
  </si>
  <si>
    <t>03</t>
  </si>
  <si>
    <t>04</t>
  </si>
  <si>
    <t>05</t>
  </si>
  <si>
    <t>06</t>
  </si>
  <si>
    <t>07</t>
  </si>
  <si>
    <t>08</t>
  </si>
  <si>
    <t>09</t>
  </si>
  <si>
    <t>10</t>
  </si>
  <si>
    <t>11</t>
  </si>
  <si>
    <t>Proposition valeur</t>
  </si>
  <si>
    <t>Nb caractere minimal pour passer au vert</t>
  </si>
  <si>
    <t>KPI</t>
  </si>
  <si>
    <t>Theme</t>
  </si>
  <si>
    <t>Mot Clef</t>
  </si>
  <si>
    <t>Action à Réaliser / Objectif attendu</t>
  </si>
  <si>
    <t>Créé le</t>
  </si>
  <si>
    <t>Pour le</t>
  </si>
  <si>
    <t>Caractéristiques d'une affaire moyenne</t>
  </si>
  <si>
    <t>Maintenance</t>
  </si>
  <si>
    <t>Autre</t>
  </si>
  <si>
    <t>Avant vente: Analyse , audit, conseil</t>
  </si>
  <si>
    <t>integration avec le SI client /Déployement/ Installation</t>
  </si>
  <si>
    <t>Formation des utilisateurs</t>
  </si>
  <si>
    <t>Formation des administrateurs</t>
  </si>
  <si>
    <t>Infogérance administration</t>
  </si>
  <si>
    <t xml:space="preserve">BIC: caractéristiques commerciales </t>
  </si>
  <si>
    <t>Grand compte</t>
  </si>
  <si>
    <t>PME</t>
  </si>
  <si>
    <t>TPE</t>
  </si>
  <si>
    <t>% grand compte / PME . Nbre de deals</t>
  </si>
  <si>
    <t>Longueur du cycle de vente. Après 1° qualification</t>
  </si>
  <si>
    <t>% aff. avec cahier des charges</t>
  </si>
  <si>
    <t xml:space="preserve">% affaires avec POC </t>
  </si>
  <si>
    <t>% affaires avec POC  payant</t>
  </si>
  <si>
    <t># jours pour un POC</t>
  </si>
  <si>
    <t>% d'affaires avec concurrence</t>
  </si>
  <si>
    <t>% couverture commerciale actuelle</t>
  </si>
  <si>
    <t>% de cas où la solution est vendue comme une brique dans un projet plus global</t>
  </si>
  <si>
    <t>% affaires abandonnées, pas au bout</t>
  </si>
  <si>
    <t>% affaires signées grace à un POC</t>
  </si>
  <si>
    <t>% de signature / succès ( Hit ratio )</t>
  </si>
  <si>
    <t xml:space="preserve">Raisons des succès </t>
  </si>
  <si>
    <t>Raisons des échecs</t>
  </si>
  <si>
    <t>Fait le</t>
  </si>
  <si>
    <t>Total</t>
  </si>
  <si>
    <t>Autres</t>
  </si>
  <si>
    <t>% service/licence</t>
  </si>
  <si>
    <t>Concurrence</t>
  </si>
  <si>
    <t>NE PAS TOUCHER §§§</t>
  </si>
  <si>
    <t>RCA</t>
  </si>
  <si>
    <t>Fixer les parametres du workshop</t>
  </si>
  <si>
    <t>Parametre</t>
  </si>
  <si>
    <t>Période Analyse</t>
  </si>
  <si>
    <t>Année de référence</t>
  </si>
  <si>
    <t>Vision à (ans)</t>
  </si>
  <si>
    <t xml:space="preserve">Apporter des leads et des projets </t>
  </si>
  <si>
    <t>Améliorer les taux de signature/succès</t>
  </si>
  <si>
    <t>Améliorer la valeur des paniers moyens</t>
  </si>
  <si>
    <t>Combattre la concurrence</t>
  </si>
  <si>
    <t>Améliorer la notoriété de la marque</t>
  </si>
  <si>
    <t>Passer les fourches caudines des achats</t>
  </si>
  <si>
    <t>Veille concurrence</t>
  </si>
  <si>
    <t>Etat d'avancement des ToDo</t>
  </si>
  <si>
    <t>A faire</t>
  </si>
  <si>
    <t>Terminé</t>
  </si>
  <si>
    <t>Statut</t>
  </si>
  <si>
    <t>Priorité</t>
  </si>
  <si>
    <t>Niveau Priorité ToDO</t>
  </si>
  <si>
    <t>2- Moyenne</t>
  </si>
  <si>
    <t>Rubriques</t>
  </si>
  <si>
    <t>Onglet N° Chronologiques</t>
  </si>
  <si>
    <t>N° 7 . Market environment</t>
  </si>
  <si>
    <t>La Société</t>
  </si>
  <si>
    <t>N°3 . Vision</t>
  </si>
  <si>
    <t>Solutions: positionnement marktg et commercial</t>
  </si>
  <si>
    <t>N° 11. Criticité</t>
  </si>
  <si>
    <t>Solutions: différenciateur vs concurrence</t>
  </si>
  <si>
    <t>N°12.  Concurrence</t>
  </si>
  <si>
    <t>Solutions: périmètre d'intervention des partenaires CA induit sur une affaire moyenne</t>
  </si>
  <si>
    <t>N°4 . BIC</t>
  </si>
  <si>
    <t>Solutions adaptées aux partenaires</t>
  </si>
  <si>
    <t>N°10 Channel ready</t>
  </si>
  <si>
    <t>Marchés cibles pour les partenaires: type de prospects, interlocuteurs</t>
  </si>
  <si>
    <t>Stratégie partenaire</t>
  </si>
  <si>
    <t>Attentes  vis-à-vis des partenaires</t>
  </si>
  <si>
    <t xml:space="preserve">Type de partenaires </t>
  </si>
  <si>
    <t>N°18 Profitabilité partenaires</t>
  </si>
  <si>
    <t>Plan de démarrage</t>
  </si>
  <si>
    <t>Décideurs à Cibler</t>
  </si>
  <si>
    <t>DSI</t>
  </si>
  <si>
    <t>Grands comptes</t>
  </si>
  <si>
    <t>ETI</t>
  </si>
  <si>
    <t>Quelques uns avec le bon profil</t>
  </si>
  <si>
    <t>Criteres d'affectation</t>
  </si>
  <si>
    <t>Revenue de l'affaire</t>
  </si>
  <si>
    <t xml:space="preserve">Base installée </t>
  </si>
  <si>
    <t>Taille du client</t>
  </si>
  <si>
    <t>Proximité géo</t>
  </si>
  <si>
    <t xml:space="preserve">Compétences métiers </t>
  </si>
  <si>
    <t xml:space="preserve">Certications vs Complexité </t>
  </si>
  <si>
    <t>Source Leads</t>
  </si>
  <si>
    <t>Revendeurs</t>
  </si>
  <si>
    <t>Routes to Market</t>
  </si>
  <si>
    <t>Sources de Conflits</t>
  </si>
  <si>
    <t>SOURCE DE CONFLITS</t>
  </si>
  <si>
    <t>Comments</t>
  </si>
  <si>
    <t>Votre Score</t>
  </si>
  <si>
    <t>Maxi score</t>
  </si>
  <si>
    <t>Règles de reconnaissance sur les Affaires internationales</t>
  </si>
  <si>
    <t>Claridfication des missions  des channel managers</t>
  </si>
  <si>
    <t>Claridfication des KPIs des channel managers</t>
  </si>
  <si>
    <t>Homogénéité et transparence des conditions standards de remise aux partenaires</t>
  </si>
  <si>
    <t>Stratégie de prix et de remises claires, transparentes, cohérentes et communiquées</t>
  </si>
  <si>
    <t xml:space="preserve">Gouvernance et définition des rôles et responsabilités entre vous et vos partenaires </t>
  </si>
  <si>
    <t>Règles des relations Direct-Indirect sur une affaire</t>
  </si>
  <si>
    <t>Clarification du process d'affectation des leads aux partenaires</t>
  </si>
  <si>
    <t>Clarification du process d'enregistrement des leads</t>
  </si>
  <si>
    <t>Relationship Services-Partners</t>
  </si>
  <si>
    <t>Partner Charter</t>
  </si>
  <si>
    <t>Contrats partenaires</t>
  </si>
  <si>
    <t>Droits et devoirs / engagements réciproques</t>
  </si>
  <si>
    <t>Teaming Agreement</t>
  </si>
  <si>
    <t>Entre partenaires et commerciaux directs /précise les règles du jeu ( responsabilités, périmètres, CA, gain … )</t>
  </si>
  <si>
    <t>Overdistribution</t>
  </si>
  <si>
    <t>Risque d'avoir trop de partenaires</t>
  </si>
  <si>
    <t xml:space="preserve">Recruitment plan </t>
  </si>
  <si>
    <t>Assure la cohérence de la couverture commerciale par les partenaires</t>
  </si>
  <si>
    <t>Facteurs Critiques Succès</t>
  </si>
  <si>
    <t>Nb Point Maxi</t>
  </si>
  <si>
    <t>Positionnement prix</t>
  </si>
  <si>
    <t>Easy to do business with</t>
  </si>
  <si>
    <t>Notoriété Reputation</t>
  </si>
  <si>
    <t>Positionnement vs concurrence</t>
  </si>
  <si>
    <t>Mission et KPI's clairs</t>
  </si>
  <si>
    <t>Outils de pilotage</t>
  </si>
  <si>
    <t>Soutien de tous les départements</t>
  </si>
  <si>
    <t>Extranet partenaire</t>
  </si>
  <si>
    <t>Business plan</t>
  </si>
  <si>
    <t>Outils de pilotage ( forecast, leads… )</t>
  </si>
  <si>
    <t>Totalisation</t>
  </si>
  <si>
    <t>% obtenu</t>
  </si>
  <si>
    <t>Engagements réciproques</t>
  </si>
  <si>
    <t>Ressource marktg</t>
  </si>
  <si>
    <t>Engagement de résultat pour réaliser x affaires minimum</t>
  </si>
  <si>
    <t>Achat de services Conseil / expertise sur projets complexes</t>
  </si>
  <si>
    <t>Support Commercial</t>
  </si>
  <si>
    <t>Insertion dans le catalogue partenaire</t>
  </si>
  <si>
    <t>Logo partenaire</t>
  </si>
  <si>
    <t>Support aux évènements partenaires</t>
  </si>
  <si>
    <t>Co-Marketing conjoint</t>
  </si>
  <si>
    <t>Presse  annonce du partenariat</t>
  </si>
  <si>
    <t>Partnerflash et newsletters</t>
  </si>
  <si>
    <t>Campaign in a box ( email )</t>
  </si>
  <si>
    <t>Goodies</t>
  </si>
  <si>
    <t>Diplome + plaque certified</t>
  </si>
  <si>
    <t>Support Marketing</t>
  </si>
  <si>
    <t>Acces à la roadmap produit</t>
  </si>
  <si>
    <t>Accès au support hot line</t>
  </si>
  <si>
    <t>Accès au support expert services</t>
  </si>
  <si>
    <t>Webinars</t>
  </si>
  <si>
    <t>Support Technique</t>
  </si>
  <si>
    <t>elearning et Web based formation</t>
  </si>
  <si>
    <t>Support Formation</t>
  </si>
  <si>
    <t>Ecarts</t>
  </si>
  <si>
    <t>Note Max 10</t>
  </si>
  <si>
    <t>Robustesse de la solution</t>
  </si>
  <si>
    <t>Facilité de MAJ des nouvelles versions</t>
  </si>
  <si>
    <t>Facilité de démarrage pour un client</t>
  </si>
  <si>
    <t>Facilité de formation d'un client</t>
  </si>
  <si>
    <t>Besoin d'assistance sur les 3 premières affaires</t>
  </si>
  <si>
    <t>Escalades process</t>
  </si>
  <si>
    <t>Références clients visitables</t>
  </si>
  <si>
    <t>Souplesse adaptation du pricing</t>
  </si>
  <si>
    <t>Acceptation du canal Partenaire par les clients</t>
  </si>
  <si>
    <t>Niveau de notoriété du produit</t>
  </si>
  <si>
    <t>Business</t>
  </si>
  <si>
    <t>Critères Techniques</t>
  </si>
  <si>
    <t>Critères retenus par 
les partenaires</t>
  </si>
  <si>
    <t>% Obtenu</t>
  </si>
  <si>
    <t>Easy à comprendre pour un "bon" partenaire</t>
  </si>
  <si>
    <t>Easy à vendre</t>
  </si>
  <si>
    <t>Easy à maintenir</t>
  </si>
  <si>
    <t>Easy à installer</t>
  </si>
  <si>
    <t>Easy à former les clients</t>
  </si>
  <si>
    <t>Easy à intégrer</t>
  </si>
  <si>
    <t>Easy à dupliquer / répéter</t>
  </si>
  <si>
    <t>Réputation de la solution</t>
  </si>
  <si>
    <t>Dynamisme du marché</t>
  </si>
  <si>
    <t>Renforce son image de marque</t>
  </si>
  <si>
    <t>Renforce sa base installée ( upsell )</t>
  </si>
  <si>
    <t>Acquerir de nouveaux clients</t>
  </si>
  <si>
    <t>Accéder à de nouveaux décideurs</t>
  </si>
  <si>
    <t>Apporte un argument différenciateur</t>
  </si>
  <si>
    <t>ROI et TCO faciles à démontrer</t>
  </si>
  <si>
    <t>Répond à des besoins critiques</t>
  </si>
  <si>
    <t>Ralentit sa concurrence</t>
  </si>
  <si>
    <t>Cheval de Troie</t>
  </si>
  <si>
    <t>Complète son offre</t>
  </si>
  <si>
    <t>Assure du revenu récurrent</t>
  </si>
  <si>
    <t>Votre contribution au développement du business du partenaire</t>
  </si>
  <si>
    <t xml:space="preserve">Stratégie agressive de Conquête: faire du parc , base client rapidement importante </t>
  </si>
  <si>
    <t xml:space="preserve">Stratégie de fidélisation et de développement des clients. Taux de fidélité/reconduction/ Upselling </t>
  </si>
  <si>
    <t>Bien positionnée versus la concurrence</t>
  </si>
  <si>
    <t>Simple et compréhensible pour un commercial de partenaire … et le client</t>
  </si>
  <si>
    <t>Modulaire en fonction des besoins</t>
  </si>
  <si>
    <t>Fonctions de base + options</t>
  </si>
  <si>
    <t>Chaque option correspond à un besoin client bien identifié</t>
  </si>
  <si>
    <t>Même liste de prix communiquée à tous les partenaires et au direct</t>
  </si>
  <si>
    <t>Conditions de remises transparentes pour les partenaires</t>
  </si>
  <si>
    <t>Règles du jeu identiques pour tous les partenaires</t>
  </si>
  <si>
    <t>Communiquée à tous les partenaires</t>
  </si>
  <si>
    <t>Formation des partenaires sur son utilisation</t>
  </si>
  <si>
    <t>Frais de mise en place</t>
  </si>
  <si>
    <t>Assistance expertise</t>
  </si>
  <si>
    <t>Formation</t>
  </si>
  <si>
    <t>Garantie</t>
  </si>
  <si>
    <t>Assurance</t>
  </si>
  <si>
    <t>Financement</t>
  </si>
  <si>
    <t>Paiement upfront, au démarrage, à échéance , après recette</t>
  </si>
  <si>
    <t>Eléments constitutifs de la liste de prix</t>
  </si>
  <si>
    <t xml:space="preserve">Possibilité de Contrôle via le Support </t>
  </si>
  <si>
    <t>Obligation contractuelle d'audits de contrôle périodiques</t>
  </si>
  <si>
    <t xml:space="preserve">Redevance annuelle revalorisée en fonction du nombre de users réels / nombre de process </t>
  </si>
  <si>
    <t>Contrôle du pricing</t>
  </si>
  <si>
    <t>Durée / renouvellement</t>
  </si>
  <si>
    <t>renouvellement annuel gratuit ou payant au regard de la déclaration du client / partenaire</t>
  </si>
  <si>
    <t>licence à durée illimitée avec obligation de renouvellement annuel moyennant le paiement de la redevance de maintenance + déclaratif des applications</t>
  </si>
  <si>
    <t>Mode de pricing</t>
  </si>
  <si>
    <t>Prix psychologique</t>
  </si>
  <si>
    <t>Stratégie de prix</t>
  </si>
  <si>
    <t>Elements de base</t>
  </si>
  <si>
    <t>Signature</t>
  </si>
  <si>
    <t>Support Niveau 1</t>
  </si>
  <si>
    <t>RFA . Options en fin d'année</t>
  </si>
  <si>
    <t>100% Autonome sur les leads</t>
  </si>
  <si>
    <t xml:space="preserve">Channel ready </t>
  </si>
  <si>
    <t>2eme Analyse par</t>
  </si>
  <si>
    <t>1ere Analyse par</t>
  </si>
  <si>
    <t>Support</t>
  </si>
  <si>
    <t>Parts de marché (en %)</t>
  </si>
  <si>
    <t>dont Indirect 
(en %)</t>
  </si>
  <si>
    <t>Chiffre d'affaires
(en K€)</t>
  </si>
  <si>
    <t>Leurs Plus "Produit / Offre"</t>
  </si>
  <si>
    <t>Leurs Moins "Produit / Offre"</t>
  </si>
  <si>
    <t>Banque</t>
  </si>
  <si>
    <t>Energie</t>
  </si>
  <si>
    <t>Admin/ Gouv</t>
  </si>
  <si>
    <t>Collect Terr</t>
  </si>
  <si>
    <t>Défense</t>
  </si>
  <si>
    <t>Industrie Process</t>
  </si>
  <si>
    <t>Industrie discrete</t>
  </si>
  <si>
    <t>Real estate</t>
  </si>
  <si>
    <t>Retail</t>
  </si>
  <si>
    <t>Distribution généralisé</t>
  </si>
  <si>
    <t>Telco</t>
  </si>
  <si>
    <t xml:space="preserve">Service </t>
  </si>
  <si>
    <t>Santé</t>
  </si>
  <si>
    <t>Transport</t>
  </si>
  <si>
    <t>Labo analyse</t>
  </si>
  <si>
    <t>Media</t>
  </si>
  <si>
    <t>NTIC</t>
  </si>
  <si>
    <t>Agro alim</t>
  </si>
  <si>
    <t>BTP</t>
  </si>
  <si>
    <t>Horeca</t>
  </si>
  <si>
    <t>Fédérations</t>
  </si>
  <si>
    <t>Potentiel Marché et Probabilité Succés
du marché</t>
  </si>
  <si>
    <t>Prof Libéral Règlementée</t>
  </si>
  <si>
    <t>Tres peu</t>
  </si>
  <si>
    <t>peu</t>
  </si>
  <si>
    <t>Moyen</t>
  </si>
  <si>
    <t>Gros</t>
  </si>
  <si>
    <t>Tres Gros</t>
  </si>
  <si>
    <t>Très Dur</t>
  </si>
  <si>
    <t>Dur</t>
  </si>
  <si>
    <t>Facile</t>
  </si>
  <si>
    <t>Tres Facile</t>
  </si>
  <si>
    <t>Potentiel marché
(valeur)</t>
  </si>
  <si>
    <t>Nb Partners déjà actifs</t>
  </si>
  <si>
    <t>Effort recrutement</t>
  </si>
  <si>
    <t>IDF</t>
  </si>
  <si>
    <t>Rhone Alpes</t>
  </si>
  <si>
    <t>Pays de la Loire</t>
  </si>
  <si>
    <t>PACA</t>
  </si>
  <si>
    <t>Nord Pas de Calais</t>
  </si>
  <si>
    <t>Bretagne</t>
  </si>
  <si>
    <t>Aquitaine</t>
  </si>
  <si>
    <t>Centre</t>
  </si>
  <si>
    <t>Midi Pyrénées</t>
  </si>
  <si>
    <t>Alsace</t>
  </si>
  <si>
    <t>Picardie</t>
  </si>
  <si>
    <t>Languedoc Roussillon</t>
  </si>
  <si>
    <t>Haute Normandie</t>
  </si>
  <si>
    <t>Basse Normandie</t>
  </si>
  <si>
    <t>Bourgogne</t>
  </si>
  <si>
    <t>Poitou Charentes</t>
  </si>
  <si>
    <t>Auvergne</t>
  </si>
  <si>
    <t>Champagne Ardennes</t>
  </si>
  <si>
    <t>Franche Comté</t>
  </si>
  <si>
    <t>Limousin</t>
  </si>
  <si>
    <t>UK</t>
  </si>
  <si>
    <t>Germany</t>
  </si>
  <si>
    <t>France</t>
  </si>
  <si>
    <t>Italy</t>
  </si>
  <si>
    <t>Spain Portgl</t>
  </si>
  <si>
    <t>Suisse</t>
  </si>
  <si>
    <t>Dom Tom</t>
  </si>
  <si>
    <t>Russia</t>
  </si>
  <si>
    <t>benelux</t>
  </si>
  <si>
    <t>North Africa</t>
  </si>
  <si>
    <t>Sub Saha. Africa</t>
  </si>
  <si>
    <t>China</t>
  </si>
  <si>
    <t>Asia Pacific</t>
  </si>
  <si>
    <t>North America</t>
  </si>
  <si>
    <t>South America</t>
  </si>
  <si>
    <t>Australia</t>
  </si>
  <si>
    <t>Brasil</t>
  </si>
  <si>
    <t>India</t>
  </si>
  <si>
    <t>Croatia +++</t>
  </si>
  <si>
    <t>Middle East</t>
  </si>
  <si>
    <t>Poland</t>
  </si>
  <si>
    <t>Nordics</t>
  </si>
  <si>
    <t>Esatern Eur</t>
  </si>
  <si>
    <t>Turkey</t>
  </si>
  <si>
    <t>0-Non nécessaire</t>
  </si>
  <si>
    <t>1-A traiter</t>
  </si>
  <si>
    <t>2-En cours</t>
  </si>
  <si>
    <t>3-A revalider</t>
  </si>
  <si>
    <t>4-Validé</t>
  </si>
  <si>
    <t xml:space="preserve">Business case client </t>
  </si>
  <si>
    <t>Démonstartion du ROI ou TCO</t>
  </si>
  <si>
    <t>Performance de vos singularités</t>
  </si>
  <si>
    <t>Performance de vos différenciateurs</t>
  </si>
  <si>
    <t>Pitch pour les produits par type d'interlocuteur</t>
  </si>
  <si>
    <t>Profil de vos clients ( early adopters … ) ?</t>
  </si>
  <si>
    <t xml:space="preserve">Les écoutez-vous systématiquement  ? </t>
  </si>
  <si>
    <t xml:space="preserve">Mesurez-vous la satisfaction de vos clients ? </t>
  </si>
  <si>
    <t xml:space="preserve">Ce qu'ils attendent dans les prochaines versions ? </t>
  </si>
  <si>
    <t xml:space="preserve">Ce qu'ils n'aiment pas dans votre solution ? </t>
  </si>
  <si>
    <t xml:space="preserve">Savez-vous ce qu'ils aiment dans votre solution ? </t>
  </si>
  <si>
    <t xml:space="preserve">Indicateurs / tableaux de bord de l'utilisation ? </t>
  </si>
  <si>
    <t xml:space="preserve">Au centre d'un process ? </t>
  </si>
  <si>
    <t>En mode autonome ou intégré dans un workflow</t>
  </si>
  <si>
    <t xml:space="preserve">En relation avec d'autres produits ? </t>
  </si>
  <si>
    <t xml:space="preserve">A quel moment de la journée, du mois, de l'année ?  </t>
  </si>
  <si>
    <t xml:space="preserve">Combien de temps par fonctionnalité ? </t>
  </si>
  <si>
    <t xml:space="preserve">Quelles fonctionnalités ils utilisent le + et - souvent ? </t>
  </si>
  <si>
    <t xml:space="preserve">Comment vos interlocuteurs sont-ils mesurés ? </t>
  </si>
  <si>
    <t xml:space="preserve">Usage de votre solution </t>
  </si>
  <si>
    <t xml:space="preserve">Satisfaction des clients </t>
  </si>
  <si>
    <t>Comment les clients vous ont connus ?</t>
  </si>
  <si>
    <t>Présence et virulence de la concurrence</t>
  </si>
  <si>
    <t>Le processus et circuit d'achat</t>
  </si>
  <si>
    <t xml:space="preserve">Positionnement "Must Have" </t>
  </si>
  <si>
    <t>TOTAL</t>
  </si>
  <si>
    <t>Statistiques</t>
  </si>
  <si>
    <t>Logistqiues</t>
  </si>
  <si>
    <t>Audit: contrôle et risques</t>
  </si>
  <si>
    <t xml:space="preserve">QSE </t>
  </si>
  <si>
    <t>DRH</t>
  </si>
  <si>
    <t>DG</t>
  </si>
  <si>
    <t xml:space="preserve">Grossistes </t>
  </si>
  <si>
    <t xml:space="preserve">Constructeurs </t>
  </si>
  <si>
    <t>Hébergeurs d'infrastructures, MSP. Marque blanche</t>
  </si>
  <si>
    <t>Hébergeurs d'infrastructures, MSP. Mode Revente</t>
  </si>
  <si>
    <t>Consultants indépendants</t>
  </si>
  <si>
    <t xml:space="preserve">Cabinets de conseil </t>
  </si>
  <si>
    <t>Constructeurs</t>
  </si>
  <si>
    <t>Hébergeurs</t>
  </si>
  <si>
    <t xml:space="preserve">Editeurs </t>
  </si>
  <si>
    <t>VARs nationaux</t>
  </si>
  <si>
    <t>VARs régionaux</t>
  </si>
  <si>
    <t xml:space="preserve">Distribution de masse ou sélective ? </t>
  </si>
  <si>
    <t>OEM</t>
  </si>
  <si>
    <t xml:space="preserve">Prescripteur / apporteur d'affaire </t>
  </si>
  <si>
    <t>Mode d'Alliance conjointe avec les commerciaux directs</t>
  </si>
  <si>
    <t>Mode de Revente</t>
  </si>
  <si>
    <t>Force de vente directe, ESN/SS2I, VARs, revendeurs, grossistes, hébergeurs, Editeurs complémentaires, constructeurs,  agrégateurs SaaS, consultants indépendants, cabinets de conseil, consultants indépendants, installateurs, ...</t>
  </si>
  <si>
    <t xml:space="preserve">Type de relations contractuelles </t>
  </si>
  <si>
    <t>Positionnement des partenaires sur les marchés</t>
  </si>
  <si>
    <t>Priorités</t>
  </si>
  <si>
    <t>Types de Partenaires</t>
  </si>
  <si>
    <t>Suivi client</t>
  </si>
  <si>
    <t>Développement</t>
  </si>
  <si>
    <t xml:space="preserve">Intégration </t>
  </si>
  <si>
    <t>Paramétrage personnalisation</t>
  </si>
  <si>
    <t>Installation déployement</t>
  </si>
  <si>
    <t>Proposition commerciale</t>
  </si>
  <si>
    <t xml:space="preserve">Démonstration </t>
  </si>
  <si>
    <t>Contact pour qualification et analyse des besoins</t>
  </si>
  <si>
    <t>Gestion et suivi des leads</t>
  </si>
  <si>
    <t>Génération de leads</t>
  </si>
  <si>
    <t>3. Après-vente</t>
  </si>
  <si>
    <t>2. Avant-vente et Vente</t>
  </si>
  <si>
    <t>1. Création portefeuille prospects</t>
  </si>
  <si>
    <t>Engagements business minimum par an du partenaire</t>
  </si>
  <si>
    <t>Portrait robot du partenaire idéal</t>
  </si>
  <si>
    <t>Nombre à recruter</t>
  </si>
  <si>
    <t>Nombre partenaires actifs dans 3 ans</t>
  </si>
  <si>
    <t>Nombre actuel actifs</t>
  </si>
  <si>
    <t>Besoins de recrutement</t>
  </si>
  <si>
    <t>Marge nette totale . Bottom line</t>
  </si>
  <si>
    <t>Frais accompagnement 1 et 2° affaires</t>
  </si>
  <si>
    <t>Frais d'adhésion, formation …</t>
  </si>
  <si>
    <t>Marge nette par affaire</t>
  </si>
  <si>
    <t>Investissement initial du partenaire</t>
  </si>
  <si>
    <t>Coûts de vente et marketing par affaire</t>
  </si>
  <si>
    <t>Coût des consultants</t>
  </si>
  <si>
    <t>Côut des commerciaux</t>
  </si>
  <si>
    <t>Coût du Lead ( contribution )</t>
  </si>
  <si>
    <t># jours</t>
  </si>
  <si>
    <t>CA client</t>
  </si>
  <si>
    <t>Rubriques de coûts</t>
  </si>
  <si>
    <t>Formation des commerciaux. Coûts d'immobilisation</t>
  </si>
  <si>
    <t>Coût d'adhésion au programme</t>
  </si>
  <si>
    <t># personnes</t>
  </si>
  <si>
    <t xml:space="preserve">Cette étape est cruciale. Elle démontre à votre partenaire ses espérances de gain , de CA et de marges sur une perspective de 3 ans. Elle permet de calculer son investissement initial et le nombre d'affaires à réaliser pour atteindre le point mort. </t>
  </si>
  <si>
    <t>CONTENU</t>
  </si>
  <si>
    <t>NOMBRE</t>
  </si>
  <si>
    <t xml:space="preserve">% </t>
  </si>
  <si>
    <t>Point mort # de partenaires</t>
  </si>
  <si>
    <t>Couts fixes:</t>
  </si>
  <si>
    <t>Key Metrics</t>
  </si>
  <si>
    <t>Coût de l'extranet partenaires ( conception, mises à jour, support, hébergement … )</t>
  </si>
  <si>
    <t>Ressources Techniques Hot line</t>
  </si>
  <si>
    <t>Nombre</t>
  </si>
  <si>
    <t>Choix 
(P1, P2, P3)</t>
  </si>
  <si>
    <t>PME
 (50 à 
249 P)</t>
  </si>
  <si>
    <t>ETI 
(250 à 
5 000 P)</t>
  </si>
  <si>
    <t>TPE 
(&lt; 50 à P)</t>
  </si>
  <si>
    <t>Web Agencies</t>
  </si>
  <si>
    <t>Estimation de l'investissement initial pour un partenaire</t>
  </si>
  <si>
    <t>Poste de coûts</t>
  </si>
  <si>
    <t>Salaire/jour chargé</t>
  </si>
  <si>
    <t>Estimation du coût de vente et marketing pour gagner une affaire</t>
  </si>
  <si>
    <t>Sous-Total</t>
  </si>
  <si>
    <t>Estimation du point mort / seuil de rentabilité</t>
  </si>
  <si>
    <t>Date de participation</t>
  </si>
  <si>
    <t>libellé de la 1ere offre/canal</t>
  </si>
  <si>
    <t>libellé de la 3eme offre/canal</t>
  </si>
  <si>
    <t>libellé de la 2eme offre/canal</t>
  </si>
  <si>
    <t>Faible</t>
  </si>
  <si>
    <t xml:space="preserve">Vos ambitions </t>
  </si>
  <si>
    <t>1. Go to Market strategy : améliorer le CA gràce à une plus forte présence commerciale</t>
  </si>
  <si>
    <t>Attaquer le marché des ETI ( 250 à 5000 employés )</t>
  </si>
  <si>
    <t>Attaquer le marché des grands comptes ( &gt; 5000 employés )</t>
  </si>
  <si>
    <t xml:space="preserve">Attaquer le marché PME/PMI ( 50 à 250 employés ) </t>
  </si>
  <si>
    <t xml:space="preserve">Attaquer le marché des TPE  ( &lt; 50 employés ) </t>
  </si>
  <si>
    <t>Maillage sectoriel ou vertical. Améliorer une meilleure couverture des marchés sectoriels / métiers / verticaux</t>
  </si>
  <si>
    <t xml:space="preserve">2. Mieux répondre aux demandes des clients </t>
  </si>
  <si>
    <t xml:space="preserve">Maillage géographique. Obtenir une meilleure couverture géographique du territoire: </t>
  </si>
  <si>
    <t>3. Améliorer l'efficacité commerciale</t>
  </si>
  <si>
    <t>Quels sont les messages clefs qui définissent votre stratégie partenaire ?</t>
  </si>
  <si>
    <t>Sous total</t>
  </si>
  <si>
    <t>Sous-total</t>
  </si>
  <si>
    <t xml:space="preserve"># jours pour visites, démo, proposition, négociation … </t>
  </si>
  <si>
    <t>Modernité, stabilité et évolution contrôlée de la technologie utilisée</t>
  </si>
  <si>
    <t>Différenciations techniques avec les concurrents</t>
  </si>
  <si>
    <t>Respect des standards / normes du marché</t>
  </si>
  <si>
    <t>Modularité et "scalabilité "</t>
  </si>
  <si>
    <t>Criticité des bogues</t>
  </si>
  <si>
    <t>Interopérabilité avec d'autres solutions</t>
  </si>
  <si>
    <t>Facilité d'intégration avec le SI client</t>
  </si>
  <si>
    <t>Performances d'affichage</t>
  </si>
  <si>
    <t>Niveaux de sécurité</t>
  </si>
  <si>
    <t>Convivialité du dialogue Homme-Machine</t>
  </si>
  <si>
    <t>Facilité de déployement en multisites</t>
  </si>
  <si>
    <t>Facilité d'Installation du logiciel</t>
  </si>
  <si>
    <t>Facilité de personnalisation / paramétrage d'un client</t>
  </si>
  <si>
    <t xml:space="preserve">Facilité d'apprentissage pour un commercial </t>
  </si>
  <si>
    <t>Facilité d'intégration avec le SI des clients</t>
  </si>
  <si>
    <t>Documentation ( tech  ) pour les partenaires</t>
  </si>
  <si>
    <t>Niveau d'assistance sur les 1° affaires</t>
  </si>
  <si>
    <t xml:space="preserve">Qualité et réactivité du support envers les partenaires </t>
  </si>
  <si>
    <t>Documentation en langues étrangères</t>
  </si>
  <si>
    <t>Facilité de localisation de la solution</t>
  </si>
  <si>
    <t>Multilangues</t>
  </si>
  <si>
    <t>Positionnement du prix liste officielle</t>
  </si>
  <si>
    <t>Niveau de Commission aux partenaires</t>
  </si>
  <si>
    <t xml:space="preserve">Lister les peines de vos interlocuteurs </t>
  </si>
  <si>
    <t>Quelles solutions vous apportez ? Impacts positifs de vos solutions / Effet bonheur sur l'individu et son business</t>
  </si>
  <si>
    <t>Donner à vos partenaires les arguments défensifs et offensifs vis-à-vis de vos compétiteurs</t>
  </si>
  <si>
    <t>Processus d'achat des clients</t>
  </si>
  <si>
    <t>Identification des "peines" de chaque interlocuteur</t>
  </si>
  <si>
    <t xml:space="preserve">Idée précise des solutions attendues par ces interlocuteurs </t>
  </si>
  <si>
    <t xml:space="preserve">Couverture actuelle de ces besoins par vos solutions </t>
  </si>
  <si>
    <t>Note Maxi
 10</t>
  </si>
  <si>
    <t>Pitch société</t>
  </si>
  <si>
    <t xml:space="preserve">Business </t>
  </si>
  <si>
    <t xml:space="preserve">Easy to use and to do business with </t>
  </si>
  <si>
    <t>Back Office</t>
  </si>
  <si>
    <t>Tres faible</t>
  </si>
  <si>
    <t>Important</t>
  </si>
  <si>
    <t>Tres important</t>
  </si>
  <si>
    <t xml:space="preserve">Potentiel Marché et Probabilité de Succés
</t>
  </si>
  <si>
    <t>Facilité de signature
 (couleur)</t>
  </si>
  <si>
    <t>Très Facile</t>
  </si>
  <si>
    <t>Il est fondamental d'expliquer à vos partenaires les marchés que vous ciblez en priorité et le nombre de partenaires nécessaire pour couvrir ces marchés. Les marchés prioritaires sont déterminés par leur potentiel et d'autre part la probabilité de réussite de signatures</t>
  </si>
  <si>
    <t>Poids éco des régions 
( 50 à 250  salariés )</t>
  </si>
  <si>
    <t xml:space="preserve">DAF </t>
  </si>
  <si>
    <t>Ventes</t>
  </si>
  <si>
    <t>Marketing</t>
  </si>
  <si>
    <t>Production</t>
  </si>
  <si>
    <t xml:space="preserve">Achats </t>
  </si>
  <si>
    <t>CRM</t>
  </si>
  <si>
    <t>SIRH</t>
  </si>
  <si>
    <t>Collaboratif</t>
  </si>
  <si>
    <t>GMAO</t>
  </si>
  <si>
    <t>GPAO</t>
  </si>
  <si>
    <t>Telecom</t>
  </si>
  <si>
    <t>Sécurité</t>
  </si>
  <si>
    <t>Il est fondamental d'expliquer à vos partenaires les marchés que vous ciblez et le nombre de partenaires pour couvrir ces marchés. Les marchés prioritaires sont déterminés par leur potentiel et d'autre part la probabilité de réussite de signature sur chacun d'eux</t>
  </si>
  <si>
    <t>facilités de Signature
 (couleur)</t>
  </si>
  <si>
    <t>Channel Managers</t>
  </si>
  <si>
    <t># Channel managers nécessaires</t>
  </si>
  <si>
    <t># Consultants avant Vente</t>
  </si>
  <si>
    <t>Nb de partenaires ciblés</t>
  </si>
  <si>
    <t># Partenaires gérés par un channel manager</t>
  </si>
  <si>
    <t>Définition des territoires entre vente directe et partenaires</t>
  </si>
  <si>
    <t>Clarifier l'affectation des territoires</t>
  </si>
  <si>
    <t>Valider les responsabilités et la valeur ajoutée de chaque partie</t>
  </si>
  <si>
    <t>Déterminer la mission et critères de mesure alignés avec la stratégie et les objectifs</t>
  </si>
  <si>
    <t>Définir des critères de performance autres que le simple CA</t>
  </si>
  <si>
    <t>Définir les rôles et responsabilités tout au long du cycle commercial et d'installation</t>
  </si>
  <si>
    <t>Définirpar avance la répartition du CA et commission : teaming agreement</t>
  </si>
  <si>
    <t xml:space="preserve">Publier vos règles d'affectation des leads aux partenaires </t>
  </si>
  <si>
    <t>Définir le positionnement des Services vav des partenaires . Idem sur une affaire ( Teaming agreement )</t>
  </si>
  <si>
    <t>Document d'engagement de la Société / Règles d'éthique et de fonctionnement</t>
  </si>
  <si>
    <t>ESN ( SS2I )</t>
  </si>
  <si>
    <t>Priorité aux éditeurs de solutions complémentaires en mode OEM</t>
  </si>
  <si>
    <t>Définir le qui fait quoi tout au long du cycle. Soyez précis pour définir les rôles et responsabilités par type de partenaires . Cela aura une incidence sur vos contrats et programmes.</t>
  </si>
  <si>
    <t xml:space="preserve">Définir le portrait robot du partenaire idéal et son niveau d'engagement minimum.  Ces critères vous serviront pour recruter vos "bons" partenaires.  </t>
  </si>
  <si>
    <t>Force de vente directe</t>
  </si>
  <si>
    <t xml:space="preserve">Estimer le nombre de partenaires actifs dans 3 ans. Cette estimation sera utile pour établir votre plan de recrutement. </t>
  </si>
  <si>
    <t>Taille de l'équipe partenaires</t>
  </si>
  <si>
    <t>Publier le process d'enregistrement des leads … et le respecter !</t>
  </si>
  <si>
    <t>Définir les arguments pour lesquels un partenaire va travailler avec vous et non avec votre concurrent. Plus votre valeur ajoutée sera forte, plus vous serez stratégique pour son développement</t>
  </si>
  <si>
    <t>Aspects produit/solution: "easy to use and do business with"</t>
  </si>
  <si>
    <t>Lui permet de facturer ses services à Valeur ajoutée</t>
  </si>
  <si>
    <t>Intégration dans son organisation existante</t>
  </si>
  <si>
    <t>Améliore la productivité de ses consultants techniques</t>
  </si>
  <si>
    <t>Améliore la productivité de ses commerciaux</t>
  </si>
  <si>
    <t>S'intègre facilement avec son organisation en place</t>
  </si>
  <si>
    <t xml:space="preserve">Offre Complementaire à son catalogue </t>
  </si>
  <si>
    <t>Effort marketing marginal pour promouvoir l'offre</t>
  </si>
  <si>
    <t>Axe d'analyse de votre Valeur ajoutée perçue par les partenaires</t>
  </si>
  <si>
    <t>Easy to do business + Opportunités de développement pour les partenaires</t>
  </si>
  <si>
    <t>Best Practices d'une stratégie de prix</t>
  </si>
  <si>
    <t>Principes du pricing vav des partenaires</t>
  </si>
  <si>
    <t>Prix officel communiqué aux clients et aux partenaires</t>
  </si>
  <si>
    <t>Licence ou abonnement</t>
  </si>
  <si>
    <t xml:space="preserve">Moyen de contrôle des unités d'œuvre ? Sur simple déclaratif du client/partenaire ?  </t>
  </si>
  <si>
    <t xml:space="preserve">Quelle unité d'œuvre: #users, serveurs, pages, accès … ? </t>
  </si>
  <si>
    <t>CA &gt; Objectifs fixés. Palliers</t>
  </si>
  <si>
    <t>Nb certifiés &gt; objectifs</t>
  </si>
  <si>
    <t>Coûts Certifications des partenaires</t>
  </si>
  <si>
    <t>Marge par affaire</t>
  </si>
  <si>
    <t xml:space="preserve">soit </t>
  </si>
  <si>
    <t>du CA client</t>
  </si>
  <si>
    <t># affaires signées / an</t>
  </si>
  <si>
    <t>Rentabilité nette / CA client</t>
  </si>
  <si>
    <t xml:space="preserve">Investissement initial partenaire
CA net par affaire partenaire
Coût de vente et marketing partenaire
Marge nette  partenaire
Pourcentage de business récurrent partenaire
</t>
  </si>
  <si>
    <t>Exclusivité commerciale</t>
  </si>
  <si>
    <t># Ressources commerciales formées</t>
  </si>
  <si>
    <t># Ressources support level 1 formées</t>
  </si>
  <si>
    <t>Organisation du Partenaire</t>
  </si>
  <si>
    <t>Développement des Marchés prioritaires stipulés dans le business plan</t>
  </si>
  <si>
    <t xml:space="preserve">Respect de la gouvernance Business : biz plan, plan d'action trimestriel, revue de pipe mensuelle </t>
  </si>
  <si>
    <t xml:space="preserve">Mise en œuvre d'évènements marketing </t>
  </si>
  <si>
    <t>Désigner "One entry point" : langage français, anglais</t>
  </si>
  <si>
    <t>Assurer le support level 1 minimum</t>
  </si>
  <si>
    <t>Engagement du Partenaire</t>
  </si>
  <si>
    <t>Contribution du Partenaire</t>
  </si>
  <si>
    <t xml:space="preserve">Paiement annuel du coût d'adhésion </t>
  </si>
  <si>
    <t>Implication de la DG</t>
  </si>
  <si>
    <t>Fournir l'annuaire des interlocuteurs concernés: ventes, marktg, R&amp;D, support, admin …</t>
  </si>
  <si>
    <t xml:space="preserve">Invitations aux évènements marktg et commerciaux </t>
  </si>
  <si>
    <t xml:space="preserve">Respect de la charte graphique / logo </t>
  </si>
  <si>
    <t xml:space="preserve">Présence de l'offre sur son site web </t>
  </si>
  <si>
    <t>Autoriser une enquête de satisfaction clients par le fournisseur</t>
  </si>
  <si>
    <t>Acquisition de Compétences</t>
  </si>
  <si>
    <t>Publication annuelle de # success stories client</t>
  </si>
  <si>
    <t xml:space="preserve"># Ressources avant vente </t>
  </si>
  <si>
    <t># Ressource télé marktg pour génération leads</t>
  </si>
  <si>
    <t>Suivi du programme de Formation pour les commerciaux</t>
  </si>
  <si>
    <t>Suivi du programme de Certification pour les commerciaux</t>
  </si>
  <si>
    <t>Suivi du programme de Certification pour les Ingénieurs Services</t>
  </si>
  <si>
    <t>Suivi du programme de Formation pour les ingénieurs Services</t>
  </si>
  <si>
    <t xml:space="preserve">Utilisation et Installation interne de la solution pour formation, bench mark … </t>
  </si>
  <si>
    <t>Affectation d'un responsable commercial</t>
  </si>
  <si>
    <t>Un Partner Sales kit ( contrats, prix, outils comemrciaux, marketing … )</t>
  </si>
  <si>
    <t>Support commercial sur les premières affaires</t>
  </si>
  <si>
    <t>Accès à une plateforme de démo et de test</t>
  </si>
  <si>
    <t xml:space="preserve">Revue mensuelle des affaires </t>
  </si>
  <si>
    <t>Suivi des plans d'actions trimestriels</t>
  </si>
  <si>
    <t>Construction conjointe d'un business plan annuel</t>
  </si>
  <si>
    <t xml:space="preserve">Accès à une base de connaissances techniques </t>
  </si>
  <si>
    <t># de journées de support sur les premières installations clients</t>
  </si>
  <si>
    <t>Mise à disposition d'un "Technical Partner Kit" : outils, méthode, documentation …</t>
  </si>
  <si>
    <t xml:space="preserve">Organisation régulière de Webinars sur des sujets techniques </t>
  </si>
  <si>
    <t>Ticketting. Suivi des demandes</t>
  </si>
  <si>
    <t>Mode opératoire Guide de déploiement / Mise en œuvre</t>
  </si>
  <si>
    <t xml:space="preserve">Process de Transmission Leads </t>
  </si>
  <si>
    <t>Process de déclaration de leads</t>
  </si>
  <si>
    <t xml:space="preserve">Idem sur Réseaux sociaux </t>
  </si>
  <si>
    <t>Réunion annuelle des partenaires</t>
  </si>
  <si>
    <t>Réunion trimestrielle des partenaires</t>
  </si>
  <si>
    <t>Forum partenaire / FAQ</t>
  </si>
  <si>
    <t>Webinars réguliers</t>
  </si>
  <si>
    <t>Base de données prospects</t>
  </si>
  <si>
    <t>Script de prospection</t>
  </si>
  <si>
    <t>Validation des success stories clients</t>
  </si>
  <si>
    <t>Phoning sur base partenaire</t>
  </si>
  <si>
    <t xml:space="preserve">Programme et catalogue de formation commerciale </t>
  </si>
  <si>
    <t>Programme et catalogue de formation technique</t>
  </si>
  <si>
    <t>Programme et catalogue pour la certification</t>
  </si>
  <si>
    <t xml:space="preserve">Formation sur le terrain </t>
  </si>
  <si>
    <t>Cursus de "solution selling"</t>
  </si>
  <si>
    <t>Engagements et investissements réciproques, dans la durée, pour une relation gagnant-gagnant 
Engagements du partenaires sur les résultats et les moyens
Engagements de l'éditeur sur les moyens ( ie, infrastructure extranet ) et le suivi régulier</t>
  </si>
  <si>
    <t>Commentaires / KPIs</t>
  </si>
  <si>
    <r>
      <rPr>
        <b/>
        <sz val="12"/>
        <rFont val="Calibri"/>
        <family val="2"/>
        <scheme val="minor"/>
      </rPr>
      <t>Services de proximité.</t>
    </r>
    <r>
      <rPr>
        <sz val="12"/>
        <rFont val="Calibri"/>
        <family val="2"/>
        <scheme val="minor"/>
      </rPr>
      <t xml:space="preserve"> Proposer aux clients un service proche de chez lui, compétent et réactif </t>
    </r>
  </si>
  <si>
    <r>
      <rPr>
        <b/>
        <sz val="12"/>
        <color theme="1"/>
        <rFont val="Calibri"/>
        <family val="2"/>
        <scheme val="minor"/>
      </rPr>
      <t>Stratégie et Volonté</t>
    </r>
    <r>
      <rPr>
        <sz val="12"/>
        <color theme="1"/>
        <rFont val="Calibri"/>
        <family val="2"/>
        <scheme val="minor"/>
      </rPr>
      <t xml:space="preserve"> Notre stratégie partenaire est reconnue par toute la Direction générale comme un pilier de notre stratégie globale</t>
    </r>
  </si>
  <si>
    <r>
      <rPr>
        <b/>
        <sz val="12"/>
        <color theme="1"/>
        <rFont val="Calibri"/>
        <family val="2"/>
        <scheme val="minor"/>
      </rPr>
      <t>Développement.</t>
    </r>
    <r>
      <rPr>
        <sz val="12"/>
        <color theme="1"/>
        <rFont val="Calibri"/>
        <family val="2"/>
        <scheme val="minor"/>
      </rPr>
      <t xml:space="preserve"> Les partenaires sont clés pour notre développement. Notre croissance se fera par une meilleure couverture commerciale assurée par nos partenaires</t>
    </r>
  </si>
  <si>
    <r>
      <rPr>
        <b/>
        <sz val="12"/>
        <color theme="1"/>
        <rFont val="Calibri"/>
        <family val="2"/>
        <scheme val="minor"/>
      </rPr>
      <t xml:space="preserve">Durée: </t>
    </r>
    <r>
      <rPr>
        <sz val="12"/>
        <color theme="1"/>
        <rFont val="Calibri"/>
        <family val="2"/>
        <scheme val="minor"/>
      </rPr>
      <t>Nous nous engageons sur une stratégie long terme avec les partenaires</t>
    </r>
  </si>
  <si>
    <r>
      <rPr>
        <b/>
        <sz val="12"/>
        <color theme="1"/>
        <rFont val="Calibri"/>
        <family val="2"/>
        <scheme val="minor"/>
      </rPr>
      <t>Distribution sélective:</t>
    </r>
    <r>
      <rPr>
        <sz val="12"/>
        <color theme="1"/>
        <rFont val="Calibri"/>
        <family val="2"/>
        <scheme val="minor"/>
      </rPr>
      <t xml:space="preserve"> Peu de partenaires mais les meilleurs du marché et fortement impliqués et engagés
</t>
    </r>
  </si>
  <si>
    <t>CA moyen par partenaire</t>
  </si>
  <si>
    <r>
      <rPr>
        <b/>
        <sz val="12"/>
        <color theme="1"/>
        <rFont val="Calibri"/>
        <family val="2"/>
        <scheme val="minor"/>
      </rPr>
      <t>Stratégie d'engagement mutuel:</t>
    </r>
    <r>
      <rPr>
        <sz val="12"/>
        <color theme="1"/>
        <rFont val="Calibri"/>
        <family val="2"/>
        <scheme val="minor"/>
      </rPr>
      <t xml:space="preserve"> Notre objectif est de créer avec nos partenaires une relation d'engagement profitable dans le cadre d'une stratégie gagnant-gagnant pour les deux parties</t>
    </r>
  </si>
  <si>
    <r>
      <rPr>
        <b/>
        <sz val="12"/>
        <color theme="1"/>
        <rFont val="Calibri"/>
        <family val="2"/>
        <scheme val="minor"/>
      </rPr>
      <t>Partenaires stratégiques:</t>
    </r>
    <r>
      <rPr>
        <sz val="12"/>
        <color theme="1"/>
        <rFont val="Calibri"/>
        <family val="2"/>
        <scheme val="minor"/>
      </rPr>
      <t xml:space="preserve"> Notre objectif est de développer des partenaires qui nous considèrent comme stratégiques pour leur propre développement  </t>
    </r>
  </si>
  <si>
    <r>
      <rPr>
        <b/>
        <sz val="12"/>
        <color theme="1"/>
        <rFont val="Calibri"/>
        <family val="2"/>
        <scheme val="minor"/>
      </rPr>
      <t>Channel Strategy</t>
    </r>
    <r>
      <rPr>
        <sz val="12"/>
        <color theme="1"/>
        <rFont val="Calibri"/>
        <family val="2"/>
        <scheme val="minor"/>
      </rPr>
      <t>: construire une organisation, un support et des programmes efficaces et adaptés aux attentes des partenaires</t>
    </r>
  </si>
  <si>
    <r>
      <rPr>
        <b/>
        <sz val="12"/>
        <color theme="1"/>
        <rFont val="Calibri"/>
        <family val="2"/>
        <scheme val="minor"/>
      </rPr>
      <t>Recrutement</t>
    </r>
    <r>
      <rPr>
        <sz val="12"/>
        <color theme="1"/>
        <rFont val="Calibri"/>
        <family val="2"/>
        <scheme val="minor"/>
      </rPr>
      <t>: collaborer avec les meilleurs partenaires du marché apportant les meilleures solutions aux clients</t>
    </r>
  </si>
  <si>
    <r>
      <rPr>
        <b/>
        <sz val="12"/>
        <color theme="1"/>
        <rFont val="Calibri"/>
        <family val="2"/>
        <scheme val="minor"/>
      </rPr>
      <t>Organisation:</t>
    </r>
    <r>
      <rPr>
        <sz val="12"/>
        <color theme="1"/>
        <rFont val="Calibri"/>
        <family val="2"/>
        <scheme val="minor"/>
      </rPr>
      <t xml:space="preserve"> Minimiser les conflits intercanaux entre les partenaires et entre force de vente directe et partenaires </t>
    </r>
  </si>
  <si>
    <r>
      <rPr>
        <b/>
        <sz val="12"/>
        <color theme="1"/>
        <rFont val="Calibri"/>
        <family val="2"/>
        <scheme val="minor"/>
      </rPr>
      <t>Profitabilité de nos partenaires:</t>
    </r>
    <r>
      <rPr>
        <sz val="12"/>
        <color theme="1"/>
        <rFont val="Calibri"/>
        <family val="2"/>
        <scheme val="minor"/>
      </rPr>
      <t xml:space="preserve"> Fournir aux partenaires une source importante de CA et de marge en les aidant à vendre leurs services et leur valeur ajoutée sur la base de notre plateforme</t>
    </r>
  </si>
  <si>
    <r>
      <rPr>
        <b/>
        <sz val="12"/>
        <color theme="1"/>
        <rFont val="Calibri"/>
        <family val="2"/>
        <scheme val="minor"/>
      </rPr>
      <t>Fluidite de la chaîne de valeur:</t>
    </r>
    <r>
      <rPr>
        <sz val="12"/>
        <color theme="1"/>
        <rFont val="Calibri"/>
        <family val="2"/>
        <scheme val="minor"/>
      </rPr>
      <t xml:space="preserve"> Assurer la satisfaction des clients, des partenaires et de nos commerciaux</t>
    </r>
  </si>
  <si>
    <t>Marché PME et ETI:  Les partenaires sont le premier canal pour addresser le marché  ETI</t>
  </si>
  <si>
    <t>Points forts et faibles, Opportunités et risques</t>
  </si>
  <si>
    <t>Conclusions du pré-bilan</t>
  </si>
  <si>
    <t>Coordonnées des participants</t>
  </si>
  <si>
    <t>Mise à jour des variables du workshop</t>
  </si>
  <si>
    <t xml:space="preserve">Sommaire du " Strategic Management WorkShop" </t>
  </si>
  <si>
    <t>Plan d'action issu du workshop</t>
  </si>
  <si>
    <t>Attentes du fournisseur vis-à-vis de ses partenaires</t>
  </si>
  <si>
    <t>Principes clefs de la stratégie partenariale</t>
  </si>
  <si>
    <t>Caractéristiques commerciales des offres</t>
  </si>
  <si>
    <t>Adéquation des offres aux attentes des partenaires</t>
  </si>
  <si>
    <t>Positionnement marketing des offres</t>
  </si>
  <si>
    <t>Argumentaire versus les peines des clients ciblés</t>
  </si>
  <si>
    <t>Analyse et Argumentaire concurrence</t>
  </si>
  <si>
    <t>Contenu des outils</t>
  </si>
  <si>
    <t>Détermination des secteurs verticaux prioritaires</t>
  </si>
  <si>
    <t>Détermination des géographies prioritaires</t>
  </si>
  <si>
    <t>Détermination des pays prioritaires</t>
  </si>
  <si>
    <t>Définition des rôles et responsabilités</t>
  </si>
  <si>
    <t>Portrait robot des partenaires idéaux</t>
  </si>
  <si>
    <t>Nombre de partenaires à recruter + engagements</t>
  </si>
  <si>
    <t>Vos arguments pour convaincre vos partenaires</t>
  </si>
  <si>
    <t>Validation de la stratégie de prix</t>
  </si>
  <si>
    <t>Calcul de la profitabilité et ROI pour vos partenaires</t>
  </si>
  <si>
    <t>Contenu du programme partenaire</t>
  </si>
  <si>
    <t>Points de vigilance pour la mise en œuvre</t>
  </si>
  <si>
    <t>1- Haute</t>
  </si>
  <si>
    <t>3-Faible</t>
  </si>
  <si>
    <t>Initiales</t>
  </si>
  <si>
    <t>Prénom - Nom</t>
  </si>
  <si>
    <t>Plan pour constituer la proposition de valeur. Renvoie aux différents onglets</t>
  </si>
  <si>
    <t>Responsable</t>
  </si>
  <si>
    <t>Supports</t>
  </si>
  <si>
    <t>Guide</t>
  </si>
  <si>
    <t>Reprendre le tableau dans son entier</t>
  </si>
  <si>
    <t>Reprendre les points démontrant que les partenaires font partie du biz model et sont incontournables pour le développement de la société</t>
  </si>
  <si>
    <t xml:space="preserve">Démontrer l'opportunité de business sur une affaire moyenne: CA total, CA pour le partenaire, commissions versées et CA récurrent . 
Démontrer les caractéristiques du cycle commercial </t>
  </si>
  <si>
    <t xml:space="preserve">Présenter à vos partenaires les caractéristiques business de votre offre. Ils pourront ainsi mieux  cerner les opportunités de business pour eux. </t>
  </si>
  <si>
    <t xml:space="preserve">Adéquation du produit aux attentes des partenaires. "Are you Channel Ready ?  Ils attendent 3 qualités essentielles : de la robustesse, de la facilité et de la marge ! </t>
  </si>
  <si>
    <t xml:space="preserve">Créer un plan d'action pour les points faibles. Renouveler cet exercice tous les 6 mois en interne et auprès de vos partenaires </t>
  </si>
  <si>
    <t>Reprendre les points fortset notamment la maîtrise des peines des interlocuteurs ciblés</t>
  </si>
  <si>
    <t>Déterminer les interlocuteurs. Puis leurs peines respectives. Les conséquences de ces peines sur un plan business et individuel. Puis, formalisez l'effet bonheur de vos solutions !</t>
  </si>
  <si>
    <t>Mode Licence</t>
  </si>
  <si>
    <t>Ventes directes seules</t>
  </si>
  <si>
    <t>Alliances conjointes ESN</t>
  </si>
  <si>
    <t>Revente VARs / ESN</t>
  </si>
  <si>
    <t>Taux de croissance annuel</t>
  </si>
  <si>
    <t>Mode SaaS</t>
  </si>
  <si>
    <t xml:space="preserve">Taux de croissance annuel </t>
  </si>
  <si>
    <t>TOTAL CA</t>
  </si>
  <si>
    <t>Total 4 years</t>
  </si>
  <si>
    <t>New Business . Nombre de nouveaux clients</t>
  </si>
  <si>
    <t>Ventes directes Seules</t>
  </si>
  <si>
    <t>OEM avec ISV</t>
  </si>
  <si>
    <t>New Business . Nombre de partenaires</t>
  </si>
  <si>
    <t>Total nombre de partenaires actifs</t>
  </si>
  <si>
    <t>KPIs</t>
  </si>
  <si>
    <t>Total Commissions</t>
  </si>
  <si>
    <t>Commissions versées aux partenaires</t>
  </si>
  <si>
    <t xml:space="preserve">Cloud SaaS. Mode souscription </t>
  </si>
  <si>
    <t>Année 1</t>
  </si>
  <si>
    <t>Stratégie Remises en SaaS</t>
  </si>
  <si>
    <t>% commissions sur le CA total</t>
  </si>
  <si>
    <t># new clients par canal</t>
  </si>
  <si>
    <t xml:space="preserve">CA new business </t>
  </si>
  <si>
    <t xml:space="preserve">Panier moyen </t>
  </si>
  <si>
    <t>Channel capacity</t>
  </si>
  <si>
    <t>Nombre de partenaires actifs</t>
  </si>
  <si>
    <t>% indirect dans le CA global</t>
  </si>
  <si>
    <t>% de partenaires actifs</t>
  </si>
  <si>
    <t>% partenaires ayant atteint leurs objectifs</t>
  </si>
  <si>
    <t>% part de marché chez les partenaires</t>
  </si>
  <si>
    <t>% partenaires recrutés vs le plan de recrutement</t>
  </si>
  <si>
    <t>Taux de conflits</t>
  </si>
  <si>
    <t>Profitabilité des partenaires sur une affaire moyenne</t>
  </si>
  <si>
    <t>% satisfaction partenaire</t>
  </si>
  <si>
    <t>Investissement budget stratégie partenaires</t>
  </si>
  <si>
    <t>Répartition du CA par canal</t>
  </si>
  <si>
    <t xml:space="preserve">KPIs du CA ventilé par canal </t>
  </si>
  <si>
    <t xml:space="preserve">Analyse de la concurrence 1 fois par an . A partager avec les partenaires. </t>
  </si>
  <si>
    <t>Reprendre les points forts, les différenciateurs et surtout les singularités de l'offre</t>
  </si>
  <si>
    <t>Tableau d'Analyse de la concurrence 1 fois par an . A partager avec les partenaires. Reprendre le tableau</t>
  </si>
  <si>
    <t>Valider l'adéquation du produit aux attentes du marché. "Are you Market Ready ?".  les partenaires ne seront efficaces que si vous maîtrisez correctement  l'approche marketing de vos solutions</t>
  </si>
  <si>
    <t>Informer vos partenaires de vos marchés stratégiques et ceux qui restent à conquérir</t>
  </si>
  <si>
    <t>Votre taux de couverture par marché</t>
  </si>
  <si>
    <t xml:space="preserve">Marchés prioritaires </t>
  </si>
  <si>
    <t xml:space="preserve"># partenaires actifs </t>
  </si>
  <si>
    <t>Part de marché</t>
  </si>
  <si>
    <t>KPIs Marchés Verticaux</t>
  </si>
  <si>
    <t>KPIs Marchés Géographiques régions</t>
  </si>
  <si>
    <t>KPIs Marchés Internationaux</t>
  </si>
  <si>
    <t>Expliquer clairement les règles d'affectation des territoires</t>
  </si>
  <si>
    <t>Tableau 2 + Nombre de conflits intercanaux ( cf outil PAD Conflits de canaux ) . Ajuster chaque année la tableau des règles d'affectation</t>
  </si>
  <si>
    <t xml:space="preserve">Analyse 1 fois par an </t>
  </si>
  <si>
    <t>Une distribution sélective et les règles d'affectation des territoires favorisent l'harmonie dans les canaux</t>
  </si>
  <si>
    <t>Définir les types de partenaires et les modes de relation contractuelle . Cochez par des croix les types de partenaires qui seront les plus appropriés pour prescrire/revendre/installer vos solutions, et ce, par taille de marché.</t>
  </si>
  <si>
    <t xml:space="preserve">Présenter les types de partenaires souhaités pour quels marchés et le mode de fonctionnement contractuel </t>
  </si>
  <si>
    <t>Surveiller l'apparition de nouveaux types de partenaires</t>
  </si>
  <si>
    <t>Expliquer aux partenaires leurs roles et responsabilités</t>
  </si>
  <si>
    <t xml:space="preserve">Surveiller les partenaires qui ne sont pas autonomes et rectifier le tir ! </t>
  </si>
  <si>
    <t>Coût de support avant-vente et après-vente par partenaire</t>
  </si>
  <si>
    <t>Principaux partenaires</t>
  </si>
  <si>
    <t>Coût d'avant-vente</t>
  </si>
  <si>
    <t>Coût d'après-vente</t>
  </si>
  <si>
    <t>Coût marketing</t>
  </si>
  <si>
    <t>CA du partenaire</t>
  </si>
  <si>
    <t>KPIs Niveau d'autonomie des partenaires</t>
  </si>
  <si>
    <t xml:space="preserve">Total </t>
  </si>
  <si>
    <t xml:space="preserve">Informer vos partenaires sur vos critères de recrutement. Cela les rassurera ! </t>
  </si>
  <si>
    <t>Les critères de recrutement</t>
  </si>
  <si>
    <t>Analysel'adéquation de vos partenaires avec vos critères de recrutement</t>
  </si>
  <si>
    <t>Profiling de chaque partenaire vs vos critères de recrutement</t>
  </si>
  <si>
    <t>Expliquer à vos partenaires votre stratégie de recrutement, vos critères et le nombre de partenaires ciblé</t>
  </si>
  <si>
    <t>Le plan de recrutement est effectué dans l'après workshop</t>
  </si>
  <si>
    <t>Mettez en exergue les points forts business development et easy to use pour votre partenaire</t>
  </si>
  <si>
    <t>Analyse  1 fois par an . KPI = taux d'attractivité</t>
  </si>
  <si>
    <t>Attractivité de l'offre : 5,81 sur 10
Le radar</t>
  </si>
  <si>
    <t xml:space="preserve">Expliquer la cohérence de votre stratégie de prix, son architecture, ses points forts, ses différenciateurs, </t>
  </si>
  <si>
    <t>Présenter le tableau d'une affaire moyenne avec les remises standards</t>
  </si>
  <si>
    <t xml:space="preserve">Analyse de la concurrence 1 fois par an </t>
  </si>
  <si>
    <t>Mettre en avant: le point mort, la marge nette 3° année, le CA récurrent, le % de marge nette, la projection sur 3 ans</t>
  </si>
  <si>
    <t>Tous les tableaux</t>
  </si>
  <si>
    <t>Suivant SaaS ou Licence. Valeur zero en années 2 et 3 pour le mode Licence</t>
  </si>
  <si>
    <t>Organisation de l'équipe en charge des partenaires. Notez le nombre de partenaires gérés par un Partner Account Manager (PAM)
Notez le nombre de partenaires gérés par un Partner Account Manager (PAM)</t>
  </si>
  <si>
    <t>Stratégie de remise</t>
  </si>
  <si>
    <t>Validation de la stratégie de remise</t>
  </si>
  <si>
    <t>Solution</t>
  </si>
  <si>
    <t>Années suivantes</t>
  </si>
  <si>
    <t>New Business Mode Licence
CA M€</t>
  </si>
  <si>
    <t>PAD</t>
  </si>
  <si>
    <t>Construction et formalisation de la Proposition de Valeur</t>
  </si>
  <si>
    <t>To Do List</t>
  </si>
  <si>
    <t>Développer le revenu récurrent</t>
  </si>
  <si>
    <t>Développer le new business / conquête de marché</t>
  </si>
  <si>
    <t xml:space="preserve">Stratégie Partenariale </t>
  </si>
  <si>
    <t>x</t>
  </si>
  <si>
    <t>Engagements de résultats ou de moyens à vitesse de croisière</t>
  </si>
  <si>
    <t>Total des revenus tirés de leurs propres services</t>
  </si>
  <si>
    <r>
      <t xml:space="preserve">New Business Mode Licence 
</t>
    </r>
    <r>
      <rPr>
        <b/>
        <sz val="14"/>
        <rFont val="Calibri"/>
        <family val="2"/>
        <scheme val="minor"/>
      </rPr>
      <t>Nombre de nouveaux clients</t>
    </r>
  </si>
  <si>
    <r>
      <t xml:space="preserve">New Business Mode Licence
</t>
    </r>
    <r>
      <rPr>
        <b/>
        <sz val="14"/>
        <rFont val="Calibri"/>
        <family val="2"/>
        <scheme val="minor"/>
      </rPr>
      <t># commerciaux actifs</t>
    </r>
  </si>
  <si>
    <t># ventes par canal par an</t>
  </si>
  <si>
    <t>Taux de déchet</t>
  </si>
  <si>
    <t>Panier moyen M€</t>
  </si>
  <si>
    <t xml:space="preserve">Taux déchet parmi les partenaires </t>
  </si>
  <si>
    <t># total de partenaires nécessaires</t>
  </si>
  <si>
    <t>Priorité de contacts
 (couleur)</t>
  </si>
  <si>
    <t>Priorité 1</t>
  </si>
  <si>
    <t>Priorité 2</t>
  </si>
  <si>
    <t>Priorité 3</t>
  </si>
  <si>
    <t>Inutile</t>
  </si>
  <si>
    <t>Elevator pitch ciblé prêt ?</t>
  </si>
  <si>
    <t>Outils marketing adaptés ?</t>
  </si>
  <si>
    <t>Nombre de jours</t>
  </si>
  <si>
    <t>xx</t>
  </si>
  <si>
    <t xml:space="preserve"> ratio CA partenaire / CA total</t>
  </si>
  <si>
    <t xml:space="preserve">CA total facturé au  client </t>
  </si>
  <si>
    <t>CA net pour le partenaire</t>
  </si>
  <si>
    <t>CA généré par les prestations partenaires</t>
  </si>
  <si>
    <t>Efficacité de la formation pour les commerciaux des partenaires</t>
  </si>
  <si>
    <t>Scope et Complétude fonctionnelle de la solution vs les besoins</t>
  </si>
  <si>
    <t>Facilité de support effectué par le partenaire</t>
  </si>
  <si>
    <t>Opportunités de Revenu additionnel pour les partenaires</t>
  </si>
  <si>
    <t xml:space="preserve">Conséquences personnelles par interlocuteur </t>
  </si>
  <si>
    <t xml:space="preserve">Lister pour chaque interlocuteur les conséquences fâcheuses de ces peines au plan business et personnel ? </t>
  </si>
  <si>
    <t>It</t>
  </si>
  <si>
    <t>Industrie</t>
  </si>
  <si>
    <t>Service</t>
  </si>
  <si>
    <t>Répartition du CA n-1</t>
  </si>
  <si>
    <t>Répartition du CA n+1</t>
  </si>
  <si>
    <t>Nb Partners ciblés</t>
  </si>
  <si>
    <t>Rh Alpes</t>
  </si>
  <si>
    <t>Midi Pyr</t>
  </si>
  <si>
    <t>Loire</t>
  </si>
  <si>
    <t>lang</t>
  </si>
  <si>
    <t>GY</t>
  </si>
  <si>
    <t>BLX</t>
  </si>
  <si>
    <t>Répartition du CA n+2</t>
  </si>
  <si>
    <t>stratégie selective avec un champion par région / secteur</t>
  </si>
  <si>
    <t>Ressorts de la Stratégie de pricing</t>
  </si>
  <si>
    <t>Maximisation de la Profitabilité pour la Société et les partenaires</t>
  </si>
  <si>
    <t>Orientée ROI et TCO facile à démontrer aux clients</t>
  </si>
  <si>
    <t>Apport de leads &gt; objectifs</t>
  </si>
  <si>
    <t>Communication marketing / annonce partenariat</t>
  </si>
  <si>
    <t>Autres frais</t>
  </si>
  <si>
    <t>Estimation de la marge du partenaire par affaire moyenne</t>
  </si>
  <si>
    <t>% Remise au partenaire</t>
  </si>
  <si>
    <t>Seuil de rentabilité</t>
  </si>
  <si>
    <t>Taux de commission 1° année</t>
  </si>
  <si>
    <t>Taux de commission N+1 et N+2</t>
  </si>
  <si>
    <t>SaaS. Commissions new business 1° année</t>
  </si>
  <si>
    <t>SaaS. Commissions récurrentes / années précédentes</t>
  </si>
  <si>
    <t>Moyenne du panier moyen "partenaire"</t>
  </si>
  <si>
    <t>Base de données propsects correspondant à la cible</t>
  </si>
  <si>
    <t xml:space="preserve">Taux de retour ( Suspects ): </t>
  </si>
  <si>
    <t xml:space="preserve">Taux de qualification ( Opportunités ) </t>
  </si>
  <si>
    <t>Taux de signature</t>
  </si>
  <si>
    <t>Charge pour générer opportunités</t>
  </si>
  <si>
    <t>x J/H</t>
  </si>
  <si>
    <t>Nb Partners à développer</t>
  </si>
  <si>
    <t>SaaS. Commissions versées aux partenaires. 1° année</t>
  </si>
  <si>
    <t>SaaS.Commissions versées aux partenaires. 2° année</t>
  </si>
  <si>
    <t>SaaS. Commissions versées aux partenaires. 3° année</t>
  </si>
  <si>
    <t>Taux commission</t>
  </si>
  <si>
    <t>Coûts</t>
  </si>
  <si>
    <t>Coût chargé unitaire</t>
  </si>
  <si>
    <t>Ressources internes Marketing en charge de l'animation du programme ( Marktg, juridique, mise à jour web, animation, coordination ...  )</t>
  </si>
  <si>
    <t>Ressources externes pour le programme ( Conseil, outils de pilotage, conception, traduction, web agency … )</t>
  </si>
  <si>
    <t>Ressources Commerciales en charge des partenaires ( Recrutement et développement )</t>
  </si>
  <si>
    <t>Travel / hébergement …</t>
  </si>
  <si>
    <t>Budget Evènements marketing :  lead generation , évènement partenaire, …</t>
  </si>
  <si>
    <t xml:space="preserve">CA NET </t>
  </si>
  <si>
    <t>KPIs Efficacité du réseau</t>
  </si>
  <si>
    <t>Point mort # deals par le réseau</t>
  </si>
  <si>
    <t>RUBRIQUES DE CHARGE</t>
  </si>
  <si>
    <t>Peines</t>
  </si>
  <si>
    <t>Conséqces business</t>
  </si>
  <si>
    <t>Conséqces perso</t>
  </si>
  <si>
    <t>Couverture besoins</t>
  </si>
  <si>
    <t>Motivations achat</t>
  </si>
  <si>
    <t>Process achat</t>
  </si>
  <si>
    <t>Déclencheurs</t>
  </si>
  <si>
    <t>Satisfaction</t>
  </si>
  <si>
    <t>Source contact</t>
  </si>
  <si>
    <t>Utilsateurs</t>
  </si>
  <si>
    <t>Mesure</t>
  </si>
  <si>
    <t>Top fonctionnalités</t>
  </si>
  <si>
    <t>Durée utilisation</t>
  </si>
  <si>
    <t>Moment</t>
  </si>
  <si>
    <t>Relation autres produits</t>
  </si>
  <si>
    <t>Intégré ou autonome</t>
  </si>
  <si>
    <t>Process</t>
  </si>
  <si>
    <t>Indicateurs</t>
  </si>
  <si>
    <t>Points forts</t>
  </si>
  <si>
    <t>Points faibles</t>
  </si>
  <si>
    <t>Niveau d'écoute</t>
  </si>
  <si>
    <t>Profil clients</t>
  </si>
  <si>
    <t>Pitch produit</t>
  </si>
  <si>
    <t>Différenciateurs</t>
  </si>
  <si>
    <t>Singularités</t>
  </si>
  <si>
    <t>ROI / TCO</t>
  </si>
  <si>
    <t>Biz case client</t>
  </si>
  <si>
    <t>Solutions "Must Have" versus "Nice to have". Vos offres doivent répondre à un besoin et une peine critiques de vos interlocuteurs. Les besoins "Must have" sont critiques pour le bon fonctionnement de la société, à l'atteinte des objectifs de vos interlocuteurs, au respect de la règlementation, etc ... Ces peines sont vécus comme prioritaires car cause d'ulcère à l'estomac! A l'inverse des solutions "nice to have" qui apportent du confort, de la souplesse mais pas prioritaires.</t>
  </si>
  <si>
    <t>Base de données nécessaire</t>
  </si>
  <si>
    <t xml:space="preserve"> </t>
  </si>
  <si>
    <t xml:space="preserve">             </t>
  </si>
  <si>
    <t>N°</t>
  </si>
  <si>
    <t>Objectif</t>
  </si>
  <si>
    <t>Swot</t>
  </si>
  <si>
    <t>Analyse de la concurrence</t>
  </si>
  <si>
    <t>Bilan du Workshop</t>
  </si>
  <si>
    <t>Analyse du workshop: les plus et moins, les principales leçons</t>
  </si>
  <si>
    <t>Intérêt des prospects après Emailing + PdJ. Phoning</t>
  </si>
  <si>
    <t>Pour aider vos partenaires, calculer le nombre de leads qu'ils doivent avoir en permanence dans leur  pipe pour assurer l'atteinte des objectifs</t>
  </si>
  <si>
    <t>Votre budget! Estimer le niveau d'investissemnt del'équipe et du programme partenaire. Calculer le point mort en CA et nombre de partenaires.</t>
  </si>
  <si>
    <t>PME / ETI</t>
  </si>
  <si>
    <t>TPE / Autres</t>
  </si>
  <si>
    <t>Bilan des partenariats actuels</t>
  </si>
  <si>
    <t>Accompagnement au changement</t>
  </si>
  <si>
    <t>xxx</t>
  </si>
  <si>
    <t>Nbre Clients potentiels</t>
  </si>
  <si>
    <t>Nb Partners à recruter</t>
  </si>
  <si>
    <t>Directeur Marktg</t>
  </si>
  <si>
    <t>Status OK</t>
  </si>
  <si>
    <t>A améliorer</t>
  </si>
  <si>
    <t>Date de fin</t>
  </si>
  <si>
    <t>Organisation / organigramme</t>
  </si>
  <si>
    <t>Directory Annuaire</t>
  </si>
  <si>
    <t>Partner value proposition</t>
  </si>
  <si>
    <t>Infos produits</t>
  </si>
  <si>
    <t>Présentation des solutions</t>
  </si>
  <si>
    <t>Gartner, CXP</t>
  </si>
  <si>
    <t>Script démos</t>
  </si>
  <si>
    <t>Fiche Concurrence</t>
  </si>
  <si>
    <t>Articles de presse</t>
  </si>
  <si>
    <t>pricing/calculateur</t>
  </si>
  <si>
    <t>process gestion leads entrant from BPs</t>
  </si>
  <si>
    <t>process gestion leads sortant vers les BPs</t>
  </si>
  <si>
    <t>logo Règles d'utilisation</t>
  </si>
  <si>
    <t>Catalogue Prestations de services</t>
  </si>
  <si>
    <t>Process accès hot line</t>
  </si>
  <si>
    <t>Process Accès expertise Technico fonctionnelle</t>
  </si>
  <si>
    <t>Contrats Partenaires</t>
  </si>
  <si>
    <t>Formation: catalogue et calendrier</t>
  </si>
  <si>
    <t>catalogue des partenaires</t>
  </si>
  <si>
    <t>courrier welcome</t>
  </si>
  <si>
    <t>Newsletter</t>
  </si>
  <si>
    <t>contrats de licences / 
maintenance client</t>
  </si>
  <si>
    <t>Ressources consultants avant-vente sédentaire en charge des partenaires</t>
  </si>
  <si>
    <t>Paramètres</t>
  </si>
  <si>
    <t>Ventilation du CA par canal de distribution. Modèle de vente à présenter à vos partenaires pour les rassurer sur vos ambitions</t>
  </si>
  <si>
    <t>Mode Licence / One Shot</t>
  </si>
  <si>
    <t>Mode Licence / One shot</t>
  </si>
  <si>
    <t>Estimez le CA réalisé par les partenaires autour de vos produits : les commissions perçues + la facturation de leurs propres services</t>
  </si>
  <si>
    <t>Estimez le nombre de clients et de partenaires nécessaires pour atteindre les objectifs</t>
  </si>
  <si>
    <t>Calcul du marché adressable</t>
  </si>
  <si>
    <t>Montant</t>
  </si>
  <si>
    <t>Pourcentage</t>
  </si>
  <si>
    <t xml:space="preserve">Marché premier équipement </t>
  </si>
  <si>
    <t>Taux de renouvellement par an</t>
  </si>
  <si>
    <t xml:space="preserve">Marché réellement adressable par an </t>
  </si>
  <si>
    <t>Taux de couverture commerciale</t>
  </si>
  <si>
    <t>Marché déjà équipé</t>
  </si>
  <si>
    <t>Panier moyen annuel</t>
  </si>
  <si>
    <t>Nb partenaires ciblés</t>
  </si>
  <si>
    <t>Nb partenaires actifs</t>
  </si>
  <si>
    <t>CA NET Fournisseur après paiement des commissions aux partenaires</t>
  </si>
  <si>
    <t>CA indirect / Employé</t>
  </si>
  <si>
    <t>Responsabilités</t>
  </si>
  <si>
    <t>PARTENAIRE</t>
  </si>
  <si>
    <t>Mois 1</t>
  </si>
  <si>
    <t>Mois 2</t>
  </si>
  <si>
    <t>Mois 3</t>
  </si>
  <si>
    <t>Mois 4</t>
  </si>
  <si>
    <t>Mois 6</t>
  </si>
  <si>
    <t>An 1</t>
  </si>
  <si>
    <t xml:space="preserve">Communique de presse ( professionnelle ) </t>
  </si>
  <si>
    <t>Communication interne, notamment aux ventes directes et aux fonctions impliquées</t>
  </si>
  <si>
    <t xml:space="preserve">Communication aux  autres partenaires </t>
  </si>
  <si>
    <t>FORMATION</t>
  </si>
  <si>
    <t>Inscription à la formation technique ( qui, quand, combien … )</t>
  </si>
  <si>
    <t>Inscription à la formation commerciale ( qui, quand, combien … )</t>
  </si>
  <si>
    <t>Formation télémarketers ( qui, quand, combien … )</t>
  </si>
  <si>
    <t>Formation administration des ventes</t>
  </si>
  <si>
    <t xml:space="preserve">( positionnement, enjeux, stratégie, démo , plan d'action ) </t>
  </si>
  <si>
    <t>MARKETING</t>
  </si>
  <si>
    <t>Formalisation de la proposition de valeur aux clients à travers une brochure commune</t>
  </si>
  <si>
    <t>Mailing aux clients, prospects, partenaires complémentaires</t>
  </si>
  <si>
    <t>Organisation d'un évènement : JPO…</t>
  </si>
  <si>
    <t xml:space="preserve">Montrer l'accès aux infos essentielles sur le site web </t>
  </si>
  <si>
    <t>Aide à la qualification de prospects</t>
  </si>
  <si>
    <t>Sortie avec le partenaire pour rencontrer 2 à 3 prospects</t>
  </si>
  <si>
    <t>Recherche de partenaires complémentaires et influenceurs</t>
  </si>
  <si>
    <t>TECHNIQUE</t>
  </si>
  <si>
    <t>Soutien aux premieres visites/démo</t>
  </si>
  <si>
    <t>Aide à l'installation des premiers clients</t>
  </si>
  <si>
    <t>ADMINISTRATION DES VENTES</t>
  </si>
  <si>
    <t>Obtention licence de démo</t>
  </si>
  <si>
    <t>Gestion des conditions particulières</t>
  </si>
  <si>
    <t>Mise à jour liste des partenaires BP's</t>
  </si>
  <si>
    <t>CA additionnel de ventes complémentaires pour 2 années suivantes ( upsell, cross sell)</t>
  </si>
  <si>
    <t>Licence / Abonnement additionnels 2 années suivantes</t>
  </si>
  <si>
    <t>Innovation</t>
  </si>
  <si>
    <t>CA Client</t>
  </si>
  <si>
    <t>CA partenaire</t>
  </si>
  <si>
    <t>Lorraine</t>
  </si>
  <si>
    <t>BI</t>
  </si>
  <si>
    <t>Directeur  Logistique</t>
  </si>
  <si>
    <t>Directeur Production</t>
  </si>
  <si>
    <t>Dirceteur Innovaton</t>
  </si>
  <si>
    <t xml:space="preserve">Directeur commercial </t>
  </si>
  <si>
    <t>Licence /services one shot. Commissions versées aux partenaires</t>
  </si>
  <si>
    <t>Autre CA additionnel récurrent</t>
  </si>
  <si>
    <t>du CA Client</t>
  </si>
  <si>
    <t>Marge</t>
  </si>
  <si>
    <t>Prestations de suivi et d'accompagnement additionnelles du Fournisseur</t>
  </si>
  <si>
    <t xml:space="preserve">Taille critique : &gt;25 personnes , 2 commerciaux, régionaux, base installée ERP 100 clients
Compétences techniques: import-export de fichiers, expèrience de l'EDI ( mini 10 )
Compétences métier: spécialisés par verticaux ( distribution … )
Marketing cellule : 1/2 personne pour faire génération de leads
Santé financière : en croissance depuis 5 ans 
Alignement stratégique: sur les marchés ciblés par Tie
</t>
  </si>
  <si>
    <t xml:space="preserve">ISVs prioritaires: ERP généralistes ou métier, régionaux ou de niche, mode de vente directe, base clients &gt; 50 , &gt; 2 commerciaux, </t>
  </si>
  <si>
    <t>Compétences : ERP, métier . &gt; 5 personnes, 30 clients</t>
  </si>
  <si>
    <t xml:space="preserve">Entre Top 20 et 50. Practice ERP SAP, Oracle, Microsoft, X3 Sage. Sur les marchés ciblés. </t>
  </si>
  <si>
    <t>Supply chain</t>
  </si>
  <si>
    <t>Expert mondial ecommerce éléctronique</t>
  </si>
  <si>
    <t>NA en cas de renouvellement</t>
  </si>
  <si>
    <t>Années 2 + 3</t>
  </si>
  <si>
    <t>le nombre de partenaires et l'effort de recrutement</t>
  </si>
  <si>
    <t>35 Partenaires actifs soit un recrutement de 50 à 60 
Le nombre de partenaires actuels et à recruter
Les engagements des partenaires</t>
  </si>
  <si>
    <t>Analyse des besoins / process achat / usage à afire auprès des clients</t>
  </si>
  <si>
    <t>Répond à un besoin critique 
Parfaite maîtrise technique
Solution parfaitement intégrée avec les ERPs</t>
  </si>
  <si>
    <t>Faire l'exercice pour les différents interlocuteurs comemrciaux</t>
  </si>
  <si>
    <t>Argumentaire par interlocuteur</t>
  </si>
  <si>
    <t>Reprendre les points forts, les différenciateurs et surtout les singularités
Bon taux de signature</t>
  </si>
  <si>
    <t>Marchés prioritaires
Marchés à ouvrir</t>
  </si>
  <si>
    <t>Ventilation des partenaires par marché</t>
  </si>
  <si>
    <t>Idem que précédent</t>
  </si>
  <si>
    <t>idem que précédent</t>
  </si>
  <si>
    <t>Reprendre les notes faibles &lt; 6</t>
  </si>
  <si>
    <t>Maintenance et assistance</t>
  </si>
  <si>
    <t>Priorité 6 mois</t>
  </si>
  <si>
    <t>Priorité 12 mois</t>
  </si>
  <si>
    <t>Priorité 3 mois</t>
  </si>
  <si>
    <t>Mode Licence. Commissions sur CA licence</t>
  </si>
  <si>
    <t>Mode licence. Commissions sur CA maintenance</t>
  </si>
  <si>
    <t xml:space="preserve">Commissions partenaires années 2 +3 </t>
  </si>
  <si>
    <t>Philosophie de l'approche PAD</t>
  </si>
  <si>
    <t>LA SOLUTION , SON POSITIONNEMENT, SES CARACTERISTIQUES BUSINESS</t>
  </si>
  <si>
    <t>LES MARCHES , LEURS CARACTERISTIQUES, LEURS ATTENTES</t>
  </si>
  <si>
    <t xml:space="preserve">Conséquences business de ces peines par interlocuteur </t>
  </si>
  <si>
    <t>Il est fondamental d'expliquer à vos partenaires les interlocuteurs que vous ciblez .  Cochez par 1 à 3 croix les interlocuteurs à cibler prioritairement</t>
  </si>
  <si>
    <t>Taux de closing / espérance de signatures</t>
  </si>
  <si>
    <t>Nb partenaires à développer</t>
  </si>
  <si>
    <r>
      <t xml:space="preserve">1 Taille critique: </t>
    </r>
    <r>
      <rPr>
        <sz val="11"/>
        <rFont val="Calibri"/>
        <family val="2"/>
        <scheme val="minor"/>
      </rPr>
      <t>Ranking sur leur marché,</t>
    </r>
    <r>
      <rPr>
        <b/>
        <sz val="11"/>
        <rFont val="Calibri"/>
        <family val="2"/>
        <scheme val="minor"/>
      </rPr>
      <t xml:space="preserve"> </t>
    </r>
    <r>
      <rPr>
        <sz val="11"/>
        <rFont val="Calibri"/>
        <family val="2"/>
        <scheme val="minor"/>
      </rPr>
      <t xml:space="preserve"> # employés, CA mini, couverture régionale, nationale, internationale ...</t>
    </r>
    <r>
      <rPr>
        <b/>
        <sz val="11"/>
        <rFont val="Calibri"/>
        <family val="2"/>
        <scheme val="minor"/>
      </rPr>
      <t xml:space="preserve">
2 Compétences techniques : </t>
    </r>
    <r>
      <rPr>
        <sz val="11"/>
        <rFont val="Calibri"/>
        <family val="2"/>
        <scheme val="minor"/>
      </rPr>
      <t xml:space="preserve">prérequis techniques, # mini consultants et chefs de projet,   Services: hot line/intégration/ /dévelopement/  déploiement/ consulting </t>
    </r>
    <r>
      <rPr>
        <b/>
        <sz val="11"/>
        <rFont val="Calibri"/>
        <family val="2"/>
        <scheme val="minor"/>
      </rPr>
      <t xml:space="preserve">
3 Compétences métier: </t>
    </r>
    <r>
      <rPr>
        <sz val="11"/>
        <rFont val="Calibri"/>
        <family val="2"/>
        <scheme val="minor"/>
      </rPr>
      <t>part de marché, VA avérée pour les clients, business  units ou practice dédiée, nombre de clients, réputation, &gt; X% du CA</t>
    </r>
    <r>
      <rPr>
        <b/>
        <sz val="11"/>
        <rFont val="Calibri"/>
        <family val="2"/>
        <scheme val="minor"/>
      </rPr>
      <t xml:space="preserve">
</t>
    </r>
  </si>
  <si>
    <r>
      <t xml:space="preserve">4 Dynamisme commercial et marketing : </t>
    </r>
    <r>
      <rPr>
        <sz val="11"/>
        <rFont val="Calibri"/>
        <family val="2"/>
        <scheme val="minor"/>
      </rPr>
      <t>nombre de commerciaux, nombre de nouveaux clients par an, cellule marktg</t>
    </r>
    <r>
      <rPr>
        <b/>
        <sz val="11"/>
        <rFont val="Calibri"/>
        <family val="2"/>
        <scheme val="minor"/>
      </rPr>
      <t xml:space="preserve">
5 Qualité des dirigeants: </t>
    </r>
    <r>
      <rPr>
        <sz val="11"/>
        <rFont val="Calibri"/>
        <family val="2"/>
        <scheme val="minor"/>
      </rPr>
      <t xml:space="preserve">réputation, historique, culture, vision, stabilité, </t>
    </r>
    <r>
      <rPr>
        <b/>
        <sz val="11"/>
        <rFont val="Calibri"/>
        <family val="2"/>
        <scheme val="minor"/>
      </rPr>
      <t xml:space="preserve">
6  Alignement stratégique: </t>
    </r>
    <r>
      <rPr>
        <sz val="11"/>
        <rFont val="Calibri"/>
        <family val="2"/>
        <scheme val="minor"/>
      </rPr>
      <t xml:space="preserve">marchés, solutions, valeur ajoutée, partenaires actuels </t>
    </r>
    <r>
      <rPr>
        <b/>
        <sz val="11"/>
        <rFont val="Calibri"/>
        <family val="2"/>
        <scheme val="minor"/>
      </rPr>
      <t xml:space="preserve">
7  Santé financière: </t>
    </r>
    <r>
      <rPr>
        <sz val="11"/>
        <rFont val="Calibri"/>
        <family val="2"/>
        <scheme val="minor"/>
      </rPr>
      <t>croissance CA et marge, Cash Flow</t>
    </r>
    <r>
      <rPr>
        <b/>
        <sz val="11"/>
        <rFont val="Calibri"/>
        <family val="2"/>
        <scheme val="minor"/>
      </rPr>
      <t xml:space="preserve">
8 Profils de  Partenaires à éviter: </t>
    </r>
  </si>
  <si>
    <t>Recrutement à N</t>
  </si>
  <si>
    <t>Recrutement à N+1</t>
  </si>
  <si>
    <t>Recrutement à N+2</t>
  </si>
  <si>
    <t>Recrutement à N+3</t>
  </si>
  <si>
    <t>Hypothèses mode licence</t>
  </si>
  <si>
    <t>Hypothèses mode souscription SaaS</t>
  </si>
  <si>
    <t xml:space="preserve">CA new biz + CA récurrent </t>
  </si>
  <si>
    <t>xx signatures / an  / partenaire</t>
  </si>
  <si>
    <t>xx K</t>
  </si>
  <si>
    <t>Panier moyen annuel par partenaire</t>
  </si>
  <si>
    <t xml:space="preserve">Nbre deals annuels / 2 </t>
  </si>
  <si>
    <t>Répartition du CA en M€ par canal suivant les modes de facturation</t>
  </si>
  <si>
    <t>Commissions versées aux partenaires en M Euros</t>
  </si>
  <si>
    <t>Meeting entre DG + équipe en charge du partenariat</t>
  </si>
  <si>
    <t>( à renouveler tous les 12 mois )</t>
  </si>
  <si>
    <t>Base de suspects ciblés suivant les critères retenus</t>
  </si>
  <si>
    <t>Prospects qualifiés avec potentiel de signature &lt; 6 mois. Contact direct pour qualification mutuelle et présentation de la proposition de valeur.</t>
  </si>
  <si>
    <t>Prospects &lt; 1 Mois. Démo et proposition financière réalisées et partagées avec le prospect</t>
  </si>
  <si>
    <t>Espérance de Signatures du contrat</t>
  </si>
  <si>
    <t>Revenus nets</t>
  </si>
  <si>
    <t xml:space="preserve">Coûts chargés </t>
  </si>
  <si>
    <t xml:space="preserve">Methodologie unique en Europe avec plus de 85 clients en France. Taux de satisfaction supérieur à 90% </t>
  </si>
  <si>
    <r>
      <t xml:space="preserve">Arguments singuliers et différenciateurs . </t>
    </r>
    <r>
      <rPr>
        <i/>
        <sz val="11"/>
        <color theme="1"/>
        <rFont val="Calibri"/>
        <family val="2"/>
        <scheme val="minor"/>
      </rPr>
      <t xml:space="preserve">Key competitive differentiation (define the most important reason you are better than competitor above). “Our product” is what sets you apart from the competition
Can reinforce the compelling reason to buy and/or ability to address the “wants” of the target buyer 
</t>
    </r>
    <r>
      <rPr>
        <b/>
        <sz val="11"/>
        <color theme="1"/>
        <rFont val="Calibri"/>
        <family val="2"/>
        <scheme val="minor"/>
      </rPr>
      <t xml:space="preserve">
</t>
    </r>
  </si>
  <si>
    <t>OUR PRODUCT</t>
  </si>
  <si>
    <t xml:space="preserve">Pas de concurrents directs avec une méthodologie aussi complète et modélisée. </t>
  </si>
  <si>
    <r>
      <rPr>
        <i/>
        <sz val="11"/>
        <color theme="1"/>
        <rFont val="Calibri"/>
        <family val="2"/>
        <scheme val="minor"/>
      </rPr>
      <t xml:space="preserve"> </t>
    </r>
    <r>
      <rPr>
        <b/>
        <i/>
        <sz val="11"/>
        <color theme="1"/>
        <rFont val="Calibri"/>
        <family val="2"/>
        <scheme val="minor"/>
      </rPr>
      <t xml:space="preserve">Concurrents </t>
    </r>
    <r>
      <rPr>
        <i/>
        <sz val="11"/>
        <color theme="1"/>
        <rFont val="Calibri"/>
        <family val="2"/>
        <scheme val="minor"/>
      </rPr>
      <t xml:space="preserve">.  define primary competition (could be a company or other approaches—want something your target buyer will recognize and understand)“Unlike” is competition.  This may vary at different stages of the buying process---but at the top level, you want the most known competitive choice that you must fight 
Could be status quo, traditional solutions, ad hoc approaches
</t>
    </r>
  </si>
  <si>
    <t>UNLIKE</t>
  </si>
  <si>
    <t xml:space="preserve">Un gain de 9 et 36 mois pour mettre en place une stratégie partenaire efficace et un CA de plus de 30% pour les  partenaires stratégiques existants </t>
  </si>
  <si>
    <r>
      <t>Définissez les raisons d'achat.</t>
    </r>
    <r>
      <rPr>
        <i/>
        <sz val="11"/>
        <color theme="1"/>
        <rFont val="Calibri"/>
        <family val="2"/>
        <scheme val="minor"/>
      </rPr>
      <t xml:space="preserve">“That” should reflect your ability to address the need (first and foremost) in such a way that they should spend money now. If it fits, you can also touch on the want here
</t>
    </r>
  </si>
  <si>
    <t>THAT</t>
  </si>
  <si>
    <t>industrialise les bonnes pratiques partenariales en couvrant toute la chaîne de valeur d'une stratégie partenariale</t>
  </si>
  <si>
    <r>
      <t xml:space="preserve">Nom du Domaine / catégorie / famille. </t>
    </r>
    <r>
      <rPr>
        <i/>
        <sz val="11"/>
        <color theme="1"/>
        <rFont val="Calibri"/>
        <family val="2"/>
        <scheme val="minor"/>
      </rPr>
      <t xml:space="preserve">For the category, you want something that your target buyer understands
</t>
    </r>
  </si>
  <si>
    <t>IS</t>
  </si>
  <si>
    <t>PAD Methodology</t>
  </si>
  <si>
    <r>
      <t xml:space="preserve">Nom du Produit ou de la solution. </t>
    </r>
    <r>
      <rPr>
        <i/>
        <sz val="11"/>
        <color theme="1"/>
        <rFont val="Calibri"/>
        <family val="2"/>
        <scheme val="minor"/>
      </rPr>
      <t xml:space="preserve">Product name and category are pretty obvious. </t>
    </r>
  </si>
  <si>
    <t>THE</t>
  </si>
  <si>
    <t xml:space="preserve">Recherche des solutions et bonnes pratiques pour structurer,  industrialiser et piloter leurs réseaux de revendeurs  </t>
  </si>
  <si>
    <r>
      <t xml:space="preserve">Quelles sont leurs demandes, leurs désirs ?  </t>
    </r>
    <r>
      <rPr>
        <i/>
        <sz val="11"/>
        <color theme="1"/>
        <rFont val="Calibri"/>
        <family val="2"/>
        <scheme val="minor"/>
      </rPr>
      <t>The want is about additional desires (e.g I need to reduce spending by 15% but I want to do it with a solution that is easy to manage or one that positions the company as an innovator)</t>
    </r>
    <r>
      <rPr>
        <b/>
        <sz val="11"/>
        <color theme="1"/>
        <rFont val="Calibri"/>
        <family val="2"/>
        <scheme val="minor"/>
      </rPr>
      <t xml:space="preserve">
</t>
    </r>
  </si>
  <si>
    <t xml:space="preserve">AND WANT </t>
  </si>
  <si>
    <t xml:space="preserve">Besoins de recruter un réseau de partenaires commerciaux efficaces pour se développer rapidement, à moindre coûts et sans risques . </t>
  </si>
  <si>
    <r>
      <t xml:space="preserve">Quels sont les besoins de vos cibles ? </t>
    </r>
    <r>
      <rPr>
        <i/>
        <sz val="11"/>
        <color theme="1"/>
        <rFont val="Calibri"/>
        <family val="2"/>
        <scheme val="minor"/>
      </rPr>
      <t xml:space="preserve">The need is something they will readily acknowledge or already know ---its causing them pain or giving them a feeling of missed opportunity
</t>
    </r>
  </si>
  <si>
    <t>WHO NEED</t>
  </si>
  <si>
    <t>Les entreprises B2B en recherche de croissance</t>
  </si>
  <si>
    <t xml:space="preserve">Quelles sont vos cibles en termes d'entreprises et de décideurs ? </t>
  </si>
  <si>
    <t xml:space="preserve">FOR </t>
  </si>
  <si>
    <t>Votre Résultat</t>
  </si>
  <si>
    <t>Exemple</t>
  </si>
  <si>
    <t>Explications</t>
  </si>
  <si>
    <t>ETAPES</t>
  </si>
  <si>
    <t>Positionner chacune des offres suivant la méthode du Gartner</t>
  </si>
  <si>
    <t>Nombre d'offres/canaux (1 mini - 3 maxi )</t>
  </si>
  <si>
    <t>Validation des types de partenaires ciblés</t>
  </si>
  <si>
    <t>Commissions / marge versées aux partenaires</t>
  </si>
  <si>
    <t>Partenaire</t>
  </si>
  <si>
    <t>Positionnement de l'offre :</t>
  </si>
  <si>
    <t>Types de Partenaire</t>
  </si>
  <si>
    <t>Infos Société</t>
  </si>
  <si>
    <t>Responsable(s)</t>
  </si>
  <si>
    <t xml:space="preserve">Echance à </t>
  </si>
  <si>
    <t>Canal 1</t>
  </si>
  <si>
    <t>Canal 2</t>
  </si>
  <si>
    <t>Canal 3</t>
  </si>
  <si>
    <t>Postes de coût</t>
  </si>
  <si>
    <t>Taux de signature . Coef multiplicateur</t>
  </si>
  <si>
    <t>TOTAL COMMISSIONS</t>
  </si>
  <si>
    <t>Année 2</t>
  </si>
  <si>
    <t>Année 3</t>
  </si>
  <si>
    <t>Nombre de  Produit</t>
  </si>
  <si>
    <t>Plan d'Action</t>
  </si>
  <si>
    <t>EtMaintenant</t>
  </si>
  <si>
    <t>Les actions qui découlent du Workshop</t>
  </si>
  <si>
    <t>Feuille Liée</t>
  </si>
  <si>
    <t>Guide pour la constitution de la Proposition de Valeur</t>
  </si>
  <si>
    <t>12 - Plan d'actions</t>
  </si>
  <si>
    <t>02-VISION</t>
  </si>
  <si>
    <t>Etat d'avancement</t>
  </si>
  <si>
    <r>
      <t xml:space="preserve">Plan Proposition de Valeur
                                </t>
    </r>
    <r>
      <rPr>
        <sz val="11"/>
        <rFont val="Calibri"/>
        <family val="2"/>
        <scheme val="minor"/>
      </rPr>
      <t>Rubriques sources de l'information</t>
    </r>
  </si>
  <si>
    <t>CA moyen client Solution Fournisseur</t>
  </si>
  <si>
    <t>Contacts prioritaires. Qui ?</t>
  </si>
  <si>
    <t>Votre Efficacité Marketing</t>
  </si>
  <si>
    <t>Efficacité globale</t>
  </si>
  <si>
    <t>Votre niveau de satisfaction vav du marketing</t>
  </si>
  <si>
    <t>Marktg Produit</t>
  </si>
  <si>
    <t>Marktg Marché</t>
  </si>
  <si>
    <t>Analyse quantitative, concurrence, positionnement commercial …</t>
  </si>
  <si>
    <t>Culture partenaire</t>
  </si>
  <si>
    <t>Le marktg est-il orienté "partenaires"</t>
  </si>
  <si>
    <t xml:space="preserve">Satisfaisant ou pas ? </t>
  </si>
  <si>
    <t>Attentes clients</t>
  </si>
  <si>
    <t>Les raisons d'achat de votre solution par vos clients</t>
  </si>
  <si>
    <t>Connaissez-vous les évènements déclencheurs du choix de votre solution</t>
  </si>
  <si>
    <t xml:space="preserve">Quels types d'utilisateurs </t>
  </si>
  <si>
    <t>Leur organisation interne ( hiérarchie, place dans l'organigramme … )</t>
  </si>
  <si>
    <t xml:space="preserve">Besoins de se développer rapidement, à moindre coûts et sans risques . </t>
  </si>
  <si>
    <t xml:space="preserve">Panier moyen par type de partenaires M€ </t>
  </si>
  <si>
    <t>Nombre de clients et de partenaires vs les objectifs</t>
  </si>
  <si>
    <t>Validation des interlocuteurs chez les clients</t>
  </si>
  <si>
    <t>Elevator pitch par produit</t>
  </si>
  <si>
    <t>Efficacité du marketing et positionnement de l'offre</t>
  </si>
  <si>
    <t>Analyse et Argumentaire vs la concurrence</t>
  </si>
  <si>
    <t>Le marché: grandes tendances et analyse quantitative</t>
  </si>
  <si>
    <t>Affectation des territoires . Volumétrie de l'équipe</t>
  </si>
  <si>
    <t>Buget du programme. Calcul du point mort.</t>
  </si>
  <si>
    <t>Calcul de la couverture de leads pour atteindre le CA</t>
  </si>
  <si>
    <t>Définition des outils destinés aux partenaires</t>
  </si>
  <si>
    <t>Calcul de la profitabilité et du ROI pour les partenaires</t>
  </si>
  <si>
    <t>Programme partenaire et engagements</t>
  </si>
  <si>
    <t>Sources de conflits intercanaux</t>
  </si>
  <si>
    <t>Consolider la base installée</t>
  </si>
  <si>
    <t>Maillage international. Améliorer la couverture des pays ou continents</t>
  </si>
  <si>
    <t xml:space="preserve">Améliorer le taux de présence commerciale </t>
  </si>
  <si>
    <r>
      <rPr>
        <b/>
        <sz val="12"/>
        <rFont val="Calibri"/>
        <family val="2"/>
        <scheme val="minor"/>
      </rPr>
      <t>Enrichissement de l'offre</t>
    </r>
    <r>
      <rPr>
        <sz val="12"/>
        <rFont val="Calibri"/>
        <family val="2"/>
        <scheme val="minor"/>
      </rPr>
      <t xml:space="preserve">. Compléter l'offre avec des solutions techniques ou fonctionnelles provenant d'éditeurs ou constructeurs complémentaires  </t>
    </r>
  </si>
  <si>
    <r>
      <rPr>
        <b/>
        <sz val="12"/>
        <rFont val="Calibri"/>
        <family val="2"/>
        <scheme val="minor"/>
      </rPr>
      <t>Package Métier.</t>
    </r>
    <r>
      <rPr>
        <sz val="12"/>
        <rFont val="Calibri"/>
        <family val="2"/>
        <scheme val="minor"/>
      </rPr>
      <t xml:space="preserve"> Construire et commercialiser des offres verticalisées adaptées aux métiers</t>
    </r>
  </si>
  <si>
    <r>
      <t xml:space="preserve">Un seul interlocuteur. </t>
    </r>
    <r>
      <rPr>
        <sz val="12"/>
        <rFont val="Calibri"/>
        <family val="2"/>
        <scheme val="minor"/>
      </rPr>
      <t>Proposer aux clients un interlocuteur unique pour la vente et les services</t>
    </r>
  </si>
  <si>
    <r>
      <t xml:space="preserve">CA annuel </t>
    </r>
    <r>
      <rPr>
        <b/>
        <i/>
        <sz val="12"/>
        <color indexed="8"/>
        <rFont val="Calibri"/>
        <family val="2"/>
        <scheme val="minor"/>
      </rPr>
      <t>SaaS</t>
    </r>
    <r>
      <rPr>
        <i/>
        <sz val="12"/>
        <color indexed="8"/>
        <rFont val="Calibri"/>
        <family val="2"/>
        <scheme val="minor"/>
      </rPr>
      <t xml:space="preserve"> en mode abonnement souscription</t>
    </r>
  </si>
  <si>
    <t>Prestations de suivi et d'accompagnement additionnelles par le partenaire</t>
  </si>
  <si>
    <t>Roadmap, relations avec labos, packaging …</t>
  </si>
  <si>
    <t>Budget et ressources alloués aux marketing partenaire</t>
  </si>
  <si>
    <t xml:space="preserve">L'offre est-elle bien positionnée pour répondre à un besoin critique ? </t>
  </si>
  <si>
    <t>Pour qui ?</t>
  </si>
  <si>
    <t xml:space="preserve">Connaissance précise des profils d'interlocuteurs concernés ? </t>
  </si>
  <si>
    <t>Mapping des acteurs</t>
  </si>
  <si>
    <t xml:space="preserve">Connaissance des décideurs, des influenceurs, des utilisateurs, </t>
  </si>
  <si>
    <t>Messages ciblés</t>
  </si>
  <si>
    <t xml:space="preserve">Argumentaire pour chacun d'eux ? </t>
  </si>
  <si>
    <t xml:space="preserve">Marché annuel de premier équipement </t>
  </si>
  <si>
    <t xml:space="preserve">Tous les 4 ans </t>
  </si>
  <si>
    <t xml:space="preserve">1° équipement + Renouvellement "infidèle" </t>
  </si>
  <si>
    <t>Taux de fidélité / clients "infidèles"</t>
  </si>
  <si>
    <t>% d'affaires connues et traitées</t>
  </si>
  <si>
    <t>Les marchés pour lesquels notre offre est adaptée</t>
  </si>
  <si>
    <t>Engagements de résultats ou de moyens en vitesse de croisière</t>
  </si>
  <si>
    <t>Vérification</t>
  </si>
  <si>
    <t>CA new biz partenaire 1° année</t>
  </si>
  <si>
    <t>CA annuel partenaire</t>
  </si>
  <si>
    <t>Cloud SaaS. Mode souscription annuelle</t>
  </si>
  <si>
    <t>Total des Commissions à verser aux partenaires M Euros</t>
  </si>
  <si>
    <t>Total du CA Services vendus par les partenaires M €</t>
  </si>
  <si>
    <t>Mode SaaS ( abonnement / souscription annuelles ) Estimez le nombre de clients et de partenaires nécessaires pour atteindre les objectifs</t>
  </si>
  <si>
    <t>Taux de commission d'une affaire sur 3 ans en SaaS</t>
  </si>
  <si>
    <t>CA partenaire facturé au client 1° année</t>
  </si>
  <si>
    <t>CA et Marge sur 3 ans  du partenaire</t>
  </si>
  <si>
    <t>Licence et SaaS. Commission sur prestations fournissseur</t>
  </si>
  <si>
    <t xml:space="preserve">CA SaaS souscription années précédentes </t>
  </si>
  <si>
    <t>CA mode licence revenus licence "one shot"</t>
  </si>
  <si>
    <t>Licence et SaaS. Commissions sur biz additionnel fournisseur</t>
  </si>
  <si>
    <t>MARGE NETTE PARTENAIRE</t>
  </si>
  <si>
    <t xml:space="preserve">CA mode licence maintenance récurrente </t>
  </si>
  <si>
    <t>Total cumulé</t>
  </si>
  <si>
    <t>Marge nette sur new biz annuel</t>
  </si>
  <si>
    <t>Commissions sur maintenance récurrente ( mode licence )</t>
  </si>
  <si>
    <t>Thème /   Documents</t>
  </si>
  <si>
    <t>Voir tableau ci-après</t>
  </si>
  <si>
    <t>BP34</t>
  </si>
  <si>
    <t>Channel capacity: voir tableau ci-dessous</t>
  </si>
  <si>
    <t>Voir radar des conflits de canaux</t>
  </si>
  <si>
    <t>Des frontières et territoires clairs pour éviter les conflits de canaux
Des champions par secteur</t>
  </si>
  <si>
    <t>analyse concurrence , analyse affaires perdues à cause des prix</t>
  </si>
  <si>
    <t>Analyse des affaires perdues / gagnées 1 fois par an minimum; analyse de la stratégie pricing de la concurrence</t>
  </si>
  <si>
    <t>Taux d'attractivité</t>
  </si>
  <si>
    <t>Easy to do business + Opportunités de développement business pour les partenaires</t>
  </si>
  <si>
    <t>Le respect du planning
L'efficacité des outils 
Le budget</t>
  </si>
  <si>
    <t>Total nombre de jours</t>
  </si>
  <si>
    <t>Coût estimé K €</t>
  </si>
  <si>
    <t>Respect du planning et du budget. Puis, ultérieurement, mesurer l'efficacité des outils</t>
  </si>
  <si>
    <t>Présenter lesoutils aux partenaire pour leur montrer votre souhait qu'ils deviennent autonomes le plus rapidement possible</t>
  </si>
  <si>
    <t>Tableau ci-dessous</t>
  </si>
  <si>
    <t>1 J/H</t>
  </si>
  <si>
    <t>TOTAL ETP</t>
  </si>
  <si>
    <t>TOTAL Investment</t>
  </si>
  <si>
    <t># deals par partenaire</t>
  </si>
  <si>
    <t xml:space="preserve">Reprendre le tableau des key metrics qui donne le point mort </t>
  </si>
  <si>
    <t>Pas nécessaire à insérer dans la proposition de valeur. Par contre, fondamental pour calculer la rentabilité du programme partenaire</t>
  </si>
  <si>
    <t>A calculer à la fin du workshop pour valider le business plan</t>
  </si>
  <si>
    <t>Key metrics fondamentaux</t>
  </si>
  <si>
    <t>Donnée que peut de fournisseurs donnent à leurs partenaires. A utiliser pour le biz plan partenaire</t>
  </si>
  <si>
    <t xml:space="preserve">A revoir chaque année. Fondamental. </t>
  </si>
  <si>
    <t>Estimer les chances de réussite de la mise en œuvre de la stratégie partenaire. A réaliser à la fin du 3° jour. Valide la capacité d'exécution</t>
  </si>
  <si>
    <t>Reprendre le radar</t>
  </si>
  <si>
    <t xml:space="preserve">Robustesse de la solution </t>
  </si>
  <si>
    <t>Positionnement  "Must Have"</t>
  </si>
  <si>
    <t>Capacité à maîtriser le Marché</t>
  </si>
  <si>
    <t xml:space="preserve">Marché bien maîtrisé quantitativement ( cibles ) </t>
  </si>
  <si>
    <t>Cibles clients clairement déterminées pour les partenaires</t>
  </si>
  <si>
    <t>Capacité à anticiper et gérer les Conflits intercanaux</t>
  </si>
  <si>
    <t xml:space="preserve">Capacité à recruter des collaborateurs de Qualité </t>
  </si>
  <si>
    <t>Marketing budget dédié</t>
  </si>
  <si>
    <t>Programme partenaire à mettre en place</t>
  </si>
  <si>
    <t>Capacité à mettre en place un Programme partenaire efficace</t>
  </si>
  <si>
    <t>Analyse des Programmes concurrents</t>
  </si>
  <si>
    <t xml:space="preserve">Outils de pilotage. Priorités de Mise en place. </t>
  </si>
  <si>
    <t>A l'écoute de ce que veulent les clients</t>
  </si>
  <si>
    <t xml:space="preserve">Bilan du Workshop: l'atteinte des objectifs, le format, la méthodologie, les outils, le Consultant, l'interactivité, les échanges, la logistique, </t>
  </si>
  <si>
    <t>Marktg Commercial</t>
  </si>
  <si>
    <t>Argumentaires, supports à la vente, Extranet, CRM / PRM</t>
  </si>
  <si>
    <t>Marktg Notoriété</t>
  </si>
  <si>
    <t>Relations presse, réseaux sociaux, site web, évènements</t>
  </si>
  <si>
    <t>Marktg Leads</t>
  </si>
  <si>
    <t xml:space="preserve">Quantité et Qualité des leads, leur suivi et traitement </t>
  </si>
  <si>
    <t>Maîtrise du Besoin critique</t>
  </si>
  <si>
    <t>Commercial</t>
  </si>
  <si>
    <t>Consultant Avant-vente</t>
  </si>
  <si>
    <t>Consultant Après-vente</t>
  </si>
  <si>
    <t>Support Hot line</t>
  </si>
  <si>
    <t>Salaire brut</t>
  </si>
  <si>
    <t>% Charges</t>
  </si>
  <si>
    <t>Salaire chargé</t>
  </si>
  <si>
    <t>Salaire moyen jour par catégorie</t>
  </si>
  <si>
    <t>Formation des Avant-ventes. Coûts d'immobilisation</t>
  </si>
  <si>
    <t>Formation des consultants Après-vente. Coûts d'immobilisation</t>
  </si>
  <si>
    <t>Marge nette Partenaire     ( CA - Salaire chargé )</t>
  </si>
  <si>
    <r>
      <rPr>
        <b/>
        <sz val="12"/>
        <color theme="9" tint="-0.249977111117893"/>
        <rFont val="Calibri"/>
        <family val="2"/>
        <scheme val="minor"/>
      </rPr>
      <t xml:space="preserve">% remise fournisseur
</t>
    </r>
    <r>
      <rPr>
        <b/>
        <sz val="12"/>
        <rFont val="Calibri"/>
        <family val="2"/>
        <scheme val="minor"/>
      </rPr>
      <t>et</t>
    </r>
    <r>
      <rPr>
        <b/>
        <sz val="12"/>
        <color theme="9" tint="-0.249977111117893"/>
        <rFont val="Calibri"/>
        <family val="2"/>
        <scheme val="minor"/>
      </rPr>
      <t xml:space="preserve"> </t>
    </r>
    <r>
      <rPr>
        <b/>
        <sz val="12"/>
        <rFont val="Calibri"/>
        <family val="2"/>
        <scheme val="minor"/>
      </rPr>
      <t>charges partenaire</t>
    </r>
  </si>
  <si>
    <t>Prix journée facturé au client</t>
  </si>
  <si>
    <t>Autre prestation 2</t>
  </si>
  <si>
    <t>Autre prestation 1</t>
  </si>
  <si>
    <t>Marktg events</t>
  </si>
  <si>
    <t>Autres coûts d'immobilisation de collaborateurs</t>
  </si>
  <si>
    <t>Autres charges</t>
  </si>
  <si>
    <t>Perte/gain</t>
  </si>
  <si>
    <t>A</t>
  </si>
  <si>
    <t>-B</t>
  </si>
  <si>
    <t>= C</t>
  </si>
  <si>
    <t>CA net moyen par deal partenaire</t>
  </si>
  <si>
    <t>Nbre deals moyen par BP par an</t>
  </si>
  <si>
    <t>Pondération du nombre de partenaires par catégorie ( Grand compte, PME, TPE ) x nombre de deals moyen par catégorie</t>
  </si>
  <si>
    <t xml:space="preserve">Définir les outils, documents, process, ressources accessibles par les partenaires afin qu'ils soient autonomes et efficaces sur un plan comemrcial, marketing, administratif et technique . </t>
  </si>
  <si>
    <t>Enjeux et peines des clients, solutions attendues …</t>
  </si>
  <si>
    <t>Marché: caractéristiques, volumes adressables, témoignages Gartner …</t>
  </si>
  <si>
    <t>N°21. Modelvente</t>
  </si>
  <si>
    <t>Part des partenaires dans le biz model,</t>
  </si>
  <si>
    <t>Ambition 3 ans,  CA induit pour les partenaires</t>
  </si>
  <si>
    <t>N°22. OpportuniteBP</t>
  </si>
  <si>
    <t>N° 13. Marchés cibles</t>
  </si>
  <si>
    <t>N° 8. Interlocuteurs à cibler</t>
  </si>
  <si>
    <t>N°4  Attentes</t>
  </si>
  <si>
    <t>N°17. Type de distribution</t>
  </si>
  <si>
    <t>N°21. Modèle de vente</t>
  </si>
  <si>
    <t xml:space="preserve">
N° 29 VA pour les partenaires</t>
  </si>
  <si>
    <t>Bénéfices business pour les partenaires</t>
  </si>
  <si>
    <t>Stratégie de partenariat</t>
  </si>
  <si>
    <t>N°16 Stratégie</t>
  </si>
  <si>
    <t>Rôle et périmètre d'intervention des partenaires</t>
  </si>
  <si>
    <t>N°18  Rôle des partenaires</t>
  </si>
  <si>
    <t>Programmes partenaires / engagements mutuels</t>
  </si>
  <si>
    <t>N°31 Programme partenaire</t>
  </si>
  <si>
    <t>Les Solutions &amp; Marchés ciblés</t>
  </si>
  <si>
    <t>Le Marché , les besoins, les enjeux</t>
  </si>
  <si>
    <t xml:space="preserve">Elevator pitch </t>
  </si>
  <si>
    <t>Voir PAD</t>
  </si>
  <si>
    <t>N°7 Positionnement</t>
  </si>
  <si>
    <t>Recrutement et Lancement</t>
  </si>
  <si>
    <t>N°19 Profil idéal</t>
  </si>
  <si>
    <t>N°20 Nbre de BPs</t>
  </si>
  <si>
    <t>Critères de recrutement</t>
  </si>
  <si>
    <t xml:space="preserve">Nombre de partenaires ( facultatif ) </t>
  </si>
  <si>
    <t>N° 32. Fast Start Program</t>
  </si>
  <si>
    <t>Références clients par secteur</t>
  </si>
  <si>
    <t xml:space="preserve">Ventilation du biz par canal de distribution </t>
  </si>
  <si>
    <t>Opportunités globales pour les BPs</t>
  </si>
  <si>
    <t>Conclusion</t>
  </si>
  <si>
    <t>Contacts</t>
  </si>
  <si>
    <t>Marchés</t>
  </si>
  <si>
    <t>Animateur</t>
  </si>
  <si>
    <t>rene.causse@pad-partners.com</t>
  </si>
  <si>
    <t>01-SWOT</t>
  </si>
  <si>
    <r>
      <t>CA généré en</t>
    </r>
    <r>
      <rPr>
        <b/>
        <i/>
        <sz val="12"/>
        <color indexed="8"/>
        <rFont val="Calibri"/>
        <family val="2"/>
        <scheme val="minor"/>
      </rPr>
      <t xml:space="preserve"> mode licence</t>
    </r>
    <r>
      <rPr>
        <i/>
        <sz val="12"/>
        <color indexed="8"/>
        <rFont val="Calibri"/>
        <family val="2"/>
        <scheme val="minor"/>
      </rPr>
      <t xml:space="preserve"> . Payement "one shot"</t>
    </r>
  </si>
  <si>
    <t>et/ou</t>
  </si>
  <si>
    <t xml:space="preserve">CA total des Services Fournisseur vendus en "one shot " dont: </t>
  </si>
  <si>
    <t>- Stratégie de ciblage</t>
  </si>
  <si>
    <t>- Frais de démarrage client. Set up. Paramétrage</t>
  </si>
  <si>
    <t xml:space="preserve">- Suivi des performances </t>
  </si>
  <si>
    <t>- Méthodologie Connecteurs / APIs</t>
  </si>
  <si>
    <t>- Formation certifiante clients</t>
  </si>
  <si>
    <t>- Hardware</t>
  </si>
  <si>
    <t>- Flux ( call &amp; visio )</t>
  </si>
  <si>
    <t>- Accompagnement au changement</t>
  </si>
  <si>
    <t>- Autre</t>
  </si>
  <si>
    <t>CA 2  années suivantes</t>
  </si>
  <si>
    <t xml:space="preserve"> Maintenance annuelle récurrente </t>
  </si>
  <si>
    <t>Moyenne</t>
  </si>
  <si>
    <t>Il s'agit de formaliser vos engagements et stratégie . En fait, il s'agit de votre charte d'engagement vis-à-vis des partenaires . Reprendre les points supérieurs à 8 par exemple</t>
  </si>
  <si>
    <t xml:space="preserve">Reprendre les points supérieurs à 7 et les doter de métriques. Voir exemple dans tableau ci-après: </t>
  </si>
  <si>
    <t>Nombre de leads qualifiés nécessaires pour signer une affaire</t>
  </si>
  <si>
    <t>Analyse des succès et des échecs commerciaux / clients finaux</t>
  </si>
  <si>
    <t xml:space="preserve">
2 slides. 
1. Expliquer les caractéristques du process comemrcial
2. Démontrer la ventilation du CA client, en mettant en avant les services facturés par les partenaires</t>
  </si>
  <si>
    <t xml:space="preserve">Surveiller de près le tableau suivant: CA moyen, ventilation du CA client entre fournisseur et partenaire  </t>
  </si>
  <si>
    <t>Panier moyen client 
Pourcentage CA Partenaire / CA fournisseur</t>
  </si>
  <si>
    <t>voir guide</t>
  </si>
  <si>
    <t>Voir guide</t>
  </si>
  <si>
    <t xml:space="preserve">Renouveler cet exercice tous les 12 mois en interne et auprès de vos partenaires ( steering commitee ) </t>
  </si>
  <si>
    <t>Reprendre les points forts et notamment la maîtrise des peines des interlocuteurs ciblés</t>
  </si>
  <si>
    <t>Slide présentation de l'offre. Voir guide</t>
  </si>
  <si>
    <t xml:space="preserve">Slide </t>
  </si>
  <si>
    <t>Reprendre les points forts dans la proposition de valeur, slide présentant l'offre" channel ready"</t>
  </si>
  <si>
    <t xml:space="preserve">Suivre les points forts et faibles. Renouveler cet exercice tous les 6 mois en interne et auprès de vos partenaires </t>
  </si>
  <si>
    <t xml:space="preserve">Surveiller les partenaires qui ne sont pas autonomes sur ertaines responsabilités et rectifier le tir !  Voir tableau ci-après </t>
  </si>
  <si>
    <t>% Coûts support</t>
  </si>
  <si>
    <t>bp56</t>
  </si>
  <si>
    <t>Expliquer aux partenaires leurs rôles et responsabilités</t>
  </si>
  <si>
    <r>
      <rPr>
        <b/>
        <sz val="12"/>
        <rFont val="Calibri"/>
        <family val="2"/>
        <scheme val="minor"/>
      </rPr>
      <t>2 Compétences techniques :</t>
    </r>
    <r>
      <rPr>
        <sz val="12"/>
        <rFont val="Calibri"/>
        <family val="2"/>
        <scheme val="minor"/>
      </rPr>
      <t xml:space="preserve"> prérequis techniques, # mini consultants et chefs de projet,   Services: hot line/intégration/ /dévelopement/  déploiement/ consulting </t>
    </r>
  </si>
  <si>
    <r>
      <rPr>
        <b/>
        <sz val="12"/>
        <rFont val="Calibri"/>
        <family val="2"/>
        <scheme val="minor"/>
      </rPr>
      <t>1. Taille critique :</t>
    </r>
    <r>
      <rPr>
        <sz val="12"/>
        <rFont val="Calibri"/>
        <family val="2"/>
        <scheme val="minor"/>
      </rPr>
      <t xml:space="preserve"> classement sur leur marché,  # employés, CA mini, couverture régionale, nationale, internationale ...</t>
    </r>
  </si>
  <si>
    <r>
      <rPr>
        <b/>
        <sz val="12"/>
        <rFont val="Calibri"/>
        <family val="2"/>
        <scheme val="minor"/>
      </rPr>
      <t>3 Compétences métier:</t>
    </r>
    <r>
      <rPr>
        <sz val="12"/>
        <rFont val="Calibri"/>
        <family val="2"/>
        <scheme val="minor"/>
      </rPr>
      <t xml:space="preserve"> part de marché, VA avérée pour les clients, business  units ou practice dédiée, nombre de clients, réputation, &gt; X% du CA</t>
    </r>
  </si>
  <si>
    <r>
      <rPr>
        <b/>
        <sz val="12"/>
        <rFont val="Calibri"/>
        <family val="2"/>
        <scheme val="minor"/>
      </rPr>
      <t xml:space="preserve">4 Dynamisme commercial et marketing : </t>
    </r>
    <r>
      <rPr>
        <sz val="12"/>
        <rFont val="Calibri"/>
        <family val="2"/>
        <scheme val="minor"/>
      </rPr>
      <t>nombre de commerciaux, nombre de nouveaux clients par an, cellule marktg</t>
    </r>
  </si>
  <si>
    <r>
      <rPr>
        <b/>
        <sz val="12"/>
        <rFont val="Calibri"/>
        <family val="2"/>
        <scheme val="minor"/>
      </rPr>
      <t>5 Qualité des dirigeants:</t>
    </r>
    <r>
      <rPr>
        <sz val="12"/>
        <rFont val="Calibri"/>
        <family val="2"/>
        <scheme val="minor"/>
      </rPr>
      <t xml:space="preserve"> réputation, historique, culture, vision, stabilité, </t>
    </r>
  </si>
  <si>
    <r>
      <rPr>
        <b/>
        <sz val="12"/>
        <rFont val="Calibri"/>
        <family val="2"/>
        <scheme val="minor"/>
      </rPr>
      <t>6  Alignement stratégique:</t>
    </r>
    <r>
      <rPr>
        <sz val="12"/>
        <rFont val="Calibri"/>
        <family val="2"/>
        <scheme val="minor"/>
      </rPr>
      <t xml:space="preserve"> marchés, solutions, valeur ajoutée, partenaires actuels </t>
    </r>
  </si>
  <si>
    <r>
      <rPr>
        <b/>
        <sz val="12"/>
        <rFont val="Calibri"/>
        <family val="2"/>
        <scheme val="minor"/>
      </rPr>
      <t>7  Santé financière</t>
    </r>
    <r>
      <rPr>
        <sz val="12"/>
        <rFont val="Calibri"/>
        <family val="2"/>
        <scheme val="minor"/>
      </rPr>
      <t>: croissance CA et marge, Cash Flow</t>
    </r>
  </si>
  <si>
    <t>kkkkkkkkkkkkkkkkkkkkkkkkkkkkkkkkkkkkkkkk</t>
  </si>
  <si>
    <t xml:space="preserve">Slide "critères de recrutement": Informer vos partenaires sur vos critères de recrutement. Cela les rassurera ! </t>
  </si>
  <si>
    <t>Outil de screening. Analyser l'adéquation de vos partenaires avec vos critères de recrutement</t>
  </si>
  <si>
    <t>Plan recrutement 3 ans</t>
  </si>
  <si>
    <t xml:space="preserve">Plan de recrutement: Le nombre de partenaires par type et par an </t>
  </si>
  <si>
    <t xml:space="preserve">Nbre deals par partenaire par an </t>
  </si>
  <si>
    <t>Nbre nouveaux clients / an / partenaire</t>
  </si>
  <si>
    <t>xxx K</t>
  </si>
  <si>
    <t>CA total = # partenaires x panier moyen x nombre de signatures</t>
  </si>
  <si>
    <t>Revenus One Shot : Services et/ou licence on premisces</t>
  </si>
  <si>
    <t>Revenus "One shot" ( licences, services )</t>
  </si>
  <si>
    <t>ESN</t>
  </si>
  <si>
    <t>Centres de contact</t>
  </si>
  <si>
    <t>Editeurs</t>
  </si>
  <si>
    <t>Sous-total Revenus one shot</t>
  </si>
  <si>
    <t xml:space="preserve">CA Total Indirect </t>
  </si>
  <si>
    <t>Taux de Croissance du CA indirect</t>
  </si>
  <si>
    <t>CA Total Indirect à atteindre</t>
  </si>
  <si>
    <t xml:space="preserve">Revenus récurrents: Cloud SaaS et/ou maintenance annuelle. Mode souscription abonnement </t>
  </si>
  <si>
    <t xml:space="preserve">Abonnements ( récurrent global : abonnement + suivi ) </t>
  </si>
  <si>
    <t xml:space="preserve">Revenus récurrents ( Abonnements SaaS, maintenance annuelle ) </t>
  </si>
  <si>
    <t xml:space="preserve">Sous-total revenus récurrents </t>
  </si>
  <si>
    <t>CA Total Indirect</t>
  </si>
  <si>
    <t>CA One shot ( licences, services … )</t>
  </si>
  <si>
    <t>CA Abonnements récurrents ( SaaS, maintenance … )</t>
  </si>
  <si>
    <t>Part des revenus "one shot" ( licence, Services )</t>
  </si>
  <si>
    <t>Part des abonnements récurrent SaaS</t>
  </si>
  <si>
    <t>CA Direct</t>
  </si>
  <si>
    <t xml:space="preserve">CA Total direct </t>
  </si>
  <si>
    <t>CA indirect</t>
  </si>
  <si>
    <t>Part de l'indirect</t>
  </si>
  <si>
    <t>Taux de Croissance de l'indirect</t>
  </si>
  <si>
    <t>Taux de croissance du direct</t>
  </si>
  <si>
    <t>Répartition du CA par modes de revenus ( M€ )</t>
  </si>
  <si>
    <t>Répartition du CA par canal direct / indirect ( M€ )</t>
  </si>
  <si>
    <t>Répartition de CA par canal de vente ( M€ )</t>
  </si>
  <si>
    <t xml:space="preserve">sont incontournables pour le développement de la société
x % du CA dans 3 ans 
Progression vs direct 
...
</t>
  </si>
  <si>
    <t>Voir tableau du CA par canal de vente à 3 ans</t>
  </si>
  <si>
    <t>Mode Licence Set up  / One shot</t>
  </si>
  <si>
    <t xml:space="preserve">Surveiller l'évolution du rapport CA partenaire  / CA fournisseur . </t>
  </si>
  <si>
    <t>Présenter aux partenaires le gâteau qu'ils vot se partager dans les 3 ou 4 ans à venir</t>
  </si>
  <si>
    <t>XX M€ mis sur le marché pour un nombre limité de partenaires
L'importance du Service pour les partenaires, principale source de leurs revenus</t>
  </si>
  <si>
    <t>Tableau du CA service des partenaires. 
Par canal de vente, le rapport CA partenaire / CA fournisseur</t>
  </si>
  <si>
    <t># new clients signés par partenaires</t>
  </si>
  <si>
    <t xml:space="preserve">Nombre de partenaires actifs </t>
  </si>
  <si>
    <t>Permet de déterminer le nombre de commerciaux actifs chez les partenaires en fonction du nombre moyen de clients signés par un commercial partenaire</t>
  </si>
  <si>
    <r>
      <t xml:space="preserve">
</t>
    </r>
    <r>
      <rPr>
        <b/>
        <sz val="14"/>
        <rFont val="Calibri"/>
        <family val="2"/>
        <scheme val="minor"/>
      </rPr>
      <t xml:space="preserve">Nombre de nouveaux clients par an </t>
    </r>
  </si>
  <si>
    <t xml:space="preserve"> CA incrémental en mode SaaS ( M€ )</t>
  </si>
  <si>
    <t>Panier moyen par partner M€ ( Base 6 mois )</t>
  </si>
  <si>
    <r>
      <t xml:space="preserve">
</t>
    </r>
    <r>
      <rPr>
        <b/>
        <sz val="14"/>
        <rFont val="Calibri"/>
        <family val="2"/>
        <scheme val="minor"/>
      </rPr>
      <t># partenaires actifs</t>
    </r>
  </si>
  <si>
    <t>Voir le tableau ci-après</t>
  </si>
  <si>
    <t>dddddddddd</t>
  </si>
  <si>
    <t>Apportd'un lead qualifié</t>
  </si>
  <si>
    <t>Implication dans l'Avant-Vente ( Analyse besoins, démo, pricing, ROI  … )</t>
  </si>
  <si>
    <t>Signature négociation</t>
  </si>
  <si>
    <t>Stratégie de remise / commissions aux partenaires</t>
  </si>
  <si>
    <t xml:space="preserve">Choix: Vente à un prix net et fixe aux partenaires ou vente sur la base d'une liste de prix client moins une remise partenaire de x% ? </t>
  </si>
  <si>
    <t>Montant de la commission ( versus concurrence , valeur ajoutée du partenaire … )</t>
  </si>
  <si>
    <t xml:space="preserve">Saas: Périodicité de la commission: 1° année et/ou années suivantes </t>
  </si>
  <si>
    <t xml:space="preserve">Saas: Périodicité de la commission: calée sur la durée du contrat d'abonnementsigné par le client final . </t>
  </si>
  <si>
    <t xml:space="preserve">Saas: surprime aux renouvellements des abonnements par les clients ? </t>
  </si>
  <si>
    <t>Saas: paiement des commissions : upfront ou au cours de l'eau, montant correspondant à 12 ou 24 mois, ?</t>
  </si>
  <si>
    <t>SaaS: % commissions sur les services ( set up … )</t>
  </si>
  <si>
    <t>Bien expliquer au partenaire les règles de commissionement</t>
  </si>
  <si>
    <t>Analyse concurrence; test de satisfaction auprès des partenaires</t>
  </si>
  <si>
    <t>Mesurer le taux d'Attractivité de l'offre : en interne et par les partenaires eux-mêmes
Le radar</t>
  </si>
  <si>
    <t>Formation des consultants Services ciblage. Coûts d'immobilisation</t>
  </si>
  <si>
    <t>Gestion production . Coûts d'immobilisation</t>
  </si>
  <si>
    <t>Commissions et Marge nette Partenaire</t>
  </si>
  <si>
    <t>OU</t>
  </si>
  <si>
    <t>% Coûts chargés</t>
  </si>
  <si>
    <t>Calcul du CA annuel facturé aux clients par le partenaire</t>
  </si>
  <si>
    <t>CA autres prestations du fournisseur One shot</t>
  </si>
  <si>
    <t>CA des Services facturés par le partenaire</t>
  </si>
  <si>
    <t>CA additionnel upselling fournisseur</t>
  </si>
  <si>
    <t>CA Sercices additionnels partenaire</t>
  </si>
  <si>
    <t>TOTAL CA CLIENTS  FINAUX</t>
  </si>
  <si>
    <t>Calcul des commissions versés aux partenaires</t>
  </si>
  <si>
    <t>Calcul de la marge nette du partenaire</t>
  </si>
  <si>
    <t>Marge nette sur prestations partenaire additionnelles N+1, N+2</t>
  </si>
  <si>
    <t>Commissions sur biz additionnel fournisseur N+1, N+2</t>
  </si>
  <si>
    <t>Commissions SaaS récurrentes des années précédentes</t>
  </si>
  <si>
    <t>% Récurrence/ marge nette</t>
  </si>
  <si>
    <t>% Récurrence/ CA client</t>
  </si>
  <si>
    <t xml:space="preserve">Point mort: à la xx° affaire
CA Total cumulé 3 ans: xxxM €
CA prestations partenaire 3 ans: xxxM€ 
Commissions touchées par le partenaire: xxx K 
Marge nette : xxx K
</t>
  </si>
  <si>
    <t>Engagements du partenaire à votre égard</t>
  </si>
  <si>
    <t>Vos engagements vis-à-vis des partenaires</t>
  </si>
  <si>
    <t>biz cases clients par marché</t>
  </si>
  <si>
    <t>proposition commerciale standard</t>
  </si>
  <si>
    <t xml:space="preserve">exemplaire de emailing, </t>
  </si>
  <si>
    <t>script telemarktrs pour appels de prospection</t>
  </si>
  <si>
    <t>Global value proposition</t>
  </si>
  <si>
    <t>Programme partenaire</t>
  </si>
  <si>
    <t>Biz plan annuel</t>
  </si>
  <si>
    <t xml:space="preserve">Process et outils de suivi des affaires </t>
  </si>
  <si>
    <t>Partage de CRM ( en option )</t>
  </si>
  <si>
    <t>Extranet partenaire et Autorisations d'accès</t>
  </si>
  <si>
    <t>Outils de mise à jour de leur site Web</t>
  </si>
  <si>
    <t>Plaque Partenaire</t>
  </si>
  <si>
    <t>Méthologie de gestion de projet</t>
  </si>
  <si>
    <t>Extranet infos techniques</t>
  </si>
  <si>
    <t>FAQ</t>
  </si>
  <si>
    <t>Questionnaire de satisfaction</t>
  </si>
  <si>
    <t xml:space="preserve">Suivi incident / Ticketting </t>
  </si>
  <si>
    <t>Liste de prix + remises</t>
  </si>
  <si>
    <t>Présentation scté ( rapport annuel, slides … )</t>
  </si>
  <si>
    <t>Démontrer votre maîtrise du cycle comemrcial et notamment le nombre de leads ou CA nécessaires pour atteindre les objectifs de CA</t>
  </si>
  <si>
    <t xml:space="preserve">CA brut mode licence / services "one shot" </t>
  </si>
  <si>
    <t>Commissions sur la maintenance annuelle récurrente</t>
  </si>
  <si>
    <t>Coût du welcome package et sales kit pour les partenaires ( documentation, démo, proposition, events … ) Traduction</t>
  </si>
  <si>
    <t>Moyenne sur 10 obtenue.</t>
  </si>
  <si>
    <t># new clients signés par partenaire</t>
  </si>
  <si>
    <t># total de partenaires  au catalogue</t>
  </si>
  <si>
    <t>Commissions suivant la Valeur ajoutée du partenaire</t>
  </si>
  <si>
    <t>Vars Nationaux</t>
  </si>
  <si>
    <t>Indir</t>
  </si>
  <si>
    <t>Indirect</t>
  </si>
  <si>
    <t>Taux de croissance annuel indirect</t>
  </si>
  <si>
    <t>CA Récurrent</t>
  </si>
  <si>
    <t xml:space="preserve">KPIs Nombre total de partenaires nécessaires </t>
  </si>
  <si>
    <t>Voir tableau du CA par canal de vente à 3 an</t>
  </si>
  <si>
    <t>Slide avec points forts et singularités pour le partenaire</t>
  </si>
  <si>
    <t>Les attentes vis-à-vis des partenaires</t>
  </si>
  <si>
    <t xml:space="preserve">Le Marché: ses tendances, son volume </t>
  </si>
  <si>
    <t>Paramètres du workshop</t>
  </si>
  <si>
    <t>Participants et dates</t>
  </si>
  <si>
    <t>SWOT analyse de l'existant</t>
  </si>
  <si>
    <t>Bilan Stratégie partenaire par rubrique</t>
  </si>
  <si>
    <t>01-ASSESMENT</t>
  </si>
  <si>
    <t>Définition de la Stratégie de partenariat. Charte</t>
  </si>
  <si>
    <t>02-EXPECTATIONS</t>
  </si>
  <si>
    <t>02-CHANNEL STRATEGY</t>
  </si>
  <si>
    <t>02-SALES PLAN-OFR1</t>
  </si>
  <si>
    <t>02-BUSINESS4PARTNERS-OFR1</t>
  </si>
  <si>
    <t>02-CHANNEL CAPACITY-SAAS-OFR1</t>
  </si>
  <si>
    <t>02-CHANNEL CAPACITY-SAAS-OFR2</t>
  </si>
  <si>
    <t>02-CHANNEL CAPACITY-LIC-OFR1</t>
  </si>
  <si>
    <t>02-SALES PLAN-OFR2</t>
  </si>
  <si>
    <t>02-BUSINESS4PARTNERS-OFR2</t>
  </si>
  <si>
    <t>02-CHANNEL CAPACITY-LIC-OFR2</t>
  </si>
  <si>
    <t>02-SALES PLAN-OFR3</t>
  </si>
  <si>
    <t>02-BUSINESS4PARTNERS-OFR3</t>
  </si>
  <si>
    <t>02-CHANNEL CAPACITY-SAAS-OFR3</t>
  </si>
  <si>
    <t>02-CHANNEL CAPACITY-LIC-OFR3</t>
  </si>
  <si>
    <t>Titres des Onglets</t>
  </si>
  <si>
    <t>00- PARAMETERS</t>
  </si>
  <si>
    <t>00-ACTORS</t>
  </si>
  <si>
    <t>03-INTERLOCUTORS</t>
  </si>
  <si>
    <t>03-BUSINESS CARD-OFR1</t>
  </si>
  <si>
    <t>03-CHANNEL READY-OFR1</t>
  </si>
  <si>
    <t>03-CHANNEL READY-OFR2</t>
  </si>
  <si>
    <t>03-MARKET READY-OFR1</t>
  </si>
  <si>
    <t>Interlocuteurs prioritaires pour la prise de décision</t>
  </si>
  <si>
    <t>03-CRITICITY-OFR1</t>
  </si>
  <si>
    <t>03-COMPETITION-OFR1</t>
  </si>
  <si>
    <t>03-POSITIONNING-OFR1</t>
  </si>
  <si>
    <t>03-BUSINESS CARD-OFR2</t>
  </si>
  <si>
    <t>03-MARKET READY-OFR2</t>
  </si>
  <si>
    <t>03-CRITICITY-OFR2</t>
  </si>
  <si>
    <t>03-COMPETITION-OFR2</t>
  </si>
  <si>
    <t>03-POSITIONNING-OFR2</t>
  </si>
  <si>
    <t>03-BUSINESS CARD-OFR3</t>
  </si>
  <si>
    <t>03-CHANNEL READY-OFR3</t>
  </si>
  <si>
    <t>03-MARKET READY-OFR3</t>
  </si>
  <si>
    <t>03-CRITICITY-OFR3</t>
  </si>
  <si>
    <t>03-COMPETITION-OFR3</t>
  </si>
  <si>
    <t>03-POSITIONNING-OFR3</t>
  </si>
  <si>
    <t>04-MARKET SPECIFICITIES</t>
  </si>
  <si>
    <t>04-SECTOR MARKETS-OFR1</t>
  </si>
  <si>
    <t>04-DOMESTIC MARKETS-OFR1</t>
  </si>
  <si>
    <t>04-SECTOR MARKETS-OFR2</t>
  </si>
  <si>
    <t>04-DOMESTIC MARKETS-OFR2</t>
  </si>
  <si>
    <t>04-FOREIGN MARKETS-OFR2</t>
  </si>
  <si>
    <t>04-FOREIGN MARKETS-OFR1</t>
  </si>
  <si>
    <t>04-SECTOR MARKETS-OFR3</t>
  </si>
  <si>
    <t>04-DOMESTIC MARKETS-OFR3</t>
  </si>
  <si>
    <t>04-FOREIGN MARKETS-OFR3</t>
  </si>
  <si>
    <t>05-SOURCES CONFLICT</t>
  </si>
  <si>
    <t>Organisation des équipes commerciales</t>
  </si>
  <si>
    <t>Sources de Conflits entre canaux de vente</t>
  </si>
  <si>
    <t>06-TYPO PARTNERS-OFR1</t>
  </si>
  <si>
    <t>06-RESPONSAB PARTNER-OFR1</t>
  </si>
  <si>
    <t>06-PROFIL PARTNER-OFR1</t>
  </si>
  <si>
    <t>06-TYPO PARTNERS-OFR2</t>
  </si>
  <si>
    <t>06-RESPONSAB PARTNER-OFR2</t>
  </si>
  <si>
    <t>06-PROFIL PARTNER-OFR2</t>
  </si>
  <si>
    <t>06-TYPO PARTNERS-OFR3</t>
  </si>
  <si>
    <t>06-RESPONSAB PARTNER-OFR3</t>
  </si>
  <si>
    <t>06-PROFIL PARTNER-OFR3</t>
  </si>
  <si>
    <t>07-RECRUITMENT PLAN-OFR1</t>
  </si>
  <si>
    <t>07-RECRUITMENT PLAN-OFR2</t>
  </si>
  <si>
    <t>07-RECRUITMENT PLAN-OFR3</t>
  </si>
  <si>
    <t>08-PRICING STRATEGY</t>
  </si>
  <si>
    <t>08-DISCOUNT STRATEGY</t>
  </si>
  <si>
    <t>Stratégie de remise aux partenaires</t>
  </si>
  <si>
    <t>08-VALUE ADD 4 PARTNER-OFR1</t>
  </si>
  <si>
    <t>08-VALUE ADD 4 PARTNER-OFR2</t>
  </si>
  <si>
    <t>08-VALUE ADD 4 PARTNER-OFR3</t>
  </si>
  <si>
    <t>09-PROFIT PARTNER-OFR1</t>
  </si>
  <si>
    <t>09-PROFIT PARTNER-OFR2</t>
  </si>
  <si>
    <t>09-PROFIT PARTNER-OFR3</t>
  </si>
  <si>
    <t xml:space="preserve">Accès aux Modules Pré-paramétrés </t>
  </si>
  <si>
    <t>10- PROGRAM PARTNER</t>
  </si>
  <si>
    <t>10-LEADS COVERAGE-OFR1</t>
  </si>
  <si>
    <t>10-LEADS COVERAGE-OFR2</t>
  </si>
  <si>
    <t>10-LEADS COVERAGE-OFR3</t>
  </si>
  <si>
    <t>SWOT du workshop . Bilan Evaluation</t>
  </si>
  <si>
    <t>Facteurs critiques de la mise en œuvre</t>
  </si>
  <si>
    <t>Plan d'Actions décidées durant le workshop</t>
  </si>
  <si>
    <t>Plan de la proposition de valeur à formaliser</t>
  </si>
  <si>
    <t>Expectations</t>
  </si>
  <si>
    <t>Positionning</t>
  </si>
  <si>
    <t>Criticity</t>
  </si>
  <si>
    <t>Competition</t>
  </si>
  <si>
    <t>Cap à 3 ans : ambition CA, marchés, produits, …</t>
  </si>
  <si>
    <t>Marketspecifities</t>
  </si>
  <si>
    <t>Sectormarket</t>
  </si>
  <si>
    <t>Critical factors</t>
  </si>
  <si>
    <t>Marge estimée à 50%</t>
  </si>
  <si>
    <t>Marge nette sur services partenaire additionnels N+1, N+2</t>
  </si>
  <si>
    <t>CA TOTAL facturé aux clients</t>
  </si>
  <si>
    <t>Ration Commissions / CA total client</t>
  </si>
  <si>
    <t>Améliorer le coût du cycle de vente</t>
  </si>
  <si>
    <r>
      <rPr>
        <b/>
        <sz val="12"/>
        <color theme="1"/>
        <rFont val="Calibri"/>
        <family val="2"/>
        <scheme val="minor"/>
      </rPr>
      <t xml:space="preserve">Attitude interne </t>
    </r>
    <r>
      <rPr>
        <sz val="12"/>
        <color theme="1"/>
        <rFont val="Calibri"/>
        <family val="2"/>
        <scheme val="minor"/>
      </rPr>
      <t xml:space="preserve">: les partenaires sont considérés comme une extension de notre force commerciale, technique, support …  Ils sont traités avec le même égard. </t>
    </r>
  </si>
  <si>
    <t>no</t>
  </si>
  <si>
    <t>xxxx</t>
  </si>
  <si>
    <t>Eastern Europe</t>
  </si>
  <si>
    <t>Formation des consultants developpeurs . Coûts d'immobilisation</t>
  </si>
  <si>
    <t>Autres  . Coûts d'immobilisation</t>
  </si>
  <si>
    <t>FAQ / Réponse aux objections</t>
  </si>
  <si>
    <t>Cibles/Marchés ( inclus dans PdV )</t>
  </si>
  <si>
    <t>Formations process de vente</t>
  </si>
  <si>
    <t>CA issu de l'offre iAdvize</t>
  </si>
  <si>
    <t>Support /Developnt</t>
  </si>
  <si>
    <t>- dont commissions versées au partenaire</t>
  </si>
  <si>
    <t>- dont CA service du partenaire</t>
  </si>
  <si>
    <t>Ratio CA Partenaire / CA Total</t>
  </si>
  <si>
    <t>Marge nette du partenaire</t>
  </si>
  <si>
    <t>Commissions versées aux partenaires en K Euros</t>
  </si>
  <si>
    <t>Total des Commissions à verser aux partenaires K Euros</t>
  </si>
  <si>
    <t>Total du CA Services vendus par les partenaires K €</t>
  </si>
  <si>
    <t>Panier moyen K€</t>
  </si>
  <si>
    <t>Valeur K€</t>
  </si>
  <si>
    <t>Revenu total pour les partenaires K€</t>
  </si>
  <si>
    <t>Revenus One Shot :  licence on premisces + Services 1° année</t>
  </si>
  <si>
    <t>Revenus One Shot</t>
  </si>
  <si>
    <t xml:space="preserve">MODE LICENCE ONE SHOT: Répartition du CA en K€ par canal </t>
  </si>
  <si>
    <t xml:space="preserve">CA brut fournisseur : mode licence ou souscription SaaS </t>
  </si>
  <si>
    <t>Panier moyen net ( licence ) K€</t>
  </si>
  <si>
    <t>CA K€</t>
  </si>
  <si>
    <t>Portrait robot client idéal ?</t>
  </si>
  <si>
    <t>NA</t>
  </si>
  <si>
    <t>Audit du fournisseur</t>
  </si>
  <si>
    <t>Marketing: 1 interlocuteur</t>
  </si>
  <si>
    <t>Expliquer le Process de fonctionnement avec les équipes techniques</t>
  </si>
  <si>
    <t xml:space="preserve">Ventes directes </t>
  </si>
  <si>
    <t xml:space="preserve">                Rubriques de revenus nets indirects</t>
  </si>
  <si>
    <t>SaaS. Commissions versées aux partenaires. 4° année</t>
  </si>
  <si>
    <t>SaaS. Commissions versées aux partenaires. 5° année</t>
  </si>
  <si>
    <t xml:space="preserve">CA brut récurrent mode SaaS </t>
  </si>
  <si>
    <t>CA incrémental Indirect</t>
  </si>
  <si>
    <t>Plan des Actions critiques dans les 9 prochains mois</t>
  </si>
  <si>
    <t xml:space="preserve">Responsable </t>
  </si>
  <si>
    <t>En Support</t>
  </si>
  <si>
    <t>Statut d'avancement</t>
  </si>
  <si>
    <t xml:space="preserve">Aide PAD en option </t>
  </si>
  <si>
    <t xml:space="preserve">D'ici un mois </t>
  </si>
  <si>
    <t>SMW</t>
  </si>
  <si>
    <t>(x)</t>
  </si>
  <si>
    <t>la définition des Kpis</t>
  </si>
  <si>
    <t>Validation</t>
  </si>
  <si>
    <t>D'ici 6 mois</t>
  </si>
  <si>
    <t>Fin du plan de démarrage</t>
  </si>
  <si>
    <t>Fin du partner sales kit</t>
  </si>
  <si>
    <t>Process en place: formation, leads, business plans, CRM, …</t>
  </si>
  <si>
    <t>Premiers indicateurs</t>
  </si>
  <si>
    <t>Process commerciaux et organisation en place</t>
  </si>
  <si>
    <t>Analyse plus fine du marché</t>
  </si>
  <si>
    <t>D'ici 12 mois</t>
  </si>
  <si>
    <t>Bilan 360°</t>
  </si>
  <si>
    <t>Animation</t>
  </si>
  <si>
    <t>Analyse des Kpis</t>
  </si>
  <si>
    <t>Participation</t>
  </si>
  <si>
    <t xml:space="preserve">Productivité de l'équipe </t>
  </si>
  <si>
    <t xml:space="preserve">Budget </t>
  </si>
  <si>
    <t xml:space="preserve">PLAN D'ACTION: RECOMMANDATIONS PAD </t>
  </si>
  <si>
    <t>Critères idéaux</t>
  </si>
  <si>
    <t>Critères minima</t>
  </si>
  <si>
    <t>Suivi des KPIs</t>
  </si>
  <si>
    <t>Agenda des revues de KPIs</t>
  </si>
  <si>
    <t>Une fois par mois</t>
  </si>
  <si>
    <t xml:space="preserve">Revue de business avec les partenaires : bilan signatures, affaires gagnées/perdues, forecast, couverture leads, </t>
  </si>
  <si>
    <t>Apport de document. Personnalisation du format. Formation / Sortie avec les channel managers</t>
  </si>
  <si>
    <t xml:space="preserve">Consolidation business </t>
  </si>
  <si>
    <t>Management</t>
  </si>
  <si>
    <t xml:space="preserve">Une fois par trimestre </t>
  </si>
  <si>
    <t xml:space="preserve">KPIs Précédents +: </t>
  </si>
  <si>
    <t>Plan trimestriel avec chaque partenaire: business, formation, leads et events marketing, organisation</t>
  </si>
  <si>
    <t>Analyse affaires perdues / gagnées</t>
  </si>
  <si>
    <t xml:space="preserve">Management </t>
  </si>
  <si>
    <t>Onglet " BusinessCard"</t>
  </si>
  <si>
    <t xml:space="preserve">Analyse d'une affaire moyenne, répartition du CA avec le partenaire, taux de signature, longueur cycle vente … </t>
  </si>
  <si>
    <t>Plan de développement partenaires existants</t>
  </si>
  <si>
    <t xml:space="preserve">Quels leviers utiliser pour développer le business des partenaires existants ? </t>
  </si>
  <si>
    <t xml:space="preserve">Plan de recrutement de nouveaux partenaires </t>
  </si>
  <si>
    <t>Point sur la performance de recrutement . Onglet " Recruitment""</t>
  </si>
  <si>
    <t>Plan de génération de leads</t>
  </si>
  <si>
    <t xml:space="preserve">Performance de Génération et transformation. Qui ? </t>
  </si>
  <si>
    <t>Plan de formation</t>
  </si>
  <si>
    <t>Bilan et prévision . Document préformaté.</t>
  </si>
  <si>
    <t>Budget</t>
  </si>
  <si>
    <t>Respect des budgets . Onglet "budget"</t>
  </si>
  <si>
    <t>Une fois par semestre</t>
  </si>
  <si>
    <t>Profitabilité des partenaires ( onglet profitpartner )</t>
  </si>
  <si>
    <t xml:space="preserve">valider le niveau de profitabilité des partenaires sur la base des dernières affaires </t>
  </si>
  <si>
    <t xml:space="preserve">Proposition de valeur </t>
  </si>
  <si>
    <t xml:space="preserve">Revoir et ajuster </t>
  </si>
  <si>
    <t>Channel ready ( onglet channel ready )</t>
  </si>
  <si>
    <t>Points forts et faibles. Suivi des plans d'action</t>
  </si>
  <si>
    <t>Marketing ready ( onglet market ready )</t>
  </si>
  <si>
    <t xml:space="preserve">Cartographie des partenaires </t>
  </si>
  <si>
    <t>Voir évolution. Renforcer recrutement ou développement en conséquence</t>
  </si>
  <si>
    <t>Programmes partenaires ( onglet "programme" )</t>
  </si>
  <si>
    <t>Optimiser les process</t>
  </si>
  <si>
    <t>Partner sales kit</t>
  </si>
  <si>
    <t>Bilan et amélioration</t>
  </si>
  <si>
    <t xml:space="preserve">Une fois par an </t>
  </si>
  <si>
    <t xml:space="preserve">Plan de vente 3 ans </t>
  </si>
  <si>
    <t xml:space="preserve">Profil du partenaire idéal </t>
  </si>
  <si>
    <t>Pricing</t>
  </si>
  <si>
    <t xml:space="preserve">Analyse convergence </t>
  </si>
  <si>
    <t>Channel Manager</t>
  </si>
  <si>
    <t>Business plan annuel</t>
  </si>
  <si>
    <t>Installation : paramétrage</t>
  </si>
  <si>
    <t xml:space="preserve">Suivi </t>
  </si>
  <si>
    <t>Restauration</t>
  </si>
  <si>
    <t>Suivi / Support niveau 1 et 2.  Suivi des sélections</t>
  </si>
  <si>
    <t xml:space="preserve">Gérant </t>
  </si>
  <si>
    <t xml:space="preserve">0 à 2 RdV </t>
  </si>
  <si>
    <t>Achat d'infra / Soft ( HP, Fujitsu, Dell ) ( Sage, Divalto , Cegid  .. )</t>
  </si>
  <si>
    <t>50% = save en ligne</t>
  </si>
  <si>
    <t xml:space="preserve">100% indirect: proximité, suivi … ; Notoriété pérennité, assise Oodrive; Channel ready: outils intégrés pour suivi des clients, organisation "easy to do business with" ; Channel managers face à face; Marketing accompagnement ( online support ) ; </t>
  </si>
  <si>
    <t xml:space="preserve">Client final: arguments de sauvegarde en ligne , pas Oodrive, hébergement français; Sécurité et confidentialité; </t>
  </si>
  <si>
    <t xml:space="preserve">Prix et les faibles compétences des revendeurs ( vente de valeur ) ; </t>
  </si>
  <si>
    <t xml:space="preserve">Le produit intrinsèque; </t>
  </si>
  <si>
    <t>15 personnes</t>
  </si>
  <si>
    <t>1 commercial + le DG</t>
  </si>
  <si>
    <t xml:space="preserve">3 consultants techniques; hot line niveau 1; </t>
  </si>
  <si>
    <t>&gt; 50 clients</t>
  </si>
  <si>
    <t>Compétences dans la vente de Services à valeur ajoutée; &gt;50% de services dans son CA</t>
  </si>
  <si>
    <t xml:space="preserve">Mini 50% services </t>
  </si>
  <si>
    <t xml:space="preserve">3 commerciaux ; 1 marktg ; 10 nouveaux clients par an </t>
  </si>
  <si>
    <t xml:space="preserve">5 si spécialisés dans la sauvegarde; ou 7 si généralistes </t>
  </si>
  <si>
    <t>20 personnes</t>
  </si>
  <si>
    <t xml:space="preserve">Pas dans le SaaS ; 100 clients </t>
  </si>
  <si>
    <t xml:space="preserve">Solution on premise; sans sauvegrade intégrée; recherche de la valeur en récurrent; garantie de restauration;  </t>
  </si>
  <si>
    <t xml:space="preserve">5 affaires mini par an </t>
  </si>
  <si>
    <t>Nombre actuel actifs ( Mini 1 vente dans l'année )</t>
  </si>
  <si>
    <t>Offre 1 tera/ 100 licences</t>
  </si>
  <si>
    <t xml:space="preserve">Marge récurrente  : 33,25 x 100 clients = 3325€ x 12= 39 900 par an </t>
  </si>
  <si>
    <t>Installation</t>
  </si>
  <si>
    <t xml:space="preserve">Support niveau 1 </t>
  </si>
  <si>
    <t xml:space="preserve">Restauration </t>
  </si>
  <si>
    <t xml:space="preserve">Support et suivi </t>
  </si>
  <si>
    <t xml:space="preserve">Coût d'achat 1 To 100 licences </t>
  </si>
  <si>
    <t>CA Récurrent ( hors prestations additionnelles partenaire )</t>
  </si>
  <si>
    <t xml:space="preserve">Capable de générer 100 clients en 1 an: minimum de 400 clients en base installée, 5 commerciaux minimum, capable de facturer ses clients directement ( prélèvement SEPA … ), ressource marketing pour industrialiser l'offre, </t>
  </si>
  <si>
    <t xml:space="preserve">2,5 = CA/Marge nette </t>
  </si>
  <si>
    <t>CA total facturé 100  clients</t>
  </si>
  <si>
    <t xml:space="preserve">Prix revient 10 GA: 6,75 € / mois; 8 100€ par an </t>
  </si>
  <si>
    <t xml:space="preserve">Prix revente: 40€/mois; 480€ / an </t>
  </si>
  <si>
    <t>Vente 10 GA. Achat = 8100€. Revente 480 par tranche de 100</t>
  </si>
  <si>
    <t>480€ / an x 100 clients</t>
  </si>
  <si>
    <t>Estimation du coût de vente et marketing pour gagner 100 affaires</t>
  </si>
  <si>
    <t>Marge nette pour 100 affaires</t>
  </si>
  <si>
    <t>6 affaires</t>
  </si>
  <si>
    <t>Sous-total services partenaire</t>
  </si>
  <si>
    <t>Sous total abonnement annuel</t>
  </si>
  <si>
    <t>Coûts de vente et marketing pour 100 affaires</t>
  </si>
  <si>
    <t>Copie et reproductions interdites</t>
  </si>
  <si>
    <t>Copie et reproduction interdites</t>
  </si>
  <si>
    <t xml:space="preserve">Rappel sur la clause de Propriété Intellectuelle: les exercices et outils contenus dans cette formation restent la propriété exclusive de la société PAD ( Partners &amp; Alliances Development). Toute copie ou reproduction sont strictement interdites. Seuls les clients de PAD ayant acheté un droit d'utilisation à travers la formation sont abilités à utiliser ces exercices pour leurs seuls besoins propres. Ils ne sont en rien abilités à diffuser ces programmes en dehors du département de leur société, sauf autorisation expresse de PAD. </t>
  </si>
  <si>
    <t>dont Profil recherché</t>
  </si>
  <si>
    <t>dont Junior</t>
  </si>
  <si>
    <t>dont 130 actifs à ce jour</t>
  </si>
  <si>
    <t>Panier moyen par partner k€ ( Base 6 mois )</t>
  </si>
  <si>
    <t xml:space="preserve">Panier moyen par type de partenaires K€ </t>
  </si>
  <si>
    <t>Mode licence "one shot"</t>
  </si>
  <si>
    <t>Mode de courtage / revente</t>
  </si>
  <si>
    <t>20% de maintenance sur prix public</t>
  </si>
  <si>
    <t>Installation à distance</t>
  </si>
  <si>
    <t>Connecteur GF</t>
  </si>
  <si>
    <t>Maintenance connecteur</t>
  </si>
  <si>
    <t>Services Hébergement</t>
  </si>
  <si>
    <t>Maintenance licence</t>
  </si>
  <si>
    <t>Licence</t>
  </si>
  <si>
    <t>DF</t>
  </si>
  <si>
    <t>DGS</t>
  </si>
  <si>
    <t>50% remise support niveau 1</t>
  </si>
  <si>
    <t>PLUS</t>
  </si>
  <si>
    <t>- dont CA net MGDIS</t>
  </si>
  <si>
    <t>Critères Idéaux</t>
  </si>
  <si>
    <t>Critères minimaux</t>
  </si>
  <si>
    <t xml:space="preserve">Marché potentiel total </t>
  </si>
  <si>
    <t>DOM-TOM</t>
  </si>
  <si>
    <t>CA Total à atteindre</t>
  </si>
  <si>
    <t xml:space="preserve">Taux de maintenance annuelle </t>
  </si>
  <si>
    <t xml:space="preserve">Revenus de maintenance annuelle </t>
  </si>
  <si>
    <t>New Business Mode Licence
CA K€</t>
  </si>
  <si>
    <t>Total revenus Maintenance Indirecte</t>
  </si>
  <si>
    <t>Total Maintenance récurrente direct + indirect</t>
  </si>
  <si>
    <t>Total revenus Maintenance récurrente direct + indirect</t>
  </si>
  <si>
    <t>Revenus Maintenance récurrente Indirecte</t>
  </si>
  <si>
    <t>Total revenus Maintenance récurrente indirect</t>
  </si>
  <si>
    <t xml:space="preserve">CA brut de la maintenance/services annuel récurrents </t>
  </si>
  <si>
    <t>Améliorer leur taux de signature</t>
  </si>
  <si>
    <t>Actualité / News / Events</t>
  </si>
  <si>
    <t>Pitch par solution par interlocuteur</t>
  </si>
  <si>
    <t>Roadmap</t>
  </si>
  <si>
    <t>Liste Références clients</t>
  </si>
  <si>
    <t>charte envers les partenaires</t>
  </si>
  <si>
    <t>Expertises technique &amp; métier</t>
  </si>
  <si>
    <t xml:space="preserve">Doc technique </t>
  </si>
  <si>
    <t>Relation Partenariale</t>
  </si>
  <si>
    <t>base de données partenaires</t>
  </si>
  <si>
    <t>Base de prospects ciblés suivant les critères retenus</t>
  </si>
  <si>
    <t xml:space="preserve">SUSPECTS. Intérêt manifesté par les prospects après Emailing + PdJ. Phoning. </t>
  </si>
  <si>
    <t>TAUX DE SIGNATURE . Espérance de Signatures du contrat</t>
  </si>
  <si>
    <t xml:space="preserve">OPPORTUNITES qualifiées avec potentiel de signature &lt;12 mois. Action: Contact direct pour qualification mutuelle et présentation de l'offre. </t>
  </si>
  <si>
    <t xml:space="preserve">OPPORTUNITES  &lt; 6 Mois. Démo et proposition financière réalisées </t>
  </si>
  <si>
    <t>CA payement annuel récurrent ( SaaS, maintenance ... )</t>
  </si>
  <si>
    <t>CA Payement "one shot" ( mode licence, frais de set up … )</t>
  </si>
  <si>
    <t>Frais de set up</t>
  </si>
  <si>
    <t>Cadrage projet</t>
  </si>
  <si>
    <t>xx affaire</t>
  </si>
  <si>
    <t>CA Fournisseur vente "one shot" ( licences, set up … )</t>
  </si>
  <si>
    <t>Mode "One shot".  Commissions sur CA licence, set up …</t>
  </si>
  <si>
    <t>Mode "Recurrent". Commissions sur CA récurrent (Abonnement SaaS, maintenance ... ) 1° année</t>
  </si>
  <si>
    <t>CA fournisseur additionnel upselling N+1 et N+2</t>
  </si>
  <si>
    <t>CA partenaire additionnel Service N+1 et N+2</t>
  </si>
  <si>
    <t>Commissions sur CA biz additionnel fournisseur N+1 et N+2</t>
  </si>
  <si>
    <t>CA Fournisseur vente récurrente  1° année ( SaaS, maintenance … )</t>
  </si>
  <si>
    <t>CA Fournisseur vente récurrente des années précédentes ( SaaS, maintenance … )</t>
  </si>
  <si>
    <t>CA Partenaire de ses Services facturés  en 1° année</t>
  </si>
  <si>
    <t>Commissions sur CA fournisseur récurrent des années N+1 et N+2</t>
  </si>
  <si>
    <t>Commissions sur CA récurrent des années N+1 et N+2</t>
  </si>
  <si>
    <t>Commissions sur CA additionnel fournisseur N+1 et N+2</t>
  </si>
  <si>
    <t>Définir l'ordre d'enchainement des onglets</t>
  </si>
  <si>
    <t>Nombre de sociétés ciblées</t>
  </si>
  <si>
    <t>Formalisation</t>
  </si>
  <si>
    <t>Marché adressable correspondant aux fonctions de l'offre produit</t>
  </si>
  <si>
    <t>Mode d'Alliance 
Vente conjointe</t>
  </si>
  <si>
    <t>OEM / Marque Blanche</t>
  </si>
  <si>
    <t>Leads validés</t>
  </si>
  <si>
    <t>Hot leads / qualifiés</t>
  </si>
  <si>
    <t>Facilité de démarrage d'un client</t>
  </si>
  <si>
    <t>yes</t>
  </si>
  <si>
    <t>Grands comptes Corporate</t>
  </si>
  <si>
    <t>Cabinets de conseil / Consultants</t>
  </si>
  <si>
    <t xml:space="preserve">VARs / SS2I locales </t>
  </si>
  <si>
    <t xml:space="preserve">Taux déchet </t>
  </si>
  <si>
    <t>Ventes indirectes</t>
  </si>
  <si>
    <t>- dont CA net éditeur</t>
  </si>
  <si>
    <t>Opportunité de facturer ses services à Valeur ajoutée</t>
  </si>
  <si>
    <t>Potentiel d'accompagnement chez les clients</t>
  </si>
  <si>
    <t>Renforce l'image de marque du partenaire</t>
  </si>
  <si>
    <t>Améliore la productivité des commerciaux</t>
  </si>
  <si>
    <t xml:space="preserve">Les Demos et  video / organisation </t>
  </si>
  <si>
    <t>Outil de Démonstration du ROI / TCO des solutions</t>
  </si>
  <si>
    <t>Audit</t>
  </si>
  <si>
    <t xml:space="preserve">SLA </t>
  </si>
  <si>
    <t>Logo certified partners</t>
  </si>
  <si>
    <t>Formation : son contenu</t>
  </si>
  <si>
    <t>EM</t>
  </si>
  <si>
    <t>HG</t>
  </si>
  <si>
    <t>DG/DAF/DSI</t>
  </si>
  <si>
    <t>JC</t>
  </si>
  <si>
    <t>TA</t>
  </si>
  <si>
    <t xml:space="preserve">Création outil Extranet </t>
  </si>
  <si>
    <t>Traduction</t>
  </si>
  <si>
    <t>Design contenu extranet partenaire</t>
  </si>
  <si>
    <t>Distribution</t>
  </si>
  <si>
    <t>50K</t>
  </si>
  <si>
    <t>100 days</t>
  </si>
  <si>
    <t xml:space="preserve">Mener une enquête de perception / d'usage des clients vis-à-vis des solutions </t>
  </si>
  <si>
    <t xml:space="preserve">Langues: </t>
  </si>
  <si>
    <t>Mise à disposition d'un logo</t>
  </si>
  <si>
    <t>Une journée d'information/formation de l'ensemble des commerciaux du partenaire</t>
  </si>
  <si>
    <t>Montrer l'accès aux infos essentielles sur l'extranet / FAQ / ticketting</t>
  </si>
  <si>
    <t xml:space="preserve">TOTAL New Biz Acquisition </t>
  </si>
  <si>
    <t>1° année</t>
  </si>
  <si>
    <r>
      <t xml:space="preserve">
</t>
    </r>
    <r>
      <rPr>
        <b/>
        <sz val="14"/>
        <rFont val="Calibri"/>
        <family val="2"/>
        <scheme val="minor"/>
      </rPr>
      <t># partenaires actifs à recruter</t>
    </r>
  </si>
  <si>
    <t># total de partenaires à recruter</t>
  </si>
  <si>
    <t>Ressources consultants après-vente en charge des partenaires( support aux 1°  installations )</t>
  </si>
  <si>
    <t xml:space="preserve">La capacité à exécuter les décisions prises </t>
  </si>
  <si>
    <t>X partenaires sélectionnés 
Répartition du new biz entre direct et indirect</t>
  </si>
  <si>
    <t xml:space="preserve">Remarque </t>
  </si>
  <si>
    <t>Répartition % direct et indirect
Nombre de partenaires 
Nbre de clients par partenaire et par an 
Panier moyen par partenaire
Taux déchet par an des partenaires recrutés
Nombre de moisavant signature  1° affaire</t>
  </si>
  <si>
    <t xml:space="preserve">CA net moyen par deal </t>
  </si>
  <si>
    <t>Identifiés</t>
  </si>
  <si>
    <t xml:space="preserve">Support expertise éditeur </t>
  </si>
  <si>
    <t>Total nombre de clients</t>
  </si>
  <si>
    <t>dont clients Indirects</t>
  </si>
  <si>
    <t>Calculé uniquement sur le nouveau business 1° année</t>
  </si>
  <si>
    <t>Sales &amp; Marketing tools</t>
  </si>
  <si>
    <t>Fiche de qualification commerciale des projets</t>
  </si>
  <si>
    <t>Explication du process de vente</t>
  </si>
  <si>
    <t>Blitzday organisation</t>
  </si>
  <si>
    <t>ELOB: KPIs not relevant at this stage</t>
  </si>
  <si>
    <t>René Causse</t>
  </si>
  <si>
    <t>Nom complet (Max 30c)</t>
  </si>
  <si>
    <t>Abregé (Max 10c)</t>
  </si>
  <si>
    <t>CLIENT PAD</t>
  </si>
  <si>
    <t>Gouvernance</t>
  </si>
  <si>
    <t>11-GOVERNANCE</t>
  </si>
  <si>
    <t>11-TODO</t>
  </si>
  <si>
    <t>Plan de revue des KPI's</t>
  </si>
  <si>
    <t>11-KPIsFOLLOWUP</t>
  </si>
  <si>
    <t>Définition des KPI's et périodicité de revue</t>
  </si>
  <si>
    <t>11-GUIDE4VALUE PROPOSITION</t>
  </si>
  <si>
    <t>Plan des 100J</t>
  </si>
  <si>
    <t>07-FASTSTART</t>
  </si>
  <si>
    <t>Plan d'action des 100 premiers jours / partenaire</t>
  </si>
  <si>
    <t>05-CHANNELTEAM-OFR1</t>
  </si>
  <si>
    <t>05-SALESTERRITORIES</t>
  </si>
  <si>
    <t>05-CHANNELTEAM-OFR2</t>
  </si>
  <si>
    <t>05-CHANNELTEAM-OFR3</t>
  </si>
  <si>
    <t>Dimensionnement de l'équipe indirecte</t>
  </si>
  <si>
    <t>_</t>
  </si>
  <si>
    <t>10-BUDGET PROGRAM-OFR1</t>
  </si>
  <si>
    <t>10-BUDGET PROGRAM-OFR2</t>
  </si>
  <si>
    <t>10-BUDGET PROGRAM-OFR3</t>
  </si>
  <si>
    <t xml:space="preserve">10-PARTNER SALES KIT-OFR1 </t>
  </si>
  <si>
    <t>10-PARTNER SALES KIT-OFR2</t>
  </si>
  <si>
    <t>10-PARTNER SALES KIT-OFR3</t>
  </si>
  <si>
    <t>12-CRITICAL FACTORS</t>
  </si>
  <si>
    <t>12-SWOT</t>
  </si>
  <si>
    <t xml:space="preserve">Bilan du Workshop   : </t>
  </si>
  <si>
    <t>Gouvernance des actions post workshop</t>
  </si>
  <si>
    <t>FPO</t>
  </si>
  <si>
    <t>Consultant</t>
  </si>
  <si>
    <t>CKH</t>
  </si>
  <si>
    <t>SGU</t>
  </si>
  <si>
    <t>VMO</t>
  </si>
  <si>
    <t>% CA Solutions Cloud</t>
  </si>
  <si>
    <t>% CA Solutions Classiques "on premises"</t>
  </si>
  <si>
    <t>% CA / France</t>
  </si>
  <si>
    <t>% CA / International</t>
  </si>
  <si>
    <t>Nombre de pays avec présence significative</t>
  </si>
  <si>
    <t xml:space="preserve">Mode licence. Valeur du Panier affaire moyenne en K€ dont </t>
  </si>
  <si>
    <t>- Licence</t>
  </si>
  <si>
    <t>- Prestations Services par le Fournisseur/constructeur</t>
  </si>
  <si>
    <t>- Prestations Services par les Partenaires</t>
  </si>
  <si>
    <t>Mode SaaS. Valeur du Panier moyen SaaS K€ dont:</t>
  </si>
  <si>
    <t>Notorieté en France ( haute, moyenne, faible, très faible )</t>
  </si>
  <si>
    <t>Notoriété à l'International</t>
  </si>
  <si>
    <t xml:space="preserve"># nouveaux clients par an </t>
  </si>
  <si>
    <t>Connecteur APIs</t>
  </si>
  <si>
    <t xml:space="preserve">CA Upfront  / one time charge </t>
  </si>
  <si>
    <t xml:space="preserve">CA annuel récurrent issu de la souscription / abonnement </t>
  </si>
  <si>
    <t>Support niveau 1 vav ses prestations</t>
  </si>
  <si>
    <t xml:space="preserve">Ventes de prestations / produits complémentaires </t>
  </si>
  <si>
    <t>Hébergement exploitation</t>
  </si>
  <si>
    <t>CA moyen client  Fournisseur + partenaire 1° année</t>
  </si>
  <si>
    <t>% taux de churn / déperdition</t>
  </si>
  <si>
    <t>Raisons des affaires gagnées ?</t>
  </si>
  <si>
    <t xml:space="preserve">Causes des affaires perdues ? </t>
  </si>
  <si>
    <r>
      <t>Adéquation du produit aux attentes des partenaires. "Are you Channel Ready ?  Ils attendent 4 qualités essentielles : de la robustesse, de la marge, des leads et que vous soyez "easy to do business with" !</t>
    </r>
    <r>
      <rPr>
        <b/>
        <sz val="12"/>
        <color theme="1"/>
        <rFont val="Calibri"/>
        <family val="2"/>
        <scheme val="minor"/>
      </rPr>
      <t xml:space="preserve"> A dérouler 2 fois par an … et aussi par vos partenaires. </t>
    </r>
  </si>
  <si>
    <r>
      <t xml:space="preserve">Donner à vos partenaires les arguments défensifs et offensifs vis-à-vis de vos compétiteurs. </t>
    </r>
    <r>
      <rPr>
        <b/>
        <sz val="12"/>
        <color theme="1"/>
        <rFont val="Calibri"/>
        <family val="2"/>
        <scheme val="minor"/>
      </rPr>
      <t>A revisiter 1 fois par an en début d'année</t>
    </r>
  </si>
  <si>
    <r>
      <t xml:space="preserve">Solutions "Must Have" versus "Nice to have". Vos offres doivent répondre à un besoin et une peine critiques de vos interlocuteurs. Les besoins "Must have" sont critiques pour le bon fonctionnement de la société, à l'atteinte des objectifs de vos interlocuteurs, au respect de la règlementation, etc ... Ces peines sont vécus comme prioritaires car cause d'ulcère à l'estomac! A l'inverse des solutions "nice to have" qui apportent du confort, de la souplesse mais pas prioritaires. </t>
    </r>
    <r>
      <rPr>
        <b/>
        <sz val="12"/>
        <color theme="1"/>
        <rFont val="Calibri"/>
        <family val="2"/>
        <scheme val="minor"/>
      </rPr>
      <t xml:space="preserve"> A revisiter 1 fois par an en début d'année</t>
    </r>
  </si>
  <si>
    <r>
      <t>Formaliser les principes clefs de votre stratégie partenaire. Important pour vos partenaires et … vos employés !  Fondamentaux de constitution d'une</t>
    </r>
    <r>
      <rPr>
        <b/>
        <sz val="12"/>
        <color theme="1"/>
        <rFont val="Calibri"/>
        <family val="2"/>
        <scheme val="minor"/>
      </rPr>
      <t xml:space="preserve"> Charte A revisiter 1 fois par an en début d'année</t>
    </r>
  </si>
  <si>
    <r>
      <t xml:space="preserve">Il est fondamental d'expliquer à vos partenaires les marchés que vous ciblez en priorité et le nombre de partenaires nécessaire pour couvrir ces marchés. Les marchés prioritaires sont déterminés par leur potentiel et d'autre part la probabilité de réussite de signatures   </t>
    </r>
    <r>
      <rPr>
        <b/>
        <sz val="12"/>
        <color theme="1"/>
        <rFont val="Calibri"/>
        <family val="2"/>
        <scheme val="minor"/>
      </rPr>
      <t>A revisiter 1 fois par an en début d'année</t>
    </r>
  </si>
  <si>
    <r>
      <t xml:space="preserve">Il est fondamental d'expliquer à vos partenaires les marchés que vous ciblez et le nombre de partenaires pour couvrir ces marchés. Les marchés prioritaires sont déterminés par leur potentiel et d'autre part la probabilité de réussite de signature sur chacun d'eux  </t>
    </r>
    <r>
      <rPr>
        <b/>
        <sz val="12"/>
        <color theme="1"/>
        <rFont val="Calibri"/>
        <family val="2"/>
        <scheme val="minor"/>
      </rPr>
      <t xml:space="preserve"> A revisiter 1 fois par an en début d'année</t>
    </r>
  </si>
  <si>
    <t xml:space="preserve">Coûts de support. Assurez-vous que tout le monde au sein de votre organisation a bien compris le "qui fait quoi" !!! </t>
  </si>
  <si>
    <t xml:space="preserve">CA brut annuel cumulé </t>
  </si>
  <si>
    <t>Ventilation CA direct et indirect</t>
  </si>
  <si>
    <t xml:space="preserve">Ventilation du CA par type de partenaires </t>
  </si>
  <si>
    <t>Recrutement avec churn</t>
  </si>
  <si>
    <t xml:space="preserve">Nombre de nouveaux partenaires actifs à recruter ( churn included ) </t>
  </si>
  <si>
    <t>Taux déchet du recrutement</t>
  </si>
  <si>
    <t>Commissions versées en mode souscription SaaS</t>
  </si>
  <si>
    <t>Commissions payées</t>
  </si>
  <si>
    <t>Services prestés et facturés</t>
  </si>
  <si>
    <t>Nombre partenaires actifs existants en année N</t>
  </si>
  <si>
    <t xml:space="preserve">You like </t>
  </si>
  <si>
    <t xml:space="preserve">Your recommendations for improvment </t>
  </si>
  <si>
    <t>5 points you learnt</t>
  </si>
  <si>
    <t xml:space="preserve">Do you accept to be a sponsor of PAD ? To bring some leads to PAD ? </t>
  </si>
  <si>
    <t>Your comments</t>
  </si>
  <si>
    <t>You didn't like</t>
  </si>
  <si>
    <t>5 actions you will commit</t>
  </si>
  <si>
    <t xml:space="preserve">Enquête de satisfaction </t>
  </si>
  <si>
    <t>L'offre</t>
  </si>
  <si>
    <t>La proximité / relations humaines</t>
  </si>
  <si>
    <t>Réactivité</t>
  </si>
  <si>
    <t>% CA / TPE ( &lt; 80 )</t>
  </si>
  <si>
    <t>% CA / PME (80 - 300)</t>
  </si>
  <si>
    <t>% CA / ETI Grands Comptes &gt; 300</t>
  </si>
  <si>
    <t># familles de solutions verticales au catalogue</t>
  </si>
  <si>
    <t xml:space="preserve">Création notoriété </t>
  </si>
  <si>
    <t xml:space="preserve">TPE. Packager offre dédiée ( diminuer ticket d'entrée ) </t>
  </si>
  <si>
    <r>
      <rPr>
        <b/>
        <sz val="12"/>
        <color theme="1"/>
        <rFont val="Calibri"/>
        <family val="2"/>
        <scheme val="minor"/>
      </rPr>
      <t>Reconnaissance:</t>
    </r>
    <r>
      <rPr>
        <sz val="12"/>
        <color theme="1"/>
        <rFont val="Calibri"/>
        <family val="2"/>
        <scheme val="minor"/>
      </rPr>
      <t xml:space="preserve"> Favoriser et reconnaitre les partenaires sur leur investissement et implication sur notre plateforme</t>
    </r>
  </si>
  <si>
    <t xml:space="preserve">Licence PDA </t>
  </si>
  <si>
    <t>03-BUSINESSCARD-OFR1</t>
  </si>
  <si>
    <t>Maintenance à distance PDA</t>
  </si>
  <si>
    <t>Services Généraux</t>
  </si>
  <si>
    <t>Constructeurs Matériel</t>
  </si>
  <si>
    <t>Souscription SaaS</t>
  </si>
  <si>
    <t xml:space="preserve">Prestations forfaitaires </t>
  </si>
  <si>
    <t xml:space="preserve">Commissions partenaires 
new biz + biz récurrent </t>
  </si>
  <si>
    <t>Others</t>
  </si>
  <si>
    <t>Recruitment: key figures</t>
  </si>
  <si>
    <t># months</t>
  </si>
  <si>
    <t>3 et 4 mois</t>
  </si>
  <si>
    <t xml:space="preserve">Delays for the first customer contract signed by the partner  </t>
  </si>
  <si>
    <t xml:space="preserve">Delays for a partner to be operationnal and autonomous </t>
  </si>
  <si>
    <t xml:space="preserve">Delays to be autonomous on a technical point of view </t>
  </si>
  <si>
    <t xml:space="preserve">Churn rate after the recruitment process </t>
  </si>
  <si>
    <t>Recruitment cost for a bad partner recruitment</t>
  </si>
  <si>
    <t xml:space="preserve">DG PARC &amp; Intervention </t>
  </si>
  <si>
    <t xml:space="preserve">Manque de visibilité sur les investissements en matériel, sur la rotation et bonne utilisation du matériel, 2° budget de l'entreprise piloté par Excel après les salaires … Mauvaise répartition du matériel en environnement intersites. Grand nombre de ontrats de maintenance / location reconduits involontairement. Achat d'intervention alors que garantie en cours. Contraintes règlementaires ( obligation de maintenance ) à suivre . Impact sur Résultats nets .Manque de   comptes clairs sur les Immobilisations. Double travail.  </t>
  </si>
  <si>
    <t xml:space="preserve">Visibilité et suivi du 2° budget de l'entreprise. Rentabiliser: Premier poste d'économies facile à mettre en place. Réputation de bon gestionnaire ( CAC, Actionnaires ). Responsabilisation des salariés sur le bon fonctionnement de l'entreprise. </t>
  </si>
  <si>
    <t xml:space="preserve">Risque et stress . Pannes facheuses / bloquantes sur les outils . Risque pénal. Inefficacité budgétaire. Productivité de ces équipes. Flou sur la compta / Réserves du CAC. Tableau Excel limité ( historique , traçabilité … ) </t>
  </si>
  <si>
    <t xml:space="preserve">EXCEL </t>
  </si>
  <si>
    <t>Argumentaires, supports à la vente,</t>
  </si>
  <si>
    <t xml:space="preserve">Mesure de la Satisfaction des clients </t>
  </si>
  <si>
    <t>Initialisation du processus de traçabilité des biens de l'entreprise</t>
  </si>
  <si>
    <t>A faire par le support</t>
  </si>
  <si>
    <t>04-MARKETSPECIFICITIES</t>
  </si>
  <si>
    <t xml:space="preserve">Développements internes </t>
  </si>
  <si>
    <t>P1</t>
  </si>
  <si>
    <t>P2</t>
  </si>
  <si>
    <t>West Africa</t>
  </si>
  <si>
    <t>Niveau 1</t>
  </si>
  <si>
    <t>Niveau 2</t>
  </si>
  <si>
    <t xml:space="preserve">50 à 100 personnes. Couverture régionale. </t>
  </si>
  <si>
    <t xml:space="preserve">Gestion de projet ( intégration, déploiement, consulting ) . SQL. Support level 1. 10 consultants </t>
  </si>
  <si>
    <t>Spécialisées sur Secteurs prioritaires Addenda. Compétences Achats / GMAO/Immo/Compta. 200 clients</t>
  </si>
  <si>
    <t>Compétences Compta. 50 clients</t>
  </si>
  <si>
    <t>10 commerciaux. 2 Marketing</t>
  </si>
  <si>
    <t>3 commerciaux</t>
  </si>
  <si>
    <t>RFID. 'Talend. Gestion de projet ( intégration, déploiement, consulting ) . SQL. Support level 1. 30 consultants</t>
  </si>
  <si>
    <t>Satisfaction clients</t>
  </si>
  <si>
    <t xml:space="preserve">Satisfaction de leurs clients . Intégrés dans le tissu économique local </t>
  </si>
  <si>
    <t xml:space="preserve">Revendeur de progiciels de gestion. 'Clients SAP au sein de leur base. </t>
  </si>
  <si>
    <t xml:space="preserve">Revente de progiciels de gestion </t>
  </si>
  <si>
    <t xml:space="preserve">Bilan / CE </t>
  </si>
  <si>
    <t>Bilan / CE 3 dernies exercices</t>
  </si>
  <si>
    <t>Supérieur 200 personnes. Couverture nationale. Top 50</t>
  </si>
  <si>
    <t>Mini 100 personnes</t>
  </si>
  <si>
    <t>RFID. 'Talend. Gestion de projet ( intégration, déploiement, consulting ) . SQL. Support level 1. 100 consultants</t>
  </si>
  <si>
    <t xml:space="preserve">Gestion de projet ( intégration, déploiement, consulting ) . SQL. Support level 1. 70 consultants </t>
  </si>
  <si>
    <t>1 practice Gestion &gt; 50 personnes . 5 commerciaux</t>
  </si>
  <si>
    <t xml:space="preserve">Satisfaction de leurs clients . Réputation nationale </t>
  </si>
  <si>
    <t xml:space="preserve">Intégrateurs de progiciels de gestion. 'Clients SAP au sein de leur base. </t>
  </si>
  <si>
    <t xml:space="preserve">Intégrateur de progiciels de gestion </t>
  </si>
  <si>
    <t>In Bonis</t>
  </si>
  <si>
    <t>Cf ODIP</t>
  </si>
  <si>
    <t>Nombre à recruter (coeff de déchet inclus )</t>
  </si>
  <si>
    <t xml:space="preserve"># partenaires actifs dans 3 ans </t>
  </si>
  <si>
    <t>Hypothèse: la ventilation du new business est la même que la ventilation du CA total calculé dans le plan de vente à 3 ans.  Permet de déterminer le nombre de partenaires actifs à recruter en fonction du nombre moyen de clients signés par un partenaire. Plus le partenaire aura de commerciaux productifs, plus le nombre de partenaires à recruter sera moindre !</t>
  </si>
  <si>
    <t>Nombre de nouveaux clients par an et par canal</t>
  </si>
  <si>
    <t>Mode souscription SaaS</t>
  </si>
  <si>
    <t xml:space="preserve">Mode One shot : set up, licence … </t>
  </si>
  <si>
    <t>15 days + lost revenue</t>
  </si>
  <si>
    <t>03-CHANNELREADY-OFR1</t>
  </si>
  <si>
    <t>Etude scalabilité</t>
  </si>
  <si>
    <t xml:space="preserve">Liste de ce que le produit ne fait pas </t>
  </si>
  <si>
    <t>Performances d'affichage / temps de réponse</t>
  </si>
  <si>
    <t>Convivialité du dialogue Homme-Machine / ergonomie</t>
  </si>
  <si>
    <t xml:space="preserve">Facilité de déploiement </t>
  </si>
  <si>
    <t xml:space="preserve">Facilité de personnalisation </t>
  </si>
  <si>
    <t>Facilité de paramétrage d'un client</t>
  </si>
  <si>
    <t>Facilité de compréhension pour un commercial</t>
  </si>
  <si>
    <t>Facilité de maîtrise pour un consultant technique</t>
  </si>
  <si>
    <t>Aide au paramétrage</t>
  </si>
  <si>
    <t>Niveau d'assistance sur la 1° affaires</t>
  </si>
  <si>
    <t>Nombre de partenaires existants</t>
  </si>
  <si>
    <t xml:space="preserve">Principes d'accès nommés et contrôle des accès </t>
  </si>
  <si>
    <t xml:space="preserve">Désignation et annuaire de l'équipe multifonctions : sales, marktg, technique, support , Admin </t>
  </si>
  <si>
    <t xml:space="preserve">Suivi des facturations et commissions </t>
  </si>
  <si>
    <t xml:space="preserve">Formation : son contenu / catalogue / agenda </t>
  </si>
  <si>
    <t>FAQ technique</t>
  </si>
  <si>
    <t>Programme de Webinars sujets techniques</t>
  </si>
  <si>
    <t xml:space="preserve">Capacité à transformer les leads </t>
  </si>
  <si>
    <t>Capacité à générer lui-même des leads. 1X1</t>
  </si>
  <si>
    <t>Maintien d'un taux de couverture du CA par le pipe</t>
  </si>
  <si>
    <t>Webinars formation</t>
  </si>
  <si>
    <t>Stratégie de vente additionnelles d'autres licences complémentaires</t>
  </si>
  <si>
    <t xml:space="preserve">Nombre de partenaires à recruter ( taux de churn inclus ) </t>
  </si>
  <si>
    <t>Nombre nouveaux partenaires à recruter si délai d'autonomie est de 12 mois</t>
  </si>
  <si>
    <t>Autres critères d'affectation des leads</t>
  </si>
  <si>
    <t>- # partenaires actifs existants</t>
  </si>
  <si>
    <t>- # new clients par les partenaires existants</t>
  </si>
  <si>
    <t>- #  new partenaires à recruter avec churn</t>
  </si>
  <si>
    <t>- #  partenaires actifs à gérer</t>
  </si>
  <si>
    <t>- # new clients justifiant des new partenaires</t>
  </si>
  <si>
    <t>MARGE NETTE POUR LE PARTENAIRE</t>
  </si>
  <si>
    <t>Investissement</t>
  </si>
  <si>
    <t>% CA One charge</t>
  </si>
  <si>
    <t xml:space="preserve">% CA Souscription </t>
  </si>
  <si>
    <t>Nombre total de partenaires à gérer</t>
  </si>
  <si>
    <t xml:space="preserve">Ventilez le CA total par an </t>
  </si>
  <si>
    <t>% Répartition new business Direct</t>
  </si>
  <si>
    <t>% Répartition new business Indirect</t>
  </si>
  <si>
    <t xml:space="preserve">Estimez le # new clients signés par partenaire par an </t>
  </si>
  <si>
    <t xml:space="preserve">Approche en 4 temps. Premièrement: estimez le potentiel de chaque marché suivant une note de 1 à 5. Deuxièmement: estimez la facilité de signature en donnant des couleurs. Toisièmement: définissez les marchés prioritaires ( Valeurs 4 et 5, couleurs jaune et verte ). Quatrièmement: estimez le nombre de partenairs nécéssaires pour couvrir chacun des marchés prioritaires. </t>
  </si>
  <si>
    <r>
      <t xml:space="preserve">Il est fondamental d'expliquer à vos partenaires les marchés que vous ciblez en priorité et le nombre de partenaires nécessaire pour couvrir ces marchés. Les marchés prioritaires sont déterminés par leur potentiel et d'autre part la probabilité de réussite de signatures. Cette analyse permet de déterminer le nombre de partenaires pour couvrir ces marchés. </t>
    </r>
    <r>
      <rPr>
        <b/>
        <sz val="11"/>
        <color theme="1"/>
        <rFont val="Calibri"/>
        <family val="2"/>
        <scheme val="minor"/>
      </rPr>
      <t xml:space="preserve">1 fois par an </t>
    </r>
  </si>
  <si>
    <t>Listez les types de partenaires commerciaux. Définnissez les partenaires prioritaires. Positionnez les sur les marchés. Définissez les types de relations contractuelles</t>
  </si>
  <si>
    <t>Déterminez les critères Idéaux en les chiffrant</t>
  </si>
  <si>
    <t xml:space="preserve">Slide "types de partenaires" et slide "critères de recrutement" </t>
  </si>
  <si>
    <t xml:space="preserve">Slide "type de partenaires ". Les partenaires qui ont une VA correspondant aux attentes du marché. </t>
  </si>
  <si>
    <t>Slide "périmètre d'intervention". Démontrez les opportunités de business pour les partenaires</t>
  </si>
  <si>
    <t>Slide "strategie partenaire" 
XXX Partenaires actifsdans 3 ans
Nos champions sur les marchés sélectionnés
Les meilleurs du marché
Qui s'engagent et gagnent de l'argent</t>
  </si>
  <si>
    <t>Estimez la Valeur du panier moyen fournisseur vendu par partner K€ ( avant commission )</t>
  </si>
  <si>
    <t xml:space="preserve">Documentez en premier le nombre de partenaires actifs existants en N-1 + le taux de churn par an ( ligne 102 ) </t>
  </si>
  <si>
    <t>% commissions sur le CA "One charge"</t>
  </si>
  <si>
    <t xml:space="preserve">Mode  One charge ( set up, licences,  … ) </t>
  </si>
  <si>
    <t>Année 1 de souscription</t>
  </si>
  <si>
    <t>Commissions dues aux partenaires K€</t>
  </si>
  <si>
    <t>Slide "opportunité de CA pour les partenaires" : XX M€ mis sur le marché pour un nombre limité de partenaires
L'importance du Service pour les partenaires, principale source de leurs revenus</t>
  </si>
  <si>
    <t>Présenter aux partenaires le gâteau qu'ils vot se partager dans les 3 ans à venir</t>
  </si>
  <si>
    <t>Mode One Charge</t>
  </si>
  <si>
    <t>Estimez le ratio</t>
  </si>
  <si>
    <t>Estimez le ratio: CA service partenaire / CA du fournisseur</t>
  </si>
  <si>
    <t>Précisez les engagements annuels minima des partenaires</t>
  </si>
  <si>
    <t xml:space="preserve">Chiffres proviennent de l'onglet "Channel capacity" </t>
  </si>
  <si>
    <t>Suivez les KPIs du process de recrutement. 
Voir tableau ci-dessous</t>
  </si>
  <si>
    <t>Délai pour signer un nouveau partenaire</t>
  </si>
  <si>
    <t>Expliquer à vos partenaires votre stratégie de recrutement, vos critères et le nombre de partenaires ciblés</t>
  </si>
  <si>
    <t>LIENS ENTRE LES ONGLETS</t>
  </si>
  <si>
    <t>BUSINESS CARD</t>
  </si>
  <si>
    <t>% CA Fournisseur / Partenaire</t>
  </si>
  <si>
    <t xml:space="preserve">Ventilation du CA par rubrique </t>
  </si>
  <si>
    <t>Sales Plan</t>
  </si>
  <si>
    <t>Profitablité des partenaires</t>
  </si>
  <si>
    <t>CA new business</t>
  </si>
  <si>
    <t>% CA fournisseur / partenaire</t>
  </si>
  <si>
    <t>% du CA de chaque partenaire</t>
  </si>
  <si>
    <t>Channel Capacity</t>
  </si>
  <si>
    <t>CA new biz</t>
  </si>
  <si>
    <t>Business4partners</t>
  </si>
  <si>
    <t># de partenaires à recruter</t>
  </si>
  <si>
    <t>Calcul des commissions</t>
  </si>
  <si>
    <t>Reprise du CA ( cf onglet Sales plan )</t>
  </si>
  <si>
    <t># de partenaires à gérer</t>
  </si>
  <si>
    <t>Channel team</t>
  </si>
  <si>
    <t>Nombre d'offres à analyser pendant le workshop</t>
  </si>
  <si>
    <t xml:space="preserve">Au mois le mois </t>
  </si>
  <si>
    <t xml:space="preserve">CA moyenné sur 6 mois </t>
  </si>
  <si>
    <t xml:space="preserve">3 maxi </t>
  </si>
  <si>
    <t>Rallonge le workshop . 1 jour supplémentaire par solution</t>
  </si>
  <si>
    <t xml:space="preserve">Mode licence one charge ou Mode SaaS souscription ? </t>
  </si>
  <si>
    <t>Mode licence one charge</t>
  </si>
  <si>
    <t>Choisir la version Licence (Mgdis )</t>
  </si>
  <si>
    <t>Mode SaaS souscription</t>
  </si>
  <si>
    <t>Facturation de la souscription</t>
  </si>
  <si>
    <t>Répercussions</t>
  </si>
  <si>
    <t>Mois le mois</t>
  </si>
  <si>
    <t>CA moyenné sur 6 mois ( onglet channel capacity )</t>
  </si>
  <si>
    <t>Upfront, sur 12 mois</t>
  </si>
  <si>
    <t>CA reconnu sur 12 mois</t>
  </si>
  <si>
    <t>Commission revendeurs</t>
  </si>
  <si>
    <t>Réponse</t>
  </si>
  <si>
    <t>Durée</t>
  </si>
  <si>
    <t>1, 2 , 3 ans</t>
  </si>
  <si>
    <t xml:space="preserve">Calcul des commissions ( onglet Business4partners ) </t>
  </si>
  <si>
    <t xml:space="preserve">Taux </t>
  </si>
  <si>
    <t>Souscription</t>
  </si>
  <si>
    <t>Calcul de la profitabilité des partenaires</t>
  </si>
  <si>
    <t>One charge</t>
  </si>
  <si>
    <t>Taux</t>
  </si>
  <si>
    <t>2° année</t>
  </si>
  <si>
    <t>3° année</t>
  </si>
  <si>
    <t>Ressources consultants avant-vente  en charge des partenaires</t>
  </si>
  <si>
    <t>Autres charges externes</t>
  </si>
  <si>
    <t>Personnalisation</t>
  </si>
  <si>
    <t xml:space="preserve">A confirmer </t>
  </si>
  <si>
    <t xml:space="preserve">PdM grands comptes (% CA par taille d'entreprises ) </t>
  </si>
  <si>
    <t>Facteur critiques de succès dans les 12 prochains mois</t>
  </si>
  <si>
    <t>temps, ressources, compétences</t>
  </si>
  <si>
    <t>finances, humains</t>
  </si>
  <si>
    <t>15K source Insee</t>
  </si>
  <si>
    <t>Equipe dans les 12 mois</t>
  </si>
  <si>
    <t>Programme de formation commerciale</t>
  </si>
  <si>
    <t>Cockpit / KPIs</t>
  </si>
  <si>
    <t>Business card</t>
  </si>
  <si>
    <t>50% charges salariales + 25% charges de structure</t>
  </si>
  <si>
    <t>Formation: Mini 2 comemrciaux x 1 jour + mini 2 consultants x 2 jours</t>
  </si>
  <si>
    <t>Partage avec le partenaire sur un extranet. apport de document: plan d'actions trimestriel . Formation. Sortie avec le channel manager</t>
  </si>
  <si>
    <t xml:space="preserve">Onglet SWOT et assessment </t>
  </si>
  <si>
    <t xml:space="preserve">Reprendre le tableau 1 fois par an </t>
  </si>
  <si>
    <r>
      <t xml:space="preserve">Valider l'adéquation du produit aux attentes du marché, sa notoriété, son potentiel marché, la gestion des leads. "Are you Market Ready ?".  les partenaires ne seront efficaces que si vous maîtrisez correctement  l'approche marketing de vos solutions. </t>
    </r>
    <r>
      <rPr>
        <b/>
        <sz val="12"/>
        <color theme="1"/>
        <rFont val="Calibri"/>
        <family val="2"/>
        <scheme val="minor"/>
      </rPr>
      <t xml:space="preserve">A dérouler 2 fois par an ... et aussi par vos commerciaux ! </t>
    </r>
  </si>
  <si>
    <r>
      <t xml:space="preserve">Définir le portrait robot du partenaire idéal et son niveau d'engagement minimum.  Ces critères vous serviront pour recruter vos "bons" partenaires.  </t>
    </r>
    <r>
      <rPr>
        <b/>
        <sz val="11"/>
        <color theme="1"/>
        <rFont val="Calibri"/>
        <family val="2"/>
        <scheme val="minor"/>
      </rPr>
      <t>Tous les 6 mois après 12 mois</t>
    </r>
  </si>
  <si>
    <t>Mesurer le gap entre les partenaires réels et les partenaires idéaux . Tous les 6 mois après 12 mois</t>
  </si>
  <si>
    <t xml:space="preserve">Upsell / Cross sell du Partenaire: Prestations de suivi et d'accompagnement additionnelles </t>
  </si>
  <si>
    <t>CA récurrent + additionnel sur des ventes complémentaires sur les 2 années suivantes ( upsell, cross sell)</t>
  </si>
  <si>
    <t xml:space="preserve">% affaires avec démo personnalisée </t>
  </si>
  <si>
    <t>% des POC facturables</t>
  </si>
  <si>
    <t>% présence commerciale actuelle</t>
  </si>
  <si>
    <t xml:space="preserve">Taux multiplicateur du pipe pour atteindre les objectifs </t>
  </si>
  <si>
    <t xml:space="preserve">Valorisez les taux </t>
  </si>
  <si>
    <t xml:space="preserve">Taux d'Upsell sur la base client N-1: </t>
  </si>
  <si>
    <t>Taux de churn client N-1 :</t>
  </si>
  <si>
    <t>CA souscription récurrent avec taux de churn et d'upsell calculé sur le CA N-1</t>
  </si>
  <si>
    <t>CA de nouvelles souscriptions incrémentales de l'année</t>
  </si>
  <si>
    <t xml:space="preserve">ratio CA partenaire / CA fournisseur </t>
  </si>
  <si>
    <t>ratio CA partenaire / CA total</t>
  </si>
  <si>
    <t xml:space="preserve">1.1 Commissions sur le CA "One Charge" </t>
  </si>
  <si>
    <t>1.2 Commissions sur le CA Souscription K€</t>
  </si>
  <si>
    <t>1.3 Total Commissions dues aux partenaires K Euros</t>
  </si>
  <si>
    <t>2. CA des Services propres aux partenaires revendues aux clients par les partenaires</t>
  </si>
  <si>
    <t>3. Revenu total des partenaires K€</t>
  </si>
  <si>
    <t xml:space="preserve">- Besoins de new partenaires à recruter </t>
  </si>
  <si>
    <t>Slide "stratégie de distribution sélective" reprenant les principes majeurs de votre stratégie partenaire</t>
  </si>
  <si>
    <t>Slide "solution": mettez en avant vos différenciateurs et surtout vos singularités</t>
  </si>
  <si>
    <t>Règle des 1 pour 1</t>
  </si>
  <si>
    <t xml:space="preserve">Pipe mensuel </t>
  </si>
  <si>
    <t xml:space="preserve">Feuille de qualification </t>
  </si>
  <si>
    <t>Démo type / scénario</t>
  </si>
  <si>
    <t>Exemple Modèle type</t>
  </si>
  <si>
    <t>Exemple de contrats</t>
  </si>
  <si>
    <t xml:space="preserve">Procédure d'installation </t>
  </si>
  <si>
    <t>Formation + Doc en ligne</t>
  </si>
  <si>
    <t>Connecteurs Doc en ligne</t>
  </si>
  <si>
    <t>en cours</t>
  </si>
  <si>
    <t xml:space="preserve">Cf contrats </t>
  </si>
  <si>
    <t xml:space="preserve">Programme de Formation </t>
  </si>
  <si>
    <t xml:space="preserve">Outils à développer </t>
  </si>
  <si>
    <t>Opérateur</t>
  </si>
  <si>
    <t>Editeur</t>
  </si>
  <si>
    <t>ABE</t>
  </si>
  <si>
    <t>Reprendre les points critiques dans la présentation au Comité de direction</t>
  </si>
  <si>
    <t>Rôle du Consultant : aider à la réalisation du plan d'action</t>
  </si>
  <si>
    <r>
      <t xml:space="preserve">Utiliser la Méthodologie comme outil de pilotage. Déterminer l'agenda des Kpis à revoir. </t>
    </r>
    <r>
      <rPr>
        <b/>
        <sz val="12"/>
        <color theme="1"/>
        <rFont val="Calibri"/>
        <family val="2"/>
        <scheme val="minor"/>
      </rPr>
      <t xml:space="preserve">A revisiter 1 fois par an </t>
    </r>
    <r>
      <rPr>
        <sz val="12"/>
        <color theme="1"/>
        <rFont val="Calibri"/>
        <family val="2"/>
        <scheme val="minor"/>
      </rPr>
      <t xml:space="preserve">
</t>
    </r>
  </si>
  <si>
    <t>Mettre à jour onglet "business card" . Rester au plus près des réalités business . Onglet " BusinessCard"</t>
  </si>
  <si>
    <t>Le nombre et % de conflits.
Le radar
 Analyse 1 fois par an  avec plan d'action si nécessaire</t>
  </si>
  <si>
    <r>
      <t xml:space="preserve">Valider le nombre et sources de conflits inter canaux. Définir les règles de bon fonctionnement / gouvernance . </t>
    </r>
    <r>
      <rPr>
        <b/>
        <sz val="12"/>
        <color theme="1"/>
        <rFont val="Calibri"/>
        <family val="2"/>
        <scheme val="minor"/>
      </rPr>
      <t xml:space="preserve">A faire 1 fois par an </t>
    </r>
  </si>
  <si>
    <r>
      <t xml:space="preserve">En fin de workshop, définissez les priorités, les dates et les responsabilités . </t>
    </r>
    <r>
      <rPr>
        <b/>
        <sz val="12"/>
        <color theme="1"/>
        <rFont val="Calibri"/>
        <family val="2"/>
        <scheme val="minor"/>
      </rPr>
      <t>A revoir chaque mois de la première année</t>
    </r>
  </si>
  <si>
    <t>Estimez le coût chargé de chaque poste puis le nombre par année</t>
  </si>
  <si>
    <t>Choisir la version SaaS ( Opérateur ou éditeur)</t>
  </si>
  <si>
    <t>Tout au long du workshop, tracer les activités à réaliser. A la fin du workshop, reprendre la liste en définissant les priorités, les échéances et les responsables</t>
  </si>
  <si>
    <r>
      <t xml:space="preserve">Votre budget! Estimer le niveau d'investissemnt de l'équipe et du programme partenaire. Calculer le point mort en CA et nombre de partenaires. </t>
    </r>
    <r>
      <rPr>
        <b/>
        <sz val="12"/>
        <color theme="1"/>
        <rFont val="Calibri"/>
        <family val="2"/>
        <scheme val="minor"/>
      </rPr>
      <t xml:space="preserve">A valider tous les 6 mois </t>
    </r>
  </si>
  <si>
    <t xml:space="preserve">Estimez le nombre de channel managers et d'avant vente nécessaires pour développer les partenaires </t>
  </si>
  <si>
    <r>
      <t xml:space="preserve">Organisation de l'équipe en charge des partenaires. Notez le nombre de partenaires gérés par un Partner Account Manager (PAM). </t>
    </r>
    <r>
      <rPr>
        <b/>
        <sz val="12"/>
        <color theme="1"/>
        <rFont val="Calibri"/>
        <family val="2"/>
        <scheme val="minor"/>
      </rPr>
      <t xml:space="preserve">A revoir 1 fois par an </t>
    </r>
    <r>
      <rPr>
        <sz val="12"/>
        <color theme="1"/>
        <rFont val="Calibri"/>
        <family val="2"/>
        <scheme val="minor"/>
      </rPr>
      <t xml:space="preserve">
Notez le nombre de partenaires gérés par un Partner Account Manager (PAM)</t>
    </r>
  </si>
  <si>
    <r>
      <t xml:space="preserve">Définir les arguments pour lesquels un partenaire va travailler avec vous et non avec votre concurrent. Plus votre valeur ajoutée sera forte, plus vous serez stratégique pour son développement. </t>
    </r>
    <r>
      <rPr>
        <b/>
        <sz val="12"/>
        <color theme="1"/>
        <rFont val="Calibri"/>
        <family val="2"/>
        <scheme val="minor"/>
      </rPr>
      <t xml:space="preserve">A revoir 1 fois par an </t>
    </r>
  </si>
  <si>
    <r>
      <t xml:space="preserve">Cette étape est cruciale. Elle démontre à votre partenaire ses espérances de gain , de CA et de marges sur une perspective de 3 ans. Elle permet de calculer son investissement initial et le nombre d'affaires à réaliser pour atteindre le point mort. </t>
    </r>
    <r>
      <rPr>
        <b/>
        <sz val="12"/>
        <color theme="1"/>
        <rFont val="Calibri"/>
        <family val="2"/>
        <scheme val="minor"/>
      </rPr>
      <t xml:space="preserve">A revoir tous les 6 mois. </t>
    </r>
  </si>
  <si>
    <r>
      <t xml:space="preserve">La stratégie de prix doit refléter votre stratégie de conquête à travers les partenaires. </t>
    </r>
    <r>
      <rPr>
        <b/>
        <sz val="12"/>
        <color theme="1"/>
        <rFont val="Calibri"/>
        <family val="2"/>
        <scheme val="minor"/>
      </rPr>
      <t>1 fois tous les 6 mois</t>
    </r>
  </si>
  <si>
    <r>
      <t xml:space="preserve">Déterminer le bon niveau de remise en fonction du marché et de l'implication des partenaires. </t>
    </r>
    <r>
      <rPr>
        <b/>
        <sz val="12"/>
        <color theme="1"/>
        <rFont val="Calibri"/>
        <family val="2"/>
        <scheme val="minor"/>
      </rPr>
      <t xml:space="preserve">1 fois par an </t>
    </r>
  </si>
  <si>
    <r>
      <t xml:space="preserve">Définir les engagements réciproques inclus dans les programmes partenaires. Le programme partenaire est la colonne vertébrale de votre relation avec les partenaires.Il est construit sur un principe d'engagements et de droits et devoirs réciproques. Souvent supporté par un extranet, il automatise la relation quotidienne avec les partenaires. </t>
    </r>
    <r>
      <rPr>
        <b/>
        <sz val="12"/>
        <color theme="1"/>
        <rFont val="Calibri"/>
        <family val="2"/>
        <scheme val="minor"/>
      </rPr>
      <t>Revoir tous les 6 mois. Nommer un responsable du programme partenaire</t>
    </r>
  </si>
  <si>
    <r>
      <t xml:space="preserve">Pour aider vos partenaires, calculer le nombre de leads qu'ils doivent avoir en permanence dans leur  pipe pour assurer l'atteinte des objectifs. </t>
    </r>
    <r>
      <rPr>
        <b/>
        <sz val="12"/>
        <color theme="1"/>
        <rFont val="Calibri"/>
        <family val="2"/>
        <scheme val="minor"/>
      </rPr>
      <t>Revoir tous les 6 mois</t>
    </r>
  </si>
  <si>
    <r>
      <t xml:space="preserve">Définir les règles d'affectation des Territoires entre les canaux.  Souvent source de conflit … Définissez avec précision et communiquez avec force ! </t>
    </r>
    <r>
      <rPr>
        <b/>
        <sz val="12"/>
        <color theme="1"/>
        <rFont val="Calibri"/>
        <family val="2"/>
        <scheme val="minor"/>
      </rPr>
      <t xml:space="preserve">Revoir une fois par an </t>
    </r>
  </si>
  <si>
    <t xml:space="preserve">Disponibilité des ressources techniques </t>
  </si>
  <si>
    <t>Obligation Contractuelle de la part du client</t>
  </si>
  <si>
    <t>Nouveau produit /POC / complexité</t>
  </si>
  <si>
    <t>Profitabilité du projet</t>
  </si>
  <si>
    <t>Type d'Offre</t>
  </si>
  <si>
    <t>Ventilez les critères d'affectation des leads aux partenaires</t>
  </si>
  <si>
    <t>Déterminez le taux de commission "one charge"</t>
  </si>
  <si>
    <t>Déterminez les taux de commission souscription</t>
  </si>
  <si>
    <r>
      <t xml:space="preserve">Estimer le nombre de partenaires actifs dans 3 ans. Cette estimation sera utile pour établir votre plan de recrutement. </t>
    </r>
    <r>
      <rPr>
        <b/>
        <sz val="12"/>
        <color theme="1"/>
        <rFont val="Calibri"/>
        <family val="2"/>
        <scheme val="minor"/>
      </rPr>
      <t xml:space="preserve">1 fois par an </t>
    </r>
  </si>
  <si>
    <r>
      <t xml:space="preserve">Estimez le CA réalisé par les partenaires autour de vos produits : les commissions perçues + la facturation de leurs propres services. </t>
    </r>
    <r>
      <rPr>
        <b/>
        <sz val="12"/>
        <color theme="1"/>
        <rFont val="Calibri"/>
        <family val="2"/>
        <scheme val="minor"/>
      </rPr>
      <t xml:space="preserve">1 fois par an </t>
    </r>
  </si>
  <si>
    <r>
      <t>Mode SaaS ( abonnement / souscription annuelles ) Estimez le nombre de clients et de partenaires nécessaires pour atteindre les objectifs.</t>
    </r>
    <r>
      <rPr>
        <b/>
        <sz val="12"/>
        <color theme="1"/>
        <rFont val="Calibri"/>
        <family val="2"/>
        <scheme val="minor"/>
      </rPr>
      <t xml:space="preserve"> Etablir une fois par an </t>
    </r>
  </si>
  <si>
    <t xml:space="preserve">Pour info, la ventilation entre canaux est la même que celle du business d'acquisition . </t>
  </si>
  <si>
    <t>CA souscription incrémental d'acquisition</t>
  </si>
  <si>
    <t xml:space="preserve"> CA de nouvelles souscriptions par an ( K€ ). New biz pur ( hors up selling sur la base )</t>
  </si>
  <si>
    <t xml:space="preserve">Domaines d'améliorations </t>
  </si>
  <si>
    <t>PREUVE PAR DES BIZ CASES CLIENTS</t>
  </si>
  <si>
    <t xml:space="preserve">PITCH DE PRESENTATION . 3 lignes. </t>
  </si>
  <si>
    <t>DIFFERENCIATEURS ET SINGULARITES SUR LE MARCHE</t>
  </si>
  <si>
    <t xml:space="preserve">REFERENCES CLIENTS EXISTANTES </t>
  </si>
  <si>
    <r>
      <t xml:space="preserve">Positionnement de l'offre commune .  </t>
    </r>
    <r>
      <rPr>
        <b/>
        <sz val="12"/>
        <color theme="1"/>
        <rFont val="Calibri"/>
        <family val="2"/>
        <scheme val="minor"/>
      </rPr>
      <t>A revisiter 1 fois par an en début d'année</t>
    </r>
  </si>
  <si>
    <t xml:space="preserve">VALEUR AJOUTEE DU PARTENARIAT POUR CHACUN DES PARTENAIRES </t>
  </si>
  <si>
    <t>STRATEGIE COMMERCIALE DE L'OFFRE CONJOINTE</t>
  </si>
  <si>
    <t xml:space="preserve">EQUINIX </t>
  </si>
  <si>
    <t xml:space="preserve">PARTENARIAT STRATEGIQUE POUR LE PARTENAIRE ? </t>
  </si>
  <si>
    <t>: Analyse SWOT de l'offre conjointe</t>
  </si>
  <si>
    <t>FORCES DE CETTE OFFRE CONJOINTE</t>
  </si>
  <si>
    <t xml:space="preserve">FAIBLESSES DE CETTE OFFRE CONJOINTE </t>
  </si>
  <si>
    <t xml:space="preserve">OPPORTUNITES POUR SON DEVELOPPEMENT </t>
  </si>
  <si>
    <t>RISQUES et MENACES POUR SON DEVELOPPEMENT</t>
  </si>
  <si>
    <t>CONVERGENCE SUR LA STRATEGIE COMMERCIALE</t>
  </si>
  <si>
    <r>
      <t xml:space="preserve">Classez vos attentes concernant la stratégie commerciale vis à vis de ce partenariat.  </t>
    </r>
    <r>
      <rPr>
        <b/>
        <sz val="12"/>
        <color theme="1"/>
        <rFont val="Calibri"/>
        <family val="2"/>
        <scheme val="minor"/>
      </rPr>
      <t>A revisiter 1 fois par an en début d'année</t>
    </r>
  </si>
  <si>
    <t xml:space="preserve">Quelles sont vos motivations prioritaires pour développer commercialement cette offre partenariale ? </t>
  </si>
  <si>
    <r>
      <rPr>
        <b/>
        <sz val="12"/>
        <rFont val="Calibri"/>
        <family val="2"/>
        <scheme val="minor"/>
      </rPr>
      <t>Services</t>
    </r>
    <r>
      <rPr>
        <sz val="12"/>
        <rFont val="Calibri"/>
        <family val="2"/>
        <scheme val="minor"/>
      </rPr>
      <t xml:space="preserve">. Proposer aux clients des compétences de déploiement / d'intégration / installation / développement / formation / conseil complémentaires </t>
    </r>
  </si>
  <si>
    <r>
      <rPr>
        <b/>
        <sz val="12"/>
        <rFont val="Calibri"/>
        <family val="2"/>
        <scheme val="minor"/>
      </rPr>
      <t>Projets complexes.</t>
    </r>
    <r>
      <rPr>
        <sz val="12"/>
        <rFont val="Calibri"/>
        <family val="2"/>
        <scheme val="minor"/>
      </rPr>
      <t xml:space="preserve"> Adresser les grands projets</t>
    </r>
  </si>
  <si>
    <r>
      <rPr>
        <b/>
        <sz val="12"/>
        <rFont val="Calibri"/>
        <family val="2"/>
        <scheme val="minor"/>
      </rPr>
      <t xml:space="preserve">Services de proximité en France. </t>
    </r>
    <r>
      <rPr>
        <sz val="12"/>
        <rFont val="Calibri"/>
        <family val="2"/>
        <scheme val="minor"/>
      </rPr>
      <t xml:space="preserve"> Proposer aux clients un service proche de chez lui, compétent et réactif en France</t>
    </r>
  </si>
  <si>
    <t>Accéder à de nouveaux profils de décideurs ( métier, DSI, DG, … )</t>
  </si>
  <si>
    <t>Améliorer la rapidité du cycle d'installation et de démarrage</t>
  </si>
  <si>
    <t>Améliorer la rapidité du cycle de vente</t>
  </si>
  <si>
    <t>Améliorer le cross selling et upselling chez les clients</t>
  </si>
  <si>
    <r>
      <t xml:space="preserve">Définir votre vision et ambition pour la communiquer en interne et en externe: votre cap à 3 ans.   </t>
    </r>
    <r>
      <rPr>
        <b/>
        <sz val="12"/>
        <color theme="1"/>
        <rFont val="Calibri"/>
        <family val="2"/>
        <scheme val="minor"/>
      </rPr>
      <t xml:space="preserve"> A revisiter 1 fois par an en début d'année</t>
    </r>
  </si>
  <si>
    <t>- Souscription annuelle totale pour la solution SaaS</t>
  </si>
  <si>
    <t>- Prestations de Services facturées par Equinix</t>
  </si>
  <si>
    <t>- Prestations de Services facturées par le Partenaire</t>
  </si>
  <si>
    <t># ESN / Intégrateurs grands comptes</t>
  </si>
  <si>
    <t># VARs PME</t>
  </si>
  <si>
    <t xml:space="preserve"># éditeurs </t>
  </si>
  <si>
    <t># Consultants / Conseil</t>
  </si>
  <si>
    <t># constructeurs</t>
  </si>
  <si>
    <t xml:space="preserve">CA Souscription total M€ ( Récurrent + new biz ) </t>
  </si>
  <si>
    <t>Marché 1</t>
  </si>
  <si>
    <t>Marché 2</t>
  </si>
  <si>
    <t>Marché 3</t>
  </si>
  <si>
    <t>Marché 4</t>
  </si>
  <si>
    <t>Marché 5</t>
  </si>
  <si>
    <t>Marché 6</t>
  </si>
  <si>
    <t>CA réparti en % par marché ou solution</t>
  </si>
  <si>
    <t>CA réparti par mode de vente</t>
  </si>
  <si>
    <t>Cible Marché par taille d'entreprises</t>
  </si>
  <si>
    <t>International</t>
  </si>
  <si>
    <t>Notoriété de la solution conjointe</t>
  </si>
  <si>
    <t>EQUINIX</t>
  </si>
  <si>
    <t xml:space="preserve">Caractéristiques d'une affaire moyenne : A DEFINIR </t>
  </si>
  <si>
    <t>Caractéristiques commerciales de l'offre conjointe</t>
  </si>
  <si>
    <t>CA pour le PARTENAIRE</t>
  </si>
  <si>
    <t>CA pour EQUINIX</t>
  </si>
  <si>
    <t>CA généré par le PARTENAIRE</t>
  </si>
  <si>
    <t xml:space="preserve">CA annuel lié aux Services </t>
  </si>
  <si>
    <t>CA Equinix</t>
  </si>
  <si>
    <t>Années 2 + 3 cumulées</t>
  </si>
  <si>
    <t>Upsell / cross sell pour Equinix: add'on de Licence / Abonnement additionnels 2 années suivantes</t>
  </si>
  <si>
    <t>Upsell / Cross sell du Partenaire: vente de souscription additionnelle</t>
  </si>
  <si>
    <t xml:space="preserve">Prestations de services additionnels </t>
  </si>
  <si>
    <t>Contacts prioritaires pour l'offre conjointe</t>
  </si>
  <si>
    <t>Solution Conjointe</t>
  </si>
  <si>
    <t xml:space="preserve">Analyse de la Compétition </t>
  </si>
  <si>
    <t>Modules EQUINIX</t>
  </si>
  <si>
    <t>Modules PARTENAIRE</t>
  </si>
  <si>
    <t>Market ready pour l'offre conjointe</t>
  </si>
  <si>
    <t xml:space="preserve">L'offre conjointe est-elle "channel &amp; sales ready" ? </t>
  </si>
  <si>
    <r>
      <t xml:space="preserve">Estimation du nombre de ventes réalisables en fonction du marché adressable   A revoir </t>
    </r>
    <r>
      <rPr>
        <b/>
        <sz val="12"/>
        <color theme="1"/>
        <rFont val="Calibri"/>
        <family val="2"/>
        <scheme val="minor"/>
      </rPr>
      <t xml:space="preserve">1 fois par an </t>
    </r>
  </si>
  <si>
    <t>Répartition Régionale pour l'offre conjointe</t>
  </si>
  <si>
    <t>Répartition Sectorielle pour l'offre conjointe</t>
  </si>
  <si>
    <t xml:space="preserve">Approche en 4 temps. Premièrement: estimez le potentiel de chaque marché suivant une note de 1 à 5. Deuxièmement: estimez la facilité de signature en donnant des couleurs. Toisièmement: définissez les marchés prioritaires ( Valeurs 4 et 5, couleurs jaune et verte ). Quatrièmement: estimez le nombre de commerciaux nécéssaires pour couvrir chacun des marchés prioritaires. </t>
  </si>
  <si>
    <t>Nb commerciaux ciblés</t>
  </si>
  <si>
    <t>Nb commerciaux à développer</t>
  </si>
  <si>
    <t>Nb commerciaux déjà actifs</t>
  </si>
  <si>
    <t>RAISONS DES SUCCES CLIENTS</t>
  </si>
  <si>
    <t>RAISONS DES ECHECS COMMERCIAUX</t>
  </si>
  <si>
    <t>Points forts, faibles et risques à prendre en compte pour que cette offre conjointe soit un succès commercial</t>
  </si>
  <si>
    <t>Editeurs de solutions complémentaires</t>
  </si>
  <si>
    <t xml:space="preserve">Hébergeurs </t>
  </si>
  <si>
    <t>Agrégateurs</t>
  </si>
  <si>
    <t xml:space="preserve">Ventilation du CA Souscription sur 3 ans  A revoir 1 fois par an </t>
  </si>
  <si>
    <t>Nombre de signatures clients</t>
  </si>
  <si>
    <t xml:space="preserve">CA de l'Offre conjointe </t>
  </si>
  <si>
    <t>Equinix</t>
  </si>
  <si>
    <t>Taux de Croissance</t>
  </si>
  <si>
    <t xml:space="preserve">Quels Partenaires pour l'offre conjointe ? </t>
  </si>
  <si>
    <t>Partenaires idéaux pour l'offre conjointe</t>
  </si>
  <si>
    <t>Mise à jour des sites web respectifs</t>
  </si>
  <si>
    <t>Mise à jour des fichiers partenaires</t>
  </si>
  <si>
    <t xml:space="preserve">Process de fonctionnement Marketing: réunions périodiques, documents partagés … </t>
  </si>
  <si>
    <t xml:space="preserve">Apport et gestion des leads: qui génère et gère les leads, partage de la liste … </t>
  </si>
  <si>
    <t xml:space="preserve">Constitution des équipes commerciales et du qui fait quoi, annuaire </t>
  </si>
  <si>
    <t xml:space="preserve">GOUVERNANCE DU PARTENARIAT </t>
  </si>
  <si>
    <t>Equipe de gouvernance : qui , annuaire</t>
  </si>
  <si>
    <t>Clarifier les cibles ( codes NAF ) et formaliser la liste des cibles prioritaires</t>
  </si>
  <si>
    <t>Montrer détailler les références clients communes / biz cases</t>
  </si>
  <si>
    <t>Etude la base installée croisée pour trouver des opportunités</t>
  </si>
  <si>
    <t xml:space="preserve">Mise au point et suivi des campagnes de génération de leads </t>
  </si>
  <si>
    <t xml:space="preserve">Réunion annuelle / business plan </t>
  </si>
  <si>
    <t xml:space="preserve">Point mensuel pour le suivi du business, le marketing, l'organisation, les aspects techniques </t>
  </si>
  <si>
    <t>Expliquer aux commerciaux le système de remontée des leads</t>
  </si>
  <si>
    <t xml:space="preserve">Aide à la définition et validation des prix: qui, liste prix, configutateur pricing, … </t>
  </si>
  <si>
    <t xml:space="preserve">Process de fonctionnement des aspects commerciaux : équipe / agenda / calendrier des RdV </t>
  </si>
  <si>
    <t>Formaliser un business plan annuel et un plan d'action commun</t>
  </si>
  <si>
    <t xml:space="preserve">Validation des contrats: qui signe les contrats clients et les valide ? </t>
  </si>
  <si>
    <t xml:space="preserve">Process de fonctionnement des aspects techniques : équipe / agenda / calendrier des RdV </t>
  </si>
  <si>
    <t>Constitution des équipes techniques et du qui fait quoi, annuaire</t>
  </si>
  <si>
    <t>Définir qui est en charge du support niveau 1 et 2</t>
  </si>
  <si>
    <t>Aide à la configuration locale / paramétrage</t>
  </si>
  <si>
    <t xml:space="preserve">Fourniture de la doc technique de base </t>
  </si>
  <si>
    <t>Aide à la qualification des besoins sur les projets complexes</t>
  </si>
  <si>
    <t>Aides à la rédaction des réponses techniques / avant vente</t>
  </si>
  <si>
    <t xml:space="preserve">Process de fonctionnement des aspects administratifs : équipe / agenda / calendrier des RdV </t>
  </si>
  <si>
    <t>Définir le process pour prise de commande client</t>
  </si>
  <si>
    <t xml:space="preserve">Partner Sales Kit pour les commerciaux </t>
  </si>
  <si>
    <r>
      <t xml:space="preserve">Définir les outils, documents, process, ressources accessibles par les commerciaux afin qu'ils soient autonomes et efficaces sur un plan commercial, marketing, administratif et technique . </t>
    </r>
    <r>
      <rPr>
        <b/>
        <sz val="12"/>
        <color theme="1"/>
        <rFont val="Calibri"/>
        <family val="2"/>
        <scheme val="minor"/>
      </rPr>
      <t>1 fois tous les 6 mois</t>
    </r>
  </si>
  <si>
    <t>Infos Société de chaque partenaire</t>
  </si>
  <si>
    <t>Infos sur la solution conjointe</t>
  </si>
  <si>
    <t>FAQ / Réponse aux objections commerciales</t>
  </si>
  <si>
    <t xml:space="preserve">Cibles/Marchés </t>
  </si>
  <si>
    <t>Video de présentation</t>
  </si>
  <si>
    <t>Les Demos : organisation , …</t>
  </si>
  <si>
    <t>Gartner, CXP , Forrester articles</t>
  </si>
  <si>
    <t>Roadmap de la solution conjointe</t>
  </si>
  <si>
    <t>Explication du process / étapes de vente</t>
  </si>
  <si>
    <t>Liste des Références clients</t>
  </si>
  <si>
    <t>process gestion des leads entrants</t>
  </si>
  <si>
    <t xml:space="preserve">process gestion leads sortants </t>
  </si>
  <si>
    <t>logos respectifs:  Règles d'utilisation</t>
  </si>
  <si>
    <t>charte envers les clients</t>
  </si>
  <si>
    <t>Formations au process de vente</t>
  </si>
  <si>
    <t>Accès aux info commerciales sur le web</t>
  </si>
  <si>
    <t>Liste / annuaire des responsables commerciaux du partenariat</t>
  </si>
  <si>
    <t>Campagne d'incentive auprès des commerciaux</t>
  </si>
  <si>
    <t>Liste / annuaire des responsables techniques du partenariat</t>
  </si>
  <si>
    <t>Catalogue de Prestations de services</t>
  </si>
  <si>
    <t>Accès à un outil Extranet pour partage info techn</t>
  </si>
  <si>
    <t>Process accès hot line level 1 et 2</t>
  </si>
  <si>
    <t>Argumentaire commercial ( slides, video, … )</t>
  </si>
  <si>
    <t>Commissionnement des commerciaux</t>
  </si>
  <si>
    <t>Présentation commerciale de la solution conjointe</t>
  </si>
  <si>
    <t>Liste / annuaire des responsables du partenariat</t>
  </si>
  <si>
    <t>Liste des Sponsors ( Comité de Direction )</t>
  </si>
  <si>
    <t xml:space="preserve">Gouvernance : Outil de partage des infos </t>
  </si>
  <si>
    <t>Liste de prix/calculateur</t>
  </si>
  <si>
    <t>Contrats de Partenariat</t>
  </si>
  <si>
    <t>Liste de prix + remises partenaire</t>
  </si>
  <si>
    <t>Programme partenaire: apports et engagements</t>
  </si>
  <si>
    <t>Questionnaire de satisfaction fin d'année</t>
  </si>
  <si>
    <t>Mise à jour de la base de données partenaires</t>
  </si>
  <si>
    <t xml:space="preserve">Mise à jour respective des sites Web </t>
  </si>
  <si>
    <t>Mise à jour au catalogue des solutions partenaires</t>
  </si>
  <si>
    <t>Gouvernance : définition et planification des réunions</t>
  </si>
  <si>
    <t>Biz plan annuel conjoint</t>
  </si>
  <si>
    <t># Ressources consultants après-vente: intégration, paramétrage, analyse ,</t>
  </si>
  <si>
    <t xml:space="preserve">CA brut:  Souscription SaaS </t>
  </si>
  <si>
    <t>La proposition de valeur client: mise en forme</t>
  </si>
  <si>
    <t>Validation des champions commerciaux</t>
  </si>
  <si>
    <t>Les équipes transversales en charge du partenariat</t>
  </si>
  <si>
    <t>premières analyse de convergence avec les 2 parties</t>
  </si>
  <si>
    <t>Présentation au comité de direction</t>
  </si>
  <si>
    <t>Volonté des 2 DG</t>
  </si>
  <si>
    <t>La pertinence du sales plan 3 ans</t>
  </si>
  <si>
    <t xml:space="preserve">La capacité à mettre les Moyens dans les 12 mois  </t>
  </si>
  <si>
    <t>Une stratégie commerciale claire et partagée claire</t>
  </si>
  <si>
    <t>Connait la valeur ajoutée et les limites de l'autre partenaire</t>
  </si>
  <si>
    <t>Capacité à rendre l'Offre "Sales ready"</t>
  </si>
  <si>
    <t>Marge profitabilité pour chacun des partenaires</t>
  </si>
  <si>
    <t>Assurer une couverture commerciale d'ici 3 ans</t>
  </si>
  <si>
    <t>Capacité à recruter les bons profils de commerciaux</t>
  </si>
  <si>
    <t xml:space="preserve">Capacité à motiver les Commerciaux actifs  </t>
  </si>
  <si>
    <t xml:space="preserve">Capacité à former les commerciaux </t>
  </si>
  <si>
    <t>Une offre stratégique pour chacun des 2 partenaires</t>
  </si>
  <si>
    <t>Facilité / difficultés à créer un bon réseau commercial</t>
  </si>
  <si>
    <t>Volonté de renforcer l'équipe dédiée au partenariat</t>
  </si>
  <si>
    <t xml:space="preserve">Programme de génération de leads </t>
  </si>
  <si>
    <t>Moyens d'Animation des commerciaux</t>
  </si>
  <si>
    <t xml:space="preserve">Plan de gouvernance: équipes, réunions, agenda </t>
  </si>
  <si>
    <t>Enquêtes de satisfaction des commerciaux et des clients</t>
  </si>
  <si>
    <t xml:space="preserve">Attentes et convergences des 2 Partenaires vis-à-vis de ce partenariat </t>
  </si>
  <si>
    <t>Carte d'identité business de l'offre / répartition du CA / caractéristiques commerciales</t>
  </si>
  <si>
    <t xml:space="preserve">Nom des onglets </t>
  </si>
  <si>
    <t>Définition du périmètre de l'offre</t>
  </si>
  <si>
    <t>Plan de ventes 3 ans</t>
  </si>
  <si>
    <t>Plans d'actions et de lancement</t>
  </si>
  <si>
    <t>Mise en œuvre</t>
  </si>
  <si>
    <t>Evaluation succès</t>
  </si>
  <si>
    <t xml:space="preserve">Perception et ambition du partenariat </t>
  </si>
  <si>
    <t>Facteurs clés de succès</t>
  </si>
  <si>
    <t>LA STRATEGIE COMMERCIALE</t>
  </si>
  <si>
    <t>STRATEGIE DE LANCEMENT / BUSINESS PLAN / PLAN D'ACTIONS</t>
  </si>
  <si>
    <t>Chronologie du Workshop</t>
  </si>
  <si>
    <t xml:space="preserve">CONSTRUCTION DU WORKSHOP
</t>
  </si>
  <si>
    <t>VISION &amp; AMBITIONS DU PARTENARIAT</t>
  </si>
  <si>
    <t>PLAN DE VENTE 3 ANS</t>
  </si>
  <si>
    <t>LES PROGRAMMES DE LANCEMENT</t>
  </si>
  <si>
    <t>SALES KIT</t>
  </si>
  <si>
    <t>BUDGET</t>
  </si>
  <si>
    <t>GOUVERNANCE</t>
  </si>
  <si>
    <t xml:space="preserve">Back margin </t>
  </si>
  <si>
    <t>xxxxx</t>
  </si>
  <si>
    <t>POSITIONING-OFR1</t>
  </si>
  <si>
    <t xml:space="preserve">Lister les peines / problèmes de vos interlocuteurs </t>
  </si>
  <si>
    <t>PRICING et
 ROI POUR LE CLIENT</t>
  </si>
  <si>
    <t>Nombre de commerciaux actifs :</t>
  </si>
  <si>
    <t>Q1</t>
  </si>
  <si>
    <t>Q2</t>
  </si>
  <si>
    <t>Q3</t>
  </si>
  <si>
    <t>Q4</t>
  </si>
  <si>
    <t>Réalisé</t>
  </si>
  <si>
    <t># de deals à signer</t>
  </si>
  <si>
    <t>CA total partenaire ( prestations services + commissions )</t>
  </si>
  <si>
    <t xml:space="preserve">- dont CA partenaire prestations services </t>
  </si>
  <si>
    <t xml:space="preserve">- dont CA partenaire commissions </t>
  </si>
  <si>
    <t>CA Equinix net de commissions</t>
  </si>
  <si>
    <t>CA sur la base installée du partenaire: liste des comptes ciblés</t>
  </si>
  <si>
    <t>CA new biz. Mode conquête : nouveaux clients</t>
  </si>
  <si>
    <t>Plan de Formation des équipes</t>
  </si>
  <si>
    <t># de comemrciaux à envoyer en formation</t>
  </si>
  <si>
    <t>Acteurs du Workshop</t>
  </si>
  <si>
    <t>Biz Plan</t>
  </si>
  <si>
    <t>JLC</t>
  </si>
  <si>
    <t>Jean Luc Lecolleter</t>
  </si>
  <si>
    <t>FGR</t>
  </si>
  <si>
    <t>Florence Grégoire</t>
  </si>
  <si>
    <t>Direction Marketing</t>
  </si>
  <si>
    <t>eve.girault@eu.equinix.com'</t>
  </si>
  <si>
    <t>EGI</t>
  </si>
  <si>
    <t>Eve Girault</t>
  </si>
  <si>
    <t>Alliance manager</t>
  </si>
  <si>
    <t>Florence.Gregoire@eu.equinix.com</t>
  </si>
  <si>
    <t>Pascal Catelineau</t>
  </si>
  <si>
    <t>Pascal.Catelineau@eu.equinix.com</t>
  </si>
  <si>
    <t xml:space="preserve">Date: </t>
  </si>
  <si>
    <t xml:space="preserve">Partenaire: </t>
  </si>
  <si>
    <t xml:space="preserve">Auteur: </t>
  </si>
  <si>
    <t>LA SOCIETE</t>
  </si>
  <si>
    <t>HOMMES CLE</t>
  </si>
  <si>
    <t>Nom :</t>
  </si>
  <si>
    <t>PdG</t>
  </si>
  <si>
    <t>Métier :</t>
  </si>
  <si>
    <t>Dir. Commercial</t>
  </si>
  <si>
    <t>Positionnement:</t>
  </si>
  <si>
    <t>Agences:</t>
  </si>
  <si>
    <t>Dir Technique</t>
  </si>
  <si>
    <t>Filiales International:</t>
  </si>
  <si>
    <t>Dir Partenariats</t>
  </si>
  <si>
    <t>PRODUITS/SOLUTIONS</t>
  </si>
  <si>
    <t>Désignation</t>
  </si>
  <si>
    <t>% du CA</t>
  </si>
  <si>
    <t>Concurrent #1</t>
  </si>
  <si>
    <t>Produit #1</t>
  </si>
  <si>
    <t>Concurrent #2</t>
  </si>
  <si>
    <t>Produit #2</t>
  </si>
  <si>
    <t>Concurrent #3</t>
  </si>
  <si>
    <t>Concurrent #4</t>
  </si>
  <si>
    <t>POTENTIEL HUMAIN</t>
  </si>
  <si>
    <t>POTENTIEL MAKETING / COMMERCIAL</t>
  </si>
  <si>
    <t># personnes :</t>
  </si>
  <si>
    <t>dont # commerciaux</t>
  </si>
  <si>
    <t>% new business / total business:</t>
  </si>
  <si>
    <t>dont # consultants</t>
  </si>
  <si>
    <t>Budget Marketing</t>
  </si>
  <si>
    <t>dont # marketing</t>
  </si>
  <si>
    <t>dont # Services</t>
  </si>
  <si>
    <t>dont # R&amp;D</t>
  </si>
  <si>
    <t>POTENTIEL FINANCIER</t>
  </si>
  <si>
    <t>CA et progression :</t>
  </si>
  <si>
    <t>Marge et progression</t>
  </si>
  <si>
    <t>% du CA :</t>
  </si>
  <si>
    <t xml:space="preserve"> - HW</t>
  </si>
  <si>
    <t xml:space="preserve"> - Software</t>
  </si>
  <si>
    <t>Forces :</t>
  </si>
  <si>
    <t xml:space="preserve"> - Maintenance/ support</t>
  </si>
  <si>
    <t xml:space="preserve"> - Services Intégration</t>
  </si>
  <si>
    <t xml:space="preserve"> - Formation</t>
  </si>
  <si>
    <t>Faiblesses</t>
  </si>
  <si>
    <t xml:space="preserve"> - Consulting</t>
  </si>
  <si>
    <t>Note D&amp;B</t>
  </si>
  <si>
    <t xml:space="preserve">Faiblesses : </t>
  </si>
  <si>
    <t>RESULTATS</t>
  </si>
  <si>
    <t>PERFORMANCE</t>
  </si>
  <si>
    <t>Volume du pipe brut</t>
  </si>
  <si>
    <t>Volume du pipe pondéré</t>
  </si>
  <si>
    <t xml:space="preserve">Tendance n-1: </t>
  </si>
  <si>
    <t># signatures  par an</t>
  </si>
  <si>
    <t>Projection 3 et 6 mois</t>
  </si>
  <si>
    <t xml:space="preserve">Taux Fiabilité du forecast </t>
  </si>
  <si>
    <t>results % vs objectifs</t>
  </si>
  <si>
    <t>Position Cadran</t>
  </si>
  <si>
    <t>Panier moyen</t>
  </si>
  <si>
    <t>% du CA global du BP</t>
  </si>
  <si>
    <t>Longueur cycle de vente</t>
  </si>
  <si>
    <t>Nbre de visites pour signer</t>
  </si>
  <si>
    <t xml:space="preserve">Répartition du CA </t>
  </si>
  <si>
    <t>K€</t>
  </si>
  <si>
    <t>%</t>
  </si>
  <si>
    <t># commerciaux formés</t>
  </si>
  <si>
    <t xml:space="preserve">Techniciens formés </t>
  </si>
  <si>
    <t xml:space="preserve"> - Software / SaaS</t>
  </si>
  <si>
    <t># commerciaux actifs</t>
  </si>
  <si>
    <t>Techniciens compétents actifs</t>
  </si>
  <si>
    <t xml:space="preserve"> - Maintence/support</t>
  </si>
  <si>
    <t xml:space="preserve"> - Services/intégration</t>
  </si>
  <si>
    <t># évents marketing</t>
  </si>
  <si>
    <t xml:space="preserve"> - Formation</t>
  </si>
  <si>
    <t># leads générés</t>
  </si>
  <si>
    <t>Taux couverture leads</t>
  </si>
  <si>
    <t>STRATEGIE DU PARTENARIAT</t>
  </si>
  <si>
    <t>STATUT DU PARTENARIAT</t>
  </si>
  <si>
    <t>Solutions / produits :</t>
  </si>
  <si>
    <t>Type de partenariat</t>
  </si>
  <si>
    <t>Territoires:</t>
  </si>
  <si>
    <t>Marchés ciblés :</t>
  </si>
  <si>
    <t>Date du contrat</t>
  </si>
  <si>
    <t>Gold, silver, bronze</t>
  </si>
  <si>
    <t>Taille prospects</t>
  </si>
  <si>
    <t>Contrat à jour</t>
  </si>
  <si>
    <t>Biz plan à jour</t>
  </si>
  <si>
    <t>CA/# clients ciblés sur l’année :</t>
  </si>
  <si>
    <t>Paiement à jour</t>
  </si>
  <si>
    <t>Forecast à jour</t>
  </si>
  <si>
    <t>Valeur ajoutée du partenariat pour :</t>
  </si>
  <si>
    <r>
      <t xml:space="preserve"> - Le </t>
    </r>
    <r>
      <rPr>
        <sz val="11"/>
        <rFont val="Times New Roman"/>
        <family val="1"/>
      </rPr>
      <t>client</t>
    </r>
  </si>
  <si>
    <t>Le partenariat est-il considéré comme stratégique ?</t>
  </si>
  <si>
    <t xml:space="preserve"> - Le Partenaire</t>
  </si>
  <si>
    <t xml:space="preserve"> - Par nous :</t>
  </si>
  <si>
    <t xml:space="preserve"> - Par le partenaire:</t>
  </si>
  <si>
    <r>
      <t xml:space="preserve"> -</t>
    </r>
    <r>
      <rPr>
        <sz val="11"/>
        <rFont val="Times New Roman"/>
        <family val="1"/>
      </rPr>
      <t>  Notre Société</t>
    </r>
  </si>
  <si>
    <t xml:space="preserve">Points forts </t>
  </si>
  <si>
    <t>Actions prioritaires </t>
  </si>
  <si>
    <t>BILAN GLOBAL DU PARTENARIAT</t>
  </si>
  <si>
    <t>HOMMES CLES</t>
  </si>
  <si>
    <t>Directeur Général</t>
  </si>
  <si>
    <t>Degré de convergence du partenariat</t>
  </si>
  <si>
    <t xml:space="preserve">Responsables du partenariat  </t>
  </si>
  <si>
    <t>Perception du partenaire</t>
  </si>
  <si>
    <t>Notre perception</t>
  </si>
  <si>
    <t>Degré d'autonomie et pouvoir</t>
  </si>
  <si>
    <t>Nos Champions</t>
  </si>
  <si>
    <t>Qutté de support fourni</t>
  </si>
  <si>
    <t>ROI du partenairiat</t>
  </si>
  <si>
    <t>Nos ennemis</t>
  </si>
  <si>
    <t>Neutres</t>
  </si>
  <si>
    <t>Points positifs</t>
  </si>
  <si>
    <t>Support réel des 2 directions :</t>
  </si>
  <si>
    <t>Points Bloquants</t>
  </si>
  <si>
    <t>Actions prioritaires à entreprendre:</t>
  </si>
  <si>
    <t>Actions prioritaires à entreprendre</t>
  </si>
  <si>
    <t>OPPORTUNITES POUR LE PARTENARIAT</t>
  </si>
  <si>
    <t xml:space="preserve"> DEFIS &amp; RISQUES POUR LE PARTENARIAT</t>
  </si>
  <si>
    <t>DIGORA</t>
  </si>
  <si>
    <t>Dir. Marketing</t>
  </si>
  <si>
    <t>Dir Services</t>
  </si>
  <si>
    <t>Date création</t>
  </si>
  <si>
    <t>Produit #3</t>
  </si>
  <si>
    <t>Produit #4</t>
  </si>
  <si>
    <t>Produit #5</t>
  </si>
  <si>
    <t>Concurrent #5</t>
  </si>
  <si>
    <t>Concurrent #6</t>
  </si>
  <si>
    <t xml:space="preserve">CONCURRENCE  </t>
  </si>
  <si>
    <t>VOS DIFFERENCIATEURS</t>
  </si>
  <si>
    <t>PARTENARIAT AVEC EQUINIX</t>
  </si>
  <si>
    <t># clients base installée</t>
  </si>
  <si>
    <t xml:space="preserve"># new clients par an </t>
  </si>
  <si>
    <t>Taux signature</t>
  </si>
  <si>
    <t>CA enregistré YTD</t>
  </si>
  <si>
    <t>Présentation du partenaire</t>
  </si>
  <si>
    <t>VISION ET ENJEUX DU PARTENAIRE</t>
  </si>
  <si>
    <t>PRIORITES STRATEGIQUES DU PARTENAIRE</t>
  </si>
  <si>
    <t xml:space="preserve">Techniquement intégrée ? </t>
  </si>
  <si>
    <t>Robuste et fiable ?</t>
  </si>
  <si>
    <t xml:space="preserve">Commercialement packagée ? </t>
  </si>
  <si>
    <t xml:space="preserve">Commerciaux motivés ? </t>
  </si>
  <si>
    <t xml:space="preserve">Références clients ? </t>
  </si>
  <si>
    <t xml:space="preserve">Modulaire et scalable ? </t>
  </si>
  <si>
    <t xml:space="preserve">Easy to do business with ? </t>
  </si>
  <si>
    <t xml:space="preserve">Profitable pour les 2 parties ? </t>
  </si>
  <si>
    <t xml:space="preserve">Doc technique ? </t>
  </si>
  <si>
    <t xml:space="preserve">Support level 1 et 2 ? </t>
  </si>
  <si>
    <t>Liste de Prix</t>
  </si>
  <si>
    <t>Process de commande clair</t>
  </si>
  <si>
    <t>Différenciateurs vs concurrence</t>
  </si>
  <si>
    <t>Budget alloué</t>
  </si>
  <si>
    <t>Criticité des besoins / Réponses commerciales</t>
  </si>
  <si>
    <t>TYPES D'INTERLOCUTEURS DECISIONNAIRES</t>
  </si>
  <si>
    <t>Nb clients ciblés</t>
  </si>
  <si>
    <t>Caractéristiques</t>
  </si>
  <si>
    <t>P3</t>
  </si>
  <si>
    <t>Nb commerciaux nécessaires</t>
  </si>
  <si>
    <t>Vos Priorités</t>
  </si>
  <si>
    <t>Nb commerciaux actifs actuels</t>
  </si>
  <si>
    <t>Effort recrutement / formation de commerciaux</t>
  </si>
  <si>
    <t>CIBLAGE DES MARCHES SECTORIELS</t>
  </si>
  <si>
    <t>CIBLAGE PAR PAYS</t>
  </si>
  <si>
    <t xml:space="preserve">RESPONSABILITES </t>
  </si>
  <si>
    <t>Présentation des partenaires</t>
  </si>
  <si>
    <t>Présentation des participants et définition des acteurs en charge du partenariat</t>
  </si>
  <si>
    <t>Key Figures</t>
  </si>
  <si>
    <t>Synoptique du partenaire</t>
  </si>
  <si>
    <t>Argumentaire commercial pour les clients par interlocuteur</t>
  </si>
  <si>
    <t>Couverture des marchés verticaux / régionaux / pays</t>
  </si>
  <si>
    <t>ResponsabPartner</t>
  </si>
  <si>
    <t xml:space="preserve">Validation des responsabilités sur une affaire </t>
  </si>
  <si>
    <t>OBJECTIFS DE VENTE 3 ANS</t>
  </si>
  <si>
    <t>Présentation des Partenaires</t>
  </si>
  <si>
    <t>Plan d'action commercial</t>
  </si>
  <si>
    <t xml:space="preserve">Plan d'action Marketing </t>
  </si>
  <si>
    <t>Plan d'action Formation</t>
  </si>
  <si>
    <t>Plan d'action Services</t>
  </si>
  <si>
    <t>Plan d'action Partenariat</t>
  </si>
  <si>
    <t>Evalutation de la session</t>
  </si>
  <si>
    <t xml:space="preserve">Introduction </t>
  </si>
  <si>
    <t>Objectifs, agenda et organisation de la session</t>
  </si>
  <si>
    <t>Evaluation de la session</t>
  </si>
  <si>
    <t>Evalutation de la satisfaction des participants</t>
  </si>
  <si>
    <t xml:space="preserve"> MARCHES PRIORITAIRES CIBLES </t>
  </si>
  <si>
    <t>FICHE SYNTHETIQUE DU PARTENAIRE</t>
  </si>
  <si>
    <t>Country Manager</t>
  </si>
  <si>
    <t>Sales Director</t>
  </si>
  <si>
    <t xml:space="preserve">Pascal Catelineau </t>
  </si>
  <si>
    <t xml:space="preserve">Marktg Manager </t>
  </si>
  <si>
    <t xml:space="preserve">Présentation chiffres clés et enjeux </t>
  </si>
  <si>
    <t xml:space="preserve">BESOINS DU MARCHE JUSTIFIANT LE PARTENARIAT </t>
  </si>
  <si>
    <t>- Equinix: CA net abonnement souscription</t>
  </si>
  <si>
    <t>- Partenaire: CA services</t>
  </si>
  <si>
    <t>- Partenaire: Commissions</t>
  </si>
  <si>
    <t xml:space="preserve">Equinix CA net commission </t>
  </si>
  <si>
    <t>Partenaire CA Services + commissions</t>
  </si>
  <si>
    <t>Commissions partenaire sur le CA souscription</t>
  </si>
  <si>
    <t>TOTAL CA PARTENAIRE</t>
  </si>
  <si>
    <t>TOTAL CA EQUINIX</t>
  </si>
  <si>
    <t>1. Objectif de CA global ( Abonnement Equinix + Services Partenaire )  (K€)  nouvelles souscriptions annuelles</t>
  </si>
  <si>
    <t>3. CA souscription annuel cumulé pour Equinix</t>
  </si>
  <si>
    <t>RECAPITULATIF</t>
  </si>
  <si>
    <t>Formation des commerciaux à l'utilisation des outils commerciaux ( prix, configurations, argumentaire, concurrence, proposition commerciale, brochures, démo, slides présentation … )</t>
  </si>
  <si>
    <t>Désigner 2 ou 3 champions commerciaux chez le partenaire</t>
  </si>
  <si>
    <t xml:space="preserve">Fournir les accès au partenaire sur le site web </t>
  </si>
  <si>
    <t xml:space="preserve">Participer régulièrement aux réunions commerciales du partenaire et inversement </t>
  </si>
  <si>
    <t xml:space="preserve">Analyse et Suivi des leads: partage des leads, qui, quand, comment </t>
  </si>
  <si>
    <t xml:space="preserve">Aide à la rédaction des premières propositions commerciales. Validation. </t>
  </si>
  <si>
    <t>ACTIONS COMMERCIALES</t>
  </si>
  <si>
    <t>Priorité A,B,C</t>
  </si>
  <si>
    <t>Sales kit pour les commerciaux ( argumentaires, supports comemrciaux, concurrence, liste prix, goodies… )</t>
  </si>
  <si>
    <t>Budget marketing: quel investissement, qui gère le budget, partage des infos, process de dépenses</t>
  </si>
  <si>
    <t>Gestion et archivage des contrats</t>
  </si>
  <si>
    <t>Définir un process d'escalade</t>
  </si>
  <si>
    <t>Outil de partage des infos (PRM )</t>
  </si>
  <si>
    <t>Définir et coordonner les différents types de réunions: stratégiques, suivi business, marketing, techniques</t>
  </si>
  <si>
    <t>Définir le Planning des réunions: mensuelles, trimestrielles, annuelles</t>
  </si>
  <si>
    <t>Point trimestriel global / QBR</t>
  </si>
  <si>
    <t>Plan d'actions du Partenariat / Plan d'actions trimestriel</t>
  </si>
  <si>
    <t>La présentation et validation du Comité de Direction</t>
  </si>
  <si>
    <t>Todo List</t>
  </si>
  <si>
    <t>Liste des actions décidées pendant la session</t>
  </si>
  <si>
    <t>Governance</t>
  </si>
  <si>
    <t>VISION ET ENJEUX DE EQUINIX</t>
  </si>
  <si>
    <t>PRIORITES STRATEGIQUES DE EQUINIX</t>
  </si>
  <si>
    <t>FORCES ET FAIBLESSES DU PARTENARIAT</t>
  </si>
  <si>
    <t>Points forts, faibles et risques à prendre en compte pour que ce Partenariat soit un succès commercial</t>
  </si>
  <si>
    <t>FORCES DU PARTENARIAT</t>
  </si>
  <si>
    <t>FAIBLESSES DU PARTENARIAT</t>
  </si>
  <si>
    <t xml:space="preserve">Résultats business, références comemrciales, champions commerciaux, synergie commerciale, business plan, plan marktg, intégration techn, support, gouvernance, motivations, convergence alignement marches, culture, confiance, vision, investissement, organisation commerciale, nombre de leads, budget marketing,  …  
</t>
  </si>
  <si>
    <t>Jean Pierre Tournemaine</t>
  </si>
  <si>
    <t>Directeur Comemrcial</t>
  </si>
  <si>
    <t>JPT</t>
  </si>
  <si>
    <t>Marek Mozynski</t>
  </si>
  <si>
    <t>Global Solution Architect</t>
  </si>
  <si>
    <t>Jean Christophe Lelay</t>
  </si>
  <si>
    <t>Directeur Customer Experience EMEA</t>
  </si>
  <si>
    <t>MMO</t>
  </si>
  <si>
    <t>JCL</t>
  </si>
  <si>
    <t>Jean-Pierre.Tournemaine@eu.equinix.com</t>
  </si>
  <si>
    <t>Jean-Christophe.Lelay@eu.equinix.com</t>
  </si>
  <si>
    <t>Marek.Moszynski@eu.equinix.com</t>
  </si>
  <si>
    <t>Customer experience</t>
  </si>
  <si>
    <t>Tehnical Manager</t>
  </si>
  <si>
    <t xml:space="preserve">Estimation des chances de succès de la mise en oeuvre de la stratégie conjointe
Les points clefs sont-ils clairs pour chacun d'entre vous ? </t>
  </si>
  <si>
    <t xml:space="preserve">Clients: </t>
  </si>
  <si>
    <t>Marchés sectoriels</t>
  </si>
  <si>
    <t xml:space="preserve">Marchés géogr: </t>
  </si>
  <si>
    <t>FORCES / FAIBLESSES</t>
  </si>
  <si>
    <t xml:space="preserve">Fr: 200 salariés; 20 sales; Top 4 en Europe. </t>
  </si>
  <si>
    <t>Business du data center en augmentation constante: cloud et services managés</t>
  </si>
  <si>
    <t xml:space="preserve">Soutenir la croissance : développement base clients </t>
  </si>
  <si>
    <t>développer la clientèle "Entreprise" via les partenaires</t>
  </si>
  <si>
    <t xml:space="preserve">structurer un ecosystème </t>
  </si>
  <si>
    <t>Cibles : &gt; 100M CA</t>
  </si>
  <si>
    <t xml:space="preserve">Cloud IT Media content </t>
  </si>
  <si>
    <t>entreprise: manuf, santé, chimie , energie, automobile</t>
  </si>
  <si>
    <t xml:space="preserve">finance, assurance, consulting </t>
  </si>
  <si>
    <t>Développer l'International ( approche globale )</t>
  </si>
  <si>
    <t>Adresser les clients français régionaux qui vont à l'international ( 543 sctés ) + 1000 sociétés</t>
  </si>
  <si>
    <t xml:space="preserve">PARTENARIAT STRATEGIQUE POUR EQUINIX France ? </t>
  </si>
  <si>
    <t>Souscription service hébergement</t>
  </si>
  <si>
    <t>Cloud Exchange</t>
  </si>
  <si>
    <t>Cross connect</t>
  </si>
  <si>
    <t>10/15% près. Fonction KVA et du site</t>
  </si>
  <si>
    <t>2 ports 1 G + 2 circuits à 1 G</t>
  </si>
  <si>
    <t>MCO ( maintien conditions opérationnelles )</t>
  </si>
  <si>
    <t xml:space="preserve">20 serveurs physiques x 4 VM </t>
  </si>
  <si>
    <t xml:space="preserve">Set up ( OTC ) </t>
  </si>
  <si>
    <t>IAAs</t>
  </si>
  <si>
    <t>Recurrent Digora</t>
  </si>
  <si>
    <t>Compliance, nouveaux périmètres</t>
  </si>
  <si>
    <t>2+2 racks</t>
  </si>
  <si>
    <t>267K</t>
  </si>
  <si>
    <t>6 - 9 mois</t>
  </si>
  <si>
    <t xml:space="preserve">Transformation </t>
  </si>
  <si>
    <t>DSI et son équipe</t>
  </si>
  <si>
    <t>Audit de configuration</t>
  </si>
  <si>
    <t>5° revendeur Oracle</t>
  </si>
  <si>
    <t>x3</t>
  </si>
  <si>
    <t>40% Equinix</t>
  </si>
  <si>
    <t>DIGORA
" Repartition Regionale France"</t>
  </si>
  <si>
    <t>Pays de la Loire Bretagne</t>
  </si>
  <si>
    <t>2. Ventilation du CA nouvelles souscriptions entre les partenaires</t>
  </si>
  <si>
    <t>4.  CA brut annuel cumulé pour le Partenaire K €</t>
  </si>
  <si>
    <t>CA Services Partenaire cumulé récurrent</t>
  </si>
  <si>
    <t xml:space="preserve">Contrat 3 ans </t>
  </si>
  <si>
    <t>CA Services Partenaire total</t>
  </si>
  <si>
    <t>CA Services Partenaire new business annuel K€</t>
  </si>
  <si>
    <t>Avancement</t>
  </si>
  <si>
    <t>Premieres ventes enregistrées</t>
  </si>
  <si>
    <t>Le plan de lancement 100 Jours</t>
  </si>
  <si>
    <t xml:space="preserve">Voir onglet " Plan d'actions" </t>
  </si>
  <si>
    <t xml:space="preserve">Mise à jour des agendas avec les différentes réunions </t>
  </si>
  <si>
    <t xml:space="preserve">Annuaire des équipes </t>
  </si>
  <si>
    <t xml:space="preserve">voir onglet "biz plan" </t>
  </si>
  <si>
    <t>voir onglet " Positionning"</t>
  </si>
  <si>
    <t xml:space="preserve">voir onglet " sales plan" </t>
  </si>
  <si>
    <t>voir onglets "criticity" et  "Assesment"</t>
  </si>
  <si>
    <t>voir onglet "responsabpartner"</t>
  </si>
  <si>
    <t>Disdtribution spécialisée</t>
  </si>
  <si>
    <t>Franchises</t>
  </si>
  <si>
    <t>Distribution généralisée</t>
  </si>
  <si>
    <t>Labo Pharma</t>
  </si>
  <si>
    <t>Répartition par secteurs verticaux</t>
  </si>
  <si>
    <t xml:space="preserve">CIBLAGE DES MARCHES GEOGRAPHIQUES </t>
  </si>
  <si>
    <t>Nb commerciaux</t>
  </si>
  <si>
    <t>Nb commerciaux actifs</t>
  </si>
  <si>
    <t>Nb commerciaux actuels à développer</t>
  </si>
  <si>
    <t>Canada</t>
  </si>
  <si>
    <t>Irlande</t>
  </si>
  <si>
    <t>Chili</t>
  </si>
  <si>
    <t>Brésil</t>
  </si>
  <si>
    <t>Japon</t>
  </si>
  <si>
    <t>Corée</t>
  </si>
  <si>
    <t>Israël</t>
  </si>
  <si>
    <t xml:space="preserve">Potentiel Marché et Probabilité de Signature
</t>
  </si>
  <si>
    <t>Répartition par pays</t>
  </si>
  <si>
    <t>Nb commerciaux à recruter</t>
  </si>
  <si>
    <t>FORCES ACTUELLES DU PARTENARIAT</t>
  </si>
  <si>
    <t>FAIBLESSES ACTUELLES DU PARTENARIAT</t>
  </si>
  <si>
    <r>
      <rPr>
        <b/>
        <sz val="11"/>
        <color theme="1"/>
        <rFont val="Calibri"/>
        <family val="2"/>
        <scheme val="minor"/>
      </rPr>
      <t>Notez sur une échelle de 1 à 10:</t>
    </r>
    <r>
      <rPr>
        <sz val="11"/>
        <color theme="1"/>
        <rFont val="Calibri"/>
        <family val="2"/>
        <scheme val="minor"/>
      </rPr>
      <t xml:space="preserve">  </t>
    </r>
  </si>
  <si>
    <t xml:space="preserve">Expliquez Pourquoi ? </t>
  </si>
  <si>
    <t>VALEUR AJOUTEE  ATTENDUE PAR LE PARTENAIRE</t>
  </si>
  <si>
    <t xml:space="preserve">VALEUR AJOUTEE ATTENDUE PAR EQUINIX </t>
  </si>
  <si>
    <t>Added-Value</t>
  </si>
  <si>
    <t>Actors</t>
  </si>
  <si>
    <t>Attentes du partenariat</t>
  </si>
  <si>
    <t xml:space="preserve">Valeur ajoutée du partenariat attendue par chacun des partenaires </t>
  </si>
  <si>
    <t xml:space="preserve">DESCRIPTIF DE LA  SOLUTION PARTENAIRE
</t>
  </si>
  <si>
    <t xml:space="preserve">DESCRIPTIF DE LA SOLUTION EQUINIX : 
</t>
  </si>
  <si>
    <t xml:space="preserve">EXEMPLE D'UNE OFFRE COMMUNE / PACKAGE CLIENTS </t>
  </si>
  <si>
    <t xml:space="preserve">PRINCIPAUX AVANTAGES POUR LES CLIENTS CIBLES </t>
  </si>
  <si>
    <t>DEFINITION DE L'OFFRE CONJOINTE</t>
  </si>
  <si>
    <t>RISQUES PERCUS PAR LE PARTENAIRE</t>
  </si>
  <si>
    <t>RISQUES PERCUS PAR EQUINIX</t>
  </si>
  <si>
    <t xml:space="preserve">L'OFFRE CONJOINTE: ARE YOU READY ? </t>
  </si>
  <si>
    <t>Affaire moyenne: CA EQUINIX 2+2 racks</t>
  </si>
  <si>
    <t>Intégration</t>
  </si>
  <si>
    <t xml:space="preserve">Formation </t>
  </si>
  <si>
    <t>Outils de support</t>
  </si>
  <si>
    <t>Répartition des Responsabilité entre les Partenaires</t>
  </si>
  <si>
    <t>Poids de Equinix dans le CA du partenaire ( en % )</t>
  </si>
  <si>
    <t>Sales plan 3 years</t>
  </si>
  <si>
    <t>Objectif des ventes à 3 ans</t>
  </si>
  <si>
    <t xml:space="preserve">voir onglet "Plan d'actions" </t>
  </si>
  <si>
    <t>voir onglet "budget"</t>
  </si>
  <si>
    <t>Information et formation des commerciaux / avant ventes</t>
  </si>
  <si>
    <t>Plan de motivation des commerciaux / avant ventes</t>
  </si>
  <si>
    <t>Le plan de gouvernance : types de réunions &amp; agendas</t>
  </si>
  <si>
    <t xml:space="preserve">Respect du plan d'action </t>
  </si>
  <si>
    <t xml:space="preserve">Voir onglet "plan d'actions" </t>
  </si>
  <si>
    <t>Premières Déclarations et suivi des leads</t>
  </si>
  <si>
    <t xml:space="preserve">Plan de communication interne et externe ( clients, partenaires, … ) </t>
  </si>
  <si>
    <t xml:space="preserve"># de clients </t>
  </si>
  <si>
    <t>Taille des clients</t>
  </si>
  <si>
    <t>Raisons des échecs commerciaux</t>
  </si>
  <si>
    <t>Raisons des succès commerciaux</t>
  </si>
  <si>
    <t xml:space="preserve">IL est important que chaque partenaire se prononce sur la portée de ce partenariat </t>
  </si>
  <si>
    <t xml:space="preserve">Types de Valeur Ajoutée : commerciale, technique, marché, métier, financière, marketing, humaine, image, etc … </t>
  </si>
  <si>
    <t>Cohabitation/ Relation entre les forces de vente</t>
  </si>
  <si>
    <t>Extranet partenaire / PRM</t>
  </si>
  <si>
    <t>Stratégie et Positionnement de l'offre commune / Synthèse</t>
  </si>
  <si>
    <t>Stratégie, définition et positionnement de l'offre conjointe</t>
  </si>
  <si>
    <t xml:space="preserve">Valeur ajoutée du partenariat </t>
  </si>
  <si>
    <t>Positionnement et stratégie de l'offre</t>
  </si>
  <si>
    <t>Stratégie marchés</t>
  </si>
  <si>
    <t xml:space="preserve">Vision et Plan de vente 3 ans </t>
  </si>
  <si>
    <t xml:space="preserve">JOINT BUSINESS PLAN WORKSHOP
Agenda </t>
  </si>
  <si>
    <t xml:space="preserve">ACTEURS DU PARTENARIAT </t>
  </si>
  <si>
    <t xml:space="preserve"> RAPPEL DES BESOINS DU MARCHE JUSTIFIANT LE PARTENARIAT</t>
  </si>
  <si>
    <t># Commerciaux actifs chez le partenaire</t>
  </si>
  <si>
    <t># avant-ventes  actifs chez le partenaire</t>
  </si>
  <si>
    <t>TOTAL 12 mois</t>
  </si>
  <si>
    <t>% objectif</t>
  </si>
  <si>
    <t>Cible 1</t>
  </si>
  <si>
    <t>Cible 2</t>
  </si>
  <si>
    <t>Cible 3</t>
  </si>
  <si>
    <t>Cible 4</t>
  </si>
  <si>
    <t>Ration CA services / CA client</t>
  </si>
  <si>
    <t xml:space="preserve">Ratio Commissions / CA client </t>
  </si>
  <si>
    <t>Source du CA en %</t>
  </si>
  <si>
    <t># moyen d'affaires signées par commercial formé par trimestre</t>
  </si>
  <si>
    <t>Prévu</t>
  </si>
  <si>
    <t>Plan Marketing Génération leads. Actions prévues</t>
  </si>
  <si>
    <t>Marketing Supports commerciaux et marketing</t>
  </si>
  <si>
    <t># de commerciaux restant à former pour atteindre les objectifs</t>
  </si>
  <si>
    <t>Ventilation du CA par Cibles Marchés prioritaires en %</t>
  </si>
  <si>
    <t># idéal de commerciaux formés pour atteindre les objectifs</t>
  </si>
  <si>
    <r>
      <t xml:space="preserve">Définir les caractéristiques business de l'offre conjointe Equinix + Partenaire .  Notamment la répartition de CA et les services vendius par le partenaire. </t>
    </r>
    <r>
      <rPr>
        <b/>
        <sz val="12"/>
        <color theme="1"/>
        <rFont val="Calibri"/>
        <family val="2"/>
        <scheme val="minor"/>
      </rPr>
      <t xml:space="preserve">A exécuter tous les 6 mois </t>
    </r>
  </si>
  <si>
    <t>CA moyenné à 6 mois la 1° année</t>
  </si>
  <si>
    <t xml:space="preserve">Valeur du Panier moyen client </t>
  </si>
  <si>
    <t xml:space="preserve">CA total K€ (  new biz only ) </t>
  </si>
  <si>
    <t xml:space="preserve">Valeur du Pipe pour atteindre les objectifs. </t>
  </si>
  <si>
    <t>Coefficient</t>
  </si>
  <si>
    <t xml:space="preserve"># de leads:  idéaux et réels </t>
  </si>
  <si>
    <t>Nombre de tele marketers à former</t>
  </si>
  <si>
    <t>Nombre de consultants avant-vente à former</t>
  </si>
  <si>
    <t>Nombre de consultants après-vente à former</t>
  </si>
  <si>
    <t># commerciaux réellement formés chez le partenaire / Inscription</t>
  </si>
  <si>
    <t>Nombre de Administration des ventes à former</t>
  </si>
  <si>
    <t>BUSINESS PLAN 2018 / MARKETING</t>
  </si>
  <si>
    <t xml:space="preserve">BUSINESS PLAN 2018 : VENTES, MARCHES &amp; FORMATION </t>
  </si>
  <si>
    <t>Marketing du partenariat</t>
  </si>
  <si>
    <t xml:space="preserve">Blitz day </t>
  </si>
  <si>
    <t>Organisation d'un évènement : JPO, petits déjeuners, salons …</t>
  </si>
  <si>
    <t>Publicité</t>
  </si>
  <si>
    <t>Site web</t>
  </si>
  <si>
    <t>Plaquette commune</t>
  </si>
  <si>
    <t xml:space="preserve">Plaquette et sites web de la proposition de valeur du partenariat pour les clients </t>
  </si>
  <si>
    <t>campagnes de emailing</t>
  </si>
  <si>
    <t>phoning</t>
  </si>
  <si>
    <t>réseaux sociaux</t>
  </si>
  <si>
    <t>Actions prescripteurs</t>
  </si>
  <si>
    <t>Campagnes de Mailing aux clients, prospects, partenaires complémentaires</t>
  </si>
  <si>
    <t>Nombre de leads</t>
  </si>
  <si>
    <t xml:space="preserve">Equinix </t>
  </si>
  <si>
    <t>Budget Marketing ( K Euros )</t>
  </si>
  <si>
    <t>Rappel des Objectifs de Génération de leads</t>
  </si>
  <si>
    <t xml:space="preserve">Responsable Marketing : </t>
  </si>
  <si>
    <t>- Chez le partenaire</t>
  </si>
  <si>
    <t>- Chez Equinix</t>
  </si>
  <si>
    <t xml:space="preserve">Cadencement des réunions </t>
  </si>
  <si>
    <t>- point mensuel</t>
  </si>
  <si>
    <t>- point trimestriel</t>
  </si>
  <si>
    <t xml:space="preserve">- point annuel </t>
  </si>
  <si>
    <t>RAPPEL DES OBJECTIFS</t>
  </si>
  <si>
    <t>PLAN D'ACTION COMMERCIAL</t>
  </si>
  <si>
    <t>Lister les cibles prioritaires</t>
  </si>
  <si>
    <t>Etude la base installée pour trouver les premières opportunités</t>
  </si>
  <si>
    <t>Nombre de commerciaux à former / formés : Formation des commerciaux à l'utilisation des outils commerciaux ( prix, configurations, argumentaire, concurrence, proposition commerciale, brochures, démo, slides présentation … )</t>
  </si>
  <si>
    <t>Inscription des commerciaux à la formation</t>
  </si>
  <si>
    <t>Revue de pipe mensuelle : analyse et suivi des leads</t>
  </si>
  <si>
    <t>Aide à la qualification des projets chez les prospects</t>
  </si>
  <si>
    <t>S'assurer de la motivation et reconnaissance des commerciaux</t>
  </si>
  <si>
    <t xml:space="preserve">Programmer les revues de pipe et les plans d'action trimestriels: date et contacts </t>
  </si>
  <si>
    <t xml:space="preserve">Aide à la définition et validation des prix et contrats: qui signe quoi, liste prix, configutateur pricing,validation, </t>
  </si>
  <si>
    <t>Process de fonctionnement de remontée et partage des leads</t>
  </si>
  <si>
    <t xml:space="preserve">Responsable Commercial : </t>
  </si>
  <si>
    <t>Validation du business plan annuel par les 2 Directions</t>
  </si>
  <si>
    <t>Validation du plan marketing par les 2 Directions</t>
  </si>
  <si>
    <t>Validation du plan de formation par les 2 Directions</t>
  </si>
  <si>
    <t>Validation du budget par les 2 Directions</t>
  </si>
  <si>
    <t>Finalisation du contrat client</t>
  </si>
  <si>
    <t>Finalisation de la proposition de valeur clients / ajustements après tests clients</t>
  </si>
  <si>
    <t>Rencontre de 6 premiers prospects</t>
  </si>
  <si>
    <t>l'extranet partenaire PRM mis en place</t>
  </si>
  <si>
    <t>Mise en place d'un PRM / Extranet partenaire</t>
  </si>
  <si>
    <t>Premières Formations commerciales effectuées</t>
  </si>
  <si>
    <t xml:space="preserve">D'ici 3 mois: fin des actions suivantes … </t>
  </si>
  <si>
    <t>Partner Sales kit pour les commerciaux ( argumentaires, supports commerciaux, concurrence, liste prix, goodies… )</t>
  </si>
  <si>
    <t xml:space="preserve">Enquête de perception auprès des commerciaux et direction du partenaire </t>
  </si>
  <si>
    <t>Plan d'amélioration du programme pour N+1</t>
  </si>
  <si>
    <t>Action plan annuel Commercial</t>
  </si>
  <si>
    <t>Action plan annuel Marketing</t>
  </si>
  <si>
    <t>CANAUX DE VENTE ( combien de commerciaux concernés chez le partenaire )</t>
  </si>
  <si>
    <t xml:space="preserve">Plan de ventes année en cours + Plan de formation </t>
  </si>
  <si>
    <t>Planning des actions de lancement Marketing</t>
  </si>
  <si>
    <t>Détail des actions commerciales à entreprendre</t>
  </si>
  <si>
    <t>Recommandation de Planning des actions de lancement</t>
  </si>
  <si>
    <t>Conditions de réussite du partenariat</t>
  </si>
  <si>
    <t>Plan de vente annuel &amp; formation</t>
  </si>
  <si>
    <t>ASEMA</t>
  </si>
  <si>
    <t xml:space="preserve">EQUNIX </t>
  </si>
  <si>
    <t>Olivier Morel</t>
  </si>
  <si>
    <t>DG / CEO</t>
  </si>
  <si>
    <t>Jean-Luc Berrier</t>
  </si>
  <si>
    <t>CTO</t>
  </si>
  <si>
    <t xml:space="preserve">Taille des entreprises ciblées
Secteurs verticaux
Régions prioritaires: </t>
  </si>
  <si>
    <t xml:space="preserve"># de deals à signer ( cf sales plan 3 Y ) </t>
  </si>
  <si>
    <t>Génération de leads ( opportunités qualifiées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</si>
</sst>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quot;€&quot;#,##0_);\(&quot;€&quot;#,##0\)"/>
    <numFmt numFmtId="165" formatCode="&quot;€&quot;#,##0_);[Red]\(&quot;€&quot;#,##0\)"/>
    <numFmt numFmtId="166" formatCode="&quot;€&quot;#,##0.00_);[Red]\(&quot;€&quot;#,##0.00\)"/>
    <numFmt numFmtId="167" formatCode="_(&quot;€&quot;* #,##0.00_);_(&quot;€&quot;* \(#,##0.00\);_(&quot;€&quot;* &quot;-&quot;??_);_(@_)"/>
    <numFmt numFmtId="168" formatCode="_(* #,##0.00_);_(* \(#,##0.00\);_(* &quot;-&quot;??_);_(@_)"/>
    <numFmt numFmtId="169" formatCode="dd/mm/yy;@"/>
    <numFmt numFmtId="170" formatCode="0&quot; k€&quot;"/>
    <numFmt numFmtId="171" formatCode="#,##0\ &quot;€&quot;"/>
    <numFmt numFmtId="172" formatCode="0&quot; months&quot;"/>
    <numFmt numFmtId="173" formatCode="0&quot; days&quot;"/>
    <numFmt numFmtId="174" formatCode="0.0"/>
    <numFmt numFmtId="175" formatCode="_-* #,##0\ _€_-;\-* #,##0\ _€_-;_-* &quot;-&quot;??\ _€_-;_-@_-"/>
    <numFmt numFmtId="176" formatCode="0&quot; deals&quot;"/>
    <numFmt numFmtId="177" formatCode="#,##0\K\ &quot;€&quot;;\-#,##0\ &quot;€&quot;"/>
    <numFmt numFmtId="178" formatCode="#,##0.0"/>
    <numFmt numFmtId="179" formatCode="_-* #,##0.00\ [$€]_-;\-* #,##0.00\ [$€]_-;_-* &quot;-&quot;??\ [$€]_-;_-@_-"/>
    <numFmt numFmtId="180" formatCode="#,##0.000"/>
    <numFmt numFmtId="181" formatCode="0#&quot; &quot;##&quot; &quot;##&quot; &quot;##&quot; &quot;##"/>
    <numFmt numFmtId="182" formatCode="0.000"/>
    <numFmt numFmtId="183" formatCode="0&quot; ETP&quot;"/>
    <numFmt numFmtId="184" formatCode="0.00&quot; BPs&quot;"/>
    <numFmt numFmtId="185" formatCode="0.0&quot; k€&quot;"/>
    <numFmt numFmtId="186" formatCode="0.0&quot; ETP&quot;"/>
    <numFmt numFmtId="187" formatCode="0.0&quot; days&quot;"/>
    <numFmt numFmtId="188" formatCode="#,&quot; clients&quot;"/>
    <numFmt numFmtId="189" formatCode="#&quot; clients&quot;"/>
  </numFmts>
  <fonts count="202" x14ac:knownFonts="1">
    <font>
      <sz val="11"/>
      <color theme="1"/>
      <name val="Calibri"/>
      <family val="2"/>
      <scheme val="minor"/>
    </font>
    <font>
      <b/>
      <sz val="11"/>
      <color theme="1"/>
      <name val="Calibri"/>
      <family val="2"/>
      <scheme val="minor"/>
    </font>
    <font>
      <sz val="14"/>
      <color theme="1"/>
      <name val="Calibri"/>
      <family val="2"/>
      <scheme val="minor"/>
    </font>
    <font>
      <sz val="10"/>
      <color theme="1"/>
      <name val="Arial Black"/>
      <family val="2"/>
    </font>
    <font>
      <sz val="9"/>
      <color theme="1"/>
      <name val="Arial Black"/>
      <family val="2"/>
    </font>
    <font>
      <u/>
      <sz val="11"/>
      <color theme="10"/>
      <name val="Calibri"/>
      <family val="2"/>
      <scheme val="minor"/>
    </font>
    <font>
      <sz val="10"/>
      <name val="Arial"/>
      <family val="2"/>
    </font>
    <font>
      <sz val="12"/>
      <name val="Arial"/>
      <family val="2"/>
    </font>
    <font>
      <sz val="11"/>
      <color theme="1"/>
      <name val="Arial Black"/>
      <family val="2"/>
    </font>
    <font>
      <sz val="12"/>
      <color theme="1"/>
      <name val="Arial Black"/>
      <family val="2"/>
    </font>
    <font>
      <b/>
      <sz val="11"/>
      <color theme="1"/>
      <name val="Arial Black"/>
      <family val="2"/>
    </font>
    <font>
      <sz val="11"/>
      <color theme="1"/>
      <name val="Calibri"/>
      <family val="2"/>
      <scheme val="minor"/>
    </font>
    <font>
      <sz val="11"/>
      <color indexed="8"/>
      <name val="Calibri"/>
      <family val="2"/>
    </font>
    <font>
      <sz val="18"/>
      <color theme="1"/>
      <name val="Calibri"/>
      <family val="2"/>
      <scheme val="minor"/>
    </font>
    <font>
      <sz val="16"/>
      <color theme="1"/>
      <name val="Calibri"/>
      <family val="2"/>
      <scheme val="minor"/>
    </font>
    <font>
      <sz val="22"/>
      <color theme="1"/>
      <name val="Calibri"/>
      <family val="2"/>
      <scheme val="minor"/>
    </font>
    <font>
      <b/>
      <sz val="11"/>
      <color indexed="8"/>
      <name val="Calibri"/>
      <family val="2"/>
      <scheme val="minor"/>
    </font>
    <font>
      <sz val="11"/>
      <color indexed="8"/>
      <name val="Calibri"/>
      <family val="2"/>
      <scheme val="minor"/>
    </font>
    <font>
      <i/>
      <sz val="11"/>
      <color indexed="8"/>
      <name val="Calibri"/>
      <family val="2"/>
      <scheme val="minor"/>
    </font>
    <font>
      <sz val="11"/>
      <color rgb="FFC00000"/>
      <name val="Calibri"/>
      <family val="2"/>
      <scheme val="minor"/>
    </font>
    <font>
      <sz val="36"/>
      <color rgb="FFFF0000"/>
      <name val="Calibri"/>
      <family val="2"/>
      <scheme val="minor"/>
    </font>
    <font>
      <b/>
      <sz val="12"/>
      <color theme="1"/>
      <name val="Calibri"/>
      <family val="2"/>
      <scheme val="minor"/>
    </font>
    <font>
      <sz val="11"/>
      <name val="Calibri"/>
      <family val="2"/>
      <scheme val="minor"/>
    </font>
    <font>
      <b/>
      <sz val="12"/>
      <name val="Arial"/>
      <family val="2"/>
    </font>
    <font>
      <b/>
      <sz val="12"/>
      <name val="Calibri"/>
      <family val="2"/>
      <scheme val="minor"/>
    </font>
    <font>
      <b/>
      <sz val="11"/>
      <name val="Calibri"/>
      <family val="2"/>
      <scheme val="minor"/>
    </font>
    <font>
      <sz val="12"/>
      <color theme="1"/>
      <name val="Calibri"/>
      <family val="2"/>
      <scheme val="minor"/>
    </font>
    <font>
      <b/>
      <sz val="12"/>
      <color indexed="61"/>
      <name val="Calibri"/>
      <family val="2"/>
      <scheme val="minor"/>
    </font>
    <font>
      <b/>
      <sz val="11"/>
      <name val="Arial"/>
      <family val="2"/>
    </font>
    <font>
      <sz val="11"/>
      <color theme="10"/>
      <name val="Calibri"/>
      <family val="2"/>
      <scheme val="minor"/>
    </font>
    <font>
      <sz val="11"/>
      <color theme="0"/>
      <name val="Calibri"/>
      <family val="2"/>
      <scheme val="minor"/>
    </font>
    <font>
      <b/>
      <sz val="10"/>
      <name val="Arial"/>
      <family val="2"/>
    </font>
    <font>
      <b/>
      <sz val="14"/>
      <name val="Arial"/>
      <family val="2"/>
    </font>
    <font>
      <b/>
      <sz val="16"/>
      <color theme="1"/>
      <name val="Calibri"/>
      <family val="2"/>
      <scheme val="minor"/>
    </font>
    <font>
      <i/>
      <sz val="10"/>
      <name val="Arial"/>
      <family val="2"/>
    </font>
    <font>
      <sz val="12"/>
      <name val="Calibri"/>
      <family val="2"/>
      <scheme val="minor"/>
    </font>
    <font>
      <b/>
      <sz val="11"/>
      <color theme="0"/>
      <name val="Calibri"/>
      <family val="2"/>
      <scheme val="minor"/>
    </font>
    <font>
      <sz val="9"/>
      <color theme="1"/>
      <name val="Calibri"/>
      <family val="2"/>
      <scheme val="minor"/>
    </font>
    <font>
      <sz val="10"/>
      <color theme="1"/>
      <name val="Calibri"/>
      <family val="2"/>
      <scheme val="minor"/>
    </font>
    <font>
      <sz val="14"/>
      <name val="Calibri"/>
      <family val="2"/>
      <scheme val="minor"/>
    </font>
    <font>
      <b/>
      <sz val="14"/>
      <color theme="1"/>
      <name val="Calibri"/>
      <family val="2"/>
      <scheme val="minor"/>
    </font>
    <font>
      <b/>
      <sz val="14"/>
      <name val="Calibri"/>
      <family val="2"/>
      <scheme val="minor"/>
    </font>
    <font>
      <b/>
      <sz val="16"/>
      <name val="Calibri"/>
      <family val="2"/>
      <scheme val="minor"/>
    </font>
    <font>
      <b/>
      <sz val="20"/>
      <name val="Calibri"/>
      <family val="2"/>
      <scheme val="minor"/>
    </font>
    <font>
      <b/>
      <sz val="12"/>
      <color indexed="9"/>
      <name val="Calibri"/>
      <family val="2"/>
      <scheme val="minor"/>
    </font>
    <font>
      <sz val="16"/>
      <color indexed="8"/>
      <name val="Calibri"/>
      <family val="2"/>
      <scheme val="minor"/>
    </font>
    <font>
      <b/>
      <sz val="16"/>
      <color indexed="9"/>
      <name val="Calibri"/>
      <family val="2"/>
      <scheme val="minor"/>
    </font>
    <font>
      <b/>
      <sz val="14"/>
      <color indexed="8"/>
      <name val="Calibri"/>
      <family val="2"/>
      <scheme val="minor"/>
    </font>
    <font>
      <i/>
      <sz val="12"/>
      <color indexed="8"/>
      <name val="Calibri"/>
      <family val="2"/>
      <scheme val="minor"/>
    </font>
    <font>
      <sz val="12"/>
      <color indexed="8"/>
      <name val="Calibri"/>
      <family val="2"/>
      <scheme val="minor"/>
    </font>
    <font>
      <i/>
      <sz val="11"/>
      <color rgb="FFC00000"/>
      <name val="Calibri"/>
      <family val="2"/>
      <scheme val="minor"/>
    </font>
    <font>
      <i/>
      <sz val="11"/>
      <name val="Calibri"/>
      <family val="2"/>
      <scheme val="minor"/>
    </font>
    <font>
      <sz val="10"/>
      <name val="Calibri"/>
      <family val="2"/>
      <scheme val="minor"/>
    </font>
    <font>
      <b/>
      <sz val="11"/>
      <color rgb="FFFFFFFF"/>
      <name val="Calibri"/>
      <family val="2"/>
      <scheme val="minor"/>
    </font>
    <font>
      <b/>
      <sz val="20"/>
      <color theme="1"/>
      <name val="Calibri"/>
      <family val="2"/>
      <scheme val="minor"/>
    </font>
    <font>
      <sz val="8"/>
      <color theme="1"/>
      <name val="Calibri"/>
      <family val="2"/>
      <scheme val="minor"/>
    </font>
    <font>
      <sz val="14"/>
      <color theme="0"/>
      <name val="Calibri"/>
      <family val="2"/>
      <scheme val="minor"/>
    </font>
    <font>
      <b/>
      <sz val="14"/>
      <color theme="0"/>
      <name val="Calibri"/>
      <family val="2"/>
      <scheme val="minor"/>
    </font>
    <font>
      <sz val="12"/>
      <color theme="0"/>
      <name val="Calibri"/>
      <family val="2"/>
      <scheme val="minor"/>
    </font>
    <font>
      <b/>
      <sz val="12"/>
      <color theme="0"/>
      <name val="Calibri"/>
      <family val="2"/>
      <scheme val="minor"/>
    </font>
    <font>
      <b/>
      <sz val="10"/>
      <name val="Calibri"/>
      <family val="2"/>
      <scheme val="minor"/>
    </font>
    <font>
      <b/>
      <i/>
      <sz val="10"/>
      <color indexed="61"/>
      <name val="Calibri"/>
      <family val="2"/>
      <scheme val="minor"/>
    </font>
    <font>
      <b/>
      <sz val="9"/>
      <name val="Calibri"/>
      <family val="2"/>
      <scheme val="minor"/>
    </font>
    <font>
      <b/>
      <i/>
      <sz val="10"/>
      <name val="Calibri"/>
      <family val="2"/>
      <scheme val="minor"/>
    </font>
    <font>
      <b/>
      <sz val="9"/>
      <color indexed="61"/>
      <name val="Calibri"/>
      <family val="2"/>
      <scheme val="minor"/>
    </font>
    <font>
      <sz val="12"/>
      <color indexed="61"/>
      <name val="Calibri"/>
      <family val="2"/>
      <scheme val="minor"/>
    </font>
    <font>
      <b/>
      <sz val="10"/>
      <color indexed="61"/>
      <name val="Calibri"/>
      <family val="2"/>
      <scheme val="minor"/>
    </font>
    <font>
      <i/>
      <sz val="10"/>
      <name val="Calibri"/>
      <family val="2"/>
      <scheme val="minor"/>
    </font>
    <font>
      <b/>
      <sz val="12"/>
      <color theme="9" tint="-0.249977111117893"/>
      <name val="Calibri"/>
      <family val="2"/>
      <scheme val="minor"/>
    </font>
    <font>
      <i/>
      <sz val="11"/>
      <color theme="1"/>
      <name val="Calibri"/>
      <family val="2"/>
      <scheme val="minor"/>
    </font>
    <font>
      <sz val="14"/>
      <color theme="3" tint="-0.499984740745262"/>
      <name val="Calibri"/>
      <family val="2"/>
      <scheme val="minor"/>
    </font>
    <font>
      <sz val="11"/>
      <color theme="3" tint="-0.499984740745262"/>
      <name val="Calibri"/>
      <family val="2"/>
      <scheme val="minor"/>
    </font>
    <font>
      <sz val="11"/>
      <color theme="3" tint="-0.249977111117893"/>
      <name val="Calibri"/>
      <family val="2"/>
      <scheme val="minor"/>
    </font>
    <font>
      <sz val="10"/>
      <color indexed="8"/>
      <name val="Calibri"/>
      <family val="2"/>
      <scheme val="minor"/>
    </font>
    <font>
      <b/>
      <sz val="10"/>
      <color theme="6" tint="-0.499984740745262"/>
      <name val="Arial"/>
      <family val="2"/>
    </font>
    <font>
      <b/>
      <sz val="11"/>
      <color indexed="18"/>
      <name val="Calibri"/>
      <family val="2"/>
    </font>
    <font>
      <sz val="11"/>
      <color theme="3"/>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u/>
      <sz val="10"/>
      <color indexed="12"/>
      <name val="Arial"/>
      <family val="2"/>
    </font>
    <font>
      <u/>
      <sz val="10"/>
      <color theme="10"/>
      <name val="Arial"/>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1"/>
      <color indexed="10"/>
      <name val="Calibri"/>
      <family val="2"/>
    </font>
    <font>
      <b/>
      <sz val="14"/>
      <color indexed="9"/>
      <name val="Calibri"/>
      <family val="2"/>
      <scheme val="minor"/>
    </font>
    <font>
      <b/>
      <sz val="10"/>
      <color theme="6" tint="-0.499984740745262"/>
      <name val="Calibri"/>
      <family val="2"/>
      <scheme val="minor"/>
    </font>
    <font>
      <b/>
      <sz val="11"/>
      <color indexed="18"/>
      <name val="Calibri"/>
      <family val="2"/>
      <scheme val="minor"/>
    </font>
    <font>
      <b/>
      <i/>
      <sz val="10"/>
      <color theme="6" tint="-0.499984740745262"/>
      <name val="Calibri"/>
      <family val="2"/>
      <scheme val="minor"/>
    </font>
    <font>
      <b/>
      <sz val="12"/>
      <color indexed="18"/>
      <name val="Calibri"/>
      <family val="2"/>
      <scheme val="minor"/>
    </font>
    <font>
      <i/>
      <sz val="11"/>
      <color indexed="18"/>
      <name val="Calibri"/>
      <family val="2"/>
      <scheme val="minor"/>
    </font>
    <font>
      <b/>
      <sz val="12"/>
      <color theme="3"/>
      <name val="Calibri"/>
      <family val="2"/>
      <scheme val="minor"/>
    </font>
    <font>
      <b/>
      <i/>
      <sz val="11"/>
      <color indexed="8"/>
      <name val="Calibri"/>
      <family val="2"/>
      <scheme val="minor"/>
    </font>
    <font>
      <b/>
      <i/>
      <sz val="11"/>
      <color indexed="18"/>
      <name val="Calibri"/>
      <family val="2"/>
      <scheme val="minor"/>
    </font>
    <font>
      <b/>
      <sz val="10"/>
      <color theme="0"/>
      <name val="Calibri"/>
      <family val="2"/>
      <scheme val="minor"/>
    </font>
    <font>
      <b/>
      <sz val="10"/>
      <color theme="3" tint="-0.249977111117893"/>
      <name val="Arial"/>
      <family val="2"/>
    </font>
    <font>
      <b/>
      <i/>
      <sz val="11"/>
      <color theme="1"/>
      <name val="Calibri"/>
      <family val="2"/>
      <scheme val="minor"/>
    </font>
    <font>
      <b/>
      <sz val="11"/>
      <color theme="3" tint="-0.249977111117893"/>
      <name val="Calibri"/>
      <family val="2"/>
      <scheme val="minor"/>
    </font>
    <font>
      <b/>
      <sz val="16"/>
      <color theme="0"/>
      <name val="Calibri"/>
      <family val="2"/>
      <scheme val="minor"/>
    </font>
    <font>
      <sz val="10"/>
      <color theme="6" tint="-0.499984740745262"/>
      <name val="Calibri"/>
      <family val="2"/>
      <scheme val="minor"/>
    </font>
    <font>
      <sz val="10"/>
      <color indexed="43"/>
      <name val="Arial"/>
      <family val="2"/>
    </font>
    <font>
      <b/>
      <sz val="12"/>
      <color theme="6" tint="-0.499984740745262"/>
      <name val="Calibri"/>
      <family val="2"/>
      <scheme val="minor"/>
    </font>
    <font>
      <i/>
      <sz val="12"/>
      <name val="Arial"/>
      <family val="2"/>
    </font>
    <font>
      <sz val="16"/>
      <name val="Calibri"/>
      <family val="2"/>
      <scheme val="minor"/>
    </font>
    <font>
      <sz val="16"/>
      <color theme="0"/>
      <name val="Calibri"/>
      <family val="2"/>
      <scheme val="minor"/>
    </font>
    <font>
      <b/>
      <sz val="16"/>
      <name val="Arial"/>
      <family val="2"/>
    </font>
    <font>
      <b/>
      <sz val="16"/>
      <color indexed="43"/>
      <name val="Calibri"/>
      <family val="2"/>
      <scheme val="minor"/>
    </font>
    <font>
      <sz val="12"/>
      <color theme="3" tint="-0.499984740745262"/>
      <name val="Calibri"/>
      <family val="2"/>
      <scheme val="minor"/>
    </font>
    <font>
      <b/>
      <i/>
      <sz val="12"/>
      <name val="Calibri"/>
      <family val="2"/>
      <scheme val="minor"/>
    </font>
    <font>
      <sz val="9"/>
      <name val="Arial"/>
      <family val="2"/>
    </font>
    <font>
      <b/>
      <sz val="14"/>
      <color theme="3" tint="-0.499984740745262"/>
      <name val="Calibri"/>
      <family val="2"/>
      <scheme val="minor"/>
    </font>
    <font>
      <sz val="9"/>
      <color indexed="81"/>
      <name val="Tahoma"/>
      <family val="2"/>
    </font>
    <font>
      <b/>
      <sz val="9"/>
      <color indexed="81"/>
      <name val="Tahoma"/>
      <family val="2"/>
    </font>
    <font>
      <i/>
      <sz val="12"/>
      <color theme="1"/>
      <name val="Calibri"/>
      <family val="2"/>
      <scheme val="minor"/>
    </font>
    <font>
      <sz val="11"/>
      <color rgb="FFFF0000"/>
      <name val="Calibri"/>
      <family val="2"/>
      <scheme val="minor"/>
    </font>
    <font>
      <b/>
      <i/>
      <sz val="11"/>
      <name val="Calibri"/>
      <family val="2"/>
      <scheme val="minor"/>
    </font>
    <font>
      <b/>
      <i/>
      <sz val="12"/>
      <color indexed="8"/>
      <name val="Calibri"/>
      <family val="2"/>
      <scheme val="minor"/>
    </font>
    <font>
      <b/>
      <i/>
      <sz val="11"/>
      <color rgb="FFC00000"/>
      <name val="Calibri"/>
      <family val="2"/>
      <scheme val="minor"/>
    </font>
    <font>
      <b/>
      <i/>
      <sz val="11"/>
      <color theme="3" tint="-0.499984740745262"/>
      <name val="Calibri"/>
      <family val="2"/>
      <scheme val="minor"/>
    </font>
    <font>
      <b/>
      <i/>
      <sz val="12"/>
      <color indexed="18"/>
      <name val="Calibri"/>
      <family val="2"/>
      <scheme val="minor"/>
    </font>
    <font>
      <sz val="11"/>
      <color theme="4" tint="-0.249977111117893"/>
      <name val="Calibri"/>
      <family val="2"/>
      <scheme val="minor"/>
    </font>
    <font>
      <b/>
      <i/>
      <sz val="10"/>
      <color rgb="FF0070C0"/>
      <name val="Calibri"/>
      <family val="2"/>
      <scheme val="minor"/>
    </font>
    <font>
      <i/>
      <sz val="10"/>
      <color rgb="FF0070C0"/>
      <name val="Calibri"/>
      <family val="2"/>
      <scheme val="minor"/>
    </font>
    <font>
      <b/>
      <i/>
      <sz val="12"/>
      <color rgb="FF0070C0"/>
      <name val="Calibri"/>
      <family val="2"/>
      <scheme val="minor"/>
    </font>
    <font>
      <i/>
      <sz val="12"/>
      <color rgb="FF0070C0"/>
      <name val="Calibri"/>
      <family val="2"/>
      <scheme val="minor"/>
    </font>
    <font>
      <sz val="12"/>
      <color rgb="FFC00000"/>
      <name val="Calibri"/>
      <family val="2"/>
      <scheme val="minor"/>
    </font>
    <font>
      <b/>
      <i/>
      <sz val="10"/>
      <name val="Arial"/>
      <family val="2"/>
    </font>
    <font>
      <b/>
      <sz val="8"/>
      <color theme="1"/>
      <name val="Calibri"/>
      <family val="2"/>
      <scheme val="minor"/>
    </font>
    <font>
      <i/>
      <sz val="12"/>
      <color rgb="FFC00000"/>
      <name val="Calibri"/>
      <family val="2"/>
      <scheme val="minor"/>
    </font>
    <font>
      <b/>
      <sz val="12"/>
      <color indexed="8"/>
      <name val="Calibri"/>
      <family val="2"/>
      <scheme val="minor"/>
    </font>
    <font>
      <b/>
      <sz val="12"/>
      <color theme="3" tint="-0.499984740745262"/>
      <name val="Calibri"/>
      <family val="2"/>
      <scheme val="minor"/>
    </font>
    <font>
      <b/>
      <sz val="12"/>
      <color rgb="FFC00000"/>
      <name val="Calibri"/>
      <family val="2"/>
      <scheme val="minor"/>
    </font>
    <font>
      <i/>
      <sz val="12"/>
      <color rgb="FFFF0000"/>
      <name val="Calibri"/>
      <family val="2"/>
      <scheme val="minor"/>
    </font>
    <font>
      <i/>
      <sz val="10"/>
      <color indexed="8"/>
      <name val="Calibri"/>
      <family val="2"/>
      <scheme val="minor"/>
    </font>
    <font>
      <i/>
      <sz val="10"/>
      <color theme="3" tint="-0.499984740745262"/>
      <name val="Calibri"/>
      <family val="2"/>
      <scheme val="minor"/>
    </font>
    <font>
      <sz val="14"/>
      <color theme="9" tint="-0.249977111117893"/>
      <name val="Calibri"/>
      <family val="2"/>
      <scheme val="minor"/>
    </font>
    <font>
      <i/>
      <sz val="14"/>
      <color theme="3" tint="-0.499984740745262"/>
      <name val="Calibri"/>
      <family val="2"/>
      <scheme val="minor"/>
    </font>
    <font>
      <sz val="12"/>
      <color rgb="FFFF0000"/>
      <name val="Calibri"/>
      <family val="2"/>
      <scheme val="minor"/>
    </font>
    <font>
      <i/>
      <sz val="11"/>
      <color rgb="FFFF0000"/>
      <name val="Calibri"/>
      <family val="2"/>
      <scheme val="minor"/>
    </font>
    <font>
      <sz val="11"/>
      <color indexed="18"/>
      <name val="Calibri"/>
      <family val="2"/>
      <scheme val="minor"/>
    </font>
    <font>
      <i/>
      <sz val="10"/>
      <color rgb="FFFF0000"/>
      <name val="Calibri"/>
      <family val="2"/>
      <scheme val="minor"/>
    </font>
    <font>
      <b/>
      <sz val="14"/>
      <color rgb="FFFF0000"/>
      <name val="Calibri"/>
      <family val="2"/>
      <scheme val="minor"/>
    </font>
    <font>
      <sz val="9"/>
      <name val="Calibri"/>
      <family val="2"/>
      <scheme val="minor"/>
    </font>
    <font>
      <b/>
      <sz val="18"/>
      <name val="Calibri"/>
      <family val="2"/>
      <scheme val="minor"/>
    </font>
    <font>
      <b/>
      <i/>
      <sz val="10"/>
      <color rgb="FFFF0000"/>
      <name val="Calibri"/>
      <family val="2"/>
      <scheme val="minor"/>
    </font>
    <font>
      <b/>
      <sz val="11"/>
      <color theme="3" tint="0.39997558519241921"/>
      <name val="Calibri"/>
      <family val="2"/>
      <scheme val="minor"/>
    </font>
    <font>
      <b/>
      <sz val="10"/>
      <color theme="3" tint="0.39997558519241921"/>
      <name val="Calibri"/>
      <family val="2"/>
      <scheme val="minor"/>
    </font>
    <font>
      <i/>
      <sz val="12"/>
      <name val="Calibri"/>
      <family val="2"/>
      <scheme val="minor"/>
    </font>
    <font>
      <b/>
      <sz val="12"/>
      <color rgb="FFFF0000"/>
      <name val="Calibri"/>
      <family val="2"/>
      <scheme val="minor"/>
    </font>
    <font>
      <b/>
      <i/>
      <sz val="12"/>
      <color rgb="FFFF0000"/>
      <name val="Calibri"/>
      <family val="2"/>
      <scheme val="minor"/>
    </font>
    <font>
      <b/>
      <sz val="11"/>
      <color rgb="FFC00000"/>
      <name val="Calibri"/>
      <family val="2"/>
      <scheme val="minor"/>
    </font>
    <font>
      <b/>
      <sz val="11"/>
      <color rgb="FFFF0000"/>
      <name val="Calibri"/>
      <family val="2"/>
      <scheme val="minor"/>
    </font>
    <font>
      <b/>
      <i/>
      <sz val="11"/>
      <color theme="3" tint="-0.249977111117893"/>
      <name val="Calibri"/>
      <family val="2"/>
      <scheme val="minor"/>
    </font>
    <font>
      <i/>
      <sz val="12"/>
      <color theme="3" tint="-0.499984740745262"/>
      <name val="Calibri"/>
      <family val="2"/>
      <scheme val="minor"/>
    </font>
    <font>
      <sz val="11"/>
      <color theme="3" tint="0.39997558519241921"/>
      <name val="Calibri"/>
      <family val="2"/>
      <scheme val="minor"/>
    </font>
    <font>
      <b/>
      <sz val="11"/>
      <color rgb="FF0070C0"/>
      <name val="Calibri"/>
      <family val="2"/>
      <scheme val="minor"/>
    </font>
    <font>
      <i/>
      <sz val="11"/>
      <color rgb="FF0070C0"/>
      <name val="Calibri"/>
      <family val="2"/>
      <scheme val="minor"/>
    </font>
    <font>
      <i/>
      <sz val="10"/>
      <color rgb="FFC00000"/>
      <name val="Calibri"/>
      <family val="2"/>
      <scheme val="minor"/>
    </font>
    <font>
      <u/>
      <sz val="11"/>
      <color theme="0"/>
      <name val="Calibri"/>
      <family val="2"/>
      <scheme val="minor"/>
    </font>
    <font>
      <sz val="10"/>
      <color rgb="FFFF0000"/>
      <name val="Calibri"/>
      <family val="2"/>
      <scheme val="minor"/>
    </font>
    <font>
      <sz val="10"/>
      <color theme="3" tint="0.39997558519241921"/>
      <name val="Calibri"/>
      <family val="2"/>
      <scheme val="minor"/>
    </font>
    <font>
      <b/>
      <sz val="12"/>
      <color theme="4" tint="-0.249977111117893"/>
      <name val="Calibri"/>
      <family val="2"/>
      <scheme val="minor"/>
    </font>
    <font>
      <sz val="12"/>
      <color theme="6" tint="-0.499984740745262"/>
      <name val="Calibri"/>
      <family val="2"/>
      <scheme val="minor"/>
    </font>
    <font>
      <b/>
      <sz val="14"/>
      <color rgb="FF002060"/>
      <name val="Calibri"/>
      <family val="2"/>
      <scheme val="minor"/>
    </font>
    <font>
      <b/>
      <sz val="10"/>
      <color rgb="FFC00000"/>
      <name val="Calibri"/>
      <family val="2"/>
      <scheme val="minor"/>
    </font>
    <font>
      <b/>
      <i/>
      <sz val="12"/>
      <color rgb="FFC00000"/>
      <name val="Calibri"/>
      <family val="2"/>
      <scheme val="minor"/>
    </font>
    <font>
      <b/>
      <sz val="10"/>
      <color theme="1"/>
      <name val="Calibri"/>
      <family val="2"/>
      <scheme val="minor"/>
    </font>
    <font>
      <b/>
      <sz val="11"/>
      <color theme="6" tint="-0.499984740745262"/>
      <name val="Calibri"/>
      <family val="2"/>
      <scheme val="minor"/>
    </font>
    <font>
      <i/>
      <sz val="9"/>
      <name val="Calibri"/>
      <family val="2"/>
      <scheme val="minor"/>
    </font>
    <font>
      <b/>
      <i/>
      <sz val="11"/>
      <color theme="3" tint="0.39997558519241921"/>
      <name val="Calibri"/>
      <family val="2"/>
      <scheme val="minor"/>
    </font>
    <font>
      <i/>
      <sz val="16"/>
      <color indexed="8"/>
      <name val="Calibri"/>
      <family val="2"/>
      <scheme val="minor"/>
    </font>
    <font>
      <u/>
      <sz val="11"/>
      <color theme="3" tint="-0.249977111117893"/>
      <name val="Calibri"/>
      <family val="2"/>
      <scheme val="minor"/>
    </font>
    <font>
      <b/>
      <u/>
      <sz val="10"/>
      <color indexed="60"/>
      <name val="Arial"/>
      <family val="2"/>
    </font>
    <font>
      <sz val="12"/>
      <name val="Times New Roman"/>
      <family val="1"/>
    </font>
    <font>
      <sz val="10"/>
      <color indexed="60"/>
      <name val="Calibri"/>
      <family val="2"/>
      <scheme val="minor"/>
    </font>
    <font>
      <b/>
      <sz val="12"/>
      <name val="Times New Roman"/>
      <family val="1"/>
    </font>
    <font>
      <sz val="11"/>
      <name val="Arial"/>
      <family val="2"/>
    </font>
    <font>
      <b/>
      <u/>
      <sz val="11"/>
      <color indexed="60"/>
      <name val="Calibri"/>
      <family val="2"/>
      <scheme val="minor"/>
    </font>
    <font>
      <sz val="11"/>
      <name val="Times New Roman"/>
      <family val="1"/>
    </font>
    <font>
      <b/>
      <sz val="12"/>
      <color indexed="18"/>
      <name val="Arial"/>
      <family val="2"/>
    </font>
    <font>
      <b/>
      <sz val="10"/>
      <color theme="4" tint="-0.249977111117893"/>
      <name val="Calibri"/>
      <family val="2"/>
      <scheme val="minor"/>
    </font>
    <font>
      <i/>
      <sz val="10"/>
      <color theme="4" tint="-0.249977111117893"/>
      <name val="Calibri"/>
      <family val="2"/>
      <scheme val="minor"/>
    </font>
    <font>
      <b/>
      <i/>
      <sz val="11"/>
      <color theme="4" tint="-0.249977111117893"/>
      <name val="Calibri"/>
      <family val="2"/>
      <scheme val="minor"/>
    </font>
    <font>
      <b/>
      <sz val="14"/>
      <color rgb="FFC00000"/>
      <name val="Calibri"/>
      <family val="2"/>
      <scheme val="minor"/>
    </font>
    <font>
      <u/>
      <sz val="11"/>
      <name val="Calibri"/>
      <family val="2"/>
      <scheme val="minor"/>
    </font>
    <font>
      <u/>
      <sz val="11"/>
      <color theme="1"/>
      <name val="Calibri"/>
      <family val="2"/>
      <scheme val="minor"/>
    </font>
    <font>
      <b/>
      <sz val="10"/>
      <color theme="0"/>
      <name val="Arial"/>
      <family val="2"/>
    </font>
    <font>
      <b/>
      <u/>
      <sz val="11"/>
      <color theme="0"/>
      <name val="Calibri"/>
      <family val="2"/>
      <scheme val="minor"/>
    </font>
    <font>
      <b/>
      <u/>
      <sz val="11"/>
      <color theme="3" tint="-0.249977111117893"/>
      <name val="Calibri"/>
      <family val="2"/>
      <scheme val="minor"/>
    </font>
    <font>
      <sz val="14"/>
      <color rgb="FFC00000"/>
      <name val="Calibri"/>
      <family val="2"/>
      <scheme val="minor"/>
    </font>
    <font>
      <i/>
      <sz val="14"/>
      <color rgb="FFC00000"/>
      <name val="Calibri"/>
      <family val="2"/>
      <scheme val="minor"/>
    </font>
    <font>
      <i/>
      <sz val="14"/>
      <color theme="3" tint="-0.249977111117893"/>
      <name val="Calibri"/>
      <family val="2"/>
      <scheme val="minor"/>
    </font>
  </fonts>
  <fills count="83">
    <fill>
      <patternFill patternType="none"/>
    </fill>
    <fill>
      <patternFill patternType="gray125"/>
    </fill>
    <fill>
      <patternFill patternType="solid">
        <fgColor theme="0" tint="-4.9989318521683403E-2"/>
        <bgColor theme="0"/>
      </patternFill>
    </fill>
    <fill>
      <patternFill patternType="solid">
        <fgColor theme="0" tint="-4.9989318521683403E-2"/>
        <bgColor indexed="64"/>
      </patternFill>
    </fill>
    <fill>
      <patternFill patternType="solid">
        <fgColor rgb="FFFFFF00"/>
        <bgColor indexed="64"/>
      </patternFill>
    </fill>
    <fill>
      <patternFill patternType="solid">
        <fgColor rgb="FFFAF0F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indexed="9"/>
        <bgColor indexed="8"/>
      </patternFill>
    </fill>
    <fill>
      <patternFill patternType="solid">
        <fgColor theme="0"/>
        <bgColor indexed="8"/>
      </patternFill>
    </fill>
    <fill>
      <patternFill patternType="solid">
        <fgColor theme="9" tint="-0.249977111117893"/>
        <bgColor indexed="64"/>
      </patternFill>
    </fill>
    <fill>
      <patternFill patternType="solid">
        <fgColor theme="9" tint="0.39997558519241921"/>
        <bgColor indexed="64"/>
      </patternFill>
    </fill>
    <fill>
      <patternFill patternType="solid">
        <fgColor rgb="FFFFFFFF"/>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0000"/>
        <bgColor indexed="64"/>
      </patternFill>
    </fill>
    <fill>
      <patternFill patternType="solid">
        <fgColor theme="0" tint="-0.34998626667073579"/>
        <bgColor indexed="64"/>
      </patternFill>
    </fill>
    <fill>
      <patternFill patternType="solid">
        <fgColor theme="2" tint="-0.24994659260841701"/>
        <bgColor indexed="64"/>
      </patternFill>
    </fill>
    <fill>
      <patternFill patternType="solid">
        <fgColor theme="2" tint="-9.9978637043366805E-2"/>
        <bgColor indexed="64"/>
      </patternFill>
    </fill>
    <fill>
      <patternFill patternType="solid">
        <fgColor theme="8" tint="0.59996337778862885"/>
        <bgColor indexed="64"/>
      </patternFill>
    </fill>
    <fill>
      <patternFill patternType="solid">
        <fgColor theme="5" tint="0.599963377788628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59996337778862885"/>
        <bgColor indexed="64"/>
      </patternFill>
    </fill>
    <fill>
      <patternFill patternType="solid">
        <fgColor rgb="FFFFFF99"/>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E593"/>
        <bgColor indexed="64"/>
      </patternFill>
    </fill>
    <fill>
      <patternFill patternType="solid">
        <fgColor rgb="FFFFECAF"/>
        <bgColor indexed="64"/>
      </patternFill>
    </fill>
    <fill>
      <patternFill patternType="solid">
        <fgColor rgb="FFFFECAF"/>
        <bgColor indexed="8"/>
      </patternFill>
    </fill>
    <fill>
      <patternFill patternType="solid">
        <fgColor rgb="FFF9EDED"/>
        <bgColor indexed="64"/>
      </patternFill>
    </fill>
    <fill>
      <patternFill patternType="solid">
        <fgColor rgb="FFFCF6F6"/>
        <bgColor indexed="64"/>
      </patternFill>
    </fill>
    <fill>
      <patternFill patternType="solid">
        <fgColor indexed="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79998168889431442"/>
        <bgColor indexed="64"/>
      </patternFill>
    </fill>
    <fill>
      <patternFill patternType="solid">
        <fgColor rgb="FFF5862B"/>
        <bgColor indexed="64"/>
      </patternFill>
    </fill>
    <fill>
      <patternFill patternType="solid">
        <fgColor indexed="22"/>
        <bgColor indexed="64"/>
      </patternFill>
    </fill>
    <fill>
      <patternFill patternType="solid">
        <fgColor rgb="FFFFDA6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2" tint="-0.499984740745262"/>
        <bgColor indexed="64"/>
      </patternFill>
    </fill>
    <fill>
      <patternFill patternType="lightUp">
        <fgColor rgb="FFFF7C80"/>
        <bgColor theme="0"/>
      </patternFill>
    </fill>
    <fill>
      <patternFill patternType="solid">
        <fgColor rgb="FFD8F3F4"/>
        <bgColor indexed="64"/>
      </patternFill>
    </fill>
    <fill>
      <patternFill patternType="solid">
        <fgColor rgb="FFF8B074"/>
        <bgColor indexed="64"/>
      </patternFill>
    </fill>
    <fill>
      <patternFill patternType="gray125">
        <bgColor theme="9" tint="0.59996337778862885"/>
      </patternFill>
    </fill>
    <fill>
      <patternFill patternType="solid">
        <fgColor rgb="FFEEFFE1"/>
        <bgColor indexed="64"/>
      </patternFill>
    </fill>
    <fill>
      <patternFill patternType="solid">
        <fgColor rgb="FFFFEFFF"/>
        <bgColor indexed="64"/>
      </patternFill>
    </fill>
    <fill>
      <patternFill patternType="solid">
        <fgColor rgb="FFF4F1BA"/>
        <bgColor indexed="64"/>
      </patternFill>
    </fill>
    <fill>
      <patternFill patternType="solid">
        <fgColor rgb="FFFED7AC"/>
        <bgColor indexed="64"/>
      </patternFill>
    </fill>
    <fill>
      <patternFill patternType="solid">
        <fgColor rgb="FFB6FC9A"/>
        <bgColor indexed="64"/>
      </patternFill>
    </fill>
    <fill>
      <patternFill patternType="solid">
        <fgColor theme="9" tint="0.59996337778862885"/>
        <bgColor indexed="64"/>
      </patternFill>
    </fill>
    <fill>
      <patternFill patternType="solid">
        <fgColor rgb="FFF3FEFF"/>
        <bgColor indexed="64"/>
      </patternFill>
    </fill>
    <fill>
      <patternFill patternType="gray125">
        <bgColor rgb="FF6AE838"/>
      </patternFill>
    </fill>
    <fill>
      <patternFill patternType="gray125">
        <bgColor rgb="FFB6FC9A"/>
      </patternFill>
    </fill>
    <fill>
      <patternFill patternType="solid">
        <fgColor rgb="FF6AE838"/>
        <bgColor indexed="64"/>
      </patternFill>
    </fill>
    <fill>
      <patternFill patternType="solid">
        <fgColor indexed="26"/>
        <bgColor indexed="64"/>
      </patternFill>
    </fill>
    <fill>
      <patternFill patternType="solid">
        <fgColor rgb="FFFF6699"/>
        <bgColor indexed="64"/>
      </patternFill>
    </fill>
  </fills>
  <borders count="1633">
    <border>
      <left/>
      <right/>
      <top/>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thick">
        <color rgb="FF92D050"/>
      </left>
      <right style="thin">
        <color rgb="FF92D050"/>
      </right>
      <top style="thick">
        <color rgb="FF92D050"/>
      </top>
      <bottom/>
      <diagonal/>
    </border>
    <border>
      <left style="thin">
        <color rgb="FF92D050"/>
      </left>
      <right style="thin">
        <color rgb="FF92D050"/>
      </right>
      <top style="thick">
        <color rgb="FF92D050"/>
      </top>
      <bottom/>
      <diagonal/>
    </border>
    <border>
      <left style="thin">
        <color rgb="FF92D050"/>
      </left>
      <right style="thick">
        <color rgb="FF92D050"/>
      </right>
      <top style="thick">
        <color rgb="FF92D050"/>
      </top>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style="thin">
        <color rgb="FF92D050"/>
      </left>
      <right style="thick">
        <color rgb="FF92D050"/>
      </right>
      <top style="thin">
        <color rgb="FF92D050"/>
      </top>
      <bottom style="thick">
        <color rgb="FF92D050"/>
      </bottom>
      <diagonal/>
    </border>
    <border>
      <left style="thick">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top/>
      <bottom style="thick">
        <color rgb="FF92D050"/>
      </bottom>
      <diagonal/>
    </border>
    <border>
      <left/>
      <right/>
      <top style="thin">
        <color rgb="FF92D050"/>
      </top>
      <bottom/>
      <diagonal/>
    </border>
    <border>
      <left style="thick">
        <color rgb="FF92D050"/>
      </left>
      <right/>
      <top style="thick">
        <color rgb="FF92D050"/>
      </top>
      <bottom/>
      <diagonal/>
    </border>
    <border>
      <left/>
      <right/>
      <top style="thick">
        <color rgb="FF92D050"/>
      </top>
      <bottom/>
      <diagonal/>
    </border>
    <border>
      <left style="thick">
        <color rgb="FF92D050"/>
      </left>
      <right/>
      <top/>
      <bottom style="thin">
        <color rgb="FF92D050"/>
      </bottom>
      <diagonal/>
    </border>
    <border>
      <left/>
      <right/>
      <top/>
      <bottom style="thin">
        <color rgb="FF92D050"/>
      </bottom>
      <diagonal/>
    </border>
    <border>
      <left/>
      <right style="thin">
        <color rgb="FF92D050"/>
      </right>
      <top/>
      <bottom style="thin">
        <color rgb="FF92D050"/>
      </bottom>
      <diagonal/>
    </border>
    <border>
      <left style="thin">
        <color rgb="FF92D050"/>
      </left>
      <right/>
      <top style="thick">
        <color rgb="FF92D050"/>
      </top>
      <bottom/>
      <diagonal/>
    </border>
    <border>
      <left style="thin">
        <color rgb="FF92D050"/>
      </left>
      <right/>
      <top/>
      <bottom style="thin">
        <color rgb="FF92D050"/>
      </bottom>
      <diagonal/>
    </border>
    <border>
      <left/>
      <right style="thick">
        <color rgb="FF92D050"/>
      </right>
      <top style="thick">
        <color rgb="FF92D050"/>
      </top>
      <bottom/>
      <diagonal/>
    </border>
    <border>
      <left/>
      <right style="thick">
        <color rgb="FF92D050"/>
      </right>
      <top/>
      <bottom style="thin">
        <color rgb="FF92D050"/>
      </bottom>
      <diagonal/>
    </border>
    <border>
      <left style="thick">
        <color rgb="FF92D050"/>
      </left>
      <right/>
      <top/>
      <bottom/>
      <diagonal/>
    </border>
    <border>
      <left style="thin">
        <color rgb="FF92D050"/>
      </left>
      <right/>
      <top style="thin">
        <color rgb="FF92D050"/>
      </top>
      <bottom style="thin">
        <color rgb="FF92D050"/>
      </bottom>
      <diagonal/>
    </border>
    <border>
      <left/>
      <right style="thick">
        <color rgb="FF92D050"/>
      </right>
      <top style="thin">
        <color rgb="FF92D050"/>
      </top>
      <bottom style="thin">
        <color rgb="FF92D050"/>
      </bottom>
      <diagonal/>
    </border>
    <border>
      <left/>
      <right/>
      <top style="thin">
        <color rgb="FF92D050"/>
      </top>
      <bottom style="thick">
        <color rgb="FF92D050"/>
      </bottom>
      <diagonal/>
    </border>
    <border>
      <left/>
      <right style="thick">
        <color rgb="FF92D050"/>
      </right>
      <top style="thin">
        <color rgb="FF92D050"/>
      </top>
      <bottom style="thick">
        <color rgb="FF92D050"/>
      </bottom>
      <diagonal/>
    </border>
    <border>
      <left/>
      <right style="thick">
        <color rgb="FF92D050"/>
      </right>
      <top style="thin">
        <color rgb="FF92D050"/>
      </top>
      <bottom/>
      <diagonal/>
    </border>
    <border>
      <left style="thick">
        <color theme="0" tint="-0.24994659260841701"/>
      </left>
      <right style="thin">
        <color theme="0" tint="-0.24994659260841701"/>
      </right>
      <top style="thick">
        <color theme="0" tint="-0.24994659260841701"/>
      </top>
      <bottom style="thin">
        <color theme="0" tint="-0.24994659260841701"/>
      </bottom>
      <diagonal/>
    </border>
    <border>
      <left style="thin">
        <color theme="0" tint="-0.24994659260841701"/>
      </left>
      <right style="thin">
        <color theme="0" tint="-0.24994659260841701"/>
      </right>
      <top style="thick">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thick">
        <color theme="0" tint="-0.24994659260841701"/>
      </bottom>
      <diagonal/>
    </border>
    <border>
      <left style="thin">
        <color theme="0" tint="-0.24994659260841701"/>
      </left>
      <right style="thin">
        <color theme="0" tint="-0.24994659260841701"/>
      </right>
      <top style="thin">
        <color theme="0" tint="-0.24994659260841701"/>
      </top>
      <bottom style="thick">
        <color theme="0" tint="-0.24994659260841701"/>
      </bottom>
      <diagonal/>
    </border>
    <border>
      <left style="thin">
        <color theme="0" tint="-0.24994659260841701"/>
      </left>
      <right style="thick">
        <color theme="0" tint="-0.24994659260841701"/>
      </right>
      <top style="thin">
        <color theme="0" tint="-0.24994659260841701"/>
      </top>
      <bottom style="thick">
        <color theme="0" tint="-0.24994659260841701"/>
      </bottom>
      <diagonal/>
    </border>
    <border>
      <left style="thin">
        <color theme="0" tint="-0.24994659260841701"/>
      </left>
      <right/>
      <top style="thick">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ck">
        <color theme="0" tint="-0.24994659260841701"/>
      </bottom>
      <diagonal/>
    </border>
    <border>
      <left style="thick">
        <color theme="0" tint="-0.24994659260841701"/>
      </left>
      <right/>
      <top style="thick">
        <color theme="0" tint="-0.24994659260841701"/>
      </top>
      <bottom style="thick">
        <color theme="0" tint="-0.24994659260841701"/>
      </bottom>
      <diagonal/>
    </border>
    <border>
      <left/>
      <right/>
      <top style="thick">
        <color theme="0" tint="-0.24994659260841701"/>
      </top>
      <bottom style="thick">
        <color theme="0" tint="-0.24994659260841701"/>
      </bottom>
      <diagonal/>
    </border>
    <border>
      <left/>
      <right style="thick">
        <color theme="0" tint="-0.24994659260841701"/>
      </right>
      <top style="thick">
        <color theme="0" tint="-0.24994659260841701"/>
      </top>
      <bottom style="thick">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style="medium">
        <color indexed="9"/>
      </right>
      <top/>
      <bottom/>
      <diagonal/>
    </border>
    <border>
      <left style="thick">
        <color rgb="FFFFC000"/>
      </left>
      <right style="thin">
        <color rgb="FFFFC000"/>
      </right>
      <top style="thick">
        <color rgb="FFFFC000"/>
      </top>
      <bottom style="thin">
        <color rgb="FFFFC000"/>
      </bottom>
      <diagonal/>
    </border>
    <border>
      <left style="thin">
        <color rgb="FFFFC000"/>
      </left>
      <right style="thin">
        <color rgb="FFFFC000"/>
      </right>
      <top style="thick">
        <color rgb="FFFFC000"/>
      </top>
      <bottom style="thin">
        <color rgb="FFFFC000"/>
      </bottom>
      <diagonal/>
    </border>
    <border>
      <left style="thin">
        <color rgb="FFFFC000"/>
      </left>
      <right style="thick">
        <color rgb="FFFFC000"/>
      </right>
      <top style="thick">
        <color rgb="FFFFC000"/>
      </top>
      <bottom style="thin">
        <color rgb="FFFFC000"/>
      </bottom>
      <diagonal/>
    </border>
    <border>
      <left style="thick">
        <color rgb="FFFFC000"/>
      </left>
      <right style="thin">
        <color rgb="FFFFC000"/>
      </right>
      <top style="thin">
        <color rgb="FFFFC000"/>
      </top>
      <bottom style="thin">
        <color rgb="FFFFC000"/>
      </bottom>
      <diagonal/>
    </border>
    <border>
      <left style="thin">
        <color rgb="FFFFC000"/>
      </left>
      <right style="thin">
        <color rgb="FFFFC000"/>
      </right>
      <top style="thin">
        <color rgb="FFFFC000"/>
      </top>
      <bottom style="thin">
        <color rgb="FFFFC000"/>
      </bottom>
      <diagonal/>
    </border>
    <border>
      <left style="thin">
        <color rgb="FFFFC000"/>
      </left>
      <right style="thick">
        <color rgb="FFFFC000"/>
      </right>
      <top style="thin">
        <color rgb="FFFFC000"/>
      </top>
      <bottom style="thin">
        <color rgb="FFFFC000"/>
      </bottom>
      <diagonal/>
    </border>
    <border>
      <left style="thick">
        <color rgb="FFFFC000"/>
      </left>
      <right style="thin">
        <color rgb="FFFFC000"/>
      </right>
      <top style="thin">
        <color rgb="FFFFC000"/>
      </top>
      <bottom style="thick">
        <color rgb="FFFFC000"/>
      </bottom>
      <diagonal/>
    </border>
    <border>
      <left style="thin">
        <color rgb="FFFFC000"/>
      </left>
      <right style="thin">
        <color rgb="FFFFC000"/>
      </right>
      <top style="thin">
        <color rgb="FFFFC000"/>
      </top>
      <bottom style="thick">
        <color rgb="FFFFC000"/>
      </bottom>
      <diagonal/>
    </border>
    <border>
      <left style="thin">
        <color rgb="FFFFC000"/>
      </left>
      <right style="thick">
        <color rgb="FFFFC000"/>
      </right>
      <top style="thin">
        <color rgb="FFFFC000"/>
      </top>
      <bottom style="thick">
        <color rgb="FFFFC000"/>
      </bottom>
      <diagonal/>
    </border>
    <border>
      <left style="thin">
        <color theme="0"/>
      </left>
      <right style="thin">
        <color theme="0"/>
      </right>
      <top style="thin">
        <color theme="0"/>
      </top>
      <bottom style="thin">
        <color theme="0"/>
      </bottom>
      <diagonal/>
    </border>
    <border>
      <left/>
      <right/>
      <top/>
      <bottom style="thick">
        <color theme="0" tint="-0.24994659260841701"/>
      </bottom>
      <diagonal/>
    </border>
    <border>
      <left/>
      <right style="medium">
        <color theme="0" tint="-0.24994659260841701"/>
      </right>
      <top style="thick">
        <color theme="0" tint="-0.24994659260841701"/>
      </top>
      <bottom style="thin">
        <color theme="0" tint="-0.24994659260841701"/>
      </bottom>
      <diagonal/>
    </border>
    <border>
      <left style="thick">
        <color rgb="FFFFC000"/>
      </left>
      <right/>
      <top style="thick">
        <color rgb="FFFFC000"/>
      </top>
      <bottom style="thin">
        <color rgb="FFFFC000"/>
      </bottom>
      <diagonal/>
    </border>
    <border>
      <left/>
      <right/>
      <top style="thick">
        <color rgb="FFFFC000"/>
      </top>
      <bottom style="thin">
        <color rgb="FFFFC000"/>
      </bottom>
      <diagonal/>
    </border>
    <border>
      <left/>
      <right style="thick">
        <color rgb="FFFFC000"/>
      </right>
      <top style="thick">
        <color rgb="FFFFC000"/>
      </top>
      <bottom style="thin">
        <color rgb="FFFFC000"/>
      </bottom>
      <diagonal/>
    </border>
    <border>
      <left style="thick">
        <color rgb="FFFFC000"/>
      </left>
      <right/>
      <top style="thin">
        <color rgb="FFFFC000"/>
      </top>
      <bottom style="thin">
        <color rgb="FFFFC000"/>
      </bottom>
      <diagonal/>
    </border>
    <border>
      <left/>
      <right/>
      <top style="thin">
        <color rgb="FFFFC000"/>
      </top>
      <bottom style="thin">
        <color rgb="FFFFC000"/>
      </bottom>
      <diagonal/>
    </border>
    <border>
      <left/>
      <right style="thick">
        <color rgb="FFFFC000"/>
      </right>
      <top style="thin">
        <color rgb="FFFFC000"/>
      </top>
      <bottom style="thin">
        <color rgb="FFFFC000"/>
      </bottom>
      <diagonal/>
    </border>
    <border>
      <left style="thick">
        <color rgb="FF92D050"/>
      </left>
      <right/>
      <top style="thick">
        <color rgb="FF92D050"/>
      </top>
      <bottom style="thin">
        <color rgb="FF92D050"/>
      </bottom>
      <diagonal/>
    </border>
    <border>
      <left/>
      <right/>
      <top style="thick">
        <color rgb="FF92D050"/>
      </top>
      <bottom style="thin">
        <color rgb="FF92D050"/>
      </bottom>
      <diagonal/>
    </border>
    <border>
      <left/>
      <right style="thick">
        <color rgb="FF92D050"/>
      </right>
      <top style="thick">
        <color rgb="FF92D050"/>
      </top>
      <bottom style="thin">
        <color rgb="FF92D050"/>
      </bottom>
      <diagonal/>
    </border>
    <border>
      <left style="thick">
        <color rgb="FF92D050"/>
      </left>
      <right/>
      <top style="thin">
        <color rgb="FF92D050"/>
      </top>
      <bottom style="thick">
        <color rgb="FF92D050"/>
      </bottom>
      <diagonal/>
    </border>
    <border>
      <left style="thin">
        <color rgb="FFFFC000"/>
      </left>
      <right style="thin">
        <color rgb="FFFFC000"/>
      </right>
      <top style="thick">
        <color rgb="FFFFC000"/>
      </top>
      <bottom style="thick">
        <color rgb="FFFFC000"/>
      </bottom>
      <diagonal/>
    </border>
    <border>
      <left style="thin">
        <color rgb="FFFFC000"/>
      </left>
      <right style="thick">
        <color rgb="FFFFC000"/>
      </right>
      <top style="thick">
        <color rgb="FFFFC000"/>
      </top>
      <bottom style="thick">
        <color rgb="FFFFC000"/>
      </bottom>
      <diagonal/>
    </border>
    <border>
      <left style="thick">
        <color rgb="FF92D050"/>
      </left>
      <right/>
      <top style="thin">
        <color rgb="FF92D050"/>
      </top>
      <bottom/>
      <diagonal/>
    </border>
    <border>
      <left/>
      <right style="thick">
        <color rgb="FF92D050"/>
      </right>
      <top/>
      <bottom/>
      <diagonal/>
    </border>
    <border>
      <left style="thick">
        <color rgb="FF92D050"/>
      </left>
      <right/>
      <top/>
      <bottom style="thick">
        <color rgb="FF92D050"/>
      </bottom>
      <diagonal/>
    </border>
    <border>
      <left/>
      <right style="thick">
        <color rgb="FF92D050"/>
      </right>
      <top/>
      <bottom style="thick">
        <color rgb="FF92D050"/>
      </bottom>
      <diagonal/>
    </border>
    <border>
      <left style="thick">
        <color rgb="FF92D050"/>
      </left>
      <right/>
      <top style="thick">
        <color rgb="FF92D050"/>
      </top>
      <bottom style="thick">
        <color rgb="FF92D050"/>
      </bottom>
      <diagonal/>
    </border>
    <border>
      <left/>
      <right/>
      <top style="thick">
        <color rgb="FF92D050"/>
      </top>
      <bottom style="thick">
        <color rgb="FF92D050"/>
      </bottom>
      <diagonal/>
    </border>
    <border>
      <left/>
      <right style="thin">
        <color rgb="FF92D050"/>
      </right>
      <top style="thin">
        <color rgb="FF92D050"/>
      </top>
      <bottom style="thick">
        <color rgb="FF92D050"/>
      </bottom>
      <diagonal/>
    </border>
    <border>
      <left style="thin">
        <color rgb="FF92D050"/>
      </left>
      <right/>
      <top style="thick">
        <color rgb="FF92D050"/>
      </top>
      <bottom style="thin">
        <color rgb="FF92D050"/>
      </bottom>
      <diagonal/>
    </border>
    <border>
      <left style="thin">
        <color rgb="FF92D050"/>
      </left>
      <right style="thin">
        <color rgb="FF92D050"/>
      </right>
      <top/>
      <bottom style="thin">
        <color rgb="FF92D050"/>
      </bottom>
      <diagonal/>
    </border>
    <border>
      <left/>
      <right/>
      <top style="thick">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bottom/>
      <diagonal/>
    </border>
    <border>
      <left style="thick">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thick">
        <color theme="0" tint="-0.24994659260841701"/>
      </right>
      <top style="medium">
        <color theme="0" tint="-0.24994659260841701"/>
      </top>
      <bottom style="medium">
        <color theme="0" tint="-0.24994659260841701"/>
      </bottom>
      <diagonal/>
    </border>
    <border>
      <left style="medium">
        <color theme="0" tint="-0.24994659260841701"/>
      </left>
      <right style="thin">
        <color theme="0" tint="-0.24994659260841701"/>
      </right>
      <top/>
      <bottom/>
      <diagonal/>
    </border>
    <border>
      <left style="thin">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ck">
        <color theme="0" tint="-0.24994659260841701"/>
      </left>
      <right style="medium">
        <color theme="0" tint="-0.24994659260841701"/>
      </right>
      <top/>
      <bottom/>
      <diagonal/>
    </border>
    <border>
      <left style="thick">
        <color theme="0" tint="-0.24994659260841701"/>
      </left>
      <right style="medium">
        <color theme="0" tint="-0.24994659260841701"/>
      </right>
      <top/>
      <bottom style="thick">
        <color theme="0" tint="-0.24994659260841701"/>
      </bottom>
      <diagonal/>
    </border>
    <border>
      <left style="thin">
        <color theme="0" tint="-0.24994659260841701"/>
      </left>
      <right style="thin">
        <color theme="0" tint="-0.24994659260841701"/>
      </right>
      <top style="thick">
        <color theme="0" tint="-0.24994659260841701"/>
      </top>
      <bottom style="medium">
        <color theme="0" tint="-0.24994659260841701"/>
      </bottom>
      <diagonal/>
    </border>
    <border>
      <left style="thin">
        <color theme="0" tint="-0.24994659260841701"/>
      </left>
      <right style="thick">
        <color theme="0" tint="-0.24994659260841701"/>
      </right>
      <top style="thick">
        <color theme="0" tint="-0.24994659260841701"/>
      </top>
      <bottom style="medium">
        <color theme="0" tint="-0.24994659260841701"/>
      </bottom>
      <diagonal/>
    </border>
    <border>
      <left style="thick">
        <color rgb="FFFFC000"/>
      </left>
      <right/>
      <top style="thin">
        <color rgb="FFFFC000"/>
      </top>
      <bottom/>
      <diagonal/>
    </border>
    <border>
      <left/>
      <right/>
      <top style="thin">
        <color rgb="FFFFC000"/>
      </top>
      <bottom/>
      <diagonal/>
    </border>
    <border>
      <left/>
      <right style="thick">
        <color rgb="FFFFC000"/>
      </right>
      <top style="thin">
        <color rgb="FFFFC000"/>
      </top>
      <bottom/>
      <diagonal/>
    </border>
    <border>
      <left style="thick">
        <color rgb="FFFFC000"/>
      </left>
      <right/>
      <top/>
      <bottom/>
      <diagonal/>
    </border>
    <border>
      <left/>
      <right style="thick">
        <color rgb="FFFFC000"/>
      </right>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ck">
        <color theme="9" tint="-0.24994659260841701"/>
      </right>
      <top style="thick">
        <color theme="9" tint="-0.24994659260841701"/>
      </top>
      <bottom style="thin">
        <color theme="9" tint="-0.24994659260841701"/>
      </bottom>
      <diagonal/>
    </border>
    <border>
      <left style="thick">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ck">
        <color theme="9" tint="-0.24994659260841701"/>
      </right>
      <top style="thin">
        <color theme="9" tint="-0.24994659260841701"/>
      </top>
      <bottom style="thin">
        <color theme="9" tint="-0.24994659260841701"/>
      </bottom>
      <diagonal/>
    </border>
    <border>
      <left style="thick">
        <color theme="9" tint="-0.24994659260841701"/>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thick">
        <color theme="9" tint="-0.24994659260841701"/>
      </bottom>
      <diagonal/>
    </border>
    <border>
      <left style="thin">
        <color theme="9" tint="-0.24994659260841701"/>
      </left>
      <right style="thick">
        <color theme="9" tint="-0.24994659260841701"/>
      </right>
      <top style="thin">
        <color theme="9" tint="-0.24994659260841701"/>
      </top>
      <bottom style="thick">
        <color theme="9" tint="-0.24994659260841701"/>
      </bottom>
      <diagonal/>
    </border>
    <border>
      <left style="thick">
        <color theme="9" tint="-0.24994659260841701"/>
      </left>
      <right style="thin">
        <color theme="9" tint="-0.24994659260841701"/>
      </right>
      <top style="thin">
        <color theme="9" tint="-0.24994659260841701"/>
      </top>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style="thick">
        <color theme="9" tint="-0.24994659260841701"/>
      </right>
      <top style="thin">
        <color theme="9" tint="-0.24994659260841701"/>
      </top>
      <bottom/>
      <diagonal/>
    </border>
    <border>
      <left style="thick">
        <color theme="9" tint="-0.24994659260841701"/>
      </left>
      <right style="thin">
        <color theme="9" tint="-0.24994659260841701"/>
      </right>
      <top/>
      <bottom style="thin">
        <color theme="9" tint="-0.24994659260841701"/>
      </bottom>
      <diagonal/>
    </border>
    <border>
      <left style="thin">
        <color theme="9" tint="-0.24994659260841701"/>
      </left>
      <right style="thin">
        <color theme="9" tint="-0.24994659260841701"/>
      </right>
      <top/>
      <bottom style="thin">
        <color theme="9" tint="-0.24994659260841701"/>
      </bottom>
      <diagonal/>
    </border>
    <border>
      <left style="thin">
        <color theme="9" tint="-0.24994659260841701"/>
      </left>
      <right style="thick">
        <color theme="9" tint="-0.24994659260841701"/>
      </right>
      <top/>
      <bottom style="thin">
        <color theme="9" tint="-0.24994659260841701"/>
      </bottom>
      <diagonal/>
    </border>
    <border>
      <left style="thin">
        <color theme="9" tint="-0.24994659260841701"/>
      </left>
      <right style="thin">
        <color theme="9" tint="-0.24994659260841701"/>
      </right>
      <top style="medium">
        <color theme="9" tint="-0.24994659260841701"/>
      </top>
      <bottom style="medium">
        <color theme="9" tint="-0.24994659260841701"/>
      </bottom>
      <diagonal/>
    </border>
    <border>
      <left style="thin">
        <color theme="9" tint="-0.24994659260841701"/>
      </left>
      <right style="thick">
        <color theme="9" tint="-0.24994659260841701"/>
      </right>
      <top style="medium">
        <color theme="9" tint="-0.24994659260841701"/>
      </top>
      <bottom style="medium">
        <color theme="9" tint="-0.24994659260841701"/>
      </bottom>
      <diagonal/>
    </border>
    <border>
      <left style="thick">
        <color theme="9" tint="-0.24994659260841701"/>
      </left>
      <right/>
      <top style="thick">
        <color theme="9" tint="-0.24994659260841701"/>
      </top>
      <bottom style="medium">
        <color theme="9" tint="-0.24994659260841701"/>
      </bottom>
      <diagonal/>
    </border>
    <border>
      <left/>
      <right/>
      <top style="thick">
        <color theme="9" tint="-0.24994659260841701"/>
      </top>
      <bottom style="medium">
        <color theme="9" tint="-0.24994659260841701"/>
      </bottom>
      <diagonal/>
    </border>
    <border>
      <left/>
      <right style="thick">
        <color theme="9" tint="-0.24994659260841701"/>
      </right>
      <top style="thick">
        <color theme="9" tint="-0.24994659260841701"/>
      </top>
      <bottom style="medium">
        <color theme="9" tint="-0.24994659260841701"/>
      </bottom>
      <diagonal/>
    </border>
    <border>
      <left style="thin">
        <color theme="9" tint="-0.24994659260841701"/>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right style="thick">
        <color theme="9" tint="-0.24994659260841701"/>
      </right>
      <top style="thin">
        <color theme="9" tint="-0.24994659260841701"/>
      </top>
      <bottom style="thin">
        <color theme="9" tint="-0.24994659260841701"/>
      </bottom>
      <diagonal/>
    </border>
    <border>
      <left/>
      <right/>
      <top style="thin">
        <color theme="9" tint="-0.24994659260841701"/>
      </top>
      <bottom style="medium">
        <color theme="9" tint="-0.24994659260841701"/>
      </bottom>
      <diagonal/>
    </border>
    <border>
      <left style="thin">
        <color theme="9" tint="-0.24994659260841701"/>
      </left>
      <right/>
      <top style="medium">
        <color theme="9" tint="-0.24994659260841701"/>
      </top>
      <bottom style="thin">
        <color theme="9" tint="-0.24994659260841701"/>
      </bottom>
      <diagonal/>
    </border>
    <border>
      <left/>
      <right/>
      <top style="medium">
        <color theme="9" tint="-0.24994659260841701"/>
      </top>
      <bottom style="thin">
        <color theme="9" tint="-0.24994659260841701"/>
      </bottom>
      <diagonal/>
    </border>
    <border>
      <left style="thick">
        <color theme="3" tint="0.39994506668294322"/>
      </left>
      <right style="thin">
        <color theme="3" tint="0.39994506668294322"/>
      </right>
      <top style="thick">
        <color theme="3" tint="0.39994506668294322"/>
      </top>
      <bottom style="thin">
        <color theme="3" tint="0.39994506668294322"/>
      </bottom>
      <diagonal/>
    </border>
    <border>
      <left style="thin">
        <color theme="3" tint="0.39994506668294322"/>
      </left>
      <right style="thin">
        <color theme="3" tint="0.39994506668294322"/>
      </right>
      <top style="thick">
        <color theme="3" tint="0.39994506668294322"/>
      </top>
      <bottom style="thin">
        <color theme="3" tint="0.39994506668294322"/>
      </bottom>
      <diagonal/>
    </border>
    <border>
      <left style="thin">
        <color theme="3" tint="0.39994506668294322"/>
      </left>
      <right style="thick">
        <color theme="3" tint="0.39994506668294322"/>
      </right>
      <top style="thick">
        <color theme="3" tint="0.39994506668294322"/>
      </top>
      <bottom style="thin">
        <color theme="3" tint="0.39994506668294322"/>
      </bottom>
      <diagonal/>
    </border>
    <border>
      <left style="thick">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thick">
        <color theme="3" tint="0.39994506668294322"/>
      </right>
      <top style="thin">
        <color theme="3" tint="0.39994506668294322"/>
      </top>
      <bottom style="thin">
        <color theme="3" tint="0.39994506668294322"/>
      </bottom>
      <diagonal/>
    </border>
    <border>
      <left style="thick">
        <color theme="3" tint="0.39994506668294322"/>
      </left>
      <right style="thin">
        <color theme="3" tint="0.39994506668294322"/>
      </right>
      <top style="thin">
        <color theme="3" tint="0.39994506668294322"/>
      </top>
      <bottom style="thick">
        <color theme="3" tint="0.39994506668294322"/>
      </bottom>
      <diagonal/>
    </border>
    <border>
      <left style="thin">
        <color theme="3" tint="0.39994506668294322"/>
      </left>
      <right style="thin">
        <color theme="3" tint="0.39994506668294322"/>
      </right>
      <top style="thin">
        <color theme="3" tint="0.39994506668294322"/>
      </top>
      <bottom style="thick">
        <color theme="3" tint="0.39994506668294322"/>
      </bottom>
      <diagonal/>
    </border>
    <border>
      <left style="thin">
        <color theme="3" tint="0.39994506668294322"/>
      </left>
      <right style="thick">
        <color theme="3" tint="0.39994506668294322"/>
      </right>
      <top style="thin">
        <color theme="3" tint="0.39994506668294322"/>
      </top>
      <bottom style="thick">
        <color theme="3" tint="0.39994506668294322"/>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thick">
        <color rgb="FFFFC000"/>
      </left>
      <right style="thin">
        <color rgb="FFFFC000"/>
      </right>
      <top style="thick">
        <color rgb="FFFFC000"/>
      </top>
      <bottom/>
      <diagonal/>
    </border>
    <border>
      <left style="thin">
        <color rgb="FFFFC000"/>
      </left>
      <right style="thin">
        <color rgb="FFFFC000"/>
      </right>
      <top style="thick">
        <color rgb="FFFFC000"/>
      </top>
      <bottom/>
      <diagonal/>
    </border>
    <border>
      <left style="thin">
        <color rgb="FFFFC000"/>
      </left>
      <right style="thick">
        <color rgb="FFFFC000"/>
      </right>
      <top style="thick">
        <color rgb="FFFFC000"/>
      </top>
      <bottom/>
      <diagonal/>
    </border>
    <border>
      <left style="thick">
        <color rgb="FFFFC000"/>
      </left>
      <right style="thin">
        <color rgb="FFFFC000"/>
      </right>
      <top/>
      <bottom/>
      <diagonal/>
    </border>
    <border>
      <left style="thin">
        <color rgb="FFFFC000"/>
      </left>
      <right style="thin">
        <color rgb="FFFFC000"/>
      </right>
      <top/>
      <bottom/>
      <diagonal/>
    </border>
    <border>
      <left style="thin">
        <color rgb="FFFFC000"/>
      </left>
      <right style="thick">
        <color rgb="FFFFC000"/>
      </right>
      <top/>
      <bottom/>
      <diagonal/>
    </border>
    <border>
      <left style="thick">
        <color rgb="FFFFC000"/>
      </left>
      <right style="thin">
        <color rgb="FFFFC000"/>
      </right>
      <top style="medium">
        <color rgb="FFFFC000"/>
      </top>
      <bottom style="thin">
        <color rgb="FFFFC000"/>
      </bottom>
      <diagonal/>
    </border>
    <border>
      <left style="thin">
        <color rgb="FFFFC000"/>
      </left>
      <right style="thin">
        <color rgb="FFFFC000"/>
      </right>
      <top style="medium">
        <color rgb="FFFFC000"/>
      </top>
      <bottom style="thin">
        <color rgb="FFFFC000"/>
      </bottom>
      <diagonal/>
    </border>
    <border>
      <left style="thick">
        <color rgb="FFFFC000"/>
      </left>
      <right style="thin">
        <color rgb="FFFFC000"/>
      </right>
      <top style="thin">
        <color rgb="FFFFC000"/>
      </top>
      <bottom style="medium">
        <color rgb="FFFFC000"/>
      </bottom>
      <diagonal/>
    </border>
    <border>
      <left style="thin">
        <color rgb="FFFFC000"/>
      </left>
      <right style="thin">
        <color rgb="FFFFC000"/>
      </right>
      <top style="thin">
        <color rgb="FFFFC000"/>
      </top>
      <bottom style="medium">
        <color rgb="FFFFC000"/>
      </bottom>
      <diagonal/>
    </border>
    <border>
      <left style="thin">
        <color rgb="FFFFC000"/>
      </left>
      <right style="thick">
        <color rgb="FFFFC000"/>
      </right>
      <top style="thin">
        <color rgb="FFFFC000"/>
      </top>
      <bottom style="medium">
        <color rgb="FFFFC000"/>
      </bottom>
      <diagonal/>
    </border>
    <border>
      <left style="thin">
        <color theme="3" tint="0.39994506668294322"/>
      </left>
      <right/>
      <top style="thick">
        <color theme="3" tint="0.39994506668294322"/>
      </top>
      <bottom/>
      <diagonal/>
    </border>
    <border>
      <left/>
      <right style="thick">
        <color theme="3" tint="0.39994506668294322"/>
      </right>
      <top style="thick">
        <color theme="3" tint="0.39994506668294322"/>
      </top>
      <bottom/>
      <diagonal/>
    </border>
    <border>
      <left style="thin">
        <color theme="3" tint="0.39994506668294322"/>
      </left>
      <right/>
      <top/>
      <bottom style="thick">
        <color theme="3" tint="0.39994506668294322"/>
      </bottom>
      <diagonal/>
    </border>
    <border>
      <left/>
      <right style="thick">
        <color theme="3" tint="0.39994506668294322"/>
      </right>
      <top/>
      <bottom style="thick">
        <color theme="3" tint="0.39994506668294322"/>
      </bottom>
      <diagonal/>
    </border>
    <border>
      <left style="medium">
        <color indexed="64"/>
      </left>
      <right/>
      <top/>
      <bottom/>
      <diagonal/>
    </border>
    <border>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ck">
        <color rgb="FFFFC000"/>
      </left>
      <right style="thin">
        <color rgb="FFFFC000"/>
      </right>
      <top/>
      <bottom style="thin">
        <color rgb="FFFFC000"/>
      </bottom>
      <diagonal/>
    </border>
    <border>
      <left style="thin">
        <color rgb="FFFFC000"/>
      </left>
      <right style="thin">
        <color rgb="FFFFC000"/>
      </right>
      <top/>
      <bottom style="thin">
        <color rgb="FFFFC000"/>
      </bottom>
      <diagonal/>
    </border>
    <border>
      <left style="thin">
        <color rgb="FFFFC000"/>
      </left>
      <right style="thick">
        <color rgb="FFFFC000"/>
      </right>
      <top/>
      <bottom style="thin">
        <color rgb="FFFFC000"/>
      </bottom>
      <diagonal/>
    </border>
    <border>
      <left style="thin">
        <color rgb="FFFFC000"/>
      </left>
      <right/>
      <top style="thin">
        <color rgb="FFFFC000"/>
      </top>
      <bottom style="thin">
        <color rgb="FFFFC000"/>
      </bottom>
      <diagonal/>
    </border>
    <border>
      <left style="medium">
        <color rgb="FFFFC000"/>
      </left>
      <right style="thin">
        <color rgb="FFFFC000"/>
      </right>
      <top style="thin">
        <color rgb="FFFFC000"/>
      </top>
      <bottom style="thin">
        <color rgb="FFFFC000"/>
      </bottom>
      <diagonal/>
    </border>
    <border>
      <left style="thin">
        <color rgb="FFFFC000"/>
      </left>
      <right style="medium">
        <color rgb="FFFFC000"/>
      </right>
      <top style="thin">
        <color rgb="FFFFC000"/>
      </top>
      <bottom style="thin">
        <color rgb="FFFFC000"/>
      </bottom>
      <diagonal/>
    </border>
    <border>
      <left style="medium">
        <color rgb="FFFFC000"/>
      </left>
      <right style="thin">
        <color rgb="FFFFC000"/>
      </right>
      <top style="thin">
        <color rgb="FFFFC000"/>
      </top>
      <bottom style="thick">
        <color rgb="FFFFC000"/>
      </bottom>
      <diagonal/>
    </border>
    <border>
      <left style="thin">
        <color rgb="FFFFC000"/>
      </left>
      <right style="medium">
        <color rgb="FFFFC000"/>
      </right>
      <top style="thin">
        <color rgb="FFFFC000"/>
      </top>
      <bottom style="thick">
        <color rgb="FFFFC000"/>
      </bottom>
      <diagonal/>
    </border>
    <border>
      <left style="medium">
        <color rgb="FFFFC000"/>
      </left>
      <right/>
      <top/>
      <bottom/>
      <diagonal/>
    </border>
    <border>
      <left/>
      <right style="medium">
        <color rgb="FFFFC000"/>
      </right>
      <top/>
      <bottom/>
      <diagonal/>
    </border>
    <border>
      <left style="medium">
        <color rgb="FFFFC000"/>
      </left>
      <right/>
      <top/>
      <bottom style="thick">
        <color rgb="FFFFC000"/>
      </bottom>
      <diagonal/>
    </border>
    <border>
      <left/>
      <right style="medium">
        <color rgb="FFFFC000"/>
      </right>
      <top/>
      <bottom style="thick">
        <color rgb="FFFFC000"/>
      </bottom>
      <diagonal/>
    </border>
    <border>
      <left style="thin">
        <color rgb="FFFFC000"/>
      </left>
      <right style="thin">
        <color rgb="FFFFC000"/>
      </right>
      <top style="thin">
        <color rgb="FFFFC000"/>
      </top>
      <bottom/>
      <diagonal/>
    </border>
    <border>
      <left style="thin">
        <color rgb="FFFFC000"/>
      </left>
      <right/>
      <top style="thin">
        <color rgb="FFFFC000"/>
      </top>
      <bottom/>
      <diagonal/>
    </border>
    <border>
      <left style="thick">
        <color rgb="FFFFC000"/>
      </left>
      <right/>
      <top style="thick">
        <color rgb="FFFFC000"/>
      </top>
      <bottom/>
      <diagonal/>
    </border>
    <border>
      <left/>
      <right style="medium">
        <color rgb="FFFFC000"/>
      </right>
      <top style="thick">
        <color rgb="FFFFC000"/>
      </top>
      <bottom/>
      <diagonal/>
    </border>
    <border>
      <left style="medium">
        <color rgb="FFFFC000"/>
      </left>
      <right style="thin">
        <color rgb="FFFFC000"/>
      </right>
      <top/>
      <bottom style="thin">
        <color rgb="FFFFC000"/>
      </bottom>
      <diagonal/>
    </border>
    <border>
      <left style="thin">
        <color rgb="FFFFC000"/>
      </left>
      <right style="medium">
        <color rgb="FFFFC000"/>
      </right>
      <top/>
      <bottom style="thin">
        <color rgb="FFFFC000"/>
      </bottom>
      <diagonal/>
    </border>
    <border>
      <left style="thick">
        <color rgb="FFFFC000"/>
      </left>
      <right style="medium">
        <color rgb="FFFFC000"/>
      </right>
      <top style="thick">
        <color rgb="FFFFC000"/>
      </top>
      <bottom style="thin">
        <color rgb="FFFFC000"/>
      </bottom>
      <diagonal/>
    </border>
    <border>
      <left style="medium">
        <color rgb="FFFFC000"/>
      </left>
      <right style="medium">
        <color rgb="FFFFC000"/>
      </right>
      <top style="thick">
        <color rgb="FFFFC000"/>
      </top>
      <bottom style="thin">
        <color rgb="FFFFC000"/>
      </bottom>
      <diagonal/>
    </border>
    <border>
      <left style="medium">
        <color rgb="FFFFC000"/>
      </left>
      <right style="thin">
        <color rgb="FFFFC000"/>
      </right>
      <top style="thin">
        <color rgb="FFFFC000"/>
      </top>
      <bottom style="medium">
        <color rgb="FFFFC000"/>
      </bottom>
      <diagonal/>
    </border>
    <border>
      <left style="thin">
        <color rgb="FFFFC000"/>
      </left>
      <right style="medium">
        <color rgb="FFFFC000"/>
      </right>
      <top style="thin">
        <color rgb="FFFFC000"/>
      </top>
      <bottom style="medium">
        <color rgb="FFFFC000"/>
      </bottom>
      <diagonal/>
    </border>
    <border>
      <left style="medium">
        <color rgb="FFFFC000"/>
      </left>
      <right style="thick">
        <color rgb="FFFFC000"/>
      </right>
      <top style="thick">
        <color rgb="FFFFC000"/>
      </top>
      <bottom style="thin">
        <color rgb="FFFFC000"/>
      </bottom>
      <diagonal/>
    </border>
    <border>
      <left style="thin">
        <color rgb="FFFFC000"/>
      </left>
      <right/>
      <top/>
      <bottom style="thin">
        <color rgb="FFFFC000"/>
      </bottom>
      <diagonal/>
    </border>
    <border>
      <left style="thick">
        <color rgb="FFFFC000"/>
      </left>
      <right style="thin">
        <color rgb="FFFFC000"/>
      </right>
      <top style="thick">
        <color rgb="FFFFC000"/>
      </top>
      <bottom style="medium">
        <color rgb="FFFFC000"/>
      </bottom>
      <diagonal/>
    </border>
    <border>
      <left style="thin">
        <color rgb="FFFFC000"/>
      </left>
      <right style="thin">
        <color rgb="FFFFC000"/>
      </right>
      <top style="thick">
        <color rgb="FFFFC000"/>
      </top>
      <bottom style="medium">
        <color rgb="FFFFC000"/>
      </bottom>
      <diagonal/>
    </border>
    <border>
      <left style="thin">
        <color rgb="FFFFC000"/>
      </left>
      <right style="medium">
        <color rgb="FFFFC000"/>
      </right>
      <top style="thick">
        <color rgb="FFFFC000"/>
      </top>
      <bottom style="medium">
        <color rgb="FFFFC000"/>
      </bottom>
      <diagonal/>
    </border>
    <border>
      <left/>
      <right/>
      <top style="medium">
        <color rgb="FFFFC000"/>
      </top>
      <bottom style="thin">
        <color rgb="FFFFC000"/>
      </bottom>
      <diagonal/>
    </border>
    <border>
      <left/>
      <right style="thick">
        <color rgb="FFFFC000"/>
      </right>
      <top style="medium">
        <color rgb="FFFFC000"/>
      </top>
      <bottom style="thin">
        <color rgb="FFFFC000"/>
      </bottom>
      <diagonal/>
    </border>
    <border>
      <left style="dashed">
        <color theme="0" tint="-0.24994659260841701"/>
      </left>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style="thin">
        <color theme="9" tint="-0.24994659260841701"/>
      </right>
      <top style="thick">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thin">
        <color theme="9" tint="-0.24994659260841701"/>
      </left>
      <right style="medium">
        <color theme="9" tint="-0.24994659260841701"/>
      </right>
      <top style="thin">
        <color theme="9" tint="-0.24994659260841701"/>
      </top>
      <bottom style="medium">
        <color theme="9" tint="-0.24994659260841701"/>
      </bottom>
      <diagonal/>
    </border>
    <border>
      <left style="thick">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medium">
        <color theme="9" tint="-0.24994659260841701"/>
      </left>
      <right style="thin">
        <color theme="9" tint="-0.24994659260841701"/>
      </right>
      <top style="thin">
        <color theme="9" tint="-0.24994659260841701"/>
      </top>
      <bottom style="medium">
        <color theme="9" tint="-0.24994659260841701"/>
      </bottom>
      <diagonal/>
    </border>
    <border>
      <left style="thin">
        <color theme="9" tint="-0.24994659260841701"/>
      </left>
      <right style="thick">
        <color theme="9" tint="-0.24994659260841701"/>
      </right>
      <top style="thin">
        <color theme="9" tint="-0.24994659260841701"/>
      </top>
      <bottom style="medium">
        <color theme="9" tint="-0.24994659260841701"/>
      </bottom>
      <diagonal/>
    </border>
    <border>
      <left style="medium">
        <color theme="9" tint="-0.24994659260841701"/>
      </left>
      <right style="thin">
        <color theme="9" tint="-0.24994659260841701"/>
      </right>
      <top style="medium">
        <color theme="9" tint="-0.24994659260841701"/>
      </top>
      <bottom style="thin">
        <color theme="9" tint="-0.24994659260841701"/>
      </bottom>
      <diagonal/>
    </border>
    <border>
      <left/>
      <right style="thin">
        <color theme="9" tint="-0.24994659260841701"/>
      </right>
      <top style="medium">
        <color theme="9" tint="-0.24994659260841701"/>
      </top>
      <bottom style="thin">
        <color theme="9" tint="-0.24994659260841701"/>
      </bottom>
      <diagonal/>
    </border>
    <border>
      <left style="thin">
        <color theme="9" tint="-0.24994659260841701"/>
      </left>
      <right style="thick">
        <color theme="9" tint="-0.24994659260841701"/>
      </right>
      <top style="medium">
        <color theme="9" tint="-0.24994659260841701"/>
      </top>
      <bottom style="thin">
        <color theme="9" tint="-0.24994659260841701"/>
      </bottom>
      <diagonal/>
    </border>
    <border>
      <left/>
      <right style="thin">
        <color theme="9" tint="-0.24994659260841701"/>
      </right>
      <top style="thin">
        <color theme="9" tint="-0.24994659260841701"/>
      </top>
      <bottom style="medium">
        <color theme="9" tint="-0.24994659260841701"/>
      </bottom>
      <diagonal/>
    </border>
    <border>
      <left/>
      <right style="thin">
        <color theme="9" tint="-0.24994659260841701"/>
      </right>
      <top style="thin">
        <color theme="9" tint="-0.24994659260841701"/>
      </top>
      <bottom style="thin">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medium">
        <color theme="9" tint="-0.24994659260841701"/>
      </right>
      <top style="thin">
        <color theme="9" tint="-0.24994659260841701"/>
      </top>
      <bottom style="thick">
        <color theme="9" tint="-0.24994659260841701"/>
      </bottom>
      <diagonal/>
    </border>
    <border>
      <left/>
      <right style="medium">
        <color theme="9" tint="-0.24994659260841701"/>
      </right>
      <top/>
      <bottom/>
      <diagonal/>
    </border>
    <border>
      <left style="medium">
        <color theme="9" tint="-0.24994659260841701"/>
      </left>
      <right/>
      <top/>
      <bottom/>
      <diagonal/>
    </border>
    <border>
      <left style="thick">
        <color theme="0" tint="-0.14993743705557422"/>
      </left>
      <right style="thin">
        <color theme="0" tint="-0.14996795556505021"/>
      </right>
      <top style="thick">
        <color theme="0" tint="-0.14993743705557422"/>
      </top>
      <bottom style="thin">
        <color theme="0" tint="-0.14996795556505021"/>
      </bottom>
      <diagonal/>
    </border>
    <border>
      <left style="thin">
        <color theme="0" tint="-0.14996795556505021"/>
      </left>
      <right style="thin">
        <color theme="0" tint="-0.14996795556505021"/>
      </right>
      <top style="thick">
        <color theme="0" tint="-0.14993743705557422"/>
      </top>
      <bottom style="thin">
        <color theme="0" tint="-0.14996795556505021"/>
      </bottom>
      <diagonal/>
    </border>
    <border>
      <left style="thin">
        <color theme="0" tint="-0.14996795556505021"/>
      </left>
      <right style="thick">
        <color theme="0" tint="-0.14993743705557422"/>
      </right>
      <top style="thick">
        <color theme="0" tint="-0.14993743705557422"/>
      </top>
      <bottom style="thin">
        <color theme="0" tint="-0.14996795556505021"/>
      </bottom>
      <diagonal/>
    </border>
    <border>
      <left style="thick">
        <color theme="0" tint="-0.14993743705557422"/>
      </left>
      <right style="thin">
        <color theme="0" tint="-0.14996795556505021"/>
      </right>
      <top style="thin">
        <color theme="0" tint="-0.14996795556505021"/>
      </top>
      <bottom style="thin">
        <color theme="0" tint="-0.14996795556505021"/>
      </bottom>
      <diagonal/>
    </border>
    <border>
      <left style="thin">
        <color theme="0" tint="-0.14996795556505021"/>
      </left>
      <right style="thick">
        <color theme="0" tint="-0.14993743705557422"/>
      </right>
      <top style="thin">
        <color theme="0" tint="-0.14996795556505021"/>
      </top>
      <bottom style="thin">
        <color theme="0" tint="-0.14996795556505021"/>
      </bottom>
      <diagonal/>
    </border>
    <border>
      <left style="thick">
        <color theme="0" tint="-0.14993743705557422"/>
      </left>
      <right style="thin">
        <color theme="0" tint="-0.14996795556505021"/>
      </right>
      <top style="thin">
        <color theme="0" tint="-0.14996795556505021"/>
      </top>
      <bottom/>
      <diagonal/>
    </border>
    <border>
      <left style="thick">
        <color theme="0" tint="-0.14993743705557422"/>
      </left>
      <right style="thin">
        <color theme="0" tint="-0.14996795556505021"/>
      </right>
      <top/>
      <bottom style="thin">
        <color theme="0" tint="-0.14996795556505021"/>
      </bottom>
      <diagonal/>
    </border>
    <border>
      <left style="thick">
        <color theme="0" tint="-0.14993743705557422"/>
      </left>
      <right style="thin">
        <color theme="0" tint="-0.14996795556505021"/>
      </right>
      <top/>
      <bottom/>
      <diagonal/>
    </border>
    <border>
      <left style="thick">
        <color theme="0" tint="-0.14993743705557422"/>
      </left>
      <right/>
      <top style="thin">
        <color theme="0" tint="-0.14996795556505021"/>
      </top>
      <bottom style="thin">
        <color theme="0" tint="-0.14996795556505021"/>
      </bottom>
      <diagonal/>
    </border>
    <border>
      <left/>
      <right style="thick">
        <color theme="0" tint="-0.14993743705557422"/>
      </right>
      <top style="thin">
        <color theme="0" tint="-0.14996795556505021"/>
      </top>
      <bottom style="thin">
        <color theme="0" tint="-0.14996795556505021"/>
      </bottom>
      <diagonal/>
    </border>
    <border>
      <left style="thick">
        <color theme="0" tint="-0.14993743705557422"/>
      </left>
      <right style="thin">
        <color theme="0" tint="-0.14996795556505021"/>
      </right>
      <top/>
      <bottom style="thick">
        <color theme="0" tint="-0.14993743705557422"/>
      </bottom>
      <diagonal/>
    </border>
    <border>
      <left style="thin">
        <color theme="0" tint="-0.14996795556505021"/>
      </left>
      <right/>
      <top style="thin">
        <color theme="0" tint="-0.14996795556505021"/>
      </top>
      <bottom style="thick">
        <color theme="0" tint="-0.14993743705557422"/>
      </bottom>
      <diagonal/>
    </border>
    <border>
      <left/>
      <right/>
      <top style="thin">
        <color theme="0" tint="-0.14996795556505021"/>
      </top>
      <bottom style="thick">
        <color theme="0" tint="-0.14993743705557422"/>
      </bottom>
      <diagonal/>
    </border>
    <border>
      <left/>
      <right style="thin">
        <color theme="0" tint="-0.14996795556505021"/>
      </right>
      <top style="thin">
        <color theme="0" tint="-0.14996795556505021"/>
      </top>
      <bottom style="thick">
        <color theme="0" tint="-0.14993743705557422"/>
      </bottom>
      <diagonal/>
    </border>
    <border>
      <left/>
      <right style="thick">
        <color theme="0" tint="-0.14993743705557422"/>
      </right>
      <top style="thin">
        <color theme="0" tint="-0.14996795556505021"/>
      </top>
      <bottom style="thick">
        <color theme="0" tint="-0.14993743705557422"/>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ck">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ck">
        <color theme="0" tint="-0.24994659260841701"/>
      </bottom>
      <diagonal/>
    </border>
    <border>
      <left style="thick">
        <color rgb="FFFFFF00"/>
      </left>
      <right/>
      <top/>
      <bottom/>
      <diagonal/>
    </border>
    <border>
      <left style="thick">
        <color theme="9" tint="-0.24994659260841701"/>
      </left>
      <right/>
      <top style="medium">
        <color theme="9" tint="-0.24994659260841701"/>
      </top>
      <bottom/>
      <diagonal/>
    </border>
    <border>
      <left/>
      <right/>
      <top style="medium">
        <color theme="9" tint="-0.24994659260841701"/>
      </top>
      <bottom/>
      <diagonal/>
    </border>
    <border>
      <left style="thick">
        <color theme="9" tint="-0.24994659260841701"/>
      </left>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style="medium">
        <color theme="9" tint="-0.24994659260841701"/>
      </top>
      <bottom/>
      <diagonal/>
    </border>
    <border>
      <left style="thick">
        <color theme="0" tint="-0.14996795556505021"/>
      </left>
      <right/>
      <top/>
      <bottom/>
      <diagonal/>
    </border>
    <border>
      <left style="thick">
        <color theme="4" tint="0.39994506668294322"/>
      </left>
      <right/>
      <top/>
      <bottom/>
      <diagonal/>
    </border>
    <border>
      <left style="thick">
        <color theme="2" tint="-0.24994659260841701"/>
      </left>
      <right/>
      <top/>
      <bottom/>
      <diagonal/>
    </border>
    <border>
      <left style="thick">
        <color theme="3" tint="0.39994506668294322"/>
      </left>
      <right/>
      <top style="thick">
        <color theme="3" tint="0.39994506668294322"/>
      </top>
      <bottom style="thin">
        <color theme="3" tint="0.39994506668294322"/>
      </bottom>
      <diagonal/>
    </border>
    <border>
      <left/>
      <right/>
      <top style="thick">
        <color theme="3" tint="0.39994506668294322"/>
      </top>
      <bottom style="thin">
        <color theme="3" tint="0.39994506668294322"/>
      </bottom>
      <diagonal/>
    </border>
    <border>
      <left style="thick">
        <color theme="3" tint="0.39994506668294322"/>
      </left>
      <right/>
      <top style="thin">
        <color theme="3" tint="0.39994506668294322"/>
      </top>
      <bottom/>
      <diagonal/>
    </border>
    <border>
      <left/>
      <right/>
      <top style="thin">
        <color theme="3" tint="0.39994506668294322"/>
      </top>
      <bottom/>
      <diagonal/>
    </border>
    <border>
      <left style="thick">
        <color theme="3" tint="0.39994506668294322"/>
      </left>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style="thick">
        <color theme="3" tint="0.39991454817346722"/>
      </left>
      <right/>
      <top/>
      <bottom/>
      <diagonal/>
    </border>
    <border>
      <left style="thick">
        <color theme="2" tint="-0.499984740745262"/>
      </left>
      <right/>
      <top/>
      <bottom/>
      <diagonal/>
    </border>
    <border>
      <left style="thick">
        <color theme="2" tint="-0.499984740745262"/>
      </left>
      <right/>
      <top style="thick">
        <color theme="2" tint="-0.499984740745262"/>
      </top>
      <bottom style="thin">
        <color theme="2" tint="-0.499984740745262"/>
      </bottom>
      <diagonal/>
    </border>
    <border>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ck">
        <color theme="2" tint="-0.499984740745262"/>
      </right>
      <top style="thin">
        <color theme="2" tint="-0.499984740745262"/>
      </top>
      <bottom style="thin">
        <color theme="2" tint="-0.499984740745262"/>
      </bottom>
      <diagonal/>
    </border>
    <border>
      <left style="thick">
        <color theme="2" tint="-0.499984740745262"/>
      </left>
      <right/>
      <top style="thin">
        <color theme="2" tint="-0.499984740745262"/>
      </top>
      <bottom style="thick">
        <color theme="2" tint="-0.499984740745262"/>
      </bottom>
      <diagonal/>
    </border>
    <border>
      <left/>
      <right/>
      <top style="thin">
        <color theme="2" tint="-0.499984740745262"/>
      </top>
      <bottom style="thick">
        <color theme="2" tint="-0.499984740745262"/>
      </bottom>
      <diagonal/>
    </border>
    <border>
      <left/>
      <right style="thick">
        <color theme="2" tint="-0.499984740745262"/>
      </right>
      <top style="thin">
        <color theme="2" tint="-0.499984740745262"/>
      </top>
      <bottom style="thick">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ck">
        <color theme="2" tint="-0.499984740745262"/>
      </right>
      <top style="thin">
        <color theme="2" tint="-0.499984740745262"/>
      </top>
      <bottom style="thick">
        <color theme="2" tint="-0.499984740745262"/>
      </bottom>
      <diagonal/>
    </border>
    <border>
      <left style="thick">
        <color theme="2" tint="-0.499984740745262"/>
      </left>
      <right/>
      <top style="thin">
        <color theme="2" tint="-0.499984740745262"/>
      </top>
      <bottom/>
      <diagonal/>
    </border>
    <border>
      <left/>
      <right/>
      <top style="thin">
        <color theme="2" tint="-0.499984740745262"/>
      </top>
      <bottom/>
      <diagonal/>
    </border>
    <border>
      <left style="thick">
        <color theme="2" tint="-0.499984740745262"/>
      </left>
      <right/>
      <top/>
      <bottom style="thick">
        <color theme="2" tint="-0.499984740745262"/>
      </bottom>
      <diagonal/>
    </border>
    <border>
      <left/>
      <right/>
      <top/>
      <bottom style="thick">
        <color theme="2" tint="-0.499984740745262"/>
      </bottom>
      <diagonal/>
    </border>
    <border>
      <left style="thick">
        <color theme="8" tint="0.59996337778862885"/>
      </left>
      <right/>
      <top/>
      <bottom/>
      <diagonal/>
    </border>
    <border>
      <left style="thick">
        <color theme="8" tint="0.39994506668294322"/>
      </left>
      <right style="thin">
        <color theme="8" tint="-0.24994659260841701"/>
      </right>
      <top/>
      <bottom/>
      <diagonal/>
    </border>
    <border>
      <left style="thin">
        <color theme="8" tint="-0.24994659260841701"/>
      </left>
      <right style="thin">
        <color theme="8" tint="-0.24994659260841701"/>
      </right>
      <top/>
      <bottom/>
      <diagonal/>
    </border>
    <border>
      <left style="thin">
        <color theme="8" tint="-0.24994659260841701"/>
      </left>
      <right style="thick">
        <color theme="8" tint="0.39994506668294322"/>
      </right>
      <top/>
      <bottom/>
      <diagonal/>
    </border>
    <border>
      <left style="thick">
        <color theme="8" tint="0.39994506668294322"/>
      </left>
      <right/>
      <top style="thick">
        <color theme="8" tint="0.39994506668294322"/>
      </top>
      <bottom/>
      <diagonal/>
    </border>
    <border>
      <left style="thick">
        <color theme="8" tint="0.39994506668294322"/>
      </left>
      <right/>
      <top/>
      <bottom/>
      <diagonal/>
    </border>
    <border>
      <left/>
      <right style="thin">
        <color theme="8" tint="-0.24994659260841701"/>
      </right>
      <top style="thin">
        <color theme="8" tint="0.39994506668294322"/>
      </top>
      <bottom style="thin">
        <color theme="8" tint="0.39994506668294322"/>
      </bottom>
      <diagonal/>
    </border>
    <border>
      <left style="thin">
        <color theme="8" tint="-0.24994659260841701"/>
      </left>
      <right style="thin">
        <color theme="8" tint="-0.24994659260841701"/>
      </right>
      <top style="thin">
        <color theme="8" tint="0.39994506668294322"/>
      </top>
      <bottom style="thin">
        <color theme="8" tint="0.39994506668294322"/>
      </bottom>
      <diagonal/>
    </border>
    <border>
      <left style="thin">
        <color theme="8" tint="-0.24994659260841701"/>
      </left>
      <right style="thick">
        <color theme="8" tint="0.39994506668294322"/>
      </right>
      <top style="thin">
        <color theme="8" tint="0.39994506668294322"/>
      </top>
      <bottom style="thin">
        <color theme="8" tint="0.39994506668294322"/>
      </bottom>
      <diagonal/>
    </border>
    <border>
      <left style="thick">
        <color theme="8" tint="0.39994506668294322"/>
      </left>
      <right/>
      <top/>
      <bottom style="thick">
        <color theme="8" tint="0.39994506668294322"/>
      </bottom>
      <diagonal/>
    </border>
    <border>
      <left/>
      <right style="thin">
        <color theme="8" tint="-0.24994659260841701"/>
      </right>
      <top style="thin">
        <color theme="8" tint="0.39991454817346722"/>
      </top>
      <bottom style="thin">
        <color theme="8" tint="0.39991454817346722"/>
      </bottom>
      <diagonal/>
    </border>
    <border>
      <left style="thin">
        <color theme="8" tint="-0.24994659260841701"/>
      </left>
      <right style="thin">
        <color theme="8" tint="-0.24994659260841701"/>
      </right>
      <top style="thin">
        <color theme="8" tint="0.39991454817346722"/>
      </top>
      <bottom style="thin">
        <color theme="8" tint="0.39991454817346722"/>
      </bottom>
      <diagonal/>
    </border>
    <border>
      <left style="thin">
        <color theme="8" tint="-0.24994659260841701"/>
      </left>
      <right style="thick">
        <color theme="8" tint="0.39994506668294322"/>
      </right>
      <top style="thin">
        <color theme="8" tint="0.39991454817346722"/>
      </top>
      <bottom style="thin">
        <color theme="8" tint="0.39991454817346722"/>
      </bottom>
      <diagonal/>
    </border>
    <border>
      <left style="thick">
        <color theme="8" tint="0.39994506668294322"/>
      </left>
      <right/>
      <top style="medium">
        <color theme="8" tint="0.39994506668294322"/>
      </top>
      <bottom/>
      <diagonal/>
    </border>
    <border>
      <left style="thick">
        <color theme="8" tint="0.39994506668294322"/>
      </left>
      <right/>
      <top/>
      <bottom style="medium">
        <color theme="8" tint="0.39994506668294322"/>
      </bottom>
      <diagonal/>
    </border>
    <border>
      <left style="thick">
        <color theme="8" tint="0.39994506668294322"/>
      </left>
      <right style="thin">
        <color theme="8" tint="-0.24994659260841701"/>
      </right>
      <top style="thick">
        <color theme="8" tint="0.39994506668294322"/>
      </top>
      <bottom style="medium">
        <color theme="8" tint="0.39991454817346722"/>
      </bottom>
      <diagonal/>
    </border>
    <border>
      <left style="thin">
        <color theme="8" tint="-0.24994659260841701"/>
      </left>
      <right style="thin">
        <color theme="8" tint="-0.24994659260841701"/>
      </right>
      <top style="thick">
        <color theme="8" tint="0.39994506668294322"/>
      </top>
      <bottom style="medium">
        <color theme="8" tint="0.39991454817346722"/>
      </bottom>
      <diagonal/>
    </border>
    <border>
      <left style="thin">
        <color theme="8" tint="-0.24994659260841701"/>
      </left>
      <right style="thick">
        <color theme="8" tint="0.39994506668294322"/>
      </right>
      <top style="thick">
        <color theme="8" tint="0.39994506668294322"/>
      </top>
      <bottom style="medium">
        <color theme="8" tint="0.39991454817346722"/>
      </bottom>
      <diagonal/>
    </border>
    <border>
      <left/>
      <right/>
      <top style="thick">
        <color theme="8" tint="0.39994506668294322"/>
      </top>
      <bottom style="thick">
        <color theme="8" tint="0.39994506668294322"/>
      </bottom>
      <diagonal/>
    </border>
    <border>
      <left/>
      <right/>
      <top style="thick">
        <color theme="8" tint="0.39994506668294322"/>
      </top>
      <bottom/>
      <diagonal/>
    </border>
    <border>
      <left/>
      <right/>
      <top/>
      <bottom style="thick">
        <color theme="8" tint="0.39994506668294322"/>
      </bottom>
      <diagonal/>
    </border>
    <border>
      <left style="thick">
        <color theme="5" tint="0.39994506668294322"/>
      </left>
      <right/>
      <top style="thick">
        <color theme="5" tint="0.39994506668294322"/>
      </top>
      <bottom style="thin">
        <color theme="5" tint="0.39994506668294322"/>
      </bottom>
      <diagonal/>
    </border>
    <border>
      <left/>
      <right/>
      <top style="thick">
        <color theme="5" tint="0.39994506668294322"/>
      </top>
      <bottom style="thin">
        <color theme="5" tint="0.39994506668294322"/>
      </bottom>
      <diagonal/>
    </border>
    <border>
      <left/>
      <right style="thick">
        <color theme="5" tint="0.39994506668294322"/>
      </right>
      <top style="thick">
        <color theme="5" tint="0.39994506668294322"/>
      </top>
      <bottom style="thin">
        <color theme="5" tint="0.39994506668294322"/>
      </bottom>
      <diagonal/>
    </border>
    <border>
      <left style="thick">
        <color theme="5" tint="0.39994506668294322"/>
      </left>
      <right/>
      <top style="thin">
        <color theme="5" tint="0.39994506668294322"/>
      </top>
      <bottom style="thin">
        <color theme="5" tint="0.39994506668294322"/>
      </bottom>
      <diagonal/>
    </border>
    <border>
      <left/>
      <right/>
      <top style="thin">
        <color theme="5" tint="0.39994506668294322"/>
      </top>
      <bottom style="thin">
        <color theme="5" tint="0.39994506668294322"/>
      </bottom>
      <diagonal/>
    </border>
    <border>
      <left/>
      <right style="thick">
        <color theme="5" tint="0.39994506668294322"/>
      </right>
      <top style="thin">
        <color theme="5" tint="0.39994506668294322"/>
      </top>
      <bottom style="thin">
        <color theme="5" tint="0.39994506668294322"/>
      </bottom>
      <diagonal/>
    </border>
    <border>
      <left style="thick">
        <color theme="5" tint="0.39994506668294322"/>
      </left>
      <right/>
      <top style="thin">
        <color theme="5" tint="0.39994506668294322"/>
      </top>
      <bottom style="thick">
        <color theme="5" tint="0.39994506668294322"/>
      </bottom>
      <diagonal/>
    </border>
    <border>
      <left/>
      <right/>
      <top style="thin">
        <color theme="5" tint="0.39994506668294322"/>
      </top>
      <bottom style="thick">
        <color theme="5" tint="0.39994506668294322"/>
      </bottom>
      <diagonal/>
    </border>
    <border>
      <left/>
      <right style="thick">
        <color theme="5" tint="0.39994506668294322"/>
      </right>
      <top style="thin">
        <color theme="5" tint="0.39994506668294322"/>
      </top>
      <bottom style="thick">
        <color theme="5" tint="0.39994506668294322"/>
      </bottom>
      <diagonal/>
    </border>
    <border>
      <left style="thick">
        <color theme="5" tint="0.39994506668294322"/>
      </left>
      <right style="thin">
        <color theme="5" tint="-0.24994659260841701"/>
      </right>
      <top style="thick">
        <color theme="5" tint="0.39994506668294322"/>
      </top>
      <bottom style="thin">
        <color theme="5" tint="0.39994506668294322"/>
      </bottom>
      <diagonal/>
    </border>
    <border>
      <left style="thin">
        <color theme="5" tint="-0.24994659260841701"/>
      </left>
      <right style="thin">
        <color theme="5" tint="-0.24994659260841701"/>
      </right>
      <top style="thick">
        <color theme="5" tint="0.39994506668294322"/>
      </top>
      <bottom style="thin">
        <color theme="5" tint="0.39994506668294322"/>
      </bottom>
      <diagonal/>
    </border>
    <border>
      <left style="thin">
        <color theme="5" tint="-0.24994659260841701"/>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24994659260841701"/>
      </right>
      <top style="thin">
        <color theme="5" tint="0.39994506668294322"/>
      </top>
      <bottom style="thin">
        <color theme="5" tint="0.39994506668294322"/>
      </bottom>
      <diagonal/>
    </border>
    <border>
      <left style="thin">
        <color theme="5" tint="-0.24994659260841701"/>
      </left>
      <right style="thin">
        <color theme="5" tint="-0.24994659260841701"/>
      </right>
      <top style="thin">
        <color theme="5" tint="0.39994506668294322"/>
      </top>
      <bottom style="thin">
        <color theme="5" tint="0.39994506668294322"/>
      </bottom>
      <diagonal/>
    </border>
    <border>
      <left style="thin">
        <color theme="5" tint="-0.24994659260841701"/>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24994659260841701"/>
      </right>
      <top style="thin">
        <color theme="5" tint="0.39994506668294322"/>
      </top>
      <bottom style="thick">
        <color theme="5" tint="0.39994506668294322"/>
      </bottom>
      <diagonal/>
    </border>
    <border>
      <left style="thin">
        <color theme="5" tint="-0.24994659260841701"/>
      </left>
      <right style="thin">
        <color theme="5" tint="-0.24994659260841701"/>
      </right>
      <top style="thin">
        <color theme="5" tint="0.39994506668294322"/>
      </top>
      <bottom style="thick">
        <color theme="5" tint="0.39994506668294322"/>
      </bottom>
      <diagonal/>
    </border>
    <border>
      <left style="thin">
        <color theme="5" tint="-0.24994659260841701"/>
      </left>
      <right style="thick">
        <color theme="5" tint="0.39994506668294322"/>
      </right>
      <top style="thin">
        <color theme="5" tint="0.39994506668294322"/>
      </top>
      <bottom style="thick">
        <color theme="5" tint="0.39994506668294322"/>
      </bottom>
      <diagonal/>
    </border>
    <border>
      <left style="thick">
        <color theme="5" tint="0.39994506668294322"/>
      </left>
      <right style="thin">
        <color theme="5" tint="-0.24994659260841701"/>
      </right>
      <top style="thick">
        <color theme="5" tint="0.39994506668294322"/>
      </top>
      <bottom/>
      <diagonal/>
    </border>
    <border>
      <left style="thin">
        <color theme="5" tint="-0.24994659260841701"/>
      </left>
      <right style="thin">
        <color theme="5" tint="-0.24994659260841701"/>
      </right>
      <top style="thick">
        <color theme="5" tint="0.39994506668294322"/>
      </top>
      <bottom/>
      <diagonal/>
    </border>
    <border>
      <left style="thin">
        <color theme="5" tint="-0.24994659260841701"/>
      </left>
      <right style="thick">
        <color theme="5" tint="0.39994506668294322"/>
      </right>
      <top style="thick">
        <color theme="5" tint="0.39994506668294322"/>
      </top>
      <bottom/>
      <diagonal/>
    </border>
    <border>
      <left style="thick">
        <color theme="5" tint="0.39994506668294322"/>
      </left>
      <right style="thin">
        <color theme="5" tint="-0.24994659260841701"/>
      </right>
      <top/>
      <bottom style="thin">
        <color theme="5" tint="0.39994506668294322"/>
      </bottom>
      <diagonal/>
    </border>
    <border>
      <left style="thin">
        <color theme="5" tint="-0.24994659260841701"/>
      </left>
      <right style="thin">
        <color theme="5" tint="-0.24994659260841701"/>
      </right>
      <top/>
      <bottom style="thin">
        <color theme="5" tint="0.39994506668294322"/>
      </bottom>
      <diagonal/>
    </border>
    <border>
      <left style="thin">
        <color theme="5" tint="-0.24994659260841701"/>
      </left>
      <right style="thick">
        <color theme="5" tint="0.39994506668294322"/>
      </right>
      <top/>
      <bottom style="thin">
        <color theme="5" tint="0.39994506668294322"/>
      </bottom>
      <diagonal/>
    </border>
    <border>
      <left style="thick">
        <color theme="5" tint="0.39994506668294322"/>
      </left>
      <right style="thin">
        <color theme="5" tint="-0.24994659260841701"/>
      </right>
      <top style="medium">
        <color theme="5" tint="0.39991454817346722"/>
      </top>
      <bottom style="medium">
        <color theme="5" tint="0.39991454817346722"/>
      </bottom>
      <diagonal/>
    </border>
    <border>
      <left style="thin">
        <color theme="5" tint="-0.24994659260841701"/>
      </left>
      <right style="thin">
        <color theme="5" tint="-0.24994659260841701"/>
      </right>
      <top style="medium">
        <color theme="5" tint="0.39991454817346722"/>
      </top>
      <bottom style="medium">
        <color theme="5" tint="0.39991454817346722"/>
      </bottom>
      <diagonal/>
    </border>
    <border>
      <left style="thin">
        <color theme="5" tint="-0.24994659260841701"/>
      </left>
      <right style="thick">
        <color theme="5" tint="0.39994506668294322"/>
      </right>
      <top style="medium">
        <color theme="5" tint="0.39991454817346722"/>
      </top>
      <bottom style="medium">
        <color theme="5" tint="0.39991454817346722"/>
      </bottom>
      <diagonal/>
    </border>
    <border>
      <left/>
      <right/>
      <top/>
      <bottom style="thick">
        <color theme="5" tint="0.39994506668294322"/>
      </bottom>
      <diagonal/>
    </border>
    <border>
      <left style="thick">
        <color rgb="FFC00000"/>
      </left>
      <right/>
      <top style="thick">
        <color rgb="FFC00000"/>
      </top>
      <bottom style="thick">
        <color rgb="FFC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FFC000"/>
      </left>
      <right/>
      <top style="thin">
        <color rgb="FFFFC000"/>
      </top>
      <bottom style="medium">
        <color rgb="FFFFC000"/>
      </bottom>
      <diagonal/>
    </border>
    <border>
      <left/>
      <right/>
      <top style="thin">
        <color rgb="FFFFC000"/>
      </top>
      <bottom style="medium">
        <color rgb="FFFFC000"/>
      </bottom>
      <diagonal/>
    </border>
    <border>
      <left/>
      <right style="thick">
        <color rgb="FFFFC000"/>
      </right>
      <top style="thin">
        <color rgb="FFFFC000"/>
      </top>
      <bottom style="medium">
        <color rgb="FFFFC000"/>
      </bottom>
      <diagonal/>
    </border>
    <border>
      <left/>
      <right/>
      <top style="thin">
        <color rgb="FFFFC000"/>
      </top>
      <bottom style="thick">
        <color rgb="FFFFC000"/>
      </bottom>
      <diagonal/>
    </border>
    <border>
      <left/>
      <right style="thin">
        <color rgb="FFFFC000"/>
      </right>
      <top style="thin">
        <color rgb="FFFFC000"/>
      </top>
      <bottom style="thick">
        <color rgb="FFFFC000"/>
      </bottom>
      <diagonal/>
    </border>
    <border>
      <left/>
      <right style="thin">
        <color rgb="FFFFC000"/>
      </right>
      <top style="thick">
        <color rgb="FFFFC000"/>
      </top>
      <bottom style="thin">
        <color rgb="FFFFC000"/>
      </bottom>
      <diagonal/>
    </border>
    <border>
      <left style="thick">
        <color rgb="FFFFC000"/>
      </left>
      <right style="thin">
        <color rgb="FFFFC000"/>
      </right>
      <top style="thin">
        <color rgb="FFFFC000"/>
      </top>
      <bottom/>
      <diagonal/>
    </border>
    <border>
      <left style="thin">
        <color rgb="FFFFC000"/>
      </left>
      <right style="thick">
        <color rgb="FFFFC000"/>
      </right>
      <top style="thin">
        <color rgb="FFFFC000"/>
      </top>
      <bottom/>
      <diagonal/>
    </border>
    <border>
      <left style="thin">
        <color rgb="FFFFC000"/>
      </left>
      <right style="thin">
        <color rgb="FFFFC000"/>
      </right>
      <top/>
      <bottom style="thick">
        <color rgb="FFFFC000"/>
      </bottom>
      <diagonal/>
    </border>
    <border>
      <left style="thin">
        <color rgb="FFFFC000"/>
      </left>
      <right/>
      <top/>
      <bottom style="thick">
        <color rgb="FFFFC000"/>
      </bottom>
      <diagonal/>
    </border>
    <border>
      <left/>
      <right/>
      <top style="thick">
        <color rgb="FFFFC000"/>
      </top>
      <bottom/>
      <diagonal/>
    </border>
    <border>
      <left/>
      <right style="thin">
        <color rgb="FFFFC000"/>
      </right>
      <top style="thick">
        <color rgb="FFFFC000"/>
      </top>
      <bottom/>
      <diagonal/>
    </border>
    <border>
      <left/>
      <right style="thin">
        <color rgb="FFFFC000"/>
      </right>
      <top/>
      <bottom style="thick">
        <color rgb="FFFFC000"/>
      </bottom>
      <diagonal/>
    </border>
    <border>
      <left style="thick">
        <color rgb="FFFFC000"/>
      </left>
      <right/>
      <top style="thin">
        <color rgb="FFFFC000"/>
      </top>
      <bottom style="thick">
        <color rgb="FFFFC000"/>
      </bottom>
      <diagonal/>
    </border>
    <border>
      <left style="thin">
        <color rgb="FFFFC000"/>
      </left>
      <right/>
      <top style="thick">
        <color rgb="FFFFC000"/>
      </top>
      <bottom/>
      <diagonal/>
    </border>
    <border>
      <left/>
      <right style="thick">
        <color rgb="FFFFC000"/>
      </right>
      <top style="thick">
        <color rgb="FFFFC000"/>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style="thick">
        <color theme="2" tint="-0.499984740745262"/>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thin">
        <color theme="2" tint="-0.499984740745262"/>
      </left>
      <right/>
      <top style="thick">
        <color theme="2" tint="-0.499984740745262"/>
      </top>
      <bottom style="thin">
        <color theme="2" tint="-0.499984740745262"/>
      </bottom>
      <diagonal/>
    </border>
    <border>
      <left/>
      <right style="thin">
        <color theme="2" tint="-0.499984740745262"/>
      </right>
      <top style="thick">
        <color theme="2" tint="-0.499984740745262"/>
      </top>
      <bottom style="thin">
        <color theme="2"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ck">
        <color theme="2" tint="-0.499984740745262"/>
      </left>
      <right/>
      <top/>
      <bottom style="thin">
        <color theme="2" tint="-0.499984740745262"/>
      </bottom>
      <diagonal/>
    </border>
    <border>
      <left/>
      <right/>
      <top/>
      <bottom style="thin">
        <color theme="2" tint="-0.499984740745262"/>
      </bottom>
      <diagonal/>
    </border>
    <border>
      <left/>
      <right style="thick">
        <color theme="2" tint="-0.499984740745262"/>
      </right>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top style="thin">
        <color theme="2" tint="-0.499984740745262"/>
      </top>
      <bottom style="medium">
        <color theme="2" tint="-0.499984740745262"/>
      </bottom>
      <diagonal/>
    </border>
    <border>
      <left style="thick">
        <color theme="6" tint="0.59996337778862885"/>
      </left>
      <right/>
      <top/>
      <bottom/>
      <diagonal/>
    </border>
    <border>
      <left/>
      <right/>
      <top style="thick">
        <color theme="2" tint="-0.499984740745262"/>
      </top>
      <bottom/>
      <diagonal/>
    </border>
    <border>
      <left style="thick">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style="thick">
        <color theme="2" tint="-0.499984740745262"/>
      </top>
      <bottom style="thick">
        <color theme="2" tint="-0.499984740745262"/>
      </bottom>
      <diagonal/>
    </border>
    <border>
      <left/>
      <right style="thin">
        <color theme="2" tint="-0.499984740745262"/>
      </right>
      <top style="thick">
        <color theme="2" tint="-0.499984740745262"/>
      </top>
      <bottom style="thick">
        <color theme="2" tint="-0.499984740745262"/>
      </bottom>
      <diagonal/>
    </border>
    <border>
      <left/>
      <right style="thick">
        <color theme="2" tint="-0.499984740745262"/>
      </right>
      <top/>
      <bottom/>
      <diagonal/>
    </border>
    <border>
      <left style="thin">
        <color theme="2" tint="-0.499984740745262"/>
      </left>
      <right/>
      <top style="thick">
        <color theme="2" tint="-0.499984740745262"/>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
      <left style="medium">
        <color rgb="FF92D050"/>
      </left>
      <right/>
      <top style="thick">
        <color rgb="FF92D050"/>
      </top>
      <bottom/>
      <diagonal/>
    </border>
    <border>
      <left/>
      <right style="medium">
        <color rgb="FF92D050"/>
      </right>
      <top style="thick">
        <color rgb="FF92D050"/>
      </top>
      <bottom/>
      <diagonal/>
    </border>
    <border>
      <left style="medium">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medium">
        <color rgb="FF92D050"/>
      </left>
      <right/>
      <top style="thin">
        <color rgb="FF92D050"/>
      </top>
      <bottom style="thin">
        <color rgb="FF92D050"/>
      </bottom>
      <diagonal/>
    </border>
    <border>
      <left/>
      <right style="medium">
        <color rgb="FF92D050"/>
      </right>
      <top style="thin">
        <color rgb="FF92D050"/>
      </top>
      <bottom style="thin">
        <color rgb="FF92D050"/>
      </bottom>
      <diagonal/>
    </border>
    <border>
      <left/>
      <right style="thick">
        <color rgb="FF92D050"/>
      </right>
      <top style="thick">
        <color rgb="FF92D050"/>
      </top>
      <bottom style="thick">
        <color rgb="FF92D050"/>
      </bottom>
      <diagonal/>
    </border>
    <border>
      <left/>
      <right style="thin">
        <color rgb="FFFFC000"/>
      </right>
      <top style="thin">
        <color rgb="FFFFC000"/>
      </top>
      <bottom style="thin">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n">
        <color rgb="FFFFC000"/>
      </right>
      <top style="thick">
        <color rgb="FFFFC000"/>
      </top>
      <bottom style="thick">
        <color rgb="FFFFC000"/>
      </bottom>
      <diagonal/>
    </border>
    <border>
      <left style="thin">
        <color rgb="FFFFC000"/>
      </left>
      <right/>
      <top style="thick">
        <color rgb="FFFFC000"/>
      </top>
      <bottom style="thin">
        <color rgb="FFFFC000"/>
      </bottom>
      <diagonal/>
    </border>
    <border>
      <left style="thin">
        <color rgb="FFFFC000"/>
      </left>
      <right/>
      <top style="thin">
        <color rgb="FFFFC000"/>
      </top>
      <bottom style="thick">
        <color rgb="FFFFC000"/>
      </bottom>
      <diagonal/>
    </border>
    <border>
      <left/>
      <right style="thick">
        <color rgb="FFFFC000"/>
      </right>
      <top style="thin">
        <color rgb="FFFFC000"/>
      </top>
      <bottom style="thick">
        <color rgb="FFFFC000"/>
      </bottom>
      <diagonal/>
    </border>
    <border>
      <left/>
      <right style="thin">
        <color rgb="FFFFC000"/>
      </right>
      <top style="thin">
        <color rgb="FFFFC000"/>
      </top>
      <bottom/>
      <diagonal/>
    </border>
    <border>
      <left style="thick">
        <color theme="9" tint="-0.24994659260841701"/>
      </left>
      <right/>
      <top style="medium">
        <color theme="9" tint="-0.24994659260841701"/>
      </top>
      <bottom style="thin">
        <color theme="9" tint="-0.24994659260841701"/>
      </bottom>
      <diagonal/>
    </border>
    <border>
      <left/>
      <right style="medium">
        <color theme="9" tint="-0.24994659260841701"/>
      </right>
      <top style="medium">
        <color theme="9" tint="-0.24994659260841701"/>
      </top>
      <bottom style="thin">
        <color theme="9" tint="-0.24994659260841701"/>
      </bottom>
      <diagonal/>
    </border>
    <border>
      <left style="thick">
        <color theme="9" tint="-0.24994659260841701"/>
      </left>
      <right/>
      <top style="thin">
        <color theme="9" tint="-0.24994659260841701"/>
      </top>
      <bottom style="medium">
        <color theme="9" tint="-0.24994659260841701"/>
      </bottom>
      <diagonal/>
    </border>
    <border>
      <left/>
      <right style="medium">
        <color theme="9" tint="-0.24994659260841701"/>
      </right>
      <top style="thin">
        <color theme="9" tint="-0.24994659260841701"/>
      </top>
      <bottom style="medium">
        <color theme="9" tint="-0.24994659260841701"/>
      </bottom>
      <diagonal/>
    </border>
    <border>
      <left/>
      <right style="thin">
        <color theme="9" tint="-0.24994659260841701"/>
      </right>
      <top/>
      <bottom/>
      <diagonal/>
    </border>
    <border>
      <left style="thin">
        <color theme="9" tint="-0.24994659260841701"/>
      </left>
      <right style="thin">
        <color theme="9" tint="-0.24994659260841701"/>
      </right>
      <top/>
      <bottom/>
      <diagonal/>
    </border>
    <border>
      <left/>
      <right/>
      <top style="medium">
        <color theme="9" tint="-0.24994659260841701"/>
      </top>
      <bottom style="medium">
        <color theme="9" tint="-0.24994659260841701"/>
      </bottom>
      <diagonal/>
    </border>
    <border>
      <left/>
      <right style="thin">
        <color theme="9" tint="-0.24994659260841701"/>
      </right>
      <top style="thin">
        <color theme="9" tint="-0.24994659260841701"/>
      </top>
      <bottom/>
      <diagonal/>
    </border>
    <border>
      <left/>
      <right style="thin">
        <color theme="9" tint="-0.24994659260841701"/>
      </right>
      <top/>
      <bottom style="thin">
        <color theme="9" tint="-0.24994659260841701"/>
      </bottom>
      <diagonal/>
    </border>
    <border>
      <left style="thin">
        <color theme="3" tint="0.39994506668294322"/>
      </left>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499984740745262"/>
      </bottom>
      <diagonal/>
    </border>
    <border>
      <left/>
      <right style="thick">
        <color theme="2" tint="-0.499984740745262"/>
      </right>
      <top style="thin">
        <color theme="2" tint="-0.499984740745262"/>
      </top>
      <bottom/>
      <diagonal/>
    </border>
    <border>
      <left/>
      <right style="thick">
        <color theme="2" tint="-0.499984740745262"/>
      </right>
      <top/>
      <bottom style="thick">
        <color theme="2" tint="-0.499984740745262"/>
      </bottom>
      <diagonal/>
    </border>
    <border>
      <left style="medium">
        <color theme="2" tint="-0.499984740745262"/>
      </left>
      <right/>
      <top style="thin">
        <color theme="2" tint="-0.499984740745262"/>
      </top>
      <bottom style="thin">
        <color theme="2" tint="-0.499984740745262"/>
      </bottom>
      <diagonal/>
    </border>
    <border>
      <left/>
      <right style="thin">
        <color theme="2" tint="-0.499984740745262"/>
      </right>
      <top style="thick">
        <color theme="2" tint="-0.499984740745262"/>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medium">
        <color theme="0" tint="-0.24994659260841701"/>
      </left>
      <right/>
      <top style="thick">
        <color theme="0" tint="-0.24994659260841701"/>
      </top>
      <bottom style="thin">
        <color theme="0" tint="-0.24994659260841701"/>
      </bottom>
      <diagonal/>
    </border>
    <border>
      <left/>
      <right style="thick">
        <color theme="0" tint="-0.24994659260841701"/>
      </right>
      <top style="thick">
        <color theme="0" tint="-0.24994659260841701"/>
      </top>
      <bottom style="thin">
        <color theme="0" tint="-0.24994659260841701"/>
      </bottom>
      <diagonal/>
    </border>
    <border>
      <left style="thick">
        <color theme="0" tint="-0.24994659260841701"/>
      </left>
      <right/>
      <top style="thick">
        <color theme="0" tint="-0.24994659260841701"/>
      </top>
      <bottom style="thin">
        <color theme="0" tint="-0.24994659260841701"/>
      </bottom>
      <diagonal/>
    </border>
    <border>
      <left style="thick">
        <color indexed="30"/>
      </left>
      <right/>
      <top/>
      <bottom/>
      <diagonal/>
    </border>
    <border>
      <left style="thick">
        <color indexed="62"/>
      </left>
      <right style="thick">
        <color indexed="62"/>
      </right>
      <top style="thick">
        <color indexed="62"/>
      </top>
      <bottom style="thick">
        <color indexed="62"/>
      </bottom>
      <diagonal/>
    </border>
    <border>
      <left style="medium">
        <color rgb="FF0070C0"/>
      </left>
      <right style="medium">
        <color rgb="FF0070C0"/>
      </right>
      <top style="medium">
        <color rgb="FF0070C0"/>
      </top>
      <bottom/>
      <diagonal/>
    </border>
    <border>
      <left style="thick">
        <color indexed="62"/>
      </left>
      <right style="thick">
        <color indexed="62"/>
      </right>
      <top/>
      <bottom style="dashed">
        <color indexed="62"/>
      </bottom>
      <diagonal/>
    </border>
    <border>
      <left style="thick">
        <color indexed="62"/>
      </left>
      <right style="thick">
        <color indexed="62"/>
      </right>
      <top style="dashed">
        <color indexed="62"/>
      </top>
      <bottom style="dashed">
        <color indexed="62"/>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thick">
        <color indexed="62"/>
      </left>
      <right style="thick">
        <color indexed="62"/>
      </right>
      <top/>
      <bottom/>
      <diagonal/>
    </border>
    <border>
      <left style="thick">
        <color indexed="62"/>
      </left>
      <right style="thick">
        <color indexed="62"/>
      </right>
      <top/>
      <bottom style="thick">
        <color indexed="62"/>
      </bottom>
      <diagonal/>
    </border>
    <border>
      <left style="thick">
        <color indexed="30"/>
      </left>
      <right/>
      <top/>
      <bottom style="thick">
        <color indexed="62"/>
      </bottom>
      <diagonal/>
    </border>
    <border>
      <left style="thick">
        <color indexed="62"/>
      </left>
      <right/>
      <top style="thick">
        <color indexed="62"/>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2"/>
      </left>
      <right style="medium">
        <color indexed="62"/>
      </right>
      <top style="medium">
        <color indexed="62"/>
      </top>
      <bottom style="medium">
        <color indexed="62"/>
      </bottom>
      <diagonal/>
    </border>
    <border>
      <left style="medium">
        <color rgb="FF0070C0"/>
      </left>
      <right style="medium">
        <color rgb="FF0070C0"/>
      </right>
      <top style="medium">
        <color rgb="FF0070C0"/>
      </top>
      <bottom style="medium">
        <color rgb="FF0070C0"/>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rgb="FF0070C0"/>
      </left>
      <right style="medium">
        <color rgb="FF0070C0"/>
      </right>
      <top style="thick">
        <color indexed="62"/>
      </top>
      <bottom/>
      <diagonal/>
    </border>
    <border>
      <left style="medium">
        <color rgb="FF0070C0"/>
      </left>
      <right style="medium">
        <color auto="1"/>
      </right>
      <top/>
      <bottom style="medium">
        <color rgb="FF0070C0"/>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medium">
        <color rgb="FF00B050"/>
      </left>
      <right style="medium">
        <color rgb="FF00B050"/>
      </right>
      <top style="thick">
        <color rgb="FF00B050"/>
      </top>
      <bottom/>
      <diagonal/>
    </border>
    <border>
      <left style="medium">
        <color rgb="FF00B050"/>
      </left>
      <right style="medium">
        <color rgb="FF00B050"/>
      </right>
      <top/>
      <bottom/>
      <diagonal/>
    </border>
    <border>
      <left style="medium">
        <color rgb="FF00B050"/>
      </left>
      <right style="medium">
        <color rgb="FF00B050"/>
      </right>
      <top/>
      <bottom style="thick">
        <color rgb="FF00B050"/>
      </bottom>
      <diagonal/>
    </border>
    <border>
      <left style="medium">
        <color theme="9" tint="-0.24994659260841701"/>
      </left>
      <right style="thin">
        <color theme="9" tint="-0.24994659260841701"/>
      </right>
      <top/>
      <bottom style="thin">
        <color theme="9" tint="-0.24994659260841701"/>
      </bottom>
      <diagonal/>
    </border>
    <border>
      <left style="medium">
        <color theme="9" tint="-0.24994659260841701"/>
      </left>
      <right style="thin">
        <color theme="9" tint="-0.24994659260841701"/>
      </right>
      <top style="medium">
        <color theme="9" tint="-0.24994659260841701"/>
      </top>
      <bottom style="medium">
        <color theme="9" tint="-0.24994659260841701"/>
      </bottom>
      <diagonal/>
    </border>
    <border>
      <left style="thin">
        <color theme="9" tint="-0.24994659260841701"/>
      </left>
      <right style="thick">
        <color theme="9" tint="-0.24994659260841701"/>
      </right>
      <top style="medium">
        <color theme="9" tint="-0.24994659260841701"/>
      </top>
      <bottom/>
      <diagonal/>
    </border>
    <border>
      <left style="medium">
        <color theme="9" tint="-0.24994659260841701"/>
      </left>
      <right style="thin">
        <color theme="9" tint="-0.24994659260841701"/>
      </right>
      <top style="thick">
        <color theme="9" tint="-0.24994659260841701"/>
      </top>
      <bottom style="medium">
        <color theme="9" tint="-0.24994659260841701"/>
      </bottom>
      <diagonal/>
    </border>
    <border>
      <left style="thin">
        <color theme="9" tint="-0.24994659260841701"/>
      </left>
      <right style="thin">
        <color theme="9" tint="-0.24994659260841701"/>
      </right>
      <top style="thick">
        <color theme="9" tint="-0.24994659260841701"/>
      </top>
      <bottom style="medium">
        <color theme="9" tint="-0.24994659260841701"/>
      </bottom>
      <diagonal/>
    </border>
    <border>
      <left style="thin">
        <color theme="9" tint="-0.24994659260841701"/>
      </left>
      <right style="thick">
        <color theme="9" tint="-0.24994659260841701"/>
      </right>
      <top style="thick">
        <color theme="9" tint="-0.24994659260841701"/>
      </top>
      <bottom style="medium">
        <color theme="9" tint="-0.24994659260841701"/>
      </bottom>
      <diagonal/>
    </border>
    <border>
      <left/>
      <right style="thick">
        <color theme="9" tint="-0.24994659260841701"/>
      </right>
      <top style="medium">
        <color theme="9" tint="-0.24994659260841701"/>
      </top>
      <bottom style="medium">
        <color theme="9" tint="-0.24994659260841701"/>
      </bottom>
      <diagonal/>
    </border>
    <border>
      <left style="thick">
        <color theme="9" tint="-0.24994659260841701"/>
      </left>
      <right/>
      <top style="medium">
        <color theme="9" tint="-0.24994659260841701"/>
      </top>
      <bottom style="medium">
        <color theme="9" tint="-0.24994659260841701"/>
      </bottom>
      <diagonal/>
    </border>
    <border>
      <left/>
      <right style="thin">
        <color theme="9" tint="-0.24994659260841701"/>
      </right>
      <top style="thick">
        <color theme="9" tint="-0.24994659260841701"/>
      </top>
      <bottom style="medium">
        <color theme="9" tint="-0.24994659260841701"/>
      </bottom>
      <diagonal/>
    </border>
    <border>
      <left style="thin">
        <color theme="9" tint="-0.24994659260841701"/>
      </left>
      <right style="medium">
        <color theme="9" tint="-0.24994659260841701"/>
      </right>
      <top style="thick">
        <color theme="9" tint="-0.24994659260841701"/>
      </top>
      <bottom style="medium">
        <color theme="9" tint="-0.24994659260841701"/>
      </bottom>
      <diagonal/>
    </border>
    <border>
      <left style="thin">
        <color theme="9" tint="-0.24994659260841701"/>
      </left>
      <right style="thick">
        <color theme="9" tint="-0.24994659260841701"/>
      </right>
      <top/>
      <bottom/>
      <diagonal/>
    </border>
    <border>
      <left style="thin">
        <color theme="9" tint="-0.24994659260841701"/>
      </left>
      <right style="medium">
        <color theme="9" tint="-0.24994659260841701"/>
      </right>
      <top/>
      <bottom style="thin">
        <color theme="9" tint="-0.24994659260841701"/>
      </bottom>
      <diagonal/>
    </border>
    <border>
      <left style="thin">
        <color rgb="FF92D050"/>
      </left>
      <right style="thin">
        <color rgb="FF92D050"/>
      </right>
      <top style="thick">
        <color rgb="FF92D050"/>
      </top>
      <bottom style="medium">
        <color rgb="FF92D050"/>
      </bottom>
      <diagonal/>
    </border>
    <border>
      <left style="thin">
        <color rgb="FF92D050"/>
      </left>
      <right style="thick">
        <color rgb="FF92D050"/>
      </right>
      <top style="thick">
        <color rgb="FF92D050"/>
      </top>
      <bottom style="medium">
        <color rgb="FF92D050"/>
      </bottom>
      <diagonal/>
    </border>
    <border>
      <left style="medium">
        <color rgb="FF92D050"/>
      </left>
      <right style="thick">
        <color rgb="FF00B050"/>
      </right>
      <top style="thin">
        <color rgb="FF92D050"/>
      </top>
      <bottom style="thin">
        <color rgb="FF92D050"/>
      </bottom>
      <diagonal/>
    </border>
    <border>
      <left style="thick">
        <color rgb="FF00B050"/>
      </left>
      <right style="medium">
        <color rgb="FF92D050"/>
      </right>
      <top style="thin">
        <color rgb="FF92D050"/>
      </top>
      <bottom style="thin">
        <color rgb="FF92D050"/>
      </bottom>
      <diagonal/>
    </border>
    <border>
      <left style="thin">
        <color rgb="FF92D050"/>
      </left>
      <right/>
      <top/>
      <bottom/>
      <diagonal/>
    </border>
    <border>
      <left/>
      <right style="thin">
        <color rgb="FF92D050"/>
      </right>
      <top/>
      <bottom/>
      <diagonal/>
    </border>
    <border>
      <left style="thick">
        <color rgb="FF92D050"/>
      </left>
      <right/>
      <top style="thick">
        <color rgb="FF92D050"/>
      </top>
      <bottom style="medium">
        <color rgb="FF92D050"/>
      </bottom>
      <diagonal/>
    </border>
    <border>
      <left/>
      <right/>
      <top style="thick">
        <color rgb="FF92D050"/>
      </top>
      <bottom style="medium">
        <color rgb="FF92D050"/>
      </bottom>
      <diagonal/>
    </border>
    <border>
      <left/>
      <right style="thin">
        <color rgb="FF92D050"/>
      </right>
      <top style="thick">
        <color rgb="FF92D050"/>
      </top>
      <bottom style="medium">
        <color rgb="FF92D050"/>
      </bottom>
      <diagonal/>
    </border>
    <border>
      <left style="thin">
        <color rgb="FF92D050"/>
      </left>
      <right/>
      <top style="thick">
        <color rgb="FF92D050"/>
      </top>
      <bottom style="medium">
        <color rgb="FF92D050"/>
      </bottom>
      <diagonal/>
    </border>
    <border>
      <left style="thick">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right style="thick">
        <color theme="2" tint="-0.499984740745262"/>
      </right>
      <top style="medium">
        <color theme="2" tint="-0.499984740745262"/>
      </top>
      <bottom style="thin">
        <color theme="2" tint="-0.499984740745262"/>
      </bottom>
      <diagonal/>
    </border>
    <border>
      <left style="thick">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thick">
        <color theme="2" tint="-0.499984740745262"/>
      </right>
      <top style="thin">
        <color theme="2" tint="-0.499984740745262"/>
      </top>
      <bottom style="medium">
        <color theme="2" tint="-0.499984740745262"/>
      </bottom>
      <diagonal/>
    </border>
    <border>
      <left style="thick">
        <color theme="2" tint="-0.499984740745262"/>
      </left>
      <right style="thin">
        <color theme="2" tint="-0.499984740745262"/>
      </right>
      <top style="dashed">
        <color theme="2" tint="-0.499984740745262"/>
      </top>
      <bottom style="thick">
        <color theme="2" tint="-0.499984740745262"/>
      </bottom>
      <diagonal/>
    </border>
    <border>
      <left style="thin">
        <color theme="2" tint="-0.499984740745262"/>
      </left>
      <right style="thin">
        <color theme="2" tint="-0.499984740745262"/>
      </right>
      <top style="dashed">
        <color theme="2" tint="-0.499984740745262"/>
      </top>
      <bottom style="thick">
        <color theme="2" tint="-0.499984740745262"/>
      </bottom>
      <diagonal/>
    </border>
    <border>
      <left style="thin">
        <color theme="2" tint="-0.499984740745262"/>
      </left>
      <right style="thick">
        <color theme="2" tint="-0.499984740745262"/>
      </right>
      <top style="dashed">
        <color theme="2" tint="-0.499984740745262"/>
      </top>
      <bottom style="thick">
        <color theme="2" tint="-0.499984740745262"/>
      </bottom>
      <diagonal/>
    </border>
    <border>
      <left style="thin">
        <color rgb="FFFFC000"/>
      </left>
      <right/>
      <top style="medium">
        <color rgb="FFFFC000"/>
      </top>
      <bottom style="thin">
        <color rgb="FFFFC000"/>
      </bottom>
      <diagonal/>
    </border>
    <border>
      <left style="thick">
        <color rgb="FFFFC000"/>
      </left>
      <right style="thin">
        <color rgb="FFFFC000"/>
      </right>
      <top style="medium">
        <color rgb="FFFFC000"/>
      </top>
      <bottom/>
      <diagonal/>
    </border>
    <border>
      <left style="thick">
        <color rgb="FFFFC000"/>
      </left>
      <right style="thin">
        <color rgb="FFFFC000"/>
      </right>
      <top/>
      <bottom style="thick">
        <color rgb="FFFFC000"/>
      </bottom>
      <diagonal/>
    </border>
    <border>
      <left/>
      <right style="thin">
        <color rgb="FFFFC000"/>
      </right>
      <top/>
      <bottom style="thin">
        <color rgb="FFFFC000"/>
      </bottom>
      <diagonal/>
    </border>
    <border>
      <left/>
      <right/>
      <top/>
      <bottom style="thin">
        <color rgb="FFFFC000"/>
      </bottom>
      <diagonal/>
    </border>
    <border>
      <left/>
      <right style="thick">
        <color rgb="FFFFC000"/>
      </right>
      <top/>
      <bottom style="thin">
        <color rgb="FFFFC000"/>
      </bottom>
      <diagonal/>
    </border>
    <border>
      <left style="thin">
        <color theme="0"/>
      </left>
      <right style="thin">
        <color theme="0"/>
      </right>
      <top style="thin">
        <color theme="0"/>
      </top>
      <bottom/>
      <diagonal/>
    </border>
    <border>
      <left style="thin">
        <color rgb="FFFFC000"/>
      </left>
      <right style="medium">
        <color rgb="FFFFC000"/>
      </right>
      <top style="medium">
        <color rgb="FFFFC000"/>
      </top>
      <bottom style="thin">
        <color rgb="FFFFC000"/>
      </bottom>
      <diagonal/>
    </border>
    <border>
      <left/>
      <right/>
      <top style="thick">
        <color theme="8" tint="0.39994506668294322"/>
      </top>
      <bottom style="thin">
        <color theme="8" tint="0.39991454817346722"/>
      </bottom>
      <diagonal/>
    </border>
    <border>
      <left/>
      <right style="thick">
        <color theme="8" tint="0.39994506668294322"/>
      </right>
      <top style="thick">
        <color theme="8" tint="0.39994506668294322"/>
      </top>
      <bottom style="thin">
        <color theme="8" tint="0.39991454817346722"/>
      </bottom>
      <diagonal/>
    </border>
    <border>
      <left/>
      <right/>
      <top style="thin">
        <color theme="8" tint="0.39991454817346722"/>
      </top>
      <bottom style="thick">
        <color theme="8" tint="0.39991454817346722"/>
      </bottom>
      <diagonal/>
    </border>
    <border>
      <left/>
      <right style="thick">
        <color theme="8" tint="0.39994506668294322"/>
      </right>
      <top style="thin">
        <color theme="8" tint="0.39991454817346722"/>
      </top>
      <bottom style="thick">
        <color theme="8" tint="0.39991454817346722"/>
      </bottom>
      <diagonal/>
    </border>
    <border>
      <left/>
      <right/>
      <top style="thick">
        <color theme="8" tint="0.39991454817346722"/>
      </top>
      <bottom style="thin">
        <color theme="8" tint="0.39994506668294322"/>
      </bottom>
      <diagonal/>
    </border>
    <border>
      <left/>
      <right style="thick">
        <color theme="8" tint="0.39994506668294322"/>
      </right>
      <top style="thick">
        <color theme="8" tint="0.39991454817346722"/>
      </top>
      <bottom style="thin">
        <color theme="8" tint="0.39994506668294322"/>
      </bottom>
      <diagonal/>
    </border>
    <border>
      <left/>
      <right/>
      <top style="thin">
        <color theme="8" tint="0.39994506668294322"/>
      </top>
      <bottom style="medium">
        <color theme="8" tint="0.39994506668294322"/>
      </bottom>
      <diagonal/>
    </border>
    <border>
      <left/>
      <right style="thick">
        <color theme="8" tint="0.39994506668294322"/>
      </right>
      <top style="thin">
        <color theme="8" tint="0.39994506668294322"/>
      </top>
      <bottom style="medium">
        <color theme="8" tint="0.39994506668294322"/>
      </bottom>
      <diagonal/>
    </border>
    <border>
      <left/>
      <right/>
      <top style="medium">
        <color theme="8" tint="0.39994506668294322"/>
      </top>
      <bottom style="thin">
        <color theme="8" tint="0.39994506668294322"/>
      </bottom>
      <diagonal/>
    </border>
    <border>
      <left/>
      <right style="thick">
        <color theme="8" tint="0.39994506668294322"/>
      </right>
      <top style="medium">
        <color theme="8" tint="0.39994506668294322"/>
      </top>
      <bottom style="thin">
        <color theme="8" tint="0.39994506668294322"/>
      </bottom>
      <diagonal/>
    </border>
    <border>
      <left/>
      <right/>
      <top style="thin">
        <color theme="8" tint="0.39994506668294322"/>
      </top>
      <bottom style="thick">
        <color theme="8" tint="0.39994506668294322"/>
      </bottom>
      <diagonal/>
    </border>
    <border>
      <left/>
      <right style="thick">
        <color theme="8" tint="0.39994506668294322"/>
      </right>
      <top style="thin">
        <color theme="8" tint="0.39994506668294322"/>
      </top>
      <bottom style="thick">
        <color theme="8" tint="0.39994506668294322"/>
      </bottom>
      <diagonal/>
    </border>
    <border>
      <left/>
      <right/>
      <top style="thick">
        <color theme="8" tint="0.39994506668294322"/>
      </top>
      <bottom style="thin">
        <color theme="8" tint="0.39994506668294322"/>
      </bottom>
      <diagonal/>
    </border>
    <border>
      <left/>
      <right style="thick">
        <color theme="8" tint="0.39994506668294322"/>
      </right>
      <top style="thick">
        <color theme="8" tint="0.39994506668294322"/>
      </top>
      <bottom style="thin">
        <color theme="8" tint="0.39994506668294322"/>
      </bottom>
      <diagonal/>
    </border>
    <border>
      <left/>
      <right/>
      <top style="thin">
        <color theme="8" tint="0.39994506668294322"/>
      </top>
      <bottom style="medium">
        <color theme="8" tint="0.39991454817346722"/>
      </bottom>
      <diagonal/>
    </border>
    <border>
      <left/>
      <right style="thick">
        <color theme="8" tint="0.39994506668294322"/>
      </right>
      <top style="thin">
        <color theme="8" tint="0.39994506668294322"/>
      </top>
      <bottom style="medium">
        <color theme="8" tint="0.39991454817346722"/>
      </bottom>
      <diagonal/>
    </border>
    <border>
      <left/>
      <right/>
      <top style="medium">
        <color theme="8" tint="0.39991454817346722"/>
      </top>
      <bottom style="thin">
        <color theme="8" tint="0.39991454817346722"/>
      </bottom>
      <diagonal/>
    </border>
    <border>
      <left/>
      <right style="thick">
        <color theme="8" tint="0.39994506668294322"/>
      </right>
      <top style="medium">
        <color theme="8" tint="0.39991454817346722"/>
      </top>
      <bottom style="thin">
        <color theme="8" tint="0.39991454817346722"/>
      </bottom>
      <diagonal/>
    </border>
    <border>
      <left/>
      <right/>
      <top style="thin">
        <color theme="8" tint="0.39991454817346722"/>
      </top>
      <bottom style="thick">
        <color theme="8" tint="0.39994506668294322"/>
      </bottom>
      <diagonal/>
    </border>
    <border>
      <left/>
      <right style="thick">
        <color theme="8" tint="0.39994506668294322"/>
      </right>
      <top style="thin">
        <color theme="8" tint="0.39991454817346722"/>
      </top>
      <bottom style="thick">
        <color theme="8" tint="0.39994506668294322"/>
      </bottom>
      <diagonal/>
    </border>
    <border>
      <left style="thick">
        <color theme="8" tint="0.39994506668294322"/>
      </left>
      <right/>
      <top/>
      <bottom style="thick">
        <color theme="8" tint="0.39991454817346722"/>
      </bottom>
      <diagonal/>
    </border>
    <border>
      <left style="thick">
        <color theme="6" tint="-0.24994659260841701"/>
      </left>
      <right style="thin">
        <color theme="6" tint="-0.24994659260841701"/>
      </right>
      <top style="thick">
        <color theme="6" tint="-0.24994659260841701"/>
      </top>
      <bottom style="thin">
        <color theme="6" tint="-0.24994659260841701"/>
      </bottom>
      <diagonal/>
    </border>
    <border>
      <left style="thin">
        <color theme="6" tint="-0.24994659260841701"/>
      </left>
      <right style="thin">
        <color theme="6" tint="-0.24994659260841701"/>
      </right>
      <top style="thick">
        <color theme="6" tint="-0.24994659260841701"/>
      </top>
      <bottom style="thin">
        <color theme="6" tint="-0.24994659260841701"/>
      </bottom>
      <diagonal/>
    </border>
    <border>
      <left style="thin">
        <color theme="6" tint="-0.24994659260841701"/>
      </left>
      <right style="thick">
        <color theme="6" tint="-0.24994659260841701"/>
      </right>
      <top style="thick">
        <color theme="6" tint="-0.24994659260841701"/>
      </top>
      <bottom style="thin">
        <color theme="6" tint="-0.24994659260841701"/>
      </bottom>
      <diagonal/>
    </border>
    <border>
      <left style="thick">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ck">
        <color theme="6" tint="-0.24994659260841701"/>
      </right>
      <top style="thin">
        <color theme="6" tint="-0.24994659260841701"/>
      </top>
      <bottom style="thin">
        <color theme="6" tint="-0.24994659260841701"/>
      </bottom>
      <diagonal/>
    </border>
    <border>
      <left style="thick">
        <color theme="6" tint="-0.24994659260841701"/>
      </left>
      <right style="thin">
        <color theme="6" tint="-0.24994659260841701"/>
      </right>
      <top style="thin">
        <color theme="6" tint="-0.24994659260841701"/>
      </top>
      <bottom style="thick">
        <color theme="6" tint="-0.24994659260841701"/>
      </bottom>
      <diagonal/>
    </border>
    <border>
      <left style="thin">
        <color theme="6" tint="-0.24994659260841701"/>
      </left>
      <right style="thin">
        <color theme="6" tint="-0.24994659260841701"/>
      </right>
      <top style="thin">
        <color theme="6" tint="-0.24994659260841701"/>
      </top>
      <bottom style="thick">
        <color theme="6" tint="-0.24994659260841701"/>
      </bottom>
      <diagonal/>
    </border>
    <border>
      <left style="thin">
        <color theme="6" tint="-0.24994659260841701"/>
      </left>
      <right style="thick">
        <color theme="6" tint="-0.24994659260841701"/>
      </right>
      <top style="thin">
        <color theme="6" tint="-0.24994659260841701"/>
      </top>
      <bottom style="thick">
        <color theme="6" tint="-0.24994659260841701"/>
      </bottom>
      <diagonal/>
    </border>
    <border>
      <left style="thick">
        <color theme="6" tint="-0.24994659260841701"/>
      </left>
      <right style="thin">
        <color theme="6" tint="-0.24994659260841701"/>
      </right>
      <top style="thick">
        <color theme="6" tint="-0.24994659260841701"/>
      </top>
      <bottom/>
      <diagonal/>
    </border>
    <border>
      <left style="thin">
        <color theme="6" tint="-0.24994659260841701"/>
      </left>
      <right style="thin">
        <color theme="6" tint="-0.24994659260841701"/>
      </right>
      <top style="thick">
        <color theme="6" tint="-0.24994659260841701"/>
      </top>
      <bottom/>
      <diagonal/>
    </border>
    <border>
      <left style="thick">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thick">
        <color theme="6" tint="-0.24994659260841701"/>
      </right>
      <top/>
      <bottom style="thin">
        <color theme="6" tint="-0.24994659260841701"/>
      </bottom>
      <diagonal/>
    </border>
    <border>
      <left style="thick">
        <color theme="6" tint="-0.24994659260841701"/>
      </left>
      <right style="thin">
        <color theme="6" tint="-0.24994659260841701"/>
      </right>
      <top style="medium">
        <color theme="6" tint="-0.24994659260841701"/>
      </top>
      <bottom style="thin">
        <color theme="6" tint="-0.24994659260841701"/>
      </bottom>
      <diagonal/>
    </border>
    <border>
      <left style="thin">
        <color theme="6" tint="-0.24994659260841701"/>
      </left>
      <right style="thin">
        <color theme="6" tint="-0.24994659260841701"/>
      </right>
      <top style="medium">
        <color theme="6" tint="-0.24994659260841701"/>
      </top>
      <bottom style="thin">
        <color theme="6" tint="-0.24994659260841701"/>
      </bottom>
      <diagonal/>
    </border>
    <border>
      <left style="thin">
        <color theme="6" tint="-0.24994659260841701"/>
      </left>
      <right style="thick">
        <color theme="6" tint="-0.24994659260841701"/>
      </right>
      <top style="medium">
        <color theme="6" tint="-0.24994659260841701"/>
      </top>
      <bottom style="thin">
        <color theme="6" tint="-0.24994659260841701"/>
      </bottom>
      <diagonal/>
    </border>
    <border>
      <left style="thick">
        <color theme="6" tint="-0.24994659260841701"/>
      </left>
      <right style="thin">
        <color theme="6" tint="-0.24994659260841701"/>
      </right>
      <top style="thin">
        <color theme="6" tint="-0.24994659260841701"/>
      </top>
      <bottom style="medium">
        <color theme="6" tint="-0.24994659260841701"/>
      </bottom>
      <diagonal/>
    </border>
    <border>
      <left style="thin">
        <color theme="6" tint="-0.24994659260841701"/>
      </left>
      <right style="thin">
        <color theme="6" tint="-0.24994659260841701"/>
      </right>
      <top style="thin">
        <color theme="6" tint="-0.24994659260841701"/>
      </top>
      <bottom style="medium">
        <color theme="6" tint="-0.24994659260841701"/>
      </bottom>
      <diagonal/>
    </border>
    <border>
      <left style="thin">
        <color theme="6" tint="-0.24994659260841701"/>
      </left>
      <right style="thick">
        <color theme="6" tint="-0.24994659260841701"/>
      </right>
      <top style="thin">
        <color theme="6" tint="-0.24994659260841701"/>
      </top>
      <bottom style="medium">
        <color theme="6" tint="-0.24994659260841701"/>
      </bottom>
      <diagonal/>
    </border>
    <border>
      <left style="thick">
        <color theme="6" tint="-0.24994659260841701"/>
      </left>
      <right/>
      <top style="thick">
        <color theme="6" tint="-0.24994659260841701"/>
      </top>
      <bottom style="thin">
        <color theme="6" tint="-0.24994659260841701"/>
      </bottom>
      <diagonal/>
    </border>
    <border>
      <left/>
      <right/>
      <top style="thick">
        <color theme="6" tint="-0.24994659260841701"/>
      </top>
      <bottom style="thin">
        <color theme="6" tint="-0.24994659260841701"/>
      </bottom>
      <diagonal/>
    </border>
    <border>
      <left/>
      <right style="thick">
        <color theme="6" tint="-0.24994659260841701"/>
      </right>
      <top style="thick">
        <color theme="6" tint="-0.24994659260841701"/>
      </top>
      <bottom style="thin">
        <color theme="6" tint="-0.24994659260841701"/>
      </bottom>
      <diagonal/>
    </border>
    <border>
      <left style="thick">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ck">
        <color theme="6" tint="-0.24994659260841701"/>
      </right>
      <top style="thin">
        <color theme="6" tint="-0.24994659260841701"/>
      </top>
      <bottom style="thin">
        <color theme="6" tint="-0.24994659260841701"/>
      </bottom>
      <diagonal/>
    </border>
    <border>
      <left style="thick">
        <color theme="6" tint="-0.24994659260841701"/>
      </left>
      <right/>
      <top style="thin">
        <color theme="6" tint="-0.24994659260841701"/>
      </top>
      <bottom style="thick">
        <color theme="6" tint="-0.24994659260841701"/>
      </bottom>
      <diagonal/>
    </border>
    <border>
      <left/>
      <right/>
      <top style="thin">
        <color theme="6" tint="-0.24994659260841701"/>
      </top>
      <bottom style="thick">
        <color theme="6" tint="-0.24994659260841701"/>
      </bottom>
      <diagonal/>
    </border>
    <border>
      <left/>
      <right style="thick">
        <color theme="6" tint="-0.24994659260841701"/>
      </right>
      <top style="thin">
        <color theme="6" tint="-0.24994659260841701"/>
      </top>
      <bottom style="thick">
        <color theme="6" tint="-0.24994659260841701"/>
      </bottom>
      <diagonal/>
    </border>
    <border>
      <left style="thick">
        <color theme="6" tint="-0.24994659260841701"/>
      </left>
      <right style="thin">
        <color theme="6" tint="-0.24994659260841701"/>
      </right>
      <top/>
      <bottom style="thick">
        <color theme="6" tint="-0.24994659260841701"/>
      </bottom>
      <diagonal/>
    </border>
    <border>
      <left style="thin">
        <color theme="6" tint="-0.24994659260841701"/>
      </left>
      <right style="thin">
        <color theme="6" tint="-0.24994659260841701"/>
      </right>
      <top/>
      <bottom style="thick">
        <color theme="6" tint="-0.24994659260841701"/>
      </bottom>
      <diagonal/>
    </border>
    <border>
      <left style="thin">
        <color theme="6" tint="-0.24994659260841701"/>
      </left>
      <right/>
      <top style="thin">
        <color theme="6" tint="-0.24994659260841701"/>
      </top>
      <bottom style="thin">
        <color theme="6" tint="-0.24994659260841701"/>
      </bottom>
      <diagonal/>
    </border>
    <border>
      <left style="thick">
        <color theme="6" tint="-0.24994659260841701"/>
      </left>
      <right style="thin">
        <color theme="6" tint="-0.24994659260841701"/>
      </right>
      <top style="thick">
        <color theme="6" tint="-0.24994659260841701"/>
      </top>
      <bottom style="thick">
        <color theme="6" tint="-0.24994659260841701"/>
      </bottom>
      <diagonal/>
    </border>
    <border>
      <left style="thin">
        <color theme="6" tint="-0.24994659260841701"/>
      </left>
      <right style="thin">
        <color theme="6" tint="-0.24994659260841701"/>
      </right>
      <top style="thick">
        <color theme="6" tint="-0.24994659260841701"/>
      </top>
      <bottom style="thick">
        <color theme="6" tint="-0.24994659260841701"/>
      </bottom>
      <diagonal/>
    </border>
    <border>
      <left style="thin">
        <color theme="6" tint="-0.24994659260841701"/>
      </left>
      <right style="thick">
        <color theme="6" tint="-0.24994659260841701"/>
      </right>
      <top style="thick">
        <color theme="6" tint="-0.24994659260841701"/>
      </top>
      <bottom style="thick">
        <color theme="6" tint="-0.24994659260841701"/>
      </bottom>
      <diagonal/>
    </border>
    <border>
      <left/>
      <right style="thin">
        <color theme="6" tint="-0.24994659260841701"/>
      </right>
      <top style="thick">
        <color theme="6" tint="-0.24994659260841701"/>
      </top>
      <bottom style="thin">
        <color theme="6" tint="-0.24994659260841701"/>
      </bottom>
      <diagonal/>
    </border>
    <border>
      <left/>
      <right style="thin">
        <color theme="6" tint="-0.24994659260841701"/>
      </right>
      <top style="thin">
        <color theme="6" tint="-0.24994659260841701"/>
      </top>
      <bottom style="thick">
        <color theme="6" tint="-0.24994659260841701"/>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n">
        <color theme="6" tint="-0.24994659260841701"/>
      </right>
      <top style="thick">
        <color theme="6" tint="-0.24994659260841701"/>
      </top>
      <bottom style="thick">
        <color theme="6" tint="-0.24994659260841701"/>
      </bottom>
      <diagonal/>
    </border>
    <border>
      <left style="thin">
        <color theme="6" tint="-0.24994659260841701"/>
      </left>
      <right style="thin">
        <color theme="6" tint="-0.24994659260841701"/>
      </right>
      <top style="thin">
        <color theme="6" tint="-0.24994659260841701"/>
      </top>
      <bottom/>
      <diagonal/>
    </border>
    <border>
      <left/>
      <right/>
      <top/>
      <bottom style="thick">
        <color theme="6" tint="-0.24994659260841701"/>
      </bottom>
      <diagonal/>
    </border>
    <border>
      <left style="thick">
        <color rgb="FF00B050"/>
      </left>
      <right style="medium">
        <color rgb="FFFFFF00"/>
      </right>
      <top style="thick">
        <color rgb="FF00B050"/>
      </top>
      <bottom/>
      <diagonal/>
    </border>
    <border>
      <left style="medium">
        <color rgb="FFFFFF00"/>
      </left>
      <right style="medium">
        <color rgb="FFFFFF00"/>
      </right>
      <top style="thick">
        <color rgb="FF00B050"/>
      </top>
      <bottom/>
      <diagonal/>
    </border>
    <border>
      <left style="medium">
        <color rgb="FFFFFF00"/>
      </left>
      <right style="thick">
        <color rgb="FF00B050"/>
      </right>
      <top style="thick">
        <color rgb="FF00B050"/>
      </top>
      <bottom/>
      <diagonal/>
    </border>
    <border>
      <left/>
      <right style="medium">
        <color rgb="FFFFFF00"/>
      </right>
      <top style="thick">
        <color rgb="FFC00000"/>
      </top>
      <bottom/>
      <diagonal/>
    </border>
    <border>
      <left style="medium">
        <color rgb="FFFFFF00"/>
      </left>
      <right style="medium">
        <color rgb="FFFFFF00"/>
      </right>
      <top style="thick">
        <color rgb="FFC00000"/>
      </top>
      <bottom/>
      <diagonal/>
    </border>
    <border>
      <left style="medium">
        <color rgb="FFFFFF00"/>
      </left>
      <right style="thick">
        <color rgb="FFC00000"/>
      </right>
      <top style="thick">
        <color rgb="FFC00000"/>
      </top>
      <bottom/>
      <diagonal/>
    </border>
    <border>
      <left style="thick">
        <color theme="3" tint="0.39994506668294322"/>
      </left>
      <right style="medium">
        <color rgb="FFFFFF00"/>
      </right>
      <top style="thick">
        <color theme="3" tint="0.39994506668294322"/>
      </top>
      <bottom/>
      <diagonal/>
    </border>
    <border>
      <left style="medium">
        <color rgb="FFFFFF00"/>
      </left>
      <right style="medium">
        <color rgb="FFFFFF00"/>
      </right>
      <top style="thick">
        <color theme="3" tint="0.39994506668294322"/>
      </top>
      <bottom/>
      <diagonal/>
    </border>
    <border>
      <left style="medium">
        <color rgb="FFFFFF00"/>
      </left>
      <right style="thick">
        <color theme="3" tint="0.39994506668294322"/>
      </right>
      <top style="thick">
        <color theme="3" tint="0.39994506668294322"/>
      </top>
      <bottom/>
      <diagonal/>
    </border>
    <border>
      <left style="thick">
        <color theme="3" tint="0.39994506668294322"/>
      </left>
      <right style="medium">
        <color rgb="FFFFFF00"/>
      </right>
      <top style="thick">
        <color rgb="FFC00000"/>
      </top>
      <bottom/>
      <diagonal/>
    </border>
    <border>
      <left style="medium">
        <color rgb="FFFFFF00"/>
      </left>
      <right style="thick">
        <color theme="9" tint="-0.24994659260841701"/>
      </right>
      <top style="thick">
        <color rgb="FFC00000"/>
      </top>
      <bottom/>
      <diagonal/>
    </border>
    <border>
      <left/>
      <right style="thin">
        <color theme="6" tint="-0.24994659260841701"/>
      </right>
      <top style="thin">
        <color theme="6" tint="-0.24994659260841701"/>
      </top>
      <bottom style="thin">
        <color theme="6" tint="-0.24994659260841701"/>
      </bottom>
      <diagonal/>
    </border>
    <border>
      <left style="thick">
        <color theme="6" tint="-0.24994659260841701"/>
      </left>
      <right style="thin">
        <color theme="6" tint="-0.24994659260841701"/>
      </right>
      <top style="thin">
        <color theme="6" tint="-0.24994659260841701"/>
      </top>
      <bottom/>
      <diagonal/>
    </border>
    <border>
      <left style="thin">
        <color theme="6" tint="-0.24994659260841701"/>
      </left>
      <right style="thick">
        <color theme="6" tint="-0.24994659260841701"/>
      </right>
      <top style="thin">
        <color theme="6" tint="-0.24994659260841701"/>
      </top>
      <bottom/>
      <diagonal/>
    </border>
    <border>
      <left style="thick">
        <color theme="6" tint="-0.24994659260841701"/>
      </left>
      <right style="thick">
        <color theme="6" tint="-0.24994659260841701"/>
      </right>
      <top style="thin">
        <color theme="6" tint="-0.24994659260841701"/>
      </top>
      <bottom style="thick">
        <color theme="6" tint="-0.24994659260841701"/>
      </bottom>
      <diagonal/>
    </border>
    <border>
      <left style="thin">
        <color theme="6" tint="-0.24994659260841701"/>
      </left>
      <right/>
      <top style="thin">
        <color theme="6" tint="-0.24994659260841701"/>
      </top>
      <bottom/>
      <diagonal/>
    </border>
    <border>
      <left style="thin">
        <color theme="6" tint="-0.24994659260841701"/>
      </left>
      <right/>
      <top style="thick">
        <color theme="6" tint="-0.24994659260841701"/>
      </top>
      <bottom style="thin">
        <color theme="6" tint="-0.24994659260841701"/>
      </bottom>
      <diagonal/>
    </border>
    <border>
      <left style="thin">
        <color theme="6" tint="-0.24994659260841701"/>
      </left>
      <right/>
      <top style="thin">
        <color theme="6" tint="-0.24994659260841701"/>
      </top>
      <bottom style="thick">
        <color theme="6" tint="-0.24994659260841701"/>
      </bottom>
      <diagonal/>
    </border>
    <border>
      <left style="thick">
        <color theme="6" tint="-0.24994659260841701"/>
      </left>
      <right style="thick">
        <color theme="6" tint="-0.24994659260841701"/>
      </right>
      <top style="thin">
        <color theme="6" tint="-0.24994659260841701"/>
      </top>
      <bottom style="thin">
        <color theme="6" tint="-0.24994659260841701"/>
      </bottom>
      <diagonal/>
    </border>
    <border>
      <left style="thick">
        <color theme="6" tint="-0.24994659260841701"/>
      </left>
      <right style="thick">
        <color theme="6" tint="-0.24994659260841701"/>
      </right>
      <top style="thick">
        <color theme="6" tint="-0.24994659260841701"/>
      </top>
      <bottom style="thin">
        <color theme="6" tint="-0.24994659260841701"/>
      </bottom>
      <diagonal/>
    </border>
    <border>
      <left/>
      <right style="thick">
        <color theme="6" tint="-0.24994659260841701"/>
      </right>
      <top/>
      <bottom style="thick">
        <color theme="6" tint="-0.24994659260841701"/>
      </bottom>
      <diagonal/>
    </border>
    <border>
      <left style="medium">
        <color theme="6" tint="-0.24994659260841701"/>
      </left>
      <right style="thin">
        <color theme="6" tint="-0.24994659260841701"/>
      </right>
      <top style="medium">
        <color theme="6" tint="-0.24994659260841701"/>
      </top>
      <bottom style="medium">
        <color theme="6" tint="-0.24994659260841701"/>
      </bottom>
      <diagonal/>
    </border>
    <border>
      <left style="thin">
        <color theme="6" tint="-0.24994659260841701"/>
      </left>
      <right style="thin">
        <color theme="6" tint="-0.24994659260841701"/>
      </right>
      <top style="medium">
        <color theme="6" tint="-0.24994659260841701"/>
      </top>
      <bottom style="medium">
        <color theme="6" tint="-0.24994659260841701"/>
      </bottom>
      <diagonal/>
    </border>
    <border>
      <left style="thin">
        <color theme="6" tint="-0.24994659260841701"/>
      </left>
      <right style="medium">
        <color theme="6" tint="-0.24994659260841701"/>
      </right>
      <top style="medium">
        <color theme="6" tint="-0.24994659260841701"/>
      </top>
      <bottom style="medium">
        <color theme="6" tint="-0.24994659260841701"/>
      </bottom>
      <diagonal/>
    </border>
    <border>
      <left style="medium">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medium">
        <color theme="6" tint="-0.24994659260841701"/>
      </right>
      <top style="thin">
        <color theme="6" tint="-0.24994659260841701"/>
      </top>
      <bottom style="thin">
        <color theme="6" tint="-0.24994659260841701"/>
      </bottom>
      <diagonal/>
    </border>
    <border>
      <left style="thin">
        <color theme="6" tint="-0.24994659260841701"/>
      </left>
      <right/>
      <top style="thick">
        <color theme="6" tint="-0.24994659260841701"/>
      </top>
      <bottom/>
      <diagonal/>
    </border>
    <border>
      <left style="thin">
        <color theme="6" tint="-0.24994659260841701"/>
      </left>
      <right/>
      <top style="medium">
        <color theme="6" tint="-0.24994659260841701"/>
      </top>
      <bottom style="thin">
        <color theme="6" tint="-0.24994659260841701"/>
      </bottom>
      <diagonal/>
    </border>
    <border>
      <left style="thin">
        <color theme="6" tint="-0.24994659260841701"/>
      </left>
      <right/>
      <top style="thin">
        <color theme="6" tint="-0.24994659260841701"/>
      </top>
      <bottom style="medium">
        <color theme="6" tint="-0.24994659260841701"/>
      </bottom>
      <diagonal/>
    </border>
    <border>
      <left style="thin">
        <color theme="6" tint="-0.24994659260841701"/>
      </left>
      <right/>
      <top/>
      <bottom style="thick">
        <color theme="6" tint="-0.24994659260841701"/>
      </bottom>
      <diagonal/>
    </border>
    <border>
      <left style="thin">
        <color theme="6" tint="-0.24994659260841701"/>
      </left>
      <right/>
      <top style="thick">
        <color theme="6" tint="-0.24994659260841701"/>
      </top>
      <bottom style="thick">
        <color theme="6" tint="-0.24994659260841701"/>
      </bottom>
      <diagonal/>
    </border>
    <border>
      <left/>
      <right/>
      <top style="thin">
        <color theme="6" tint="-0.24994659260841701"/>
      </top>
      <bottom/>
      <diagonal/>
    </border>
    <border>
      <left/>
      <right style="thick">
        <color theme="6" tint="-0.24994659260841701"/>
      </right>
      <top style="thin">
        <color theme="6" tint="-0.24994659260841701"/>
      </top>
      <bottom/>
      <diagonal/>
    </border>
    <border>
      <left style="medium">
        <color theme="6" tint="-0.24994659260841701"/>
      </left>
      <right style="thin">
        <color theme="6" tint="-0.24994659260841701"/>
      </right>
      <top/>
      <bottom style="thin">
        <color theme="6" tint="-0.24994659260841701"/>
      </bottom>
      <diagonal/>
    </border>
    <border>
      <left style="thin">
        <color theme="6" tint="-0.24994659260841701"/>
      </left>
      <right style="medium">
        <color theme="6" tint="-0.24994659260841701"/>
      </right>
      <top/>
      <bottom style="thin">
        <color theme="6" tint="-0.24994659260841701"/>
      </bottom>
      <diagonal/>
    </border>
    <border>
      <left/>
      <right style="thin">
        <color rgb="FFFFC000"/>
      </right>
      <top style="medium">
        <color rgb="FFFFC000"/>
      </top>
      <bottom style="thin">
        <color rgb="FFFFC000"/>
      </bottom>
      <diagonal/>
    </border>
    <border>
      <left style="medium">
        <color rgb="FFFFC000"/>
      </left>
      <right/>
      <top style="medium">
        <color rgb="FFFFC000"/>
      </top>
      <bottom/>
      <diagonal/>
    </border>
    <border>
      <left/>
      <right/>
      <top style="medium">
        <color rgb="FFFFC000"/>
      </top>
      <bottom/>
      <diagonal/>
    </border>
    <border>
      <left/>
      <right style="thin">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thin">
        <color rgb="FFFFC000"/>
      </right>
      <top/>
      <bottom style="medium">
        <color rgb="FFFFC000"/>
      </bottom>
      <diagonal/>
    </border>
    <border>
      <left style="thick">
        <color theme="9" tint="-0.24994659260841701"/>
      </left>
      <right/>
      <top style="thin">
        <color theme="9" tint="-0.24994659260841701"/>
      </top>
      <bottom style="thin">
        <color theme="9" tint="-0.24994659260841701"/>
      </bottom>
      <diagonal/>
    </border>
    <border>
      <left style="thin">
        <color theme="9" tint="-0.24994659260841701"/>
      </left>
      <right/>
      <top style="thin">
        <color theme="9" tint="-0.24994659260841701"/>
      </top>
      <bottom/>
      <diagonal/>
    </border>
    <border>
      <left style="thin">
        <color theme="9" tint="-0.24994659260841701"/>
      </left>
      <right/>
      <top/>
      <bottom style="thin">
        <color theme="9" tint="-0.24994659260841701"/>
      </bottom>
      <diagonal/>
    </border>
    <border>
      <left/>
      <right style="thin">
        <color theme="9" tint="-0.24994659260841701"/>
      </right>
      <top style="medium">
        <color theme="9" tint="-0.24994659260841701"/>
      </top>
      <bottom style="medium">
        <color theme="9" tint="-0.24994659260841701"/>
      </bottom>
      <diagonal/>
    </border>
    <border>
      <left/>
      <right style="medium">
        <color theme="9" tint="-0.24994659260841701"/>
      </right>
      <top style="medium">
        <color theme="9" tint="-0.24994659260841701"/>
      </top>
      <bottom/>
      <diagonal/>
    </border>
    <border>
      <left/>
      <right style="medium">
        <color theme="9" tint="-0.24994659260841701"/>
      </right>
      <top style="thin">
        <color theme="9" tint="-0.24994659260841701"/>
      </top>
      <bottom style="thin">
        <color theme="9" tint="-0.24994659260841701"/>
      </bottom>
      <diagonal/>
    </border>
    <border>
      <left style="thick">
        <color theme="3" tint="0.39994506668294322"/>
      </left>
      <right style="thin">
        <color theme="3" tint="0.39994506668294322"/>
      </right>
      <top/>
      <bottom style="thin">
        <color theme="3" tint="0.39994506668294322"/>
      </bottom>
      <diagonal/>
    </border>
    <border>
      <left style="thin">
        <color theme="3" tint="0.39994506668294322"/>
      </left>
      <right style="thin">
        <color theme="3" tint="0.39994506668294322"/>
      </right>
      <top/>
      <bottom style="thin">
        <color theme="3" tint="0.39994506668294322"/>
      </bottom>
      <diagonal/>
    </border>
    <border>
      <left style="thick">
        <color theme="3" tint="0.39994506668294322"/>
      </left>
      <right style="thin">
        <color theme="3" tint="0.39994506668294322"/>
      </right>
      <top style="thick">
        <color theme="3" tint="0.39994506668294322"/>
      </top>
      <bottom/>
      <diagonal/>
    </border>
    <border>
      <left style="thin">
        <color theme="3" tint="0.39994506668294322"/>
      </left>
      <right style="thin">
        <color theme="3" tint="0.39994506668294322"/>
      </right>
      <top style="thick">
        <color theme="3" tint="0.39994506668294322"/>
      </top>
      <bottom/>
      <diagonal/>
    </border>
    <border>
      <left style="thin">
        <color theme="3" tint="0.39994506668294322"/>
      </left>
      <right style="thick">
        <color theme="3" tint="0.39994506668294322"/>
      </right>
      <top style="thick">
        <color theme="3" tint="0.39994506668294322"/>
      </top>
      <bottom/>
      <diagonal/>
    </border>
    <border>
      <left style="thick">
        <color theme="3" tint="0.39994506668294322"/>
      </left>
      <right/>
      <top style="thick">
        <color theme="3" tint="0.39991454817346722"/>
      </top>
      <bottom style="thin">
        <color theme="3" tint="0.39991454817346722"/>
      </bottom>
      <diagonal/>
    </border>
    <border>
      <left/>
      <right/>
      <top style="thick">
        <color theme="3" tint="0.39991454817346722"/>
      </top>
      <bottom style="thin">
        <color theme="3" tint="0.39991454817346722"/>
      </bottom>
      <diagonal/>
    </border>
    <border>
      <left style="thick">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ck">
        <color theme="3" tint="0.39994506668294322"/>
      </right>
      <top style="thin">
        <color theme="3" tint="0.39994506668294322"/>
      </top>
      <bottom/>
      <diagonal/>
    </border>
    <border>
      <left style="thick">
        <color theme="3" tint="0.39991454817346722"/>
      </left>
      <right style="thin">
        <color theme="3" tint="0.39994506668294322"/>
      </right>
      <top style="thick">
        <color theme="3" tint="0.39991454817346722"/>
      </top>
      <bottom style="thick">
        <color theme="3" tint="0.39991454817346722"/>
      </bottom>
      <diagonal/>
    </border>
    <border>
      <left style="thin">
        <color theme="3" tint="0.39994506668294322"/>
      </left>
      <right style="thin">
        <color theme="3" tint="0.39994506668294322"/>
      </right>
      <top style="thick">
        <color theme="3" tint="0.39991454817346722"/>
      </top>
      <bottom style="thick">
        <color theme="3" tint="0.39991454817346722"/>
      </bottom>
      <diagonal/>
    </border>
    <border>
      <left style="thin">
        <color theme="3" tint="0.39994506668294322"/>
      </left>
      <right style="thick">
        <color theme="3" tint="0.39991454817346722"/>
      </right>
      <top style="thick">
        <color theme="3" tint="0.39991454817346722"/>
      </top>
      <bottom style="thick">
        <color theme="3" tint="0.39991454817346722"/>
      </bottom>
      <diagonal/>
    </border>
    <border>
      <left style="thin">
        <color theme="3" tint="0.39994506668294322"/>
      </left>
      <right/>
      <top style="thin">
        <color theme="3" tint="0.39994506668294322"/>
      </top>
      <bottom/>
      <diagonal/>
    </border>
    <border>
      <left style="thick">
        <color theme="3" tint="0.39991454817346722"/>
      </left>
      <right style="thin">
        <color theme="3" tint="0.39994506668294322"/>
      </right>
      <top style="thin">
        <color theme="3" tint="0.39994506668294322"/>
      </top>
      <bottom style="thin">
        <color theme="3" tint="0.39994506668294322"/>
      </bottom>
      <diagonal/>
    </border>
    <border>
      <left style="thick">
        <color theme="3" tint="0.39991454817346722"/>
      </left>
      <right style="thin">
        <color theme="3" tint="0.39994506668294322"/>
      </right>
      <top style="thin">
        <color theme="3" tint="0.39994506668294322"/>
      </top>
      <bottom/>
      <diagonal/>
    </border>
    <border>
      <left style="thick">
        <color theme="2" tint="-0.499984740745262"/>
      </left>
      <right/>
      <top/>
      <bottom style="medium">
        <color theme="2" tint="-0.499984740745262"/>
      </bottom>
      <diagonal/>
    </border>
    <border>
      <left/>
      <right/>
      <top/>
      <bottom style="medium">
        <color theme="2" tint="-0.499984740745262"/>
      </bottom>
      <diagonal/>
    </border>
    <border>
      <left/>
      <right style="thick">
        <color theme="2" tint="-0.499984740745262"/>
      </right>
      <top/>
      <bottom style="medium">
        <color theme="2" tint="-0.499984740745262"/>
      </bottom>
      <diagonal/>
    </border>
    <border>
      <left/>
      <right style="thin">
        <color theme="2" tint="-0.499984740745262"/>
      </right>
      <top style="thin">
        <color theme="2" tint="-0.499984740745262"/>
      </top>
      <bottom/>
      <diagonal/>
    </border>
    <border>
      <left style="thick">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style="thick">
        <color theme="2" tint="-0.499984740745262"/>
      </right>
      <top style="medium">
        <color theme="2" tint="-0.499984740745262"/>
      </top>
      <bottom style="medium">
        <color theme="2" tint="-0.499984740745262"/>
      </bottom>
      <diagonal/>
    </border>
    <border>
      <left style="thin">
        <color theme="2" tint="-0.499984740745262"/>
      </left>
      <right/>
      <top style="thin">
        <color theme="2" tint="-0.499984740745262"/>
      </top>
      <bottom style="thick">
        <color theme="2" tint="-0.499984740745262"/>
      </bottom>
      <diagonal/>
    </border>
    <border>
      <left style="thin">
        <color rgb="FFFFC000"/>
      </left>
      <right/>
      <top style="medium">
        <color indexed="64"/>
      </top>
      <bottom style="thin">
        <color rgb="FFFFC000"/>
      </bottom>
      <diagonal/>
    </border>
    <border>
      <left/>
      <right style="thin">
        <color rgb="FFFFC000"/>
      </right>
      <top style="medium">
        <color indexed="64"/>
      </top>
      <bottom style="thin">
        <color rgb="FFFFC000"/>
      </bottom>
      <diagonal/>
    </border>
    <border>
      <left style="medium">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medium">
        <color theme="8" tint="-0.24994659260841701"/>
      </right>
      <top style="medium">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theme="8" tint="-0.24994659260841701"/>
      </right>
      <top style="thin">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medium">
        <color theme="8" tint="-0.24994659260841701"/>
      </bottom>
      <diagonal/>
    </border>
    <border>
      <left style="thin">
        <color theme="8" tint="-0.24994659260841701"/>
      </left>
      <right style="thin">
        <color theme="8" tint="-0.24994659260841701"/>
      </right>
      <top style="thin">
        <color theme="8" tint="-0.24994659260841701"/>
      </top>
      <bottom style="medium">
        <color theme="8" tint="-0.24994659260841701"/>
      </bottom>
      <diagonal/>
    </border>
    <border>
      <left style="thin">
        <color theme="8" tint="-0.24994659260841701"/>
      </left>
      <right style="medium">
        <color theme="8" tint="-0.24994659260841701"/>
      </right>
      <top style="thin">
        <color theme="8" tint="-0.24994659260841701"/>
      </top>
      <bottom style="medium">
        <color theme="8" tint="-0.24994659260841701"/>
      </bottom>
      <diagonal/>
    </border>
    <border>
      <left style="thick">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style="thick">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ck">
        <color theme="8" tint="-0.24994659260841701"/>
      </bottom>
      <diagonal/>
    </border>
    <border>
      <left/>
      <right/>
      <top style="thin">
        <color theme="8" tint="-0.24994659260841701"/>
      </top>
      <bottom style="thick">
        <color theme="8" tint="-0.24994659260841701"/>
      </bottom>
      <diagonal/>
    </border>
    <border>
      <left/>
      <right style="thick">
        <color theme="8" tint="-0.24994659260841701"/>
      </right>
      <top style="thin">
        <color theme="8" tint="-0.24994659260841701"/>
      </top>
      <bottom style="thick">
        <color theme="8" tint="-0.24994659260841701"/>
      </bottom>
      <diagonal/>
    </border>
    <border>
      <left style="thick">
        <color theme="8" tint="-0.24994659260841701"/>
      </left>
      <right/>
      <top/>
      <bottom/>
      <diagonal/>
    </border>
    <border>
      <left style="thin">
        <color rgb="FFFFC000"/>
      </left>
      <right/>
      <top style="thick">
        <color rgb="FFFFC000"/>
      </top>
      <bottom style="thick">
        <color rgb="FFFFC000"/>
      </bottom>
      <diagonal/>
    </border>
    <border>
      <left style="medium">
        <color theme="8" tint="-0.24994659260841701"/>
      </left>
      <right/>
      <top style="thin">
        <color theme="8" tint="-0.24994659260841701"/>
      </top>
      <bottom style="thin">
        <color theme="8" tint="-0.24994659260841701"/>
      </bottom>
      <diagonal/>
    </border>
    <border>
      <left/>
      <right style="medium">
        <color theme="8" tint="-0.24994659260841701"/>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top style="medium">
        <color theme="8" tint="-0.24994659260841701"/>
      </top>
      <bottom style="thin">
        <color theme="8" tint="-0.24994659260841701"/>
      </bottom>
      <diagonal/>
    </border>
    <border>
      <left/>
      <right/>
      <top style="medium">
        <color theme="8" tint="-0.24994659260841701"/>
      </top>
      <bottom style="thin">
        <color theme="8" tint="-0.24994659260841701"/>
      </bottom>
      <diagonal/>
    </border>
    <border>
      <left/>
      <right style="thin">
        <color theme="8" tint="-0.24994659260841701"/>
      </right>
      <top style="medium">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top style="thin">
        <color theme="8" tint="-0.24994659260841701"/>
      </top>
      <bottom/>
      <diagonal/>
    </border>
    <border>
      <left style="medium">
        <color theme="8" tint="-0.24994659260841701"/>
      </left>
      <right style="thin">
        <color theme="8" tint="-0.24994659260841701"/>
      </right>
      <top style="thin">
        <color theme="8" tint="-0.24994659260841701"/>
      </top>
      <bottom/>
      <diagonal/>
    </border>
    <border>
      <left style="thin">
        <color theme="8" tint="-0.24994659260841701"/>
      </left>
      <right style="medium">
        <color theme="8" tint="-0.24994659260841701"/>
      </right>
      <top style="thin">
        <color theme="8" tint="-0.24994659260841701"/>
      </top>
      <bottom/>
      <diagonal/>
    </border>
    <border>
      <left/>
      <right style="thin">
        <color theme="8" tint="-0.24994659260841701"/>
      </right>
      <top style="thin">
        <color theme="8" tint="-0.24994659260841701"/>
      </top>
      <bottom/>
      <diagonal/>
    </border>
    <border>
      <left style="medium">
        <color theme="8" tint="-0.24994659260841701"/>
      </left>
      <right style="thin">
        <color theme="8" tint="-0.24994659260841701"/>
      </right>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medium">
        <color theme="8" tint="-0.24994659260841701"/>
      </left>
      <right style="thin">
        <color theme="8" tint="-0.24994659260841701"/>
      </right>
      <top style="medium">
        <color theme="8" tint="-0.24994659260841701"/>
      </top>
      <bottom style="medium">
        <color theme="8" tint="-0.24994659260841701"/>
      </bottom>
      <diagonal/>
    </border>
    <border>
      <left style="thin">
        <color theme="8" tint="-0.24994659260841701"/>
      </left>
      <right style="thin">
        <color theme="8" tint="-0.24994659260841701"/>
      </right>
      <top style="medium">
        <color theme="8" tint="-0.24994659260841701"/>
      </top>
      <bottom style="medium">
        <color theme="8" tint="-0.24994659260841701"/>
      </bottom>
      <diagonal/>
    </border>
    <border>
      <left style="thin">
        <color theme="8" tint="-0.24994659260841701"/>
      </left>
      <right style="thick">
        <color theme="8" tint="-0.24994659260841701"/>
      </right>
      <top style="medium">
        <color theme="8" tint="-0.24994659260841701"/>
      </top>
      <bottom style="medium">
        <color theme="8" tint="-0.24994659260841701"/>
      </bottom>
      <diagonal/>
    </border>
    <border>
      <left style="thin">
        <color theme="0"/>
      </left>
      <right style="thick">
        <color theme="0"/>
      </right>
      <top style="thin">
        <color theme="0"/>
      </top>
      <bottom style="thin">
        <color theme="0"/>
      </bottom>
      <diagonal/>
    </border>
    <border>
      <left style="thick">
        <color theme="0"/>
      </left>
      <right/>
      <top style="thin">
        <color theme="0"/>
      </top>
      <bottom style="thin">
        <color theme="0"/>
      </bottom>
      <diagonal/>
    </border>
    <border>
      <left/>
      <right/>
      <top/>
      <bottom style="thick">
        <color theme="8" tint="-0.24994659260841701"/>
      </bottom>
      <diagonal/>
    </border>
    <border>
      <left/>
      <right style="thick">
        <color rgb="FFC00000"/>
      </right>
      <top style="thick">
        <color rgb="FFC00000"/>
      </top>
      <bottom style="thick">
        <color rgb="FFC00000"/>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style="thick">
        <color rgb="FFC00000"/>
      </right>
      <top/>
      <bottom style="thick">
        <color rgb="FFC00000"/>
      </bottom>
      <diagonal/>
    </border>
    <border>
      <left/>
      <right/>
      <top style="thick">
        <color rgb="FFC00000"/>
      </top>
      <bottom style="thick">
        <color rgb="FFC00000"/>
      </bottom>
      <diagonal/>
    </border>
    <border>
      <left/>
      <right/>
      <top/>
      <bottom style="thick">
        <color rgb="FFC00000"/>
      </bottom>
      <diagonal/>
    </border>
    <border>
      <left style="thick">
        <color theme="6" tint="-0.24994659260841701"/>
      </left>
      <right/>
      <top style="thick">
        <color theme="6" tint="-0.24994659260841701"/>
      </top>
      <bottom/>
      <diagonal/>
    </border>
    <border>
      <left/>
      <right/>
      <top style="thick">
        <color theme="6" tint="-0.24994659260841701"/>
      </top>
      <bottom/>
      <diagonal/>
    </border>
    <border>
      <left/>
      <right style="thick">
        <color theme="6" tint="-0.24994659260841701"/>
      </right>
      <top style="thick">
        <color theme="6" tint="-0.24994659260841701"/>
      </top>
      <bottom/>
      <diagonal/>
    </border>
    <border>
      <left style="thick">
        <color theme="6" tint="-0.24994659260841701"/>
      </left>
      <right/>
      <top/>
      <bottom/>
      <diagonal/>
    </border>
    <border>
      <left/>
      <right style="thick">
        <color theme="6" tint="-0.24994659260841701"/>
      </right>
      <top/>
      <bottom/>
      <diagonal/>
    </border>
    <border>
      <left style="thick">
        <color theme="6" tint="-0.24994659260841701"/>
      </left>
      <right/>
      <top/>
      <bottom style="thick">
        <color theme="6" tint="-0.24994659260841701"/>
      </bottom>
      <diagonal/>
    </border>
    <border>
      <left style="thick">
        <color theme="6" tint="-0.24994659260841701"/>
      </left>
      <right style="thin">
        <color theme="6" tint="-0.24994659260841701"/>
      </right>
      <top style="medium">
        <color theme="6" tint="-0.24994659260841701"/>
      </top>
      <bottom style="medium">
        <color theme="6" tint="-0.24994659260841701"/>
      </bottom>
      <diagonal/>
    </border>
    <border>
      <left style="thick">
        <color theme="6" tint="-0.24994659260841701"/>
      </left>
      <right style="thin">
        <color theme="6" tint="-0.24994659260841701"/>
      </right>
      <top style="thick">
        <color theme="6" tint="-0.24994659260841701"/>
      </top>
      <bottom style="medium">
        <color theme="6" tint="-0.24994659260841701"/>
      </bottom>
      <diagonal/>
    </border>
    <border>
      <left style="thin">
        <color theme="6" tint="-0.24994659260841701"/>
      </left>
      <right style="thin">
        <color theme="6" tint="-0.24994659260841701"/>
      </right>
      <top style="thick">
        <color theme="6" tint="-0.24994659260841701"/>
      </top>
      <bottom style="medium">
        <color theme="6" tint="-0.24994659260841701"/>
      </bottom>
      <diagonal/>
    </border>
    <border>
      <left style="thin">
        <color theme="3" tint="0.39994506668294322"/>
      </left>
      <right/>
      <top style="thin">
        <color theme="3" tint="0.39991454817346722"/>
      </top>
      <bottom style="thin">
        <color theme="3" tint="0.39994506668294322"/>
      </bottom>
      <diagonal/>
    </border>
    <border>
      <left/>
      <right style="thick">
        <color theme="3" tint="0.39994506668294322"/>
      </right>
      <top style="thin">
        <color theme="3" tint="0.39991454817346722"/>
      </top>
      <bottom style="thin">
        <color theme="3" tint="0.39994506668294322"/>
      </bottom>
      <diagonal/>
    </border>
    <border>
      <left/>
      <right style="thick">
        <color rgb="FFC00000"/>
      </right>
      <top style="dashed">
        <color theme="1"/>
      </top>
      <bottom style="dashed">
        <color theme="1"/>
      </bottom>
      <diagonal/>
    </border>
    <border>
      <left style="thick">
        <color theme="3" tint="0.39994506668294322"/>
      </left>
      <right/>
      <top style="dashed">
        <color auto="1"/>
      </top>
      <bottom style="dashed">
        <color auto="1"/>
      </bottom>
      <diagonal/>
    </border>
    <border>
      <left/>
      <right/>
      <top style="dashed">
        <color auto="1"/>
      </top>
      <bottom style="dashed">
        <color auto="1"/>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n">
        <color theme="6" tint="-0.24994659260841701"/>
      </left>
      <right/>
      <top/>
      <bottom style="thin">
        <color theme="6" tint="-0.24994659260841701"/>
      </bottom>
      <diagonal/>
    </border>
    <border>
      <left style="medium">
        <color indexed="64"/>
      </left>
      <right/>
      <top style="thin">
        <color rgb="FFFFC000"/>
      </top>
      <bottom style="thin">
        <color rgb="FFFFC000"/>
      </bottom>
      <diagonal/>
    </border>
    <border>
      <left/>
      <right style="thin">
        <color rgb="FFFFC000"/>
      </right>
      <top/>
      <bottom/>
      <diagonal/>
    </border>
    <border>
      <left style="dashed">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medium">
        <color indexed="9"/>
      </right>
      <top/>
      <bottom style="thick">
        <color rgb="FFFFC000"/>
      </bottom>
      <diagonal/>
    </border>
    <border>
      <left style="medium">
        <color indexed="64"/>
      </left>
      <right/>
      <top style="thick">
        <color rgb="FFFFC000"/>
      </top>
      <bottom style="medium">
        <color indexed="64"/>
      </bottom>
      <diagonal/>
    </border>
    <border>
      <left/>
      <right style="medium">
        <color indexed="64"/>
      </right>
      <top style="thick">
        <color rgb="FFFFC000"/>
      </top>
      <bottom style="medium">
        <color indexed="64"/>
      </bottom>
      <diagonal/>
    </border>
    <border>
      <left/>
      <right style="thin">
        <color rgb="FFFFC000"/>
      </right>
      <top style="thin">
        <color rgb="FFFFC000"/>
      </top>
      <bottom style="medium">
        <color rgb="FFFFC000"/>
      </bottom>
      <diagonal/>
    </border>
    <border>
      <left style="medium">
        <color theme="9" tint="-0.24994659260841701"/>
      </left>
      <right style="thin">
        <color theme="9" tint="-0.24994659260841701"/>
      </right>
      <top style="thin">
        <color theme="9" tint="-0.24994659260841701"/>
      </top>
      <bottom/>
      <diagonal/>
    </border>
    <border>
      <left/>
      <right/>
      <top style="thick">
        <color theme="9" tint="-0.24994659260841701"/>
      </top>
      <bottom style="thin">
        <color theme="9" tint="-0.24994659260841701"/>
      </bottom>
      <diagonal/>
    </border>
    <border>
      <left style="medium">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diagonal/>
    </border>
    <border>
      <left style="thick">
        <color theme="9" tint="-0.24994659260841701"/>
      </left>
      <right style="thin">
        <color theme="9" tint="-0.24994659260841701"/>
      </right>
      <top style="thick">
        <color theme="9" tint="-0.24994659260841701"/>
      </top>
      <bottom style="thick">
        <color theme="9" tint="-0.24994659260841701"/>
      </bottom>
      <diagonal/>
    </border>
    <border>
      <left style="thin">
        <color theme="9" tint="-0.24994659260841701"/>
      </left>
      <right style="thin">
        <color theme="9" tint="-0.24994659260841701"/>
      </right>
      <top style="thick">
        <color theme="9" tint="-0.24994659260841701"/>
      </top>
      <bottom style="thick">
        <color theme="9" tint="-0.24994659260841701"/>
      </bottom>
      <diagonal/>
    </border>
    <border>
      <left/>
      <right style="thin">
        <color theme="9" tint="-0.24994659260841701"/>
      </right>
      <top style="thick">
        <color theme="9" tint="-0.24994659260841701"/>
      </top>
      <bottom style="thick">
        <color theme="9" tint="-0.24994659260841701"/>
      </bottom>
      <diagonal/>
    </border>
    <border>
      <left style="thin">
        <color theme="9" tint="-0.24994659260841701"/>
      </left>
      <right style="thick">
        <color theme="9" tint="-0.24994659260841701"/>
      </right>
      <top style="thick">
        <color theme="9" tint="-0.24994659260841701"/>
      </top>
      <bottom style="thick">
        <color theme="9" tint="-0.24994659260841701"/>
      </bottom>
      <diagonal/>
    </border>
    <border>
      <left style="thin">
        <color theme="9" tint="-0.24994659260841701"/>
      </left>
      <right style="medium">
        <color theme="9" tint="-0.24994659260841701"/>
      </right>
      <top style="thick">
        <color theme="9" tint="-0.24994659260841701"/>
      </top>
      <bottom style="thick">
        <color theme="9" tint="-0.24994659260841701"/>
      </bottom>
      <diagonal/>
    </border>
    <border>
      <left style="dashed">
        <color theme="2" tint="-0.499984740745262"/>
      </left>
      <right/>
      <top/>
      <bottom style="medium">
        <color theme="2" tint="-0.499984740745262"/>
      </bottom>
      <diagonal/>
    </border>
    <border>
      <left style="thin">
        <color theme="2" tint="-0.499984740745262"/>
      </left>
      <right style="thin">
        <color theme="2" tint="-0.499984740745262"/>
      </right>
      <top style="medium">
        <color theme="2" tint="-0.499984740745262"/>
      </top>
      <bottom style="medium">
        <color theme="2" tint="-0.499984740745262"/>
      </bottom>
      <diagonal/>
    </border>
    <border>
      <left style="thin">
        <color theme="6" tint="0.39994506668294322"/>
      </left>
      <right style="thin">
        <color theme="6" tint="0.39994506668294322"/>
      </right>
      <top/>
      <bottom style="thin">
        <color theme="6" tint="0.39994506668294322"/>
      </bottom>
      <diagonal/>
    </border>
    <border>
      <left style="thin">
        <color theme="6" tint="0.39994506668294322"/>
      </left>
      <right style="thick">
        <color theme="6" tint="0.39991454817346722"/>
      </right>
      <top/>
      <bottom style="thin">
        <color theme="6" tint="0.39994506668294322"/>
      </bottom>
      <diagonal/>
    </border>
    <border>
      <left style="thick">
        <color theme="6" tint="-0.24994659260841701"/>
      </left>
      <right/>
      <top style="thick">
        <color theme="6" tint="-0.24994659260841701"/>
      </top>
      <bottom style="medium">
        <color theme="6" tint="-0.24994659260841701"/>
      </bottom>
      <diagonal/>
    </border>
    <border>
      <left/>
      <right/>
      <top style="thick">
        <color theme="6" tint="-0.24994659260841701"/>
      </top>
      <bottom style="medium">
        <color theme="6" tint="-0.24994659260841701"/>
      </bottom>
      <diagonal/>
    </border>
    <border>
      <left/>
      <right style="thin">
        <color theme="6" tint="-0.24994659260841701"/>
      </right>
      <top style="thick">
        <color theme="6" tint="-0.24994659260841701"/>
      </top>
      <bottom style="medium">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bottom/>
      <diagonal/>
    </border>
    <border>
      <left style="medium">
        <color theme="8" tint="-0.24994659260841701"/>
      </left>
      <right style="medium">
        <color theme="8" tint="-0.24994659260841701"/>
      </right>
      <top/>
      <bottom style="medium">
        <color theme="8" tint="-0.24994659260841701"/>
      </bottom>
      <diagonal/>
    </border>
    <border>
      <left style="thin">
        <color theme="8" tint="-0.24994659260841701"/>
      </left>
      <right style="medium">
        <color theme="8" tint="-0.24994659260841701"/>
      </right>
      <top/>
      <bottom style="thin">
        <color theme="8" tint="-0.24994659260841701"/>
      </bottom>
      <diagonal/>
    </border>
    <border>
      <left style="thin">
        <color theme="8" tint="-0.24994659260841701"/>
      </left>
      <right style="medium">
        <color theme="8" tint="-0.24994659260841701"/>
      </right>
      <top style="medium">
        <color theme="8" tint="-0.24994659260841701"/>
      </top>
      <bottom style="medium">
        <color theme="8" tint="-0.24994659260841701"/>
      </bottom>
      <diagonal/>
    </border>
    <border>
      <left/>
      <right/>
      <top/>
      <bottom style="dashed">
        <color theme="0" tint="-0.34998626667073579"/>
      </bottom>
      <diagonal/>
    </border>
    <border>
      <left style="thick">
        <color rgb="FF00B050"/>
      </left>
      <right/>
      <top style="dashed">
        <color theme="1"/>
      </top>
      <bottom style="dashed">
        <color theme="1"/>
      </bottom>
      <diagonal/>
    </border>
    <border>
      <left/>
      <right/>
      <top style="dashed">
        <color theme="1"/>
      </top>
      <bottom style="dashed">
        <color theme="1"/>
      </bottom>
      <diagonal/>
    </border>
    <border>
      <left/>
      <right style="thick">
        <color rgb="FF00B050"/>
      </right>
      <top style="dashed">
        <color theme="1"/>
      </top>
      <bottom style="dashed">
        <color theme="1"/>
      </bottom>
      <diagonal/>
    </border>
    <border>
      <left style="thick">
        <color rgb="FF00B050"/>
      </left>
      <right/>
      <top style="dashed">
        <color theme="1"/>
      </top>
      <bottom style="thick">
        <color theme="3" tint="0.39994506668294322"/>
      </bottom>
      <diagonal/>
    </border>
    <border>
      <left/>
      <right/>
      <top style="dashed">
        <color theme="1"/>
      </top>
      <bottom style="thick">
        <color theme="3" tint="0.39994506668294322"/>
      </bottom>
      <diagonal/>
    </border>
    <border>
      <left/>
      <right/>
      <top style="dashed">
        <color theme="1"/>
      </top>
      <bottom style="thick">
        <color rgb="FFC00000"/>
      </bottom>
      <diagonal/>
    </border>
    <border>
      <left/>
      <right style="thick">
        <color rgb="FFC00000"/>
      </right>
      <top style="dashed">
        <color theme="1"/>
      </top>
      <bottom style="thick">
        <color rgb="FFC00000"/>
      </bottom>
      <diagonal/>
    </border>
    <border>
      <left/>
      <right style="thick">
        <color theme="9" tint="-0.24994659260841701"/>
      </right>
      <top style="dashed">
        <color auto="1"/>
      </top>
      <bottom style="dashed">
        <color auto="1"/>
      </bottom>
      <diagonal/>
    </border>
    <border>
      <left style="thick">
        <color theme="3" tint="0.39994506668294322"/>
      </left>
      <right/>
      <top style="dashed">
        <color auto="1"/>
      </top>
      <bottom style="thick">
        <color theme="9" tint="-0.24994659260841701"/>
      </bottom>
      <diagonal/>
    </border>
    <border>
      <left/>
      <right/>
      <top style="dashed">
        <color auto="1"/>
      </top>
      <bottom style="thick">
        <color theme="9" tint="-0.24994659260841701"/>
      </bottom>
      <diagonal/>
    </border>
    <border>
      <left/>
      <right style="thick">
        <color theme="9" tint="-0.24994659260841701"/>
      </right>
      <top style="dashed">
        <color auto="1"/>
      </top>
      <bottom style="thick">
        <color theme="9" tint="-0.24994659260841701"/>
      </bottom>
      <diagonal/>
    </border>
    <border>
      <left style="thick">
        <color theme="3" tint="0.39994506668294322"/>
      </left>
      <right/>
      <top style="dashed">
        <color auto="1"/>
      </top>
      <bottom style="thick">
        <color theme="3" tint="0.39994506668294322"/>
      </bottom>
      <diagonal/>
    </border>
    <border>
      <left/>
      <right/>
      <top style="dashed">
        <color auto="1"/>
      </top>
      <bottom style="thick">
        <color theme="3" tint="0.39994506668294322"/>
      </bottom>
      <diagonal/>
    </border>
    <border>
      <left/>
      <right style="thick">
        <color theme="3" tint="0.39994506668294322"/>
      </right>
      <top style="dashed">
        <color auto="1"/>
      </top>
      <bottom style="thick">
        <color theme="3" tint="0.39994506668294322"/>
      </bottom>
      <diagonal/>
    </border>
    <border>
      <left/>
      <right style="thick">
        <color theme="3" tint="0.39994506668294322"/>
      </right>
      <top style="dashed">
        <color auto="1"/>
      </top>
      <bottom style="dashed">
        <color auto="1"/>
      </bottom>
      <diagonal/>
    </border>
    <border>
      <left style="thick">
        <color rgb="FF92D050"/>
      </left>
      <right style="thin">
        <color rgb="FF92D050"/>
      </right>
      <top style="thin">
        <color rgb="FF92D050"/>
      </top>
      <bottom style="medium">
        <color rgb="FF92D050"/>
      </bottom>
      <diagonal/>
    </border>
    <border>
      <left style="thin">
        <color rgb="FF92D050"/>
      </left>
      <right style="thin">
        <color rgb="FF92D050"/>
      </right>
      <top style="thin">
        <color rgb="FF92D050"/>
      </top>
      <bottom style="medium">
        <color rgb="FF92D050"/>
      </bottom>
      <diagonal/>
    </border>
    <border>
      <left style="thin">
        <color rgb="FF92D050"/>
      </left>
      <right/>
      <top style="thin">
        <color rgb="FF92D050"/>
      </top>
      <bottom style="medium">
        <color rgb="FF92D050"/>
      </bottom>
      <diagonal/>
    </border>
    <border>
      <left style="medium">
        <color rgb="FF92D050"/>
      </left>
      <right/>
      <top/>
      <bottom style="medium">
        <color rgb="FF92D050"/>
      </bottom>
      <diagonal/>
    </border>
    <border>
      <left/>
      <right style="medium">
        <color rgb="FF92D050"/>
      </right>
      <top/>
      <bottom style="medium">
        <color rgb="FF92D050"/>
      </bottom>
      <diagonal/>
    </border>
    <border>
      <left style="thin">
        <color rgb="FF92D050"/>
      </left>
      <right style="thick">
        <color rgb="FF92D050"/>
      </right>
      <top style="thin">
        <color rgb="FF92D050"/>
      </top>
      <bottom style="medium">
        <color rgb="FF92D050"/>
      </bottom>
      <diagonal/>
    </border>
    <border>
      <left/>
      <right style="thin">
        <color rgb="FF92D050"/>
      </right>
      <top style="thin">
        <color rgb="FF92D050"/>
      </top>
      <bottom/>
      <diagonal/>
    </border>
    <border>
      <left style="thin">
        <color rgb="FF92D050"/>
      </left>
      <right style="thin">
        <color rgb="FF92D050"/>
      </right>
      <top style="thin">
        <color rgb="FF92D050"/>
      </top>
      <bottom/>
      <diagonal/>
    </border>
    <border>
      <left style="thin">
        <color rgb="FF92D050"/>
      </left>
      <right/>
      <top style="thin">
        <color rgb="FF92D050"/>
      </top>
      <bottom/>
      <diagonal/>
    </border>
    <border>
      <left style="thick">
        <color rgb="FF92D050"/>
      </left>
      <right style="thin">
        <color rgb="FF92D050"/>
      </right>
      <top/>
      <bottom style="thin">
        <color rgb="FF92D050"/>
      </bottom>
      <diagonal/>
    </border>
    <border>
      <left style="thick">
        <color rgb="FF92D050"/>
      </left>
      <right style="thin">
        <color rgb="FF92D050"/>
      </right>
      <top/>
      <bottom/>
      <diagonal/>
    </border>
    <border>
      <left style="thin">
        <color rgb="FF92D050"/>
      </left>
      <right style="thin">
        <color rgb="FF92D050"/>
      </right>
      <top/>
      <bottom/>
      <diagonal/>
    </border>
    <border>
      <left/>
      <right style="medium">
        <color rgb="FF00B050"/>
      </right>
      <top/>
      <bottom style="thick">
        <color rgb="FF00B050"/>
      </bottom>
      <diagonal/>
    </border>
    <border>
      <left style="thin">
        <color rgb="FFFFC000"/>
      </left>
      <right/>
      <top/>
      <bottom/>
      <diagonal/>
    </border>
    <border>
      <left style="thin">
        <color rgb="FFFFC000"/>
      </left>
      <right/>
      <top/>
      <bottom style="medium">
        <color rgb="FFFFC000"/>
      </bottom>
      <diagonal/>
    </border>
    <border>
      <left/>
      <right style="thick">
        <color rgb="FFFFC000"/>
      </right>
      <top/>
      <bottom style="medium">
        <color rgb="FFFFC000"/>
      </bottom>
      <diagonal/>
    </border>
    <border>
      <left style="thin">
        <color theme="0"/>
      </left>
      <right style="thin">
        <color theme="0"/>
      </right>
      <top/>
      <bottom/>
      <diagonal/>
    </border>
    <border>
      <left style="thin">
        <color rgb="FFFFC000"/>
      </left>
      <right style="thick">
        <color theme="0"/>
      </right>
      <top style="thin">
        <color rgb="FFFFC000"/>
      </top>
      <bottom style="thin">
        <color theme="0"/>
      </bottom>
      <diagonal/>
    </border>
    <border>
      <left style="thick">
        <color theme="0"/>
      </left>
      <right/>
      <top style="thin">
        <color rgb="FFFFC000"/>
      </top>
      <bottom style="thin">
        <color theme="0"/>
      </bottom>
      <diagonal/>
    </border>
    <border>
      <left/>
      <right/>
      <top style="medium">
        <color indexed="64"/>
      </top>
      <bottom style="thick">
        <color rgb="FFFFC000"/>
      </bottom>
      <diagonal/>
    </border>
    <border>
      <left style="medium">
        <color rgb="FFFFC000"/>
      </left>
      <right/>
      <top style="thick">
        <color rgb="FFFFC000"/>
      </top>
      <bottom style="thin">
        <color rgb="FFFFC000"/>
      </bottom>
      <diagonal/>
    </border>
    <border>
      <left style="medium">
        <color rgb="FFFFC000"/>
      </left>
      <right/>
      <top style="thin">
        <color rgb="FFFFC000"/>
      </top>
      <bottom style="thin">
        <color rgb="FFFFC000"/>
      </bottom>
      <diagonal/>
    </border>
    <border>
      <left/>
      <right style="medium">
        <color rgb="FFFFC000"/>
      </right>
      <top style="thick">
        <color rgb="FFFFC000"/>
      </top>
      <bottom style="thin">
        <color rgb="FFFFC000"/>
      </bottom>
      <diagonal/>
    </border>
    <border>
      <left/>
      <right style="medium">
        <color rgb="FFFFC000"/>
      </right>
      <top style="thin">
        <color rgb="FFFFC000"/>
      </top>
      <bottom style="thin">
        <color rgb="FFFFC000"/>
      </bottom>
      <diagonal/>
    </border>
    <border>
      <left style="thick">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ck">
        <color theme="9" tint="-0.24994659260841701"/>
      </right>
      <top style="thin">
        <color theme="9" tint="-0.24994659260841701"/>
      </top>
      <bottom style="thick">
        <color theme="9" tint="-0.24994659260841701"/>
      </bottom>
      <diagonal/>
    </border>
    <border>
      <left style="thin">
        <color theme="9" tint="-0.24994659260841701"/>
      </left>
      <right style="medium">
        <color theme="9" tint="-0.24994659260841701"/>
      </right>
      <top style="medium">
        <color theme="9" tint="-0.24994659260841701"/>
      </top>
      <bottom/>
      <diagonal/>
    </border>
    <border>
      <left style="medium">
        <color theme="9" tint="-0.24994659260841701"/>
      </left>
      <right style="thin">
        <color theme="9" tint="-0.24994659260841701"/>
      </right>
      <top style="medium">
        <color theme="9" tint="-0.24994659260841701"/>
      </top>
      <bottom/>
      <diagonal/>
    </border>
    <border>
      <left style="thin">
        <color theme="9" tint="-0.24994659260841701"/>
      </left>
      <right style="thin">
        <color theme="9" tint="-0.24994659260841701"/>
      </right>
      <top style="medium">
        <color theme="9" tint="-0.24994659260841701"/>
      </top>
      <bottom/>
      <diagonal/>
    </border>
    <border>
      <left style="thick">
        <color theme="6" tint="0.39991454817346722"/>
      </left>
      <right style="thin">
        <color theme="6" tint="0.39994506668294322"/>
      </right>
      <top/>
      <bottom style="thin">
        <color theme="6" tint="0.39994506668294322"/>
      </bottom>
      <diagonal/>
    </border>
    <border>
      <left style="thick">
        <color theme="2" tint="-9.9948118533890809E-2"/>
      </left>
      <right style="thin">
        <color theme="2" tint="-9.9948118533890809E-2"/>
      </right>
      <top style="thick">
        <color theme="2" tint="-9.9948118533890809E-2"/>
      </top>
      <bottom style="thin">
        <color theme="2" tint="-9.9948118533890809E-2"/>
      </bottom>
      <diagonal/>
    </border>
    <border>
      <left style="thin">
        <color theme="2" tint="-9.9948118533890809E-2"/>
      </left>
      <right style="thin">
        <color theme="2" tint="-9.9948118533890809E-2"/>
      </right>
      <top style="thick">
        <color theme="2" tint="-9.9948118533890809E-2"/>
      </top>
      <bottom style="thin">
        <color theme="2" tint="-9.9948118533890809E-2"/>
      </bottom>
      <diagonal/>
    </border>
    <border>
      <left style="thin">
        <color theme="2" tint="-9.9948118533890809E-2"/>
      </left>
      <right style="thick">
        <color theme="2" tint="-9.9948118533890809E-2"/>
      </right>
      <top style="thick">
        <color theme="2" tint="-9.9948118533890809E-2"/>
      </top>
      <bottom style="thin">
        <color theme="2" tint="-9.9948118533890809E-2"/>
      </bottom>
      <diagonal/>
    </border>
    <border>
      <left style="thick">
        <color theme="2" tint="-9.9948118533890809E-2"/>
      </left>
      <right style="thin">
        <color theme="2" tint="-9.9948118533890809E-2"/>
      </right>
      <top style="thin">
        <color theme="2" tint="-9.9948118533890809E-2"/>
      </top>
      <bottom style="thick">
        <color theme="2" tint="-9.9948118533890809E-2"/>
      </bottom>
      <diagonal/>
    </border>
    <border>
      <left style="thin">
        <color theme="2" tint="-9.9948118533890809E-2"/>
      </left>
      <right style="thin">
        <color theme="2" tint="-9.9948118533890809E-2"/>
      </right>
      <top style="thin">
        <color theme="2" tint="-9.9948118533890809E-2"/>
      </top>
      <bottom style="thick">
        <color theme="2" tint="-9.9948118533890809E-2"/>
      </bottom>
      <diagonal/>
    </border>
    <border>
      <left style="thin">
        <color theme="2" tint="-9.9948118533890809E-2"/>
      </left>
      <right style="thick">
        <color theme="2" tint="-9.9948118533890809E-2"/>
      </right>
      <top style="thin">
        <color theme="2" tint="-9.9948118533890809E-2"/>
      </top>
      <bottom style="thick">
        <color theme="2" tint="-9.9948118533890809E-2"/>
      </bottom>
      <diagonal/>
    </border>
    <border>
      <left style="thick">
        <color theme="6" tint="0.39991454817346722"/>
      </left>
      <right style="thin">
        <color theme="6" tint="0.39994506668294322"/>
      </right>
      <top style="thin">
        <color theme="6" tint="0.39994506668294322"/>
      </top>
      <bottom/>
      <diagonal/>
    </border>
    <border>
      <left style="thin">
        <color theme="6" tint="0.39994506668294322"/>
      </left>
      <right style="thin">
        <color theme="6" tint="0.39994506668294322"/>
      </right>
      <top style="thin">
        <color theme="6" tint="0.39994506668294322"/>
      </top>
      <bottom/>
      <diagonal/>
    </border>
    <border>
      <left style="thin">
        <color theme="6" tint="0.39994506668294322"/>
      </left>
      <right style="thick">
        <color theme="6" tint="0.39991454817346722"/>
      </right>
      <top style="thin">
        <color theme="6" tint="0.39994506668294322"/>
      </top>
      <bottom/>
      <diagonal/>
    </border>
    <border>
      <left style="thick">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9.9948118533890809E-2"/>
      </right>
      <top style="thin">
        <color theme="2" tint="-9.9948118533890809E-2"/>
      </top>
      <bottom style="thin">
        <color theme="2" tint="-9.9948118533890809E-2"/>
      </bottom>
      <diagonal/>
    </border>
    <border>
      <left style="thick">
        <color theme="2" tint="-9.9948118533890809E-2"/>
      </left>
      <right style="thin">
        <color theme="2" tint="-9.9948118533890809E-2"/>
      </right>
      <top style="thick">
        <color theme="2" tint="-9.9948118533890809E-2"/>
      </top>
      <bottom style="thick">
        <color theme="2" tint="-9.9948118533890809E-2"/>
      </bottom>
      <diagonal/>
    </border>
    <border>
      <left style="thin">
        <color theme="2" tint="-9.9948118533890809E-2"/>
      </left>
      <right style="thin">
        <color theme="2" tint="-9.9948118533890809E-2"/>
      </right>
      <top style="thick">
        <color theme="2" tint="-9.9948118533890809E-2"/>
      </top>
      <bottom style="thick">
        <color theme="2" tint="-9.9948118533890809E-2"/>
      </bottom>
      <diagonal/>
    </border>
    <border>
      <left style="thin">
        <color theme="2" tint="-9.9948118533890809E-2"/>
      </left>
      <right style="thick">
        <color theme="2" tint="-9.9948118533890809E-2"/>
      </right>
      <top style="thick">
        <color theme="2" tint="-9.9948118533890809E-2"/>
      </top>
      <bottom style="thick">
        <color theme="2" tint="-9.9948118533890809E-2"/>
      </bottom>
      <diagonal/>
    </border>
    <border>
      <left style="thick">
        <color theme="5" tint="0.39994506668294322"/>
      </left>
      <right/>
      <top style="thin">
        <color theme="5" tint="0.39994506668294322"/>
      </top>
      <bottom style="medium">
        <color theme="5" tint="0.39991454817346722"/>
      </bottom>
      <diagonal/>
    </border>
    <border>
      <left/>
      <right/>
      <top style="thin">
        <color theme="5" tint="0.39994506668294322"/>
      </top>
      <bottom style="medium">
        <color theme="5" tint="0.39991454817346722"/>
      </bottom>
      <diagonal/>
    </border>
    <border>
      <left/>
      <right style="thick">
        <color theme="5" tint="0.39994506668294322"/>
      </right>
      <top style="thin">
        <color theme="5" tint="0.39994506668294322"/>
      </top>
      <bottom style="medium">
        <color theme="5" tint="0.39991454817346722"/>
      </bottom>
      <diagonal/>
    </border>
    <border>
      <left style="thick">
        <color theme="8" tint="0.39991454817346722"/>
      </left>
      <right style="thin">
        <color theme="8" tint="0.39991454817346722"/>
      </right>
      <top style="thick">
        <color theme="8" tint="0.39991454817346722"/>
      </top>
      <bottom style="thin">
        <color theme="8" tint="0.39991454817346722"/>
      </bottom>
      <diagonal/>
    </border>
    <border>
      <left style="thin">
        <color theme="8" tint="0.39991454817346722"/>
      </left>
      <right style="thin">
        <color theme="8" tint="0.39991454817346722"/>
      </right>
      <top style="thick">
        <color theme="8" tint="0.39991454817346722"/>
      </top>
      <bottom style="thin">
        <color theme="8" tint="0.39991454817346722"/>
      </bottom>
      <diagonal/>
    </border>
    <border>
      <left style="thin">
        <color theme="8" tint="0.39991454817346722"/>
      </left>
      <right style="thick">
        <color theme="8" tint="0.39991454817346722"/>
      </right>
      <top style="thick">
        <color theme="8" tint="0.39991454817346722"/>
      </top>
      <bottom style="thin">
        <color theme="8" tint="0.39991454817346722"/>
      </bottom>
      <diagonal/>
    </border>
    <border>
      <left style="thick">
        <color theme="8" tint="0.39991454817346722"/>
      </left>
      <right style="thin">
        <color theme="8" tint="0.39991454817346722"/>
      </right>
      <top style="thin">
        <color theme="8" tint="0.39991454817346722"/>
      </top>
      <bottom style="thin">
        <color theme="8" tint="0.39991454817346722"/>
      </bottom>
      <diagonal/>
    </border>
    <border>
      <left style="thin">
        <color theme="8" tint="0.39991454817346722"/>
      </left>
      <right style="thin">
        <color theme="8" tint="0.39991454817346722"/>
      </right>
      <top style="thin">
        <color theme="8" tint="0.39991454817346722"/>
      </top>
      <bottom style="thin">
        <color theme="8" tint="0.39991454817346722"/>
      </bottom>
      <diagonal/>
    </border>
    <border>
      <left style="thin">
        <color theme="8" tint="0.39991454817346722"/>
      </left>
      <right style="thick">
        <color theme="8" tint="0.39991454817346722"/>
      </right>
      <top style="thin">
        <color theme="8" tint="0.39991454817346722"/>
      </top>
      <bottom style="thin">
        <color theme="8" tint="0.39991454817346722"/>
      </bottom>
      <diagonal/>
    </border>
    <border>
      <left style="thick">
        <color theme="8" tint="0.39991454817346722"/>
      </left>
      <right style="thin">
        <color theme="8" tint="0.39991454817346722"/>
      </right>
      <top style="thin">
        <color theme="8" tint="0.39991454817346722"/>
      </top>
      <bottom style="thick">
        <color theme="8" tint="0.39991454817346722"/>
      </bottom>
      <diagonal/>
    </border>
    <border>
      <left style="thin">
        <color theme="8" tint="0.39991454817346722"/>
      </left>
      <right style="thin">
        <color theme="8" tint="0.39991454817346722"/>
      </right>
      <top style="thin">
        <color theme="8" tint="0.39991454817346722"/>
      </top>
      <bottom style="thick">
        <color theme="8" tint="0.39991454817346722"/>
      </bottom>
      <diagonal/>
    </border>
    <border>
      <left style="thin">
        <color theme="8" tint="0.39991454817346722"/>
      </left>
      <right style="thick">
        <color theme="8" tint="0.39991454817346722"/>
      </right>
      <top style="thin">
        <color theme="8" tint="0.39991454817346722"/>
      </top>
      <bottom style="thick">
        <color theme="8" tint="0.39991454817346722"/>
      </bottom>
      <diagonal/>
    </border>
    <border>
      <left style="thick">
        <color theme="8" tint="0.39991454817346722"/>
      </left>
      <right/>
      <top style="thin">
        <color theme="8" tint="0.39991454817346722"/>
      </top>
      <bottom style="thin">
        <color theme="8" tint="0.39991454817346722"/>
      </bottom>
      <diagonal/>
    </border>
    <border>
      <left/>
      <right/>
      <top style="thin">
        <color theme="8" tint="0.39991454817346722"/>
      </top>
      <bottom style="thin">
        <color theme="8" tint="0.39991454817346722"/>
      </bottom>
      <diagonal/>
    </border>
    <border>
      <left/>
      <right style="thick">
        <color theme="8" tint="0.39991454817346722"/>
      </right>
      <top style="thin">
        <color theme="8" tint="0.39991454817346722"/>
      </top>
      <bottom style="thin">
        <color theme="8" tint="0.39991454817346722"/>
      </bottom>
      <diagonal/>
    </border>
    <border>
      <left style="thin">
        <color theme="8" tint="0.39991454817346722"/>
      </left>
      <right/>
      <top style="thick">
        <color theme="8" tint="0.39991454817346722"/>
      </top>
      <bottom style="thin">
        <color theme="8" tint="0.39991454817346722"/>
      </bottom>
      <diagonal/>
    </border>
    <border>
      <left/>
      <right style="thin">
        <color theme="8" tint="0.39991454817346722"/>
      </right>
      <top style="thick">
        <color theme="8" tint="0.39991454817346722"/>
      </top>
      <bottom style="thin">
        <color theme="8" tint="0.39991454817346722"/>
      </bottom>
      <diagonal/>
    </border>
    <border>
      <left style="medium">
        <color theme="8" tint="0.39988402966399123"/>
      </left>
      <right style="thin">
        <color theme="8" tint="0.39991454817346722"/>
      </right>
      <top style="thick">
        <color theme="8" tint="0.39991454817346722"/>
      </top>
      <bottom style="thin">
        <color theme="8" tint="0.39991454817346722"/>
      </bottom>
      <diagonal/>
    </border>
    <border>
      <left style="thin">
        <color theme="8" tint="0.39991454817346722"/>
      </left>
      <right style="medium">
        <color theme="8" tint="0.39988402966399123"/>
      </right>
      <top style="thick">
        <color theme="8" tint="0.39991454817346722"/>
      </top>
      <bottom style="thin">
        <color theme="8" tint="0.39991454817346722"/>
      </bottom>
      <diagonal/>
    </border>
    <border>
      <left style="thin">
        <color theme="8" tint="0.39991454817346722"/>
      </left>
      <right/>
      <top style="thin">
        <color theme="8" tint="0.39991454817346722"/>
      </top>
      <bottom style="thin">
        <color theme="8" tint="0.39991454817346722"/>
      </bottom>
      <diagonal/>
    </border>
    <border>
      <left/>
      <right style="thin">
        <color theme="8" tint="0.39991454817346722"/>
      </right>
      <top style="thin">
        <color theme="8" tint="0.39991454817346722"/>
      </top>
      <bottom style="thin">
        <color theme="8" tint="0.39991454817346722"/>
      </bottom>
      <diagonal/>
    </border>
    <border>
      <left style="medium">
        <color theme="8" tint="0.39988402966399123"/>
      </left>
      <right style="thin">
        <color theme="8" tint="0.39991454817346722"/>
      </right>
      <top style="thin">
        <color theme="8" tint="0.39991454817346722"/>
      </top>
      <bottom style="thin">
        <color theme="8" tint="0.39991454817346722"/>
      </bottom>
      <diagonal/>
    </border>
    <border>
      <left style="thin">
        <color theme="8" tint="0.39991454817346722"/>
      </left>
      <right style="medium">
        <color theme="8" tint="0.39988402966399123"/>
      </right>
      <top style="thin">
        <color theme="8" tint="0.39991454817346722"/>
      </top>
      <bottom style="thin">
        <color theme="8" tint="0.39991454817346722"/>
      </bottom>
      <diagonal/>
    </border>
    <border>
      <left/>
      <right style="thin">
        <color theme="8" tint="0.39991454817346722"/>
      </right>
      <top style="thin">
        <color theme="8" tint="0.39991454817346722"/>
      </top>
      <bottom style="thick">
        <color theme="8" tint="0.39991454817346722"/>
      </bottom>
      <diagonal/>
    </border>
    <border>
      <left style="medium">
        <color theme="8" tint="0.39988402966399123"/>
      </left>
      <right style="thin">
        <color theme="8" tint="0.39991454817346722"/>
      </right>
      <top style="thin">
        <color theme="8" tint="0.39991454817346722"/>
      </top>
      <bottom style="thick">
        <color theme="8" tint="0.39991454817346722"/>
      </bottom>
      <diagonal/>
    </border>
    <border>
      <left style="thin">
        <color theme="8" tint="0.39991454817346722"/>
      </left>
      <right style="medium">
        <color theme="8" tint="0.39988402966399123"/>
      </right>
      <top style="thin">
        <color theme="8" tint="0.39991454817346722"/>
      </top>
      <bottom style="thick">
        <color theme="8" tint="0.3999145481734672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8" tint="0.39994506668294322"/>
      </left>
      <right style="thick">
        <color theme="8" tint="0.39994506668294322"/>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style="thin">
        <color theme="8" tint="0.39994506668294322"/>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style="medium">
        <color theme="8" tint="0.39991454817346722"/>
      </left>
      <right style="thin">
        <color theme="8" tint="0.39994506668294322"/>
      </right>
      <top style="thin">
        <color theme="8" tint="0.39994506668294322"/>
      </top>
      <bottom style="thin">
        <color theme="8" tint="0.39994506668294322"/>
      </bottom>
      <diagonal/>
    </border>
    <border>
      <left style="thin">
        <color theme="8" tint="0.39994506668294322"/>
      </left>
      <right style="medium">
        <color theme="8" tint="0.39991454817346722"/>
      </right>
      <top style="thin">
        <color theme="8" tint="0.39994506668294322"/>
      </top>
      <bottom style="thin">
        <color theme="8" tint="0.39994506668294322"/>
      </bottom>
      <diagonal/>
    </border>
    <border>
      <left style="thin">
        <color theme="8" tint="0.39994506668294322"/>
      </left>
      <right/>
      <top style="thin">
        <color theme="8" tint="0.39994506668294322"/>
      </top>
      <bottom style="thick">
        <color theme="8" tint="0.39994506668294322"/>
      </bottom>
      <diagonal/>
    </border>
    <border>
      <left style="thick">
        <color theme="8" tint="0.39994506668294322"/>
      </left>
      <right style="thin">
        <color theme="8" tint="0.39994506668294322"/>
      </right>
      <top style="thin">
        <color theme="8" tint="0.39994506668294322"/>
      </top>
      <bottom/>
      <diagonal/>
    </border>
    <border>
      <left style="thick">
        <color theme="8" tint="0.39994506668294322"/>
      </left>
      <right style="thin">
        <color theme="8" tint="0.39994506668294322"/>
      </right>
      <top/>
      <bottom/>
      <diagonal/>
    </border>
    <border>
      <left style="thick">
        <color theme="8" tint="0.39991454817346722"/>
      </left>
      <right style="medium">
        <color theme="8" tint="0.39988402966399123"/>
      </right>
      <top style="thick">
        <color theme="8" tint="0.39988402966399123"/>
      </top>
      <bottom style="medium">
        <color theme="8" tint="0.39988402966399123"/>
      </bottom>
      <diagonal/>
    </border>
    <border>
      <left style="medium">
        <color theme="8" tint="0.39988402966399123"/>
      </left>
      <right style="medium">
        <color theme="8" tint="0.39988402966399123"/>
      </right>
      <top style="thick">
        <color theme="8" tint="0.39988402966399123"/>
      </top>
      <bottom style="medium">
        <color theme="8" tint="0.39988402966399123"/>
      </bottom>
      <diagonal/>
    </border>
    <border>
      <left style="thick">
        <color theme="8" tint="0.39994506668294322"/>
      </left>
      <right/>
      <top/>
      <bottom style="thin">
        <color theme="8" tint="0.39994506668294322"/>
      </bottom>
      <diagonal/>
    </border>
    <border>
      <left/>
      <right/>
      <top/>
      <bottom style="thin">
        <color theme="8" tint="0.39994506668294322"/>
      </bottom>
      <diagonal/>
    </border>
    <border>
      <left/>
      <right style="thick">
        <color theme="8" tint="0.39994506668294322"/>
      </right>
      <top/>
      <bottom style="thin">
        <color theme="8" tint="0.39994506668294322"/>
      </bottom>
      <diagonal/>
    </border>
    <border>
      <left style="thick">
        <color theme="8" tint="0.39994506668294322"/>
      </left>
      <right/>
      <top style="thick">
        <color theme="8" tint="0.39994506668294322"/>
      </top>
      <bottom style="medium">
        <color theme="8" tint="0.39991454817346722"/>
      </bottom>
      <diagonal/>
    </border>
    <border>
      <left/>
      <right/>
      <top style="thick">
        <color theme="8" tint="0.39994506668294322"/>
      </top>
      <bottom style="medium">
        <color theme="8" tint="0.39991454817346722"/>
      </bottom>
      <diagonal/>
    </border>
    <border>
      <left style="medium">
        <color theme="8" tint="0.39991454817346722"/>
      </left>
      <right style="thin">
        <color theme="8" tint="0.39994506668294322"/>
      </right>
      <top/>
      <bottom style="medium">
        <color theme="8" tint="0.39991454817346722"/>
      </bottom>
      <diagonal/>
    </border>
    <border>
      <left style="thin">
        <color theme="8" tint="0.39994506668294322"/>
      </left>
      <right style="medium">
        <color theme="8" tint="0.39991454817346722"/>
      </right>
      <top/>
      <bottom style="medium">
        <color theme="8" tint="0.39991454817346722"/>
      </bottom>
      <diagonal/>
    </border>
    <border>
      <left style="thin">
        <color theme="8" tint="0.39994506668294322"/>
      </left>
      <right style="thin">
        <color theme="8" tint="0.39994506668294322"/>
      </right>
      <top/>
      <bottom style="medium">
        <color theme="8" tint="0.39991454817346722"/>
      </bottom>
      <diagonal/>
    </border>
    <border>
      <left/>
      <right style="thin">
        <color theme="8" tint="0.39994506668294322"/>
      </right>
      <top style="thick">
        <color theme="8" tint="0.39994506668294322"/>
      </top>
      <bottom style="medium">
        <color theme="8" tint="0.39991454817346722"/>
      </bottom>
      <diagonal/>
    </border>
    <border>
      <left style="thin">
        <color theme="8" tint="0.39994506668294322"/>
      </left>
      <right style="thin">
        <color theme="8" tint="0.39994506668294322"/>
      </right>
      <top style="thick">
        <color theme="8" tint="0.39994506668294322"/>
      </top>
      <bottom style="medium">
        <color theme="8" tint="0.39991454817346722"/>
      </bottom>
      <diagonal/>
    </border>
    <border>
      <left style="thin">
        <color theme="8" tint="0.39994506668294322"/>
      </left>
      <right style="thick">
        <color theme="8" tint="0.39994506668294322"/>
      </right>
      <top style="thick">
        <color theme="8" tint="0.39994506668294322"/>
      </top>
      <bottom style="medium">
        <color theme="8" tint="0.39991454817346722"/>
      </bottom>
      <diagonal/>
    </border>
    <border>
      <left style="thick">
        <color theme="0" tint="-0.34998626667073579"/>
      </left>
      <right/>
      <top/>
      <bottom/>
      <diagonal/>
    </border>
    <border>
      <left style="thick">
        <color theme="2" tint="-0.499984740745262"/>
      </left>
      <right style="thin">
        <color theme="2" tint="-0.499984740745262"/>
      </right>
      <top/>
      <bottom style="dashed">
        <color theme="2" tint="-0.499984740745262"/>
      </bottom>
      <diagonal/>
    </border>
    <border>
      <left style="thin">
        <color theme="2" tint="-0.499984740745262"/>
      </left>
      <right style="thin">
        <color theme="2" tint="-0.499984740745262"/>
      </right>
      <top/>
      <bottom style="dashed">
        <color theme="2" tint="-0.499984740745262"/>
      </bottom>
      <diagonal/>
    </border>
    <border>
      <left style="thin">
        <color theme="2" tint="-0.499984740745262"/>
      </left>
      <right style="thick">
        <color theme="2" tint="-0.499984740745262"/>
      </right>
      <top/>
      <bottom style="dashed">
        <color theme="2" tint="-0.499984740745262"/>
      </bottom>
      <diagonal/>
    </border>
    <border>
      <left style="thin">
        <color theme="2" tint="-0.499984740745262"/>
      </left>
      <right style="thin">
        <color theme="2" tint="-0.499984740745262"/>
      </right>
      <top style="thin">
        <color theme="2" tint="-0.499984740745262"/>
      </top>
      <bottom/>
      <diagonal/>
    </border>
    <border>
      <left/>
      <right/>
      <top style="medium">
        <color theme="2" tint="-0.24994659260841701"/>
      </top>
      <bottom style="thin">
        <color theme="2" tint="-0.499984740745262"/>
      </bottom>
      <diagonal/>
    </border>
    <border>
      <left/>
      <right style="thin">
        <color theme="2" tint="-0.499984740745262"/>
      </right>
      <top style="medium">
        <color theme="2" tint="-0.24994659260841701"/>
      </top>
      <bottom style="thin">
        <color theme="2" tint="-0.499984740745262"/>
      </bottom>
      <diagonal/>
    </border>
    <border>
      <left style="thin">
        <color theme="2" tint="-0.499984740745262"/>
      </left>
      <right/>
      <top style="medium">
        <color theme="2" tint="-0.24994659260841701"/>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24994659260841701"/>
      </bottom>
      <diagonal/>
    </border>
    <border>
      <left style="thin">
        <color theme="2" tint="-0.499984740745262"/>
      </left>
      <right/>
      <top style="thin">
        <color theme="2" tint="-0.499984740745262"/>
      </top>
      <bottom style="medium">
        <color theme="2" tint="-0.24994659260841701"/>
      </bottom>
      <diagonal/>
    </border>
    <border>
      <left/>
      <right/>
      <top style="thin">
        <color theme="2" tint="-0.499984740745262"/>
      </top>
      <bottom style="medium">
        <color theme="2" tint="-0.24994659260841701"/>
      </bottom>
      <diagonal/>
    </border>
    <border>
      <left/>
      <right style="thin">
        <color theme="2" tint="-0.499984740745262"/>
      </right>
      <top style="thin">
        <color theme="2" tint="-0.499984740745262"/>
      </top>
      <bottom style="medium">
        <color theme="2" tint="-0.24994659260841701"/>
      </bottom>
      <diagonal/>
    </border>
    <border>
      <left style="thick">
        <color theme="2" tint="-0.24994659260841701"/>
      </left>
      <right/>
      <top style="thin">
        <color theme="2" tint="-0.499984740745262"/>
      </top>
      <bottom style="thin">
        <color theme="2" tint="-0.499984740745262"/>
      </bottom>
      <diagonal/>
    </border>
    <border>
      <left/>
      <right style="thick">
        <color theme="2" tint="-0.24994659260841701"/>
      </right>
      <top style="thin">
        <color theme="2" tint="-0.499984740745262"/>
      </top>
      <bottom style="thin">
        <color theme="2" tint="-0.499984740745262"/>
      </bottom>
      <diagonal/>
    </border>
    <border>
      <left style="thick">
        <color theme="2" tint="-0.24994659260841701"/>
      </left>
      <right/>
      <top style="thin">
        <color theme="2" tint="-0.499984740745262"/>
      </top>
      <bottom/>
      <diagonal/>
    </border>
    <border>
      <left style="thin">
        <color theme="2" tint="-0.499984740745262"/>
      </left>
      <right style="thick">
        <color theme="2" tint="-0.24994659260841701"/>
      </right>
      <top style="thin">
        <color theme="2" tint="-0.499984740745262"/>
      </top>
      <bottom/>
      <diagonal/>
    </border>
    <border>
      <left style="thick">
        <color theme="2" tint="-0.24994659260841701"/>
      </left>
      <right/>
      <top style="medium">
        <color theme="2" tint="-0.24994659260841701"/>
      </top>
      <bottom style="thin">
        <color theme="2" tint="-0.499984740745262"/>
      </bottom>
      <diagonal/>
    </border>
    <border>
      <left/>
      <right style="thick">
        <color theme="2" tint="-0.24994659260841701"/>
      </right>
      <top style="medium">
        <color theme="2" tint="-0.24994659260841701"/>
      </top>
      <bottom style="thin">
        <color theme="2" tint="-0.499984740745262"/>
      </bottom>
      <diagonal/>
    </border>
    <border>
      <left style="thick">
        <color theme="2" tint="-0.24994659260841701"/>
      </left>
      <right style="thin">
        <color theme="2" tint="-0.499984740745262"/>
      </right>
      <top style="thin">
        <color theme="2" tint="-0.499984740745262"/>
      </top>
      <bottom style="medium">
        <color theme="2" tint="-0.24994659260841701"/>
      </bottom>
      <diagonal/>
    </border>
    <border>
      <left/>
      <right style="thick">
        <color theme="2" tint="-0.24994659260841701"/>
      </right>
      <top style="thin">
        <color theme="2" tint="-0.499984740745262"/>
      </top>
      <bottom style="medium">
        <color theme="2" tint="-0.24994659260841701"/>
      </bottom>
      <diagonal/>
    </border>
    <border>
      <left style="thick">
        <color theme="2" tint="-0.24994659260841701"/>
      </left>
      <right/>
      <top style="thin">
        <color theme="2" tint="-0.499984740745262"/>
      </top>
      <bottom style="medium">
        <color theme="2" tint="-0.24994659260841701"/>
      </bottom>
      <diagonal/>
    </border>
    <border>
      <left style="thick">
        <color theme="2" tint="-0.24994659260841701"/>
      </left>
      <right/>
      <top/>
      <bottom style="thin">
        <color theme="2" tint="-0.499984740745262"/>
      </bottom>
      <diagonal/>
    </border>
    <border>
      <left/>
      <right style="thick">
        <color theme="2" tint="-0.24994659260841701"/>
      </right>
      <top/>
      <bottom style="thin">
        <color theme="2" tint="-0.499984740745262"/>
      </bottom>
      <diagonal/>
    </border>
    <border>
      <left style="thick">
        <color theme="2" tint="-0.24994659260841701"/>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24994659260841701"/>
      </right>
      <top style="thin">
        <color theme="2" tint="-0.499984740745262"/>
      </top>
      <bottom style="thin">
        <color theme="2" tint="-0.499984740745262"/>
      </bottom>
      <diagonal/>
    </border>
    <border>
      <left style="thick">
        <color theme="2" tint="-0.24994659260841701"/>
      </left>
      <right style="thin">
        <color theme="2" tint="-0.499984740745262"/>
      </right>
      <top/>
      <bottom style="thick">
        <color theme="2" tint="-0.24994659260841701"/>
      </bottom>
      <diagonal/>
    </border>
    <border>
      <left style="thin">
        <color theme="2" tint="-0.499984740745262"/>
      </left>
      <right style="thin">
        <color theme="2" tint="-0.499984740745262"/>
      </right>
      <top/>
      <bottom style="thick">
        <color theme="2" tint="-0.24994659260841701"/>
      </bottom>
      <diagonal/>
    </border>
    <border>
      <left style="thin">
        <color theme="2" tint="-0.499984740745262"/>
      </left>
      <right style="thick">
        <color theme="2" tint="-0.24994659260841701"/>
      </right>
      <top/>
      <bottom style="thick">
        <color theme="2" tint="-0.24994659260841701"/>
      </bottom>
      <diagonal/>
    </border>
    <border>
      <left style="thick">
        <color theme="2" tint="-0.24994659260841701"/>
      </left>
      <right style="thin">
        <color theme="2" tint="-0.499984740745262"/>
      </right>
      <top style="thin">
        <color theme="2" tint="-0.499984740745262"/>
      </top>
      <bottom/>
      <diagonal/>
    </border>
    <border>
      <left style="thick">
        <color theme="2" tint="-0.24994659260841701"/>
      </left>
      <right style="thin">
        <color theme="2" tint="-0.499984740745262"/>
      </right>
      <top style="medium">
        <color theme="2" tint="-0.24994659260841701"/>
      </top>
      <bottom/>
      <diagonal/>
    </border>
    <border>
      <left style="thin">
        <color theme="2" tint="-0.499984740745262"/>
      </left>
      <right style="thin">
        <color theme="2" tint="-0.499984740745262"/>
      </right>
      <top style="medium">
        <color theme="2" tint="-0.24994659260841701"/>
      </top>
      <bottom/>
      <diagonal/>
    </border>
    <border>
      <left style="thin">
        <color theme="2" tint="-0.499984740745262"/>
      </left>
      <right style="thick">
        <color theme="2" tint="-0.24994659260841701"/>
      </right>
      <top style="medium">
        <color theme="2" tint="-0.24994659260841701"/>
      </top>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ck">
        <color theme="2" tint="-0.24994659260841701"/>
      </right>
      <top/>
      <bottom style="thin">
        <color theme="2" tint="-0.499984740745262"/>
      </bottom>
      <diagonal/>
    </border>
    <border>
      <left/>
      <right/>
      <top style="thick">
        <color theme="2" tint="-0.24994659260841701"/>
      </top>
      <bottom style="medium">
        <color theme="2" tint="-0.24994659260841701"/>
      </bottom>
      <diagonal/>
    </border>
    <border>
      <left style="thick">
        <color theme="5" tint="0.59996337778862885"/>
      </left>
      <right/>
      <top/>
      <bottom/>
      <diagonal/>
    </border>
    <border>
      <left/>
      <right style="thick">
        <color theme="0" tint="-0.24994659260841701"/>
      </right>
      <top style="thin">
        <color theme="0" tint="-0.24994659260841701"/>
      </top>
      <bottom style="thin">
        <color theme="0" tint="-0.24994659260841701"/>
      </bottom>
      <diagonal/>
    </border>
    <border>
      <left style="thick">
        <color rgb="FFFF0000"/>
      </left>
      <right/>
      <top/>
      <bottom/>
      <diagonal/>
    </border>
    <border>
      <left style="thick">
        <color theme="0" tint="-0.24994659260841701"/>
      </left>
      <right/>
      <top style="thin">
        <color theme="0" tint="-0.24994659260841701"/>
      </top>
      <bottom style="thin">
        <color theme="0" tint="-0.24994659260841701"/>
      </bottom>
      <diagonal/>
    </border>
    <border>
      <left style="medium">
        <color theme="6" tint="-0.24994659260841701"/>
      </left>
      <right style="thick">
        <color theme="6" tint="-0.24994659260841701"/>
      </right>
      <top style="thick">
        <color theme="6" tint="-0.24994659260841701"/>
      </top>
      <bottom style="thin">
        <color theme="6" tint="-0.24994659260841701"/>
      </bottom>
      <diagonal/>
    </border>
    <border>
      <left style="medium">
        <color theme="6" tint="-0.24994659260841701"/>
      </left>
      <right style="thick">
        <color theme="6" tint="-0.24994659260841701"/>
      </right>
      <top style="thin">
        <color theme="6" tint="-0.24994659260841701"/>
      </top>
      <bottom style="thin">
        <color theme="6" tint="-0.24994659260841701"/>
      </bottom>
      <diagonal/>
    </border>
    <border>
      <left style="medium">
        <color theme="6" tint="-0.24994659260841701"/>
      </left>
      <right style="thick">
        <color theme="6" tint="-0.24994659260841701"/>
      </right>
      <top style="thick">
        <color theme="6" tint="-0.24994659260841701"/>
      </top>
      <bottom style="thick">
        <color theme="6" tint="-0.24994659260841701"/>
      </bottom>
      <diagonal/>
    </border>
    <border>
      <left style="medium">
        <color theme="6" tint="-0.24994659260841701"/>
      </left>
      <right style="thick">
        <color theme="6" tint="-0.24994659260841701"/>
      </right>
      <top style="thin">
        <color theme="6" tint="-0.24994659260841701"/>
      </top>
      <bottom style="thick">
        <color theme="6" tint="-0.24994659260841701"/>
      </bottom>
      <diagonal/>
    </border>
    <border>
      <left style="medium">
        <color theme="6" tint="-0.24994659260841701"/>
      </left>
      <right style="thick">
        <color theme="6" tint="-0.24994659260841701"/>
      </right>
      <top style="thick">
        <color theme="6" tint="-0.24994659260841701"/>
      </top>
      <bottom/>
      <diagonal/>
    </border>
    <border>
      <left style="medium">
        <color theme="6" tint="-0.24994659260841701"/>
      </left>
      <right style="thick">
        <color theme="6" tint="-0.24994659260841701"/>
      </right>
      <top style="thin">
        <color theme="6" tint="-0.24994659260841701"/>
      </top>
      <bottom/>
      <diagonal/>
    </border>
    <border>
      <left style="medium">
        <color theme="6" tint="-0.24994659260841701"/>
      </left>
      <right style="thick">
        <color theme="6" tint="-0.24994659260841701"/>
      </right>
      <top/>
      <bottom style="thin">
        <color theme="6" tint="-0.24994659260841701"/>
      </bottom>
      <diagonal/>
    </border>
    <border>
      <left style="medium">
        <color theme="6" tint="-0.24994659260841701"/>
      </left>
      <right style="thick">
        <color theme="6" tint="-0.24994659260841701"/>
      </right>
      <top style="medium">
        <color theme="6" tint="-0.24994659260841701"/>
      </top>
      <bottom style="thin">
        <color theme="6" tint="-0.24994659260841701"/>
      </bottom>
      <diagonal/>
    </border>
    <border>
      <left style="medium">
        <color theme="6" tint="-0.24994659260841701"/>
      </left>
      <right style="thick">
        <color theme="6" tint="-0.24994659260841701"/>
      </right>
      <top style="thin">
        <color theme="6" tint="-0.24994659260841701"/>
      </top>
      <bottom style="medium">
        <color theme="6" tint="-0.24994659260841701"/>
      </bottom>
      <diagonal/>
    </border>
    <border>
      <left style="medium">
        <color theme="6" tint="-0.24994659260841701"/>
      </left>
      <right style="thick">
        <color theme="6" tint="-0.24994659260841701"/>
      </right>
      <top/>
      <bottom style="thick">
        <color theme="6" tint="-0.24994659260841701"/>
      </bottom>
      <diagonal/>
    </border>
    <border>
      <left style="medium">
        <color theme="6" tint="-0.24994659260841701"/>
      </left>
      <right style="thick">
        <color theme="6" tint="-0.24994659260841701"/>
      </right>
      <top style="medium">
        <color theme="6" tint="-0.24994659260841701"/>
      </top>
      <bottom style="thick">
        <color theme="6" tint="-0.24994659260841701"/>
      </bottom>
      <diagonal/>
    </border>
    <border>
      <left style="medium">
        <color theme="6" tint="-0.24994659260841701"/>
      </left>
      <right style="thick">
        <color theme="6" tint="-0.24994659260841701"/>
      </right>
      <top style="medium">
        <color theme="6" tint="-0.24994659260841701"/>
      </top>
      <bottom style="medium">
        <color theme="6" tint="-0.24994659260841701"/>
      </bottom>
      <diagonal/>
    </border>
    <border>
      <left style="thin">
        <color theme="6" tint="-0.24994659260841701"/>
      </left>
      <right/>
      <top style="thick">
        <color theme="6" tint="-0.24994659260841701"/>
      </top>
      <bottom style="medium">
        <color theme="6" tint="-0.24994659260841701"/>
      </bottom>
      <diagonal/>
    </border>
    <border>
      <left style="medium">
        <color theme="6" tint="-0.24994659260841701"/>
      </left>
      <right style="thick">
        <color theme="6" tint="-0.24994659260841701"/>
      </right>
      <top style="thick">
        <color theme="6" tint="-0.24994659260841701"/>
      </top>
      <bottom style="medium">
        <color theme="6" tint="-0.24994659260841701"/>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n">
        <color theme="0" tint="-0.24994659260841701"/>
      </right>
      <top style="thick">
        <color theme="0" tint="-0.24994659260841701"/>
      </top>
      <bottom/>
      <diagonal/>
    </border>
    <border>
      <left style="thin">
        <color theme="0" tint="-0.24994659260841701"/>
      </left>
      <right style="thick">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ck">
        <color theme="0" tint="-0.24994659260841701"/>
      </right>
      <top style="medium">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medium">
        <color theme="0" tint="-0.24994659260841701"/>
      </bottom>
      <diagonal/>
    </border>
    <border>
      <left style="thick">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ck">
        <color theme="2" tint="-0.499984740745262"/>
      </right>
      <top style="thick">
        <color theme="2" tint="-0.499984740745262"/>
      </top>
      <bottom style="thick">
        <color theme="2" tint="-0.499984740745262"/>
      </bottom>
      <diagonal/>
    </border>
    <border>
      <left/>
      <right style="medium">
        <color theme="6" tint="-0.24994659260841701"/>
      </right>
      <top style="thin">
        <color theme="6" tint="-0.24994659260841701"/>
      </top>
      <bottom/>
      <diagonal/>
    </border>
    <border>
      <left/>
      <right/>
      <top/>
      <bottom style="thin">
        <color theme="6" tint="-0.24994659260841701"/>
      </bottom>
      <diagonal/>
    </border>
    <border>
      <left/>
      <right style="medium">
        <color theme="6" tint="-0.24994659260841701"/>
      </right>
      <top/>
      <bottom style="thin">
        <color theme="6" tint="-0.24994659260841701"/>
      </bottom>
      <diagonal/>
    </border>
    <border>
      <left style="thick">
        <color theme="2" tint="-0.24994659260841701"/>
      </left>
      <right style="thin">
        <color theme="2" tint="-0.499984740745262"/>
      </right>
      <top style="thick">
        <color theme="2" tint="-0.24994659260841701"/>
      </top>
      <bottom style="thin">
        <color theme="2" tint="-0.499984740745262"/>
      </bottom>
      <diagonal/>
    </border>
    <border>
      <left style="thin">
        <color theme="2" tint="-0.499984740745262"/>
      </left>
      <right style="thick">
        <color theme="2" tint="-0.24994659260841701"/>
      </right>
      <top style="thick">
        <color theme="2" tint="-0.24994659260841701"/>
      </top>
      <bottom style="thin">
        <color theme="2" tint="-0.499984740745262"/>
      </bottom>
      <diagonal/>
    </border>
    <border>
      <left/>
      <right style="thick">
        <color theme="2" tint="-0.24994659260841701"/>
      </right>
      <top/>
      <bottom/>
      <diagonal/>
    </border>
    <border>
      <left/>
      <right/>
      <top style="medium">
        <color theme="2" tint="-0.24994659260841701"/>
      </top>
      <bottom/>
      <diagonal/>
    </border>
    <border>
      <left/>
      <right style="thick">
        <color theme="2" tint="-0.24994659260841701"/>
      </right>
      <top style="medium">
        <color theme="2" tint="-0.24994659260841701"/>
      </top>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thin">
        <color theme="2" tint="-0.499984740745262"/>
      </left>
      <right style="thick">
        <color theme="6" tint="-0.24994659260841701"/>
      </right>
      <top style="thin">
        <color theme="2" tint="-0.499984740745262"/>
      </top>
      <bottom style="thin">
        <color theme="2" tint="-0.499984740745262"/>
      </bottom>
      <diagonal/>
    </border>
    <border>
      <left style="thick">
        <color theme="2" tint="-0.499984740745262"/>
      </left>
      <right style="thin">
        <color theme="2" tint="-0.499984740745262"/>
      </right>
      <top style="thin">
        <color theme="6" tint="-0.24994659260841701"/>
      </top>
      <bottom style="thin">
        <color theme="6" tint="-0.24994659260841701"/>
      </bottom>
      <diagonal/>
    </border>
    <border>
      <left style="thin">
        <color theme="2" tint="-0.499984740745262"/>
      </left>
      <right style="thin">
        <color theme="6" tint="-0.24994659260841701"/>
      </right>
      <top style="thin">
        <color theme="6" tint="-0.24994659260841701"/>
      </top>
      <bottom style="thin">
        <color theme="6" tint="-0.24994659260841701"/>
      </bottom>
      <diagonal/>
    </border>
    <border>
      <left/>
      <right/>
      <top style="thick">
        <color theme="8" tint="0.39991454817346722"/>
      </top>
      <bottom/>
      <diagonal/>
    </border>
    <border>
      <left style="thick">
        <color rgb="FF0070C0"/>
      </left>
      <right/>
      <top style="thick">
        <color rgb="FF0070C0"/>
      </top>
      <bottom/>
      <diagonal/>
    </border>
    <border>
      <left style="thick">
        <color rgb="FF0070C0"/>
      </left>
      <right/>
      <top/>
      <bottom style="thick">
        <color rgb="FF0070C0"/>
      </bottom>
      <diagonal/>
    </border>
    <border>
      <left style="thin">
        <color rgb="FF0070C0"/>
      </left>
      <right style="thin">
        <color rgb="FF0070C0"/>
      </right>
      <top style="thick">
        <color rgb="FF0070C0"/>
      </top>
      <bottom/>
      <diagonal/>
    </border>
    <border>
      <left style="thin">
        <color rgb="FF0070C0"/>
      </left>
      <right style="thin">
        <color rgb="FF0070C0"/>
      </right>
      <top/>
      <bottom style="thick">
        <color rgb="FF0070C0"/>
      </bottom>
      <diagonal/>
    </border>
    <border>
      <left style="thin">
        <color rgb="FF0070C0"/>
      </left>
      <right style="thick">
        <color rgb="FF0070C0"/>
      </right>
      <top/>
      <bottom style="thick">
        <color rgb="FF0070C0"/>
      </bottom>
      <diagonal/>
    </border>
    <border>
      <left style="thin">
        <color theme="8" tint="-0.24994659260841701"/>
      </left>
      <right style="thick">
        <color theme="8" tint="-0.24994659260841701"/>
      </right>
      <top/>
      <bottom/>
      <diagonal/>
    </border>
    <border>
      <left/>
      <right style="thick">
        <color theme="8" tint="-0.24994659260841701"/>
      </right>
      <top style="medium">
        <color theme="8" tint="-0.24994659260841701"/>
      </top>
      <bottom style="medium">
        <color theme="8" tint="-0.24994659260841701"/>
      </bottom>
      <diagonal/>
    </border>
    <border>
      <left/>
      <right/>
      <top style="medium">
        <color theme="8" tint="-0.24994659260841701"/>
      </top>
      <bottom style="medium">
        <color theme="8" tint="-0.24994659260841701"/>
      </bottom>
      <diagonal/>
    </border>
    <border>
      <left style="thick">
        <color theme="8" tint="-0.24994659260841701"/>
      </left>
      <right style="thin">
        <color theme="8" tint="-0.24994659260841701"/>
      </right>
      <top style="thick">
        <color theme="8" tint="-0.24994659260841701"/>
      </top>
      <bottom style="medium">
        <color theme="8" tint="-0.24994659260841701"/>
      </bottom>
      <diagonal/>
    </border>
    <border>
      <left style="thin">
        <color theme="8" tint="-0.24994659260841701"/>
      </left>
      <right style="thin">
        <color theme="8" tint="-0.24994659260841701"/>
      </right>
      <top style="thick">
        <color theme="8" tint="-0.24994659260841701"/>
      </top>
      <bottom style="medium">
        <color theme="8" tint="-0.24994659260841701"/>
      </bottom>
      <diagonal/>
    </border>
    <border>
      <left style="thin">
        <color theme="8" tint="-0.24994659260841701"/>
      </left>
      <right style="thick">
        <color theme="8" tint="-0.24994659260841701"/>
      </right>
      <top style="thick">
        <color theme="8" tint="-0.24994659260841701"/>
      </top>
      <bottom style="medium">
        <color theme="8" tint="-0.24994659260841701"/>
      </bottom>
      <diagonal/>
    </border>
    <border>
      <left style="thick">
        <color theme="8" tint="-0.24994659260841701"/>
      </left>
      <right style="thin">
        <color theme="8" tint="-0.24994659260841701"/>
      </right>
      <top style="medium">
        <color theme="8" tint="-0.24994659260841701"/>
      </top>
      <bottom style="medium">
        <color theme="8" tint="-0.24994659260841701"/>
      </bottom>
      <diagonal/>
    </border>
    <border>
      <left style="thick">
        <color theme="8" tint="-0.24994659260841701"/>
      </left>
      <right style="thin">
        <color theme="8" tint="-0.24994659260841701"/>
      </right>
      <top/>
      <bottom/>
      <diagonal/>
    </border>
    <border>
      <left style="thick">
        <color theme="8" tint="-0.24994659260841701"/>
      </left>
      <right style="thin">
        <color theme="8" tint="-0.24994659260841701"/>
      </right>
      <top style="thick">
        <color theme="8" tint="-0.24994659260841701"/>
      </top>
      <bottom style="thick">
        <color theme="8" tint="-0.24994659260841701"/>
      </bottom>
      <diagonal/>
    </border>
    <border>
      <left style="thin">
        <color theme="8" tint="-0.24994659260841701"/>
      </left>
      <right style="thin">
        <color theme="8" tint="-0.24994659260841701"/>
      </right>
      <top style="thick">
        <color theme="8" tint="-0.24994659260841701"/>
      </top>
      <bottom style="thick">
        <color theme="8" tint="-0.24994659260841701"/>
      </bottom>
      <diagonal/>
    </border>
    <border>
      <left style="thin">
        <color theme="8" tint="-0.24994659260841701"/>
      </left>
      <right style="thick">
        <color theme="8" tint="-0.24994659260841701"/>
      </right>
      <top style="thick">
        <color theme="8" tint="-0.24994659260841701"/>
      </top>
      <bottom style="thick">
        <color theme="8" tint="-0.24994659260841701"/>
      </bottom>
      <diagonal/>
    </border>
    <border>
      <left/>
      <right style="thick">
        <color theme="8" tint="-0.24994659260841701"/>
      </right>
      <top style="thin">
        <color theme="8" tint="-0.24994659260841701"/>
      </top>
      <bottom/>
      <diagonal/>
    </border>
    <border>
      <left/>
      <right/>
      <top style="thin">
        <color theme="8" tint="-0.24994659260841701"/>
      </top>
      <bottom/>
      <diagonal/>
    </border>
    <border>
      <left/>
      <right style="thick">
        <color theme="8" tint="-0.24994659260841701"/>
      </right>
      <top/>
      <bottom/>
      <diagonal/>
    </border>
    <border>
      <left style="thick">
        <color theme="8" tint="-0.24994659260841701"/>
      </left>
      <right style="thin">
        <color theme="8" tint="-0.24994659260841701"/>
      </right>
      <top style="medium">
        <color theme="8" tint="-0.24994659260841701"/>
      </top>
      <bottom/>
      <diagonal/>
    </border>
    <border>
      <left style="thin">
        <color theme="8" tint="-0.24994659260841701"/>
      </left>
      <right style="thin">
        <color theme="8" tint="-0.24994659260841701"/>
      </right>
      <top style="medium">
        <color theme="8" tint="-0.24994659260841701"/>
      </top>
      <bottom/>
      <diagonal/>
    </border>
    <border>
      <left style="thin">
        <color theme="8" tint="-0.24994659260841701"/>
      </left>
      <right style="thick">
        <color theme="8" tint="-0.24994659260841701"/>
      </right>
      <top style="medium">
        <color theme="8" tint="-0.24994659260841701"/>
      </top>
      <bottom/>
      <diagonal/>
    </border>
    <border>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style="thin">
        <color theme="2" tint="-0.749961851863155"/>
      </left>
      <right style="thin">
        <color theme="2" tint="-0.749961851863155"/>
      </right>
      <top style="thick">
        <color theme="2" tint="-0.749961851863155"/>
      </top>
      <bottom/>
      <diagonal/>
    </border>
    <border>
      <left style="thin">
        <color theme="2" tint="-0.749961851863155"/>
      </left>
      <right style="thick">
        <color theme="2" tint="-0.749961851863155"/>
      </right>
      <top style="thick">
        <color theme="2" tint="-0.749961851863155"/>
      </top>
      <bottom/>
      <diagonal/>
    </border>
    <border>
      <left style="thick">
        <color theme="2" tint="-0.749961851863155"/>
      </left>
      <right style="thin">
        <color theme="2" tint="-0.749961851863155"/>
      </right>
      <top/>
      <bottom/>
      <diagonal/>
    </border>
    <border>
      <left style="thin">
        <color theme="2" tint="-0.749961851863155"/>
      </left>
      <right style="thin">
        <color theme="2" tint="-0.749961851863155"/>
      </right>
      <top/>
      <bottom/>
      <diagonal/>
    </border>
    <border>
      <left style="thin">
        <color theme="2" tint="-0.749961851863155"/>
      </left>
      <right style="thick">
        <color theme="2" tint="-0.749961851863155"/>
      </right>
      <top/>
      <bottom/>
      <diagonal/>
    </border>
    <border>
      <left style="thin">
        <color theme="2" tint="-0.749961851863155"/>
      </left>
      <right style="thin">
        <color theme="2" tint="-0.749961851863155"/>
      </right>
      <top/>
      <bottom style="thick">
        <color theme="2" tint="-0.749961851863155"/>
      </bottom>
      <diagonal/>
    </border>
    <border>
      <left style="thin">
        <color theme="2" tint="-0.749961851863155"/>
      </left>
      <right style="thick">
        <color theme="2" tint="-0.749961851863155"/>
      </right>
      <top/>
      <bottom style="thick">
        <color theme="2" tint="-0.749961851863155"/>
      </bottom>
      <diagonal/>
    </border>
    <border>
      <left style="thick">
        <color theme="2" tint="-0.749961851863155"/>
      </left>
      <right/>
      <top style="thick">
        <color theme="2" tint="-0.749961851863155"/>
      </top>
      <bottom/>
      <diagonal/>
    </border>
    <border>
      <left/>
      <right style="thin">
        <color theme="2" tint="-0.749961851863155"/>
      </right>
      <top style="thick">
        <color theme="2" tint="-0.749961851863155"/>
      </top>
      <bottom/>
      <diagonal/>
    </border>
    <border>
      <left style="thick">
        <color theme="2" tint="-0.749961851863155"/>
      </left>
      <right/>
      <top/>
      <bottom style="thick">
        <color theme="2" tint="-0.749961851863155"/>
      </bottom>
      <diagonal/>
    </border>
    <border>
      <left/>
      <right style="thin">
        <color theme="2" tint="-0.749961851863155"/>
      </right>
      <top/>
      <bottom style="thick">
        <color theme="2" tint="-0.749961851863155"/>
      </bottom>
      <diagonal/>
    </border>
    <border>
      <left style="thick">
        <color theme="2" tint="-0.499984740745262"/>
      </left>
      <right/>
      <top style="medium">
        <color theme="2" tint="-0.499984740745262"/>
      </top>
      <bottom/>
      <diagonal/>
    </border>
    <border>
      <left/>
      <right/>
      <top style="medium">
        <color theme="2" tint="-0.499984740745262"/>
      </top>
      <bottom/>
      <diagonal/>
    </border>
    <border>
      <left/>
      <right style="thin">
        <color theme="2" tint="-0.499984740745262"/>
      </right>
      <top style="medium">
        <color theme="2" tint="-0.499984740745262"/>
      </top>
      <bottom/>
      <diagonal/>
    </border>
    <border>
      <left style="thin">
        <color theme="2" tint="-0.499984740745262"/>
      </left>
      <right/>
      <top style="medium">
        <color theme="2" tint="-0.499984740745262"/>
      </top>
      <bottom/>
      <diagonal/>
    </border>
    <border>
      <left/>
      <right style="thick">
        <color theme="2" tint="-0.499984740745262"/>
      </right>
      <top style="medium">
        <color theme="2" tint="-0.499984740745262"/>
      </top>
      <bottom/>
      <diagonal/>
    </border>
    <border>
      <left style="medium">
        <color theme="8" tint="-0.24994659260841701"/>
      </left>
      <right style="thin">
        <color theme="8" tint="-0.24994659260841701"/>
      </right>
      <top/>
      <bottom/>
      <diagonal/>
    </border>
    <border>
      <left style="thin">
        <color theme="8" tint="-0.24994659260841701"/>
      </left>
      <right style="medium">
        <color theme="8" tint="-0.24994659260841701"/>
      </right>
      <top/>
      <bottom/>
      <diagonal/>
    </border>
    <border>
      <left style="medium">
        <color theme="8" tint="-0.24994659260841701"/>
      </left>
      <right/>
      <top style="thin">
        <color theme="8" tint="-0.24994659260841701"/>
      </top>
      <bottom style="medium">
        <color theme="8" tint="-0.24994659260841701"/>
      </bottom>
      <diagonal/>
    </border>
    <border>
      <left/>
      <right style="thin">
        <color theme="8" tint="-0.24994659260841701"/>
      </right>
      <top style="thin">
        <color theme="8" tint="-0.24994659260841701"/>
      </top>
      <bottom style="medium">
        <color theme="8" tint="-0.24994659260841701"/>
      </bottom>
      <diagonal/>
    </border>
    <border>
      <left style="thin">
        <color theme="0" tint="-0.24994659260841701"/>
      </left>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medium">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ck">
        <color theme="0" tint="-0.24994659260841701"/>
      </right>
      <top/>
      <bottom style="thin">
        <color theme="0" tint="-0.24994659260841701"/>
      </bottom>
      <diagonal/>
    </border>
    <border>
      <left style="thick">
        <color theme="0" tint="-0.24994659260841701"/>
      </left>
      <right style="medium">
        <color theme="0" tint="-0.24994659260841701"/>
      </right>
      <top style="medium">
        <color theme="0" tint="-0.24994659260841701"/>
      </top>
      <bottom/>
      <diagonal/>
    </border>
    <border>
      <left style="thick">
        <color theme="0" tint="-0.24994659260841701"/>
      </left>
      <right style="medium">
        <color theme="0" tint="-0.24994659260841701"/>
      </right>
      <top/>
      <bottom style="medium">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right style="thin">
        <color theme="0" tint="-0.24994659260841701"/>
      </right>
      <top/>
      <bottom/>
      <diagonal/>
    </border>
    <border>
      <left style="thin">
        <color theme="0" tint="-0.24994659260841701"/>
      </left>
      <right/>
      <top/>
      <bottom/>
      <diagonal/>
    </border>
    <border>
      <left style="thin">
        <color theme="0" tint="-0.24994659260841701"/>
      </left>
      <right style="thick">
        <color theme="0" tint="-0.24994659260841701"/>
      </right>
      <top/>
      <bottom/>
      <diagonal/>
    </border>
    <border>
      <left style="medium">
        <color theme="0" tint="-0.24994659260841701"/>
      </left>
      <right/>
      <top/>
      <bottom style="thick">
        <color theme="0" tint="-0.24994659260841701"/>
      </bottom>
      <diagonal/>
    </border>
    <border>
      <left/>
      <right style="thin">
        <color theme="0" tint="-0.24994659260841701"/>
      </right>
      <top/>
      <bottom style="thick">
        <color theme="0" tint="-0.24994659260841701"/>
      </bottom>
      <diagonal/>
    </border>
    <border>
      <left/>
      <right style="thin">
        <color theme="0" tint="-0.24994659260841701"/>
      </right>
      <top style="thin">
        <color theme="0" tint="-0.24994659260841701"/>
      </top>
      <bottom style="thick">
        <color theme="0" tint="-0.24994659260841701"/>
      </bottom>
      <diagonal/>
    </border>
    <border>
      <left style="thin">
        <color theme="0" tint="-0.24994659260841701"/>
      </left>
      <right style="thick">
        <color theme="0" tint="-0.24994659260841701"/>
      </right>
      <top style="thin">
        <color theme="0" tint="-0.2499465926084170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style="medium">
        <color auto="1"/>
      </right>
      <top/>
      <bottom/>
      <diagonal/>
    </border>
    <border>
      <left style="medium">
        <color indexed="64"/>
      </left>
      <right/>
      <top style="thin">
        <color theme="2" tint="-0.499984740745262"/>
      </top>
      <bottom style="thin">
        <color theme="2" tint="-0.499984740745262"/>
      </bottom>
      <diagonal/>
    </border>
    <border>
      <left/>
      <right style="medium">
        <color indexed="64"/>
      </right>
      <top style="thin">
        <color theme="2" tint="-0.499984740745262"/>
      </top>
      <bottom style="thin">
        <color theme="2" tint="-0.499984740745262"/>
      </bottom>
      <diagonal/>
    </border>
    <border>
      <left style="medium">
        <color indexed="64"/>
      </left>
      <right/>
      <top/>
      <bottom style="thin">
        <color theme="2" tint="-0.499984740745262"/>
      </bottom>
      <diagonal/>
    </border>
    <border>
      <left/>
      <right style="medium">
        <color indexed="64"/>
      </right>
      <top/>
      <bottom style="thin">
        <color theme="2" tint="-0.499984740745262"/>
      </bottom>
      <diagonal/>
    </border>
    <border>
      <left/>
      <right style="thin">
        <color theme="2" tint="-0.499984740745262"/>
      </right>
      <top/>
      <bottom/>
      <diagonal/>
    </border>
    <border>
      <left style="thin">
        <color theme="2" tint="-0.499984740745262"/>
      </left>
      <right style="medium">
        <color indexed="64"/>
      </right>
      <top style="thin">
        <color theme="2" tint="-0.499984740745262"/>
      </top>
      <bottom/>
      <diagonal/>
    </border>
    <border>
      <left style="thin">
        <color theme="2" tint="-0.499984740745262"/>
      </left>
      <right style="medium">
        <color indexed="64"/>
      </right>
      <top/>
      <bottom/>
      <diagonal/>
    </border>
    <border>
      <left style="thin">
        <color theme="2" tint="-0.499984740745262"/>
      </left>
      <right style="medium">
        <color indexed="64"/>
      </right>
      <top/>
      <bottom style="thin">
        <color theme="2" tint="-0.499984740745262"/>
      </bottom>
      <diagonal/>
    </border>
    <border>
      <left style="thin">
        <color theme="2" tint="-0.499984740745262"/>
      </left>
      <right style="medium">
        <color indexed="64"/>
      </right>
      <top style="thick">
        <color theme="2" tint="-0.499984740745262"/>
      </top>
      <bottom/>
      <diagonal/>
    </border>
    <border>
      <left style="medium">
        <color indexed="64"/>
      </left>
      <right/>
      <top style="thick">
        <color theme="2" tint="-0.499984740745262"/>
      </top>
      <bottom style="medium">
        <color indexed="64"/>
      </bottom>
      <diagonal/>
    </border>
    <border>
      <left/>
      <right/>
      <top style="thick">
        <color theme="2" tint="-0.499984740745262"/>
      </top>
      <bottom style="medium">
        <color indexed="64"/>
      </bottom>
      <diagonal/>
    </border>
    <border>
      <left/>
      <right style="medium">
        <color indexed="64"/>
      </right>
      <top style="thick">
        <color theme="2" tint="-0.499984740745262"/>
      </top>
      <bottom style="medium">
        <color indexed="64"/>
      </bottom>
      <diagonal/>
    </border>
    <border>
      <left/>
      <right style="thin">
        <color theme="2" tint="-0.499984740745262"/>
      </right>
      <top/>
      <bottom style="thick">
        <color theme="2" tint="-0.499984740745262"/>
      </bottom>
      <diagonal/>
    </border>
    <border>
      <left style="thin">
        <color theme="2" tint="-0.499984740745262"/>
      </left>
      <right style="medium">
        <color indexed="64"/>
      </right>
      <top/>
      <bottom style="thick">
        <color theme="2" tint="-0.499984740745262"/>
      </bottom>
      <diagonal/>
    </border>
    <border>
      <left style="medium">
        <color indexed="64"/>
      </left>
      <right/>
      <top style="thin">
        <color theme="2" tint="-0.499984740745262"/>
      </top>
      <bottom style="thick">
        <color theme="2" tint="-0.499984740745262"/>
      </bottom>
      <diagonal/>
    </border>
    <border>
      <left/>
      <right style="medium">
        <color indexed="64"/>
      </right>
      <top style="thin">
        <color theme="2" tint="-0.499984740745262"/>
      </top>
      <bottom style="thick">
        <color theme="2" tint="-0.499984740745262"/>
      </bottom>
      <diagonal/>
    </border>
    <border>
      <left style="medium">
        <color indexed="64"/>
      </left>
      <right/>
      <top style="thin">
        <color theme="2" tint="-0.499984740745262"/>
      </top>
      <bottom/>
      <diagonal/>
    </border>
    <border>
      <left/>
      <right style="medium">
        <color indexed="64"/>
      </right>
      <top style="thin">
        <color theme="2" tint="-0.499984740745262"/>
      </top>
      <bottom/>
      <diagonal/>
    </border>
    <border>
      <left/>
      <right/>
      <top style="thick">
        <color theme="2" tint="-0.499984740745262"/>
      </top>
      <bottom style="thick">
        <color theme="2" tint="-0.499984740745262"/>
      </bottom>
      <diagonal/>
    </border>
    <border>
      <left style="thin">
        <color theme="2" tint="-9.9948118533890809E-2"/>
      </left>
      <right/>
      <top style="thick">
        <color theme="2" tint="-9.9948118533890809E-2"/>
      </top>
      <bottom style="thin">
        <color theme="2" tint="-9.9948118533890809E-2"/>
      </bottom>
      <diagonal/>
    </border>
    <border>
      <left/>
      <right/>
      <top style="thick">
        <color theme="2" tint="-9.9948118533890809E-2"/>
      </top>
      <bottom style="thin">
        <color theme="2" tint="-9.9948118533890809E-2"/>
      </bottom>
      <diagonal/>
    </border>
    <border>
      <left/>
      <right style="thick">
        <color theme="2" tint="-9.9948118533890809E-2"/>
      </right>
      <top style="thick">
        <color theme="2" tint="-9.9948118533890809E-2"/>
      </top>
      <bottom style="thin">
        <color theme="2" tint="-9.9948118533890809E-2"/>
      </bottom>
      <diagonal/>
    </border>
    <border>
      <left style="thin">
        <color theme="2" tint="-9.9948118533890809E-2"/>
      </left>
      <right/>
      <top style="thin">
        <color theme="2" tint="-9.9948118533890809E-2"/>
      </top>
      <bottom style="thick">
        <color theme="2" tint="-9.9948118533890809E-2"/>
      </bottom>
      <diagonal/>
    </border>
    <border>
      <left style="thick">
        <color theme="2" tint="-9.9917600024414813E-2"/>
      </left>
      <right/>
      <top style="thick">
        <color theme="2" tint="-9.9948118533890809E-2"/>
      </top>
      <bottom style="thin">
        <color theme="2" tint="-9.9948118533890809E-2"/>
      </bottom>
      <diagonal/>
    </border>
    <border>
      <left style="thick">
        <color theme="2" tint="-9.9917600024414813E-2"/>
      </left>
      <right style="thin">
        <color theme="2" tint="-9.9948118533890809E-2"/>
      </right>
      <top style="thin">
        <color theme="2" tint="-9.9948118533890809E-2"/>
      </top>
      <bottom style="thick">
        <color theme="2" tint="-9.9948118533890809E-2"/>
      </bottom>
      <diagonal/>
    </border>
    <border>
      <left/>
      <right style="thick">
        <color theme="2" tint="-9.9917600024414813E-2"/>
      </right>
      <top style="thick">
        <color theme="2" tint="-9.9948118533890809E-2"/>
      </top>
      <bottom style="thin">
        <color theme="2" tint="-9.9948118533890809E-2"/>
      </bottom>
      <diagonal/>
    </border>
    <border>
      <left style="thin">
        <color theme="2" tint="-9.9948118533890809E-2"/>
      </left>
      <right style="thick">
        <color theme="2" tint="-9.9917600024414813E-2"/>
      </right>
      <top style="thin">
        <color theme="2" tint="-9.9948118533890809E-2"/>
      </top>
      <bottom style="thick">
        <color theme="2" tint="-9.9948118533890809E-2"/>
      </bottom>
      <diagonal/>
    </border>
    <border>
      <left style="thick">
        <color theme="2" tint="-9.9917600024414813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9.9917600024414813E-2"/>
      </right>
      <top style="thin">
        <color theme="2" tint="-9.9948118533890809E-2"/>
      </top>
      <bottom style="thin">
        <color theme="2" tint="-9.9948118533890809E-2"/>
      </bottom>
      <diagonal/>
    </border>
    <border>
      <left style="thin">
        <color theme="2" tint="-9.9948118533890809E-2"/>
      </left>
      <right/>
      <top style="thick">
        <color theme="2" tint="-9.9948118533890809E-2"/>
      </top>
      <bottom style="thick">
        <color theme="2" tint="-9.9948118533890809E-2"/>
      </bottom>
      <diagonal/>
    </border>
    <border>
      <left/>
      <right style="thin">
        <color theme="2" tint="-9.9948118533890809E-2"/>
      </right>
      <top style="thick">
        <color theme="2" tint="-9.9948118533890809E-2"/>
      </top>
      <bottom style="thick">
        <color theme="2" tint="-9.9948118533890809E-2"/>
      </bottom>
      <diagonal/>
    </border>
    <border>
      <left style="thick">
        <color theme="2" tint="-9.9917600024414813E-2"/>
      </left>
      <right style="thin">
        <color theme="2" tint="-9.9948118533890809E-2"/>
      </right>
      <top style="thick">
        <color theme="2" tint="-9.9948118533890809E-2"/>
      </top>
      <bottom style="thick">
        <color theme="2" tint="-9.9948118533890809E-2"/>
      </bottom>
      <diagonal/>
    </border>
    <border>
      <left style="thin">
        <color theme="2" tint="-9.9948118533890809E-2"/>
      </left>
      <right style="thick">
        <color theme="2" tint="-9.9917600024414813E-2"/>
      </right>
      <top style="thick">
        <color theme="2" tint="-9.9948118533890809E-2"/>
      </top>
      <bottom style="thick">
        <color theme="2" tint="-9.9948118533890809E-2"/>
      </bottom>
      <diagonal/>
    </border>
    <border>
      <left style="thick">
        <color theme="2" tint="-9.9917600024414813E-2"/>
      </left>
      <right/>
      <top style="thin">
        <color theme="2" tint="-9.9948118533890809E-2"/>
      </top>
      <bottom style="thin">
        <color theme="2" tint="-9.9948118533890809E-2"/>
      </bottom>
      <diagonal/>
    </border>
    <border>
      <left/>
      <right style="thick">
        <color theme="2" tint="-9.9917600024414813E-2"/>
      </right>
      <top style="thin">
        <color theme="2" tint="-9.9948118533890809E-2"/>
      </top>
      <bottom style="thin">
        <color theme="2" tint="-9.9948118533890809E-2"/>
      </bottom>
      <diagonal/>
    </border>
    <border>
      <left/>
      <right style="thick">
        <color theme="6" tint="-0.24994659260841701"/>
      </right>
      <top style="thick">
        <color theme="6" tint="-0.24994659260841701"/>
      </top>
      <bottom style="medium">
        <color theme="6" tint="-0.24994659260841701"/>
      </bottom>
      <diagonal/>
    </border>
    <border>
      <left/>
      <right/>
      <top/>
      <bottom style="medium">
        <color theme="6" tint="-0.24994659260841701"/>
      </bottom>
      <diagonal/>
    </border>
    <border>
      <left style="thick">
        <color theme="6" tint="-0.24994659260841701"/>
      </left>
      <right/>
      <top style="thick">
        <color theme="6" tint="-0.24994659260841701"/>
      </top>
      <bottom style="thin">
        <color auto="1"/>
      </bottom>
      <diagonal/>
    </border>
    <border>
      <left/>
      <right/>
      <top style="thick">
        <color theme="6" tint="-0.24994659260841701"/>
      </top>
      <bottom style="thin">
        <color auto="1"/>
      </bottom>
      <diagonal/>
    </border>
    <border>
      <left/>
      <right style="dashed">
        <color theme="6" tint="-0.24994659260841701"/>
      </right>
      <top style="thick">
        <color theme="6" tint="-0.24994659260841701"/>
      </top>
      <bottom style="thin">
        <color auto="1"/>
      </bottom>
      <diagonal/>
    </border>
    <border>
      <left style="dashed">
        <color theme="6" tint="-0.24994659260841701"/>
      </left>
      <right style="dashed">
        <color theme="6" tint="-0.24994659260841701"/>
      </right>
      <top style="thick">
        <color theme="6" tint="-0.24994659260841701"/>
      </top>
      <bottom style="thin">
        <color auto="1"/>
      </bottom>
      <diagonal/>
    </border>
    <border>
      <left style="dashed">
        <color theme="6" tint="-0.24994659260841701"/>
      </left>
      <right style="thick">
        <color theme="6" tint="-0.24994659260841701"/>
      </right>
      <top style="thick">
        <color theme="6" tint="-0.24994659260841701"/>
      </top>
      <bottom style="thin">
        <color auto="1"/>
      </bottom>
      <diagonal/>
    </border>
    <border>
      <left style="thick">
        <color theme="6" tint="-0.24994659260841701"/>
      </left>
      <right/>
      <top style="thin">
        <color auto="1"/>
      </top>
      <bottom style="thick">
        <color theme="6" tint="-0.24994659260841701"/>
      </bottom>
      <diagonal/>
    </border>
    <border>
      <left/>
      <right/>
      <top style="thin">
        <color auto="1"/>
      </top>
      <bottom style="thick">
        <color theme="6" tint="-0.24994659260841701"/>
      </bottom>
      <diagonal/>
    </border>
    <border>
      <left/>
      <right style="dashed">
        <color theme="6" tint="-0.24994659260841701"/>
      </right>
      <top style="thin">
        <color auto="1"/>
      </top>
      <bottom style="thick">
        <color theme="6" tint="-0.24994659260841701"/>
      </bottom>
      <diagonal/>
    </border>
    <border>
      <left style="dashed">
        <color theme="6" tint="-0.24994659260841701"/>
      </left>
      <right style="dashed">
        <color theme="6" tint="-0.24994659260841701"/>
      </right>
      <top style="thin">
        <color auto="1"/>
      </top>
      <bottom style="thick">
        <color theme="6" tint="-0.24994659260841701"/>
      </bottom>
      <diagonal/>
    </border>
    <border>
      <left style="dashed">
        <color theme="6" tint="-0.24994659260841701"/>
      </left>
      <right style="thick">
        <color theme="6" tint="-0.24994659260841701"/>
      </right>
      <top style="thin">
        <color auto="1"/>
      </top>
      <bottom style="thick">
        <color theme="6" tint="-0.24994659260841701"/>
      </bottom>
      <diagonal/>
    </border>
    <border>
      <left style="thin">
        <color theme="6" tint="-0.24994659260841701"/>
      </left>
      <right style="thick">
        <color theme="6" tint="-0.24994659260841701"/>
      </right>
      <top style="thick">
        <color theme="6" tint="-0.24994659260841701"/>
      </top>
      <bottom/>
      <diagonal/>
    </border>
    <border>
      <left style="thick">
        <color theme="6" tint="-0.24994659260841701"/>
      </left>
      <right style="thin">
        <color theme="6" tint="-0.24994659260841701"/>
      </right>
      <top style="thin">
        <color theme="6" tint="-0.24994659260841701"/>
      </top>
      <bottom style="medium">
        <color indexed="64"/>
      </bottom>
      <diagonal/>
    </border>
    <border>
      <left style="thin">
        <color theme="6" tint="-0.24994659260841701"/>
      </left>
      <right style="thin">
        <color theme="6" tint="-0.24994659260841701"/>
      </right>
      <top style="thin">
        <color theme="6" tint="-0.24994659260841701"/>
      </top>
      <bottom style="medium">
        <color indexed="64"/>
      </bottom>
      <diagonal/>
    </border>
    <border>
      <left style="thin">
        <color theme="6" tint="-0.24994659260841701"/>
      </left>
      <right style="thick">
        <color theme="6" tint="-0.24994659260841701"/>
      </right>
      <top style="thin">
        <color theme="6" tint="-0.24994659260841701"/>
      </top>
      <bottom style="medium">
        <color indexed="64"/>
      </bottom>
      <diagonal/>
    </border>
    <border>
      <left style="thick">
        <color theme="6" tint="-0.24994659260841701"/>
      </left>
      <right style="thin">
        <color theme="6" tint="-0.24994659260841701"/>
      </right>
      <top style="medium">
        <color indexed="64"/>
      </top>
      <bottom/>
      <diagonal/>
    </border>
    <border>
      <left style="thin">
        <color theme="6" tint="-0.24994659260841701"/>
      </left>
      <right style="thin">
        <color theme="6" tint="-0.24994659260841701"/>
      </right>
      <top style="medium">
        <color indexed="64"/>
      </top>
      <bottom/>
      <diagonal/>
    </border>
    <border>
      <left style="thin">
        <color theme="6" tint="-0.24994659260841701"/>
      </left>
      <right style="thin">
        <color theme="6" tint="-0.24994659260841701"/>
      </right>
      <top style="medium">
        <color indexed="64"/>
      </top>
      <bottom style="thin">
        <color theme="6" tint="-0.24994659260841701"/>
      </bottom>
      <diagonal/>
    </border>
    <border>
      <left style="thin">
        <color theme="6" tint="-0.24994659260841701"/>
      </left>
      <right style="thick">
        <color theme="6" tint="-0.24994659260841701"/>
      </right>
      <top style="medium">
        <color indexed="64"/>
      </top>
      <bottom style="thin">
        <color theme="6" tint="-0.24994659260841701"/>
      </bottom>
      <diagonal/>
    </border>
    <border>
      <left style="thick">
        <color theme="6" tint="-0.24994659260841701"/>
      </left>
      <right style="thin">
        <color theme="6" tint="-0.24994659260841701"/>
      </right>
      <top style="thin">
        <color indexed="64"/>
      </top>
      <bottom style="thin">
        <color indexed="64"/>
      </bottom>
      <diagonal/>
    </border>
    <border>
      <left style="thin">
        <color theme="6" tint="-0.24994659260841701"/>
      </left>
      <right style="thin">
        <color theme="6" tint="-0.24994659260841701"/>
      </right>
      <top style="thin">
        <color indexed="64"/>
      </top>
      <bottom style="thin">
        <color indexed="64"/>
      </bottom>
      <diagonal/>
    </border>
    <border>
      <left style="thick">
        <color theme="6" tint="-0.24994659260841701"/>
      </left>
      <right/>
      <top style="thin">
        <color auto="1"/>
      </top>
      <bottom style="thin">
        <color auto="1"/>
      </bottom>
      <diagonal/>
    </border>
    <border>
      <left/>
      <right/>
      <top style="thin">
        <color auto="1"/>
      </top>
      <bottom style="thin">
        <color auto="1"/>
      </bottom>
      <diagonal/>
    </border>
    <border>
      <left/>
      <right style="thin">
        <color theme="6" tint="-0.24994659260841701"/>
      </right>
      <top style="thin">
        <color indexed="64"/>
      </top>
      <bottom style="thin">
        <color indexed="64"/>
      </bottom>
      <diagonal/>
    </border>
    <border>
      <left style="thick">
        <color theme="6" tint="-0.24994659260841701"/>
      </left>
      <right style="thin">
        <color theme="6" tint="-0.24994659260841701"/>
      </right>
      <top/>
      <bottom style="medium">
        <color indexed="64"/>
      </bottom>
      <diagonal/>
    </border>
    <border>
      <left style="thin">
        <color theme="6" tint="-0.24994659260841701"/>
      </left>
      <right style="thin">
        <color theme="6" tint="-0.24994659260841701"/>
      </right>
      <top/>
      <bottom style="medium">
        <color indexed="64"/>
      </bottom>
      <diagonal/>
    </border>
    <border>
      <left style="medium">
        <color theme="6" tint="-0.24994659260841701"/>
      </left>
      <right style="thick">
        <color theme="6" tint="-0.24994659260841701"/>
      </right>
      <top style="thin">
        <color theme="6" tint="-0.24994659260841701"/>
      </top>
      <bottom style="medium">
        <color indexed="64"/>
      </bottom>
      <diagonal/>
    </border>
    <border>
      <left style="thin">
        <color indexed="64"/>
      </left>
      <right style="thin">
        <color indexed="64"/>
      </right>
      <top style="medium">
        <color indexed="64"/>
      </top>
      <bottom style="thin">
        <color theme="6" tint="-0.24994659260841701"/>
      </bottom>
      <diagonal/>
    </border>
    <border>
      <left style="thin">
        <color indexed="64"/>
      </left>
      <right style="thick">
        <color theme="6" tint="-0.24994659260841701"/>
      </right>
      <top style="medium">
        <color indexed="64"/>
      </top>
      <bottom style="thin">
        <color theme="6" tint="-0.24994659260841701"/>
      </bottom>
      <diagonal/>
    </border>
    <border>
      <left style="thick">
        <color theme="6" tint="-0.24994659260841701"/>
      </left>
      <right/>
      <top style="thin">
        <color auto="1"/>
      </top>
      <bottom/>
      <diagonal/>
    </border>
    <border>
      <left/>
      <right/>
      <top style="thin">
        <color auto="1"/>
      </top>
      <bottom/>
      <diagonal/>
    </border>
    <border>
      <left/>
      <right style="thin">
        <color theme="6" tint="-0.24994659260841701"/>
      </right>
      <top style="thin">
        <color indexed="64"/>
      </top>
      <bottom/>
      <diagonal/>
    </border>
    <border>
      <left style="thin">
        <color auto="1"/>
      </left>
      <right style="thin">
        <color auto="1"/>
      </right>
      <top style="thick">
        <color theme="6" tint="-0.24994659260841701"/>
      </top>
      <bottom style="thin">
        <color theme="6" tint="-0.24994659260841701"/>
      </bottom>
      <diagonal/>
    </border>
    <border>
      <left style="thin">
        <color auto="1"/>
      </left>
      <right style="thick">
        <color theme="6" tint="-0.24994659260841701"/>
      </right>
      <top style="thick">
        <color theme="6" tint="-0.24994659260841701"/>
      </top>
      <bottom style="thin">
        <color theme="6" tint="-0.24994659260841701"/>
      </bottom>
      <diagonal/>
    </border>
    <border>
      <left style="thin">
        <color auto="1"/>
      </left>
      <right style="thin">
        <color auto="1"/>
      </right>
      <top style="thin">
        <color theme="6" tint="-0.24994659260841701"/>
      </top>
      <bottom style="thin">
        <color theme="6" tint="-0.24994659260841701"/>
      </bottom>
      <diagonal/>
    </border>
    <border>
      <left style="thin">
        <color auto="1"/>
      </left>
      <right style="thick">
        <color theme="6" tint="-0.24994659260841701"/>
      </right>
      <top style="thin">
        <color theme="6" tint="-0.24994659260841701"/>
      </top>
      <bottom style="thin">
        <color theme="6" tint="-0.24994659260841701"/>
      </bottom>
      <diagonal/>
    </border>
    <border>
      <left style="thick">
        <color theme="6" tint="-0.24994659260841701"/>
      </left>
      <right/>
      <top style="thin">
        <color theme="6" tint="-0.24994659260841701"/>
      </top>
      <bottom style="medium">
        <color indexed="64"/>
      </bottom>
      <diagonal/>
    </border>
    <border>
      <left/>
      <right/>
      <top style="thin">
        <color theme="6" tint="-0.24994659260841701"/>
      </top>
      <bottom style="medium">
        <color indexed="64"/>
      </bottom>
      <diagonal/>
    </border>
    <border>
      <left style="thin">
        <color auto="1"/>
      </left>
      <right style="thin">
        <color auto="1"/>
      </right>
      <top style="thin">
        <color theme="6" tint="-0.24994659260841701"/>
      </top>
      <bottom style="medium">
        <color indexed="64"/>
      </bottom>
      <diagonal/>
    </border>
    <border>
      <left style="thin">
        <color auto="1"/>
      </left>
      <right style="thick">
        <color theme="6" tint="-0.24994659260841701"/>
      </right>
      <top style="thin">
        <color theme="6" tint="-0.24994659260841701"/>
      </top>
      <bottom style="medium">
        <color indexed="64"/>
      </bottom>
      <diagonal/>
    </border>
    <border>
      <left style="thick">
        <color theme="2" tint="-0.499984740745262"/>
      </left>
      <right style="thin">
        <color theme="2" tint="-0.499984740745262"/>
      </right>
      <top style="thick">
        <color theme="2" tint="-0.499984740745262"/>
      </top>
      <bottom style="dashed">
        <color theme="2" tint="-0.499984740745262"/>
      </bottom>
      <diagonal/>
    </border>
    <border>
      <left style="thin">
        <color theme="2" tint="-0.499984740745262"/>
      </left>
      <right style="thin">
        <color theme="2" tint="-0.499984740745262"/>
      </right>
      <top style="thick">
        <color theme="2" tint="-0.499984740745262"/>
      </top>
      <bottom style="dashed">
        <color theme="2" tint="-0.499984740745262"/>
      </bottom>
      <diagonal/>
    </border>
    <border>
      <left style="thick">
        <color theme="2" tint="-0.499984740745262"/>
      </left>
      <right style="thin">
        <color theme="2" tint="-0.499984740745262"/>
      </right>
      <top/>
      <bottom style="thick">
        <color theme="2" tint="-0.499984740745262"/>
      </bottom>
      <diagonal/>
    </border>
    <border>
      <left style="thin">
        <color theme="2" tint="-0.499984740745262"/>
      </left>
      <right style="thin">
        <color theme="2" tint="-0.499984740745262"/>
      </right>
      <top/>
      <bottom style="thick">
        <color theme="2" tint="-0.499984740745262"/>
      </bottom>
      <diagonal/>
    </border>
    <border>
      <left style="thick">
        <color theme="2" tint="-0.24994659260841701"/>
      </left>
      <right/>
      <top style="medium">
        <color theme="2" tint="-0.24994659260841701"/>
      </top>
      <bottom/>
      <diagonal/>
    </border>
    <border>
      <left/>
      <right style="thin">
        <color theme="2" tint="-0.499984740745262"/>
      </right>
      <top style="medium">
        <color theme="2" tint="-0.24994659260841701"/>
      </top>
      <bottom/>
      <diagonal/>
    </border>
    <border>
      <left style="thin">
        <color theme="2" tint="-0.499984740745262"/>
      </left>
      <right/>
      <top style="medium">
        <color theme="2" tint="-0.24994659260841701"/>
      </top>
      <bottom/>
      <diagonal/>
    </border>
    <border>
      <left style="thin">
        <color theme="2" tint="-0.499984740745262"/>
      </left>
      <right/>
      <top/>
      <bottom style="thick">
        <color theme="2" tint="-0.24994659260841701"/>
      </bottom>
      <diagonal/>
    </border>
    <border>
      <left/>
      <right style="thin">
        <color theme="2" tint="-0.499984740745262"/>
      </right>
      <top/>
      <bottom style="thick">
        <color theme="2" tint="-0.24994659260841701"/>
      </bottom>
      <diagonal/>
    </border>
    <border>
      <left style="thick">
        <color theme="8" tint="0.39994506668294322"/>
      </left>
      <right style="thin">
        <color theme="8" tint="-0.24994659260841701"/>
      </right>
      <top style="thick">
        <color theme="8" tint="0.39991454817346722"/>
      </top>
      <bottom style="thick">
        <color theme="8" tint="0.39994506668294322"/>
      </bottom>
      <diagonal/>
    </border>
    <border>
      <left style="thin">
        <color theme="8" tint="-0.24994659260841701"/>
      </left>
      <right style="thin">
        <color theme="8" tint="-0.24994659260841701"/>
      </right>
      <top style="thick">
        <color theme="8" tint="0.39991454817346722"/>
      </top>
      <bottom style="thick">
        <color theme="8" tint="0.39994506668294322"/>
      </bottom>
      <diagonal/>
    </border>
    <border>
      <left style="thin">
        <color theme="8" tint="-0.24994659260841701"/>
      </left>
      <right style="thick">
        <color theme="8" tint="0.39994506668294322"/>
      </right>
      <top style="thick">
        <color theme="8" tint="0.39991454817346722"/>
      </top>
      <bottom style="thick">
        <color theme="8" tint="0.39994506668294322"/>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style="thick">
        <color theme="2" tint="-0.24994659260841701"/>
      </left>
      <right style="thin">
        <color theme="2" tint="-0.499984740745262"/>
      </right>
      <top style="thick">
        <color theme="2" tint="-0.24994659260841701"/>
      </top>
      <bottom style="medium">
        <color theme="2" tint="-0.24994659260841701"/>
      </bottom>
      <diagonal/>
    </border>
    <border>
      <left style="thin">
        <color theme="2" tint="-0.499984740745262"/>
      </left>
      <right style="thin">
        <color theme="2" tint="-0.499984740745262"/>
      </right>
      <top style="thick">
        <color theme="2" tint="-0.24994659260841701"/>
      </top>
      <bottom style="medium">
        <color theme="2" tint="-0.24994659260841701"/>
      </bottom>
      <diagonal/>
    </border>
    <border>
      <left style="thick">
        <color theme="2" tint="-0.24994659260841701"/>
      </left>
      <right style="thin">
        <color theme="2" tint="-0.499984740745262"/>
      </right>
      <top style="medium">
        <color theme="2" tint="-0.24994659260841701"/>
      </top>
      <bottom style="medium">
        <color theme="2" tint="-0.24994659260841701"/>
      </bottom>
      <diagonal/>
    </border>
    <border>
      <left style="thin">
        <color theme="2" tint="-0.499984740745262"/>
      </left>
      <right style="thin">
        <color theme="2" tint="-0.499984740745262"/>
      </right>
      <top style="medium">
        <color theme="2" tint="-0.24994659260841701"/>
      </top>
      <bottom style="medium">
        <color theme="2" tint="-0.24994659260841701"/>
      </bottom>
      <diagonal/>
    </border>
    <border>
      <left/>
      <right/>
      <top style="medium">
        <color theme="2" tint="-0.24994659260841701"/>
      </top>
      <bottom style="medium">
        <color theme="2" tint="-0.24994659260841701"/>
      </bottom>
      <diagonal/>
    </border>
    <border>
      <left/>
      <right style="thick">
        <color theme="2" tint="-0.24994659260841701"/>
      </right>
      <top style="medium">
        <color theme="2" tint="-0.24994659260841701"/>
      </top>
      <bottom style="medium">
        <color theme="2" tint="-0.24994659260841701"/>
      </bottom>
      <diagonal/>
    </border>
    <border>
      <left style="thick">
        <color theme="2" tint="-0.24994659260841701"/>
      </left>
      <right style="thin">
        <color theme="2" tint="-0.499984740745262"/>
      </right>
      <top style="medium">
        <color theme="2" tint="-0.24994659260841701"/>
      </top>
      <bottom style="thick">
        <color theme="2" tint="-0.24994659260841701"/>
      </bottom>
      <diagonal/>
    </border>
    <border>
      <left style="thin">
        <color theme="2" tint="-0.499984740745262"/>
      </left>
      <right style="thin">
        <color theme="2" tint="-0.499984740745262"/>
      </right>
      <top style="medium">
        <color theme="2" tint="-0.24994659260841701"/>
      </top>
      <bottom style="thick">
        <color theme="2" tint="-0.24994659260841701"/>
      </bottom>
      <diagonal/>
    </border>
    <border>
      <left/>
      <right/>
      <top style="medium">
        <color theme="2" tint="-0.24994659260841701"/>
      </top>
      <bottom style="thick">
        <color theme="2" tint="-0.24994659260841701"/>
      </bottom>
      <diagonal/>
    </border>
    <border>
      <left/>
      <right style="thick">
        <color theme="2" tint="-0.24994659260841701"/>
      </right>
      <top style="medium">
        <color theme="2" tint="-0.24994659260841701"/>
      </top>
      <bottom style="thick">
        <color theme="2" tint="-0.24994659260841701"/>
      </bottom>
      <diagonal/>
    </border>
    <border>
      <left style="medium">
        <color theme="2" tint="-0.24994659260841701"/>
      </left>
      <right style="thick">
        <color theme="2" tint="-0.24994659260841701"/>
      </right>
      <top style="medium">
        <color theme="2" tint="-0.24994659260841701"/>
      </top>
      <bottom style="thick">
        <color theme="2" tint="-0.24994659260841701"/>
      </bottom>
      <diagonal/>
    </border>
    <border>
      <left/>
      <right/>
      <top/>
      <bottom style="thick">
        <color theme="2" tint="-0.24994659260841701"/>
      </bottom>
      <diagonal/>
    </border>
    <border>
      <left style="medium">
        <color theme="2" tint="-0.24994659260841701"/>
      </left>
      <right style="medium">
        <color theme="2" tint="-0.24994659260841701"/>
      </right>
      <top style="medium">
        <color theme="2" tint="-0.24994659260841701"/>
      </top>
      <bottom/>
      <diagonal/>
    </border>
    <border>
      <left style="medium">
        <color theme="2" tint="-0.24994659260841701"/>
      </left>
      <right style="thick">
        <color theme="2" tint="-0.24994659260841701"/>
      </right>
      <top style="medium">
        <color theme="2" tint="-0.24994659260841701"/>
      </top>
      <bottom/>
      <diagonal/>
    </border>
    <border>
      <left style="medium">
        <color theme="2" tint="-0.24994659260841701"/>
      </left>
      <right style="medium">
        <color theme="2" tint="-0.24994659260841701"/>
      </right>
      <top/>
      <bottom style="thick">
        <color theme="2" tint="-0.24994659260841701"/>
      </bottom>
      <diagonal/>
    </border>
    <border>
      <left style="medium">
        <color theme="2" tint="-0.24994659260841701"/>
      </left>
      <right style="thick">
        <color theme="2" tint="-0.24994659260841701"/>
      </right>
      <top/>
      <bottom style="thick">
        <color theme="2" tint="-0.24994659260841701"/>
      </bottom>
      <diagonal/>
    </border>
    <border>
      <left style="medium">
        <color theme="2" tint="-0.24994659260841701"/>
      </left>
      <right style="medium">
        <color theme="2" tint="-0.24994659260841701"/>
      </right>
      <top style="thick">
        <color theme="2" tint="-0.24994659260841701"/>
      </top>
      <bottom style="medium">
        <color theme="2" tint="-0.24994659260841701"/>
      </bottom>
      <diagonal/>
    </border>
    <border>
      <left style="medium">
        <color theme="2" tint="-0.24994659260841701"/>
      </left>
      <right style="thick">
        <color theme="2" tint="-0.24994659260841701"/>
      </right>
      <top style="thick">
        <color theme="2" tint="-0.24994659260841701"/>
      </top>
      <bottom style="medium">
        <color theme="2" tint="-0.24994659260841701"/>
      </bottom>
      <diagonal/>
    </border>
    <border>
      <left style="medium">
        <color theme="2" tint="-0.24994659260841701"/>
      </left>
      <right style="medium">
        <color theme="2" tint="-0.24994659260841701"/>
      </right>
      <top style="medium">
        <color theme="2" tint="-0.24994659260841701"/>
      </top>
      <bottom style="medium">
        <color theme="2" tint="-0.24994659260841701"/>
      </bottom>
      <diagonal/>
    </border>
    <border>
      <left style="medium">
        <color theme="2" tint="-0.24994659260841701"/>
      </left>
      <right style="thick">
        <color theme="2" tint="-0.24994659260841701"/>
      </right>
      <top style="medium">
        <color theme="2" tint="-0.24994659260841701"/>
      </top>
      <bottom style="medium">
        <color theme="2" tint="-0.24994659260841701"/>
      </bottom>
      <diagonal/>
    </border>
    <border>
      <left style="medium">
        <color theme="2" tint="-0.24994659260841701"/>
      </left>
      <right style="medium">
        <color theme="2" tint="-0.24994659260841701"/>
      </right>
      <top style="medium">
        <color theme="2" tint="-0.24994659260841701"/>
      </top>
      <bottom style="thick">
        <color theme="2" tint="-0.24994659260841701"/>
      </bottom>
      <diagonal/>
    </border>
    <border>
      <left style="thick">
        <color theme="2" tint="-0.24994659260841701"/>
      </left>
      <right/>
      <top style="medium">
        <color theme="2" tint="-0.24994659260841701"/>
      </top>
      <bottom style="medium">
        <color theme="2" tint="-0.24994659260841701"/>
      </bottom>
      <diagonal/>
    </border>
    <border>
      <left style="thick">
        <color theme="2" tint="-0.24994659260841701"/>
      </left>
      <right/>
      <top style="medium">
        <color theme="2" tint="-0.24994659260841701"/>
      </top>
      <bottom style="thick">
        <color theme="2" tint="-0.24994659260841701"/>
      </bottom>
      <diagonal/>
    </border>
    <border>
      <left style="thin">
        <color theme="6" tint="-0.24994659260841701"/>
      </left>
      <right style="thick">
        <color theme="6" tint="-0.24994659260841701"/>
      </right>
      <top/>
      <bottom/>
      <diagonal/>
    </border>
    <border>
      <left style="thick">
        <color rgb="FFFF0000"/>
      </left>
      <right/>
      <top/>
      <bottom style="thick">
        <color rgb="FFFF0000"/>
      </bottom>
      <diagonal/>
    </border>
    <border>
      <left/>
      <right/>
      <top/>
      <bottom style="thick">
        <color rgb="FFFF0000"/>
      </bottom>
      <diagonal/>
    </border>
    <border>
      <left style="medium">
        <color theme="2" tint="-0.24994659260841701"/>
      </left>
      <right/>
      <top style="medium">
        <color theme="2" tint="-0.24994659260841701"/>
      </top>
      <bottom/>
      <diagonal/>
    </border>
    <border>
      <left style="medium">
        <color theme="2" tint="-0.24994659260841701"/>
      </left>
      <right/>
      <top/>
      <bottom style="thick">
        <color theme="2" tint="-0.24994659260841701"/>
      </bottom>
      <diagonal/>
    </border>
    <border>
      <left style="thick">
        <color theme="2" tint="-0.24994659260841701"/>
      </left>
      <right style="medium">
        <color theme="2" tint="-0.24994659260841701"/>
      </right>
      <top style="thick">
        <color theme="2" tint="-0.24994659260841701"/>
      </top>
      <bottom style="medium">
        <color theme="2" tint="-0.24994659260841701"/>
      </bottom>
      <diagonal/>
    </border>
    <border>
      <left style="thin">
        <color theme="2" tint="-0.499984740745262"/>
      </left>
      <right/>
      <top style="medium">
        <color theme="2" tint="-0.24994659260841701"/>
      </top>
      <bottom style="medium">
        <color theme="2" tint="-0.24994659260841701"/>
      </bottom>
      <diagonal/>
    </border>
    <border>
      <left/>
      <right style="thin">
        <color theme="2" tint="-0.499984740745262"/>
      </right>
      <top style="medium">
        <color theme="2" tint="-0.24994659260841701"/>
      </top>
      <bottom style="medium">
        <color theme="2" tint="-0.24994659260841701"/>
      </bottom>
      <diagonal/>
    </border>
    <border>
      <left style="thick">
        <color rgb="FF00B050"/>
      </left>
      <right style="thin">
        <color rgb="FFFFFF00"/>
      </right>
      <top style="dashed">
        <color theme="1"/>
      </top>
      <bottom/>
      <diagonal/>
    </border>
    <border>
      <left style="thin">
        <color rgb="FFFFFF00"/>
      </left>
      <right style="thin">
        <color rgb="FFFFFF00"/>
      </right>
      <top style="dashed">
        <color theme="1"/>
      </top>
      <bottom/>
      <diagonal/>
    </border>
    <border>
      <left style="thin">
        <color rgb="FFFFFF00"/>
      </left>
      <right style="thick">
        <color rgb="FF00B050"/>
      </right>
      <top style="dashed">
        <color theme="1"/>
      </top>
      <bottom/>
      <diagonal/>
    </border>
    <border>
      <left/>
      <right style="thin">
        <color rgb="FFFFFF00"/>
      </right>
      <top style="dashed">
        <color theme="1"/>
      </top>
      <bottom style="thick">
        <color rgb="FFC00000"/>
      </bottom>
      <diagonal/>
    </border>
    <border>
      <left style="thin">
        <color rgb="FFFFFF00"/>
      </left>
      <right style="thin">
        <color rgb="FFFFFF00"/>
      </right>
      <top style="dashed">
        <color theme="1"/>
      </top>
      <bottom style="thick">
        <color rgb="FFC00000"/>
      </bottom>
      <diagonal/>
    </border>
    <border>
      <left style="thin">
        <color rgb="FFFFFF00"/>
      </left>
      <right style="thick">
        <color rgb="FFC00000"/>
      </right>
      <top style="dashed">
        <color theme="1"/>
      </top>
      <bottom style="thick">
        <color rgb="FFC00000"/>
      </bottom>
      <diagonal/>
    </border>
    <border>
      <left style="thick">
        <color theme="3" tint="0.39994506668294322"/>
      </left>
      <right style="thin">
        <color rgb="FFFFFF00"/>
      </right>
      <top style="dashed">
        <color auto="1"/>
      </top>
      <bottom style="thick">
        <color theme="3" tint="0.39994506668294322"/>
      </bottom>
      <diagonal/>
    </border>
    <border>
      <left style="thin">
        <color rgb="FFFFFF00"/>
      </left>
      <right style="thin">
        <color rgb="FFFFFF00"/>
      </right>
      <top style="dashed">
        <color auto="1"/>
      </top>
      <bottom style="thick">
        <color theme="3" tint="0.39994506668294322"/>
      </bottom>
      <diagonal/>
    </border>
    <border>
      <left style="thin">
        <color rgb="FFFFFF00"/>
      </left>
      <right style="thick">
        <color theme="3" tint="0.39994506668294322"/>
      </right>
      <top style="dashed">
        <color auto="1"/>
      </top>
      <bottom style="thick">
        <color theme="3" tint="0.39994506668294322"/>
      </bottom>
      <diagonal/>
    </border>
    <border>
      <left style="thick">
        <color theme="3" tint="0.39994506668294322"/>
      </left>
      <right style="thin">
        <color rgb="FFFFFF00"/>
      </right>
      <top style="dashed">
        <color auto="1"/>
      </top>
      <bottom style="thick">
        <color theme="9" tint="-0.24994659260841701"/>
      </bottom>
      <diagonal/>
    </border>
    <border>
      <left style="thin">
        <color rgb="FFFFFF00"/>
      </left>
      <right style="thin">
        <color rgb="FFFFFF00"/>
      </right>
      <top style="dashed">
        <color auto="1"/>
      </top>
      <bottom style="thick">
        <color theme="9" tint="-0.24994659260841701"/>
      </bottom>
      <diagonal/>
    </border>
    <border>
      <left style="thin">
        <color rgb="FFFFFF00"/>
      </left>
      <right style="thick">
        <color theme="9" tint="-0.24994659260841701"/>
      </right>
      <top style="dashed">
        <color auto="1"/>
      </top>
      <bottom style="thick">
        <color theme="9" tint="-0.24994659260841701"/>
      </bottom>
      <diagonal/>
    </border>
    <border>
      <left/>
      <right/>
      <top/>
      <bottom style="thick">
        <color theme="2" tint="-0.749961851863155"/>
      </bottom>
      <diagonal/>
    </border>
    <border>
      <left style="thick">
        <color theme="8" tint="0.39988402966399123"/>
      </left>
      <right style="thin">
        <color theme="8" tint="0.39991454817346722"/>
      </right>
      <top style="thin">
        <color theme="8" tint="0.39991454817346722"/>
      </top>
      <bottom style="thin">
        <color theme="8" tint="0.39991454817346722"/>
      </bottom>
      <diagonal/>
    </border>
    <border>
      <left style="thin">
        <color theme="8" tint="0.39991454817346722"/>
      </left>
      <right/>
      <top style="thin">
        <color theme="8" tint="0.39991454817346722"/>
      </top>
      <bottom style="thick">
        <color theme="8" tint="0.39991454817346722"/>
      </bottom>
      <diagonal/>
    </border>
    <border>
      <left style="thick">
        <color theme="8" tint="0.39988402966399123"/>
      </left>
      <right style="thin">
        <color theme="8" tint="0.39991454817346722"/>
      </right>
      <top style="thin">
        <color theme="8" tint="0.39991454817346722"/>
      </top>
      <bottom style="thick">
        <color theme="8" tint="0.39991454817346722"/>
      </bottom>
      <diagonal/>
    </border>
    <border>
      <left style="thin">
        <color rgb="FF0070C0"/>
      </left>
      <right/>
      <top style="thick">
        <color rgb="FF0070C0"/>
      </top>
      <bottom/>
      <diagonal/>
    </border>
    <border>
      <left style="thin">
        <color rgb="FF0070C0"/>
      </left>
      <right/>
      <top/>
      <bottom style="thick">
        <color rgb="FF0070C0"/>
      </bottom>
      <diagonal/>
    </border>
    <border>
      <left style="thick">
        <color rgb="FF0070C0"/>
      </left>
      <right style="thin">
        <color rgb="FF0070C0"/>
      </right>
      <top style="thick">
        <color rgb="FF0070C0"/>
      </top>
      <bottom/>
      <diagonal/>
    </border>
    <border>
      <left style="thick">
        <color rgb="FF0070C0"/>
      </left>
      <right style="thin">
        <color rgb="FF0070C0"/>
      </right>
      <top/>
      <bottom style="thick">
        <color rgb="FF0070C0"/>
      </bottom>
      <diagonal/>
    </border>
    <border>
      <left style="thin">
        <color rgb="FF0070C0"/>
      </left>
      <right style="thick">
        <color rgb="FF0070C0"/>
      </right>
      <top style="thick">
        <color rgb="FF0070C0"/>
      </top>
      <bottom/>
      <diagonal/>
    </border>
    <border>
      <left style="thin">
        <color rgb="FFC00000"/>
      </left>
      <right style="thin">
        <color rgb="FFC00000"/>
      </right>
      <top style="thick">
        <color rgb="FFC00000"/>
      </top>
      <bottom/>
      <diagonal/>
    </border>
    <border>
      <left style="thin">
        <color rgb="FFC00000"/>
      </left>
      <right style="thin">
        <color rgb="FFC00000"/>
      </right>
      <top/>
      <bottom/>
      <diagonal/>
    </border>
    <border>
      <left style="thin">
        <color rgb="FFC00000"/>
      </left>
      <right style="thin">
        <color rgb="FFC00000"/>
      </right>
      <top/>
      <bottom style="thick">
        <color rgb="FFC00000"/>
      </bottom>
      <diagonal/>
    </border>
    <border>
      <left style="medium">
        <color rgb="FF0070C0"/>
      </left>
      <right style="thick">
        <color rgb="FFC00000"/>
      </right>
      <top style="medium">
        <color rgb="FF0070C0"/>
      </top>
      <bottom style="medium">
        <color rgb="FF0070C0"/>
      </bottom>
      <diagonal/>
    </border>
    <border>
      <left style="medium">
        <color rgb="FF0070C0"/>
      </left>
      <right style="thick">
        <color rgb="FFC00000"/>
      </right>
      <top/>
      <bottom/>
      <diagonal/>
    </border>
    <border>
      <left style="medium">
        <color rgb="FF0070C0"/>
      </left>
      <right style="thick">
        <color rgb="FFC00000"/>
      </right>
      <top/>
      <bottom style="medium">
        <color rgb="FF0070C0"/>
      </bottom>
      <diagonal/>
    </border>
    <border>
      <left style="medium">
        <color rgb="FF0070C0"/>
      </left>
      <right style="thick">
        <color rgb="FFC00000"/>
      </right>
      <top style="medium">
        <color rgb="FF0070C0"/>
      </top>
      <bottom/>
      <diagonal/>
    </border>
    <border>
      <left style="medium">
        <color indexed="62"/>
      </left>
      <right style="thick">
        <color rgb="FFC00000"/>
      </right>
      <top style="medium">
        <color indexed="62"/>
      </top>
      <bottom style="medium">
        <color indexed="62"/>
      </bottom>
      <diagonal/>
    </border>
    <border>
      <left style="thick">
        <color theme="6" tint="-0.24994659260841701"/>
      </left>
      <right style="thin">
        <color theme="6" tint="-0.24994659260841701"/>
      </right>
      <top style="medium">
        <color theme="6" tint="-0.24994659260841701"/>
      </top>
      <bottom/>
      <diagonal/>
    </border>
    <border>
      <left style="thin">
        <color theme="6" tint="-0.24994659260841701"/>
      </left>
      <right style="thin">
        <color theme="6" tint="-0.24994659260841701"/>
      </right>
      <top style="medium">
        <color theme="6" tint="-0.24994659260841701"/>
      </top>
      <bottom/>
      <diagonal/>
    </border>
    <border>
      <left style="thick">
        <color rgb="FFFFC000"/>
      </left>
      <right/>
      <top/>
      <bottom style="thin">
        <color rgb="FFFFC000"/>
      </bottom>
      <diagonal/>
    </border>
    <border>
      <left style="medium">
        <color theme="8" tint="0.39988402966399123"/>
      </left>
      <right/>
      <top style="thin">
        <color theme="8" tint="0.39991454817346722"/>
      </top>
      <bottom style="thin">
        <color theme="8" tint="0.39991454817346722"/>
      </bottom>
      <diagonal/>
    </border>
    <border>
      <left style="thin">
        <color theme="6" tint="-0.24994659260841701"/>
      </left>
      <right style="thin">
        <color theme="6" tint="-0.24994659260841701"/>
      </right>
      <top style="medium">
        <color theme="6" tint="-0.24994659260841701"/>
      </top>
      <bottom style="thick">
        <color theme="6" tint="-0.24994659260841701"/>
      </bottom>
      <diagonal/>
    </border>
    <border>
      <left style="thin">
        <color theme="6" tint="-0.24994659260841701"/>
      </left>
      <right style="thick">
        <color theme="6" tint="-0.24994659260841701"/>
      </right>
      <top style="medium">
        <color theme="6" tint="-0.24994659260841701"/>
      </top>
      <bottom style="thick">
        <color theme="6" tint="-0.24994659260841701"/>
      </bottom>
      <diagonal/>
    </border>
    <border>
      <left style="thick">
        <color theme="5" tint="0.39991454817346722"/>
      </left>
      <right style="thin">
        <color theme="5" tint="-0.24994659260841701"/>
      </right>
      <top style="thick">
        <color theme="5" tint="0.39991454817346722"/>
      </top>
      <bottom style="thick">
        <color theme="5" tint="0.39991454817346722"/>
      </bottom>
      <diagonal/>
    </border>
    <border>
      <left style="thin">
        <color theme="5" tint="-0.24994659260841701"/>
      </left>
      <right style="thin">
        <color theme="5" tint="-0.24994659260841701"/>
      </right>
      <top style="thick">
        <color theme="5" tint="0.39991454817346722"/>
      </top>
      <bottom style="thick">
        <color theme="5" tint="0.39991454817346722"/>
      </bottom>
      <diagonal/>
    </border>
    <border>
      <left style="thin">
        <color theme="5" tint="-0.24994659260841701"/>
      </left>
      <right/>
      <top style="thick">
        <color theme="5" tint="0.39991454817346722"/>
      </top>
      <bottom style="thick">
        <color theme="5" tint="0.39991454817346722"/>
      </bottom>
      <diagonal/>
    </border>
    <border>
      <left/>
      <right/>
      <top style="thick">
        <color theme="5" tint="0.39991454817346722"/>
      </top>
      <bottom style="thick">
        <color theme="5" tint="0.39991454817346722"/>
      </bottom>
      <diagonal/>
    </border>
    <border>
      <left/>
      <right style="thick">
        <color theme="5" tint="0.39991454817346722"/>
      </right>
      <top style="thick">
        <color theme="5" tint="0.39991454817346722"/>
      </top>
      <bottom style="thick">
        <color theme="5" tint="0.39991454817346722"/>
      </bottom>
      <diagonal/>
    </border>
    <border>
      <left style="thick">
        <color theme="5" tint="0.39994506668294322"/>
      </left>
      <right/>
      <top/>
      <bottom style="medium">
        <color theme="5" tint="0.39991454817346722"/>
      </bottom>
      <diagonal/>
    </border>
    <border>
      <left/>
      <right/>
      <top/>
      <bottom style="medium">
        <color theme="5" tint="0.39991454817346722"/>
      </bottom>
      <diagonal/>
    </border>
    <border>
      <left style="thick">
        <color theme="5" tint="0.39994506668294322"/>
      </left>
      <right/>
      <top style="medium">
        <color theme="5" tint="0.39991454817346722"/>
      </top>
      <bottom style="medium">
        <color theme="5" tint="0.39991454817346722"/>
      </bottom>
      <diagonal/>
    </border>
    <border>
      <left/>
      <right/>
      <top style="medium">
        <color theme="5" tint="0.39991454817346722"/>
      </top>
      <bottom style="medium">
        <color theme="5" tint="0.39991454817346722"/>
      </bottom>
      <diagonal/>
    </border>
    <border>
      <left/>
      <right style="thin">
        <color theme="5" tint="-0.24994659260841701"/>
      </right>
      <top style="medium">
        <color theme="5" tint="0.39991454817346722"/>
      </top>
      <bottom style="medium">
        <color theme="5" tint="0.39991454817346722"/>
      </bottom>
      <diagonal/>
    </border>
    <border>
      <left style="thin">
        <color theme="5" tint="-0.24994659260841701"/>
      </left>
      <right style="thin">
        <color theme="5" tint="-0.24994659260841701"/>
      </right>
      <top style="thin">
        <color theme="5" tint="-0.24994659260841701"/>
      </top>
      <bottom style="medium">
        <color theme="5" tint="0.39991454817346722"/>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5" tint="-0.24994659260841701"/>
      </right>
      <top style="thin">
        <color theme="5" tint="-0.24994659260841701"/>
      </top>
      <bottom/>
      <diagonal/>
    </border>
    <border>
      <left style="thin">
        <color theme="5" tint="-0.24994659260841701"/>
      </left>
      <right style="thin">
        <color theme="5" tint="-0.24994659260841701"/>
      </right>
      <top style="medium">
        <color theme="5" tint="0.39991454817346722"/>
      </top>
      <bottom/>
      <diagonal/>
    </border>
    <border>
      <left style="thin">
        <color theme="5" tint="-0.24994659260841701"/>
      </left>
      <right/>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style="thin">
        <color theme="5" tint="-0.24994659260841701"/>
      </right>
      <top/>
      <bottom style="thin">
        <color theme="5" tint="-0.24994659260841701"/>
      </bottom>
      <diagonal/>
    </border>
    <border>
      <left style="thin">
        <color theme="5" tint="-0.24994659260841701"/>
      </left>
      <right/>
      <top/>
      <bottom style="thin">
        <color theme="5" tint="-0.24994659260841701"/>
      </bottom>
      <diagonal/>
    </border>
    <border>
      <left/>
      <right/>
      <top/>
      <bottom style="thin">
        <color theme="5" tint="-0.24994659260841701"/>
      </bottom>
      <diagonal/>
    </border>
    <border>
      <left/>
      <right style="thin">
        <color theme="5" tint="-0.24994659260841701"/>
      </right>
      <top/>
      <bottom style="thin">
        <color theme="5" tint="-0.24994659260841701"/>
      </bottom>
      <diagonal/>
    </border>
    <border>
      <left style="thick">
        <color theme="5" tint="0.39994506668294322"/>
      </left>
      <right/>
      <top/>
      <bottom style="thin">
        <color theme="5" tint="0.39991454817346722"/>
      </bottom>
      <diagonal/>
    </border>
    <border>
      <left/>
      <right/>
      <top/>
      <bottom style="thin">
        <color theme="5" tint="0.39991454817346722"/>
      </bottom>
      <diagonal/>
    </border>
    <border>
      <left style="thick">
        <color theme="5" tint="0.39994506668294322"/>
      </left>
      <right/>
      <top style="thin">
        <color theme="5" tint="0.39991454817346722"/>
      </top>
      <bottom style="thin">
        <color theme="5" tint="0.39991454817346722"/>
      </bottom>
      <diagonal/>
    </border>
    <border>
      <left/>
      <right/>
      <top style="thin">
        <color theme="5" tint="0.39991454817346722"/>
      </top>
      <bottom style="thin">
        <color theme="5" tint="0.39991454817346722"/>
      </bottom>
      <diagonal/>
    </border>
    <border>
      <left/>
      <right style="thin">
        <color theme="5" tint="-0.24994659260841701"/>
      </right>
      <top style="thin">
        <color theme="5" tint="0.39991454817346722"/>
      </top>
      <bottom style="thin">
        <color theme="5" tint="0.39991454817346722"/>
      </bottom>
      <diagonal/>
    </border>
    <border>
      <left style="thin">
        <color theme="5" tint="-0.24994659260841701"/>
      </left>
      <right style="thin">
        <color theme="5" tint="-0.24994659260841701"/>
      </right>
      <top style="thin">
        <color theme="5" tint="0.39991454817346722"/>
      </top>
      <bottom style="thin">
        <color theme="5" tint="0.39991454817346722"/>
      </bottom>
      <diagonal/>
    </border>
    <border>
      <left style="thin">
        <color theme="5" tint="-0.24994659260841701"/>
      </left>
      <right/>
      <top style="thin">
        <color theme="5" tint="0.39991454817346722"/>
      </top>
      <bottom style="thin">
        <color theme="5" tint="0.39991454817346722"/>
      </bottom>
      <diagonal/>
    </border>
    <border>
      <left/>
      <right style="thin">
        <color theme="5" tint="-0.24994659260841701"/>
      </right>
      <top style="thin">
        <color theme="5" tint="0.39994506668294322"/>
      </top>
      <bottom style="thin">
        <color theme="5" tint="0.39994506668294322"/>
      </bottom>
      <diagonal/>
    </border>
    <border>
      <left style="thick">
        <color theme="5" tint="0.39994506668294322"/>
      </left>
      <right/>
      <top/>
      <bottom/>
      <diagonal/>
    </border>
    <border>
      <left style="thick">
        <color theme="5" tint="0.39994506668294322"/>
      </left>
      <right/>
      <top style="medium">
        <color theme="5" tint="0.39991454817346722"/>
      </top>
      <bottom/>
      <diagonal/>
    </border>
    <border>
      <left/>
      <right/>
      <top style="medium">
        <color theme="5" tint="0.39991454817346722"/>
      </top>
      <bottom/>
      <diagonal/>
    </border>
    <border>
      <left/>
      <right style="medium">
        <color theme="5" tint="0.39991454817346722"/>
      </right>
      <top style="medium">
        <color theme="5" tint="0.39991454817346722"/>
      </top>
      <bottom/>
      <diagonal/>
    </border>
    <border>
      <left/>
      <right style="medium">
        <color theme="5" tint="0.39991454817346722"/>
      </right>
      <top/>
      <bottom/>
      <diagonal/>
    </border>
    <border>
      <left style="thick">
        <color theme="5" tint="0.39994506668294322"/>
      </left>
      <right style="thin">
        <color theme="5" tint="-0.24994659260841701"/>
      </right>
      <top style="thin">
        <color theme="5" tint="0.39994506668294322"/>
      </top>
      <bottom style="thin">
        <color theme="5" tint="0.39991454817346722"/>
      </bottom>
      <diagonal/>
    </border>
    <border>
      <left style="thin">
        <color theme="5" tint="-0.24994659260841701"/>
      </left>
      <right style="thin">
        <color theme="5" tint="-0.24994659260841701"/>
      </right>
      <top style="thin">
        <color theme="5" tint="0.39994506668294322"/>
      </top>
      <bottom style="thin">
        <color theme="5" tint="0.39991454817346722"/>
      </bottom>
      <diagonal/>
    </border>
    <border>
      <left/>
      <right style="medium">
        <color theme="5" tint="0.39991454817346722"/>
      </right>
      <top/>
      <bottom style="thin">
        <color theme="5" tint="-0.24994659260841701"/>
      </bottom>
      <diagonal/>
    </border>
    <border>
      <left style="thin">
        <color theme="5" tint="-0.24994659260841701"/>
      </left>
      <right style="thin">
        <color theme="5" tint="-0.24994659260841701"/>
      </right>
      <top style="thick">
        <color theme="5" tint="-0.24994659260841701"/>
      </top>
      <bottom/>
      <diagonal/>
    </border>
    <border>
      <left style="thick">
        <color theme="5" tint="0.39994506668294322"/>
      </left>
      <right style="thin">
        <color theme="5" tint="-0.24994659260841701"/>
      </right>
      <top/>
      <bottom style="thin">
        <color theme="5" tint="0.39991454817346722"/>
      </bottom>
      <diagonal/>
    </border>
    <border>
      <left style="thin">
        <color theme="5" tint="-0.24994659260841701"/>
      </left>
      <right style="thin">
        <color theme="5" tint="-0.24994659260841701"/>
      </right>
      <top/>
      <bottom style="thin">
        <color theme="5" tint="0.39991454817346722"/>
      </bottom>
      <diagonal/>
    </border>
    <border>
      <left style="thin">
        <color theme="5" tint="-0.24994659260841701"/>
      </left>
      <right/>
      <top/>
      <bottom style="thin">
        <color theme="5" tint="0.39991454817346722"/>
      </bottom>
      <diagonal/>
    </border>
    <border>
      <left/>
      <right style="thin">
        <color theme="5" tint="-0.24994659260841701"/>
      </right>
      <top/>
      <bottom style="thin">
        <color theme="5" tint="0.39991454817346722"/>
      </bottom>
      <diagonal/>
    </border>
    <border>
      <left/>
      <right/>
      <top style="thick">
        <color theme="2" tint="-0.24994659260841701"/>
      </top>
      <bottom/>
      <diagonal/>
    </border>
    <border>
      <left/>
      <right/>
      <top style="dashed">
        <color theme="0" tint="-0.34998626667073579"/>
      </top>
      <bottom style="medium">
        <color indexed="64"/>
      </bottom>
      <diagonal/>
    </border>
    <border>
      <left/>
      <right/>
      <top style="dashed">
        <color theme="0" tint="-0.34998626667073579"/>
      </top>
      <bottom/>
      <diagonal/>
    </border>
    <border>
      <left/>
      <right/>
      <top style="dashed">
        <color theme="0" tint="-0.24994659260841701"/>
      </top>
      <bottom style="medium">
        <color indexed="64"/>
      </bottom>
      <diagonal/>
    </border>
    <border>
      <left style="thick">
        <color rgb="FF92D050"/>
      </left>
      <right style="thin">
        <color theme="6" tint="-0.24994659260841701"/>
      </right>
      <top style="thick">
        <color rgb="FF92D050"/>
      </top>
      <bottom style="thin">
        <color theme="6" tint="-0.24994659260841701"/>
      </bottom>
      <diagonal/>
    </border>
    <border>
      <left style="thin">
        <color theme="6" tint="-0.24994659260841701"/>
      </left>
      <right style="thin">
        <color theme="6" tint="-0.24994659260841701"/>
      </right>
      <top style="thick">
        <color rgb="FF92D050"/>
      </top>
      <bottom style="thin">
        <color theme="6" tint="-0.24994659260841701"/>
      </bottom>
      <diagonal/>
    </border>
    <border>
      <left style="thin">
        <color theme="6" tint="-0.24994659260841701"/>
      </left>
      <right style="thin">
        <color theme="6" tint="-0.24994659260841701"/>
      </right>
      <top style="thick">
        <color rgb="FF92D050"/>
      </top>
      <bottom/>
      <diagonal/>
    </border>
    <border>
      <left style="thin">
        <color theme="6" tint="-0.24994659260841701"/>
      </left>
      <right/>
      <top style="thick">
        <color rgb="FF92D050"/>
      </top>
      <bottom/>
      <diagonal/>
    </border>
    <border>
      <left style="medium">
        <color theme="6" tint="-0.24994659260841701"/>
      </left>
      <right style="thick">
        <color theme="6" tint="-0.24994659260841701"/>
      </right>
      <top style="thick">
        <color rgb="FF92D050"/>
      </top>
      <bottom style="thin">
        <color theme="6" tint="-0.24994659260841701"/>
      </bottom>
      <diagonal/>
    </border>
    <border>
      <left style="thick">
        <color rgb="FF92D050"/>
      </left>
      <right style="thin">
        <color theme="6" tint="-0.24994659260841701"/>
      </right>
      <top style="thin">
        <color theme="6" tint="-0.24994659260841701"/>
      </top>
      <bottom style="thin">
        <color theme="6" tint="-0.24994659260841701"/>
      </bottom>
      <diagonal/>
    </border>
    <border>
      <left style="thick">
        <color rgb="FF92D050"/>
      </left>
      <right/>
      <top style="thin">
        <color theme="6" tint="-0.24994659260841701"/>
      </top>
      <bottom style="thin">
        <color theme="6" tint="-0.24994659260841701"/>
      </bottom>
      <diagonal/>
    </border>
    <border>
      <left style="thick">
        <color rgb="FF92D050"/>
      </left>
      <right style="thin">
        <color theme="6" tint="-0.24994659260841701"/>
      </right>
      <top style="thin">
        <color theme="6" tint="-0.24994659260841701"/>
      </top>
      <bottom style="thick">
        <color theme="6" tint="-0.24994659260841701"/>
      </bottom>
      <diagonal/>
    </border>
    <border>
      <left/>
      <right style="thick">
        <color rgb="FF92D050"/>
      </right>
      <top style="thin">
        <color theme="6" tint="-0.24994659260841701"/>
      </top>
      <bottom/>
      <diagonal/>
    </border>
    <border>
      <left style="thin">
        <color theme="6" tint="-0.24994659260841701"/>
      </left>
      <right style="thick">
        <color rgb="FF92D050"/>
      </right>
      <top/>
      <bottom style="thin">
        <color theme="6" tint="-0.24994659260841701"/>
      </bottom>
      <diagonal/>
    </border>
    <border>
      <left style="thin">
        <color theme="6" tint="-0.24994659260841701"/>
      </left>
      <right style="thick">
        <color rgb="FF92D050"/>
      </right>
      <top style="thin">
        <color theme="6" tint="-0.24994659260841701"/>
      </top>
      <bottom style="thin">
        <color theme="6" tint="-0.24994659260841701"/>
      </bottom>
      <diagonal/>
    </border>
    <border>
      <left style="thick">
        <color rgb="FF92D050"/>
      </left>
      <right/>
      <top/>
      <bottom style="thick">
        <color theme="6" tint="-0.24994659260841701"/>
      </bottom>
      <diagonal/>
    </border>
    <border>
      <left style="thick">
        <color rgb="FF92D050"/>
      </left>
      <right style="thin">
        <color theme="6" tint="-0.24994659260841701"/>
      </right>
      <top style="thick">
        <color theme="6" tint="-0.24994659260841701"/>
      </top>
      <bottom style="thick">
        <color theme="6" tint="-0.24994659260841701"/>
      </bottom>
      <diagonal/>
    </border>
    <border>
      <left style="thick">
        <color rgb="FF92D050"/>
      </left>
      <right style="thin">
        <color theme="6" tint="-0.24994659260841701"/>
      </right>
      <top style="medium">
        <color theme="6" tint="-0.24994659260841701"/>
      </top>
      <bottom style="thin">
        <color theme="6" tint="-0.24994659260841701"/>
      </bottom>
      <diagonal/>
    </border>
    <border>
      <left/>
      <right/>
      <top style="thick">
        <color rgb="FF92D050"/>
      </top>
      <bottom style="thin">
        <color theme="6" tint="-0.24994659260841701"/>
      </bottom>
      <diagonal/>
    </border>
    <border>
      <left/>
      <right style="thick">
        <color rgb="FF92D050"/>
      </right>
      <top style="thick">
        <color rgb="FF92D050"/>
      </top>
      <bottom style="thin">
        <color theme="6" tint="-0.24994659260841701"/>
      </bottom>
      <diagonal/>
    </border>
    <border>
      <left style="medium">
        <color indexed="64"/>
      </left>
      <right style="thick">
        <color rgb="FF92D050"/>
      </right>
      <top style="medium">
        <color indexed="64"/>
      </top>
      <bottom style="medium">
        <color indexed="64"/>
      </bottom>
      <diagonal/>
    </border>
    <border>
      <left style="medium">
        <color theme="6" tint="-0.24994659260841701"/>
      </left>
      <right style="thick">
        <color rgb="FF92D050"/>
      </right>
      <top style="thin">
        <color theme="6" tint="-0.24994659260841701"/>
      </top>
      <bottom style="thin">
        <color theme="6" tint="-0.24994659260841701"/>
      </bottom>
      <diagonal/>
    </border>
    <border>
      <left style="medium">
        <color theme="6" tint="-0.24994659260841701"/>
      </left>
      <right style="thick">
        <color rgb="FF92D050"/>
      </right>
      <top style="medium">
        <color theme="6" tint="-0.24994659260841701"/>
      </top>
      <bottom style="medium">
        <color theme="6" tint="-0.24994659260841701"/>
      </bottom>
      <diagonal/>
    </border>
    <border>
      <left style="medium">
        <color indexed="64"/>
      </left>
      <right/>
      <top style="thick">
        <color theme="6" tint="-0.24994659260841701"/>
      </top>
      <bottom style="medium">
        <color indexed="64"/>
      </bottom>
      <diagonal/>
    </border>
    <border>
      <left style="medium">
        <color indexed="64"/>
      </left>
      <right style="thick">
        <color theme="6" tint="-0.24994659260841701"/>
      </right>
      <top style="thick">
        <color theme="6" tint="-0.24994659260841701"/>
      </top>
      <bottom style="medium">
        <color indexed="64"/>
      </bottom>
      <diagonal/>
    </border>
    <border>
      <left style="thin">
        <color theme="6" tint="-0.24994659260841701"/>
      </left>
      <right style="thin">
        <color theme="6" tint="-0.24994659260841701"/>
      </right>
      <top style="thick">
        <color rgb="FF92D050"/>
      </top>
      <bottom style="medium">
        <color theme="6" tint="-0.24994659260841701"/>
      </bottom>
      <diagonal/>
    </border>
    <border>
      <left style="thick">
        <color theme="6" tint="-0.24994659260841701"/>
      </left>
      <right style="thin">
        <color theme="6" tint="-0.24994659260841701"/>
      </right>
      <top style="thick">
        <color rgb="FF92D050"/>
      </top>
      <bottom style="medium">
        <color theme="6" tint="-0.24994659260841701"/>
      </bottom>
      <diagonal/>
    </border>
    <border>
      <left style="thick">
        <color rgb="FF92D050"/>
      </left>
      <right/>
      <top style="thick">
        <color rgb="FF92D050"/>
      </top>
      <bottom style="medium">
        <color theme="6" tint="-0.24994659260841701"/>
      </bottom>
      <diagonal/>
    </border>
    <border>
      <left/>
      <right/>
      <top style="thick">
        <color rgb="FF92D050"/>
      </top>
      <bottom style="medium">
        <color theme="6" tint="-0.24994659260841701"/>
      </bottom>
      <diagonal/>
    </border>
    <border>
      <left/>
      <right style="thin">
        <color theme="6" tint="-0.24994659260841701"/>
      </right>
      <top style="thick">
        <color rgb="FF92D050"/>
      </top>
      <bottom style="medium">
        <color theme="6" tint="-0.24994659260841701"/>
      </bottom>
      <diagonal/>
    </border>
    <border>
      <left/>
      <right style="thick">
        <color theme="6" tint="-0.24994659260841701"/>
      </right>
      <top style="thick">
        <color rgb="FF92D050"/>
      </top>
      <bottom style="medium">
        <color theme="6" tint="-0.24994659260841701"/>
      </bottom>
      <diagonal/>
    </border>
    <border>
      <left/>
      <right style="thick">
        <color rgb="FF92D050"/>
      </right>
      <top style="thick">
        <color rgb="FF92D050"/>
      </top>
      <bottom style="medium">
        <color theme="6" tint="-0.24994659260841701"/>
      </bottom>
      <diagonal/>
    </border>
    <border>
      <left style="thin">
        <color theme="6" tint="-0.24994659260841701"/>
      </left>
      <right style="thick">
        <color rgb="FF92D050"/>
      </right>
      <top style="medium">
        <color theme="6" tint="-0.24994659260841701"/>
      </top>
      <bottom/>
      <diagonal/>
    </border>
    <border>
      <left style="thin">
        <color theme="6" tint="-0.24994659260841701"/>
      </left>
      <right style="thick">
        <color rgb="FF92D050"/>
      </right>
      <top style="thick">
        <color theme="6" tint="-0.24994659260841701"/>
      </top>
      <bottom style="thin">
        <color theme="6" tint="-0.24994659260841701"/>
      </bottom>
      <diagonal/>
    </border>
    <border>
      <left style="thin">
        <color theme="6" tint="-0.24994659260841701"/>
      </left>
      <right style="thick">
        <color rgb="FF92D050"/>
      </right>
      <top style="thin">
        <color theme="6" tint="-0.24994659260841701"/>
      </top>
      <bottom style="thick">
        <color theme="6" tint="-0.24994659260841701"/>
      </bottom>
      <diagonal/>
    </border>
    <border>
      <left style="thick">
        <color rgb="FF92D050"/>
      </left>
      <right/>
      <top style="thick">
        <color theme="6" tint="-0.24994659260841701"/>
      </top>
      <bottom style="thin">
        <color theme="6" tint="-0.24994659260841701"/>
      </bottom>
      <diagonal/>
    </border>
    <border>
      <left style="thick">
        <color rgb="FF92D050"/>
      </left>
      <right/>
      <top style="thin">
        <color theme="6" tint="-0.24994659260841701"/>
      </top>
      <bottom style="thick">
        <color theme="6" tint="-0.24994659260841701"/>
      </bottom>
      <diagonal/>
    </border>
    <border>
      <left style="thick">
        <color rgb="FF92D050"/>
      </left>
      <right/>
      <top style="thick">
        <color theme="6" tint="-0.24994659260841701"/>
      </top>
      <bottom/>
      <diagonal/>
    </border>
    <border>
      <left style="thick">
        <color rgb="FF92D050"/>
      </left>
      <right/>
      <top style="thin">
        <color theme="6" tint="-0.24994659260841701"/>
      </top>
      <bottom/>
      <diagonal/>
    </border>
    <border>
      <left style="thick">
        <color rgb="FF92D050"/>
      </left>
      <right/>
      <top style="medium">
        <color theme="6" tint="-0.24994659260841701"/>
      </top>
      <bottom style="thick">
        <color rgb="FF92D050"/>
      </bottom>
      <diagonal/>
    </border>
    <border>
      <left/>
      <right/>
      <top style="medium">
        <color theme="6" tint="-0.24994659260841701"/>
      </top>
      <bottom style="thick">
        <color rgb="FF92D050"/>
      </bottom>
      <diagonal/>
    </border>
    <border>
      <left style="thin">
        <color theme="6" tint="-0.24994659260841701"/>
      </left>
      <right style="thin">
        <color theme="6" tint="-0.24994659260841701"/>
      </right>
      <top style="medium">
        <color theme="6" tint="-0.24994659260841701"/>
      </top>
      <bottom style="thick">
        <color rgb="FF92D050"/>
      </bottom>
      <diagonal/>
    </border>
    <border>
      <left style="thin">
        <color theme="6" tint="-0.24994659260841701"/>
      </left>
      <right style="thick">
        <color theme="6" tint="-0.24994659260841701"/>
      </right>
      <top style="medium">
        <color theme="6" tint="-0.24994659260841701"/>
      </top>
      <bottom style="thick">
        <color rgb="FF92D050"/>
      </bottom>
      <diagonal/>
    </border>
    <border>
      <left style="thin">
        <color theme="6" tint="-0.24994659260841701"/>
      </left>
      <right style="thick">
        <color theme="6" tint="-0.24994659260841701"/>
      </right>
      <top/>
      <bottom style="thick">
        <color rgb="FF92D050"/>
      </bottom>
      <diagonal/>
    </border>
    <border>
      <left style="thin">
        <color theme="8" tint="-0.24994659260841701"/>
      </left>
      <right/>
      <top/>
      <bottom/>
      <diagonal/>
    </border>
    <border>
      <left/>
      <right style="thin">
        <color theme="8" tint="-0.24994659260841701"/>
      </right>
      <top/>
      <bottom/>
      <diagonal/>
    </border>
    <border>
      <left style="thin">
        <color theme="6" tint="-0.24994659260841701"/>
      </left>
      <right style="thin">
        <color theme="6" tint="-0.24994659260841701"/>
      </right>
      <top style="thin">
        <color theme="6" tint="-0.24994659260841701"/>
      </top>
      <bottom style="thick">
        <color rgb="FF92D050"/>
      </bottom>
      <diagonal/>
    </border>
    <border>
      <left/>
      <right/>
      <top style="medium">
        <color rgb="FF92D050"/>
      </top>
      <bottom style="medium">
        <color rgb="FF92D050"/>
      </bottom>
      <diagonal/>
    </border>
    <border>
      <left style="thin">
        <color theme="6" tint="-0.24994659260841701"/>
      </left>
      <right style="thin">
        <color theme="6" tint="-0.24994659260841701"/>
      </right>
      <top style="medium">
        <color rgb="FF92D050"/>
      </top>
      <bottom style="medium">
        <color rgb="FF92D050"/>
      </bottom>
      <diagonal/>
    </border>
    <border>
      <left style="thick">
        <color rgb="FF92D050"/>
      </left>
      <right style="thin">
        <color theme="6" tint="-0.24994659260841701"/>
      </right>
      <top style="thin">
        <color theme="6" tint="-0.24994659260841701"/>
      </top>
      <bottom style="thick">
        <color rgb="FF92D050"/>
      </bottom>
      <diagonal/>
    </border>
    <border>
      <left style="thin">
        <color theme="6" tint="-0.24994659260841701"/>
      </left>
      <right style="thick">
        <color rgb="FF92D050"/>
      </right>
      <top style="thin">
        <color theme="6" tint="-0.24994659260841701"/>
      </top>
      <bottom style="thick">
        <color rgb="FF92D050"/>
      </bottom>
      <diagonal/>
    </border>
    <border>
      <left style="thin">
        <color theme="6" tint="-0.24994659260841701"/>
      </left>
      <right/>
      <top/>
      <bottom/>
      <diagonal/>
    </border>
    <border>
      <left style="thin">
        <color theme="8" tint="-0.24994659260841701"/>
      </left>
      <right/>
      <top style="thick">
        <color theme="8" tint="-0.24994659260841701"/>
      </top>
      <bottom style="medium">
        <color theme="8" tint="-0.24994659260841701"/>
      </bottom>
      <diagonal/>
    </border>
    <border>
      <left style="thin">
        <color theme="8" tint="-0.24994659260841701"/>
      </left>
      <right/>
      <top style="medium">
        <color theme="8" tint="-0.24994659260841701"/>
      </top>
      <bottom/>
      <diagonal/>
    </border>
    <border>
      <left style="thin">
        <color theme="8" tint="-0.24994659260841701"/>
      </left>
      <right/>
      <top style="medium">
        <color theme="8" tint="-0.24994659260841701"/>
      </top>
      <bottom style="medium">
        <color theme="8" tint="-0.24994659260841701"/>
      </bottom>
      <diagonal/>
    </border>
    <border>
      <left/>
      <right style="thin">
        <color theme="8" tint="-0.24994659260841701"/>
      </right>
      <top style="thick">
        <color theme="8" tint="-0.24994659260841701"/>
      </top>
      <bottom style="medium">
        <color theme="8" tint="-0.24994659260841701"/>
      </bottom>
      <diagonal/>
    </border>
    <border>
      <left style="thin">
        <color theme="8" tint="-0.24994659260841701"/>
      </left>
      <right style="thick">
        <color theme="8" tint="-0.24994659260841701"/>
      </right>
      <top style="thin">
        <color theme="8" tint="-0.24994659260841701"/>
      </top>
      <bottom/>
      <diagonal/>
    </border>
    <border>
      <left style="medium">
        <color theme="8" tint="-0.24994659260841701"/>
      </left>
      <right/>
      <top style="thin">
        <color theme="8" tint="-0.24994659260841701"/>
      </top>
      <bottom/>
      <diagonal/>
    </border>
    <border>
      <left style="thick">
        <color theme="8" tint="-0.24994659260841701"/>
      </left>
      <right/>
      <top style="thick">
        <color theme="8" tint="-0.24994659260841701"/>
      </top>
      <bottom style="thin">
        <color theme="8" tint="-0.24994659260841701"/>
      </bottom>
      <diagonal/>
    </border>
    <border>
      <left/>
      <right/>
      <top style="thick">
        <color theme="8" tint="-0.24994659260841701"/>
      </top>
      <bottom style="thin">
        <color theme="8" tint="-0.24994659260841701"/>
      </bottom>
      <diagonal/>
    </border>
    <border>
      <left style="thin">
        <color theme="8" tint="-0.24994659260841701"/>
      </left>
      <right/>
      <top style="thick">
        <color theme="8" tint="-0.24994659260841701"/>
      </top>
      <bottom style="thin">
        <color theme="8" tint="-0.24994659260841701"/>
      </bottom>
      <diagonal/>
    </border>
    <border>
      <left/>
      <right style="thick">
        <color theme="8" tint="-0.24994659260841701"/>
      </right>
      <top style="thick">
        <color theme="8" tint="-0.24994659260841701"/>
      </top>
      <bottom style="thin">
        <color theme="8" tint="-0.24994659260841701"/>
      </bottom>
      <diagonal/>
    </border>
    <border>
      <left style="thick">
        <color theme="8" tint="-0.24994659260841701"/>
      </left>
      <right/>
      <top style="thin">
        <color theme="8" tint="-0.24994659260841701"/>
      </top>
      <bottom/>
      <diagonal/>
    </border>
    <border>
      <left style="thick">
        <color theme="8" tint="-0.24994659260841701"/>
      </left>
      <right/>
      <top/>
      <bottom style="thick">
        <color theme="8" tint="-0.24994659260841701"/>
      </bottom>
      <diagonal/>
    </border>
    <border>
      <left style="thin">
        <color theme="8" tint="-0.24994659260841701"/>
      </left>
      <right/>
      <top style="thin">
        <color theme="8" tint="-0.24994659260841701"/>
      </top>
      <bottom style="thick">
        <color theme="8" tint="-0.24994659260841701"/>
      </bottom>
      <diagonal/>
    </border>
    <border>
      <left style="thin">
        <color theme="8" tint="-0.24994659260841701"/>
      </left>
      <right/>
      <top style="thick">
        <color theme="8" tint="-0.24994659260841701"/>
      </top>
      <bottom style="thick">
        <color theme="8" tint="-0.24994659260841701"/>
      </bottom>
      <diagonal/>
    </border>
    <border>
      <left/>
      <right style="thin">
        <color theme="8" tint="-0.24994659260841701"/>
      </right>
      <top style="medium">
        <color theme="8" tint="-0.24994659260841701"/>
      </top>
      <bottom/>
      <diagonal/>
    </border>
    <border>
      <left/>
      <right style="thin">
        <color theme="8" tint="-0.24994659260841701"/>
      </right>
      <top style="medium">
        <color theme="8" tint="-0.24994659260841701"/>
      </top>
      <bottom style="medium">
        <color theme="8" tint="-0.24994659260841701"/>
      </bottom>
      <diagonal/>
    </border>
    <border>
      <left/>
      <right style="thin">
        <color theme="8" tint="-0.24994659260841701"/>
      </right>
      <top style="thick">
        <color theme="8" tint="-0.24994659260841701"/>
      </top>
      <bottom style="thick">
        <color theme="8" tint="-0.24994659260841701"/>
      </bottom>
      <diagonal/>
    </border>
    <border>
      <left style="thick">
        <color theme="8" tint="-0.24994659260841701"/>
      </left>
      <right style="thin">
        <color theme="8" tint="-0.24994659260841701"/>
      </right>
      <top style="thin">
        <color theme="8" tint="-0.24994659260841701"/>
      </top>
      <bottom/>
      <diagonal/>
    </border>
    <border>
      <left style="thin">
        <color theme="3" tint="0.39994506668294322"/>
      </left>
      <right/>
      <top style="thick">
        <color theme="3" tint="0.39994506668294322"/>
      </top>
      <bottom style="thick">
        <color theme="3" tint="0.39991454817346722"/>
      </bottom>
      <diagonal/>
    </border>
    <border>
      <left/>
      <right style="thick">
        <color theme="3" tint="0.39994506668294322"/>
      </right>
      <top style="thick">
        <color theme="3" tint="0.39994506668294322"/>
      </top>
      <bottom style="thick">
        <color theme="3" tint="0.39991454817346722"/>
      </bottom>
      <diagonal/>
    </border>
    <border>
      <left/>
      <right style="thin">
        <color theme="3" tint="0.39994506668294322"/>
      </right>
      <top style="thick">
        <color theme="3" tint="0.39994506668294322"/>
      </top>
      <bottom style="thick">
        <color theme="3" tint="0.39991454817346722"/>
      </bottom>
      <diagonal/>
    </border>
    <border>
      <left style="thick">
        <color theme="3" tint="0.39994506668294322"/>
      </left>
      <right/>
      <top style="thick">
        <color theme="3" tint="0.39994506668294322"/>
      </top>
      <bottom style="thick">
        <color theme="3" tint="0.39991454817346722"/>
      </bottom>
      <diagonal/>
    </border>
    <border>
      <left/>
      <right/>
      <top style="thick">
        <color theme="3" tint="0.39994506668294322"/>
      </top>
      <bottom style="thick">
        <color theme="3" tint="0.39991454817346722"/>
      </bottom>
      <diagonal/>
    </border>
    <border>
      <left/>
      <right/>
      <top style="medium">
        <color indexed="64"/>
      </top>
      <bottom style="thick">
        <color theme="3" tint="0.39994506668294322"/>
      </bottom>
      <diagonal/>
    </border>
    <border>
      <left style="thin">
        <color theme="6" tint="-0.24994659260841701"/>
      </left>
      <right style="thick">
        <color rgb="FF92D050"/>
      </right>
      <top style="thick">
        <color rgb="FF92D050"/>
      </top>
      <bottom/>
      <diagonal/>
    </border>
    <border>
      <left style="thick">
        <color rgb="FF92D050"/>
      </left>
      <right/>
      <top style="medium">
        <color rgb="FF92D050"/>
      </top>
      <bottom style="thin">
        <color theme="6" tint="-0.24994659260841701"/>
      </bottom>
      <diagonal/>
    </border>
    <border>
      <left/>
      <right/>
      <top style="medium">
        <color rgb="FF92D050"/>
      </top>
      <bottom style="thin">
        <color theme="6" tint="-0.24994659260841701"/>
      </bottom>
      <diagonal/>
    </border>
    <border>
      <left style="thin">
        <color theme="6" tint="-0.24994659260841701"/>
      </left>
      <right/>
      <top style="thin">
        <color theme="6" tint="-0.24994659260841701"/>
      </top>
      <bottom style="thick">
        <color rgb="FF92D050"/>
      </bottom>
      <diagonal/>
    </border>
    <border>
      <left style="thick">
        <color theme="6" tint="-0.24994659260841701"/>
      </left>
      <right/>
      <top style="medium">
        <color theme="6" tint="-0.24994659260841701"/>
      </top>
      <bottom style="thick">
        <color theme="6" tint="-0.24994659260841701"/>
      </bottom>
      <diagonal/>
    </border>
    <border>
      <left/>
      <right/>
      <top style="medium">
        <color theme="6" tint="-0.24994659260841701"/>
      </top>
      <bottom style="thick">
        <color theme="6" tint="-0.24994659260841701"/>
      </bottom>
      <diagonal/>
    </border>
    <border>
      <left/>
      <right style="thin">
        <color theme="6" tint="-0.24994659260841701"/>
      </right>
      <top style="medium">
        <color theme="6" tint="-0.24994659260841701"/>
      </top>
      <bottom style="thick">
        <color theme="6" tint="-0.24994659260841701"/>
      </bottom>
      <diagonal/>
    </border>
    <border>
      <left style="thin">
        <color theme="6" tint="-0.24994659260841701"/>
      </left>
      <right style="thick">
        <color rgb="FF92D050"/>
      </right>
      <top style="thick">
        <color rgb="FF92D050"/>
      </top>
      <bottom style="thin">
        <color theme="6" tint="-0.24994659260841701"/>
      </bottom>
      <diagonal/>
    </border>
    <border>
      <left style="thick">
        <color rgb="FF00B050"/>
      </left>
      <right/>
      <top style="thick">
        <color rgb="FF00B050"/>
      </top>
      <bottom style="thin">
        <color theme="6" tint="-0.24994659260841701"/>
      </bottom>
      <diagonal/>
    </border>
    <border>
      <left/>
      <right/>
      <top style="thick">
        <color rgb="FF00B050"/>
      </top>
      <bottom style="thin">
        <color theme="6" tint="-0.24994659260841701"/>
      </bottom>
      <diagonal/>
    </border>
    <border>
      <left/>
      <right style="thick">
        <color rgb="FF00B050"/>
      </right>
      <top style="thick">
        <color rgb="FF00B050"/>
      </top>
      <bottom style="thin">
        <color theme="6" tint="-0.24994659260841701"/>
      </bottom>
      <diagonal/>
    </border>
    <border>
      <left style="thick">
        <color rgb="FF00B050"/>
      </left>
      <right/>
      <top style="thin">
        <color theme="6" tint="-0.24994659260841701"/>
      </top>
      <bottom/>
      <diagonal/>
    </border>
    <border>
      <left/>
      <right style="thick">
        <color rgb="FF00B050"/>
      </right>
      <top style="thin">
        <color theme="6" tint="-0.24994659260841701"/>
      </top>
      <bottom/>
      <diagonal/>
    </border>
    <border>
      <left style="thick">
        <color rgb="FF00B050"/>
      </left>
      <right/>
      <top style="medium">
        <color indexed="64"/>
      </top>
      <bottom style="medium">
        <color indexed="64"/>
      </bottom>
      <diagonal/>
    </border>
    <border>
      <left/>
      <right style="thick">
        <color rgb="FF00B050"/>
      </right>
      <top style="medium">
        <color indexed="64"/>
      </top>
      <bottom style="medium">
        <color indexed="64"/>
      </bottom>
      <diagonal/>
    </border>
    <border>
      <left style="thick">
        <color rgb="FF00B050"/>
      </left>
      <right style="thin">
        <color theme="6" tint="-0.24994659260841701"/>
      </right>
      <top/>
      <bottom style="thin">
        <color theme="6" tint="-0.24994659260841701"/>
      </bottom>
      <diagonal/>
    </border>
    <border>
      <left style="thin">
        <color theme="6" tint="-0.24994659260841701"/>
      </left>
      <right style="thick">
        <color rgb="FF00B050"/>
      </right>
      <top/>
      <bottom style="thin">
        <color theme="6" tint="-0.24994659260841701"/>
      </bottom>
      <diagonal/>
    </border>
    <border>
      <left style="thick">
        <color rgb="FF00B050"/>
      </left>
      <right style="thin">
        <color theme="6" tint="-0.24994659260841701"/>
      </right>
      <top style="thin">
        <color theme="6" tint="-0.24994659260841701"/>
      </top>
      <bottom style="thin">
        <color theme="6" tint="-0.24994659260841701"/>
      </bottom>
      <diagonal/>
    </border>
    <border>
      <left style="thin">
        <color theme="6" tint="-0.24994659260841701"/>
      </left>
      <right style="thick">
        <color rgb="FF00B050"/>
      </right>
      <top style="thin">
        <color theme="6" tint="-0.24994659260841701"/>
      </top>
      <bottom style="thin">
        <color theme="6" tint="-0.24994659260841701"/>
      </bottom>
      <diagonal/>
    </border>
    <border>
      <left style="thick">
        <color rgb="FF00B050"/>
      </left>
      <right style="thin">
        <color theme="6" tint="-0.24994659260841701"/>
      </right>
      <top style="thin">
        <color theme="6" tint="-0.24994659260841701"/>
      </top>
      <bottom style="thick">
        <color rgb="FF00B050"/>
      </bottom>
      <diagonal/>
    </border>
    <border>
      <left style="thin">
        <color theme="6" tint="-0.24994659260841701"/>
      </left>
      <right style="thin">
        <color theme="6" tint="-0.24994659260841701"/>
      </right>
      <top style="thin">
        <color theme="6" tint="-0.24994659260841701"/>
      </top>
      <bottom style="thick">
        <color rgb="FF00B050"/>
      </bottom>
      <diagonal/>
    </border>
    <border>
      <left style="thin">
        <color theme="6" tint="-0.24994659260841701"/>
      </left>
      <right style="thick">
        <color rgb="FF00B050"/>
      </right>
      <top style="thin">
        <color theme="6" tint="-0.24994659260841701"/>
      </top>
      <bottom style="thick">
        <color rgb="FF00B050"/>
      </bottom>
      <diagonal/>
    </border>
    <border>
      <left/>
      <right/>
      <top style="medium">
        <color theme="6" tint="-0.24994659260841701"/>
      </top>
      <bottom/>
      <diagonal/>
    </border>
    <border>
      <left style="medium">
        <color theme="8" tint="-0.24994659260841701"/>
      </left>
      <right/>
      <top style="medium">
        <color theme="8" tint="-0.24994659260841701"/>
      </top>
      <bottom/>
      <diagonal/>
    </border>
    <border>
      <left/>
      <right/>
      <top style="medium">
        <color theme="8" tint="-0.24994659260841701"/>
      </top>
      <bottom/>
      <diagonal/>
    </border>
    <border>
      <left style="medium">
        <color theme="8" tint="-0.24994659260841701"/>
      </left>
      <right/>
      <top/>
      <bottom style="thin">
        <color theme="8" tint="-0.24994659260841701"/>
      </bottom>
      <diagonal/>
    </border>
    <border>
      <left/>
      <right/>
      <top/>
      <bottom style="thin">
        <color theme="8" tint="-0.24994659260841701"/>
      </bottom>
      <diagonal/>
    </border>
    <border>
      <left/>
      <right style="medium">
        <color theme="8" tint="-0.24994659260841701"/>
      </right>
      <top style="thin">
        <color theme="8" tint="-0.24994659260841701"/>
      </top>
      <bottom/>
      <diagonal/>
    </border>
    <border>
      <left/>
      <right style="medium">
        <color theme="8" tint="-0.24994659260841701"/>
      </right>
      <top/>
      <bottom/>
      <diagonal/>
    </border>
    <border>
      <left/>
      <right style="medium">
        <color theme="8" tint="-0.24994659260841701"/>
      </right>
      <top/>
      <bottom style="thin">
        <color theme="8" tint="-0.24994659260841701"/>
      </bottom>
      <diagonal/>
    </border>
    <border>
      <left style="thick">
        <color theme="8" tint="-0.24994659260841701"/>
      </left>
      <right/>
      <top/>
      <bottom style="thin">
        <color theme="8" tint="-0.24994659260841701"/>
      </bottom>
      <diagonal/>
    </border>
    <border>
      <left style="thick">
        <color theme="8" tint="-0.24994659260841701"/>
      </left>
      <right/>
      <top style="thin">
        <color theme="8" tint="-0.24994659260841701"/>
      </top>
      <bottom style="medium">
        <color theme="8" tint="-0.24994659260841701"/>
      </bottom>
      <diagonal/>
    </border>
    <border>
      <left/>
      <right/>
      <top style="thin">
        <color theme="8" tint="-0.24994659260841701"/>
      </top>
      <bottom style="medium">
        <color theme="8" tint="-0.24994659260841701"/>
      </bottom>
      <diagonal/>
    </border>
    <border>
      <left/>
      <right style="thick">
        <color theme="8" tint="-0.24994659260841701"/>
      </right>
      <top style="thin">
        <color theme="8" tint="-0.24994659260841701"/>
      </top>
      <bottom style="medium">
        <color theme="8" tint="-0.24994659260841701"/>
      </bottom>
      <diagonal/>
    </border>
    <border>
      <left style="thick">
        <color theme="3" tint="0.39994506668294322"/>
      </left>
      <right style="thick">
        <color theme="3" tint="0.39994506668294322"/>
      </right>
      <top/>
      <bottom/>
      <diagonal/>
    </border>
    <border>
      <left style="thick">
        <color theme="3" tint="0.39994506668294322"/>
      </left>
      <right style="thick">
        <color theme="3" tint="0.39994506668294322"/>
      </right>
      <top style="thick">
        <color theme="3" tint="0.39994506668294322"/>
      </top>
      <bottom style="thick">
        <color theme="3" tint="0.39991454817346722"/>
      </bottom>
      <diagonal/>
    </border>
    <border>
      <left style="thick">
        <color theme="3" tint="0.39994506668294322"/>
      </left>
      <right style="thick">
        <color theme="3" tint="0.39994506668294322"/>
      </right>
      <top style="thick">
        <color theme="3" tint="0.39991454817346722"/>
      </top>
      <bottom style="thick">
        <color theme="3" tint="0.39994506668294322"/>
      </bottom>
      <diagonal/>
    </border>
    <border>
      <left style="thick">
        <color theme="3" tint="0.39994506668294322"/>
      </left>
      <right style="thick">
        <color theme="3" tint="0.39994506668294322"/>
      </right>
      <top style="thin">
        <color theme="3" tint="0.39991454817346722"/>
      </top>
      <bottom style="thick">
        <color theme="3" tint="0.39991454817346722"/>
      </bottom>
      <diagonal/>
    </border>
    <border>
      <left style="thick">
        <color theme="3" tint="0.39994506668294322"/>
      </left>
      <right style="thick">
        <color theme="3" tint="0.39994506668294322"/>
      </right>
      <top style="thin">
        <color theme="3" tint="0.39991454817346722"/>
      </top>
      <bottom style="thin">
        <color theme="3" tint="0.39991454817346722"/>
      </bottom>
      <diagonal/>
    </border>
    <border>
      <left style="thick">
        <color rgb="FF00B050"/>
      </left>
      <right/>
      <top style="dashed">
        <color theme="1"/>
      </top>
      <bottom/>
      <diagonal/>
    </border>
    <border>
      <left/>
      <right/>
      <top style="dashed">
        <color theme="1"/>
      </top>
      <bottom/>
      <diagonal/>
    </border>
    <border>
      <left/>
      <right style="thick">
        <color rgb="FF00B050"/>
      </right>
      <top style="dashed">
        <color theme="1"/>
      </top>
      <bottom/>
      <diagonal/>
    </border>
    <border>
      <left/>
      <right style="thick">
        <color rgb="FFC00000"/>
      </right>
      <top style="dashed">
        <color theme="1"/>
      </top>
      <bottom/>
      <diagonal/>
    </border>
    <border>
      <left style="medium">
        <color rgb="FF92D050"/>
      </left>
      <right style="thin">
        <color rgb="FF92D050"/>
      </right>
      <top style="thick">
        <color rgb="FF92D050"/>
      </top>
      <bottom style="thin">
        <color rgb="FF92D050"/>
      </bottom>
      <diagonal/>
    </border>
    <border>
      <left style="medium">
        <color rgb="FF92D050"/>
      </left>
      <right style="thin">
        <color rgb="FF92D050"/>
      </right>
      <top style="thin">
        <color rgb="FF92D050"/>
      </top>
      <bottom style="medium">
        <color rgb="FF92D050"/>
      </bottom>
      <diagonal/>
    </border>
    <border>
      <left/>
      <right style="thick">
        <color rgb="FF92D050"/>
      </right>
      <top/>
      <bottom style="thin">
        <color theme="6" tint="-0.24994659260841701"/>
      </bottom>
      <diagonal/>
    </border>
    <border>
      <left style="thick">
        <color rgb="FFC00000"/>
      </left>
      <right style="thick">
        <color rgb="FFC00000"/>
      </right>
      <top style="thick">
        <color rgb="FFC00000"/>
      </top>
      <bottom style="thick">
        <color rgb="FFC00000"/>
      </bottom>
      <diagonal/>
    </border>
    <border>
      <left style="thick">
        <color rgb="FFC00000"/>
      </left>
      <right style="thick">
        <color rgb="FFC00000"/>
      </right>
      <top/>
      <bottom/>
      <diagonal/>
    </border>
    <border>
      <left style="thick">
        <color rgb="FFC00000"/>
      </left>
      <right style="thick">
        <color rgb="FFC00000"/>
      </right>
      <top/>
      <bottom style="thick">
        <color rgb="FFC00000"/>
      </bottom>
      <diagonal/>
    </border>
    <border>
      <left style="medium">
        <color indexed="64"/>
      </left>
      <right style="thin">
        <color theme="6" tint="-0.24994659260841701"/>
      </right>
      <top style="medium">
        <color indexed="64"/>
      </top>
      <bottom style="medium">
        <color indexed="64"/>
      </bottom>
      <diagonal/>
    </border>
    <border>
      <left style="thin">
        <color theme="6" tint="-0.24994659260841701"/>
      </left>
      <right style="thin">
        <color theme="6" tint="-0.24994659260841701"/>
      </right>
      <top style="medium">
        <color indexed="64"/>
      </top>
      <bottom style="medium">
        <color indexed="64"/>
      </bottom>
      <diagonal/>
    </border>
    <border>
      <left style="thin">
        <color theme="6" tint="-0.24994659260841701"/>
      </left>
      <right style="medium">
        <color indexed="64"/>
      </right>
      <top style="medium">
        <color indexed="64"/>
      </top>
      <bottom style="medium">
        <color indexed="64"/>
      </bottom>
      <diagonal/>
    </border>
    <border>
      <left style="thick">
        <color rgb="FF92D050"/>
      </left>
      <right/>
      <top style="medium">
        <color rgb="FF92D050"/>
      </top>
      <bottom style="medium">
        <color rgb="FF92D050"/>
      </bottom>
      <diagonal/>
    </border>
    <border>
      <left/>
      <right style="thin">
        <color theme="6" tint="-0.24994659260841701"/>
      </right>
      <top style="medium">
        <color rgb="FF92D050"/>
      </top>
      <bottom style="medium">
        <color rgb="FF92D050"/>
      </bottom>
      <diagonal/>
    </border>
    <border>
      <left style="thick">
        <color theme="3" tint="0.39994506668294322"/>
      </left>
      <right style="thin">
        <color theme="3" tint="0.39994506668294322"/>
      </right>
      <top style="thin">
        <color theme="3" tint="0.39994506668294322"/>
      </top>
      <bottom style="thin">
        <color theme="3" tint="0.399914548173467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style="thin">
        <color theme="3" tint="0.39994506668294322"/>
      </left>
      <right style="thick">
        <color theme="3" tint="0.39994506668294322"/>
      </right>
      <top style="thin">
        <color theme="3" tint="0.39994506668294322"/>
      </top>
      <bottom style="thin">
        <color theme="3" tint="0.39991454817346722"/>
      </bottom>
      <diagonal/>
    </border>
    <border>
      <left style="thick">
        <color theme="3" tint="0.39991454817346722"/>
      </left>
      <right style="thin">
        <color theme="3" tint="0.39994506668294322"/>
      </right>
      <top/>
      <bottom style="thin">
        <color theme="3" tint="0.39994506668294322"/>
      </bottom>
      <diagonal/>
    </border>
    <border>
      <left style="thin">
        <color theme="3" tint="0.39994506668294322"/>
      </left>
      <right style="thick">
        <color theme="3" tint="0.39991454817346722"/>
      </right>
      <top style="thin">
        <color theme="3" tint="0.39994506668294322"/>
      </top>
      <bottom/>
      <diagonal/>
    </border>
    <border>
      <left style="thick">
        <color theme="3" tint="0.39991454817346722"/>
      </left>
      <right style="thin">
        <color theme="3" tint="0.39994506668294322"/>
      </right>
      <top/>
      <bottom style="thick">
        <color theme="3" tint="0.39991454817346722"/>
      </bottom>
      <diagonal/>
    </border>
    <border>
      <left style="thin">
        <color theme="3" tint="0.39994506668294322"/>
      </left>
      <right style="thin">
        <color theme="3" tint="0.39994506668294322"/>
      </right>
      <top/>
      <bottom style="thick">
        <color theme="3" tint="0.39991454817346722"/>
      </bottom>
      <diagonal/>
    </border>
    <border>
      <left style="thin">
        <color theme="3" tint="0.39994506668294322"/>
      </left>
      <right style="thin">
        <color theme="3" tint="0.39994506668294322"/>
      </right>
      <top style="thin">
        <color theme="3" tint="0.39994506668294322"/>
      </top>
      <bottom style="thick">
        <color theme="3" tint="0.39991454817346722"/>
      </bottom>
      <diagonal/>
    </border>
    <border>
      <left style="thin">
        <color theme="3" tint="0.39994506668294322"/>
      </left>
      <right/>
      <top style="thin">
        <color theme="3" tint="0.39994506668294322"/>
      </top>
      <bottom style="thick">
        <color theme="3" tint="0.39991454817346722"/>
      </bottom>
      <diagonal/>
    </border>
    <border>
      <left style="thin">
        <color theme="3" tint="0.39994506668294322"/>
      </left>
      <right style="thick">
        <color theme="3" tint="0.39991454817346722"/>
      </right>
      <top style="thin">
        <color theme="3" tint="0.39994506668294322"/>
      </top>
      <bottom style="thick">
        <color theme="3" tint="0.39991454817346722"/>
      </bottom>
      <diagonal/>
    </border>
    <border>
      <left/>
      <right style="thick">
        <color theme="3" tint="0.39991454817346722"/>
      </right>
      <top style="thin">
        <color theme="3" tint="0.39994506668294322"/>
      </top>
      <bottom/>
      <diagonal/>
    </border>
    <border>
      <left/>
      <right style="thick">
        <color theme="3" tint="0.39991454817346722"/>
      </right>
      <top/>
      <bottom/>
      <diagonal/>
    </border>
    <border>
      <left/>
      <right style="thick">
        <color theme="3" tint="0.39991454817346722"/>
      </right>
      <top/>
      <bottom style="thick">
        <color theme="3" tint="0.39994506668294322"/>
      </bottom>
      <diagonal/>
    </border>
    <border>
      <left style="thick">
        <color theme="3" tint="0.39991454817346722"/>
      </left>
      <right style="thin">
        <color theme="3" tint="0.39994506668294322"/>
      </right>
      <top style="thick">
        <color theme="3" tint="0.39991454817346722"/>
      </top>
      <bottom style="thick">
        <color theme="3" tint="0.39988402966399123"/>
      </bottom>
      <diagonal/>
    </border>
    <border>
      <left style="thin">
        <color theme="3" tint="0.39994506668294322"/>
      </left>
      <right style="thin">
        <color theme="3" tint="0.39994506668294322"/>
      </right>
      <top style="thick">
        <color theme="3" tint="0.39991454817346722"/>
      </top>
      <bottom style="thick">
        <color theme="3" tint="0.39988402966399123"/>
      </bottom>
      <diagonal/>
    </border>
    <border>
      <left style="thin">
        <color theme="3" tint="0.39994506668294322"/>
      </left>
      <right style="thick">
        <color theme="3" tint="0.39991454817346722"/>
      </right>
      <top/>
      <bottom style="thin">
        <color theme="3" tint="0.39994506668294322"/>
      </bottom>
      <diagonal/>
    </border>
    <border>
      <left style="thick">
        <color theme="8" tint="-0.24994659260841701"/>
      </left>
      <right style="thick">
        <color theme="8" tint="-0.24994659260841701"/>
      </right>
      <top style="thick">
        <color theme="8" tint="-0.24994659260841701"/>
      </top>
      <bottom style="thin">
        <color theme="8" tint="-0.24994659260841701"/>
      </bottom>
      <diagonal/>
    </border>
    <border>
      <left/>
      <right style="thin">
        <color theme="6" tint="-0.24994659260841701"/>
      </right>
      <top style="thin">
        <color theme="6" tint="-0.24994659260841701"/>
      </top>
      <bottom/>
      <diagonal/>
    </border>
    <border>
      <left/>
      <right style="thin">
        <color theme="6" tint="-0.24994659260841701"/>
      </right>
      <top/>
      <bottom style="thin">
        <color theme="6" tint="-0.24994659260841701"/>
      </bottom>
      <diagonal/>
    </border>
    <border>
      <left style="thick">
        <color theme="2" tint="-0.24994659260841701"/>
      </left>
      <right/>
      <top style="thick">
        <color theme="2" tint="-0.24994659260841701"/>
      </top>
      <bottom style="thin">
        <color theme="2" tint="-0.499984740745262"/>
      </bottom>
      <diagonal/>
    </border>
    <border>
      <left/>
      <right/>
      <top style="thick">
        <color theme="2" tint="-0.24994659260841701"/>
      </top>
      <bottom style="thin">
        <color theme="2" tint="-0.499984740745262"/>
      </bottom>
      <diagonal/>
    </border>
    <border>
      <left/>
      <right style="thick">
        <color theme="2" tint="-0.24994659260841701"/>
      </right>
      <top style="thick">
        <color theme="2" tint="-0.24994659260841701"/>
      </top>
      <bottom style="thin">
        <color theme="2" tint="-0.499984740745262"/>
      </bottom>
      <diagonal/>
    </border>
    <border>
      <left style="thick">
        <color theme="2" tint="-0.24994659260841701"/>
      </left>
      <right/>
      <top style="thin">
        <color theme="2" tint="-0.499984740745262"/>
      </top>
      <bottom style="thick">
        <color theme="2" tint="-0.499984740745262"/>
      </bottom>
      <diagonal/>
    </border>
    <border>
      <left/>
      <right style="thick">
        <color theme="2" tint="-0.24994659260841701"/>
      </right>
      <top style="thin">
        <color theme="2" tint="-0.499984740745262"/>
      </top>
      <bottom style="thick">
        <color theme="2" tint="-0.499984740745262"/>
      </bottom>
      <diagonal/>
    </border>
    <border>
      <left style="thick">
        <color theme="2" tint="-0.24994659260841701"/>
      </left>
      <right/>
      <top style="thick">
        <color theme="2" tint="-0.499984740745262"/>
      </top>
      <bottom style="thick">
        <color theme="2" tint="-0.499984740745262"/>
      </bottom>
      <diagonal/>
    </border>
    <border>
      <left/>
      <right style="thick">
        <color theme="2" tint="-0.24994659260841701"/>
      </right>
      <top style="thick">
        <color theme="2" tint="-0.499984740745262"/>
      </top>
      <bottom style="thick">
        <color theme="2" tint="-0.499984740745262"/>
      </bottom>
      <diagonal/>
    </border>
    <border>
      <left style="thick">
        <color theme="2" tint="-0.24994659260841701"/>
      </left>
      <right/>
      <top style="thin">
        <color theme="2" tint="-0.499984740745262"/>
      </top>
      <bottom style="thick">
        <color theme="2" tint="-0.24994659260841701"/>
      </bottom>
      <diagonal/>
    </border>
    <border>
      <left/>
      <right/>
      <top style="thin">
        <color theme="2" tint="-0.499984740745262"/>
      </top>
      <bottom style="thick">
        <color theme="2" tint="-0.24994659260841701"/>
      </bottom>
      <diagonal/>
    </border>
    <border>
      <left/>
      <right style="thick">
        <color theme="2" tint="-0.24994659260841701"/>
      </right>
      <top style="thin">
        <color theme="2" tint="-0.499984740745262"/>
      </top>
      <bottom style="thick">
        <color theme="2" tint="-0.24994659260841701"/>
      </bottom>
      <diagonal/>
    </border>
    <border>
      <left style="thin">
        <color theme="6" tint="-0.24994659260841701"/>
      </left>
      <right style="thick">
        <color rgb="FF92D050"/>
      </right>
      <top style="medium">
        <color rgb="FF92D050"/>
      </top>
      <bottom style="medium">
        <color rgb="FF92D050"/>
      </bottom>
      <diagonal/>
    </border>
    <border>
      <left style="thick">
        <color theme="6" tint="-0.24994659260841701"/>
      </left>
      <right style="thick">
        <color theme="6" tint="-0.24994659260841701"/>
      </right>
      <top/>
      <bottom/>
      <diagonal/>
    </border>
    <border>
      <left style="thick">
        <color theme="6" tint="-0.24994659260841701"/>
      </left>
      <right style="thick">
        <color theme="6" tint="-0.24994659260841701"/>
      </right>
      <top style="thick">
        <color theme="6" tint="-0.24994659260841701"/>
      </top>
      <bottom/>
      <diagonal/>
    </border>
    <border>
      <left style="thick">
        <color theme="6" tint="-0.24994659260841701"/>
      </left>
      <right style="thick">
        <color theme="6" tint="-0.24994659260841701"/>
      </right>
      <top/>
      <bottom style="thick">
        <color theme="6" tint="-0.24994659260841701"/>
      </bottom>
      <diagonal/>
    </border>
    <border>
      <left/>
      <right style="thick">
        <color theme="2" tint="-9.9948118533890809E-2"/>
      </right>
      <top style="thin">
        <color theme="2" tint="-9.9948118533890809E-2"/>
      </top>
      <bottom style="thin">
        <color theme="2" tint="-9.9948118533890809E-2"/>
      </bottom>
      <diagonal/>
    </border>
    <border>
      <left style="thick">
        <color theme="0" tint="-0.14993743705557422"/>
      </left>
      <right/>
      <top style="thick">
        <color theme="0" tint="-0.14993743705557422"/>
      </top>
      <bottom style="thin">
        <color theme="0" tint="-0.14996795556505021"/>
      </bottom>
      <diagonal/>
    </border>
    <border>
      <left/>
      <right/>
      <top style="thick">
        <color theme="0" tint="-0.14993743705557422"/>
      </top>
      <bottom style="thin">
        <color theme="0" tint="-0.14996795556505021"/>
      </bottom>
      <diagonal/>
    </border>
    <border>
      <left/>
      <right style="thick">
        <color theme="0" tint="-0.14993743705557422"/>
      </right>
      <top style="thick">
        <color theme="0" tint="-0.14993743705557422"/>
      </top>
      <bottom style="thin">
        <color theme="0" tint="-0.14996795556505021"/>
      </bottom>
      <diagonal/>
    </border>
    <border>
      <left style="thick">
        <color theme="0" tint="-0.14993743705557422"/>
      </left>
      <right/>
      <top/>
      <bottom/>
      <diagonal/>
    </border>
    <border>
      <left/>
      <right/>
      <top style="thin">
        <color theme="0" tint="-0.14996795556505021"/>
      </top>
      <bottom/>
      <diagonal/>
    </border>
    <border>
      <left/>
      <right style="thick">
        <color theme="0" tint="-0.14993743705557422"/>
      </right>
      <top style="thin">
        <color theme="0" tint="-0.14996795556505021"/>
      </top>
      <bottom/>
      <diagonal/>
    </border>
    <border>
      <left/>
      <right style="thick">
        <color theme="0" tint="-0.14993743705557422"/>
      </right>
      <top/>
      <bottom/>
      <diagonal/>
    </border>
    <border>
      <left style="thick">
        <color theme="0" tint="-0.14993743705557422"/>
      </left>
      <right/>
      <top/>
      <bottom style="thick">
        <color theme="0" tint="-0.14993743705557422"/>
      </bottom>
      <diagonal/>
    </border>
    <border>
      <left/>
      <right/>
      <top/>
      <bottom style="thick">
        <color theme="0" tint="-0.14993743705557422"/>
      </bottom>
      <diagonal/>
    </border>
    <border>
      <left/>
      <right style="thick">
        <color theme="0" tint="-0.14993743705557422"/>
      </right>
      <top/>
      <bottom style="thick">
        <color theme="0" tint="-0.14993743705557422"/>
      </bottom>
      <diagonal/>
    </border>
    <border>
      <left style="thick">
        <color rgb="FF92D050"/>
      </left>
      <right style="thin">
        <color theme="6" tint="-0.24994659260841701"/>
      </right>
      <top style="thin">
        <color theme="6" tint="-0.24994659260841701"/>
      </top>
      <bottom/>
      <diagonal/>
    </border>
    <border>
      <left style="thick">
        <color rgb="FF92D050"/>
      </left>
      <right style="thin">
        <color theme="6" tint="-0.24994659260841701"/>
      </right>
      <top style="thick">
        <color rgb="FF92D050"/>
      </top>
      <bottom style="thick">
        <color rgb="FF92D050"/>
      </bottom>
      <diagonal/>
    </border>
    <border>
      <left style="thin">
        <color theme="6" tint="-0.24994659260841701"/>
      </left>
      <right style="thin">
        <color theme="6" tint="-0.24994659260841701"/>
      </right>
      <top style="thick">
        <color rgb="FF92D050"/>
      </top>
      <bottom style="thick">
        <color rgb="FF92D050"/>
      </bottom>
      <diagonal/>
    </border>
    <border>
      <left style="thick">
        <color rgb="FF92D050"/>
      </left>
      <right/>
      <top style="medium">
        <color theme="6" tint="-0.24994659260841701"/>
      </top>
      <bottom/>
      <diagonal/>
    </border>
    <border>
      <left/>
      <right/>
      <top style="medium">
        <color rgb="FF92D050"/>
      </top>
      <bottom/>
      <diagonal/>
    </border>
    <border>
      <left/>
      <right style="thick">
        <color rgb="FF92D050"/>
      </right>
      <top style="medium">
        <color rgb="FF92D050"/>
      </top>
      <bottom/>
      <diagonal/>
    </border>
    <border>
      <left style="thick">
        <color rgb="FF92D050"/>
      </left>
      <right style="thin">
        <color theme="6" tint="-0.24994659260841701"/>
      </right>
      <top style="thick">
        <color rgb="FF92D050"/>
      </top>
      <bottom style="medium">
        <color rgb="FF92D050"/>
      </bottom>
      <diagonal/>
    </border>
    <border>
      <left style="thin">
        <color theme="6" tint="-0.24994659260841701"/>
      </left>
      <right style="thin">
        <color theme="6" tint="-0.24994659260841701"/>
      </right>
      <top style="thick">
        <color rgb="FF92D050"/>
      </top>
      <bottom style="medium">
        <color rgb="FF92D050"/>
      </bottom>
      <diagonal/>
    </border>
    <border>
      <left style="thick">
        <color rgb="FF92D050"/>
      </left>
      <right/>
      <top style="medium">
        <color rgb="FF92D050"/>
      </top>
      <bottom style="thick">
        <color rgb="FF92D050"/>
      </bottom>
      <diagonal/>
    </border>
    <border>
      <left/>
      <right/>
      <top style="medium">
        <color rgb="FF92D050"/>
      </top>
      <bottom style="thick">
        <color rgb="FF92D050"/>
      </bottom>
      <diagonal/>
    </border>
    <border>
      <left/>
      <right style="thin">
        <color theme="6" tint="-0.24994659260841701"/>
      </right>
      <top style="medium">
        <color rgb="FF92D050"/>
      </top>
      <bottom style="thick">
        <color rgb="FF92D050"/>
      </bottom>
      <diagonal/>
    </border>
    <border>
      <left style="thin">
        <color theme="6" tint="-0.24994659260841701"/>
      </left>
      <right style="thin">
        <color theme="6" tint="-0.24994659260841701"/>
      </right>
      <top style="medium">
        <color rgb="FF92D050"/>
      </top>
      <bottom style="thick">
        <color rgb="FF92D050"/>
      </bottom>
      <diagonal/>
    </border>
    <border>
      <left style="thin">
        <color theme="6" tint="-0.24994659260841701"/>
      </left>
      <right style="thick">
        <color rgb="FF92D050"/>
      </right>
      <top style="medium">
        <color rgb="FF92D050"/>
      </top>
      <bottom style="thick">
        <color rgb="FF92D050"/>
      </bottom>
      <diagonal/>
    </border>
    <border>
      <left style="medium">
        <color rgb="FF92D050"/>
      </left>
      <right/>
      <top style="thin">
        <color theme="6" tint="-0.24994659260841701"/>
      </top>
      <bottom style="thin">
        <color theme="6" tint="-0.24994659260841701"/>
      </bottom>
      <diagonal/>
    </border>
    <border>
      <left style="medium">
        <color rgb="FF92D050"/>
      </left>
      <right/>
      <top style="thin">
        <color theme="6" tint="-0.24994659260841701"/>
      </top>
      <bottom style="thick">
        <color rgb="FF92D050"/>
      </bottom>
      <diagonal/>
    </border>
    <border>
      <left style="thick">
        <color theme="6" tint="-0.24994659260841701"/>
      </left>
      <right style="thick">
        <color theme="6" tint="-0.24994659260841701"/>
      </right>
      <top style="thick">
        <color theme="6" tint="-0.24994659260841701"/>
      </top>
      <bottom style="thick">
        <color theme="6" tint="-0.24994659260841701"/>
      </bottom>
      <diagonal/>
    </border>
    <border>
      <left style="thin">
        <color theme="6" tint="-0.24994659260841701"/>
      </left>
      <right style="thick">
        <color theme="6" tint="-0.24994659260841701"/>
      </right>
      <top/>
      <bottom style="thick">
        <color theme="6" tint="-0.24994659260841701"/>
      </bottom>
      <diagonal/>
    </border>
    <border>
      <left style="thin">
        <color theme="6" tint="-0.24994659260841701"/>
      </left>
      <right/>
      <top style="thick">
        <color rgb="FF92D050"/>
      </top>
      <bottom style="thick">
        <color rgb="FF92D050"/>
      </bottom>
      <diagonal/>
    </border>
    <border>
      <left style="thick">
        <color theme="3" tint="0.39994506668294322"/>
      </left>
      <right/>
      <top style="dashed">
        <color auto="1"/>
      </top>
      <bottom style="thick">
        <color theme="3" tint="0.39991454817346722"/>
      </bottom>
      <diagonal/>
    </border>
    <border>
      <left/>
      <right/>
      <top style="dashed">
        <color auto="1"/>
      </top>
      <bottom style="thick">
        <color theme="3" tint="0.39991454817346722"/>
      </bottom>
      <diagonal/>
    </border>
    <border>
      <left/>
      <right style="thick">
        <color theme="3" tint="0.39994506668294322"/>
      </right>
      <top style="dashed">
        <color auto="1"/>
      </top>
      <bottom style="thick">
        <color theme="3" tint="0.39991454817346722"/>
      </bottom>
      <diagonal/>
    </border>
    <border>
      <left/>
      <right style="thick">
        <color theme="9" tint="-0.24994659260841701"/>
      </right>
      <top style="dashed">
        <color auto="1"/>
      </top>
      <bottom style="thick">
        <color theme="3" tint="0.39991454817346722"/>
      </bottom>
      <diagonal/>
    </border>
    <border>
      <left style="medium">
        <color rgb="FF92D050"/>
      </left>
      <right style="thick">
        <color rgb="FF92D050"/>
      </right>
      <top style="thick">
        <color rgb="FF92D050"/>
      </top>
      <bottom style="medium">
        <color rgb="FF92D050"/>
      </bottom>
      <diagonal/>
    </border>
    <border>
      <left style="thin">
        <color theme="6" tint="-0.24994659260841701"/>
      </left>
      <right/>
      <top style="thick">
        <color rgb="FF92D050"/>
      </top>
      <bottom style="medium">
        <color rgb="FF92D050"/>
      </bottom>
      <diagonal/>
    </border>
    <border>
      <left style="medium">
        <color rgb="FF92D050"/>
      </left>
      <right style="thin">
        <color rgb="FF92D050"/>
      </right>
      <top style="thick">
        <color rgb="FF92D050"/>
      </top>
      <bottom style="medium">
        <color rgb="FF92D050"/>
      </bottom>
      <diagonal/>
    </border>
    <border>
      <left style="medium">
        <color rgb="FF92D050"/>
      </left>
      <right style="thin">
        <color rgb="FF92D050"/>
      </right>
      <top style="medium">
        <color rgb="FF92D050"/>
      </top>
      <bottom style="medium">
        <color rgb="FF92D050"/>
      </bottom>
      <diagonal/>
    </border>
    <border>
      <left style="thin">
        <color rgb="FF92D050"/>
      </left>
      <right style="thin">
        <color rgb="FF92D050"/>
      </right>
      <top style="medium">
        <color rgb="FF92D050"/>
      </top>
      <bottom style="medium">
        <color rgb="FF92D050"/>
      </bottom>
      <diagonal/>
    </border>
    <border>
      <left style="thin">
        <color rgb="FF92D050"/>
      </left>
      <right style="thick">
        <color rgb="FF92D050"/>
      </right>
      <top style="medium">
        <color rgb="FF92D050"/>
      </top>
      <bottom style="medium">
        <color rgb="FF92D050"/>
      </bottom>
      <diagonal/>
    </border>
    <border>
      <left style="thin">
        <color rgb="FF92D050"/>
      </left>
      <right style="thick">
        <color rgb="FF92D050"/>
      </right>
      <top style="thick">
        <color rgb="FF92D050"/>
      </top>
      <bottom style="thick">
        <color rgb="FF92D050"/>
      </bottom>
      <diagonal/>
    </border>
    <border>
      <left style="thin">
        <color rgb="FF92D050"/>
      </left>
      <right style="thin">
        <color rgb="FF92D050"/>
      </right>
      <top style="thick">
        <color rgb="FF92D050"/>
      </top>
      <bottom style="thick">
        <color rgb="FF92D050"/>
      </bottom>
      <diagonal/>
    </border>
    <border>
      <left style="thin">
        <color rgb="FF92D050"/>
      </left>
      <right style="thin">
        <color rgb="FF92D050"/>
      </right>
      <top/>
      <bottom style="thick">
        <color rgb="FF92D050"/>
      </bottom>
      <diagonal/>
    </border>
    <border>
      <left style="thin">
        <color rgb="FF92D050"/>
      </left>
      <right style="thick">
        <color rgb="FF92D050"/>
      </right>
      <top/>
      <bottom style="thick">
        <color rgb="FF92D050"/>
      </bottom>
      <diagonal/>
    </border>
    <border>
      <left/>
      <right style="medium">
        <color theme="8" tint="0.39991454817346722"/>
      </right>
      <top style="thin">
        <color theme="8" tint="0.39994506668294322"/>
      </top>
      <bottom style="thick">
        <color theme="8" tint="0.39994506668294322"/>
      </bottom>
      <diagonal/>
    </border>
    <border>
      <left/>
      <right style="medium">
        <color theme="8" tint="0.39991454817346722"/>
      </right>
      <top style="thin">
        <color theme="8" tint="0.39994506668294322"/>
      </top>
      <bottom style="thin">
        <color theme="8" tint="0.39994506668294322"/>
      </bottom>
      <diagonal/>
    </border>
    <border>
      <left/>
      <right style="thin">
        <color theme="8" tint="0.39994506668294322"/>
      </right>
      <top style="thin">
        <color theme="8" tint="0.39994506668294322"/>
      </top>
      <bottom/>
      <diagonal/>
    </border>
    <border>
      <left/>
      <right style="thin">
        <color theme="8" tint="0.39994506668294322"/>
      </right>
      <top/>
      <bottom/>
      <diagonal/>
    </border>
    <border>
      <left style="medium">
        <color theme="8" tint="0.39991454817346722"/>
      </left>
      <right style="thin">
        <color theme="8" tint="0.39994506668294322"/>
      </right>
      <top style="thin">
        <color theme="8" tint="0.39994506668294322"/>
      </top>
      <bottom style="thin">
        <color theme="8" tint="0.39988402966399123"/>
      </bottom>
      <diagonal/>
    </border>
    <border>
      <left style="thin">
        <color theme="8" tint="0.39994506668294322"/>
      </left>
      <right style="medium">
        <color theme="8" tint="0.39991454817346722"/>
      </right>
      <top style="thin">
        <color theme="8" tint="0.39994506668294322"/>
      </top>
      <bottom style="thin">
        <color theme="8" tint="0.39988402966399123"/>
      </bottom>
      <diagonal/>
    </border>
    <border>
      <left style="thin">
        <color theme="8" tint="0.39994506668294322"/>
      </left>
      <right style="thin">
        <color theme="8" tint="0.39994506668294322"/>
      </right>
      <top style="thin">
        <color theme="8" tint="0.39994506668294322"/>
      </top>
      <bottom style="thin">
        <color theme="8" tint="0.39988402966399123"/>
      </bottom>
      <diagonal/>
    </border>
    <border>
      <left style="medium">
        <color theme="8" tint="0.39991454817346722"/>
      </left>
      <right style="thin">
        <color theme="8" tint="0.39994506668294322"/>
      </right>
      <top style="thin">
        <color theme="8" tint="0.39988402966399123"/>
      </top>
      <bottom style="thick">
        <color theme="8" tint="0.39988402966399123"/>
      </bottom>
      <diagonal/>
    </border>
    <border>
      <left style="thin">
        <color theme="8" tint="0.39994506668294322"/>
      </left>
      <right style="medium">
        <color theme="8" tint="0.39991454817346722"/>
      </right>
      <top style="thin">
        <color theme="8" tint="0.39988402966399123"/>
      </top>
      <bottom style="thick">
        <color theme="8" tint="0.39988402966399123"/>
      </bottom>
      <diagonal/>
    </border>
    <border>
      <left style="thin">
        <color theme="8" tint="0.39994506668294322"/>
      </left>
      <right style="thin">
        <color theme="8" tint="0.39994506668294322"/>
      </right>
      <top style="thin">
        <color theme="8" tint="0.39988402966399123"/>
      </top>
      <bottom style="thick">
        <color theme="8" tint="0.39988402966399123"/>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ck">
        <color theme="8" tint="0.39994506668294322"/>
      </right>
      <top style="thin">
        <color theme="8" tint="0.39988402966399123"/>
      </top>
      <bottom style="thick">
        <color theme="8" tint="0.39988402966399123"/>
      </bottom>
      <diagonal/>
    </border>
    <border>
      <left style="medium">
        <color theme="8" tint="0.39991454817346722"/>
      </left>
      <right style="thin">
        <color theme="8" tint="0.39994506668294322"/>
      </right>
      <top style="thin">
        <color theme="8" tint="0.39988402966399123"/>
      </top>
      <bottom style="thin">
        <color theme="8" tint="0.39991454817346722"/>
      </bottom>
      <diagonal/>
    </border>
    <border>
      <left style="thin">
        <color theme="8" tint="0.39994506668294322"/>
      </left>
      <right style="medium">
        <color theme="8" tint="0.39991454817346722"/>
      </right>
      <top style="thin">
        <color theme="8" tint="0.39988402966399123"/>
      </top>
      <bottom style="thin">
        <color theme="8" tint="0.39991454817346722"/>
      </bottom>
      <diagonal/>
    </border>
    <border>
      <left style="thin">
        <color theme="8" tint="0.39994506668294322"/>
      </left>
      <right style="thin">
        <color theme="8" tint="0.39994506668294322"/>
      </right>
      <top style="thin">
        <color theme="8" tint="0.39988402966399123"/>
      </top>
      <bottom style="thin">
        <color theme="8" tint="0.39991454817346722"/>
      </bottom>
      <diagonal/>
    </border>
    <border>
      <left style="medium">
        <color theme="8" tint="0.39991454817346722"/>
      </left>
      <right style="thin">
        <color theme="8" tint="0.39994506668294322"/>
      </right>
      <top style="thin">
        <color theme="8" tint="0.39994506668294322"/>
      </top>
      <bottom/>
      <diagonal/>
    </border>
    <border>
      <left style="thin">
        <color theme="8" tint="0.39994506668294322"/>
      </left>
      <right style="medium">
        <color theme="8" tint="0.39991454817346722"/>
      </right>
      <top style="thin">
        <color theme="8" tint="0.39994506668294322"/>
      </top>
      <bottom/>
      <diagonal/>
    </border>
    <border>
      <left/>
      <right style="thin">
        <color theme="8" tint="0.39994506668294322"/>
      </right>
      <top style="thin">
        <color theme="8" tint="0.39988402966399123"/>
      </top>
      <bottom style="thick">
        <color theme="8" tint="0.39988402966399123"/>
      </bottom>
      <diagonal/>
    </border>
    <border>
      <left style="thick">
        <color theme="8" tint="0.39991454817346722"/>
      </left>
      <right style="thin">
        <color theme="8" tint="0.39991454817346722"/>
      </right>
      <top style="thin">
        <color theme="8" tint="0.39991454817346722"/>
      </top>
      <bottom/>
      <diagonal/>
    </border>
    <border>
      <left style="thick">
        <color theme="8" tint="0.39991454817346722"/>
      </left>
      <right style="thin">
        <color theme="8" tint="0.39991454817346722"/>
      </right>
      <top/>
      <bottom/>
      <diagonal/>
    </border>
    <border>
      <left style="thick">
        <color theme="8" tint="0.39991454817346722"/>
      </left>
      <right style="thin">
        <color theme="8" tint="0.39991454817346722"/>
      </right>
      <top/>
      <bottom style="thin">
        <color theme="8" tint="0.39991454817346722"/>
      </bottom>
      <diagonal/>
    </border>
    <border>
      <left/>
      <right style="medium">
        <color theme="8" tint="0.39988402966399123"/>
      </right>
      <top style="thin">
        <color theme="8" tint="0.39991454817346722"/>
      </top>
      <bottom style="thin">
        <color theme="8" tint="0.39991454817346722"/>
      </bottom>
      <diagonal/>
    </border>
    <border>
      <left style="thick">
        <color theme="8" tint="0.39991454817346722"/>
      </left>
      <right style="thin">
        <color theme="8" tint="0.39991454817346722"/>
      </right>
      <top/>
      <bottom style="thick">
        <color theme="8" tint="0.39988402966399123"/>
      </bottom>
      <diagonal/>
    </border>
    <border>
      <left style="thin">
        <color theme="8" tint="0.39991454817346722"/>
      </left>
      <right/>
      <top style="thin">
        <color theme="8" tint="0.39991454817346722"/>
      </top>
      <bottom style="thick">
        <color theme="8" tint="0.39988402966399123"/>
      </bottom>
      <diagonal/>
    </border>
    <border>
      <left/>
      <right/>
      <top style="thin">
        <color theme="8" tint="0.39991454817346722"/>
      </top>
      <bottom style="thick">
        <color theme="8" tint="0.39988402966399123"/>
      </bottom>
      <diagonal/>
    </border>
    <border>
      <left/>
      <right style="medium">
        <color theme="8" tint="0.39988402966399123"/>
      </right>
      <top style="thin">
        <color theme="8" tint="0.39991454817346722"/>
      </top>
      <bottom style="thick">
        <color theme="8" tint="0.39988402966399123"/>
      </bottom>
      <diagonal/>
    </border>
    <border>
      <left style="thick">
        <color theme="8" tint="0.39994506668294322"/>
      </left>
      <right/>
      <top style="medium">
        <color theme="8" tint="0.39991454817346722"/>
      </top>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thick">
        <color rgb="FF92D050"/>
      </left>
      <right/>
      <top style="medium">
        <color rgb="FF92D050"/>
      </top>
      <bottom style="thin">
        <color rgb="FF92D050"/>
      </bottom>
      <diagonal/>
    </border>
    <border>
      <left/>
      <right/>
      <top style="medium">
        <color rgb="FF92D050"/>
      </top>
      <bottom style="thin">
        <color rgb="FF92D050"/>
      </bottom>
      <diagonal/>
    </border>
    <border>
      <left/>
      <right style="thick">
        <color rgb="FF92D050"/>
      </right>
      <top style="medium">
        <color rgb="FF92D050"/>
      </top>
      <bottom style="thin">
        <color rgb="FF92D05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diagonal/>
    </border>
    <border>
      <left style="thin">
        <color indexed="64"/>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bottom style="thin">
        <color indexed="64"/>
      </bottom>
      <diagonal/>
    </border>
    <border>
      <left/>
      <right style="dashed">
        <color rgb="FFC00000"/>
      </right>
      <top/>
      <bottom/>
      <diagonal/>
    </border>
    <border>
      <left style="thin">
        <color indexed="64"/>
      </left>
      <right/>
      <top/>
      <bottom style="medium">
        <color indexed="64"/>
      </bottom>
      <diagonal/>
    </border>
    <border>
      <left style="thin">
        <color indexed="64"/>
      </left>
      <right/>
      <top style="medium">
        <color indexed="64"/>
      </top>
      <bottom/>
      <diagonal/>
    </border>
    <border>
      <left style="dashed">
        <color indexed="10"/>
      </left>
      <right/>
      <top style="thick">
        <color indexed="10"/>
      </top>
      <bottom/>
      <diagonal/>
    </border>
    <border>
      <left style="dashed">
        <color indexed="10"/>
      </left>
      <right/>
      <top/>
      <bottom/>
      <diagonal/>
    </border>
    <border>
      <left style="dashed">
        <color indexed="10"/>
      </left>
      <right/>
      <top/>
      <bottom style="thick">
        <color indexed="10"/>
      </bottom>
      <diagonal/>
    </border>
    <border>
      <left/>
      <right/>
      <top style="thick">
        <color theme="9" tint="-0.24994659260841701"/>
      </top>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style="thick">
        <color theme="9" tint="-0.24994659260841701"/>
      </left>
      <right style="dashed">
        <color theme="9" tint="-0.24994659260841701"/>
      </right>
      <top style="thick">
        <color theme="9" tint="-0.24994659260841701"/>
      </top>
      <bottom style="thin">
        <color theme="9" tint="-0.24994659260841701"/>
      </bottom>
      <diagonal/>
    </border>
    <border>
      <left style="dashed">
        <color theme="9" tint="-0.24994659260841701"/>
      </left>
      <right style="dashed">
        <color theme="9" tint="-0.24994659260841701"/>
      </right>
      <top style="thick">
        <color theme="9" tint="-0.24994659260841701"/>
      </top>
      <bottom style="thin">
        <color theme="9" tint="-0.24994659260841701"/>
      </bottom>
      <diagonal/>
    </border>
    <border>
      <left style="dashed">
        <color theme="9" tint="-0.24994659260841701"/>
      </left>
      <right style="thick">
        <color theme="9" tint="-0.24994659260841701"/>
      </right>
      <top style="thick">
        <color theme="9" tint="-0.24994659260841701"/>
      </top>
      <bottom style="thin">
        <color theme="9" tint="-0.24994659260841701"/>
      </bottom>
      <diagonal/>
    </border>
    <border>
      <left style="thick">
        <color theme="9" tint="-0.24994659260841701"/>
      </left>
      <right style="dashed">
        <color theme="9" tint="-0.24994659260841701"/>
      </right>
      <top style="thin">
        <color theme="9" tint="-0.24994659260841701"/>
      </top>
      <bottom style="thin">
        <color theme="9" tint="-0.24994659260841701"/>
      </bottom>
      <diagonal/>
    </border>
    <border>
      <left style="dashed">
        <color theme="9" tint="-0.24994659260841701"/>
      </left>
      <right style="dashed">
        <color theme="9" tint="-0.24994659260841701"/>
      </right>
      <top style="thin">
        <color theme="9" tint="-0.24994659260841701"/>
      </top>
      <bottom style="thin">
        <color theme="9" tint="-0.24994659260841701"/>
      </bottom>
      <diagonal/>
    </border>
    <border>
      <left style="dashed">
        <color theme="9" tint="-0.24994659260841701"/>
      </left>
      <right style="thick">
        <color theme="9" tint="-0.24994659260841701"/>
      </right>
      <top style="thin">
        <color theme="9" tint="-0.24994659260841701"/>
      </top>
      <bottom style="thin">
        <color theme="9" tint="-0.24994659260841701"/>
      </bottom>
      <diagonal/>
    </border>
    <border>
      <left style="dashed">
        <color theme="9" tint="-0.24994659260841701"/>
      </left>
      <right/>
      <top style="thick">
        <color theme="9" tint="-0.24994659260841701"/>
      </top>
      <bottom style="thin">
        <color theme="9" tint="-0.24994659260841701"/>
      </bottom>
      <diagonal/>
    </border>
    <border>
      <left style="dashed">
        <color theme="9" tint="-0.24994659260841701"/>
      </left>
      <right/>
      <top style="thin">
        <color theme="9" tint="-0.24994659260841701"/>
      </top>
      <bottom style="thin">
        <color theme="9" tint="-0.24994659260841701"/>
      </bottom>
      <diagonal/>
    </border>
    <border>
      <left/>
      <right style="dashed">
        <color theme="9" tint="-0.24994659260841701"/>
      </right>
      <top style="thick">
        <color theme="9" tint="-0.24994659260841701"/>
      </top>
      <bottom style="thin">
        <color theme="9" tint="-0.24994659260841701"/>
      </bottom>
      <diagonal/>
    </border>
    <border>
      <left/>
      <right style="dashed">
        <color theme="9" tint="-0.24994659260841701"/>
      </right>
      <top style="thin">
        <color theme="9" tint="-0.24994659260841701"/>
      </top>
      <bottom style="thin">
        <color theme="9" tint="-0.24994659260841701"/>
      </bottom>
      <diagonal/>
    </border>
    <border>
      <left style="thick">
        <color theme="9" tint="-0.24994659260841701"/>
      </left>
      <right style="thick">
        <color theme="9" tint="-0.24994659260841701"/>
      </right>
      <top style="thick">
        <color theme="9" tint="-0.24994659260841701"/>
      </top>
      <bottom style="thin">
        <color theme="9" tint="-0.24994659260841701"/>
      </bottom>
      <diagonal/>
    </border>
    <border>
      <left style="thick">
        <color theme="9" tint="-0.24994659260841701"/>
      </left>
      <right style="thick">
        <color theme="9" tint="-0.24994659260841701"/>
      </right>
      <top style="thin">
        <color theme="9" tint="-0.24994659260841701"/>
      </top>
      <bottom style="thin">
        <color theme="9" tint="-0.24994659260841701"/>
      </bottom>
      <diagonal/>
    </border>
    <border>
      <left style="thick">
        <color theme="9" tint="-0.24994659260841701"/>
      </left>
      <right style="dashed">
        <color theme="9" tint="-0.24994659260841701"/>
      </right>
      <top style="thin">
        <color theme="9" tint="-0.24994659260841701"/>
      </top>
      <bottom/>
      <diagonal/>
    </border>
    <border>
      <left style="dashed">
        <color theme="9" tint="-0.24994659260841701"/>
      </left>
      <right/>
      <top style="thin">
        <color theme="9" tint="-0.24994659260841701"/>
      </top>
      <bottom/>
      <diagonal/>
    </border>
    <border>
      <left style="thick">
        <color theme="9" tint="-0.24994659260841701"/>
      </left>
      <right style="thick">
        <color theme="9" tint="-0.24994659260841701"/>
      </right>
      <top style="thin">
        <color theme="9" tint="-0.24994659260841701"/>
      </top>
      <bottom/>
      <diagonal/>
    </border>
    <border>
      <left/>
      <right style="dashed">
        <color theme="9" tint="-0.24994659260841701"/>
      </right>
      <top style="thin">
        <color theme="9" tint="-0.24994659260841701"/>
      </top>
      <bottom/>
      <diagonal/>
    </border>
    <border>
      <left style="dashed">
        <color theme="9" tint="-0.24994659260841701"/>
      </left>
      <right style="dashed">
        <color theme="9" tint="-0.24994659260841701"/>
      </right>
      <top style="thin">
        <color theme="9" tint="-0.24994659260841701"/>
      </top>
      <bottom/>
      <diagonal/>
    </border>
    <border>
      <left style="dashed">
        <color theme="9" tint="-0.24994659260841701"/>
      </left>
      <right style="thick">
        <color theme="9" tint="-0.24994659260841701"/>
      </right>
      <top style="thin">
        <color theme="9" tint="-0.24994659260841701"/>
      </top>
      <bottom/>
      <diagonal/>
    </border>
    <border>
      <left style="thick">
        <color theme="9" tint="-0.24994659260841701"/>
      </left>
      <right style="dashed">
        <color theme="9" tint="-0.24994659260841701"/>
      </right>
      <top style="thick">
        <color theme="9" tint="-0.24994659260841701"/>
      </top>
      <bottom style="thick">
        <color theme="9" tint="-0.24994659260841701"/>
      </bottom>
      <diagonal/>
    </border>
    <border>
      <left style="dashed">
        <color theme="9" tint="-0.24994659260841701"/>
      </left>
      <right/>
      <top style="thick">
        <color theme="9" tint="-0.24994659260841701"/>
      </top>
      <bottom style="thick">
        <color theme="9" tint="-0.24994659260841701"/>
      </bottom>
      <diagonal/>
    </border>
    <border>
      <left/>
      <right style="dashed">
        <color theme="9" tint="-0.24994659260841701"/>
      </right>
      <top style="thick">
        <color theme="9" tint="-0.24994659260841701"/>
      </top>
      <bottom style="thick">
        <color theme="9" tint="-0.24994659260841701"/>
      </bottom>
      <diagonal/>
    </border>
    <border>
      <left style="dashed">
        <color theme="9" tint="-0.24994659260841701"/>
      </left>
      <right style="dashed">
        <color theme="9" tint="-0.24994659260841701"/>
      </right>
      <top style="thick">
        <color theme="9" tint="-0.24994659260841701"/>
      </top>
      <bottom style="thick">
        <color theme="9" tint="-0.24994659260841701"/>
      </bottom>
      <diagonal/>
    </border>
    <border>
      <left style="dashed">
        <color theme="9" tint="-0.24994659260841701"/>
      </left>
      <right style="thick">
        <color theme="9" tint="-0.24994659260841701"/>
      </right>
      <top style="thick">
        <color theme="9" tint="-0.24994659260841701"/>
      </top>
      <bottom style="thick">
        <color theme="9" tint="-0.24994659260841701"/>
      </bottom>
      <diagonal/>
    </border>
    <border>
      <left style="thick">
        <color theme="3" tint="0.39994506668294322"/>
      </left>
      <right/>
      <top style="thick">
        <color theme="3" tint="0.39991454817346722"/>
      </top>
      <bottom style="dashed">
        <color auto="1"/>
      </bottom>
      <diagonal/>
    </border>
    <border>
      <left/>
      <right/>
      <top style="thick">
        <color theme="3" tint="0.39991454817346722"/>
      </top>
      <bottom style="dashed">
        <color auto="1"/>
      </bottom>
      <diagonal/>
    </border>
    <border>
      <left/>
      <right style="thick">
        <color theme="3" tint="0.39991454817346722"/>
      </right>
      <top style="thick">
        <color theme="3" tint="0.39991454817346722"/>
      </top>
      <bottom style="dashed">
        <color auto="1"/>
      </bottom>
      <diagonal/>
    </border>
    <border>
      <left style="thick">
        <color rgb="FF92D050"/>
      </left>
      <right style="thin">
        <color theme="6" tint="-0.24994659260841701"/>
      </right>
      <top/>
      <bottom style="thin">
        <color theme="6" tint="-0.24994659260841701"/>
      </bottom>
      <diagonal/>
    </border>
    <border>
      <left style="medium">
        <color rgb="FF92D050"/>
      </left>
      <right/>
      <top/>
      <bottom style="thin">
        <color theme="6" tint="-0.24994659260841701"/>
      </bottom>
      <diagonal/>
    </border>
    <border>
      <left style="thick">
        <color rgb="FF6AE838"/>
      </left>
      <right/>
      <top/>
      <bottom/>
      <diagonal/>
    </border>
    <border>
      <left style="thick">
        <color rgb="FF6AE838"/>
      </left>
      <right style="thin">
        <color rgb="FF6AE838"/>
      </right>
      <top style="thick">
        <color rgb="FF6AE838"/>
      </top>
      <bottom/>
      <diagonal/>
    </border>
    <border>
      <left style="thin">
        <color rgb="FF6AE838"/>
      </left>
      <right style="thin">
        <color rgb="FF6AE838"/>
      </right>
      <top style="thick">
        <color rgb="FF6AE838"/>
      </top>
      <bottom/>
      <diagonal/>
    </border>
    <border>
      <left style="thin">
        <color rgb="FF6AE838"/>
      </left>
      <right style="thick">
        <color rgb="FF6AE838"/>
      </right>
      <top style="thick">
        <color rgb="FF6AE838"/>
      </top>
      <bottom/>
      <diagonal/>
    </border>
    <border>
      <left style="thin">
        <color rgb="FF6AE838"/>
      </left>
      <right style="thin">
        <color rgb="FF6AE838"/>
      </right>
      <top/>
      <bottom/>
      <diagonal/>
    </border>
    <border>
      <left/>
      <right/>
      <top/>
      <bottom style="medium">
        <color theme="8" tint="0.39991454817346722"/>
      </bottom>
      <diagonal/>
    </border>
    <border>
      <left style="thick">
        <color theme="8" tint="0.39994506668294322"/>
      </left>
      <right/>
      <top style="thin">
        <color theme="8" tint="0.39994506668294322"/>
      </top>
      <bottom/>
      <diagonal/>
    </border>
    <border>
      <left style="medium">
        <color theme="8" tint="0.39988402966399123"/>
      </left>
      <right/>
      <top/>
      <bottom/>
      <diagonal/>
    </border>
    <border>
      <left/>
      <right/>
      <top style="thin">
        <color theme="8" tint="0.39994506668294322"/>
      </top>
      <bottom/>
      <diagonal/>
    </border>
    <border>
      <left style="medium">
        <color theme="8" tint="0.39991454817346722"/>
      </left>
      <right/>
      <top style="medium">
        <color theme="8" tint="0.39991454817346722"/>
      </top>
      <bottom/>
      <diagonal/>
    </border>
    <border>
      <left/>
      <right/>
      <top style="medium">
        <color theme="8" tint="0.39991454817346722"/>
      </top>
      <bottom/>
      <diagonal/>
    </border>
    <border>
      <left/>
      <right style="medium">
        <color theme="8" tint="0.39988402966399123"/>
      </right>
      <top style="medium">
        <color theme="8" tint="0.39991454817346722"/>
      </top>
      <bottom/>
      <diagonal/>
    </border>
    <border>
      <left style="thin">
        <color theme="8" tint="0.39994506668294322"/>
      </left>
      <right style="medium">
        <color theme="8" tint="0.39988402966399123"/>
      </right>
      <top style="thin">
        <color theme="8" tint="0.39994506668294322"/>
      </top>
      <bottom style="thin">
        <color theme="8" tint="0.39994506668294322"/>
      </bottom>
      <diagonal/>
    </border>
    <border>
      <left/>
      <right/>
      <top style="thin">
        <color theme="8" tint="0.39994506668294322"/>
      </top>
      <bottom style="thin">
        <color theme="8" tint="0.39988402966399123"/>
      </bottom>
      <diagonal/>
    </border>
    <border>
      <left/>
      <right/>
      <top style="thin">
        <color theme="8" tint="0.39988402966399123"/>
      </top>
      <bottom style="thin">
        <color theme="8" tint="0.39991454817346722"/>
      </bottom>
      <diagonal/>
    </border>
    <border>
      <left/>
      <right/>
      <top style="thin">
        <color theme="8" tint="0.39988402966399123"/>
      </top>
      <bottom style="thick">
        <color theme="8" tint="0.39988402966399123"/>
      </bottom>
      <diagonal/>
    </border>
    <border>
      <left/>
      <right style="thin">
        <color theme="8" tint="0.39994506668294322"/>
      </right>
      <top/>
      <bottom style="thick">
        <color theme="8" tint="0.39991454817346722"/>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medium">
        <color rgb="FF92D050"/>
      </right>
      <top style="thick">
        <color rgb="FF92D050"/>
      </top>
      <bottom style="thick">
        <color rgb="FF92D050"/>
      </bottom>
      <diagonal/>
    </border>
    <border>
      <left style="medium">
        <color rgb="FF92D050"/>
      </left>
      <right style="thick">
        <color rgb="FF92D050"/>
      </right>
      <top/>
      <bottom style="thin">
        <color theme="6" tint="-0.24994659260841701"/>
      </bottom>
      <diagonal/>
    </border>
    <border>
      <left style="medium">
        <color rgb="FF92D050"/>
      </left>
      <right style="thick">
        <color rgb="FF92D050"/>
      </right>
      <top style="thin">
        <color theme="6" tint="-0.24994659260841701"/>
      </top>
      <bottom style="thick">
        <color rgb="FF92D050"/>
      </bottom>
      <diagonal/>
    </border>
    <border>
      <left style="thick">
        <color indexed="10"/>
      </left>
      <right/>
      <top style="thin">
        <color auto="1"/>
      </top>
      <bottom/>
      <diagonal/>
    </border>
    <border>
      <left style="thick">
        <color theme="5" tint="0.39994506668294322"/>
      </left>
      <right/>
      <top style="medium">
        <color theme="5" tint="0.39991454817346722"/>
      </top>
      <bottom style="thin">
        <color theme="5" tint="0.39991454817346722"/>
      </bottom>
      <diagonal/>
    </border>
    <border>
      <left/>
      <right/>
      <top style="medium">
        <color theme="5" tint="0.39991454817346722"/>
      </top>
      <bottom style="thin">
        <color theme="5" tint="0.39991454817346722"/>
      </bottom>
      <diagonal/>
    </border>
    <border>
      <left/>
      <right style="thin">
        <color theme="5" tint="-0.24994659260841701"/>
      </right>
      <top style="medium">
        <color theme="5" tint="0.39991454817346722"/>
      </top>
      <bottom style="thin">
        <color theme="5" tint="0.39991454817346722"/>
      </bottom>
      <diagonal/>
    </border>
    <border>
      <left style="thin">
        <color theme="5" tint="-0.24994659260841701"/>
      </left>
      <right style="thin">
        <color theme="5" tint="-0.24994659260841701"/>
      </right>
      <top style="medium">
        <color theme="5" tint="0.39991454817346722"/>
      </top>
      <bottom style="thin">
        <color theme="5" tint="0.39991454817346722"/>
      </bottom>
      <diagonal/>
    </border>
    <border>
      <left style="thin">
        <color theme="5" tint="-0.24994659260841701"/>
      </left>
      <right style="thin">
        <color theme="5" tint="-0.24994659260841701"/>
      </right>
      <top style="thin">
        <color theme="5" tint="-0.24994659260841701"/>
      </top>
      <bottom style="thin">
        <color theme="5" tint="0.39991454817346722"/>
      </bottom>
      <diagonal/>
    </border>
    <border>
      <left style="thin">
        <color theme="5" tint="-0.24994659260841701"/>
      </left>
      <right/>
      <top style="thin">
        <color theme="5" tint="-0.24994659260841701"/>
      </top>
      <bottom style="thin">
        <color theme="5" tint="0.39991454817346722"/>
      </bottom>
      <diagonal/>
    </border>
    <border>
      <left/>
      <right/>
      <top style="thin">
        <color theme="5" tint="-0.24994659260841701"/>
      </top>
      <bottom style="thin">
        <color theme="5" tint="0.39991454817346722"/>
      </bottom>
      <diagonal/>
    </border>
    <border>
      <left/>
      <right style="thin">
        <color theme="5" tint="-0.24994659260841701"/>
      </right>
      <top style="thin">
        <color theme="5" tint="-0.24994659260841701"/>
      </top>
      <bottom style="thin">
        <color theme="5" tint="0.39991454817346722"/>
      </bottom>
      <diagonal/>
    </border>
    <border>
      <left style="medium">
        <color theme="9" tint="-0.24994659260841701"/>
      </left>
      <right/>
      <top style="medium">
        <color theme="9" tint="-0.24994659260841701"/>
      </top>
      <bottom/>
      <diagonal/>
    </border>
    <border>
      <left/>
      <right style="thin">
        <color theme="9" tint="-0.24994659260841701"/>
      </right>
      <top style="medium">
        <color theme="9" tint="-0.24994659260841701"/>
      </top>
      <bottom/>
      <diagonal/>
    </border>
    <border>
      <left style="medium">
        <color theme="9" tint="-0.24994659260841701"/>
      </left>
      <right/>
      <top style="thin">
        <color theme="9" tint="-0.24994659260841701"/>
      </top>
      <bottom style="thin">
        <color theme="9" tint="-0.24994659260841701"/>
      </bottom>
      <diagonal/>
    </border>
    <border>
      <left style="medium">
        <color theme="9" tint="-0.24994659260841701"/>
      </left>
      <right/>
      <top/>
      <bottom style="thick">
        <color theme="9" tint="-0.24994659260841701"/>
      </bottom>
      <diagonal/>
    </border>
    <border>
      <left/>
      <right/>
      <top style="thick">
        <color theme="9" tint="-0.24994659260841701"/>
      </top>
      <bottom style="thick">
        <color theme="9" tint="-0.24994659260841701"/>
      </bottom>
      <diagonal/>
    </border>
    <border>
      <left style="medium">
        <color theme="9" tint="-0.24994659260841701"/>
      </left>
      <right style="thin">
        <color theme="9" tint="-0.24994659260841701"/>
      </right>
      <top style="thick">
        <color theme="9" tint="-0.24994659260841701"/>
      </top>
      <bottom style="thick">
        <color theme="9" tint="-0.24994659260841701"/>
      </bottom>
      <diagonal/>
    </border>
    <border>
      <left style="medium">
        <color theme="9" tint="-0.24994659260841701"/>
      </left>
      <right style="thick">
        <color theme="9" tint="-0.24994659260841701"/>
      </right>
      <top style="thick">
        <color theme="9" tint="-0.24994659260841701"/>
      </top>
      <bottom style="thick">
        <color theme="9" tint="-0.24994659260841701"/>
      </bottom>
      <diagonal/>
    </border>
    <border>
      <left style="medium">
        <color theme="9" tint="-0.24994659260841701"/>
      </left>
      <right style="thin">
        <color theme="9" tint="-0.24994659260841701"/>
      </right>
      <top/>
      <bottom style="thick">
        <color theme="9" tint="-0.24994659260841701"/>
      </bottom>
      <diagonal/>
    </border>
    <border>
      <left style="medium">
        <color theme="9" tint="-0.24994659260841701"/>
      </left>
      <right style="medium">
        <color theme="9" tint="-0.24994659260841701"/>
      </right>
      <top style="thick">
        <color theme="9" tint="-0.24994659260841701"/>
      </top>
      <bottom style="thick">
        <color theme="9" tint="-0.24994659260841701"/>
      </bottom>
      <diagonal/>
    </border>
    <border>
      <left/>
      <right style="medium">
        <color theme="9" tint="-0.24994659260841701"/>
      </right>
      <top style="thin">
        <color theme="9" tint="-0.24994659260841701"/>
      </top>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bottom style="thick">
        <color theme="9" tint="-0.24994659260841701"/>
      </bottom>
      <diagonal/>
    </border>
    <border>
      <left style="medium">
        <color theme="9" tint="-0.24994659260841701"/>
      </left>
      <right style="thin">
        <color theme="9" tint="-0.24994659260841701"/>
      </right>
      <top style="thin">
        <color theme="9" tint="-0.24994659260841701"/>
      </top>
      <bottom style="thick">
        <color theme="9" tint="-0.24994659260841701"/>
      </bottom>
      <diagonal/>
    </border>
    <border>
      <left style="medium">
        <color rgb="FFFFFF00"/>
      </left>
      <right style="thick">
        <color theme="3" tint="0.39991454817346722"/>
      </right>
      <top style="thick">
        <color rgb="FFC00000"/>
      </top>
      <bottom/>
      <diagonal/>
    </border>
    <border>
      <left/>
      <right style="thick">
        <color theme="3" tint="0.39991454817346722"/>
      </right>
      <top style="dashed">
        <color auto="1"/>
      </top>
      <bottom style="dashed">
        <color auto="1"/>
      </bottom>
      <diagonal/>
    </border>
    <border>
      <left style="thick">
        <color theme="3" tint="0.39994506668294322"/>
      </left>
      <right style="medium">
        <color rgb="FFFFFF00"/>
      </right>
      <top/>
      <bottom/>
      <diagonal/>
    </border>
    <border>
      <left style="medium">
        <color rgb="FFFFFF00"/>
      </left>
      <right style="medium">
        <color rgb="FFFFFF00"/>
      </right>
      <top/>
      <bottom/>
      <diagonal/>
    </border>
    <border>
      <left style="medium">
        <color rgb="FFFFFF00"/>
      </left>
      <right style="thick">
        <color theme="9" tint="-0.24994659260841701"/>
      </right>
      <top/>
      <bottom/>
      <diagonal/>
    </border>
    <border>
      <left style="thick">
        <color theme="3" tint="0.39994506668294322"/>
      </left>
      <right/>
      <top style="dashed">
        <color auto="1"/>
      </top>
      <bottom/>
      <diagonal/>
    </border>
    <border>
      <left/>
      <right/>
      <top style="dashed">
        <color auto="1"/>
      </top>
      <bottom/>
      <diagonal/>
    </border>
    <border>
      <left/>
      <right style="thick">
        <color theme="3" tint="0.39994506668294322"/>
      </right>
      <top style="dashed">
        <color auto="1"/>
      </top>
      <bottom/>
      <diagonal/>
    </border>
    <border>
      <left/>
      <right style="thick">
        <color theme="3" tint="0.39991454817346722"/>
      </right>
      <top style="dashed">
        <color auto="1"/>
      </top>
      <bottom/>
      <diagonal/>
    </border>
    <border>
      <left style="medium">
        <color rgb="FFFFFF00"/>
      </left>
      <right style="thick">
        <color theme="3" tint="0.39994506668294322"/>
      </right>
      <top/>
      <bottom/>
      <diagonal/>
    </border>
    <border>
      <left/>
      <right style="medium">
        <color rgb="FFFFFF00"/>
      </right>
      <top style="thick">
        <color rgb="FF00B050"/>
      </top>
      <bottom/>
      <diagonal/>
    </border>
    <border>
      <left style="thick">
        <color rgb="FF00B050"/>
      </left>
      <right style="thin">
        <color rgb="FFFFFF00"/>
      </right>
      <top style="dashed">
        <color theme="1"/>
      </top>
      <bottom style="thick">
        <color rgb="FF00B050"/>
      </bottom>
      <diagonal/>
    </border>
    <border>
      <left style="thin">
        <color rgb="FFFFFF00"/>
      </left>
      <right style="thin">
        <color rgb="FFFFFF00"/>
      </right>
      <top style="dashed">
        <color theme="1"/>
      </top>
      <bottom style="thick">
        <color rgb="FF00B050"/>
      </bottom>
      <diagonal/>
    </border>
    <border>
      <left style="thin">
        <color rgb="FFFFFF00"/>
      </left>
      <right style="thick">
        <color rgb="FF00B050"/>
      </right>
      <top style="dashed">
        <color theme="1"/>
      </top>
      <bottom style="thick">
        <color rgb="FF00B050"/>
      </bottom>
      <diagonal/>
    </border>
    <border>
      <left/>
      <right style="thin">
        <color rgb="FFFFFF00"/>
      </right>
      <top style="dashed">
        <color theme="1"/>
      </top>
      <bottom style="thick">
        <color rgb="FF00B050"/>
      </bottom>
      <diagonal/>
    </border>
    <border>
      <left style="thick">
        <color theme="5" tint="0.39994506668294322"/>
      </left>
      <right style="medium">
        <color rgb="FFFFFF00"/>
      </right>
      <top style="thick">
        <color theme="5" tint="0.39994506668294322"/>
      </top>
      <bottom/>
      <diagonal/>
    </border>
    <border>
      <left style="medium">
        <color rgb="FFFFFF00"/>
      </left>
      <right style="medium">
        <color rgb="FFFFFF00"/>
      </right>
      <top style="thick">
        <color theme="5" tint="0.39994506668294322"/>
      </top>
      <bottom/>
      <diagonal/>
    </border>
    <border>
      <left style="medium">
        <color rgb="FFFFFF00"/>
      </left>
      <right style="thick">
        <color theme="3" tint="0.39994506668294322"/>
      </right>
      <top style="thick">
        <color theme="5" tint="0.39994506668294322"/>
      </top>
      <bottom/>
      <diagonal/>
    </border>
    <border>
      <left style="thick">
        <color theme="3" tint="0.39994506668294322"/>
      </left>
      <right style="medium">
        <color rgb="FFFFFF00"/>
      </right>
      <top style="thick">
        <color theme="5" tint="0.39994506668294322"/>
      </top>
      <bottom/>
      <diagonal/>
    </border>
    <border>
      <left style="medium">
        <color rgb="FFFFFF00"/>
      </left>
      <right style="thick">
        <color theme="5" tint="0.39994506668294322"/>
      </right>
      <top style="thick">
        <color theme="5" tint="0.39994506668294322"/>
      </top>
      <bottom/>
      <diagonal/>
    </border>
    <border>
      <left style="thick">
        <color theme="5" tint="0.39994506668294322"/>
      </left>
      <right/>
      <top style="dashed">
        <color auto="1"/>
      </top>
      <bottom style="dashed">
        <color auto="1"/>
      </bottom>
      <diagonal/>
    </border>
    <border>
      <left/>
      <right style="thick">
        <color theme="5" tint="0.39994506668294322"/>
      </right>
      <top style="dashed">
        <color auto="1"/>
      </top>
      <bottom style="dashed">
        <color auto="1"/>
      </bottom>
      <diagonal/>
    </border>
    <border>
      <left style="thick">
        <color theme="5" tint="0.39994506668294322"/>
      </left>
      <right/>
      <top style="dashed">
        <color auto="1"/>
      </top>
      <bottom style="thick">
        <color rgb="FF00B050"/>
      </bottom>
      <diagonal/>
    </border>
    <border>
      <left/>
      <right/>
      <top style="dashed">
        <color auto="1"/>
      </top>
      <bottom style="thick">
        <color rgb="FF00B050"/>
      </bottom>
      <diagonal/>
    </border>
    <border>
      <left/>
      <right style="thick">
        <color theme="3" tint="0.39994506668294322"/>
      </right>
      <top style="dashed">
        <color auto="1"/>
      </top>
      <bottom style="thick">
        <color rgb="FF00B050"/>
      </bottom>
      <diagonal/>
    </border>
    <border>
      <left style="thick">
        <color theme="3" tint="0.39994506668294322"/>
      </left>
      <right/>
      <top style="dashed">
        <color auto="1"/>
      </top>
      <bottom style="thick">
        <color rgb="FF00B050"/>
      </bottom>
      <diagonal/>
    </border>
    <border>
      <left/>
      <right style="thick">
        <color theme="5" tint="0.39994506668294322"/>
      </right>
      <top style="dashed">
        <color auto="1"/>
      </top>
      <bottom style="thick">
        <color rgb="FF00B050"/>
      </bottom>
      <diagonal/>
    </border>
    <border>
      <left/>
      <right style="medium">
        <color indexed="64"/>
      </right>
      <top style="thin">
        <color theme="0" tint="-0.24994659260841701"/>
      </top>
      <bottom style="thin">
        <color theme="0" tint="-0.24994659260841701"/>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ck">
        <color indexed="10"/>
      </left>
      <right style="medium">
        <color indexed="64"/>
      </right>
      <top/>
      <bottom/>
      <diagonal/>
    </border>
    <border>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rgb="FF92D050"/>
      </left>
      <right style="thick">
        <color rgb="FF92D050"/>
      </right>
      <top/>
      <bottom style="thin">
        <color rgb="FF92D050"/>
      </bottom>
      <diagonal/>
    </border>
    <border>
      <left style="thick">
        <color rgb="FF92D050"/>
      </left>
      <right style="thin">
        <color rgb="FF92D050"/>
      </right>
      <top/>
      <bottom style="medium">
        <color rgb="FF92D050"/>
      </bottom>
      <diagonal/>
    </border>
    <border>
      <left style="thin">
        <color rgb="FF92D050"/>
      </left>
      <right style="thick">
        <color rgb="FF92D050"/>
      </right>
      <top/>
      <bottom style="medium">
        <color rgb="FF92D050"/>
      </bottom>
      <diagonal/>
    </border>
    <border>
      <left style="thick">
        <color rgb="FF92D050"/>
      </left>
      <right style="thin">
        <color rgb="FF92D050"/>
      </right>
      <top style="medium">
        <color rgb="FF92D050"/>
      </top>
      <bottom style="thin">
        <color rgb="FF92D050"/>
      </bottom>
      <diagonal/>
    </border>
    <border>
      <left style="thin">
        <color rgb="FF92D050"/>
      </left>
      <right style="thick">
        <color rgb="FF92D050"/>
      </right>
      <top style="medium">
        <color rgb="FF92D050"/>
      </top>
      <bottom style="thin">
        <color rgb="FF92D050"/>
      </bottom>
      <diagonal/>
    </border>
    <border>
      <left style="thin">
        <color rgb="FF92D050"/>
      </left>
      <right style="thick">
        <color rgb="FF92D050"/>
      </right>
      <top/>
      <bottom/>
      <diagonal/>
    </border>
    <border>
      <left style="thin">
        <color rgb="FF92D050"/>
      </left>
      <right style="thick">
        <color rgb="FF92D050"/>
      </right>
      <top style="thin">
        <color rgb="FF92D050"/>
      </top>
      <bottom/>
      <diagonal/>
    </border>
    <border>
      <left style="thick">
        <color rgb="FF92D050"/>
      </left>
      <right style="thin">
        <color rgb="FF92D050"/>
      </right>
      <top style="thin">
        <color rgb="FF92D050"/>
      </top>
      <bottom/>
      <diagonal/>
    </border>
    <border>
      <left style="thick">
        <color rgb="FF92D050"/>
      </left>
      <right style="thin">
        <color rgb="FF92D050"/>
      </right>
      <top/>
      <bottom style="thick">
        <color rgb="FF92D050"/>
      </bottom>
      <diagonal/>
    </border>
    <border>
      <left style="thin">
        <color rgb="FF92D050"/>
      </left>
      <right/>
      <top/>
      <bottom style="medium">
        <color rgb="FF92D050"/>
      </bottom>
      <diagonal/>
    </border>
    <border>
      <left style="thin">
        <color rgb="FF92D050"/>
      </left>
      <right/>
      <top style="medium">
        <color rgb="FF92D050"/>
      </top>
      <bottom style="thin">
        <color rgb="FF92D050"/>
      </bottom>
      <diagonal/>
    </border>
    <border>
      <left style="thin">
        <color rgb="FF92D050"/>
      </left>
      <right/>
      <top/>
      <bottom style="thick">
        <color rgb="FF92D050"/>
      </bottom>
      <diagonal/>
    </border>
    <border>
      <left style="thick">
        <color rgb="FF00B0F0"/>
      </left>
      <right style="thin">
        <color rgb="FF00B0F0"/>
      </right>
      <top style="thick">
        <color rgb="FF92D050"/>
      </top>
      <bottom/>
      <diagonal/>
    </border>
    <border>
      <left style="thin">
        <color rgb="FF00B0F0"/>
      </left>
      <right style="thick">
        <color rgb="FF00B0F0"/>
      </right>
      <top style="thick">
        <color rgb="FF92D050"/>
      </top>
      <bottom/>
      <diagonal/>
    </border>
    <border>
      <left style="thick">
        <color rgb="FF00B0F0"/>
      </left>
      <right style="thin">
        <color rgb="FF00B0F0"/>
      </right>
      <top/>
      <bottom style="medium">
        <color rgb="FF92D050"/>
      </bottom>
      <diagonal/>
    </border>
    <border>
      <left style="thin">
        <color rgb="FF00B0F0"/>
      </left>
      <right style="thick">
        <color rgb="FF00B0F0"/>
      </right>
      <top/>
      <bottom style="medium">
        <color rgb="FF92D050"/>
      </bottom>
      <diagonal/>
    </border>
    <border>
      <left style="thick">
        <color rgb="FF00B0F0"/>
      </left>
      <right style="thin">
        <color rgb="FF00B0F0"/>
      </right>
      <top style="medium">
        <color rgb="FF92D050"/>
      </top>
      <bottom style="thin">
        <color rgb="FF92D050"/>
      </bottom>
      <diagonal/>
    </border>
    <border>
      <left style="thin">
        <color rgb="FF00B0F0"/>
      </left>
      <right style="thick">
        <color rgb="FF00B0F0"/>
      </right>
      <top style="medium">
        <color rgb="FF92D050"/>
      </top>
      <bottom style="thin">
        <color rgb="FF92D050"/>
      </bottom>
      <diagonal/>
    </border>
    <border>
      <left style="thick">
        <color rgb="FF00B0F0"/>
      </left>
      <right style="thin">
        <color rgb="FF00B0F0"/>
      </right>
      <top style="thin">
        <color rgb="FF92D050"/>
      </top>
      <bottom style="thin">
        <color rgb="FF92D050"/>
      </bottom>
      <diagonal/>
    </border>
    <border>
      <left style="thin">
        <color rgb="FF00B0F0"/>
      </left>
      <right style="thick">
        <color rgb="FF00B0F0"/>
      </right>
      <top style="thin">
        <color rgb="FF92D050"/>
      </top>
      <bottom style="thin">
        <color rgb="FF92D050"/>
      </bottom>
      <diagonal/>
    </border>
    <border>
      <left style="thick">
        <color rgb="FF00B0F0"/>
      </left>
      <right style="thin">
        <color rgb="FF00B0F0"/>
      </right>
      <top/>
      <bottom/>
      <diagonal/>
    </border>
    <border>
      <left style="thin">
        <color rgb="FF00B0F0"/>
      </left>
      <right style="thick">
        <color rgb="FF00B0F0"/>
      </right>
      <top/>
      <bottom/>
      <diagonal/>
    </border>
    <border>
      <left style="thick">
        <color rgb="FF00B0F0"/>
      </left>
      <right style="thin">
        <color rgb="FF00B0F0"/>
      </right>
      <top/>
      <bottom style="thin">
        <color rgb="FF92D050"/>
      </bottom>
      <diagonal/>
    </border>
    <border>
      <left style="thin">
        <color rgb="FF00B0F0"/>
      </left>
      <right style="thick">
        <color rgb="FF00B0F0"/>
      </right>
      <top/>
      <bottom style="thin">
        <color rgb="FF92D050"/>
      </bottom>
      <diagonal/>
    </border>
    <border>
      <left style="thick">
        <color rgb="FF00B0F0"/>
      </left>
      <right style="thin">
        <color rgb="FF00B0F0"/>
      </right>
      <top style="thin">
        <color rgb="FF92D050"/>
      </top>
      <bottom/>
      <diagonal/>
    </border>
    <border>
      <left style="thin">
        <color rgb="FF00B0F0"/>
      </left>
      <right style="thick">
        <color rgb="FF00B0F0"/>
      </right>
      <top style="thin">
        <color rgb="FF92D050"/>
      </top>
      <bottom/>
      <diagonal/>
    </border>
    <border>
      <left style="thick">
        <color rgb="FF00B0F0"/>
      </left>
      <right style="thin">
        <color rgb="FF00B0F0"/>
      </right>
      <top/>
      <bottom style="thick">
        <color rgb="FF92D050"/>
      </bottom>
      <diagonal/>
    </border>
    <border>
      <left style="thin">
        <color rgb="FF00B0F0"/>
      </left>
      <right style="thick">
        <color rgb="FF00B0F0"/>
      </right>
      <top/>
      <bottom style="thick">
        <color rgb="FF92D050"/>
      </bottom>
      <diagonal/>
    </border>
    <border>
      <left style="thick">
        <color rgb="FF00B0F0"/>
      </left>
      <right/>
      <top style="thick">
        <color rgb="FF92D050"/>
      </top>
      <bottom/>
      <diagonal/>
    </border>
    <border>
      <left style="thick">
        <color rgb="FF00B0F0"/>
      </left>
      <right style="medium">
        <color rgb="FF92D050"/>
      </right>
      <top/>
      <bottom style="medium">
        <color rgb="FF92D050"/>
      </bottom>
      <diagonal/>
    </border>
    <border>
      <left style="medium">
        <color rgb="FF92D050"/>
      </left>
      <right style="thick">
        <color rgb="FF92D050"/>
      </right>
      <top/>
      <bottom style="medium">
        <color rgb="FF92D050"/>
      </bottom>
      <diagonal/>
    </border>
    <border>
      <left style="thick">
        <color rgb="FF00B0F0"/>
      </left>
      <right/>
      <top style="medium">
        <color rgb="FF92D050"/>
      </top>
      <bottom style="thin">
        <color rgb="FF92D050"/>
      </bottom>
      <diagonal/>
    </border>
    <border>
      <left style="thick">
        <color rgb="FF00B0F0"/>
      </left>
      <right/>
      <top style="thin">
        <color rgb="FF92D050"/>
      </top>
      <bottom style="thin">
        <color rgb="FF92D050"/>
      </bottom>
      <diagonal/>
    </border>
    <border>
      <left style="thick">
        <color rgb="FF00B0F0"/>
      </left>
      <right/>
      <top/>
      <bottom/>
      <diagonal/>
    </border>
    <border>
      <left style="thick">
        <color rgb="FF00B0F0"/>
      </left>
      <right/>
      <top/>
      <bottom style="thin">
        <color rgb="FF92D050"/>
      </bottom>
      <diagonal/>
    </border>
    <border>
      <left style="thick">
        <color rgb="FF00B0F0"/>
      </left>
      <right/>
      <top style="thin">
        <color rgb="FF92D050"/>
      </top>
      <bottom/>
      <diagonal/>
    </border>
    <border>
      <left style="thick">
        <color rgb="FF00B0F0"/>
      </left>
      <right style="thin">
        <color rgb="FF92D050"/>
      </right>
      <top style="thin">
        <color rgb="FF92D050"/>
      </top>
      <bottom style="thin">
        <color rgb="FF92D050"/>
      </bottom>
      <diagonal/>
    </border>
    <border>
      <left style="thick">
        <color rgb="FF00B0F0"/>
      </left>
      <right/>
      <top style="thin">
        <color rgb="FF92D050"/>
      </top>
      <bottom style="thick">
        <color rgb="FF92D050"/>
      </bottom>
      <diagonal/>
    </border>
    <border>
      <left style="thin">
        <color theme="6" tint="-0.24994659260841701"/>
      </left>
      <right style="thick">
        <color rgb="FF92D050"/>
      </right>
      <top style="thin">
        <color theme="6" tint="-0.24994659260841701"/>
      </top>
      <bottom style="medium">
        <color rgb="FF92D050"/>
      </bottom>
      <diagonal/>
    </border>
    <border>
      <left style="thin">
        <color rgb="FF6AE838"/>
      </left>
      <right style="thick">
        <color rgb="FF6AE838"/>
      </right>
      <top/>
      <bottom/>
      <diagonal/>
    </border>
    <border>
      <left style="medium">
        <color rgb="FF6AE838"/>
      </left>
      <right/>
      <top style="medium">
        <color rgb="FF6AE838"/>
      </top>
      <bottom style="medium">
        <color rgb="FF6AE838"/>
      </bottom>
      <diagonal/>
    </border>
    <border>
      <left/>
      <right/>
      <top style="medium">
        <color rgb="FF6AE838"/>
      </top>
      <bottom style="medium">
        <color rgb="FF6AE838"/>
      </bottom>
      <diagonal/>
    </border>
    <border>
      <left style="medium">
        <color rgb="FF6AE838"/>
      </left>
      <right/>
      <top style="medium">
        <color rgb="FF6AE838"/>
      </top>
      <bottom/>
      <diagonal/>
    </border>
    <border>
      <left style="thick">
        <color rgb="FF6AE838"/>
      </left>
      <right/>
      <top style="medium">
        <color rgb="FF6AE838"/>
      </top>
      <bottom/>
      <diagonal/>
    </border>
    <border>
      <left/>
      <right/>
      <top style="medium">
        <color rgb="FF6AE838"/>
      </top>
      <bottom/>
      <diagonal/>
    </border>
    <border>
      <left style="medium">
        <color rgb="FF6AE838"/>
      </left>
      <right/>
      <top/>
      <bottom/>
      <diagonal/>
    </border>
    <border>
      <left/>
      <right style="thick">
        <color rgb="FF6AE838"/>
      </right>
      <top style="medium">
        <color rgb="FF6AE838"/>
      </top>
      <bottom style="medium">
        <color rgb="FF6AE838"/>
      </bottom>
      <diagonal/>
    </border>
    <border>
      <left/>
      <right style="medium">
        <color rgb="FF6AE838"/>
      </right>
      <top style="medium">
        <color rgb="FF6AE838"/>
      </top>
      <bottom/>
      <diagonal/>
    </border>
    <border>
      <left style="thick">
        <color rgb="FF6AE838"/>
      </left>
      <right style="thin">
        <color rgb="FF6AE838"/>
      </right>
      <top style="medium">
        <color rgb="FF6AE838"/>
      </top>
      <bottom style="thick">
        <color rgb="FF6AE838"/>
      </bottom>
      <diagonal/>
    </border>
    <border>
      <left style="thin">
        <color rgb="FF6AE838"/>
      </left>
      <right style="thin">
        <color rgb="FF6AE838"/>
      </right>
      <top style="medium">
        <color rgb="FF6AE838"/>
      </top>
      <bottom style="thick">
        <color rgb="FF6AE838"/>
      </bottom>
      <diagonal/>
    </border>
    <border>
      <left style="thin">
        <color rgb="FF6AE838"/>
      </left>
      <right style="thick">
        <color rgb="FF6AE838"/>
      </right>
      <top style="medium">
        <color rgb="FF6AE838"/>
      </top>
      <bottom style="thick">
        <color rgb="FF6AE838"/>
      </bottom>
      <diagonal/>
    </border>
    <border>
      <left style="medium">
        <color rgb="FF92D050"/>
      </left>
      <right style="thick">
        <color rgb="FF92D050"/>
      </right>
      <top style="thin">
        <color rgb="FF92D050"/>
      </top>
      <bottom style="thin">
        <color rgb="FF92D050"/>
      </bottom>
      <diagonal/>
    </border>
    <border>
      <left style="thick">
        <color rgb="FF00B0F0"/>
      </left>
      <right style="thin">
        <color rgb="FF92D050"/>
      </right>
      <top/>
      <bottom/>
      <diagonal/>
    </border>
    <border>
      <left style="thick">
        <color rgb="FF00B0F0"/>
      </left>
      <right style="thin">
        <color rgb="FF92D050"/>
      </right>
      <top style="thin">
        <color rgb="FF92D050"/>
      </top>
      <bottom/>
      <diagonal/>
    </border>
    <border>
      <left style="thick">
        <color rgb="FF00B0F0"/>
      </left>
      <right style="thin">
        <color rgb="FF92D050"/>
      </right>
      <top/>
      <bottom style="thin">
        <color rgb="FF92D050"/>
      </bottom>
      <diagonal/>
    </border>
    <border>
      <left style="thick">
        <color rgb="FF00B0F0"/>
      </left>
      <right style="thin">
        <color rgb="FF92D050"/>
      </right>
      <top style="thin">
        <color rgb="FF92D050"/>
      </top>
      <bottom style="thick">
        <color rgb="FF92D050"/>
      </bottom>
      <diagonal/>
    </border>
    <border>
      <left style="thick">
        <color rgb="FF92D050"/>
      </left>
      <right style="thick">
        <color rgb="FF92D050"/>
      </right>
      <top style="thick">
        <color rgb="FF92D050"/>
      </top>
      <bottom style="thick">
        <color rgb="FF92D050"/>
      </bottom>
      <diagonal/>
    </border>
    <border>
      <left style="thick">
        <color rgb="FF00B0F0"/>
      </left>
      <right/>
      <top style="thin">
        <color rgb="FF6AE838"/>
      </top>
      <bottom style="thin">
        <color rgb="FF92D050"/>
      </bottom>
      <diagonal/>
    </border>
    <border>
      <left style="thin">
        <color rgb="FF92D050"/>
      </left>
      <right style="thick">
        <color rgb="FF92D050"/>
      </right>
      <top style="thin">
        <color rgb="FF6AE838"/>
      </top>
      <bottom style="thin">
        <color rgb="FF92D050"/>
      </bottom>
      <diagonal/>
    </border>
    <border>
      <left style="thick">
        <color rgb="FF92D050"/>
      </left>
      <right style="thin">
        <color theme="8" tint="0.39994506668294322"/>
      </right>
      <top style="thin">
        <color theme="8" tint="0.39994506668294322"/>
      </top>
      <bottom style="thin">
        <color theme="8" tint="0.39994506668294322"/>
      </bottom>
      <diagonal/>
    </border>
  </borders>
  <cellStyleXfs count="414">
    <xf numFmtId="0" fontId="0" fillId="0" borderId="0"/>
    <xf numFmtId="0" fontId="5" fillId="0" borderId="0" applyNumberFormat="0" applyFill="0" applyBorder="0" applyAlignment="0" applyProtection="0"/>
    <xf numFmtId="0" fontId="6" fillId="0" borderId="0"/>
    <xf numFmtId="9" fontId="11" fillId="0" borderId="0" applyFont="0" applyFill="0" applyBorder="0" applyAlignment="0" applyProtection="0"/>
    <xf numFmtId="0" fontId="11" fillId="0" borderId="0"/>
    <xf numFmtId="0" fontId="11" fillId="0" borderId="0"/>
    <xf numFmtId="0" fontId="11" fillId="0" borderId="0"/>
    <xf numFmtId="0" fontId="6" fillId="0" borderId="0"/>
    <xf numFmtId="0" fontId="6" fillId="0" borderId="0"/>
    <xf numFmtId="0" fontId="11" fillId="0" borderId="0"/>
    <xf numFmtId="0" fontId="6" fillId="0" borderId="0"/>
    <xf numFmtId="0" fontId="11" fillId="0" borderId="0"/>
    <xf numFmtId="168" fontId="6" fillId="0" borderId="0" applyFont="0" applyFill="0" applyBorder="0" applyAlignment="0" applyProtection="0"/>
    <xf numFmtId="0" fontId="11" fillId="0" borderId="0"/>
    <xf numFmtId="9" fontId="6" fillId="0" borderId="0" applyFont="0" applyFill="0" applyBorder="0" applyAlignment="0" applyProtection="0"/>
    <xf numFmtId="0" fontId="11" fillId="0" borderId="0"/>
    <xf numFmtId="9" fontId="11" fillId="0" borderId="0" applyFont="0" applyFill="0" applyBorder="0" applyAlignment="0" applyProtection="0"/>
    <xf numFmtId="0" fontId="6" fillId="0" borderId="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77" fillId="52"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8" fillId="43" borderId="0" applyNumberFormat="0" applyBorder="0" applyAlignment="0" applyProtection="0"/>
    <xf numFmtId="0" fontId="79" fillId="56" borderId="432" applyNumberFormat="0" applyAlignment="0" applyProtection="0"/>
    <xf numFmtId="0" fontId="80" fillId="57" borderId="433" applyNumberFormat="0" applyAlignment="0" applyProtection="0"/>
    <xf numFmtId="17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81" fillId="0" borderId="0" applyNumberFormat="0" applyFill="0" applyBorder="0" applyAlignment="0" applyProtection="0"/>
    <xf numFmtId="0" fontId="82" fillId="44" borderId="0" applyNumberFormat="0" applyBorder="0" applyAlignment="0" applyProtection="0"/>
    <xf numFmtId="0" fontId="83" fillId="0" borderId="434" applyNumberFormat="0" applyFill="0" applyAlignment="0" applyProtection="0"/>
    <xf numFmtId="0" fontId="84" fillId="0" borderId="435" applyNumberFormat="0" applyFill="0" applyAlignment="0" applyProtection="0"/>
    <xf numFmtId="0" fontId="85" fillId="0" borderId="436" applyNumberFormat="0" applyFill="0" applyAlignment="0" applyProtection="0"/>
    <xf numFmtId="0" fontId="85" fillId="0" borderId="0" applyNumberFormat="0" applyFill="0" applyBorder="0" applyAlignment="0" applyProtection="0"/>
    <xf numFmtId="0" fontId="86" fillId="47" borderId="432" applyNumberFormat="0" applyAlignment="0" applyProtection="0"/>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8" fillId="0" borderId="0" applyNumberFormat="0" applyFill="0" applyBorder="0" applyAlignment="0" applyProtection="0">
      <alignment vertical="top"/>
      <protection locked="0"/>
    </xf>
    <xf numFmtId="0" fontId="89" fillId="0" borderId="437" applyNumberFormat="0" applyFill="0" applyAlignment="0" applyProtection="0"/>
    <xf numFmtId="168" fontId="6" fillId="0" borderId="0" applyFont="0" applyFill="0" applyBorder="0" applyAlignment="0" applyProtection="0"/>
    <xf numFmtId="168" fontId="6" fillId="0" borderId="0" applyFont="0" applyFill="0" applyBorder="0" applyAlignment="0" applyProtection="0"/>
    <xf numFmtId="167" fontId="6" fillId="0" borderId="0" applyFont="0" applyFill="0" applyBorder="0" applyAlignment="0" applyProtection="0"/>
    <xf numFmtId="0" fontId="90"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xf numFmtId="0" fontId="9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59" borderId="438" applyNumberFormat="0" applyFont="0" applyAlignment="0" applyProtection="0"/>
    <xf numFmtId="0" fontId="12" fillId="59" borderId="438" applyNumberFormat="0" applyFont="0" applyAlignment="0" applyProtection="0"/>
    <xf numFmtId="0" fontId="92" fillId="56" borderId="43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6" fillId="0" borderId="0"/>
    <xf numFmtId="0" fontId="11" fillId="0" borderId="0"/>
  </cellStyleXfs>
  <cellXfs count="7190">
    <xf numFmtId="0" fontId="0" fillId="0" borderId="0" xfId="0"/>
    <xf numFmtId="0" fontId="2" fillId="0" borderId="0" xfId="0" applyFont="1" applyAlignment="1">
      <alignment vertical="center"/>
    </xf>
    <xf numFmtId="0" fontId="3" fillId="0" borderId="0" xfId="0" applyFont="1" applyAlignment="1">
      <alignment vertical="center"/>
    </xf>
    <xf numFmtId="0" fontId="3" fillId="2" borderId="0" xfId="0" applyFont="1" applyFill="1" applyBorder="1" applyAlignment="1">
      <alignment vertical="center"/>
    </xf>
    <xf numFmtId="0" fontId="3" fillId="2" borderId="0" xfId="0" applyFont="1" applyFill="1" applyBorder="1" applyAlignment="1">
      <alignment vertical="center" wrapText="1"/>
    </xf>
    <xf numFmtId="0" fontId="4" fillId="0" borderId="0" xfId="0" applyFont="1" applyAlignment="1">
      <alignment horizontal="center" vertical="center"/>
    </xf>
    <xf numFmtId="0" fontId="4" fillId="2" borderId="0" xfId="0" applyFont="1" applyFill="1" applyBorder="1" applyAlignment="1">
      <alignment vertical="center"/>
    </xf>
    <xf numFmtId="0" fontId="8" fillId="0" borderId="0" xfId="0" applyFont="1"/>
    <xf numFmtId="0" fontId="9" fillId="0" borderId="0" xfId="0" applyFont="1"/>
    <xf numFmtId="0" fontId="0" fillId="0" borderId="0" xfId="0" quotePrefix="1"/>
    <xf numFmtId="0" fontId="5" fillId="3" borderId="0" xfId="1" applyFill="1" applyAlignment="1" applyProtection="1">
      <alignment horizontal="center" vertical="center"/>
      <protection locked="0"/>
    </xf>
    <xf numFmtId="0" fontId="1" fillId="0" borderId="0" xfId="0" applyFont="1" applyAlignment="1">
      <alignment vertical="center"/>
    </xf>
    <xf numFmtId="0" fontId="1" fillId="0" borderId="0" xfId="0" applyFont="1" applyFill="1" applyAlignment="1">
      <alignment vertical="center"/>
    </xf>
    <xf numFmtId="0" fontId="13" fillId="0" borderId="61" xfId="4" applyFont="1" applyFill="1" applyBorder="1" applyAlignment="1">
      <alignment vertical="center"/>
    </xf>
    <xf numFmtId="0" fontId="1" fillId="0" borderId="61" xfId="0" applyFont="1" applyFill="1" applyBorder="1" applyAlignment="1">
      <alignment vertical="center"/>
    </xf>
    <xf numFmtId="0" fontId="1" fillId="0" borderId="61" xfId="4" applyFont="1" applyFill="1" applyBorder="1" applyAlignment="1">
      <alignment vertical="center"/>
    </xf>
    <xf numFmtId="0" fontId="1" fillId="0" borderId="61" xfId="0" applyFont="1" applyFill="1" applyBorder="1" applyAlignment="1">
      <alignment horizontal="center" vertical="center"/>
    </xf>
    <xf numFmtId="0" fontId="13" fillId="0" borderId="61" xfId="4" applyFont="1" applyFill="1" applyBorder="1"/>
    <xf numFmtId="0" fontId="14" fillId="0" borderId="61" xfId="4" applyFont="1" applyFill="1" applyBorder="1"/>
    <xf numFmtId="0" fontId="15" fillId="0" borderId="61" xfId="4" applyFont="1" applyFill="1" applyBorder="1"/>
    <xf numFmtId="0" fontId="1" fillId="0" borderId="0" xfId="0" applyFont="1" applyFill="1" applyAlignment="1" applyProtection="1">
      <alignment vertical="top"/>
      <protection locked="0"/>
    </xf>
    <xf numFmtId="0" fontId="21" fillId="0" borderId="0" xfId="0" applyFont="1"/>
    <xf numFmtId="0" fontId="6" fillId="0" borderId="0" xfId="2" applyFont="1" applyAlignment="1">
      <alignment vertical="center"/>
    </xf>
    <xf numFmtId="0" fontId="6" fillId="0" borderId="0" xfId="2" applyAlignment="1">
      <alignment vertical="center"/>
    </xf>
    <xf numFmtId="0" fontId="4" fillId="2" borderId="0" xfId="0" applyFont="1" applyFill="1" applyBorder="1" applyAlignment="1">
      <alignment horizontal="center" vertical="center"/>
    </xf>
    <xf numFmtId="0" fontId="26" fillId="0" borderId="0" xfId="0" applyFont="1"/>
    <xf numFmtId="0" fontId="26" fillId="0" borderId="0" xfId="0" applyFont="1" applyAlignment="1">
      <alignment vertical="center"/>
    </xf>
    <xf numFmtId="0" fontId="2" fillId="8" borderId="0" xfId="0" applyFont="1" applyFill="1" applyAlignment="1">
      <alignment vertical="center"/>
    </xf>
    <xf numFmtId="0" fontId="1" fillId="8" borderId="0" xfId="0" applyFont="1" applyFill="1" applyAlignment="1"/>
    <xf numFmtId="0" fontId="1" fillId="8" borderId="0" xfId="0" applyFont="1" applyFill="1" applyAlignment="1" applyProtection="1">
      <alignment vertical="top"/>
      <protection locked="0"/>
    </xf>
    <xf numFmtId="0" fontId="1" fillId="0" borderId="104" xfId="0" applyFont="1" applyFill="1" applyBorder="1" applyAlignment="1" applyProtection="1">
      <alignment vertical="top"/>
    </xf>
    <xf numFmtId="0" fontId="1" fillId="0" borderId="0" xfId="0" applyFont="1" applyFill="1" applyBorder="1" applyAlignment="1" applyProtection="1">
      <alignment vertical="top"/>
    </xf>
    <xf numFmtId="0" fontId="1" fillId="0" borderId="104" xfId="0" applyFont="1" applyFill="1" applyBorder="1" applyAlignment="1" applyProtection="1">
      <alignment vertical="top" wrapText="1"/>
    </xf>
    <xf numFmtId="0" fontId="1" fillId="0" borderId="0" xfId="0" applyFont="1" applyFill="1" applyBorder="1" applyAlignment="1" applyProtection="1">
      <alignment vertical="top" wrapText="1"/>
    </xf>
    <xf numFmtId="0" fontId="1" fillId="8" borderId="0" xfId="0" applyFont="1" applyFill="1" applyBorder="1" applyAlignment="1" applyProtection="1">
      <alignment vertical="top"/>
    </xf>
    <xf numFmtId="0" fontId="1" fillId="8" borderId="0" xfId="0" applyFont="1" applyFill="1" applyBorder="1" applyAlignment="1" applyProtection="1">
      <alignment vertical="top" wrapText="1"/>
    </xf>
    <xf numFmtId="0" fontId="1" fillId="0" borderId="245" xfId="0" applyFont="1" applyFill="1" applyBorder="1" applyAlignment="1" applyProtection="1">
      <alignment vertical="top" wrapText="1"/>
    </xf>
    <xf numFmtId="0" fontId="1" fillId="0" borderId="259" xfId="0" applyFont="1" applyFill="1" applyBorder="1" applyAlignment="1" applyProtection="1">
      <alignment vertical="top" wrapText="1"/>
    </xf>
    <xf numFmtId="0" fontId="1" fillId="0" borderId="260" xfId="0" applyFont="1" applyFill="1" applyBorder="1" applyAlignment="1" applyProtection="1">
      <alignment vertical="top" wrapText="1"/>
    </xf>
    <xf numFmtId="0" fontId="1" fillId="0" borderId="288" xfId="0" applyFont="1" applyFill="1" applyBorder="1" applyAlignment="1" applyProtection="1">
      <alignment vertical="top" wrapText="1"/>
    </xf>
    <xf numFmtId="0" fontId="6" fillId="0" borderId="0" xfId="2"/>
    <xf numFmtId="0" fontId="6" fillId="0" borderId="0" xfId="2" applyAlignment="1">
      <alignment horizontal="center" vertical="center"/>
    </xf>
    <xf numFmtId="0" fontId="6" fillId="0" borderId="0" xfId="2" applyAlignment="1">
      <alignment horizontal="center"/>
    </xf>
    <xf numFmtId="0" fontId="6" fillId="0" borderId="0" xfId="2" applyBorder="1"/>
    <xf numFmtId="0" fontId="6" fillId="0" borderId="168" xfId="2" applyBorder="1"/>
    <xf numFmtId="0" fontId="31" fillId="0" borderId="0" xfId="2" applyFont="1"/>
    <xf numFmtId="0" fontId="6" fillId="0" borderId="339" xfId="2" applyBorder="1"/>
    <xf numFmtId="0" fontId="11" fillId="0" borderId="0" xfId="15"/>
    <xf numFmtId="0" fontId="1" fillId="0" borderId="0" xfId="15" applyFont="1"/>
    <xf numFmtId="4" fontId="6" fillId="0" borderId="0" xfId="2" applyNumberFormat="1" applyAlignment="1">
      <alignment horizontal="center"/>
    </xf>
    <xf numFmtId="0" fontId="6" fillId="0" borderId="0" xfId="2" applyFont="1"/>
    <xf numFmtId="0" fontId="6" fillId="0" borderId="0" xfId="2" applyFont="1" applyAlignment="1">
      <alignment horizontal="center" vertical="center"/>
    </xf>
    <xf numFmtId="0" fontId="1" fillId="0" borderId="0" xfId="0" applyFont="1" applyAlignment="1">
      <alignment horizontal="center" vertical="center"/>
    </xf>
    <xf numFmtId="0" fontId="37" fillId="2" borderId="0" xfId="0" applyFont="1" applyFill="1" applyBorder="1" applyAlignment="1">
      <alignment vertical="center"/>
    </xf>
    <xf numFmtId="0" fontId="37" fillId="0" borderId="0" xfId="0" applyFont="1" applyAlignment="1">
      <alignment horizontal="center" vertical="center"/>
    </xf>
    <xf numFmtId="0" fontId="38" fillId="2" borderId="0" xfId="0" applyFont="1" applyFill="1" applyBorder="1" applyAlignment="1">
      <alignment vertical="center"/>
    </xf>
    <xf numFmtId="0" fontId="38" fillId="2" borderId="0" xfId="0" applyFont="1" applyFill="1" applyBorder="1" applyAlignment="1">
      <alignment vertical="center" wrapText="1"/>
    </xf>
    <xf numFmtId="0" fontId="38" fillId="2" borderId="1" xfId="0" applyFont="1" applyFill="1" applyBorder="1" applyAlignment="1">
      <alignment horizontal="center" vertical="center"/>
    </xf>
    <xf numFmtId="0" fontId="38" fillId="0" borderId="0" xfId="0" applyFont="1" applyAlignment="1">
      <alignment vertical="center"/>
    </xf>
    <xf numFmtId="0" fontId="0" fillId="2" borderId="0" xfId="0" applyFont="1" applyFill="1" applyBorder="1"/>
    <xf numFmtId="0" fontId="0" fillId="0" borderId="0" xfId="0" applyFont="1"/>
    <xf numFmtId="0" fontId="26" fillId="0" borderId="0" xfId="0" applyFont="1" applyAlignment="1">
      <alignment horizontal="center" vertical="center" wrapText="1"/>
    </xf>
    <xf numFmtId="0" fontId="14" fillId="0" borderId="0" xfId="0" applyFont="1" applyAlignment="1">
      <alignment horizontal="center" vertical="center" wrapText="1"/>
    </xf>
    <xf numFmtId="0" fontId="0" fillId="0" borderId="0" xfId="0" applyFont="1" applyAlignment="1"/>
    <xf numFmtId="0" fontId="0" fillId="0" borderId="0" xfId="0" applyFont="1" applyProtection="1"/>
    <xf numFmtId="0" fontId="0" fillId="0" borderId="0" xfId="0" applyFont="1" applyAlignment="1">
      <alignment vertical="center"/>
    </xf>
    <xf numFmtId="0" fontId="0" fillId="0" borderId="0" xfId="0" applyFont="1" applyFill="1"/>
    <xf numFmtId="0" fontId="0" fillId="0" borderId="0" xfId="0" applyFont="1" applyAlignment="1">
      <alignment horizontal="left"/>
    </xf>
    <xf numFmtId="0" fontId="0" fillId="0" borderId="0" xfId="0" applyFont="1" applyAlignment="1">
      <alignment horizontal="center"/>
    </xf>
    <xf numFmtId="0" fontId="37" fillId="3" borderId="0" xfId="0" applyFont="1" applyFill="1" applyAlignment="1">
      <alignment horizontal="center" vertical="center"/>
    </xf>
    <xf numFmtId="0" fontId="38" fillId="3" borderId="0" xfId="0" applyFont="1" applyFill="1" applyAlignment="1">
      <alignment vertical="center"/>
    </xf>
    <xf numFmtId="0" fontId="0" fillId="0" borderId="0" xfId="0" quotePrefix="1" applyFont="1" applyAlignment="1"/>
    <xf numFmtId="0" fontId="0" fillId="0" borderId="61" xfId="0" applyFont="1" applyFill="1" applyBorder="1"/>
    <xf numFmtId="0" fontId="0" fillId="0" borderId="61" xfId="0" applyFont="1" applyFill="1" applyBorder="1" applyAlignment="1">
      <alignment horizontal="center"/>
    </xf>
    <xf numFmtId="0" fontId="26" fillId="0" borderId="0" xfId="0" applyFont="1" applyAlignment="1"/>
    <xf numFmtId="0" fontId="26" fillId="0" borderId="0" xfId="0" applyFont="1" applyFill="1"/>
    <xf numFmtId="0" fontId="26" fillId="0" borderId="61" xfId="0" applyFont="1" applyFill="1" applyBorder="1"/>
    <xf numFmtId="0" fontId="44" fillId="0" borderId="61" xfId="4" applyFont="1" applyFill="1" applyBorder="1" applyAlignment="1">
      <alignment horizontal="center" vertical="center" wrapText="1" readingOrder="1"/>
    </xf>
    <xf numFmtId="0" fontId="26" fillId="0" borderId="61" xfId="0" applyFont="1" applyFill="1" applyBorder="1" applyAlignment="1">
      <alignment horizontal="center"/>
    </xf>
    <xf numFmtId="9" fontId="45" fillId="0" borderId="61" xfId="4" applyNumberFormat="1" applyFont="1" applyFill="1" applyBorder="1" applyAlignment="1">
      <alignment horizontal="center" vertical="center" wrapText="1" readingOrder="1"/>
    </xf>
    <xf numFmtId="0" fontId="0" fillId="0" borderId="0" xfId="0" applyFont="1" applyFill="1" applyAlignment="1">
      <alignment vertical="center"/>
    </xf>
    <xf numFmtId="0" fontId="0" fillId="0" borderId="61" xfId="0" applyFont="1" applyFill="1" applyBorder="1" applyAlignment="1">
      <alignment vertical="center"/>
    </xf>
    <xf numFmtId="0" fontId="0" fillId="0" borderId="61" xfId="4" applyFont="1" applyFill="1" applyBorder="1" applyAlignment="1">
      <alignment vertical="center"/>
    </xf>
    <xf numFmtId="0" fontId="0" fillId="0" borderId="61" xfId="0" applyFont="1" applyFill="1" applyBorder="1" applyAlignment="1">
      <alignment horizontal="center" vertical="center"/>
    </xf>
    <xf numFmtId="170" fontId="45" fillId="0" borderId="61" xfId="4" applyNumberFormat="1" applyFont="1" applyFill="1" applyBorder="1" applyAlignment="1">
      <alignment horizontal="left" vertical="center" wrapText="1" readingOrder="1"/>
    </xf>
    <xf numFmtId="0" fontId="0" fillId="0" borderId="61" xfId="4" applyFont="1" applyFill="1" applyBorder="1"/>
    <xf numFmtId="0" fontId="35" fillId="0" borderId="0" xfId="0" applyFont="1" applyAlignment="1"/>
    <xf numFmtId="0" fontId="35" fillId="0" borderId="0" xfId="0" applyFont="1"/>
    <xf numFmtId="0" fontId="35" fillId="0" borderId="0" xfId="0" applyFont="1" applyFill="1"/>
    <xf numFmtId="0" fontId="35" fillId="0" borderId="61" xfId="0" applyFont="1" applyFill="1" applyBorder="1"/>
    <xf numFmtId="0" fontId="24" fillId="0" borderId="61" xfId="4" applyFont="1" applyFill="1" applyBorder="1" applyAlignment="1">
      <alignment horizontal="center" vertical="center" wrapText="1" readingOrder="1"/>
    </xf>
    <xf numFmtId="0" fontId="35" fillId="0" borderId="61" xfId="0" applyFont="1" applyFill="1" applyBorder="1" applyAlignment="1">
      <alignment horizontal="center"/>
    </xf>
    <xf numFmtId="0" fontId="46" fillId="0" borderId="61" xfId="4" applyFont="1" applyFill="1" applyBorder="1" applyAlignment="1">
      <alignment horizontal="center" vertical="center" wrapText="1"/>
    </xf>
    <xf numFmtId="0" fontId="0" fillId="0" borderId="0" xfId="0" applyFont="1" applyFill="1" applyBorder="1" applyAlignment="1">
      <alignment horizontal="center"/>
    </xf>
    <xf numFmtId="0" fontId="26" fillId="0" borderId="0" xfId="0" applyFont="1" applyFill="1" applyAlignment="1">
      <alignment vertical="center"/>
    </xf>
    <xf numFmtId="0" fontId="26" fillId="0" borderId="61" xfId="0" applyFont="1" applyFill="1" applyBorder="1" applyAlignment="1">
      <alignment vertical="center"/>
    </xf>
    <xf numFmtId="0" fontId="26" fillId="0" borderId="61" xfId="0" applyFont="1" applyFill="1" applyBorder="1" applyAlignment="1">
      <alignment horizontal="center" vertical="center"/>
    </xf>
    <xf numFmtId="0" fontId="37" fillId="8" borderId="0" xfId="0" applyFont="1" applyFill="1" applyAlignment="1">
      <alignment horizontal="center" vertical="center"/>
    </xf>
    <xf numFmtId="0" fontId="38" fillId="8" borderId="0" xfId="0" applyFont="1" applyFill="1" applyAlignment="1">
      <alignment vertical="center"/>
    </xf>
    <xf numFmtId="0" fontId="0" fillId="8" borderId="0" xfId="0" applyFont="1" applyFill="1"/>
    <xf numFmtId="0" fontId="0" fillId="8" borderId="0" xfId="0" applyFont="1" applyFill="1" applyBorder="1"/>
    <xf numFmtId="0" fontId="0" fillId="0" borderId="0" xfId="0" applyFont="1" applyBorder="1"/>
    <xf numFmtId="0" fontId="1" fillId="0" borderId="0" xfId="0" applyFont="1" applyAlignment="1">
      <alignment horizontal="left"/>
    </xf>
    <xf numFmtId="0" fontId="0" fillId="0" borderId="0" xfId="0" applyFont="1" applyFill="1" applyBorder="1"/>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21" fillId="0" borderId="0" xfId="0" applyFont="1" applyAlignment="1">
      <alignment vertical="center"/>
    </xf>
    <xf numFmtId="0" fontId="21" fillId="0" borderId="0" xfId="0" applyFont="1" applyBorder="1" applyAlignment="1">
      <alignment vertical="center"/>
    </xf>
    <xf numFmtId="0" fontId="26" fillId="0" borderId="0" xfId="0" applyFont="1" applyAlignment="1">
      <alignment vertical="center" wrapText="1"/>
    </xf>
    <xf numFmtId="0" fontId="26" fillId="0" borderId="0" xfId="0" applyFont="1" applyBorder="1" applyAlignment="1">
      <alignment vertical="center" wrapText="1"/>
    </xf>
    <xf numFmtId="0" fontId="1" fillId="0" borderId="104" xfId="0" applyFont="1" applyFill="1" applyBorder="1" applyAlignment="1" applyProtection="1">
      <alignment horizontal="center" vertical="top"/>
    </xf>
    <xf numFmtId="0" fontId="0" fillId="0" borderId="0" xfId="0" applyFont="1" applyAlignment="1" applyProtection="1">
      <alignment horizontal="center"/>
    </xf>
    <xf numFmtId="0" fontId="0" fillId="0" borderId="0" xfId="0" applyFont="1" applyFill="1" applyBorder="1" applyProtection="1"/>
    <xf numFmtId="0" fontId="1" fillId="0" borderId="245" xfId="0" applyFont="1" applyFill="1" applyBorder="1" applyAlignment="1" applyProtection="1">
      <alignment vertical="top"/>
    </xf>
    <xf numFmtId="0" fontId="0" fillId="0" borderId="209" xfId="0" applyFont="1" applyFill="1" applyBorder="1" applyAlignment="1" applyProtection="1">
      <alignment horizontal="center" vertical="center" wrapText="1"/>
      <protection locked="0"/>
    </xf>
    <xf numFmtId="1" fontId="1" fillId="0" borderId="219" xfId="0" applyNumberFormat="1" applyFont="1" applyFill="1" applyBorder="1" applyAlignment="1" applyProtection="1">
      <alignment horizontal="center" vertical="center" wrapText="1"/>
    </xf>
    <xf numFmtId="0" fontId="52" fillId="0" borderId="0" xfId="2" applyFont="1"/>
    <xf numFmtId="0" fontId="52" fillId="0" borderId="0" xfId="2" applyFont="1" applyFill="1"/>
    <xf numFmtId="0" fontId="52" fillId="0" borderId="0" xfId="2" applyFont="1" applyAlignment="1">
      <alignment vertical="center"/>
    </xf>
    <xf numFmtId="0" fontId="1" fillId="0" borderId="259" xfId="0" applyFont="1" applyFill="1" applyBorder="1" applyAlignment="1" applyProtection="1">
      <alignment vertical="top"/>
    </xf>
    <xf numFmtId="0" fontId="52" fillId="5" borderId="274" xfId="2" applyFont="1" applyFill="1" applyBorder="1" applyAlignment="1" applyProtection="1">
      <alignment horizontal="center" vertical="center"/>
      <protection locked="0"/>
    </xf>
    <xf numFmtId="0" fontId="52" fillId="0" borderId="0" xfId="2" applyFont="1" applyFill="1" applyAlignment="1">
      <alignment horizontal="center" vertical="center"/>
    </xf>
    <xf numFmtId="0" fontId="52" fillId="5" borderId="274" xfId="2" applyFont="1" applyFill="1" applyBorder="1" applyAlignment="1" applyProtection="1">
      <alignment vertical="center"/>
      <protection locked="0"/>
    </xf>
    <xf numFmtId="0" fontId="52" fillId="0" borderId="0" xfId="2" applyFont="1" applyAlignment="1">
      <alignment horizontal="left"/>
    </xf>
    <xf numFmtId="0" fontId="52" fillId="0" borderId="0" xfId="2" applyFont="1" applyAlignment="1">
      <alignment horizontal="center" vertical="center"/>
    </xf>
    <xf numFmtId="0" fontId="35" fillId="0" borderId="0" xfId="2" applyFont="1" applyAlignment="1">
      <alignment vertical="center"/>
    </xf>
    <xf numFmtId="0" fontId="52" fillId="5" borderId="363" xfId="2" applyFont="1" applyFill="1" applyBorder="1" applyProtection="1">
      <protection locked="0"/>
    </xf>
    <xf numFmtId="0" fontId="52" fillId="5" borderId="274" xfId="2" applyFont="1" applyFill="1" applyBorder="1" applyProtection="1">
      <protection locked="0"/>
    </xf>
    <xf numFmtId="0" fontId="52" fillId="5" borderId="364" xfId="2" applyFont="1" applyFill="1" applyBorder="1" applyProtection="1">
      <protection locked="0"/>
    </xf>
    <xf numFmtId="0" fontId="52" fillId="5" borderId="363" xfId="2" applyFont="1" applyFill="1" applyBorder="1" applyAlignment="1" applyProtection="1">
      <alignment vertical="center"/>
      <protection locked="0"/>
    </xf>
    <xf numFmtId="0" fontId="52" fillId="5" borderId="364" xfId="2" applyFont="1" applyFill="1" applyBorder="1" applyAlignment="1" applyProtection="1">
      <alignment vertical="center"/>
      <protection locked="0"/>
    </xf>
    <xf numFmtId="0" fontId="52" fillId="5" borderId="363" xfId="2" applyFont="1" applyFill="1" applyBorder="1" applyAlignment="1" applyProtection="1">
      <alignment horizontal="left"/>
      <protection locked="0"/>
    </xf>
    <xf numFmtId="0" fontId="52" fillId="5" borderId="274" xfId="2" applyFont="1" applyFill="1" applyBorder="1" applyAlignment="1" applyProtection="1">
      <alignment horizontal="left"/>
      <protection locked="0"/>
    </xf>
    <xf numFmtId="0" fontId="52" fillId="5" borderId="364" xfId="2" applyFont="1" applyFill="1" applyBorder="1" applyAlignment="1" applyProtection="1">
      <alignment horizontal="left"/>
      <protection locked="0"/>
    </xf>
    <xf numFmtId="0" fontId="52" fillId="5" borderId="363" xfId="2" applyFont="1" applyFill="1" applyBorder="1" applyAlignment="1" applyProtection="1">
      <alignment horizontal="center" vertical="center"/>
      <protection locked="0"/>
    </xf>
    <xf numFmtId="0" fontId="52" fillId="5" borderId="364" xfId="2" applyFont="1" applyFill="1" applyBorder="1" applyAlignment="1" applyProtection="1">
      <alignment horizontal="center" vertical="center"/>
      <protection locked="0"/>
    </xf>
    <xf numFmtId="0" fontId="52" fillId="29" borderId="414" xfId="2" applyNumberFormat="1" applyFont="1" applyFill="1" applyBorder="1" applyAlignment="1" applyProtection="1">
      <alignment horizontal="center" vertical="center"/>
    </xf>
    <xf numFmtId="0" fontId="52" fillId="26" borderId="363" xfId="2" applyFont="1" applyFill="1" applyBorder="1" applyProtection="1">
      <protection locked="0"/>
    </xf>
    <xf numFmtId="0" fontId="52" fillId="26" borderId="360" xfId="2" applyFont="1" applyFill="1" applyBorder="1" applyProtection="1">
      <protection locked="0"/>
    </xf>
    <xf numFmtId="0" fontId="52" fillId="26" borderId="363" xfId="2" applyFont="1" applyFill="1" applyBorder="1" applyAlignment="1" applyProtection="1">
      <alignment vertical="center"/>
      <protection locked="0"/>
    </xf>
    <xf numFmtId="0" fontId="52" fillId="26" borderId="360" xfId="2" applyFont="1" applyFill="1" applyBorder="1" applyAlignment="1" applyProtection="1">
      <alignment vertical="center"/>
      <protection locked="0"/>
    </xf>
    <xf numFmtId="0" fontId="52" fillId="26" borderId="363" xfId="2" applyFont="1" applyFill="1" applyBorder="1" applyAlignment="1" applyProtection="1">
      <alignment horizontal="left"/>
      <protection locked="0"/>
    </xf>
    <xf numFmtId="0" fontId="52" fillId="26" borderId="360" xfId="2" applyFont="1" applyFill="1" applyBorder="1" applyAlignment="1" applyProtection="1">
      <alignment horizontal="left"/>
      <protection locked="0"/>
    </xf>
    <xf numFmtId="0" fontId="52" fillId="26" borderId="363" xfId="2" applyFont="1" applyFill="1" applyBorder="1" applyAlignment="1" applyProtection="1">
      <alignment horizontal="center" vertical="center"/>
      <protection locked="0"/>
    </xf>
    <xf numFmtId="0" fontId="52" fillId="26" borderId="361" xfId="2" applyFont="1" applyFill="1" applyBorder="1" applyProtection="1">
      <protection locked="0"/>
    </xf>
    <xf numFmtId="0" fontId="52" fillId="26" borderId="274" xfId="2" applyFont="1" applyFill="1" applyBorder="1" applyProtection="1">
      <protection locked="0"/>
    </xf>
    <xf numFmtId="0" fontId="52" fillId="26" borderId="275" xfId="2" applyFont="1" applyFill="1" applyBorder="1" applyProtection="1">
      <protection locked="0"/>
    </xf>
    <xf numFmtId="0" fontId="52" fillId="26" borderId="361" xfId="2" applyFont="1" applyFill="1" applyBorder="1" applyAlignment="1" applyProtection="1">
      <alignment vertical="center"/>
      <protection locked="0"/>
    </xf>
    <xf numFmtId="0" fontId="52" fillId="26" borderId="274" xfId="2" applyFont="1" applyFill="1" applyBorder="1" applyAlignment="1" applyProtection="1">
      <alignment vertical="center"/>
      <protection locked="0"/>
    </xf>
    <xf numFmtId="0" fontId="52" fillId="26" borderId="275" xfId="2" applyFont="1" applyFill="1" applyBorder="1" applyAlignment="1" applyProtection="1">
      <alignment vertical="center"/>
      <protection locked="0"/>
    </xf>
    <xf numFmtId="0" fontId="52" fillId="26" borderId="361" xfId="2" applyFont="1" applyFill="1" applyBorder="1" applyAlignment="1" applyProtection="1">
      <alignment horizontal="left"/>
      <protection locked="0"/>
    </xf>
    <xf numFmtId="0" fontId="52" fillId="26" borderId="274" xfId="2" applyFont="1" applyFill="1" applyBorder="1" applyAlignment="1" applyProtection="1">
      <alignment horizontal="left"/>
      <protection locked="0"/>
    </xf>
    <xf numFmtId="0" fontId="52" fillId="26" borderId="275" xfId="2" applyFont="1" applyFill="1" applyBorder="1" applyAlignment="1" applyProtection="1">
      <alignment horizontal="left"/>
      <protection locked="0"/>
    </xf>
    <xf numFmtId="0" fontId="60" fillId="26" borderId="361" xfId="2" applyFont="1" applyFill="1" applyBorder="1" applyAlignment="1" applyProtection="1">
      <alignment horizontal="left" vertical="center"/>
      <protection locked="0"/>
    </xf>
    <xf numFmtId="0" fontId="52" fillId="26" borderId="274" xfId="2" applyFont="1" applyFill="1" applyBorder="1" applyAlignment="1" applyProtection="1">
      <alignment horizontal="left" vertical="center"/>
      <protection locked="0"/>
    </xf>
    <xf numFmtId="0" fontId="52" fillId="26" borderId="360" xfId="2" applyFont="1" applyFill="1" applyBorder="1" applyAlignment="1" applyProtection="1">
      <alignment horizontal="left" vertical="center"/>
      <protection locked="0"/>
    </xf>
    <xf numFmtId="14" fontId="0" fillId="40" borderId="411" xfId="0" applyNumberFormat="1" applyFont="1" applyFill="1" applyBorder="1" applyAlignment="1" applyProtection="1">
      <alignment vertical="center"/>
      <protection locked="0"/>
    </xf>
    <xf numFmtId="0" fontId="1" fillId="0" borderId="260" xfId="0" applyFont="1" applyFill="1" applyBorder="1" applyAlignment="1" applyProtection="1">
      <alignment vertical="top"/>
    </xf>
    <xf numFmtId="0" fontId="60" fillId="0" borderId="0" xfId="2" applyFont="1"/>
    <xf numFmtId="0" fontId="22" fillId="0" borderId="0" xfId="2" applyFont="1" applyAlignment="1">
      <alignment vertical="center"/>
    </xf>
    <xf numFmtId="0" fontId="35" fillId="0" borderId="0" xfId="2" applyFont="1"/>
    <xf numFmtId="0" fontId="1" fillId="0" borderId="288" xfId="0" applyFont="1" applyFill="1" applyBorder="1" applyAlignment="1" applyProtection="1">
      <alignment vertical="top"/>
    </xf>
    <xf numFmtId="0" fontId="69" fillId="0" borderId="0" xfId="0" applyFont="1" applyFill="1" applyBorder="1" applyAlignment="1" applyProtection="1">
      <alignment horizontal="center" vertical="center" wrapText="1"/>
      <protection locked="0"/>
    </xf>
    <xf numFmtId="0" fontId="1" fillId="0" borderId="0" xfId="0" applyFont="1" applyFill="1" applyBorder="1" applyAlignment="1">
      <alignment horizontal="left" vertical="top"/>
    </xf>
    <xf numFmtId="0" fontId="1" fillId="0" borderId="0" xfId="0" applyFont="1" applyFill="1" applyBorder="1" applyAlignment="1" applyProtection="1">
      <alignment horizontal="center" vertical="top"/>
    </xf>
    <xf numFmtId="0" fontId="0" fillId="0" borderId="0" xfId="0" applyFont="1" applyAlignment="1" applyProtection="1">
      <alignment horizontal="center" vertical="center"/>
    </xf>
    <xf numFmtId="0" fontId="11" fillId="0" borderId="0" xfId="6" applyFont="1"/>
    <xf numFmtId="0" fontId="11" fillId="0" borderId="0" xfId="6" applyFont="1" applyFill="1" applyBorder="1"/>
    <xf numFmtId="0" fontId="11" fillId="0" borderId="0" xfId="6" applyFont="1" applyFill="1"/>
    <xf numFmtId="9" fontId="11" fillId="0" borderId="0" xfId="14" applyFont="1"/>
    <xf numFmtId="0" fontId="1" fillId="0" borderId="0" xfId="6" applyFont="1"/>
    <xf numFmtId="0" fontId="6" fillId="28" borderId="168" xfId="2" applyFont="1" applyFill="1" applyBorder="1"/>
    <xf numFmtId="0" fontId="6" fillId="28" borderId="0" xfId="2" applyFill="1" applyBorder="1"/>
    <xf numFmtId="0" fontId="74" fillId="0" borderId="423" xfId="2" applyFont="1" applyFill="1" applyBorder="1" applyAlignment="1">
      <alignment horizontal="center" vertical="center" wrapText="1"/>
    </xf>
    <xf numFmtId="178" fontId="6" fillId="0" borderId="0" xfId="2" applyNumberFormat="1" applyBorder="1"/>
    <xf numFmtId="178" fontId="6" fillId="0" borderId="339" xfId="2" applyNumberFormat="1" applyBorder="1"/>
    <xf numFmtId="0" fontId="6" fillId="0" borderId="0" xfId="2" applyFont="1" applyFill="1" applyBorder="1"/>
    <xf numFmtId="0" fontId="74" fillId="0" borderId="168" xfId="2" applyFont="1" applyFill="1" applyBorder="1" applyAlignment="1">
      <alignment horizontal="left" vertical="center"/>
    </xf>
    <xf numFmtId="0" fontId="6" fillId="0" borderId="0" xfId="2" applyFont="1" applyBorder="1"/>
    <xf numFmtId="0" fontId="6" fillId="0" borderId="168" xfId="2" applyFont="1" applyBorder="1" applyAlignment="1"/>
    <xf numFmtId="0" fontId="6" fillId="0" borderId="427" xfId="2" applyBorder="1"/>
    <xf numFmtId="0" fontId="6" fillId="0" borderId="442" xfId="2" applyBorder="1"/>
    <xf numFmtId="0" fontId="6" fillId="0" borderId="443" xfId="2" applyBorder="1"/>
    <xf numFmtId="0" fontId="6" fillId="0" borderId="444" xfId="2" applyBorder="1"/>
    <xf numFmtId="0" fontId="6" fillId="0" borderId="445" xfId="2" applyBorder="1"/>
    <xf numFmtId="0" fontId="6" fillId="0" borderId="446" xfId="2" applyBorder="1"/>
    <xf numFmtId="0" fontId="6" fillId="0" borderId="447" xfId="2" applyBorder="1"/>
    <xf numFmtId="2" fontId="75" fillId="0" borderId="448" xfId="6" applyNumberFormat="1" applyFont="1" applyFill="1" applyBorder="1" applyAlignment="1">
      <alignment horizontal="center"/>
    </xf>
    <xf numFmtId="0" fontId="6" fillId="0" borderId="449" xfId="2" applyBorder="1"/>
    <xf numFmtId="0" fontId="52" fillId="0" borderId="0" xfId="2" applyFont="1" applyAlignment="1">
      <alignment horizontal="left" vertical="center"/>
    </xf>
    <xf numFmtId="0" fontId="1" fillId="0" borderId="0" xfId="0" applyFont="1" applyFill="1" applyBorder="1" applyAlignment="1" applyProtection="1">
      <alignment vertical="center"/>
    </xf>
    <xf numFmtId="0" fontId="1" fillId="0" borderId="0" xfId="0" applyFont="1" applyFill="1" applyBorder="1" applyAlignment="1" applyProtection="1">
      <alignment vertical="center" wrapText="1"/>
    </xf>
    <xf numFmtId="0" fontId="1" fillId="0" borderId="0" xfId="0" applyFont="1" applyAlignment="1">
      <alignment horizontal="center" vertical="center"/>
    </xf>
    <xf numFmtId="0" fontId="26" fillId="0" borderId="0" xfId="0" applyFont="1" applyAlignment="1">
      <alignment vertical="center"/>
    </xf>
    <xf numFmtId="0" fontId="26" fillId="0" borderId="0" xfId="0" applyFont="1" applyAlignment="1">
      <alignment horizontal="center" vertical="center"/>
    </xf>
    <xf numFmtId="0" fontId="37" fillId="2" borderId="0" xfId="0" applyFont="1" applyFill="1" applyBorder="1" applyAlignment="1">
      <alignment horizontal="center" vertical="center"/>
    </xf>
    <xf numFmtId="0" fontId="0" fillId="0" borderId="216" xfId="0" applyFont="1" applyFill="1" applyBorder="1" applyAlignment="1" applyProtection="1">
      <alignment horizontal="center" vertical="center" wrapText="1"/>
      <protection locked="0"/>
    </xf>
    <xf numFmtId="0" fontId="0" fillId="8" borderId="0" xfId="0" applyFont="1" applyFill="1" applyAlignment="1">
      <alignment vertical="center"/>
    </xf>
    <xf numFmtId="0" fontId="2" fillId="60" borderId="335" xfId="0" applyFont="1" applyFill="1" applyBorder="1" applyAlignment="1">
      <alignment vertical="center"/>
    </xf>
    <xf numFmtId="0" fontId="0" fillId="0" borderId="506" xfId="0" applyFont="1" applyFill="1" applyBorder="1"/>
    <xf numFmtId="0" fontId="0" fillId="0" borderId="506" xfId="0" applyFont="1" applyFill="1" applyBorder="1" applyAlignment="1">
      <alignment horizontal="center"/>
    </xf>
    <xf numFmtId="1" fontId="1" fillId="0" borderId="60" xfId="0" applyNumberFormat="1" applyFont="1" applyFill="1" applyBorder="1" applyAlignment="1" applyProtection="1">
      <alignment horizontal="center" vertical="center" wrapText="1"/>
    </xf>
    <xf numFmtId="1" fontId="0" fillId="0" borderId="57" xfId="0" applyNumberFormat="1" applyFont="1" applyFill="1" applyBorder="1" applyAlignment="1" applyProtection="1">
      <alignment horizontal="center" vertical="center" wrapText="1"/>
    </xf>
    <xf numFmtId="0" fontId="0" fillId="0" borderId="57" xfId="0" applyFont="1" applyFill="1" applyBorder="1" applyAlignment="1" applyProtection="1">
      <alignment horizontal="center" vertical="center" wrapText="1"/>
    </xf>
    <xf numFmtId="0" fontId="11" fillId="0" borderId="0" xfId="6" applyFont="1" applyAlignment="1">
      <alignment horizontal="center" vertical="center"/>
    </xf>
    <xf numFmtId="0" fontId="11" fillId="0" borderId="0" xfId="6" applyFont="1" applyBorder="1"/>
    <xf numFmtId="0" fontId="97" fillId="0" borderId="0" xfId="6" applyFont="1" applyFill="1" applyBorder="1" applyAlignment="1">
      <alignment horizontal="center"/>
    </xf>
    <xf numFmtId="0" fontId="97" fillId="0" borderId="0" xfId="6" applyFont="1" applyBorder="1"/>
    <xf numFmtId="174" fontId="97" fillId="0" borderId="0" xfId="6" applyNumberFormat="1" applyFont="1" applyFill="1" applyBorder="1" applyAlignment="1">
      <alignment horizontal="center"/>
    </xf>
    <xf numFmtId="1" fontId="97" fillId="0" borderId="0" xfId="6" applyNumberFormat="1" applyFont="1" applyFill="1" applyBorder="1" applyAlignment="1">
      <alignment horizontal="center"/>
    </xf>
    <xf numFmtId="0" fontId="22" fillId="0" borderId="0" xfId="2" applyFont="1"/>
    <xf numFmtId="0" fontId="11" fillId="0" borderId="0" xfId="6" applyFont="1" applyAlignment="1">
      <alignment vertical="center"/>
    </xf>
    <xf numFmtId="0" fontId="11" fillId="0" borderId="0" xfId="6" applyFont="1" applyAlignment="1">
      <alignment horizontal="left" vertical="center"/>
    </xf>
    <xf numFmtId="0" fontId="26" fillId="0" borderId="0" xfId="6" applyFont="1"/>
    <xf numFmtId="174" fontId="17" fillId="0" borderId="533" xfId="6" applyNumberFormat="1" applyFont="1" applyFill="1" applyBorder="1" applyAlignment="1">
      <alignment horizontal="center"/>
    </xf>
    <xf numFmtId="9" fontId="97" fillId="0" borderId="536" xfId="14" applyFont="1" applyFill="1" applyBorder="1" applyAlignment="1">
      <alignment horizontal="center"/>
    </xf>
    <xf numFmtId="0" fontId="0" fillId="0" borderId="0" xfId="6" applyFont="1" applyAlignment="1">
      <alignment horizontal="center" vertical="center"/>
    </xf>
    <xf numFmtId="0" fontId="0" fillId="0" borderId="0" xfId="6" applyFont="1" applyFill="1" applyAlignment="1">
      <alignment horizontal="center" vertical="center"/>
    </xf>
    <xf numFmtId="0" fontId="0" fillId="0" borderId="0" xfId="6" applyFont="1"/>
    <xf numFmtId="0" fontId="0" fillId="0" borderId="0" xfId="6" applyFont="1" applyAlignment="1">
      <alignment wrapText="1"/>
    </xf>
    <xf numFmtId="0" fontId="0" fillId="0" borderId="0" xfId="6" applyFont="1" applyAlignment="1">
      <alignment vertical="center" wrapText="1"/>
    </xf>
    <xf numFmtId="0" fontId="0" fillId="0" borderId="0" xfId="6" applyFont="1" applyAlignment="1">
      <alignment vertical="center"/>
    </xf>
    <xf numFmtId="2" fontId="97" fillId="0" borderId="562" xfId="6" applyNumberFormat="1" applyFont="1" applyFill="1" applyBorder="1" applyAlignment="1">
      <alignment horizontal="center"/>
    </xf>
    <xf numFmtId="2" fontId="97" fillId="0" borderId="559" xfId="6" applyNumberFormat="1" applyFont="1" applyFill="1" applyBorder="1" applyAlignment="1">
      <alignment horizontal="center"/>
    </xf>
    <xf numFmtId="0" fontId="52" fillId="0" borderId="536" xfId="2" applyFont="1" applyBorder="1"/>
    <xf numFmtId="0" fontId="25" fillId="7" borderId="530" xfId="6" applyFont="1" applyFill="1" applyBorder="1" applyAlignment="1">
      <alignment horizontal="center" vertical="center"/>
    </xf>
    <xf numFmtId="14" fontId="0" fillId="26" borderId="411" xfId="0" applyNumberFormat="1" applyFont="1" applyFill="1" applyBorder="1" applyAlignment="1" applyProtection="1">
      <alignment vertical="center"/>
      <protection locked="0"/>
    </xf>
    <xf numFmtId="0" fontId="0" fillId="26" borderId="217" xfId="0" applyFont="1" applyFill="1" applyBorder="1" applyAlignment="1" applyProtection="1">
      <alignment horizontal="center" vertical="center" wrapText="1"/>
      <protection locked="0"/>
    </xf>
    <xf numFmtId="0" fontId="0" fillId="26" borderId="206" xfId="0" applyFont="1" applyFill="1" applyBorder="1" applyAlignment="1" applyProtection="1">
      <alignment horizontal="center" vertical="center" wrapText="1"/>
      <protection locked="0"/>
    </xf>
    <xf numFmtId="0" fontId="0" fillId="26" borderId="213" xfId="0" applyFont="1" applyFill="1" applyBorder="1" applyAlignment="1" applyProtection="1">
      <alignment horizontal="center" vertical="center" wrapText="1"/>
      <protection locked="0"/>
    </xf>
    <xf numFmtId="9" fontId="0" fillId="26" borderId="211" xfId="3" applyFont="1" applyFill="1" applyBorder="1" applyAlignment="1" applyProtection="1">
      <alignment horizontal="center" vertical="center" wrapText="1"/>
      <protection locked="0"/>
    </xf>
    <xf numFmtId="9" fontId="0" fillId="26" borderId="113" xfId="3" applyFont="1" applyFill="1" applyBorder="1" applyAlignment="1" applyProtection="1">
      <alignment horizontal="center" vertical="center" wrapText="1"/>
      <protection locked="0"/>
    </xf>
    <xf numFmtId="9" fontId="0" fillId="26" borderId="114" xfId="3" applyFont="1" applyFill="1" applyBorder="1" applyAlignment="1" applyProtection="1">
      <alignment horizontal="center" vertical="center" wrapText="1"/>
      <protection locked="0"/>
    </xf>
    <xf numFmtId="1" fontId="0" fillId="26" borderId="215" xfId="0" applyNumberFormat="1" applyFont="1" applyFill="1" applyBorder="1" applyAlignment="1" applyProtection="1">
      <alignment horizontal="center" vertical="center" wrapText="1"/>
      <protection locked="0"/>
    </xf>
    <xf numFmtId="1" fontId="0" fillId="26" borderId="209" xfId="0" applyNumberFormat="1" applyFont="1" applyFill="1" applyBorder="1" applyAlignment="1" applyProtection="1">
      <alignment horizontal="center" vertical="center" wrapText="1"/>
      <protection locked="0"/>
    </xf>
    <xf numFmtId="1" fontId="0" fillId="26" borderId="216" xfId="0" applyNumberFormat="1" applyFont="1" applyFill="1" applyBorder="1" applyAlignment="1" applyProtection="1">
      <alignment horizontal="center" vertical="center" wrapText="1"/>
      <protection locked="0"/>
    </xf>
    <xf numFmtId="1" fontId="0" fillId="26" borderId="218" xfId="0" applyNumberFormat="1" applyFont="1" applyFill="1" applyBorder="1" applyAlignment="1" applyProtection="1">
      <alignment horizontal="center" vertical="center" wrapText="1"/>
      <protection locked="0"/>
    </xf>
    <xf numFmtId="1" fontId="0" fillId="26" borderId="113" xfId="0" applyNumberFormat="1" applyFont="1" applyFill="1" applyBorder="1" applyAlignment="1" applyProtection="1">
      <alignment horizontal="center" vertical="center" wrapText="1"/>
      <protection locked="0"/>
    </xf>
    <xf numFmtId="1" fontId="0" fillId="26" borderId="114" xfId="0" applyNumberFormat="1" applyFont="1" applyFill="1" applyBorder="1" applyAlignment="1" applyProtection="1">
      <alignment horizontal="center" vertical="center" wrapText="1"/>
      <protection locked="0"/>
    </xf>
    <xf numFmtId="2" fontId="16" fillId="0" borderId="532" xfId="6" applyNumberFormat="1" applyFont="1" applyFill="1" applyBorder="1" applyAlignment="1">
      <alignment horizontal="center"/>
    </xf>
    <xf numFmtId="0" fontId="37" fillId="2" borderId="0" xfId="0" applyFont="1" applyFill="1" applyBorder="1" applyAlignment="1">
      <alignment horizontal="center" vertical="center"/>
    </xf>
    <xf numFmtId="180" fontId="97" fillId="0" borderId="530" xfId="6" applyNumberFormat="1" applyFont="1" applyFill="1" applyBorder="1" applyAlignment="1">
      <alignment horizontal="center"/>
    </xf>
    <xf numFmtId="9" fontId="16" fillId="0" borderId="533" xfId="3" applyFont="1" applyFill="1" applyBorder="1" applyAlignment="1">
      <alignment horizontal="center"/>
    </xf>
    <xf numFmtId="9" fontId="16" fillId="0" borderId="560" xfId="3" applyFont="1" applyFill="1" applyBorder="1" applyAlignment="1">
      <alignment horizontal="center"/>
    </xf>
    <xf numFmtId="0" fontId="25" fillId="7" borderId="587" xfId="6" applyFont="1" applyFill="1" applyBorder="1" applyAlignment="1">
      <alignment horizontal="center" vertical="center"/>
    </xf>
    <xf numFmtId="180" fontId="97" fillId="0" borderId="587" xfId="6" applyNumberFormat="1" applyFont="1" applyFill="1" applyBorder="1" applyAlignment="1">
      <alignment horizontal="center"/>
    </xf>
    <xf numFmtId="9" fontId="97" fillId="0" borderId="588" xfId="14" applyFont="1" applyFill="1" applyBorder="1" applyAlignment="1">
      <alignment horizontal="center"/>
    </xf>
    <xf numFmtId="174" fontId="17" fillId="0" borderId="560" xfId="6" applyNumberFormat="1" applyFont="1" applyFill="1" applyBorder="1" applyAlignment="1">
      <alignment horizontal="center"/>
    </xf>
    <xf numFmtId="2" fontId="97" fillId="0" borderId="601" xfId="6" applyNumberFormat="1" applyFont="1" applyFill="1" applyBorder="1" applyAlignment="1">
      <alignment horizontal="center"/>
    </xf>
    <xf numFmtId="180" fontId="75" fillId="0" borderId="440" xfId="6" applyNumberFormat="1" applyFont="1" applyFill="1" applyBorder="1" applyAlignment="1">
      <alignment horizontal="center"/>
    </xf>
    <xf numFmtId="182" fontId="6" fillId="0" borderId="0" xfId="2" applyNumberFormat="1" applyBorder="1" applyAlignment="1">
      <alignment horizontal="center" vertical="center"/>
    </xf>
    <xf numFmtId="1" fontId="6" fillId="0" borderId="0" xfId="2" applyNumberFormat="1" applyBorder="1" applyAlignment="1">
      <alignment horizontal="center" vertical="center"/>
    </xf>
    <xf numFmtId="9" fontId="6" fillId="31" borderId="426" xfId="3" applyFont="1" applyFill="1" applyBorder="1" applyAlignment="1">
      <alignment horizontal="center"/>
    </xf>
    <xf numFmtId="2" fontId="97" fillId="0" borderId="561" xfId="14" applyNumberFormat="1" applyFont="1" applyBorder="1" applyAlignment="1">
      <alignment horizontal="center"/>
    </xf>
    <xf numFmtId="9" fontId="97" fillId="0" borderId="562" xfId="3" applyFont="1" applyBorder="1" applyAlignment="1">
      <alignment horizontal="center"/>
    </xf>
    <xf numFmtId="9" fontId="97" fillId="0" borderId="601" xfId="3" applyFont="1" applyBorder="1" applyAlignment="1">
      <alignment horizontal="center"/>
    </xf>
    <xf numFmtId="1" fontId="25" fillId="7" borderId="530" xfId="6" applyNumberFormat="1" applyFont="1" applyFill="1" applyBorder="1" applyAlignment="1">
      <alignment horizontal="center" vertical="center"/>
    </xf>
    <xf numFmtId="1" fontId="25" fillId="7" borderId="587" xfId="6" applyNumberFormat="1" applyFont="1" applyFill="1" applyBorder="1" applyAlignment="1">
      <alignment horizontal="center" vertical="center"/>
    </xf>
    <xf numFmtId="0" fontId="0" fillId="31" borderId="217" xfId="0" applyFont="1" applyFill="1" applyBorder="1" applyAlignment="1" applyProtection="1">
      <alignment horizontal="center" vertical="center" wrapText="1"/>
      <protection locked="0"/>
    </xf>
    <xf numFmtId="0" fontId="0" fillId="31" borderId="206" xfId="0" applyFont="1" applyFill="1" applyBorder="1" applyAlignment="1" applyProtection="1">
      <alignment horizontal="center" vertical="center" wrapText="1"/>
      <protection locked="0"/>
    </xf>
    <xf numFmtId="0" fontId="0" fillId="31" borderId="213" xfId="0" applyFont="1" applyFill="1" applyBorder="1" applyAlignment="1" applyProtection="1">
      <alignment horizontal="center" vertical="center" wrapText="1"/>
      <protection locked="0"/>
    </xf>
    <xf numFmtId="0" fontId="0" fillId="0" borderId="113" xfId="0" applyFont="1" applyFill="1" applyBorder="1" applyAlignment="1" applyProtection="1">
      <alignment horizontal="center" vertical="center" wrapText="1"/>
      <protection locked="0"/>
    </xf>
    <xf numFmtId="0" fontId="0" fillId="0" borderId="114" xfId="0" applyFont="1" applyFill="1" applyBorder="1" applyAlignment="1" applyProtection="1">
      <alignment horizontal="center" vertical="center" wrapText="1"/>
      <protection locked="0"/>
    </xf>
    <xf numFmtId="0" fontId="24" fillId="0" borderId="0" xfId="10" applyFont="1" applyFill="1" applyBorder="1" applyAlignment="1">
      <alignment vertical="center" wrapText="1"/>
    </xf>
    <xf numFmtId="0" fontId="21" fillId="0" borderId="0" xfId="0" applyFont="1" applyFill="1" applyAlignment="1">
      <alignment vertical="center"/>
    </xf>
    <xf numFmtId="0" fontId="31" fillId="34" borderId="647" xfId="2" applyFont="1" applyFill="1" applyBorder="1" applyAlignment="1">
      <alignment horizontal="center" vertical="center" wrapText="1"/>
    </xf>
    <xf numFmtId="0" fontId="31" fillId="0" borderId="650" xfId="2" applyFont="1" applyFill="1" applyBorder="1" applyAlignment="1">
      <alignment horizontal="center" vertical="center"/>
    </xf>
    <xf numFmtId="0" fontId="11" fillId="0" borderId="0" xfId="15" applyBorder="1" applyAlignment="1"/>
    <xf numFmtId="0" fontId="11" fillId="0" borderId="660" xfId="15" applyBorder="1" applyAlignment="1"/>
    <xf numFmtId="1" fontId="1" fillId="0" borderId="0" xfId="0" applyNumberFormat="1" applyFont="1" applyFill="1" applyBorder="1" applyAlignment="1" applyProtection="1">
      <alignment horizontal="center" vertical="center" wrapText="1"/>
    </xf>
    <xf numFmtId="0" fontId="6" fillId="0" borderId="168" xfId="2" applyFont="1" applyFill="1" applyBorder="1" applyAlignment="1">
      <alignment horizontal="left"/>
    </xf>
    <xf numFmtId="0" fontId="6" fillId="0" borderId="0" xfId="2" applyFont="1" applyFill="1" applyBorder="1" applyAlignment="1">
      <alignment horizontal="left"/>
    </xf>
    <xf numFmtId="180" fontId="6" fillId="0" borderId="650" xfId="2" applyNumberFormat="1" applyFont="1" applyBorder="1" applyAlignment="1">
      <alignment horizontal="center" vertical="center"/>
    </xf>
    <xf numFmtId="180" fontId="6" fillId="0" borderId="650" xfId="2" applyNumberFormat="1" applyFont="1" applyFill="1" applyBorder="1" applyAlignment="1">
      <alignment horizontal="center" vertical="center"/>
    </xf>
    <xf numFmtId="0" fontId="31" fillId="0" borderId="668" xfId="2" applyFont="1" applyFill="1" applyBorder="1" applyAlignment="1">
      <alignment vertical="center"/>
    </xf>
    <xf numFmtId="0" fontId="31" fillId="0" borderId="661" xfId="2" applyFont="1" applyFill="1" applyBorder="1" applyAlignment="1">
      <alignment vertical="center"/>
    </xf>
    <xf numFmtId="0" fontId="31" fillId="0" borderId="669" xfId="2" applyFont="1" applyFill="1" applyBorder="1" applyAlignment="1">
      <alignment vertical="center"/>
    </xf>
    <xf numFmtId="4" fontId="31" fillId="0" borderId="661" xfId="2" applyNumberFormat="1" applyFont="1" applyFill="1" applyBorder="1" applyAlignment="1">
      <alignment horizontal="center" vertical="center"/>
    </xf>
    <xf numFmtId="4" fontId="31" fillId="0" borderId="669" xfId="2" applyNumberFormat="1" applyFont="1" applyFill="1" applyBorder="1" applyAlignment="1">
      <alignment horizontal="center" vertical="center"/>
    </xf>
    <xf numFmtId="0" fontId="6" fillId="0" borderId="0" xfId="2" applyFont="1" applyFill="1"/>
    <xf numFmtId="0" fontId="31" fillId="0" borderId="650" xfId="2" applyFont="1" applyFill="1" applyBorder="1" applyAlignment="1">
      <alignment vertical="center"/>
    </xf>
    <xf numFmtId="9" fontId="31" fillId="25" borderId="650" xfId="2" applyNumberFormat="1" applyFont="1" applyFill="1" applyBorder="1" applyAlignment="1">
      <alignment horizontal="center" vertical="center"/>
    </xf>
    <xf numFmtId="0" fontId="31" fillId="34" borderId="661" xfId="2" applyFont="1" applyFill="1" applyBorder="1" applyAlignment="1">
      <alignment vertical="center"/>
    </xf>
    <xf numFmtId="0" fontId="23" fillId="34" borderId="647" xfId="2" applyFont="1" applyFill="1" applyBorder="1" applyAlignment="1">
      <alignment horizontal="center" vertical="center"/>
    </xf>
    <xf numFmtId="9" fontId="6" fillId="0" borderId="650" xfId="2" applyNumberFormat="1" applyFont="1" applyFill="1" applyBorder="1" applyAlignment="1">
      <alignment horizontal="center" vertical="center"/>
    </xf>
    <xf numFmtId="0" fontId="31" fillId="0" borderId="671" xfId="2" applyFont="1" applyFill="1" applyBorder="1" applyAlignment="1">
      <alignment horizontal="center" vertical="center"/>
    </xf>
    <xf numFmtId="4" fontId="31" fillId="0" borderId="670" xfId="2" applyNumberFormat="1" applyFont="1" applyFill="1" applyBorder="1" applyAlignment="1">
      <alignment horizontal="center" vertical="center"/>
    </xf>
    <xf numFmtId="0" fontId="6" fillId="26" borderId="670" xfId="2" applyFont="1" applyFill="1" applyBorder="1" applyAlignment="1">
      <alignment horizontal="center" vertical="center"/>
    </xf>
    <xf numFmtId="4" fontId="31" fillId="0" borderId="649" xfId="2" applyNumberFormat="1" applyFont="1" applyFill="1" applyBorder="1" applyAlignment="1">
      <alignment horizontal="center" vertical="center"/>
    </xf>
    <xf numFmtId="0" fontId="6" fillId="26" borderId="649" xfId="2" applyFont="1" applyFill="1" applyBorder="1" applyAlignment="1">
      <alignment horizontal="center" vertical="center"/>
    </xf>
    <xf numFmtId="177" fontId="6" fillId="0" borderId="671" xfId="2" applyNumberFormat="1" applyFont="1" applyFill="1" applyBorder="1" applyAlignment="1">
      <alignment horizontal="center" vertical="center"/>
    </xf>
    <xf numFmtId="0" fontId="6" fillId="26" borderId="677" xfId="2" applyFont="1" applyFill="1" applyBorder="1" applyAlignment="1">
      <alignment horizontal="center" vertical="center"/>
    </xf>
    <xf numFmtId="177" fontId="6" fillId="0" borderId="676" xfId="2" applyNumberFormat="1" applyFont="1" applyFill="1" applyBorder="1" applyAlignment="1">
      <alignment horizontal="center" vertical="center"/>
    </xf>
    <xf numFmtId="0" fontId="31" fillId="0" borderId="652" xfId="2" applyFont="1" applyBorder="1" applyAlignment="1">
      <alignment horizontal="center" vertical="center"/>
    </xf>
    <xf numFmtId="0" fontId="31" fillId="0" borderId="653" xfId="2" applyFont="1" applyBorder="1" applyAlignment="1">
      <alignment horizontal="center" vertical="center"/>
    </xf>
    <xf numFmtId="2" fontId="17" fillId="0" borderId="533" xfId="6" applyNumberFormat="1" applyFont="1" applyFill="1" applyBorder="1" applyAlignment="1">
      <alignment horizontal="center"/>
    </xf>
    <xf numFmtId="0" fontId="26" fillId="8" borderId="0" xfId="0" applyFont="1" applyFill="1" applyBorder="1" applyAlignment="1" applyProtection="1">
      <alignment vertical="top"/>
      <protection locked="0"/>
    </xf>
    <xf numFmtId="0" fontId="6" fillId="0" borderId="0" xfId="7"/>
    <xf numFmtId="0" fontId="6" fillId="0" borderId="0" xfId="7" applyFont="1" applyFill="1" applyAlignment="1">
      <alignment horizontal="center" vertical="center" wrapText="1"/>
    </xf>
    <xf numFmtId="0" fontId="6" fillId="0" borderId="0" xfId="7" applyFill="1"/>
    <xf numFmtId="0" fontId="31" fillId="0" borderId="0" xfId="7" applyFont="1" applyFill="1" applyAlignment="1">
      <alignment horizontal="center" vertical="center" wrapText="1"/>
    </xf>
    <xf numFmtId="0" fontId="110" fillId="0" borderId="0" xfId="7" applyFont="1" applyFill="1"/>
    <xf numFmtId="0" fontId="110" fillId="0" borderId="0" xfId="7" applyFont="1" applyFill="1" applyAlignment="1">
      <alignment horizontal="center" vertical="center" wrapText="1"/>
    </xf>
    <xf numFmtId="0" fontId="31" fillId="0" borderId="0" xfId="7" applyFont="1" applyAlignment="1">
      <alignment horizontal="center"/>
    </xf>
    <xf numFmtId="0" fontId="6" fillId="0" borderId="0" xfId="7" applyAlignment="1">
      <alignment horizontal="center"/>
    </xf>
    <xf numFmtId="0" fontId="11" fillId="0" borderId="0" xfId="9" applyAlignment="1">
      <alignment horizontal="center" vertical="center"/>
    </xf>
    <xf numFmtId="0" fontId="11" fillId="0" borderId="0" xfId="9"/>
    <xf numFmtId="0" fontId="11" fillId="0" borderId="0" xfId="9" applyAlignment="1">
      <alignment horizontal="center"/>
    </xf>
    <xf numFmtId="0" fontId="11" fillId="0" borderId="0" xfId="9" applyAlignment="1">
      <alignment vertical="center"/>
    </xf>
    <xf numFmtId="0" fontId="52" fillId="0" borderId="274" xfId="2" applyNumberFormat="1" applyFont="1" applyFill="1" applyBorder="1" applyAlignment="1" applyProtection="1">
      <alignment horizontal="center" vertical="center"/>
    </xf>
    <xf numFmtId="0" fontId="52" fillId="39" borderId="361" xfId="2" applyFont="1" applyFill="1" applyBorder="1" applyAlignment="1" applyProtection="1">
      <alignment horizontal="center" vertical="center"/>
      <protection locked="0"/>
    </xf>
    <xf numFmtId="0" fontId="52" fillId="39" borderId="274" xfId="2" applyFont="1" applyFill="1" applyBorder="1" applyAlignment="1" applyProtection="1">
      <alignment horizontal="center" vertical="center"/>
      <protection locked="0"/>
    </xf>
    <xf numFmtId="0" fontId="52" fillId="39" borderId="360" xfId="2" applyFont="1" applyFill="1" applyBorder="1" applyAlignment="1" applyProtection="1">
      <alignment horizontal="center" vertical="center"/>
      <protection locked="0"/>
    </xf>
    <xf numFmtId="0" fontId="60" fillId="39" borderId="361" xfId="2" applyFont="1" applyFill="1" applyBorder="1" applyAlignment="1" applyProtection="1">
      <alignment horizontal="center" vertical="center"/>
      <protection locked="0"/>
    </xf>
    <xf numFmtId="0" fontId="0" fillId="0" borderId="215" xfId="0" applyFont="1" applyFill="1" applyBorder="1" applyAlignment="1" applyProtection="1">
      <alignment horizontal="center" vertical="center" wrapText="1"/>
      <protection locked="0"/>
    </xf>
    <xf numFmtId="0" fontId="0" fillId="0" borderId="218" xfId="0" applyFont="1" applyFill="1" applyBorder="1" applyAlignment="1" applyProtection="1">
      <alignment horizontal="center" vertical="center" wrapText="1"/>
      <protection locked="0"/>
    </xf>
    <xf numFmtId="9" fontId="0" fillId="26" borderId="463" xfId="3" applyFont="1" applyFill="1" applyBorder="1" applyAlignment="1" applyProtection="1">
      <alignment horizontal="center" vertical="center" wrapText="1"/>
      <protection locked="0"/>
    </xf>
    <xf numFmtId="9" fontId="0" fillId="26" borderId="122" xfId="3" applyFont="1" applyFill="1" applyBorder="1" applyAlignment="1" applyProtection="1">
      <alignment horizontal="center" vertical="center" wrapText="1"/>
      <protection locked="0"/>
    </xf>
    <xf numFmtId="9" fontId="0" fillId="26" borderId="123" xfId="3" applyFont="1" applyFill="1" applyBorder="1" applyAlignment="1" applyProtection="1">
      <alignment horizontal="center" vertical="center" wrapText="1"/>
      <protection locked="0"/>
    </xf>
    <xf numFmtId="9" fontId="6" fillId="26" borderId="650" xfId="2" applyNumberFormat="1" applyFont="1" applyFill="1" applyBorder="1" applyAlignment="1">
      <alignment horizontal="center" vertical="center"/>
    </xf>
    <xf numFmtId="177" fontId="31" fillId="0" borderId="650" xfId="17" applyNumberFormat="1" applyFont="1" applyFill="1" applyBorder="1" applyAlignment="1">
      <alignment horizontal="center" vertical="center"/>
    </xf>
    <xf numFmtId="0" fontId="6" fillId="0" borderId="0" xfId="2" applyAlignment="1">
      <alignment vertical="center" wrapText="1"/>
    </xf>
    <xf numFmtId="0" fontId="0" fillId="0" borderId="0" xfId="0" applyFont="1" applyFill="1" applyAlignment="1">
      <alignment horizontal="left" vertical="center"/>
    </xf>
    <xf numFmtId="0" fontId="0" fillId="0" borderId="0" xfId="0" applyFont="1" applyFill="1" applyBorder="1" applyAlignment="1">
      <alignment horizontal="left" vertical="center"/>
    </xf>
    <xf numFmtId="0" fontId="11" fillId="0" borderId="0" xfId="81"/>
    <xf numFmtId="0" fontId="11" fillId="0" borderId="0" xfId="81" applyAlignment="1">
      <alignment vertical="center"/>
    </xf>
    <xf numFmtId="0" fontId="14" fillId="0" borderId="0" xfId="0" applyFont="1"/>
    <xf numFmtId="0" fontId="14" fillId="0" borderId="0" xfId="0" quotePrefix="1" applyFont="1"/>
    <xf numFmtId="0" fontId="2" fillId="0" borderId="0" xfId="0" applyFont="1" applyAlignment="1">
      <alignment horizontal="center" vertical="center"/>
    </xf>
    <xf numFmtId="0" fontId="2" fillId="0" borderId="0" xfId="0" applyFont="1"/>
    <xf numFmtId="0" fontId="33" fillId="0" borderId="0" xfId="0" applyFont="1" applyAlignment="1">
      <alignment vertical="center"/>
    </xf>
    <xf numFmtId="0" fontId="14" fillId="0" borderId="0" xfId="0" applyFont="1" applyAlignment="1">
      <alignment horizontal="center" vertical="center"/>
    </xf>
    <xf numFmtId="0" fontId="26" fillId="5" borderId="41" xfId="0" applyFont="1" applyFill="1" applyBorder="1" applyAlignment="1" applyProtection="1">
      <protection locked="0"/>
    </xf>
    <xf numFmtId="0" fontId="26" fillId="5" borderId="42" xfId="0" applyFont="1" applyFill="1" applyBorder="1" applyProtection="1">
      <protection locked="0"/>
    </xf>
    <xf numFmtId="0" fontId="26" fillId="5" borderId="43" xfId="0" applyFont="1" applyFill="1" applyBorder="1" applyProtection="1">
      <protection locked="0"/>
    </xf>
    <xf numFmtId="0" fontId="2" fillId="8" borderId="0" xfId="0" applyFont="1" applyFill="1" applyAlignment="1">
      <alignment horizontal="center" vertical="center"/>
    </xf>
    <xf numFmtId="0" fontId="35" fillId="0" borderId="414" xfId="2" applyNumberFormat="1" applyFont="1" applyFill="1" applyBorder="1" applyAlignment="1" applyProtection="1">
      <alignment horizontal="center" vertical="center"/>
    </xf>
    <xf numFmtId="0" fontId="0" fillId="0" borderId="217" xfId="0" applyFont="1" applyFill="1" applyBorder="1" applyAlignment="1" applyProtection="1">
      <alignment horizontal="center" vertical="center" wrapText="1"/>
      <protection locked="0"/>
    </xf>
    <xf numFmtId="0" fontId="0" fillId="0" borderId="206" xfId="0" applyFont="1" applyFill="1" applyBorder="1" applyAlignment="1" applyProtection="1">
      <alignment horizontal="center" vertical="center" wrapText="1"/>
      <protection locked="0"/>
    </xf>
    <xf numFmtId="0" fontId="0" fillId="0" borderId="213" xfId="0" applyFont="1" applyFill="1" applyBorder="1" applyAlignment="1" applyProtection="1">
      <alignment horizontal="center" vertical="center" wrapText="1"/>
      <protection locked="0"/>
    </xf>
    <xf numFmtId="0" fontId="0" fillId="10" borderId="209" xfId="0" applyFont="1" applyFill="1" applyBorder="1" applyAlignment="1" applyProtection="1">
      <alignment horizontal="center" vertical="center" wrapText="1"/>
      <protection locked="0"/>
    </xf>
    <xf numFmtId="0" fontId="0" fillId="4" borderId="209" xfId="0" applyFont="1" applyFill="1" applyBorder="1" applyAlignment="1" applyProtection="1">
      <alignment horizontal="center" vertical="center" wrapText="1"/>
      <protection locked="0"/>
    </xf>
    <xf numFmtId="0" fontId="55" fillId="4" borderId="209" xfId="0" applyFont="1" applyFill="1" applyBorder="1" applyAlignment="1" applyProtection="1">
      <alignment horizontal="center" vertical="center" wrapText="1"/>
      <protection locked="0"/>
    </xf>
    <xf numFmtId="0" fontId="1" fillId="0" borderId="0" xfId="0" applyFont="1"/>
    <xf numFmtId="0" fontId="1" fillId="0" borderId="0" xfId="0" applyFont="1" applyFill="1" applyBorder="1" applyAlignment="1">
      <alignment horizontal="center" vertical="center"/>
    </xf>
    <xf numFmtId="0" fontId="0" fillId="0" borderId="0" xfId="0" applyFont="1" applyAlignment="1">
      <alignment vertical="top"/>
    </xf>
    <xf numFmtId="0" fontId="0" fillId="0" borderId="0" xfId="0" applyFont="1" applyFill="1" applyAlignment="1">
      <alignment vertical="top"/>
    </xf>
    <xf numFmtId="0" fontId="0" fillId="0" borderId="61" xfId="0" applyFont="1" applyFill="1" applyBorder="1" applyAlignment="1">
      <alignment vertical="top"/>
    </xf>
    <xf numFmtId="0" fontId="13" fillId="0" borderId="61" xfId="4" applyFont="1" applyFill="1" applyBorder="1" applyAlignment="1">
      <alignment vertical="top"/>
    </xf>
    <xf numFmtId="0" fontId="0" fillId="0" borderId="61" xfId="0" applyFont="1" applyFill="1" applyBorder="1" applyAlignment="1">
      <alignment horizontal="center" vertical="top"/>
    </xf>
    <xf numFmtId="1" fontId="0" fillId="0" borderId="54" xfId="0" applyNumberFormat="1" applyFont="1" applyFill="1" applyBorder="1" applyAlignment="1" applyProtection="1">
      <alignment horizontal="center" vertical="center" wrapText="1"/>
    </xf>
    <xf numFmtId="1" fontId="0" fillId="26" borderId="119" xfId="0" applyNumberFormat="1" applyFont="1" applyFill="1" applyBorder="1" applyAlignment="1" applyProtection="1">
      <alignment horizontal="center" vertical="center" wrapText="1"/>
      <protection locked="0"/>
    </xf>
    <xf numFmtId="1" fontId="0" fillId="26" borderId="405" xfId="0" applyNumberFormat="1" applyFont="1" applyFill="1" applyBorder="1" applyAlignment="1" applyProtection="1">
      <alignment horizontal="center" vertical="center" wrapText="1"/>
      <protection locked="0"/>
    </xf>
    <xf numFmtId="1" fontId="0" fillId="26" borderId="214" xfId="0" applyNumberFormat="1" applyFont="1" applyFill="1" applyBorder="1" applyAlignment="1" applyProtection="1">
      <alignment horizontal="center" vertical="center" wrapText="1"/>
      <protection locked="0"/>
    </xf>
    <xf numFmtId="1" fontId="0" fillId="26" borderId="211" xfId="0" applyNumberFormat="1" applyFont="1" applyFill="1" applyBorder="1" applyAlignment="1" applyProtection="1">
      <alignment horizontal="center" vertical="center" wrapText="1"/>
      <protection locked="0"/>
    </xf>
    <xf numFmtId="1" fontId="0" fillId="26" borderId="721" xfId="0" applyNumberFormat="1" applyFont="1" applyFill="1" applyBorder="1" applyAlignment="1" applyProtection="1">
      <alignment horizontal="center" vertical="center" wrapText="1"/>
      <protection locked="0"/>
    </xf>
    <xf numFmtId="1" fontId="0" fillId="26" borderId="120" xfId="0" applyNumberFormat="1" applyFont="1" applyFill="1" applyBorder="1" applyAlignment="1" applyProtection="1">
      <alignment horizontal="center" vertical="center" wrapText="1"/>
      <protection locked="0"/>
    </xf>
    <xf numFmtId="1" fontId="1" fillId="0" borderId="727" xfId="0" applyNumberFormat="1" applyFont="1" applyFill="1" applyBorder="1" applyAlignment="1" applyProtection="1">
      <alignment horizontal="center" vertical="center" wrapText="1"/>
    </xf>
    <xf numFmtId="1" fontId="1" fillId="0" borderId="728" xfId="0" applyNumberFormat="1" applyFont="1" applyFill="1" applyBorder="1" applyAlignment="1" applyProtection="1">
      <alignment horizontal="center" vertical="center" wrapText="1"/>
    </xf>
    <xf numFmtId="0" fontId="6" fillId="0" borderId="739" xfId="2" applyBorder="1" applyAlignment="1">
      <alignment vertical="center"/>
    </xf>
    <xf numFmtId="0" fontId="6" fillId="0" borderId="739" xfId="2" applyBorder="1"/>
    <xf numFmtId="0" fontId="6" fillId="0" borderId="740" xfId="2" applyBorder="1"/>
    <xf numFmtId="0" fontId="31" fillId="0" borderId="680" xfId="2" applyFont="1" applyBorder="1" applyAlignment="1">
      <alignment horizontal="center" vertical="center"/>
    </xf>
    <xf numFmtId="0" fontId="31" fillId="0" borderId="681" xfId="2" applyFont="1" applyBorder="1" applyAlignment="1">
      <alignment horizontal="center" vertical="center"/>
    </xf>
    <xf numFmtId="0" fontId="6" fillId="0" borderId="738" xfId="2" applyBorder="1" applyAlignment="1">
      <alignment vertical="center" wrapText="1"/>
    </xf>
    <xf numFmtId="0" fontId="6" fillId="26" borderId="683" xfId="2" applyFill="1" applyBorder="1" applyAlignment="1">
      <alignment horizontal="center" vertical="center"/>
    </xf>
    <xf numFmtId="0" fontId="1" fillId="0" borderId="0" xfId="0" applyFont="1" applyFill="1" applyBorder="1" applyAlignment="1">
      <alignment vertical="center"/>
    </xf>
    <xf numFmtId="0" fontId="33" fillId="0" borderId="0" xfId="0" applyFont="1" applyAlignment="1">
      <alignment horizontal="center" vertical="center"/>
    </xf>
    <xf numFmtId="0" fontId="37" fillId="2" borderId="0" xfId="0" applyFont="1" applyFill="1" applyBorder="1" applyAlignment="1">
      <alignment horizontal="center" vertical="center"/>
    </xf>
    <xf numFmtId="0" fontId="42" fillId="3" borderId="335" xfId="0" applyFont="1" applyFill="1" applyBorder="1" applyAlignment="1">
      <alignment horizontal="left" vertical="center"/>
    </xf>
    <xf numFmtId="0" fontId="52" fillId="26" borderId="274" xfId="2" applyFont="1" applyFill="1" applyBorder="1" applyAlignment="1" applyProtection="1">
      <alignment horizontal="center" vertical="center"/>
      <protection locked="0"/>
    </xf>
    <xf numFmtId="0" fontId="52" fillId="26" borderId="275" xfId="2" applyFont="1" applyFill="1" applyBorder="1" applyAlignment="1" applyProtection="1">
      <alignment horizontal="center" vertical="center"/>
      <protection locked="0"/>
    </xf>
    <xf numFmtId="0" fontId="0" fillId="0" borderId="0" xfId="0" applyFont="1" applyAlignment="1">
      <alignment horizontal="center"/>
    </xf>
    <xf numFmtId="0" fontId="0" fillId="0" borderId="0" xfId="0" applyFont="1" applyAlignment="1">
      <alignment horizontal="left" vertical="center"/>
    </xf>
    <xf numFmtId="0" fontId="52" fillId="26" borderId="360" xfId="2" applyFont="1" applyFill="1" applyBorder="1" applyAlignment="1" applyProtection="1">
      <alignment horizontal="center" vertical="center"/>
      <protection locked="0"/>
    </xf>
    <xf numFmtId="0" fontId="52" fillId="26" borderId="361" xfId="2" applyFont="1" applyFill="1" applyBorder="1" applyAlignment="1" applyProtection="1">
      <alignment horizontal="center" vertical="center"/>
      <protection locked="0"/>
    </xf>
    <xf numFmtId="0" fontId="5" fillId="0" borderId="0" xfId="1"/>
    <xf numFmtId="0" fontId="42" fillId="3" borderId="335" xfId="0" applyFont="1" applyFill="1" applyBorder="1" applyAlignment="1">
      <alignment horizontal="center" vertical="center"/>
    </xf>
    <xf numFmtId="0" fontId="42" fillId="3" borderId="337" xfId="0" applyFont="1" applyFill="1" applyBorder="1" applyAlignment="1">
      <alignment horizontal="center" vertical="center"/>
    </xf>
    <xf numFmtId="0" fontId="113" fillId="3" borderId="335" xfId="0" applyFont="1" applyFill="1" applyBorder="1" applyAlignment="1">
      <alignment horizontal="left" vertical="center"/>
    </xf>
    <xf numFmtId="0" fontId="0" fillId="8" borderId="0" xfId="0" applyFont="1" applyFill="1" applyAlignment="1" applyProtection="1">
      <alignment vertical="center"/>
    </xf>
    <xf numFmtId="0" fontId="0" fillId="9" borderId="223" xfId="0" applyFont="1" applyFill="1" applyBorder="1" applyAlignment="1" applyProtection="1"/>
    <xf numFmtId="0" fontId="0" fillId="8" borderId="0" xfId="0" applyFont="1" applyFill="1" applyProtection="1"/>
    <xf numFmtId="0" fontId="21" fillId="8" borderId="0" xfId="0" applyFont="1" applyFill="1" applyProtection="1"/>
    <xf numFmtId="0" fontId="1" fillId="8" borderId="0" xfId="0" applyFont="1" applyFill="1" applyAlignment="1" applyProtection="1"/>
    <xf numFmtId="0" fontId="1" fillId="8" borderId="0" xfId="0" applyFont="1" applyFill="1" applyAlignment="1" applyProtection="1">
      <alignment vertical="top"/>
    </xf>
    <xf numFmtId="0" fontId="21" fillId="8" borderId="0" xfId="0" applyFont="1" applyFill="1" applyAlignment="1" applyProtection="1">
      <alignment vertical="top"/>
    </xf>
    <xf numFmtId="0" fontId="1" fillId="8" borderId="0" xfId="0" applyFont="1" applyFill="1" applyAlignment="1" applyProtection="1">
      <alignment horizontal="left"/>
    </xf>
    <xf numFmtId="0" fontId="0" fillId="8" borderId="0" xfId="0" applyFont="1" applyFill="1" applyAlignment="1" applyProtection="1"/>
    <xf numFmtId="0" fontId="37" fillId="2" borderId="0" xfId="0"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37" fillId="2" borderId="0" xfId="0" applyFont="1" applyFill="1" applyBorder="1" applyAlignment="1" applyProtection="1">
      <alignment vertical="center"/>
    </xf>
    <xf numFmtId="0" fontId="0" fillId="3" borderId="0" xfId="0" applyFont="1" applyFill="1" applyAlignment="1" applyProtection="1">
      <alignment horizontal="center" vertical="center"/>
    </xf>
    <xf numFmtId="0" fontId="38" fillId="2" borderId="0" xfId="0" applyFont="1" applyFill="1" applyBorder="1" applyAlignment="1" applyProtection="1">
      <alignment vertical="center"/>
    </xf>
    <xf numFmtId="0" fontId="38" fillId="2" borderId="0" xfId="0" applyFont="1" applyFill="1" applyBorder="1" applyAlignment="1" applyProtection="1">
      <alignment vertical="center" wrapText="1"/>
    </xf>
    <xf numFmtId="0" fontId="38" fillId="2" borderId="0" xfId="0" applyFont="1" applyFill="1" applyBorder="1" applyAlignment="1" applyProtection="1">
      <alignment horizontal="center" vertical="center"/>
    </xf>
    <xf numFmtId="0" fontId="0" fillId="2" borderId="0" xfId="0" applyFont="1" applyFill="1" applyBorder="1" applyProtection="1"/>
    <xf numFmtId="0" fontId="0" fillId="0" borderId="0" xfId="0" applyFont="1" applyFill="1" applyProtection="1"/>
    <xf numFmtId="0" fontId="0" fillId="0" borderId="0" xfId="0" applyFont="1" applyAlignment="1" applyProtection="1">
      <alignment vertical="center"/>
    </xf>
    <xf numFmtId="0" fontId="1" fillId="9" borderId="0" xfId="0" applyFont="1" applyFill="1" applyAlignment="1" applyProtection="1">
      <alignment horizontal="left" vertical="center"/>
    </xf>
    <xf numFmtId="0" fontId="1" fillId="0" borderId="0" xfId="0" applyFont="1" applyFill="1" applyAlignment="1" applyProtection="1">
      <alignment horizontal="left" vertical="center"/>
    </xf>
    <xf numFmtId="0" fontId="0" fillId="0" borderId="0" xfId="0" applyFont="1" applyFill="1" applyAlignment="1" applyProtection="1">
      <alignment horizontal="center" vertical="center"/>
    </xf>
    <xf numFmtId="14" fontId="0" fillId="0" borderId="0" xfId="0" applyNumberFormat="1" applyFont="1" applyFill="1" applyAlignment="1" applyProtection="1">
      <alignment vertical="center"/>
    </xf>
    <xf numFmtId="0" fontId="0" fillId="0" borderId="0" xfId="0" applyFont="1" applyFill="1" applyAlignment="1" applyProtection="1">
      <alignment vertical="center"/>
    </xf>
    <xf numFmtId="0" fontId="2" fillId="0" borderId="249"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9" fillId="0" borderId="0" xfId="1" applyFont="1" applyAlignment="1" applyProtection="1">
      <alignment vertical="center"/>
    </xf>
    <xf numFmtId="0" fontId="0" fillId="0" borderId="0" xfId="0" applyFont="1" applyFill="1" applyAlignment="1" applyProtection="1">
      <alignment horizontal="left" vertical="center"/>
    </xf>
    <xf numFmtId="22" fontId="0" fillId="0" borderId="0" xfId="0" applyNumberFormat="1" applyFont="1" applyAlignment="1" applyProtection="1">
      <alignment vertical="center"/>
    </xf>
    <xf numFmtId="0" fontId="2" fillId="0" borderId="249" xfId="0" applyFont="1" applyFill="1" applyBorder="1" applyAlignment="1" applyProtection="1">
      <alignment vertical="center"/>
    </xf>
    <xf numFmtId="0" fontId="2" fillId="0" borderId="0" xfId="0" applyFont="1" applyFill="1" applyAlignment="1" applyProtection="1">
      <alignment vertical="center"/>
    </xf>
    <xf numFmtId="0" fontId="1" fillId="4" borderId="0" xfId="0" applyFont="1" applyFill="1" applyAlignment="1" applyProtection="1">
      <alignment horizontal="left" vertical="center"/>
    </xf>
    <xf numFmtId="0" fontId="2" fillId="0" borderId="242" xfId="0" applyFont="1" applyFill="1" applyBorder="1" applyAlignment="1" applyProtection="1">
      <alignment vertical="center"/>
    </xf>
    <xf numFmtId="0" fontId="2" fillId="0" borderId="0" xfId="0" applyFont="1" applyFill="1" applyBorder="1" applyAlignment="1" applyProtection="1">
      <alignment vertical="center"/>
    </xf>
    <xf numFmtId="0" fontId="53" fillId="6" borderId="0" xfId="0" applyFont="1" applyFill="1" applyAlignment="1" applyProtection="1">
      <alignment horizontal="left" vertical="center"/>
    </xf>
    <xf numFmtId="0" fontId="39" fillId="0" borderId="30" xfId="0" applyFont="1" applyFill="1" applyBorder="1" applyAlignment="1" applyProtection="1">
      <alignment horizontal="left" vertical="center"/>
    </xf>
    <xf numFmtId="0" fontId="39" fillId="0" borderId="0" xfId="0" applyFont="1" applyFill="1" applyBorder="1" applyAlignment="1" applyProtection="1">
      <alignment horizontal="left" vertical="center"/>
    </xf>
    <xf numFmtId="0" fontId="53" fillId="0" borderId="0" xfId="0" applyFont="1" applyFill="1" applyAlignment="1" applyProtection="1">
      <alignment horizontal="left" vertical="center"/>
    </xf>
    <xf numFmtId="0" fontId="2" fillId="0" borderId="30" xfId="0" applyFont="1" applyFill="1" applyBorder="1" applyAlignment="1" applyProtection="1">
      <alignment vertical="center"/>
    </xf>
    <xf numFmtId="0" fontId="53" fillId="10" borderId="0" xfId="0" applyFont="1" applyFill="1" applyAlignment="1" applyProtection="1">
      <alignment horizontal="left" vertical="center"/>
    </xf>
    <xf numFmtId="0" fontId="39" fillId="0" borderId="104" xfId="0" applyFont="1" applyFill="1" applyBorder="1" applyAlignment="1" applyProtection="1">
      <alignment horizontal="left" vertical="center"/>
    </xf>
    <xf numFmtId="0" fontId="2" fillId="0" borderId="104" xfId="0" applyFont="1" applyFill="1" applyBorder="1" applyAlignment="1" applyProtection="1">
      <alignment vertical="center"/>
    </xf>
    <xf numFmtId="0" fontId="53" fillId="13" borderId="0" xfId="0" applyFont="1" applyFill="1" applyAlignment="1" applyProtection="1">
      <alignment horizontal="left" vertical="center"/>
    </xf>
    <xf numFmtId="14" fontId="2" fillId="0" borderId="0" xfId="0" applyNumberFormat="1" applyFont="1" applyFill="1" applyAlignment="1" applyProtection="1">
      <alignment vertical="center"/>
    </xf>
    <xf numFmtId="0" fontId="56" fillId="0" borderId="245" xfId="0" applyFont="1" applyFill="1" applyBorder="1" applyAlignment="1" applyProtection="1">
      <alignment horizontal="left" vertical="center"/>
    </xf>
    <xf numFmtId="0" fontId="56" fillId="0" borderId="0" xfId="0" applyFont="1" applyFill="1" applyBorder="1" applyAlignment="1" applyProtection="1">
      <alignment horizontal="left" vertical="center"/>
    </xf>
    <xf numFmtId="0" fontId="2" fillId="0" borderId="245" xfId="0" applyFont="1" applyFill="1" applyBorder="1" applyAlignment="1" applyProtection="1">
      <alignment vertical="center"/>
    </xf>
    <xf numFmtId="0" fontId="56" fillId="0" borderId="250" xfId="0" applyFont="1" applyFill="1" applyBorder="1" applyAlignment="1" applyProtection="1">
      <alignment horizontal="left" vertical="center"/>
    </xf>
    <xf numFmtId="0" fontId="36" fillId="0" borderId="0" xfId="0" applyFont="1" applyFill="1" applyAlignment="1" applyProtection="1">
      <alignment horizontal="left" vertical="center"/>
    </xf>
    <xf numFmtId="0" fontId="2" fillId="0" borderId="250" xfId="0" applyFont="1" applyFill="1" applyBorder="1" applyAlignment="1" applyProtection="1">
      <alignment vertical="center"/>
    </xf>
    <xf numFmtId="0" fontId="53" fillId="20" borderId="0" xfId="0" applyFont="1" applyFill="1" applyAlignment="1" applyProtection="1">
      <alignment horizontal="left" vertical="center"/>
    </xf>
    <xf numFmtId="0" fontId="56" fillId="0" borderId="251" xfId="0" applyFont="1" applyFill="1" applyBorder="1" applyAlignment="1" applyProtection="1">
      <alignment horizontal="left" vertical="center"/>
    </xf>
    <xf numFmtId="0" fontId="2" fillId="0" borderId="251" xfId="0" applyFont="1" applyFill="1" applyBorder="1" applyAlignment="1" applyProtection="1">
      <alignment vertical="center"/>
    </xf>
    <xf numFmtId="0" fontId="53" fillId="30" borderId="0" xfId="0" applyFont="1" applyFill="1" applyAlignment="1" applyProtection="1">
      <alignment horizontal="left" vertical="center"/>
    </xf>
    <xf numFmtId="0" fontId="39" fillId="0" borderId="374" xfId="0" applyFont="1" applyFill="1" applyBorder="1" applyAlignment="1" applyProtection="1">
      <alignment horizontal="left" vertical="center"/>
    </xf>
    <xf numFmtId="0" fontId="2" fillId="0" borderId="374" xfId="0" applyFont="1" applyFill="1" applyBorder="1" applyAlignment="1" applyProtection="1">
      <alignment vertical="center"/>
    </xf>
    <xf numFmtId="0" fontId="2" fillId="0" borderId="0" xfId="0" applyFont="1" applyFill="1" applyAlignment="1" applyProtection="1">
      <alignment horizontal="center" vertical="center"/>
    </xf>
    <xf numFmtId="0" fontId="39" fillId="0" borderId="251" xfId="0" applyFont="1" applyFill="1" applyBorder="1" applyAlignment="1" applyProtection="1">
      <alignment horizontal="left" vertical="center"/>
    </xf>
    <xf numFmtId="0" fontId="53" fillId="19" borderId="0" xfId="0" applyFont="1" applyFill="1" applyAlignment="1" applyProtection="1">
      <alignment horizontal="left" vertical="center"/>
    </xf>
    <xf numFmtId="0" fontId="53" fillId="22" borderId="0"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53" fillId="23" borderId="0" xfId="0" applyFont="1" applyFill="1" applyAlignment="1" applyProtection="1">
      <alignment horizontal="left" vertical="center"/>
    </xf>
    <xf numFmtId="0" fontId="41" fillId="0" borderId="0" xfId="0" applyFont="1" applyFill="1" applyBorder="1" applyAlignment="1" applyProtection="1">
      <alignment horizontal="left" vertical="center"/>
    </xf>
    <xf numFmtId="0" fontId="2" fillId="0" borderId="0" xfId="0" applyFont="1" applyBorder="1" applyAlignment="1" applyProtection="1">
      <alignment vertical="center"/>
    </xf>
    <xf numFmtId="0" fontId="2" fillId="0" borderId="0" xfId="0" applyFont="1" applyAlignment="1" applyProtection="1">
      <alignment vertical="center"/>
    </xf>
    <xf numFmtId="0" fontId="37" fillId="8" borderId="0" xfId="0" applyFont="1" applyFill="1" applyAlignment="1" applyProtection="1">
      <alignment horizontal="center" vertical="center"/>
    </xf>
    <xf numFmtId="0" fontId="38" fillId="8" borderId="0" xfId="0" applyFont="1" applyFill="1" applyAlignment="1" applyProtection="1">
      <alignment vertical="center"/>
    </xf>
    <xf numFmtId="0" fontId="2" fillId="8" borderId="0" xfId="0" applyFont="1" applyFill="1" applyAlignment="1" applyProtection="1">
      <alignment vertical="center"/>
    </xf>
    <xf numFmtId="0" fontId="2" fillId="9" borderId="36" xfId="0" applyFont="1" applyFill="1" applyBorder="1" applyAlignment="1" applyProtection="1"/>
    <xf numFmtId="0" fontId="0" fillId="8" borderId="0" xfId="0" applyFont="1" applyFill="1" applyBorder="1" applyProtection="1"/>
    <xf numFmtId="0" fontId="5" fillId="3" borderId="0" xfId="1" applyFont="1" applyFill="1" applyAlignment="1" applyProtection="1">
      <alignment horizontal="center" vertical="center"/>
    </xf>
    <xf numFmtId="0" fontId="38" fillId="2" borderId="1" xfId="0" applyFont="1" applyFill="1" applyBorder="1" applyAlignment="1" applyProtection="1">
      <alignment horizontal="center" vertical="center"/>
    </xf>
    <xf numFmtId="0" fontId="1" fillId="0" borderId="0" xfId="0" applyFont="1" applyBorder="1" applyAlignment="1" applyProtection="1">
      <alignment vertical="center"/>
    </xf>
    <xf numFmtId="0" fontId="2" fillId="26" borderId="335" xfId="0" applyFont="1" applyFill="1" applyBorder="1" applyAlignment="1" applyProtection="1">
      <alignment vertical="center"/>
    </xf>
    <xf numFmtId="0" fontId="26" fillId="0" borderId="0" xfId="0" applyFont="1" applyAlignment="1" applyProtection="1">
      <alignment horizontal="center" vertical="center"/>
    </xf>
    <xf numFmtId="0" fontId="26" fillId="0" borderId="0" xfId="0" applyFont="1" applyAlignment="1" applyProtection="1">
      <alignment horizontal="left" vertical="center"/>
    </xf>
    <xf numFmtId="0" fontId="26" fillId="0" borderId="0" xfId="0" applyFont="1" applyAlignment="1" applyProtection="1">
      <alignment horizontal="center"/>
    </xf>
    <xf numFmtId="0" fontId="26" fillId="0" borderId="0" xfId="0" applyFont="1" applyAlignment="1" applyProtection="1">
      <alignment horizontal="left"/>
    </xf>
    <xf numFmtId="0" fontId="37" fillId="0" borderId="0" xfId="0" applyFont="1" applyAlignment="1" applyProtection="1">
      <alignment horizontal="center" vertical="center"/>
    </xf>
    <xf numFmtId="0" fontId="38" fillId="0" borderId="0" xfId="0" applyFont="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center" vertical="center" wrapText="1"/>
    </xf>
    <xf numFmtId="0" fontId="14" fillId="0" borderId="0" xfId="0" applyFont="1" applyAlignment="1" applyProtection="1">
      <alignment horizontal="center" vertical="center" wrapText="1"/>
    </xf>
    <xf numFmtId="0" fontId="0" fillId="0" borderId="0" xfId="0" applyFont="1" applyAlignment="1" applyProtection="1"/>
    <xf numFmtId="0" fontId="26" fillId="8" borderId="0" xfId="0" applyFont="1" applyFill="1" applyBorder="1" applyAlignment="1" applyProtection="1">
      <alignment vertical="top" wrapText="1"/>
      <protection locked="0"/>
    </xf>
    <xf numFmtId="0" fontId="26" fillId="0" borderId="0" xfId="0" applyFont="1" applyFill="1" applyAlignment="1" applyProtection="1">
      <alignment horizontal="center" vertical="center" wrapText="1"/>
    </xf>
    <xf numFmtId="0" fontId="26" fillId="0" borderId="0" xfId="0" applyFont="1" applyAlignment="1" applyProtection="1">
      <alignment horizontal="center" vertical="center" wrapText="1"/>
    </xf>
    <xf numFmtId="0" fontId="26" fillId="8" borderId="0" xfId="0" applyFont="1" applyFill="1" applyBorder="1" applyAlignment="1" applyProtection="1">
      <alignment vertical="top" wrapText="1"/>
    </xf>
    <xf numFmtId="0" fontId="26" fillId="8" borderId="0" xfId="0" applyFont="1" applyFill="1" applyBorder="1" applyAlignment="1" applyProtection="1">
      <alignment vertical="top"/>
    </xf>
    <xf numFmtId="0" fontId="0" fillId="0" borderId="0" xfId="0" applyFont="1" applyAlignment="1" applyProtection="1">
      <alignment horizontal="left"/>
    </xf>
    <xf numFmtId="0" fontId="0" fillId="0" borderId="0" xfId="0" applyFont="1" applyBorder="1" applyAlignment="1" applyProtection="1">
      <alignment horizontal="center"/>
    </xf>
    <xf numFmtId="0" fontId="1" fillId="0" borderId="30" xfId="0" applyFont="1" applyFill="1" applyBorder="1" applyAlignment="1" applyProtection="1">
      <alignment vertical="top"/>
    </xf>
    <xf numFmtId="0" fontId="0" fillId="0" borderId="30" xfId="0" applyFont="1" applyFill="1" applyBorder="1" applyAlignment="1" applyProtection="1">
      <alignment vertical="top" wrapText="1"/>
    </xf>
    <xf numFmtId="0" fontId="0" fillId="0" borderId="0" xfId="0" applyFont="1" applyFill="1" applyBorder="1" applyAlignment="1" applyProtection="1">
      <alignment vertical="top" wrapText="1"/>
    </xf>
    <xf numFmtId="0" fontId="0" fillId="0" borderId="0" xfId="0" applyFont="1" applyFill="1" applyBorder="1" applyAlignment="1" applyProtection="1">
      <alignment horizontal="left" vertical="center" wrapText="1"/>
    </xf>
    <xf numFmtId="0" fontId="69"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left" vertical="top"/>
    </xf>
    <xf numFmtId="0" fontId="1" fillId="0" borderId="30" xfId="0" applyFont="1" applyFill="1" applyBorder="1" applyAlignment="1" applyProtection="1">
      <alignment horizontal="left" vertical="top" wrapText="1"/>
    </xf>
    <xf numFmtId="0" fontId="1" fillId="0" borderId="0" xfId="0" applyFont="1" applyFill="1" applyBorder="1" applyAlignment="1" applyProtection="1">
      <alignment horizontal="left" vertical="top" wrapText="1"/>
    </xf>
    <xf numFmtId="0" fontId="5" fillId="3" borderId="0" xfId="1" applyFill="1" applyAlignment="1" applyProtection="1">
      <alignment horizontal="center" vertical="center"/>
    </xf>
    <xf numFmtId="0" fontId="26" fillId="0" borderId="0" xfId="0" applyFont="1" applyAlignment="1" applyProtection="1">
      <alignment horizontal="left" vertical="center" wrapText="1"/>
    </xf>
    <xf numFmtId="0" fontId="26" fillId="0" borderId="0" xfId="0" applyFont="1" applyBorder="1" applyAlignment="1" applyProtection="1">
      <alignment horizontal="left" vertical="center" wrapText="1"/>
    </xf>
    <xf numFmtId="0" fontId="26" fillId="0" borderId="0" xfId="0" applyFont="1" applyBorder="1" applyAlignment="1" applyProtection="1">
      <alignment vertical="center"/>
    </xf>
    <xf numFmtId="0" fontId="0" fillId="0" borderId="698" xfId="6" applyFont="1" applyBorder="1" applyProtection="1"/>
    <xf numFmtId="0" fontId="0" fillId="0" borderId="695" xfId="6" applyFont="1" applyFill="1" applyBorder="1" applyProtection="1"/>
    <xf numFmtId="0" fontId="26" fillId="0" borderId="696" xfId="0" applyFont="1" applyFill="1" applyBorder="1" applyAlignment="1" applyProtection="1">
      <alignment vertical="center"/>
    </xf>
    <xf numFmtId="9" fontId="17" fillId="0" borderId="697" xfId="14" applyFont="1" applyFill="1" applyBorder="1" applyAlignment="1" applyProtection="1">
      <alignment horizontal="center"/>
    </xf>
    <xf numFmtId="9" fontId="0" fillId="26" borderId="695" xfId="6" applyNumberFormat="1" applyFont="1" applyFill="1" applyBorder="1" applyAlignment="1" applyProtection="1">
      <alignment horizontal="left"/>
    </xf>
    <xf numFmtId="0" fontId="26" fillId="26" borderId="696" xfId="0" applyFont="1" applyFill="1" applyBorder="1" applyAlignment="1" applyProtection="1">
      <alignment horizontal="left" vertical="center" wrapText="1"/>
    </xf>
    <xf numFmtId="0" fontId="26" fillId="26" borderId="697" xfId="0" applyFont="1" applyFill="1" applyBorder="1" applyAlignment="1" applyProtection="1">
      <alignment horizontal="left" vertical="center" wrapText="1"/>
    </xf>
    <xf numFmtId="0" fontId="0" fillId="0" borderId="698" xfId="6" applyFont="1" applyFill="1" applyBorder="1" applyProtection="1"/>
    <xf numFmtId="0" fontId="26" fillId="0" borderId="0" xfId="0" applyFont="1" applyFill="1" applyBorder="1" applyAlignment="1" applyProtection="1">
      <alignment vertical="center"/>
    </xf>
    <xf numFmtId="9" fontId="17" fillId="0" borderId="699" xfId="14" applyFont="1" applyFill="1" applyBorder="1" applyAlignment="1" applyProtection="1">
      <alignment horizontal="center"/>
    </xf>
    <xf numFmtId="0" fontId="0" fillId="26" borderId="698" xfId="6" applyFont="1" applyFill="1" applyBorder="1" applyProtection="1"/>
    <xf numFmtId="0" fontId="26" fillId="26" borderId="0" xfId="0" applyFont="1" applyFill="1" applyBorder="1" applyAlignment="1" applyProtection="1">
      <alignment horizontal="left" vertical="center" wrapText="1"/>
    </xf>
    <xf numFmtId="0" fontId="26" fillId="26" borderId="699" xfId="0" applyFont="1" applyFill="1" applyBorder="1" applyAlignment="1" applyProtection="1">
      <alignment horizontal="left" vertical="center" wrapText="1"/>
    </xf>
    <xf numFmtId="9" fontId="11" fillId="0" borderId="0" xfId="6" applyNumberFormat="1" applyFont="1" applyFill="1" applyBorder="1" applyAlignment="1" applyProtection="1">
      <alignment horizontal="center"/>
    </xf>
    <xf numFmtId="0" fontId="26" fillId="0" borderId="698" xfId="0" applyFont="1" applyBorder="1" applyAlignment="1" applyProtection="1">
      <alignment vertical="center"/>
    </xf>
    <xf numFmtId="9" fontId="11" fillId="0" borderId="699" xfId="6" applyNumberFormat="1" applyFont="1" applyFill="1" applyBorder="1" applyAlignment="1" applyProtection="1">
      <alignment horizontal="center"/>
    </xf>
    <xf numFmtId="0" fontId="26" fillId="26" borderId="698" xfId="0" applyFont="1" applyFill="1" applyBorder="1" applyAlignment="1" applyProtection="1">
      <alignment vertical="center"/>
    </xf>
    <xf numFmtId="0" fontId="0" fillId="0" borderId="700" xfId="6" applyFont="1" applyFill="1" applyBorder="1" applyProtection="1"/>
    <xf numFmtId="0" fontId="26" fillId="0" borderId="570" xfId="0" applyFont="1" applyFill="1" applyBorder="1" applyAlignment="1" applyProtection="1">
      <alignment vertical="center"/>
    </xf>
    <xf numFmtId="9" fontId="11" fillId="0" borderId="591" xfId="6" applyNumberFormat="1" applyFont="1" applyFill="1" applyBorder="1" applyAlignment="1" applyProtection="1">
      <alignment horizontal="center"/>
    </xf>
    <xf numFmtId="9" fontId="17" fillId="26" borderId="700" xfId="14" applyFont="1" applyFill="1" applyBorder="1" applyAlignment="1" applyProtection="1">
      <alignment horizontal="left"/>
    </xf>
    <xf numFmtId="0" fontId="26" fillId="26" borderId="570" xfId="0" applyFont="1" applyFill="1" applyBorder="1" applyAlignment="1" applyProtection="1">
      <alignment horizontal="left" vertical="center" wrapText="1"/>
    </xf>
    <xf numFmtId="0" fontId="26" fillId="26" borderId="591" xfId="0" applyFont="1" applyFill="1" applyBorder="1" applyAlignment="1" applyProtection="1">
      <alignment horizontal="left" vertical="center" wrapText="1"/>
    </xf>
    <xf numFmtId="0" fontId="16" fillId="7" borderId="539" xfId="6" applyFont="1" applyFill="1" applyBorder="1" applyAlignment="1" applyProtection="1">
      <alignment horizontal="center" vertical="center"/>
    </xf>
    <xf numFmtId="0" fontId="11" fillId="0" borderId="0" xfId="6" applyFont="1" applyBorder="1" applyAlignment="1" applyProtection="1">
      <alignment horizontal="center" vertical="center"/>
    </xf>
    <xf numFmtId="0" fontId="11" fillId="0" borderId="0" xfId="6" applyFont="1" applyAlignment="1" applyProtection="1">
      <alignment horizontal="center" vertical="center"/>
    </xf>
    <xf numFmtId="9" fontId="11" fillId="0" borderId="0" xfId="14" applyFont="1" applyBorder="1" applyProtection="1"/>
    <xf numFmtId="9" fontId="17" fillId="0" borderId="532" xfId="14" applyFont="1" applyFill="1" applyBorder="1" applyAlignment="1" applyProtection="1">
      <alignment horizontal="center"/>
    </xf>
    <xf numFmtId="9" fontId="17" fillId="0" borderId="533" xfId="14" applyFont="1" applyFill="1" applyBorder="1" applyAlignment="1" applyProtection="1">
      <alignment horizontal="center"/>
    </xf>
    <xf numFmtId="0" fontId="11" fillId="0" borderId="0" xfId="6" applyFont="1" applyProtection="1"/>
    <xf numFmtId="0" fontId="11" fillId="0" borderId="0" xfId="6" applyFont="1" applyBorder="1" applyProtection="1"/>
    <xf numFmtId="180" fontId="69" fillId="0" borderId="533" xfId="6" applyNumberFormat="1" applyFont="1" applyFill="1" applyBorder="1" applyAlignment="1" applyProtection="1">
      <alignment horizontal="center"/>
    </xf>
    <xf numFmtId="3" fontId="11" fillId="0" borderId="0" xfId="6" applyNumberFormat="1" applyFont="1" applyFill="1" applyBorder="1" applyAlignment="1" applyProtection="1">
      <alignment horizontal="center"/>
    </xf>
    <xf numFmtId="9" fontId="11" fillId="0" borderId="533" xfId="14" applyFont="1" applyFill="1" applyBorder="1" applyAlignment="1" applyProtection="1">
      <alignment horizontal="center"/>
    </xf>
    <xf numFmtId="0" fontId="69" fillId="0" borderId="536" xfId="6" applyFont="1" applyBorder="1" applyAlignment="1" applyProtection="1">
      <alignment horizontal="center"/>
    </xf>
    <xf numFmtId="3" fontId="11" fillId="0" borderId="535" xfId="6" applyNumberFormat="1" applyFont="1" applyFill="1" applyBorder="1" applyAlignment="1" applyProtection="1">
      <alignment horizontal="center"/>
    </xf>
    <xf numFmtId="9" fontId="11" fillId="0" borderId="536" xfId="14" applyFont="1" applyFill="1" applyBorder="1" applyAlignment="1" applyProtection="1">
      <alignment horizontal="center"/>
    </xf>
    <xf numFmtId="0" fontId="11" fillId="0" borderId="0" xfId="6" applyFont="1" applyFill="1" applyBorder="1" applyProtection="1"/>
    <xf numFmtId="0" fontId="69" fillId="0" borderId="0" xfId="6" applyFont="1" applyFill="1" applyBorder="1" applyAlignment="1" applyProtection="1">
      <alignment horizontal="center"/>
    </xf>
    <xf numFmtId="9" fontId="69" fillId="0" borderId="0" xfId="14" applyFont="1" applyFill="1" applyBorder="1" applyAlignment="1" applyProtection="1">
      <alignment horizontal="center"/>
    </xf>
    <xf numFmtId="3" fontId="69" fillId="0" borderId="0" xfId="6" applyNumberFormat="1" applyFont="1" applyFill="1" applyBorder="1" applyAlignment="1" applyProtection="1">
      <alignment horizontal="center"/>
    </xf>
    <xf numFmtId="9" fontId="11" fillId="0" borderId="0" xfId="14" applyFont="1" applyFill="1" applyBorder="1" applyAlignment="1" applyProtection="1">
      <alignment horizontal="center"/>
    </xf>
    <xf numFmtId="0" fontId="16" fillId="7" borderId="702" xfId="6" applyFont="1" applyFill="1" applyBorder="1" applyAlignment="1" applyProtection="1">
      <alignment horizontal="center" vertical="center"/>
    </xf>
    <xf numFmtId="0" fontId="16" fillId="7" borderId="703" xfId="6" applyFont="1" applyFill="1" applyBorder="1" applyAlignment="1" applyProtection="1">
      <alignment horizontal="center" vertical="center"/>
    </xf>
    <xf numFmtId="9" fontId="97" fillId="0" borderId="0" xfId="14" applyFont="1" applyFill="1" applyBorder="1" applyAlignment="1" applyProtection="1">
      <alignment horizontal="center"/>
    </xf>
    <xf numFmtId="9" fontId="97" fillId="0" borderId="0" xfId="14" applyFont="1" applyBorder="1" applyAlignment="1" applyProtection="1">
      <alignment horizontal="center"/>
    </xf>
    <xf numFmtId="9" fontId="100" fillId="0" borderId="533" xfId="14" applyFont="1" applyFill="1" applyBorder="1" applyAlignment="1" applyProtection="1">
      <alignment horizontal="center"/>
    </xf>
    <xf numFmtId="0" fontId="11" fillId="0" borderId="0" xfId="6" applyFont="1" applyFill="1" applyProtection="1"/>
    <xf numFmtId="0" fontId="0" fillId="0" borderId="0" xfId="6" applyFont="1" applyFill="1" applyBorder="1" applyProtection="1"/>
    <xf numFmtId="9" fontId="0" fillId="0" borderId="0" xfId="6" applyNumberFormat="1" applyFont="1" applyFill="1" applyBorder="1" applyAlignment="1" applyProtection="1">
      <alignment horizontal="left"/>
    </xf>
    <xf numFmtId="9" fontId="17" fillId="0" borderId="0" xfId="14" applyFont="1" applyFill="1" applyBorder="1" applyAlignment="1" applyProtection="1">
      <alignment horizontal="left"/>
    </xf>
    <xf numFmtId="3" fontId="97" fillId="0" borderId="0" xfId="6" applyNumberFormat="1" applyFont="1" applyFill="1" applyBorder="1" applyAlignment="1" applyProtection="1">
      <alignment horizontal="center"/>
    </xf>
    <xf numFmtId="0" fontId="97" fillId="0" borderId="0" xfId="6" applyFont="1" applyBorder="1" applyAlignment="1" applyProtection="1">
      <alignment horizontal="right"/>
    </xf>
    <xf numFmtId="3" fontId="97" fillId="0" borderId="0" xfId="6" applyNumberFormat="1" applyFont="1" applyBorder="1" applyAlignment="1" applyProtection="1">
      <alignment horizontal="center"/>
    </xf>
    <xf numFmtId="0" fontId="16" fillId="7" borderId="530" xfId="6" applyFont="1" applyFill="1" applyBorder="1" applyAlignment="1" applyProtection="1">
      <alignment horizontal="center" vertical="center"/>
    </xf>
    <xf numFmtId="0" fontId="11" fillId="0" borderId="0" xfId="6" applyFont="1" applyAlignment="1" applyProtection="1">
      <alignment vertical="center"/>
    </xf>
    <xf numFmtId="9" fontId="11" fillId="0" borderId="0" xfId="14" applyFont="1" applyProtection="1"/>
    <xf numFmtId="182" fontId="99" fillId="0" borderId="533" xfId="6" applyNumberFormat="1" applyFont="1" applyFill="1" applyBorder="1" applyAlignment="1" applyProtection="1">
      <alignment horizontal="center"/>
    </xf>
    <xf numFmtId="0" fontId="26" fillId="0" borderId="0" xfId="6" applyFont="1" applyFill="1" applyProtection="1"/>
    <xf numFmtId="9" fontId="99" fillId="0" borderId="535" xfId="6" applyNumberFormat="1" applyFont="1" applyBorder="1" applyAlignment="1" applyProtection="1">
      <alignment horizontal="center"/>
    </xf>
    <xf numFmtId="9" fontId="99" fillId="0" borderId="536" xfId="6" applyNumberFormat="1" applyFont="1" applyFill="1" applyBorder="1" applyAlignment="1" applyProtection="1">
      <alignment horizontal="center"/>
    </xf>
    <xf numFmtId="0" fontId="26" fillId="0" borderId="0" xfId="6" applyFont="1" applyProtection="1"/>
    <xf numFmtId="0" fontId="97" fillId="0" borderId="536" xfId="6" applyFont="1" applyFill="1" applyBorder="1" applyAlignment="1" applyProtection="1">
      <alignment horizontal="center"/>
    </xf>
    <xf numFmtId="9" fontId="97" fillId="0" borderId="536" xfId="14" applyFont="1" applyFill="1" applyBorder="1" applyAlignment="1" applyProtection="1">
      <alignment horizontal="center"/>
    </xf>
    <xf numFmtId="2" fontId="11" fillId="0" borderId="0" xfId="6" applyNumberFormat="1" applyFont="1" applyBorder="1" applyAlignment="1" applyProtection="1">
      <alignment horizontal="center" vertical="center"/>
    </xf>
    <xf numFmtId="0" fontId="97" fillId="0" borderId="0" xfId="6" applyFont="1" applyBorder="1" applyProtection="1"/>
    <xf numFmtId="174" fontId="97" fillId="0" borderId="0" xfId="6" applyNumberFormat="1" applyFont="1" applyFill="1" applyBorder="1" applyAlignment="1" applyProtection="1">
      <alignment horizontal="center"/>
    </xf>
    <xf numFmtId="1" fontId="97" fillId="0" borderId="0" xfId="6" applyNumberFormat="1" applyFont="1" applyFill="1" applyBorder="1" applyAlignment="1" applyProtection="1">
      <alignment horizontal="center"/>
    </xf>
    <xf numFmtId="0" fontId="22" fillId="0" borderId="0" xfId="2" applyFont="1" applyProtection="1"/>
    <xf numFmtId="0" fontId="95" fillId="41" borderId="421" xfId="6" applyFont="1" applyFill="1" applyBorder="1" applyAlignment="1" applyProtection="1">
      <alignment horizontal="left" vertical="center" wrapText="1"/>
    </xf>
    <xf numFmtId="0" fontId="16" fillId="0" borderId="422" xfId="6" applyFont="1" applyBorder="1" applyAlignment="1" applyProtection="1">
      <alignment horizontal="center" vertical="center"/>
    </xf>
    <xf numFmtId="0" fontId="11" fillId="0" borderId="422" xfId="6" applyFont="1" applyBorder="1" applyAlignment="1" applyProtection="1">
      <alignment horizontal="center" vertical="center"/>
    </xf>
    <xf numFmtId="0" fontId="96" fillId="7" borderId="168" xfId="2" applyFont="1" applyFill="1" applyBorder="1" applyAlignment="1" applyProtection="1">
      <alignment vertical="center" wrapText="1"/>
    </xf>
    <xf numFmtId="0" fontId="17" fillId="0" borderId="424" xfId="6" applyFont="1" applyFill="1" applyBorder="1" applyAlignment="1" applyProtection="1">
      <alignment horizontal="center"/>
    </xf>
    <xf numFmtId="2" fontId="17" fillId="0" borderId="424" xfId="6" applyNumberFormat="1" applyFont="1" applyFill="1" applyBorder="1" applyAlignment="1" applyProtection="1">
      <alignment horizontal="center"/>
    </xf>
    <xf numFmtId="3" fontId="97" fillId="0" borderId="424" xfId="6" applyNumberFormat="1" applyFont="1" applyBorder="1" applyAlignment="1" applyProtection="1">
      <alignment horizontal="center"/>
    </xf>
    <xf numFmtId="9" fontId="11" fillId="0" borderId="0" xfId="14" applyFont="1" applyFill="1" applyAlignment="1" applyProtection="1">
      <alignment horizontal="center"/>
    </xf>
    <xf numFmtId="0" fontId="11" fillId="0" borderId="0" xfId="6" applyFont="1" applyAlignment="1" applyProtection="1">
      <alignment horizontal="left" vertical="center"/>
    </xf>
    <xf numFmtId="0" fontId="11" fillId="0" borderId="425" xfId="6" applyFont="1" applyBorder="1" applyAlignment="1" applyProtection="1">
      <alignment horizontal="left" vertical="center"/>
    </xf>
    <xf numFmtId="3" fontId="97" fillId="0" borderId="425" xfId="6" applyNumberFormat="1" applyFont="1" applyBorder="1" applyAlignment="1" applyProtection="1">
      <alignment horizontal="center" vertical="center"/>
    </xf>
    <xf numFmtId="9" fontId="11" fillId="0" borderId="0" xfId="14" applyFont="1" applyFill="1" applyAlignment="1" applyProtection="1">
      <alignment horizontal="center" vertical="center"/>
    </xf>
    <xf numFmtId="0" fontId="11" fillId="0" borderId="0" xfId="6" applyFont="1" applyFill="1" applyAlignment="1" applyProtection="1">
      <alignment wrapText="1"/>
    </xf>
    <xf numFmtId="0" fontId="11" fillId="0" borderId="0" xfId="6" applyFont="1" applyAlignment="1" applyProtection="1">
      <alignment wrapText="1"/>
    </xf>
    <xf numFmtId="0" fontId="11" fillId="0" borderId="425" xfId="6" applyFont="1" applyBorder="1" applyAlignment="1" applyProtection="1">
      <alignment horizontal="center"/>
    </xf>
    <xf numFmtId="3" fontId="97" fillId="0" borderId="425" xfId="6" applyNumberFormat="1" applyFont="1" applyBorder="1" applyAlignment="1" applyProtection="1">
      <alignment horizontal="center"/>
    </xf>
    <xf numFmtId="0" fontId="96" fillId="7" borderId="168" xfId="2" applyFont="1" applyFill="1" applyBorder="1" applyAlignment="1" applyProtection="1">
      <alignment vertical="center"/>
    </xf>
    <xf numFmtId="0" fontId="11" fillId="0" borderId="0" xfId="6" applyFont="1" applyFill="1" applyAlignment="1" applyProtection="1">
      <alignment horizontal="center"/>
    </xf>
    <xf numFmtId="0" fontId="11" fillId="0" borderId="0" xfId="6" applyFont="1" applyFill="1" applyAlignment="1" applyProtection="1">
      <alignment horizontal="left" vertical="center" wrapText="1"/>
    </xf>
    <xf numFmtId="0" fontId="11" fillId="0" borderId="0" xfId="6" applyFont="1" applyAlignment="1" applyProtection="1">
      <alignment horizontal="left" vertical="center" wrapText="1"/>
    </xf>
    <xf numFmtId="0" fontId="96" fillId="0" borderId="168" xfId="2" applyFont="1" applyBorder="1" applyAlignment="1" applyProtection="1">
      <alignment horizontal="left" vertical="center"/>
    </xf>
    <xf numFmtId="0" fontId="11" fillId="0" borderId="428" xfId="6" applyFont="1" applyBorder="1" applyAlignment="1" applyProtection="1">
      <alignment horizontal="center"/>
    </xf>
    <xf numFmtId="3" fontId="11" fillId="0" borderId="428" xfId="6" applyNumberFormat="1" applyFont="1" applyFill="1" applyBorder="1" applyAlignment="1" applyProtection="1">
      <alignment horizontal="center"/>
    </xf>
    <xf numFmtId="3" fontId="97" fillId="0" borderId="428" xfId="6" applyNumberFormat="1" applyFont="1" applyBorder="1" applyAlignment="1" applyProtection="1">
      <alignment horizontal="center"/>
    </xf>
    <xf numFmtId="0" fontId="16" fillId="0" borderId="430" xfId="6" applyFont="1" applyBorder="1" applyProtection="1"/>
    <xf numFmtId="0" fontId="11" fillId="0" borderId="428" xfId="6" applyFont="1" applyFill="1" applyBorder="1" applyAlignment="1" applyProtection="1">
      <alignment horizontal="center"/>
    </xf>
    <xf numFmtId="3" fontId="97" fillId="0" borderId="429" xfId="6" applyNumberFormat="1" applyFont="1" applyBorder="1" applyAlignment="1" applyProtection="1">
      <alignment horizontal="center"/>
    </xf>
    <xf numFmtId="0" fontId="97" fillId="0" borderId="431" xfId="6" applyFont="1" applyBorder="1" applyProtection="1"/>
    <xf numFmtId="0" fontId="97" fillId="0" borderId="422" xfId="6" applyFont="1" applyFill="1" applyBorder="1" applyAlignment="1" applyProtection="1">
      <alignment horizontal="center"/>
    </xf>
    <xf numFmtId="2" fontId="97" fillId="0" borderId="422" xfId="6" applyNumberFormat="1" applyFont="1" applyFill="1" applyBorder="1" applyAlignment="1" applyProtection="1">
      <alignment horizontal="center"/>
    </xf>
    <xf numFmtId="3" fontId="11" fillId="0" borderId="422" xfId="6" applyNumberFormat="1" applyFont="1" applyBorder="1" applyAlignment="1" applyProtection="1">
      <alignment horizontal="center" vertical="center"/>
    </xf>
    <xf numFmtId="4" fontId="11" fillId="0" borderId="425" xfId="6" applyNumberFormat="1" applyFont="1" applyFill="1" applyBorder="1" applyAlignment="1" applyProtection="1">
      <alignment horizontal="center"/>
    </xf>
    <xf numFmtId="178" fontId="11" fillId="0" borderId="425" xfId="6" applyNumberFormat="1" applyFont="1" applyFill="1" applyBorder="1" applyAlignment="1" applyProtection="1">
      <alignment horizontal="center"/>
    </xf>
    <xf numFmtId="0" fontId="97" fillId="0" borderId="431" xfId="6" applyFont="1" applyBorder="1" applyAlignment="1" applyProtection="1">
      <alignment horizontal="right"/>
    </xf>
    <xf numFmtId="0" fontId="1" fillId="0" borderId="0" xfId="6" applyFont="1" applyProtection="1"/>
    <xf numFmtId="0" fontId="0" fillId="0" borderId="0" xfId="6" applyFont="1" applyProtection="1"/>
    <xf numFmtId="0" fontId="17" fillId="0" borderId="0" xfId="6" applyFont="1" applyProtection="1"/>
    <xf numFmtId="0" fontId="11" fillId="0" borderId="0" xfId="6" applyFont="1" applyBorder="1" applyAlignment="1" applyProtection="1"/>
    <xf numFmtId="0" fontId="1" fillId="0" borderId="533" xfId="6" applyFont="1" applyBorder="1" applyAlignment="1" applyProtection="1">
      <alignment horizontal="center" vertical="center"/>
    </xf>
    <xf numFmtId="0" fontId="1" fillId="0" borderId="589" xfId="6" applyFont="1" applyBorder="1" applyAlignment="1" applyProtection="1">
      <alignment horizontal="center" vertical="center"/>
    </xf>
    <xf numFmtId="0" fontId="1" fillId="0" borderId="532" xfId="6" applyFont="1" applyBorder="1" applyAlignment="1" applyProtection="1">
      <alignment horizontal="center" vertical="center"/>
    </xf>
    <xf numFmtId="182" fontId="11" fillId="0" borderId="533" xfId="6" applyNumberFormat="1" applyFont="1" applyBorder="1" applyAlignment="1" applyProtection="1">
      <alignment horizontal="center"/>
    </xf>
    <xf numFmtId="182" fontId="11" fillId="0" borderId="560" xfId="6" applyNumberFormat="1" applyFont="1" applyBorder="1" applyAlignment="1" applyProtection="1">
      <alignment horizontal="center"/>
    </xf>
    <xf numFmtId="182" fontId="11" fillId="0" borderId="589" xfId="6" applyNumberFormat="1" applyFont="1" applyBorder="1" applyAlignment="1" applyProtection="1">
      <alignment horizontal="center"/>
    </xf>
    <xf numFmtId="0" fontId="11" fillId="0" borderId="0" xfId="6" applyFont="1" applyBorder="1" applyAlignment="1" applyProtection="1">
      <alignment horizontal="center"/>
    </xf>
    <xf numFmtId="9" fontId="11" fillId="0" borderId="532" xfId="6" applyNumberFormat="1" applyFont="1" applyBorder="1" applyAlignment="1" applyProtection="1">
      <alignment horizontal="center"/>
    </xf>
    <xf numFmtId="9" fontId="11" fillId="0" borderId="533" xfId="3" applyFont="1" applyBorder="1" applyAlignment="1" applyProtection="1">
      <alignment horizontal="center"/>
    </xf>
    <xf numFmtId="9" fontId="11" fillId="0" borderId="560" xfId="3" applyFont="1" applyBorder="1" applyAlignment="1" applyProtection="1">
      <alignment horizontal="center"/>
    </xf>
    <xf numFmtId="9" fontId="11" fillId="0" borderId="589" xfId="3" applyFont="1" applyBorder="1" applyAlignment="1" applyProtection="1">
      <alignment horizontal="center"/>
    </xf>
    <xf numFmtId="0" fontId="1" fillId="0" borderId="587" xfId="6" applyFont="1" applyBorder="1" applyAlignment="1" applyProtection="1">
      <alignment horizontal="center"/>
    </xf>
    <xf numFmtId="0" fontId="1" fillId="0" borderId="590" xfId="6" applyFont="1" applyBorder="1" applyAlignment="1" applyProtection="1">
      <alignment horizontal="center"/>
    </xf>
    <xf numFmtId="9" fontId="11" fillId="0" borderId="529" xfId="3" applyFont="1" applyBorder="1" applyAlignment="1" applyProtection="1">
      <alignment horizontal="center"/>
    </xf>
    <xf numFmtId="9" fontId="11" fillId="0" borderId="530" xfId="3" applyFont="1" applyBorder="1" applyAlignment="1" applyProtection="1">
      <alignment horizontal="center"/>
    </xf>
    <xf numFmtId="9" fontId="11" fillId="0" borderId="587" xfId="3" applyFont="1" applyBorder="1" applyAlignment="1" applyProtection="1">
      <alignment horizontal="center"/>
    </xf>
    <xf numFmtId="9" fontId="11" fillId="0" borderId="590" xfId="3" applyFont="1" applyBorder="1" applyAlignment="1" applyProtection="1">
      <alignment horizontal="center"/>
    </xf>
    <xf numFmtId="9" fontId="11" fillId="0" borderId="536" xfId="3" applyFont="1" applyBorder="1" applyAlignment="1" applyProtection="1">
      <alignment horizontal="center"/>
    </xf>
    <xf numFmtId="9" fontId="11" fillId="0" borderId="588" xfId="3" applyFont="1" applyBorder="1" applyAlignment="1" applyProtection="1">
      <alignment horizontal="center"/>
    </xf>
    <xf numFmtId="0" fontId="11" fillId="0" borderId="585" xfId="6" applyFont="1" applyBorder="1" applyAlignment="1" applyProtection="1">
      <alignment horizontal="center"/>
    </xf>
    <xf numFmtId="0" fontId="11" fillId="0" borderId="588" xfId="6" applyFont="1" applyBorder="1" applyAlignment="1" applyProtection="1">
      <alignment horizontal="center"/>
    </xf>
    <xf numFmtId="180" fontId="11" fillId="26" borderId="533" xfId="6" applyNumberFormat="1" applyFont="1" applyFill="1" applyBorder="1" applyAlignment="1" applyProtection="1">
      <alignment horizontal="center"/>
      <protection locked="0"/>
    </xf>
    <xf numFmtId="0" fontId="0" fillId="0" borderId="0" xfId="6" applyFont="1" applyAlignment="1" applyProtection="1">
      <alignment horizontal="center" vertical="center"/>
    </xf>
    <xf numFmtId="0" fontId="0" fillId="0" borderId="0" xfId="6" applyFont="1" applyFill="1" applyAlignment="1" applyProtection="1">
      <alignment horizontal="center" vertical="center"/>
    </xf>
    <xf numFmtId="182" fontId="17" fillId="0" borderId="533" xfId="6" applyNumberFormat="1" applyFont="1" applyBorder="1" applyAlignment="1" applyProtection="1">
      <alignment horizontal="center" vertical="center" wrapText="1"/>
    </xf>
    <xf numFmtId="180" fontId="100" fillId="0" borderId="536" xfId="6" applyNumberFormat="1" applyFont="1" applyBorder="1" applyAlignment="1" applyProtection="1">
      <alignment horizontal="center" vertical="center" wrapText="1"/>
    </xf>
    <xf numFmtId="180" fontId="102" fillId="0" borderId="536" xfId="66" applyNumberFormat="1" applyFont="1" applyBorder="1" applyAlignment="1" applyProtection="1">
      <alignment horizontal="center" vertical="center" wrapText="1"/>
    </xf>
    <xf numFmtId="180" fontId="102" fillId="0" borderId="588" xfId="66" applyNumberFormat="1" applyFont="1" applyBorder="1" applyAlignment="1" applyProtection="1">
      <alignment horizontal="center" vertical="center" wrapText="1"/>
    </xf>
    <xf numFmtId="180" fontId="100" fillId="0" borderId="0" xfId="6" applyNumberFormat="1" applyFont="1" applyBorder="1" applyAlignment="1" applyProtection="1">
      <alignment horizontal="center"/>
    </xf>
    <xf numFmtId="180" fontId="18" fillId="0" borderId="0" xfId="66" applyNumberFormat="1" applyFont="1" applyBorder="1" applyAlignment="1" applyProtection="1">
      <alignment horizontal="center"/>
    </xf>
    <xf numFmtId="180" fontId="102" fillId="0" borderId="0" xfId="66" applyNumberFormat="1" applyFont="1" applyBorder="1" applyAlignment="1" applyProtection="1">
      <alignment horizontal="center"/>
    </xf>
    <xf numFmtId="0" fontId="41" fillId="7" borderId="587" xfId="6" applyFont="1" applyFill="1" applyBorder="1" applyAlignment="1" applyProtection="1">
      <alignment horizontal="center" vertical="center" wrapText="1"/>
    </xf>
    <xf numFmtId="0" fontId="0" fillId="0" borderId="0" xfId="6" applyFont="1" applyFill="1" applyBorder="1" applyAlignment="1" applyProtection="1">
      <alignment wrapText="1"/>
    </xf>
    <xf numFmtId="0" fontId="22" fillId="7" borderId="533" xfId="6" applyFont="1" applyFill="1" applyBorder="1" applyAlignment="1" applyProtection="1">
      <alignment horizontal="center" vertical="center" wrapText="1"/>
    </xf>
    <xf numFmtId="0" fontId="25" fillId="0" borderId="602" xfId="6" applyFont="1" applyFill="1" applyBorder="1" applyAlignment="1" applyProtection="1">
      <alignment vertical="center"/>
    </xf>
    <xf numFmtId="0" fontId="25" fillId="0" borderId="603" xfId="6" applyFont="1" applyFill="1" applyBorder="1" applyAlignment="1" applyProtection="1">
      <alignment vertical="center"/>
    </xf>
    <xf numFmtId="0" fontId="25" fillId="0" borderId="712" xfId="6" applyFont="1" applyFill="1" applyBorder="1" applyAlignment="1" applyProtection="1">
      <alignment vertical="center"/>
    </xf>
    <xf numFmtId="0" fontId="25" fillId="0" borderId="0" xfId="6" applyFont="1" applyFill="1" applyBorder="1" applyAlignment="1" applyProtection="1">
      <alignment vertical="center"/>
    </xf>
    <xf numFmtId="0" fontId="25" fillId="0" borderId="334" xfId="6" applyFont="1" applyFill="1" applyBorder="1" applyAlignment="1" applyProtection="1">
      <alignment horizontal="center" vertical="center"/>
    </xf>
    <xf numFmtId="0" fontId="25" fillId="0" borderId="335" xfId="6" applyFont="1" applyFill="1" applyBorder="1" applyAlignment="1" applyProtection="1">
      <alignment horizontal="center" vertical="center"/>
    </xf>
    <xf numFmtId="0" fontId="25" fillId="0" borderId="337" xfId="6" applyFont="1" applyFill="1" applyBorder="1" applyAlignment="1" applyProtection="1">
      <alignment horizontal="center" vertical="center"/>
    </xf>
    <xf numFmtId="0" fontId="96" fillId="0" borderId="533" xfId="2" applyFont="1" applyFill="1" applyBorder="1" applyAlignment="1" applyProtection="1">
      <alignment vertical="center"/>
    </xf>
    <xf numFmtId="9" fontId="17" fillId="0" borderId="604" xfId="14" applyFont="1" applyFill="1" applyBorder="1" applyAlignment="1" applyProtection="1">
      <alignment horizontal="center"/>
    </xf>
    <xf numFmtId="9" fontId="17" fillId="0" borderId="541" xfId="14" applyFont="1" applyFill="1" applyBorder="1" applyAlignment="1" applyProtection="1">
      <alignment horizontal="center"/>
    </xf>
    <xf numFmtId="9" fontId="17" fillId="0" borderId="605" xfId="14" applyFont="1" applyFill="1" applyBorder="1" applyAlignment="1" applyProtection="1">
      <alignment horizontal="center"/>
    </xf>
    <xf numFmtId="0" fontId="0" fillId="0" borderId="0" xfId="6" applyFont="1" applyBorder="1" applyProtection="1"/>
    <xf numFmtId="9" fontId="17" fillId="0" borderId="595" xfId="14" applyFont="1" applyFill="1" applyBorder="1" applyAlignment="1" applyProtection="1">
      <alignment horizontal="center"/>
    </xf>
    <xf numFmtId="9" fontId="17" fillId="0" borderId="596" xfId="14" applyFont="1" applyFill="1" applyBorder="1" applyAlignment="1" applyProtection="1">
      <alignment horizontal="center"/>
    </xf>
    <xf numFmtId="180" fontId="100" fillId="0" borderId="562" xfId="6" applyNumberFormat="1" applyFont="1" applyBorder="1" applyAlignment="1" applyProtection="1">
      <alignment horizontal="center" vertical="center"/>
    </xf>
    <xf numFmtId="180" fontId="103" fillId="0" borderId="562" xfId="6" applyNumberFormat="1" applyFont="1" applyBorder="1" applyAlignment="1" applyProtection="1">
      <alignment horizontal="center" vertical="center"/>
    </xf>
    <xf numFmtId="9" fontId="17" fillId="0" borderId="592" xfId="14" applyFont="1" applyFill="1" applyBorder="1" applyAlignment="1" applyProtection="1">
      <alignment horizontal="center"/>
    </xf>
    <xf numFmtId="9" fontId="17" fillId="0" borderId="593" xfId="14" applyFont="1" applyFill="1" applyBorder="1" applyAlignment="1" applyProtection="1">
      <alignment horizontal="center"/>
    </xf>
    <xf numFmtId="9" fontId="17" fillId="0" borderId="594" xfId="14" applyFont="1" applyFill="1" applyBorder="1" applyAlignment="1" applyProtection="1">
      <alignment horizontal="center"/>
    </xf>
    <xf numFmtId="180" fontId="103" fillId="0" borderId="0" xfId="6" applyNumberFormat="1" applyFont="1" applyBorder="1" applyAlignment="1" applyProtection="1">
      <alignment horizontal="center"/>
    </xf>
    <xf numFmtId="0" fontId="25" fillId="7" borderId="597" xfId="6" applyFont="1" applyFill="1" applyBorder="1" applyAlignment="1" applyProtection="1">
      <alignment horizontal="center" vertical="center" wrapText="1"/>
    </xf>
    <xf numFmtId="180" fontId="18" fillId="0" borderId="544" xfId="6" applyNumberFormat="1" applyFont="1" applyFill="1" applyBorder="1" applyAlignment="1" applyProtection="1">
      <alignment horizontal="center" vertical="center"/>
    </xf>
    <xf numFmtId="180" fontId="18" fillId="0" borderId="598" xfId="6" applyNumberFormat="1" applyFont="1" applyFill="1" applyBorder="1" applyAlignment="1" applyProtection="1">
      <alignment horizontal="center" vertical="center"/>
    </xf>
    <xf numFmtId="180" fontId="18" fillId="0" borderId="547" xfId="6" applyNumberFormat="1" applyFont="1" applyFill="1" applyBorder="1" applyAlignment="1" applyProtection="1">
      <alignment horizontal="center" vertical="center"/>
    </xf>
    <xf numFmtId="180" fontId="18" fillId="0" borderId="599" xfId="6" applyNumberFormat="1" applyFont="1" applyFill="1" applyBorder="1" applyAlignment="1" applyProtection="1">
      <alignment horizontal="center" vertical="center"/>
    </xf>
    <xf numFmtId="180" fontId="16" fillId="0" borderId="559" xfId="6" applyNumberFormat="1" applyFont="1" applyFill="1" applyBorder="1" applyAlignment="1" applyProtection="1">
      <alignment horizontal="center" vertical="center"/>
    </xf>
    <xf numFmtId="180" fontId="16" fillId="0" borderId="600" xfId="6" applyNumberFormat="1" applyFont="1" applyFill="1" applyBorder="1" applyAlignment="1" applyProtection="1">
      <alignment horizontal="center" vertical="center"/>
    </xf>
    <xf numFmtId="0" fontId="52" fillId="0" borderId="0" xfId="2" applyFont="1" applyProtection="1"/>
    <xf numFmtId="0" fontId="0" fillId="0" borderId="0" xfId="6" applyFont="1" applyFill="1" applyProtection="1"/>
    <xf numFmtId="0" fontId="0" fillId="0" borderId="0" xfId="6" applyFont="1" applyAlignment="1" applyProtection="1">
      <alignment vertical="center" wrapText="1"/>
    </xf>
    <xf numFmtId="0" fontId="0" fillId="0" borderId="0" xfId="6" applyFont="1" applyAlignment="1" applyProtection="1">
      <alignment vertical="center"/>
    </xf>
    <xf numFmtId="182" fontId="0" fillId="0" borderId="533" xfId="6" applyNumberFormat="1" applyFont="1" applyBorder="1" applyAlignment="1" applyProtection="1">
      <alignment horizontal="center" vertical="center"/>
    </xf>
    <xf numFmtId="180" fontId="97" fillId="0" borderId="559" xfId="6" applyNumberFormat="1" applyFont="1" applyBorder="1" applyAlignment="1" applyProtection="1">
      <alignment horizontal="center" vertical="center"/>
    </xf>
    <xf numFmtId="180" fontId="97" fillId="0" borderId="600" xfId="6" applyNumberFormat="1" applyFont="1" applyBorder="1" applyAlignment="1" applyProtection="1">
      <alignment horizontal="center" vertical="center"/>
    </xf>
    <xf numFmtId="0" fontId="16" fillId="0" borderId="0" xfId="6" applyFont="1" applyFill="1" applyBorder="1" applyProtection="1"/>
    <xf numFmtId="9" fontId="25" fillId="26" borderId="533" xfId="6" applyNumberFormat="1" applyFont="1" applyFill="1" applyBorder="1" applyAlignment="1" applyProtection="1">
      <alignment horizontal="center" vertical="center" wrapText="1"/>
      <protection locked="0"/>
    </xf>
    <xf numFmtId="0" fontId="25" fillId="7" borderId="530" xfId="6" applyFont="1" applyFill="1" applyBorder="1" applyAlignment="1" applyProtection="1">
      <alignment horizontal="center" vertical="center"/>
    </xf>
    <xf numFmtId="0" fontId="25" fillId="7" borderId="531" xfId="6" applyFont="1" applyFill="1" applyBorder="1" applyAlignment="1" applyProtection="1">
      <alignment horizontal="center" vertical="center"/>
    </xf>
    <xf numFmtId="0" fontId="25" fillId="7" borderId="529" xfId="6" applyFont="1" applyFill="1" applyBorder="1" applyAlignment="1" applyProtection="1">
      <alignment horizontal="center" vertical="center"/>
    </xf>
    <xf numFmtId="9" fontId="17" fillId="0" borderId="532" xfId="3" applyFont="1" applyFill="1" applyBorder="1" applyAlignment="1" applyProtection="1">
      <alignment horizontal="center"/>
    </xf>
    <xf numFmtId="9" fontId="17" fillId="0" borderId="533" xfId="3" applyFont="1" applyFill="1" applyBorder="1" applyAlignment="1" applyProtection="1">
      <alignment horizontal="center"/>
    </xf>
    <xf numFmtId="180" fontId="97" fillId="0" borderId="530" xfId="6" applyNumberFormat="1" applyFont="1" applyFill="1" applyBorder="1" applyAlignment="1" applyProtection="1">
      <alignment horizontal="center"/>
    </xf>
    <xf numFmtId="9" fontId="97" fillId="0" borderId="561" xfId="14" applyFont="1" applyBorder="1" applyAlignment="1" applyProtection="1">
      <alignment horizontal="center"/>
    </xf>
    <xf numFmtId="9" fontId="97" fillId="0" borderId="562" xfId="14" applyFont="1" applyBorder="1" applyAlignment="1" applyProtection="1">
      <alignment horizontal="center"/>
    </xf>
    <xf numFmtId="0" fontId="52" fillId="0" borderId="536" xfId="2" applyFont="1" applyBorder="1" applyProtection="1"/>
    <xf numFmtId="2" fontId="17" fillId="0" borderId="533" xfId="6" applyNumberFormat="1" applyFont="1" applyFill="1" applyBorder="1" applyAlignment="1" applyProtection="1">
      <alignment horizontal="center"/>
    </xf>
    <xf numFmtId="2" fontId="17" fillId="0" borderId="534" xfId="6" applyNumberFormat="1" applyFont="1" applyFill="1" applyBorder="1" applyAlignment="1" applyProtection="1">
      <alignment horizontal="center"/>
    </xf>
    <xf numFmtId="2" fontId="97" fillId="0" borderId="562" xfId="6" applyNumberFormat="1" applyFont="1" applyFill="1" applyBorder="1" applyAlignment="1" applyProtection="1">
      <alignment horizontal="center"/>
    </xf>
    <xf numFmtId="2" fontId="97" fillId="0" borderId="563" xfId="6" applyNumberFormat="1" applyFont="1" applyFill="1" applyBorder="1" applyAlignment="1" applyProtection="1">
      <alignment horizontal="center"/>
    </xf>
    <xf numFmtId="0" fontId="52" fillId="0" borderId="343" xfId="2" applyFont="1" applyBorder="1" applyProtection="1"/>
    <xf numFmtId="0" fontId="52" fillId="0" borderId="341" xfId="2" applyFont="1" applyBorder="1" applyProtection="1"/>
    <xf numFmtId="0" fontId="60" fillId="0" borderId="0" xfId="2" applyFont="1" applyProtection="1"/>
    <xf numFmtId="0" fontId="52" fillId="28" borderId="168" xfId="2" applyFont="1" applyFill="1" applyBorder="1" applyProtection="1"/>
    <xf numFmtId="0" fontId="52" fillId="28" borderId="0" xfId="2" applyFont="1" applyFill="1" applyBorder="1" applyProtection="1"/>
    <xf numFmtId="0" fontId="52" fillId="0" borderId="0" xfId="2" applyFont="1" applyBorder="1" applyProtection="1"/>
    <xf numFmtId="0" fontId="96" fillId="0" borderId="423" xfId="2" applyFont="1" applyFill="1" applyBorder="1" applyAlignment="1" applyProtection="1">
      <alignment horizontal="center" vertical="center" wrapText="1"/>
    </xf>
    <xf numFmtId="0" fontId="52" fillId="0" borderId="168" xfId="2" applyFont="1" applyBorder="1" applyProtection="1"/>
    <xf numFmtId="180" fontId="97" fillId="0" borderId="440" xfId="6" applyNumberFormat="1" applyFont="1" applyFill="1" applyBorder="1" applyAlignment="1" applyProtection="1">
      <alignment horizontal="center"/>
    </xf>
    <xf numFmtId="178" fontId="52" fillId="0" borderId="0" xfId="2" applyNumberFormat="1" applyFont="1" applyBorder="1" applyProtection="1"/>
    <xf numFmtId="0" fontId="52" fillId="0" borderId="0" xfId="2" applyFont="1" applyFill="1" applyBorder="1" applyProtection="1"/>
    <xf numFmtId="182" fontId="52" fillId="0" borderId="0" xfId="2" applyNumberFormat="1" applyFont="1" applyBorder="1" applyAlignment="1" applyProtection="1">
      <alignment horizontal="center"/>
    </xf>
    <xf numFmtId="182" fontId="52" fillId="0" borderId="0" xfId="2" applyNumberFormat="1" applyFont="1" applyProtection="1"/>
    <xf numFmtId="182" fontId="52" fillId="0" borderId="0" xfId="2" applyNumberFormat="1" applyFont="1" applyAlignment="1" applyProtection="1">
      <alignment horizontal="center"/>
    </xf>
    <xf numFmtId="182" fontId="52" fillId="0" borderId="0" xfId="2" applyNumberFormat="1" applyFont="1" applyBorder="1" applyProtection="1"/>
    <xf numFmtId="0" fontId="52" fillId="0" borderId="0" xfId="2" applyFont="1" applyAlignment="1" applyProtection="1">
      <alignment horizontal="center"/>
    </xf>
    <xf numFmtId="0" fontId="52" fillId="0" borderId="0" xfId="2" applyFont="1" applyBorder="1" applyAlignment="1" applyProtection="1">
      <alignment horizontal="center"/>
    </xf>
    <xf numFmtId="0" fontId="96" fillId="0" borderId="441" xfId="2" applyFont="1" applyFill="1" applyBorder="1" applyAlignment="1" applyProtection="1">
      <alignment horizontal="center" vertical="center" wrapText="1"/>
    </xf>
    <xf numFmtId="0" fontId="109" fillId="0" borderId="168" xfId="2" applyFont="1" applyFill="1" applyBorder="1" applyAlignment="1" applyProtection="1">
      <alignment horizontal="left" vertical="center"/>
    </xf>
    <xf numFmtId="174" fontId="52" fillId="0" borderId="426" xfId="2" applyNumberFormat="1" applyFont="1" applyBorder="1" applyAlignment="1" applyProtection="1">
      <alignment horizontal="center"/>
    </xf>
    <xf numFmtId="0" fontId="52" fillId="0" borderId="168" xfId="2" applyFont="1" applyBorder="1" applyAlignment="1" applyProtection="1"/>
    <xf numFmtId="9" fontId="52" fillId="31" borderId="426" xfId="2" applyNumberFormat="1" applyFont="1" applyFill="1" applyBorder="1" applyAlignment="1" applyProtection="1">
      <alignment horizontal="center" vertical="center"/>
    </xf>
    <xf numFmtId="0" fontId="52" fillId="0" borderId="427" xfId="2" applyFont="1" applyBorder="1" applyProtection="1"/>
    <xf numFmtId="0" fontId="52" fillId="0" borderId="442" xfId="2" applyFont="1" applyBorder="1" applyProtection="1"/>
    <xf numFmtId="0" fontId="52" fillId="0" borderId="443" xfId="2" applyFont="1" applyBorder="1" applyProtection="1"/>
    <xf numFmtId="0" fontId="52" fillId="0" borderId="444" xfId="2" applyFont="1" applyBorder="1" applyProtection="1"/>
    <xf numFmtId="22" fontId="38" fillId="2" borderId="0" xfId="0" applyNumberFormat="1" applyFont="1" applyFill="1" applyBorder="1" applyAlignment="1" applyProtection="1">
      <alignment horizontal="center" vertical="center" wrapText="1"/>
    </xf>
    <xf numFmtId="0" fontId="39" fillId="0" borderId="54" xfId="2" applyFont="1" applyBorder="1" applyAlignment="1" applyProtection="1">
      <alignment horizontal="center" vertical="center" textRotation="75" wrapText="1"/>
    </xf>
    <xf numFmtId="0" fontId="1" fillId="0" borderId="0" xfId="0" applyFont="1" applyAlignment="1" applyProtection="1">
      <alignment horizontal="center" vertical="center"/>
    </xf>
    <xf numFmtId="0" fontId="39" fillId="0" borderId="53" xfId="2" applyFont="1" applyBorder="1" applyAlignment="1" applyProtection="1">
      <alignment horizontal="center" vertical="center" textRotation="75" wrapText="1"/>
      <protection locked="0"/>
    </xf>
    <xf numFmtId="0" fontId="35" fillId="0" borderId="53" xfId="2" applyFont="1" applyBorder="1" applyAlignment="1" applyProtection="1">
      <alignment horizontal="center" vertical="center" textRotation="75" wrapText="1"/>
      <protection locked="0"/>
    </xf>
    <xf numFmtId="0" fontId="26" fillId="0" borderId="0" xfId="0" applyFont="1" applyBorder="1" applyAlignment="1" applyProtection="1">
      <alignment horizontal="center"/>
    </xf>
    <xf numFmtId="0" fontId="26" fillId="0" borderId="0" xfId="0" applyFont="1" applyAlignment="1" applyProtection="1"/>
    <xf numFmtId="0" fontId="0" fillId="0" borderId="0" xfId="0" applyFont="1" applyBorder="1" applyAlignment="1" applyProtection="1">
      <alignment horizontal="center" vertical="center"/>
    </xf>
    <xf numFmtId="0" fontId="73" fillId="37" borderId="333" xfId="4" applyFont="1" applyFill="1" applyBorder="1" applyAlignment="1" applyProtection="1">
      <alignment horizontal="center" vertical="center" wrapText="1" readingOrder="1"/>
    </xf>
    <xf numFmtId="0" fontId="47" fillId="37" borderId="68" xfId="4" applyFont="1" applyFill="1" applyBorder="1" applyAlignment="1" applyProtection="1">
      <alignment vertical="center" wrapText="1" readingOrder="1"/>
    </xf>
    <xf numFmtId="0" fontId="47" fillId="37" borderId="69" xfId="4" applyFont="1" applyFill="1" applyBorder="1" applyAlignment="1" applyProtection="1">
      <alignment vertical="center" wrapText="1" readingOrder="1"/>
    </xf>
    <xf numFmtId="0" fontId="1" fillId="0" borderId="0" xfId="0" applyFont="1" applyBorder="1" applyAlignment="1" applyProtection="1">
      <alignment horizontal="center" vertical="center"/>
    </xf>
    <xf numFmtId="0" fontId="1" fillId="0" borderId="0" xfId="0" applyFont="1" applyAlignment="1" applyProtection="1">
      <alignment vertical="center"/>
    </xf>
    <xf numFmtId="0" fontId="0" fillId="0" borderId="0" xfId="0" applyFont="1" applyBorder="1" applyAlignment="1" applyProtection="1">
      <alignment horizontal="center" vertical="top"/>
    </xf>
    <xf numFmtId="0" fontId="45" fillId="11" borderId="717" xfId="4" applyFont="1" applyFill="1" applyBorder="1" applyAlignment="1" applyProtection="1">
      <alignment horizontal="left" vertical="top" wrapText="1"/>
    </xf>
    <xf numFmtId="0" fontId="0" fillId="0" borderId="107" xfId="0" applyFont="1" applyBorder="1" applyAlignment="1" applyProtection="1">
      <alignment vertical="top"/>
    </xf>
    <xf numFmtId="0" fontId="0" fillId="0" borderId="392" xfId="4" applyFont="1" applyBorder="1" applyAlignment="1" applyProtection="1">
      <alignment vertical="top"/>
    </xf>
    <xf numFmtId="0" fontId="0" fillId="0" borderId="392" xfId="0" applyFont="1" applyBorder="1" applyAlignment="1" applyProtection="1">
      <alignment horizontal="center" vertical="top"/>
    </xf>
    <xf numFmtId="0" fontId="0" fillId="0" borderId="0" xfId="0" applyFont="1" applyAlignment="1" applyProtection="1">
      <alignment vertical="top"/>
    </xf>
    <xf numFmtId="0" fontId="45" fillId="11" borderId="0" xfId="4" applyFont="1" applyFill="1" applyBorder="1" applyAlignment="1" applyProtection="1">
      <alignment horizontal="left" vertical="top" wrapText="1" readingOrder="1"/>
    </xf>
    <xf numFmtId="0" fontId="0" fillId="0" borderId="0" xfId="4" applyFont="1" applyProtection="1"/>
    <xf numFmtId="9" fontId="1" fillId="0" borderId="0" xfId="3" applyFont="1" applyAlignment="1" applyProtection="1">
      <alignment horizontal="center"/>
    </xf>
    <xf numFmtId="0" fontId="1" fillId="0" borderId="0" xfId="0" quotePrefix="1" applyFont="1" applyBorder="1" applyAlignment="1" applyProtection="1">
      <alignment horizontal="left"/>
    </xf>
    <xf numFmtId="0" fontId="1" fillId="0" borderId="0" xfId="0" applyFont="1" applyBorder="1" applyAlignment="1" applyProtection="1">
      <alignment horizontal="left"/>
    </xf>
    <xf numFmtId="0" fontId="17" fillId="0" borderId="186" xfId="4" applyFont="1" applyBorder="1" applyProtection="1"/>
    <xf numFmtId="0" fontId="0" fillId="0" borderId="354" xfId="0" applyFont="1" applyBorder="1" applyProtection="1"/>
    <xf numFmtId="0" fontId="0" fillId="0" borderId="354" xfId="0" applyFont="1" applyBorder="1" applyAlignment="1" applyProtection="1"/>
    <xf numFmtId="0" fontId="0" fillId="0" borderId="359" xfId="0" applyFont="1" applyBorder="1" applyAlignment="1" applyProtection="1"/>
    <xf numFmtId="0" fontId="45" fillId="11" borderId="51" xfId="4" applyFont="1" applyFill="1" applyBorder="1" applyAlignment="1" applyProtection="1">
      <alignment horizontal="left" vertical="top" wrapText="1" readingOrder="1"/>
    </xf>
    <xf numFmtId="0" fontId="35" fillId="0" borderId="0" xfId="0" applyFont="1" applyBorder="1" applyAlignment="1" applyProtection="1">
      <alignment horizontal="center"/>
    </xf>
    <xf numFmtId="0" fontId="35" fillId="0" borderId="0" xfId="0" applyFont="1" applyAlignment="1" applyProtection="1"/>
    <xf numFmtId="0" fontId="45" fillId="0" borderId="0" xfId="4" applyFont="1" applyFill="1" applyBorder="1" applyAlignment="1" applyProtection="1">
      <alignment horizontal="left" vertical="top" wrapText="1" readingOrder="1"/>
    </xf>
    <xf numFmtId="9" fontId="45" fillId="0" borderId="0" xfId="4" applyNumberFormat="1" applyFont="1" applyFill="1" applyBorder="1" applyAlignment="1" applyProtection="1">
      <alignment horizontal="center" vertical="top" wrapText="1" readingOrder="1"/>
    </xf>
    <xf numFmtId="9" fontId="45" fillId="0" borderId="0" xfId="4" applyNumberFormat="1" applyFont="1" applyFill="1" applyBorder="1" applyAlignment="1" applyProtection="1">
      <alignment horizontal="center" vertical="center" wrapText="1" readingOrder="1"/>
    </xf>
    <xf numFmtId="0" fontId="0" fillId="0" borderId="0" xfId="4" applyFont="1" applyFill="1" applyBorder="1" applyProtection="1"/>
    <xf numFmtId="9" fontId="17" fillId="31" borderId="333" xfId="3" applyFont="1" applyFill="1" applyBorder="1" applyAlignment="1" applyProtection="1">
      <alignment horizontal="center" vertical="center" wrapText="1" readingOrder="1"/>
      <protection locked="0"/>
    </xf>
    <xf numFmtId="0" fontId="0"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0" fillId="0" borderId="775" xfId="0" applyFont="1" applyFill="1" applyBorder="1" applyAlignment="1">
      <alignment horizontal="left" vertical="center" wrapText="1"/>
    </xf>
    <xf numFmtId="22" fontId="38" fillId="2" borderId="0" xfId="0" applyNumberFormat="1" applyFont="1" applyFill="1" applyBorder="1" applyAlignment="1" applyProtection="1">
      <alignment vertical="center"/>
    </xf>
    <xf numFmtId="0" fontId="0" fillId="2" borderId="0" xfId="0" applyFont="1" applyFill="1" applyBorder="1" applyAlignment="1" applyProtection="1">
      <alignment horizontal="center"/>
    </xf>
    <xf numFmtId="0" fontId="0" fillId="0" borderId="173" xfId="0" applyFont="1" applyBorder="1" applyAlignment="1" applyProtection="1">
      <alignment horizontal="center" vertical="center"/>
    </xf>
    <xf numFmtId="0" fontId="0" fillId="0" borderId="0" xfId="0" applyFont="1" applyBorder="1" applyAlignment="1" applyProtection="1">
      <alignment horizontal="left" vertical="center" wrapText="1"/>
    </xf>
    <xf numFmtId="9" fontId="21" fillId="0" borderId="60" xfId="3" applyFont="1" applyBorder="1" applyAlignment="1" applyProtection="1">
      <alignment vertical="center"/>
    </xf>
    <xf numFmtId="0" fontId="0" fillId="0" borderId="0" xfId="0" applyFont="1" applyBorder="1" applyProtection="1"/>
    <xf numFmtId="0" fontId="30" fillId="8" borderId="345" xfId="0" applyFont="1" applyFill="1" applyBorder="1" applyAlignment="1" applyProtection="1">
      <alignment horizontal="center" vertical="center"/>
    </xf>
    <xf numFmtId="0" fontId="1" fillId="8" borderId="344" xfId="0" applyFont="1" applyFill="1" applyBorder="1" applyAlignment="1" applyProtection="1">
      <alignment vertical="center"/>
    </xf>
    <xf numFmtId="0" fontId="1" fillId="8" borderId="345" xfId="0" applyFont="1" applyFill="1" applyBorder="1" applyAlignment="1" applyProtection="1">
      <alignment vertical="center"/>
    </xf>
    <xf numFmtId="0" fontId="1" fillId="8" borderId="346" xfId="0" applyFont="1" applyFill="1" applyBorder="1" applyAlignment="1" applyProtection="1">
      <alignment vertical="center"/>
    </xf>
    <xf numFmtId="0" fontId="40" fillId="8" borderId="344" xfId="0" applyFont="1" applyFill="1" applyBorder="1" applyAlignment="1" applyProtection="1">
      <alignment vertical="center" textRotation="90"/>
    </xf>
    <xf numFmtId="0" fontId="40" fillId="8" borderId="345" xfId="0" applyFont="1" applyFill="1" applyBorder="1" applyAlignment="1" applyProtection="1">
      <alignment vertical="center" textRotation="90"/>
    </xf>
    <xf numFmtId="0" fontId="40" fillId="8" borderId="346" xfId="0" applyFont="1" applyFill="1" applyBorder="1" applyAlignment="1" applyProtection="1">
      <alignment vertical="center" textRotation="90"/>
    </xf>
    <xf numFmtId="0" fontId="1" fillId="8" borderId="773" xfId="0" applyFont="1" applyFill="1" applyBorder="1" applyAlignment="1" applyProtection="1">
      <alignment vertical="center"/>
    </xf>
    <xf numFmtId="0" fontId="1" fillId="8" borderId="611" xfId="0" applyFont="1" applyFill="1" applyBorder="1" applyAlignment="1" applyProtection="1">
      <alignment vertical="center"/>
    </xf>
    <xf numFmtId="0" fontId="1" fillId="8" borderId="774" xfId="0" applyFont="1" applyFill="1" applyBorder="1" applyAlignment="1" applyProtection="1">
      <alignment vertical="center"/>
    </xf>
    <xf numFmtId="0" fontId="40" fillId="8" borderId="353" xfId="0" applyFont="1" applyFill="1" applyBorder="1" applyAlignment="1" applyProtection="1">
      <alignment vertical="center" textRotation="90" wrapText="1"/>
    </xf>
    <xf numFmtId="0" fontId="40" fillId="8" borderId="107" xfId="0" applyFont="1" applyFill="1" applyBorder="1" applyAlignment="1" applyProtection="1">
      <alignment vertical="center" textRotation="90" wrapText="1"/>
    </xf>
    <xf numFmtId="0" fontId="40" fillId="8" borderId="108" xfId="0" applyFont="1" applyFill="1" applyBorder="1" applyAlignment="1" applyProtection="1">
      <alignment vertical="center" textRotation="90" wrapText="1"/>
    </xf>
    <xf numFmtId="0" fontId="0" fillId="0" borderId="392" xfId="0" applyFont="1" applyBorder="1" applyProtection="1"/>
    <xf numFmtId="0" fontId="21" fillId="0" borderId="0" xfId="0" applyFont="1" applyAlignment="1" applyProtection="1">
      <alignment vertical="center"/>
    </xf>
    <xf numFmtId="0" fontId="0" fillId="0" borderId="0" xfId="0" quotePrefix="1" applyFont="1" applyAlignment="1" applyProtection="1"/>
    <xf numFmtId="0" fontId="0" fillId="0" borderId="0" xfId="0" quotePrefix="1" applyFont="1" applyAlignment="1" applyProtection="1">
      <alignment horizontal="left" vertical="center" wrapText="1"/>
    </xf>
    <xf numFmtId="0" fontId="21" fillId="0" borderId="0" xfId="0" quotePrefix="1" applyFont="1" applyAlignment="1" applyProtection="1">
      <alignment horizontal="center" vertical="center"/>
    </xf>
    <xf numFmtId="0" fontId="26" fillId="0" borderId="0" xfId="0" applyFont="1" applyAlignment="1" applyProtection="1">
      <alignment vertical="center" wrapText="1"/>
    </xf>
    <xf numFmtId="3" fontId="0" fillId="0" borderId="0" xfId="0" quotePrefix="1" applyNumberFormat="1" applyFont="1" applyAlignment="1" applyProtection="1"/>
    <xf numFmtId="0" fontId="0" fillId="0" borderId="0" xfId="0" quotePrefix="1" applyFont="1" applyAlignment="1" applyProtection="1">
      <alignment horizontal="center"/>
    </xf>
    <xf numFmtId="0" fontId="26" fillId="0" borderId="0" xfId="0" applyFont="1" applyFill="1" applyAlignment="1" applyProtection="1">
      <alignment vertical="center"/>
    </xf>
    <xf numFmtId="0" fontId="1" fillId="0" borderId="0" xfId="0" applyFont="1" applyFill="1" applyAlignment="1" applyProtection="1">
      <alignment vertical="center"/>
    </xf>
    <xf numFmtId="0" fontId="26" fillId="0" borderId="0" xfId="0" applyFont="1" applyProtection="1"/>
    <xf numFmtId="0" fontId="25" fillId="14" borderId="127" xfId="0" applyFont="1" applyFill="1" applyBorder="1" applyAlignment="1" applyProtection="1">
      <alignment vertical="center" wrapText="1"/>
    </xf>
    <xf numFmtId="0" fontId="25" fillId="14" borderId="128" xfId="0" applyFont="1" applyFill="1" applyBorder="1" applyAlignment="1" applyProtection="1">
      <alignment vertical="center" wrapText="1"/>
    </xf>
    <xf numFmtId="0" fontId="0" fillId="0" borderId="245" xfId="0" applyFont="1" applyBorder="1" applyProtection="1"/>
    <xf numFmtId="0" fontId="25" fillId="0" borderId="204" xfId="0" applyFont="1" applyFill="1" applyBorder="1" applyAlignment="1" applyProtection="1">
      <alignment horizontal="center" vertical="center" textRotation="75" wrapText="1"/>
    </xf>
    <xf numFmtId="0" fontId="25" fillId="0" borderId="110" xfId="0" applyFont="1" applyFill="1" applyBorder="1" applyAlignment="1" applyProtection="1">
      <alignment horizontal="center" vertical="center" textRotation="75" wrapText="1"/>
    </xf>
    <xf numFmtId="0" fontId="25" fillId="0" borderId="111" xfId="0" applyFont="1" applyFill="1" applyBorder="1" applyAlignment="1" applyProtection="1">
      <alignment horizontal="center" vertical="center" textRotation="75" wrapText="1"/>
    </xf>
    <xf numFmtId="0" fontId="26" fillId="0" borderId="398" xfId="0" quotePrefix="1" applyFont="1" applyBorder="1" applyAlignment="1" applyProtection="1">
      <alignment horizontal="center" vertical="center"/>
    </xf>
    <xf numFmtId="0" fontId="26" fillId="0" borderId="134" xfId="0" quotePrefix="1" applyFont="1" applyBorder="1" applyAlignment="1" applyProtection="1">
      <alignment horizontal="center" vertical="center"/>
    </xf>
    <xf numFmtId="9" fontId="26" fillId="0" borderId="399" xfId="3" quotePrefix="1" applyFont="1" applyBorder="1" applyAlignment="1" applyProtection="1">
      <alignment horizontal="right" vertical="center"/>
    </xf>
    <xf numFmtId="9" fontId="0" fillId="5" borderId="406" xfId="3" applyFont="1" applyFill="1" applyBorder="1" applyAlignment="1" applyProtection="1">
      <alignment horizontal="center" vertical="center" wrapText="1"/>
    </xf>
    <xf numFmtId="9" fontId="0" fillId="5" borderId="122" xfId="3" applyFont="1" applyFill="1" applyBorder="1" applyAlignment="1" applyProtection="1">
      <alignment horizontal="center" vertical="center" wrapText="1"/>
    </xf>
    <xf numFmtId="9" fontId="0" fillId="5" borderId="123" xfId="3" applyFont="1" applyFill="1" applyBorder="1" applyAlignment="1" applyProtection="1">
      <alignment horizontal="center" vertical="center" wrapText="1"/>
    </xf>
    <xf numFmtId="9" fontId="26" fillId="0" borderId="210" xfId="3" quotePrefix="1" applyFont="1" applyBorder="1" applyAlignment="1" applyProtection="1">
      <alignment horizontal="right" vertical="center"/>
    </xf>
    <xf numFmtId="0" fontId="21" fillId="0" borderId="404" xfId="0" quotePrefix="1" applyFont="1" applyBorder="1" applyAlignment="1" applyProtection="1">
      <alignment vertical="center"/>
    </xf>
    <xf numFmtId="1" fontId="21" fillId="0" borderId="133" xfId="0" quotePrefix="1" applyNumberFormat="1" applyFont="1" applyBorder="1" applyAlignment="1" applyProtection="1">
      <alignment horizontal="center" vertical="center"/>
    </xf>
    <xf numFmtId="1" fontId="21" fillId="0" borderId="210" xfId="0" quotePrefix="1" applyNumberFormat="1" applyFont="1" applyBorder="1" applyAlignment="1" applyProtection="1">
      <alignment horizontal="center" vertical="center"/>
    </xf>
    <xf numFmtId="1" fontId="21" fillId="0" borderId="205" xfId="0" quotePrefix="1" applyNumberFormat="1" applyFont="1" applyBorder="1" applyAlignment="1" applyProtection="1">
      <alignment horizontal="center" vertical="center"/>
    </xf>
    <xf numFmtId="1" fontId="21" fillId="0" borderId="220" xfId="0" quotePrefix="1" applyNumberFormat="1" applyFont="1" applyBorder="1" applyAlignment="1" applyProtection="1">
      <alignment horizontal="center" vertical="center"/>
    </xf>
    <xf numFmtId="1" fontId="1" fillId="0" borderId="722" xfId="0" applyNumberFormat="1" applyFont="1" applyFill="1" applyBorder="1" applyAlignment="1" applyProtection="1">
      <alignment horizontal="center" vertical="center" wrapText="1"/>
    </xf>
    <xf numFmtId="1" fontId="0" fillId="0" borderId="723" xfId="0" applyNumberFormat="1" applyFont="1" applyFill="1" applyBorder="1" applyAlignment="1" applyProtection="1">
      <alignment horizontal="center" vertical="center" wrapText="1"/>
    </xf>
    <xf numFmtId="1" fontId="0" fillId="0" borderId="204" xfId="0" applyNumberFormat="1" applyFont="1" applyFill="1" applyBorder="1" applyAlignment="1" applyProtection="1">
      <alignment horizontal="center" vertical="center" wrapText="1"/>
    </xf>
    <xf numFmtId="1" fontId="0" fillId="0" borderId="111" xfId="0" applyNumberFormat="1" applyFont="1" applyFill="1" applyBorder="1" applyAlignment="1" applyProtection="1">
      <alignment horizontal="center" vertical="center" wrapText="1"/>
    </xf>
    <xf numFmtId="0" fontId="26" fillId="26" borderId="464" xfId="0" quotePrefix="1" applyFont="1" applyFill="1" applyBorder="1" applyAlignment="1" applyProtection="1">
      <alignment horizontal="center" vertical="center"/>
      <protection locked="0"/>
    </xf>
    <xf numFmtId="0" fontId="26" fillId="26" borderId="124" xfId="0" quotePrefix="1" applyFont="1" applyFill="1" applyBorder="1" applyAlignment="1" applyProtection="1">
      <alignment horizontal="center" vertical="center"/>
      <protection locked="0"/>
    </xf>
    <xf numFmtId="0" fontId="26" fillId="26" borderId="244" xfId="0" quotePrefix="1" applyFont="1" applyFill="1" applyBorder="1" applyAlignment="1" applyProtection="1">
      <alignment horizontal="center" vertical="center"/>
      <protection locked="0"/>
    </xf>
    <xf numFmtId="0" fontId="26" fillId="26" borderId="248" xfId="0" quotePrefix="1" applyFont="1" applyFill="1" applyBorder="1" applyAlignment="1" applyProtection="1">
      <alignment horizontal="center" vertical="center"/>
      <protection locked="0"/>
    </xf>
    <xf numFmtId="0" fontId="25" fillId="28" borderId="472" xfId="0" quotePrefix="1" applyFont="1" applyFill="1" applyBorder="1" applyAlignment="1" applyProtection="1">
      <alignment horizontal="center" vertical="center" textRotation="75" wrapText="1"/>
    </xf>
    <xf numFmtId="0" fontId="39" fillId="0" borderId="466" xfId="2" applyFont="1" applyFill="1" applyBorder="1" applyAlignment="1" applyProtection="1">
      <alignment horizontal="center" vertical="center" textRotation="75" wrapText="1"/>
    </xf>
    <xf numFmtId="0" fontId="39" fillId="0" borderId="467" xfId="2" applyFont="1" applyFill="1" applyBorder="1" applyAlignment="1" applyProtection="1">
      <alignment horizontal="center" vertical="center" textRotation="75" wrapText="1"/>
    </xf>
    <xf numFmtId="0" fontId="39" fillId="0" borderId="468" xfId="2" applyFont="1" applyFill="1" applyBorder="1" applyAlignment="1" applyProtection="1">
      <alignment horizontal="center" vertical="center" textRotation="75" wrapText="1"/>
    </xf>
    <xf numFmtId="9" fontId="36" fillId="0" borderId="786" xfId="0" quotePrefix="1" applyNumberFormat="1" applyFont="1" applyFill="1" applyBorder="1" applyAlignment="1" applyProtection="1">
      <alignment horizontal="right" vertical="center" wrapText="1"/>
    </xf>
    <xf numFmtId="9" fontId="21" fillId="0" borderId="210" xfId="3" quotePrefix="1" applyFont="1" applyBorder="1" applyAlignment="1" applyProtection="1">
      <alignment horizontal="right" vertical="center"/>
    </xf>
    <xf numFmtId="0" fontId="21" fillId="0" borderId="243" xfId="0" quotePrefix="1" applyFont="1" applyBorder="1" applyAlignment="1" applyProtection="1">
      <alignment horizontal="center" vertical="center"/>
    </xf>
    <xf numFmtId="0" fontId="21" fillId="0" borderId="244" xfId="0" quotePrefix="1" applyFont="1" applyBorder="1" applyAlignment="1" applyProtection="1">
      <alignment horizontal="center" vertical="center"/>
    </xf>
    <xf numFmtId="9" fontId="21" fillId="0" borderId="617" xfId="3" quotePrefix="1" applyFont="1" applyBorder="1" applyAlignment="1" applyProtection="1">
      <alignment horizontal="right" vertical="center"/>
    </xf>
    <xf numFmtId="9" fontId="0" fillId="0" borderId="402" xfId="3" applyFont="1" applyFill="1" applyBorder="1" applyAlignment="1" applyProtection="1">
      <alignment horizontal="center" vertical="center" wrapText="1"/>
    </xf>
    <xf numFmtId="9" fontId="0" fillId="0" borderId="403" xfId="3" applyFont="1" applyFill="1" applyBorder="1" applyAlignment="1" applyProtection="1">
      <alignment horizontal="center" vertical="center" wrapText="1"/>
    </xf>
    <xf numFmtId="9" fontId="0" fillId="0" borderId="473" xfId="3" applyFont="1" applyFill="1" applyBorder="1" applyAlignment="1" applyProtection="1">
      <alignment horizontal="center" vertical="center" wrapText="1"/>
    </xf>
    <xf numFmtId="0" fontId="21" fillId="0" borderId="245" xfId="0" quotePrefix="1" applyFont="1" applyFill="1" applyBorder="1" applyAlignment="1" applyProtection="1">
      <alignment horizontal="left" vertical="center"/>
    </xf>
    <xf numFmtId="0" fontId="21" fillId="0" borderId="0" xfId="0" quotePrefix="1" applyFont="1" applyFill="1" applyBorder="1" applyAlignment="1" applyProtection="1">
      <alignment horizontal="left" vertical="center"/>
    </xf>
    <xf numFmtId="0" fontId="21" fillId="0" borderId="221" xfId="0" quotePrefix="1" applyFont="1" applyFill="1" applyBorder="1" applyAlignment="1" applyProtection="1">
      <alignment horizontal="left" vertical="center"/>
    </xf>
    <xf numFmtId="0" fontId="0" fillId="0" borderId="402" xfId="0" applyFont="1" applyFill="1" applyBorder="1" applyAlignment="1" applyProtection="1">
      <alignment horizontal="center" vertical="center" wrapText="1"/>
    </xf>
    <xf numFmtId="0" fontId="0" fillId="0" borderId="403" xfId="0" applyFont="1" applyFill="1" applyBorder="1" applyAlignment="1" applyProtection="1">
      <alignment horizontal="center" vertical="center" wrapText="1"/>
    </xf>
    <xf numFmtId="0" fontId="0" fillId="0" borderId="473" xfId="0" applyFont="1" applyFill="1" applyBorder="1" applyAlignment="1" applyProtection="1">
      <alignment horizontal="center" vertical="center" wrapText="1"/>
    </xf>
    <xf numFmtId="1" fontId="21" fillId="0" borderId="724" xfId="0" quotePrefix="1" applyNumberFormat="1" applyFont="1" applyBorder="1" applyAlignment="1" applyProtection="1">
      <alignment horizontal="center" vertical="center"/>
    </xf>
    <xf numFmtId="9" fontId="0" fillId="0" borderId="787" xfId="3" applyFont="1" applyFill="1" applyBorder="1" applyAlignment="1" applyProtection="1">
      <alignment horizontal="center" vertical="center" wrapText="1"/>
    </xf>
    <xf numFmtId="9" fontId="0" fillId="0" borderId="788" xfId="3" applyFont="1" applyFill="1" applyBorder="1" applyAlignment="1" applyProtection="1">
      <alignment horizontal="center" vertical="center" wrapText="1"/>
    </xf>
    <xf numFmtId="9" fontId="0" fillId="0" borderId="465" xfId="3" applyFont="1" applyFill="1" applyBorder="1" applyAlignment="1" applyProtection="1">
      <alignment horizontal="center" vertical="center" wrapText="1"/>
    </xf>
    <xf numFmtId="9" fontId="0" fillId="26" borderId="464" xfId="3" applyFont="1" applyFill="1" applyBorder="1" applyAlignment="1" applyProtection="1">
      <alignment horizontal="center" vertical="center" wrapText="1"/>
      <protection locked="0"/>
    </xf>
    <xf numFmtId="9" fontId="0" fillId="26" borderId="124" xfId="3" applyFont="1" applyFill="1" applyBorder="1" applyAlignment="1" applyProtection="1">
      <alignment horizontal="center" vertical="center" wrapText="1"/>
      <protection locked="0"/>
    </xf>
    <xf numFmtId="9" fontId="0" fillId="26" borderId="125" xfId="3"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wrapText="1"/>
    </xf>
    <xf numFmtId="0" fontId="22" fillId="28" borderId="472" xfId="0" quotePrefix="1" applyFont="1" applyFill="1" applyBorder="1" applyAlignment="1" applyProtection="1">
      <alignment horizontal="center" vertical="center" textRotation="75" wrapText="1"/>
    </xf>
    <xf numFmtId="0" fontId="24" fillId="0" borderId="466" xfId="2" applyFont="1" applyBorder="1" applyAlignment="1" applyProtection="1">
      <alignment horizontal="center" vertical="center" textRotation="75" wrapText="1"/>
    </xf>
    <xf numFmtId="0" fontId="24" fillId="0" borderId="467" xfId="2" applyFont="1" applyBorder="1" applyAlignment="1" applyProtection="1">
      <alignment horizontal="center" vertical="center" textRotation="75" wrapText="1"/>
    </xf>
    <xf numFmtId="0" fontId="24" fillId="0" borderId="467" xfId="2" applyFont="1" applyBorder="1" applyAlignment="1" applyProtection="1">
      <alignment vertical="center" textRotation="75" wrapText="1"/>
    </xf>
    <xf numFmtId="0" fontId="24" fillId="0" borderId="468" xfId="2" applyFont="1" applyBorder="1" applyAlignment="1" applyProtection="1">
      <alignment horizontal="center" vertical="center" textRotation="75" wrapText="1"/>
    </xf>
    <xf numFmtId="9" fontId="21" fillId="0" borderId="474" xfId="3" quotePrefix="1" applyFont="1" applyBorder="1" applyAlignment="1" applyProtection="1">
      <alignment horizontal="right" vertical="center"/>
    </xf>
    <xf numFmtId="0" fontId="21" fillId="0" borderId="0" xfId="0" quotePrefix="1" applyFont="1" applyBorder="1" applyAlignment="1" applyProtection="1">
      <alignment horizontal="left" vertical="center"/>
    </xf>
    <xf numFmtId="1" fontId="21" fillId="0" borderId="0" xfId="0" quotePrefix="1" applyNumberFormat="1" applyFont="1" applyBorder="1" applyAlignment="1" applyProtection="1">
      <alignment vertical="center"/>
    </xf>
    <xf numFmtId="1" fontId="21" fillId="0" borderId="729" xfId="0" quotePrefix="1" applyNumberFormat="1" applyFont="1" applyBorder="1" applyAlignment="1" applyProtection="1">
      <alignment horizontal="center" vertical="center"/>
    </xf>
    <xf numFmtId="0" fontId="37" fillId="3" borderId="0" xfId="0" applyFont="1" applyFill="1" applyAlignment="1" applyProtection="1">
      <alignment horizontal="center" vertical="center"/>
    </xf>
    <xf numFmtId="0" fontId="38" fillId="3" borderId="0" xfId="0" applyFont="1" applyFill="1" applyAlignment="1" applyProtection="1">
      <alignment vertical="center"/>
    </xf>
    <xf numFmtId="0" fontId="0" fillId="3" borderId="0" xfId="0" applyFont="1" applyFill="1" applyProtection="1"/>
    <xf numFmtId="0" fontId="24" fillId="0" borderId="0" xfId="10" applyFont="1" applyFill="1" applyBorder="1" applyAlignment="1" applyProtection="1">
      <alignment vertical="center" wrapText="1"/>
    </xf>
    <xf numFmtId="0" fontId="26" fillId="0" borderId="0" xfId="0" applyFont="1" applyBorder="1" applyAlignment="1" applyProtection="1">
      <alignment vertical="center" wrapText="1"/>
    </xf>
    <xf numFmtId="175" fontId="26" fillId="0" borderId="0" xfId="0" applyNumberFormat="1" applyFont="1" applyBorder="1" applyAlignment="1" applyProtection="1">
      <alignment vertical="center" wrapText="1"/>
    </xf>
    <xf numFmtId="0" fontId="0" fillId="0" borderId="0" xfId="0" quotePrefix="1" applyFont="1" applyAlignment="1" applyProtection="1">
      <alignment horizontal="center" vertical="center"/>
    </xf>
    <xf numFmtId="0" fontId="52" fillId="0" borderId="0" xfId="2" applyFont="1" applyAlignment="1" applyProtection="1">
      <alignment vertical="center"/>
    </xf>
    <xf numFmtId="0" fontId="24" fillId="29" borderId="410" xfId="2" applyFont="1" applyFill="1" applyBorder="1" applyAlignment="1" applyProtection="1">
      <alignment horizontal="center" vertical="center"/>
    </xf>
    <xf numFmtId="0" fontId="60" fillId="40" borderId="411" xfId="2" applyFont="1" applyFill="1" applyBorder="1" applyAlignment="1" applyProtection="1">
      <alignment horizontal="center" vertical="center" wrapText="1"/>
    </xf>
    <xf numFmtId="0" fontId="25" fillId="40" borderId="361" xfId="2" applyFont="1" applyFill="1" applyBorder="1" applyAlignment="1" applyProtection="1">
      <alignment horizontal="center" vertical="center" wrapText="1"/>
    </xf>
    <xf numFmtId="0" fontId="25" fillId="40" borderId="274" xfId="2" applyFont="1" applyFill="1" applyBorder="1" applyAlignment="1" applyProtection="1">
      <alignment horizontal="center" vertical="center" wrapText="1"/>
    </xf>
    <xf numFmtId="0" fontId="25" fillId="40" borderId="360" xfId="2" applyFont="1" applyFill="1" applyBorder="1" applyAlignment="1" applyProtection="1">
      <alignment horizontal="center" vertical="center" wrapText="1"/>
    </xf>
    <xf numFmtId="0" fontId="61" fillId="8" borderId="0" xfId="2" applyFont="1" applyFill="1" applyBorder="1" applyAlignment="1" applyProtection="1">
      <alignment vertical="center" wrapText="1"/>
    </xf>
    <xf numFmtId="0" fontId="24" fillId="25" borderId="273" xfId="2" applyFont="1" applyFill="1" applyBorder="1" applyAlignment="1" applyProtection="1">
      <alignment vertical="center"/>
    </xf>
    <xf numFmtId="0" fontId="52" fillId="0" borderId="274" xfId="2" applyFont="1" applyBorder="1" applyAlignment="1" applyProtection="1">
      <alignment vertical="center"/>
    </xf>
    <xf numFmtId="0" fontId="24" fillId="25" borderId="274" xfId="2" applyFont="1" applyFill="1" applyBorder="1" applyAlignment="1" applyProtection="1">
      <alignment vertical="center"/>
    </xf>
    <xf numFmtId="0" fontId="24" fillId="25" borderId="360" xfId="2" applyFont="1" applyFill="1" applyBorder="1" applyAlignment="1" applyProtection="1">
      <alignment vertical="center"/>
    </xf>
    <xf numFmtId="0" fontId="24" fillId="25" borderId="411" xfId="2" applyFont="1" applyFill="1" applyBorder="1" applyAlignment="1" applyProtection="1">
      <alignment horizontal="left" vertical="center"/>
    </xf>
    <xf numFmtId="0" fontId="24" fillId="0" borderId="361" xfId="2" applyFont="1" applyFill="1" applyBorder="1" applyAlignment="1" applyProtection="1">
      <alignment horizontal="center" vertical="center" wrapText="1"/>
    </xf>
    <xf numFmtId="0" fontId="24" fillId="0" borderId="274" xfId="2" applyFont="1" applyFill="1" applyBorder="1" applyAlignment="1" applyProtection="1">
      <alignment horizontal="center" vertical="center"/>
    </xf>
    <xf numFmtId="0" fontId="52" fillId="0" borderId="360" xfId="2" applyFont="1" applyBorder="1" applyAlignment="1" applyProtection="1">
      <alignment vertical="center"/>
    </xf>
    <xf numFmtId="0" fontId="60" fillId="0" borderId="273" xfId="2" applyFont="1" applyFill="1" applyBorder="1" applyAlignment="1" applyProtection="1">
      <alignment horizontal="left" vertical="center" wrapText="1"/>
    </xf>
    <xf numFmtId="0" fontId="60" fillId="0" borderId="274" xfId="2" applyFont="1" applyFill="1" applyBorder="1" applyAlignment="1" applyProtection="1">
      <alignment horizontal="left" vertical="center"/>
    </xf>
    <xf numFmtId="0" fontId="22" fillId="0" borderId="274" xfId="2" applyFont="1" applyFill="1" applyBorder="1" applyAlignment="1" applyProtection="1">
      <alignment horizontal="center"/>
    </xf>
    <xf numFmtId="0" fontId="52" fillId="0" borderId="274" xfId="2" applyFont="1" applyFill="1" applyBorder="1" applyAlignment="1" applyProtection="1">
      <alignment horizontal="center"/>
    </xf>
    <xf numFmtId="0" fontId="24" fillId="0" borderId="275" xfId="2" applyFont="1" applyFill="1" applyBorder="1" applyAlignment="1" applyProtection="1">
      <alignment horizontal="center" vertical="center"/>
    </xf>
    <xf numFmtId="0" fontId="52" fillId="0" borderId="0" xfId="2" applyFont="1" applyFill="1" applyAlignment="1" applyProtection="1">
      <alignment horizontal="center" vertical="center"/>
    </xf>
    <xf numFmtId="0" fontId="52" fillId="0" borderId="0" xfId="2" applyFont="1" applyAlignment="1" applyProtection="1">
      <alignment horizontal="left"/>
    </xf>
    <xf numFmtId="0" fontId="52" fillId="0" borderId="0" xfId="2" applyFont="1" applyAlignment="1" applyProtection="1">
      <alignment horizontal="center" vertical="center"/>
    </xf>
    <xf numFmtId="0" fontId="30" fillId="8" borderId="0" xfId="0" quotePrefix="1" applyFont="1" applyFill="1" applyBorder="1" applyAlignment="1" applyProtection="1">
      <alignment horizontal="center"/>
    </xf>
    <xf numFmtId="0" fontId="58" fillId="8" borderId="0" xfId="0" applyFont="1" applyFill="1" applyBorder="1" applyAlignment="1" applyProtection="1">
      <alignment horizontal="left" vertical="center" wrapText="1"/>
    </xf>
    <xf numFmtId="0" fontId="30" fillId="8" borderId="0" xfId="0" applyFont="1" applyFill="1" applyBorder="1" applyProtection="1"/>
    <xf numFmtId="0" fontId="41" fillId="29" borderId="489" xfId="2" applyFont="1" applyFill="1" applyBorder="1" applyAlignment="1" applyProtection="1">
      <alignment horizontal="center" vertical="center"/>
    </xf>
    <xf numFmtId="0" fontId="35" fillId="0" borderId="0" xfId="2" applyFont="1" applyAlignment="1" applyProtection="1">
      <alignment vertical="center"/>
    </xf>
    <xf numFmtId="0" fontId="0" fillId="0" borderId="276" xfId="0" applyFont="1" applyFill="1" applyBorder="1" applyProtection="1"/>
    <xf numFmtId="0" fontId="0" fillId="0" borderId="277" xfId="0" applyFont="1" applyFill="1" applyBorder="1" applyProtection="1"/>
    <xf numFmtId="0" fontId="0" fillId="39" borderId="273" xfId="0" applyFont="1" applyFill="1" applyBorder="1" applyProtection="1">
      <protection locked="0"/>
    </xf>
    <xf numFmtId="0" fontId="0" fillId="39" borderId="274" xfId="0" applyFont="1" applyFill="1" applyBorder="1" applyProtection="1">
      <protection locked="0"/>
    </xf>
    <xf numFmtId="0" fontId="24" fillId="29" borderId="731" xfId="2" applyFont="1" applyFill="1" applyBorder="1" applyAlignment="1" applyProtection="1">
      <alignment horizontal="center" vertical="center"/>
    </xf>
    <xf numFmtId="0" fontId="52" fillId="0" borderId="0" xfId="2" applyFont="1" applyAlignment="1" applyProtection="1">
      <alignment horizontal="left" vertical="center"/>
    </xf>
    <xf numFmtId="0" fontId="30" fillId="8" borderId="0" xfId="0" quotePrefix="1" applyFont="1" applyFill="1" applyBorder="1" applyAlignment="1" applyProtection="1">
      <alignment horizontal="center" vertical="center"/>
    </xf>
    <xf numFmtId="0" fontId="30" fillId="8" borderId="0" xfId="0" applyFont="1" applyFill="1" applyBorder="1" applyAlignment="1" applyProtection="1">
      <alignment vertical="center"/>
    </xf>
    <xf numFmtId="0" fontId="60" fillId="40" borderId="493" xfId="2" applyFont="1" applyFill="1" applyBorder="1" applyAlignment="1" applyProtection="1">
      <alignment horizontal="center" vertical="center" wrapText="1"/>
    </xf>
    <xf numFmtId="0" fontId="60" fillId="40" borderId="494" xfId="2" applyFont="1" applyFill="1" applyBorder="1" applyAlignment="1" applyProtection="1">
      <alignment vertical="center" wrapText="1"/>
    </xf>
    <xf numFmtId="0" fontId="60" fillId="40" borderId="495" xfId="2" applyFont="1" applyFill="1" applyBorder="1" applyAlignment="1" applyProtection="1">
      <alignment horizontal="center" vertical="center" wrapText="1"/>
    </xf>
    <xf numFmtId="0" fontId="60" fillId="40" borderId="494" xfId="2" applyFont="1" applyFill="1" applyBorder="1" applyAlignment="1" applyProtection="1">
      <alignment horizontal="center" vertical="center" wrapText="1"/>
    </xf>
    <xf numFmtId="0" fontId="60" fillId="40" borderId="492" xfId="2" applyFont="1" applyFill="1" applyBorder="1" applyAlignment="1" applyProtection="1">
      <alignment horizontal="center" vertical="center" wrapText="1"/>
    </xf>
    <xf numFmtId="0" fontId="60" fillId="40" borderId="372" xfId="2" applyFont="1" applyFill="1" applyBorder="1" applyAlignment="1" applyProtection="1">
      <alignment horizontal="center" vertical="center" wrapText="1"/>
    </xf>
    <xf numFmtId="0" fontId="62" fillId="40" borderId="492" xfId="2" applyFont="1" applyFill="1" applyBorder="1" applyAlignment="1" applyProtection="1">
      <alignment horizontal="center" vertical="center" wrapText="1"/>
    </xf>
    <xf numFmtId="0" fontId="60" fillId="40" borderId="496" xfId="2" applyFont="1" applyFill="1" applyBorder="1" applyAlignment="1" applyProtection="1">
      <alignment horizontal="center" vertical="center" wrapText="1"/>
    </xf>
    <xf numFmtId="0" fontId="52" fillId="0" borderId="800" xfId="2" applyNumberFormat="1" applyFont="1" applyFill="1" applyBorder="1" applyAlignment="1" applyProtection="1">
      <alignment horizontal="center" vertical="center"/>
    </xf>
    <xf numFmtId="0" fontId="41" fillId="29" borderId="791" xfId="2" applyFont="1" applyFill="1" applyBorder="1" applyAlignment="1" applyProtection="1">
      <alignment horizontal="center" vertical="center"/>
    </xf>
    <xf numFmtId="0" fontId="118" fillId="40" borderId="794" xfId="2" applyFont="1" applyFill="1" applyBorder="1" applyAlignment="1" applyProtection="1">
      <alignment horizontal="center" vertical="center" wrapText="1"/>
    </xf>
    <xf numFmtId="0" fontId="118" fillId="40" borderId="795" xfId="2" applyFont="1" applyFill="1" applyBorder="1" applyAlignment="1" applyProtection="1">
      <alignment horizontal="center" vertical="center" wrapText="1"/>
    </xf>
    <xf numFmtId="0" fontId="24" fillId="25" borderId="789" xfId="2" applyFont="1" applyFill="1" applyBorder="1" applyAlignment="1" applyProtection="1">
      <alignment vertical="center"/>
    </xf>
    <xf numFmtId="0" fontId="52" fillId="0" borderId="732" xfId="2" applyFont="1" applyBorder="1" applyAlignment="1" applyProtection="1">
      <alignment vertical="center"/>
    </xf>
    <xf numFmtId="0" fontId="24" fillId="25" borderId="732" xfId="2" applyFont="1" applyFill="1" applyBorder="1" applyAlignment="1" applyProtection="1">
      <alignment vertical="center"/>
    </xf>
    <xf numFmtId="0" fontId="24" fillId="25" borderId="732" xfId="2" applyFont="1" applyFill="1" applyBorder="1" applyAlignment="1" applyProtection="1">
      <alignment horizontal="left" vertical="center"/>
    </xf>
    <xf numFmtId="0" fontId="52" fillId="0" borderId="733" xfId="2" applyFont="1" applyBorder="1" applyAlignment="1" applyProtection="1">
      <alignment vertical="center"/>
    </xf>
    <xf numFmtId="0" fontId="24" fillId="25" borderId="796" xfId="2" applyFont="1" applyFill="1" applyBorder="1" applyAlignment="1" applyProtection="1">
      <alignment vertical="center"/>
    </xf>
    <xf numFmtId="0" fontId="52" fillId="0" borderId="797" xfId="2" applyFont="1" applyBorder="1" applyAlignment="1" applyProtection="1">
      <alignment vertical="center"/>
    </xf>
    <xf numFmtId="0" fontId="24" fillId="25" borderId="797" xfId="2" applyFont="1" applyFill="1" applyBorder="1" applyAlignment="1" applyProtection="1">
      <alignment vertical="center"/>
    </xf>
    <xf numFmtId="0" fontId="24" fillId="25" borderId="797" xfId="2" applyFont="1" applyFill="1" applyBorder="1" applyAlignment="1" applyProtection="1">
      <alignment horizontal="left" vertical="center"/>
    </xf>
    <xf numFmtId="0" fontId="52" fillId="0" borderId="798" xfId="2" applyFont="1" applyBorder="1" applyAlignment="1" applyProtection="1">
      <alignment vertical="center"/>
    </xf>
    <xf numFmtId="0" fontId="60" fillId="8" borderId="0" xfId="2" applyFont="1" applyFill="1" applyBorder="1" applyAlignment="1" applyProtection="1">
      <alignment horizontal="left" vertical="center"/>
    </xf>
    <xf numFmtId="0" fontId="24" fillId="0" borderId="803" xfId="2" applyFont="1" applyFill="1" applyBorder="1" applyAlignment="1" applyProtection="1">
      <alignment horizontal="center" vertical="center"/>
    </xf>
    <xf numFmtId="0" fontId="24" fillId="0" borderId="804" xfId="2" applyFont="1" applyFill="1" applyBorder="1" applyAlignment="1" applyProtection="1">
      <alignment horizontal="center" vertical="center"/>
    </xf>
    <xf numFmtId="0" fontId="35" fillId="40" borderId="800" xfId="2" applyFont="1" applyFill="1" applyBorder="1" applyAlignment="1" applyProtection="1">
      <alignment horizontal="center" vertical="center"/>
      <protection locked="0"/>
    </xf>
    <xf numFmtId="0" fontId="35" fillId="40" borderId="801" xfId="2" applyFont="1" applyFill="1" applyBorder="1" applyAlignment="1" applyProtection="1">
      <alignment horizontal="center" vertical="center"/>
      <protection locked="0"/>
    </xf>
    <xf numFmtId="0" fontId="0" fillId="40" borderId="273" xfId="0" applyFont="1" applyFill="1" applyBorder="1" applyProtection="1">
      <protection locked="0"/>
    </xf>
    <xf numFmtId="0" fontId="0" fillId="40" borderId="274" xfId="0" applyFont="1" applyFill="1" applyBorder="1" applyProtection="1">
      <protection locked="0"/>
    </xf>
    <xf numFmtId="0" fontId="21" fillId="0" borderId="0" xfId="0" applyFont="1" applyProtection="1"/>
    <xf numFmtId="0" fontId="64" fillId="0" borderId="168" xfId="2" applyFont="1" applyFill="1" applyBorder="1" applyProtection="1"/>
    <xf numFmtId="0" fontId="21" fillId="0" borderId="0" xfId="0" applyFont="1" applyFill="1" applyAlignment="1" applyProtection="1">
      <alignment vertical="center"/>
    </xf>
    <xf numFmtId="0" fontId="11" fillId="40" borderId="659" xfId="15" applyFont="1" applyFill="1" applyBorder="1" applyAlignment="1" applyProtection="1">
      <alignment horizontal="left" vertical="center"/>
      <protection locked="0"/>
    </xf>
    <xf numFmtId="9" fontId="11" fillId="40" borderId="659" xfId="15" applyNumberFormat="1" applyFill="1" applyBorder="1" applyAlignment="1" applyProtection="1">
      <alignment horizontal="left" vertical="center"/>
      <protection locked="0"/>
    </xf>
    <xf numFmtId="3" fontId="11" fillId="40" borderId="650" xfId="15" applyNumberFormat="1" applyFill="1" applyBorder="1" applyAlignment="1" applyProtection="1">
      <alignment horizontal="center" vertical="center"/>
      <protection locked="0"/>
    </xf>
    <xf numFmtId="0" fontId="2" fillId="60" borderId="335" xfId="0" applyFont="1" applyFill="1" applyBorder="1" applyAlignment="1" applyProtection="1">
      <alignment vertical="center"/>
    </xf>
    <xf numFmtId="0" fontId="11" fillId="0" borderId="0" xfId="15" applyProtection="1"/>
    <xf numFmtId="0" fontId="11" fillId="0" borderId="687" xfId="15" applyBorder="1" applyProtection="1"/>
    <xf numFmtId="0" fontId="1" fillId="34" borderId="656" xfId="15" applyFont="1" applyFill="1" applyBorder="1" applyAlignment="1" applyProtection="1">
      <alignment horizontal="center" vertical="center"/>
    </xf>
    <xf numFmtId="0" fontId="1" fillId="34" borderId="656" xfId="15" applyFont="1" applyFill="1" applyBorder="1" applyAlignment="1" applyProtection="1">
      <alignment vertical="center"/>
    </xf>
    <xf numFmtId="0" fontId="1" fillId="0" borderId="666" xfId="15" applyFont="1" applyBorder="1" applyProtection="1"/>
    <xf numFmtId="0" fontId="1" fillId="0" borderId="0" xfId="15" applyFont="1" applyBorder="1" applyProtection="1"/>
    <xf numFmtId="0" fontId="1" fillId="0" borderId="0" xfId="15" applyFont="1" applyProtection="1"/>
    <xf numFmtId="0" fontId="11" fillId="0" borderId="666" xfId="15" applyBorder="1" applyAlignment="1" applyProtection="1"/>
    <xf numFmtId="0" fontId="11" fillId="0" borderId="0" xfId="15" applyBorder="1" applyAlignment="1" applyProtection="1"/>
    <xf numFmtId="0" fontId="11" fillId="0" borderId="650" xfId="15" applyBorder="1" applyAlignment="1" applyProtection="1">
      <alignment horizontal="center" vertical="center"/>
    </xf>
    <xf numFmtId="0" fontId="11" fillId="0" borderId="666" xfId="15" applyBorder="1" applyProtection="1"/>
    <xf numFmtId="0" fontId="11" fillId="0" borderId="0" xfId="15" applyBorder="1" applyProtection="1"/>
    <xf numFmtId="0" fontId="11" fillId="34" borderId="657" xfId="15" applyFill="1" applyBorder="1" applyAlignment="1" applyProtection="1">
      <alignment vertical="center"/>
    </xf>
    <xf numFmtId="9" fontId="11" fillId="31" borderId="650" xfId="15" applyNumberFormat="1" applyFill="1" applyBorder="1" applyAlignment="1" applyProtection="1">
      <alignment horizontal="center" vertical="center"/>
      <protection locked="0"/>
    </xf>
    <xf numFmtId="9" fontId="11" fillId="31" borderId="650" xfId="16" applyFont="1" applyFill="1" applyBorder="1" applyAlignment="1" applyProtection="1">
      <alignment horizontal="center" vertical="center"/>
      <protection locked="0"/>
    </xf>
    <xf numFmtId="9" fontId="11" fillId="0" borderId="650" xfId="16" applyFont="1" applyFill="1" applyBorder="1" applyAlignment="1" applyProtection="1">
      <alignment horizontal="center" vertical="center"/>
      <protection locked="0"/>
    </xf>
    <xf numFmtId="2" fontId="11" fillId="0" borderId="650" xfId="15" applyNumberFormat="1" applyBorder="1" applyAlignment="1" applyProtection="1">
      <alignment horizontal="center" vertical="center"/>
      <protection locked="0"/>
    </xf>
    <xf numFmtId="0" fontId="11" fillId="0" borderId="650" xfId="15" applyBorder="1" applyAlignment="1" applyProtection="1">
      <alignment horizontal="center" vertical="center"/>
      <protection locked="0"/>
    </xf>
    <xf numFmtId="0" fontId="11" fillId="0" borderId="650" xfId="15" applyBorder="1" applyAlignment="1" applyProtection="1">
      <alignment vertical="center"/>
      <protection locked="0"/>
    </xf>
    <xf numFmtId="0" fontId="11" fillId="0" borderId="650" xfId="15" applyFill="1" applyBorder="1" applyAlignment="1" applyProtection="1">
      <alignment horizontal="center" vertical="center"/>
      <protection locked="0"/>
    </xf>
    <xf numFmtId="1" fontId="11" fillId="0" borderId="650" xfId="15" applyNumberFormat="1" applyBorder="1" applyAlignment="1" applyProtection="1">
      <alignment horizontal="center" vertical="center"/>
      <protection locked="0"/>
    </xf>
    <xf numFmtId="0" fontId="26" fillId="0" borderId="0" xfId="0" applyFont="1" applyBorder="1" applyAlignment="1" applyProtection="1">
      <alignment horizontal="center" vertical="center"/>
    </xf>
    <xf numFmtId="0" fontId="0" fillId="0" borderId="288" xfId="0" applyFont="1" applyBorder="1" applyProtection="1"/>
    <xf numFmtId="0" fontId="0" fillId="0" borderId="301" xfId="0" applyFont="1" applyBorder="1" applyProtection="1"/>
    <xf numFmtId="0" fontId="26" fillId="0" borderId="301" xfId="0" applyFont="1" applyBorder="1" applyAlignment="1" applyProtection="1">
      <alignment horizontal="left" vertical="center" wrapText="1"/>
    </xf>
    <xf numFmtId="0" fontId="26" fillId="0" borderId="284" xfId="0" applyFont="1" applyBorder="1" applyAlignment="1" applyProtection="1">
      <alignment horizontal="center" vertical="center"/>
    </xf>
    <xf numFmtId="0" fontId="0" fillId="0" borderId="302" xfId="0" applyFont="1" applyBorder="1" applyProtection="1"/>
    <xf numFmtId="0" fontId="26" fillId="0" borderId="302" xfId="0" applyFont="1" applyBorder="1" applyAlignment="1" applyProtection="1">
      <alignment horizontal="left" vertical="center" wrapText="1"/>
    </xf>
    <xf numFmtId="0" fontId="2" fillId="65" borderId="335" xfId="0" applyFont="1" applyFill="1" applyBorder="1" applyAlignment="1" applyProtection="1">
      <alignment vertical="center"/>
    </xf>
    <xf numFmtId="0" fontId="11" fillId="0" borderId="0" xfId="81" applyProtection="1"/>
    <xf numFmtId="0" fontId="11" fillId="0" borderId="0" xfId="81" applyFont="1" applyProtection="1"/>
    <xf numFmtId="0" fontId="11" fillId="0" borderId="0" xfId="81" applyFont="1" applyAlignment="1" applyProtection="1">
      <alignment vertical="center"/>
    </xf>
    <xf numFmtId="0" fontId="11" fillId="0" borderId="0" xfId="81" applyAlignment="1" applyProtection="1">
      <alignment vertical="center"/>
    </xf>
    <xf numFmtId="0" fontId="21" fillId="34" borderId="809" xfId="81" applyFont="1" applyFill="1" applyBorder="1" applyAlignment="1" applyProtection="1">
      <alignment horizontal="center" vertical="center" wrapText="1"/>
    </xf>
    <xf numFmtId="0" fontId="11" fillId="40" borderId="812" xfId="81" applyFont="1" applyFill="1" applyBorder="1" applyAlignment="1" applyProtection="1">
      <alignment horizontal="center" vertical="center"/>
      <protection locked="0"/>
    </xf>
    <xf numFmtId="0" fontId="0" fillId="40" borderId="812" xfId="81" applyFont="1" applyFill="1" applyBorder="1" applyAlignment="1" applyProtection="1">
      <alignment vertical="center"/>
      <protection locked="0"/>
    </xf>
    <xf numFmtId="0" fontId="21" fillId="34" borderId="822" xfId="81" applyFont="1" applyFill="1" applyBorder="1" applyAlignment="1" applyProtection="1">
      <alignment horizontal="center" vertical="center" wrapText="1"/>
    </xf>
    <xf numFmtId="0" fontId="21" fillId="34" borderId="823" xfId="81" applyFont="1" applyFill="1" applyBorder="1" applyAlignment="1" applyProtection="1">
      <alignment horizontal="center" vertical="center" wrapText="1"/>
    </xf>
    <xf numFmtId="0" fontId="6" fillId="40" borderId="827" xfId="81" applyFont="1" applyFill="1" applyBorder="1" applyAlignment="1" applyProtection="1">
      <alignment horizontal="center" vertical="center"/>
      <protection locked="0"/>
    </xf>
    <xf numFmtId="0" fontId="11" fillId="40" borderId="826" xfId="81" applyFont="1" applyFill="1" applyBorder="1" applyAlignment="1" applyProtection="1">
      <alignment horizontal="center" vertical="center"/>
      <protection locked="0"/>
    </xf>
    <xf numFmtId="0" fontId="11" fillId="40" borderId="827" xfId="81" applyFill="1" applyBorder="1" applyAlignment="1" applyProtection="1">
      <alignment horizontal="center" vertical="center"/>
      <protection locked="0"/>
    </xf>
    <xf numFmtId="16" fontId="6" fillId="40" borderId="827" xfId="81" applyNumberFormat="1" applyFont="1" applyFill="1" applyBorder="1" applyAlignment="1" applyProtection="1">
      <alignment horizontal="center" vertical="center"/>
      <protection locked="0"/>
    </xf>
    <xf numFmtId="0" fontId="0" fillId="40" borderId="827" xfId="81" applyFont="1" applyFill="1" applyBorder="1" applyAlignment="1" applyProtection="1">
      <alignment horizontal="center" vertical="center"/>
      <protection locked="0"/>
    </xf>
    <xf numFmtId="0" fontId="11" fillId="40" borderId="830" xfId="81" applyFill="1" applyBorder="1" applyAlignment="1" applyProtection="1">
      <alignment horizontal="center" vertical="center"/>
      <protection locked="0"/>
    </xf>
    <xf numFmtId="0" fontId="6" fillId="0" borderId="0" xfId="2" applyProtection="1"/>
    <xf numFmtId="0" fontId="24" fillId="34" borderId="848" xfId="2" applyFont="1" applyFill="1" applyBorder="1" applyAlignment="1" applyProtection="1">
      <alignment horizontal="center" vertical="center" wrapText="1"/>
    </xf>
    <xf numFmtId="0" fontId="24" fillId="34" borderId="849" xfId="2" applyFont="1" applyFill="1" applyBorder="1" applyAlignment="1" applyProtection="1">
      <alignment horizontal="center" vertical="center" wrapText="1"/>
    </xf>
    <xf numFmtId="0" fontId="24" fillId="34" borderId="850" xfId="2" applyFont="1" applyFill="1" applyBorder="1" applyAlignment="1" applyProtection="1">
      <alignment horizontal="center" vertical="center" wrapText="1"/>
    </xf>
    <xf numFmtId="0" fontId="56" fillId="0" borderId="854" xfId="0" applyFont="1" applyFill="1" applyBorder="1" applyAlignment="1" applyProtection="1">
      <alignment horizontal="left" vertical="center"/>
    </xf>
    <xf numFmtId="0" fontId="2" fillId="0" borderId="854" xfId="0" applyFont="1" applyFill="1" applyBorder="1" applyAlignment="1" applyProtection="1">
      <alignment vertical="center"/>
    </xf>
    <xf numFmtId="0" fontId="37" fillId="2" borderId="0" xfId="0" applyFont="1" applyFill="1" applyBorder="1" applyAlignment="1">
      <alignment horizontal="center" vertical="center"/>
    </xf>
    <xf numFmtId="0" fontId="37" fillId="2" borderId="0" xfId="0" applyFont="1" applyFill="1" applyBorder="1" applyAlignment="1" applyProtection="1">
      <alignment horizontal="center" vertical="center"/>
    </xf>
    <xf numFmtId="0" fontId="24" fillId="0" borderId="264" xfId="2" applyFont="1" applyFill="1" applyBorder="1" applyAlignment="1" applyProtection="1">
      <alignment horizontal="left" vertical="center" wrapText="1"/>
    </xf>
    <xf numFmtId="0" fontId="24" fillId="0" borderId="361" xfId="2" applyFont="1" applyFill="1" applyBorder="1" applyAlignment="1" applyProtection="1">
      <alignment horizontal="left" vertical="center" wrapText="1"/>
    </xf>
    <xf numFmtId="0" fontId="60" fillId="40" borderId="492" xfId="2" applyFont="1" applyFill="1" applyBorder="1" applyAlignment="1" applyProtection="1">
      <alignment horizontal="center" vertical="center" wrapText="1"/>
    </xf>
    <xf numFmtId="0" fontId="65" fillId="0" borderId="0" xfId="2" applyFont="1" applyFill="1" applyBorder="1" applyAlignment="1" applyProtection="1">
      <alignment horizontal="left" vertical="center"/>
    </xf>
    <xf numFmtId="0" fontId="26" fillId="0" borderId="0" xfId="0" applyFont="1" applyFill="1" applyBorder="1" applyAlignment="1" applyProtection="1">
      <alignment horizontal="left" vertical="center"/>
    </xf>
    <xf numFmtId="0" fontId="35" fillId="0" borderId="0" xfId="0" applyFont="1" applyFill="1" applyBorder="1" applyAlignment="1" applyProtection="1">
      <alignment horizontal="left" vertical="top" wrapText="1"/>
    </xf>
    <xf numFmtId="0" fontId="35" fillId="0" borderId="0" xfId="0" applyFont="1" applyFill="1" applyBorder="1" applyAlignment="1" applyProtection="1">
      <alignment horizontal="center" vertical="center" wrapText="1"/>
    </xf>
    <xf numFmtId="0" fontId="30" fillId="8" borderId="264" xfId="0" applyFont="1" applyFill="1" applyBorder="1" applyProtection="1"/>
    <xf numFmtId="0" fontId="30" fillId="8" borderId="265" xfId="0" applyFont="1" applyFill="1" applyBorder="1" applyProtection="1"/>
    <xf numFmtId="0" fontId="24" fillId="0" borderId="635" xfId="2" applyFont="1" applyFill="1" applyBorder="1" applyAlignment="1" applyProtection="1">
      <alignment vertical="center"/>
    </xf>
    <xf numFmtId="0" fontId="24" fillId="0" borderId="636" xfId="2" applyFont="1" applyFill="1" applyBorder="1" applyAlignment="1" applyProtection="1">
      <alignment vertical="center"/>
    </xf>
    <xf numFmtId="0" fontId="24" fillId="0" borderId="637" xfId="2" applyFont="1" applyFill="1" applyBorder="1" applyAlignment="1" applyProtection="1">
      <alignment vertical="center"/>
    </xf>
    <xf numFmtId="0" fontId="52" fillId="0" borderId="267" xfId="2" applyFont="1" applyFill="1" applyBorder="1" applyAlignment="1" applyProtection="1">
      <alignment vertical="center"/>
    </xf>
    <xf numFmtId="0" fontId="0" fillId="0" borderId="268" xfId="0" applyFont="1" applyFill="1" applyBorder="1" applyAlignment="1" applyProtection="1">
      <alignment vertical="center"/>
    </xf>
    <xf numFmtId="0" fontId="0" fillId="0" borderId="362" xfId="0" applyFont="1" applyFill="1" applyBorder="1" applyAlignment="1" applyProtection="1">
      <alignment vertical="center"/>
    </xf>
    <xf numFmtId="0" fontId="52" fillId="0" borderId="643" xfId="2" applyFont="1" applyFill="1" applyBorder="1" applyAlignment="1" applyProtection="1">
      <alignment vertical="center"/>
    </xf>
    <xf numFmtId="0" fontId="52" fillId="0" borderId="362" xfId="2" applyFont="1" applyFill="1" applyBorder="1" applyAlignment="1" applyProtection="1">
      <alignment vertical="center"/>
    </xf>
    <xf numFmtId="3" fontId="52" fillId="0" borderId="643" xfId="2" applyNumberFormat="1" applyFont="1" applyFill="1" applyBorder="1" applyAlignment="1" applyProtection="1">
      <alignment vertical="center"/>
    </xf>
    <xf numFmtId="3" fontId="52" fillId="0" borderId="269" xfId="2" applyNumberFormat="1" applyFont="1" applyFill="1" applyBorder="1" applyAlignment="1" applyProtection="1">
      <alignment vertical="center"/>
    </xf>
    <xf numFmtId="0" fontId="52" fillId="0" borderId="0" xfId="2" applyFont="1" applyBorder="1" applyAlignment="1" applyProtection="1">
      <alignment vertical="center"/>
    </xf>
    <xf numFmtId="0" fontId="24" fillId="0" borderId="0" xfId="2" applyFont="1" applyFill="1" applyProtection="1"/>
    <xf numFmtId="0" fontId="52" fillId="0" borderId="0" xfId="2" applyFont="1" applyFill="1" applyProtection="1"/>
    <xf numFmtId="0" fontId="52" fillId="0" borderId="380" xfId="2" applyFont="1" applyBorder="1" applyAlignment="1" applyProtection="1">
      <alignment vertical="center"/>
    </xf>
    <xf numFmtId="0" fontId="52" fillId="0" borderId="0" xfId="2" applyFont="1" applyFill="1" applyBorder="1" applyAlignment="1" applyProtection="1">
      <alignment vertical="center"/>
    </xf>
    <xf numFmtId="0" fontId="22" fillId="0" borderId="0" xfId="2" applyFont="1" applyAlignment="1" applyProtection="1">
      <alignment vertical="center"/>
    </xf>
    <xf numFmtId="0" fontId="35" fillId="0" borderId="0" xfId="2" applyFont="1" applyProtection="1"/>
    <xf numFmtId="0" fontId="27" fillId="0" borderId="375" xfId="2" applyFont="1" applyBorder="1" applyProtection="1"/>
    <xf numFmtId="0" fontId="35" fillId="0" borderId="377" xfId="2" applyFont="1" applyBorder="1" applyAlignment="1" applyProtection="1"/>
    <xf numFmtId="0" fontId="60" fillId="8" borderId="264" xfId="2" applyFont="1" applyFill="1" applyBorder="1" applyAlignment="1" applyProtection="1"/>
    <xf numFmtId="0" fontId="60" fillId="8" borderId="265" xfId="2" applyFont="1" applyFill="1" applyBorder="1" applyAlignment="1" applyProtection="1"/>
    <xf numFmtId="0" fontId="60" fillId="8" borderId="361" xfId="2" applyFont="1" applyFill="1" applyBorder="1" applyAlignment="1" applyProtection="1"/>
    <xf numFmtId="0" fontId="66" fillId="0" borderId="375" xfId="2" applyFont="1" applyBorder="1" applyProtection="1"/>
    <xf numFmtId="0" fontId="52" fillId="0" borderId="375" xfId="2" applyFont="1" applyBorder="1" applyAlignment="1" applyProtection="1"/>
    <xf numFmtId="0" fontId="52" fillId="0" borderId="0" xfId="2" quotePrefix="1" applyFont="1" applyProtection="1"/>
    <xf numFmtId="0" fontId="24" fillId="21" borderId="643" xfId="2" applyFont="1" applyFill="1" applyBorder="1" applyAlignment="1" applyProtection="1">
      <alignment horizontal="right" vertical="center"/>
    </xf>
    <xf numFmtId="9" fontId="24" fillId="21" borderId="268" xfId="3" applyFont="1" applyFill="1" applyBorder="1" applyAlignment="1" applyProtection="1">
      <alignment horizontal="center" vertical="center"/>
    </xf>
    <xf numFmtId="0" fontId="24" fillId="21" borderId="268" xfId="2" applyFont="1" applyFill="1" applyBorder="1" applyAlignment="1" applyProtection="1">
      <alignment vertical="center"/>
    </xf>
    <xf numFmtId="0" fontId="52" fillId="21" borderId="268" xfId="2" applyFont="1" applyFill="1" applyBorder="1" applyAlignment="1" applyProtection="1">
      <alignment vertical="center"/>
    </xf>
    <xf numFmtId="0" fontId="52" fillId="21" borderId="269" xfId="2" applyFont="1" applyFill="1" applyBorder="1" applyAlignment="1" applyProtection="1">
      <alignment vertical="center"/>
    </xf>
    <xf numFmtId="0" fontId="24" fillId="0" borderId="0" xfId="2" applyFont="1" applyAlignment="1" applyProtection="1">
      <alignment horizontal="right" vertical="center"/>
    </xf>
    <xf numFmtId="9" fontId="24" fillId="0" borderId="0" xfId="3" applyFont="1" applyAlignment="1" applyProtection="1">
      <alignment horizontal="center" vertical="center"/>
    </xf>
    <xf numFmtId="0" fontId="24" fillId="0" borderId="0" xfId="2" applyFont="1" applyAlignment="1" applyProtection="1">
      <alignment vertical="center"/>
    </xf>
    <xf numFmtId="0" fontId="24" fillId="0" borderId="0" xfId="2" applyFont="1" applyAlignment="1" applyProtection="1">
      <alignment horizontal="right"/>
    </xf>
    <xf numFmtId="9" fontId="24" fillId="0" borderId="0" xfId="3" applyFont="1" applyAlignment="1" applyProtection="1">
      <alignment horizontal="center"/>
    </xf>
    <xf numFmtId="0" fontId="24" fillId="0" borderId="0" xfId="2" applyFont="1" applyProtection="1"/>
    <xf numFmtId="0" fontId="39" fillId="0" borderId="283" xfId="0" applyFont="1" applyFill="1" applyBorder="1" applyAlignment="1" applyProtection="1">
      <alignment horizontal="left" vertical="center"/>
    </xf>
    <xf numFmtId="0" fontId="2" fillId="0" borderId="283" xfId="0" applyFont="1" applyFill="1" applyBorder="1" applyAlignment="1" applyProtection="1">
      <alignment vertical="center"/>
    </xf>
    <xf numFmtId="0" fontId="41" fillId="0" borderId="889" xfId="0" applyFont="1" applyFill="1" applyBorder="1" applyAlignment="1" applyProtection="1">
      <alignment horizontal="left" vertical="center"/>
    </xf>
    <xf numFmtId="0" fontId="0" fillId="0" borderId="889" xfId="0" applyFont="1" applyFill="1" applyBorder="1" applyAlignment="1" applyProtection="1">
      <alignment vertical="center"/>
    </xf>
    <xf numFmtId="0" fontId="36" fillId="64" borderId="0" xfId="0" applyFont="1" applyFill="1" applyAlignment="1" applyProtection="1">
      <alignment horizontal="left" vertical="center"/>
    </xf>
    <xf numFmtId="0" fontId="5" fillId="8" borderId="0" xfId="1" applyFill="1" applyAlignment="1" applyProtection="1">
      <alignment vertical="top"/>
    </xf>
    <xf numFmtId="0" fontId="14" fillId="0" borderId="0" xfId="0" applyFont="1" applyFill="1" applyAlignment="1">
      <alignment horizontal="center" vertical="center"/>
    </xf>
    <xf numFmtId="0" fontId="33" fillId="0" borderId="0" xfId="0" applyFont="1" applyFill="1" applyAlignment="1">
      <alignment horizontal="center" vertical="center"/>
    </xf>
    <xf numFmtId="0" fontId="33" fillId="0" borderId="0" xfId="0" applyFont="1" applyFill="1" applyAlignment="1">
      <alignment vertical="center"/>
    </xf>
    <xf numFmtId="0" fontId="5" fillId="0" borderId="0" xfId="1" applyFont="1" applyFill="1" applyAlignment="1" applyProtection="1">
      <alignment horizontal="center" vertical="center"/>
    </xf>
    <xf numFmtId="0" fontId="0" fillId="0" borderId="242" xfId="0" applyFont="1" applyFill="1" applyBorder="1" applyAlignment="1" applyProtection="1">
      <alignment horizontal="left" vertical="center"/>
    </xf>
    <xf numFmtId="0" fontId="0" fillId="0" borderId="0" xfId="0" applyFont="1" applyFill="1" applyBorder="1" applyAlignment="1" applyProtection="1">
      <alignment horizontal="left" vertical="center"/>
    </xf>
    <xf numFmtId="0" fontId="0" fillId="0" borderId="0" xfId="0" quotePrefix="1" applyAlignment="1">
      <alignment horizontal="left"/>
    </xf>
    <xf numFmtId="0" fontId="36" fillId="2" borderId="0" xfId="0" applyFont="1" applyFill="1" applyBorder="1" applyAlignment="1">
      <alignment horizontal="center" vertical="center"/>
    </xf>
    <xf numFmtId="0" fontId="30" fillId="0" borderId="0" xfId="0" applyFont="1"/>
    <xf numFmtId="0" fontId="22" fillId="0" borderId="0" xfId="0" applyFont="1"/>
    <xf numFmtId="0" fontId="1" fillId="9" borderId="36" xfId="9" applyFont="1" applyFill="1" applyBorder="1" applyAlignment="1">
      <alignment horizontal="center" vertical="center"/>
    </xf>
    <xf numFmtId="0" fontId="1" fillId="9" borderId="37" xfId="9" applyFont="1" applyFill="1" applyBorder="1" applyAlignment="1">
      <alignment horizontal="center" vertical="center"/>
    </xf>
    <xf numFmtId="0" fontId="11" fillId="0" borderId="39" xfId="9" applyFill="1" applyBorder="1" applyAlignment="1">
      <alignment horizontal="center" vertical="center"/>
    </xf>
    <xf numFmtId="0" fontId="2" fillId="0" borderId="0" xfId="0" applyFont="1" applyAlignment="1" applyProtection="1">
      <alignment horizontal="center" vertical="center"/>
    </xf>
    <xf numFmtId="0" fontId="41" fillId="0" borderId="891" xfId="0" applyFont="1" applyFill="1" applyBorder="1" applyAlignment="1" applyProtection="1">
      <alignment horizontal="left" vertical="center"/>
    </xf>
    <xf numFmtId="0" fontId="0" fillId="0" borderId="891" xfId="0" applyFont="1" applyFill="1" applyBorder="1" applyAlignment="1" applyProtection="1">
      <alignment vertical="center"/>
    </xf>
    <xf numFmtId="0" fontId="0" fillId="3" borderId="0" xfId="0" applyFont="1" applyFill="1" applyBorder="1" applyAlignment="1" applyProtection="1">
      <alignment horizontal="center" vertical="center"/>
    </xf>
    <xf numFmtId="0" fontId="2" fillId="9" borderId="335" xfId="0" applyFont="1" applyFill="1" applyBorder="1" applyAlignment="1" applyProtection="1">
      <alignment vertical="center"/>
    </xf>
    <xf numFmtId="0" fontId="0" fillId="8" borderId="62" xfId="0" applyFont="1" applyFill="1" applyBorder="1" applyAlignment="1" applyProtection="1"/>
    <xf numFmtId="0" fontId="2" fillId="9" borderId="44" xfId="0" applyFont="1" applyFill="1" applyBorder="1" applyAlignment="1" applyProtection="1">
      <alignment vertical="center"/>
    </xf>
    <xf numFmtId="0" fontId="2" fillId="9" borderId="3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85" xfId="0" applyFont="1" applyFill="1" applyBorder="1" applyAlignment="1" applyProtection="1">
      <alignment horizontal="center" vertical="center"/>
    </xf>
    <xf numFmtId="0" fontId="2" fillId="9" borderId="63" xfId="0" applyFont="1" applyFill="1" applyBorder="1" applyAlignment="1" applyProtection="1">
      <alignment horizontal="center" vertical="center"/>
    </xf>
    <xf numFmtId="0" fontId="2" fillId="8" borderId="0" xfId="0" applyFont="1" applyFill="1" applyAlignment="1" applyProtection="1">
      <alignment horizontal="center" vertical="center"/>
    </xf>
    <xf numFmtId="0" fontId="0" fillId="5" borderId="45" xfId="0" applyFont="1" applyFill="1" applyBorder="1" applyAlignment="1" applyProtection="1">
      <alignment horizontal="center" vertical="top"/>
    </xf>
    <xf numFmtId="14" fontId="0" fillId="5" borderId="39" xfId="0" applyNumberFormat="1" applyFont="1" applyFill="1" applyBorder="1" applyAlignment="1" applyProtection="1">
      <alignment horizontal="center" vertical="center"/>
    </xf>
    <xf numFmtId="14" fontId="0" fillId="5" borderId="45" xfId="0" applyNumberFormat="1" applyFont="1" applyFill="1" applyBorder="1" applyAlignment="1" applyProtection="1">
      <alignment horizontal="center" vertical="center"/>
    </xf>
    <xf numFmtId="0" fontId="0" fillId="5" borderId="50" xfId="0" applyFont="1" applyFill="1" applyBorder="1" applyAlignment="1" applyProtection="1">
      <alignment horizontal="left" vertical="center"/>
    </xf>
    <xf numFmtId="0" fontId="0" fillId="5" borderId="45" xfId="0" applyFont="1" applyFill="1" applyBorder="1" applyAlignment="1" applyProtection="1">
      <alignment horizontal="left" vertical="center"/>
    </xf>
    <xf numFmtId="0" fontId="0" fillId="5" borderId="38" xfId="0" applyFont="1" applyFill="1" applyBorder="1" applyAlignment="1" applyProtection="1">
      <alignment horizontal="left" vertical="center"/>
    </xf>
    <xf numFmtId="0" fontId="0" fillId="5" borderId="40" xfId="0" applyFont="1" applyFill="1" applyBorder="1" applyAlignment="1" applyProtection="1">
      <alignment horizontal="left" vertical="center"/>
    </xf>
    <xf numFmtId="1" fontId="25" fillId="7" borderId="529" xfId="6" applyNumberFormat="1" applyFont="1" applyFill="1" applyBorder="1" applyAlignment="1">
      <alignment horizontal="center" vertical="center"/>
    </xf>
    <xf numFmtId="2" fontId="17" fillId="0" borderId="560" xfId="6" applyNumberFormat="1" applyFont="1" applyFill="1" applyBorder="1" applyAlignment="1">
      <alignment horizontal="center"/>
    </xf>
    <xf numFmtId="0" fontId="25" fillId="7" borderId="893" xfId="6" applyFont="1" applyFill="1" applyBorder="1" applyAlignment="1">
      <alignment horizontal="center" vertical="center"/>
    </xf>
    <xf numFmtId="2" fontId="97" fillId="0" borderId="894" xfId="6" applyNumberFormat="1" applyFont="1" applyBorder="1" applyAlignment="1">
      <alignment horizontal="center"/>
    </xf>
    <xf numFmtId="2" fontId="97" fillId="0" borderId="894" xfId="6" applyNumberFormat="1" applyFont="1" applyBorder="1" applyAlignment="1">
      <alignment horizontal="center" vertical="center"/>
    </xf>
    <xf numFmtId="174" fontId="97" fillId="0" borderId="894" xfId="6" applyNumberFormat="1" applyFont="1" applyBorder="1" applyAlignment="1">
      <alignment horizontal="center"/>
    </xf>
    <xf numFmtId="174" fontId="97" fillId="0" borderId="894" xfId="6" applyNumberFormat="1" applyFont="1" applyBorder="1" applyAlignment="1">
      <alignment horizontal="center" vertical="center"/>
    </xf>
    <xf numFmtId="182" fontId="97" fillId="0" borderId="894" xfId="6" applyNumberFormat="1" applyFont="1" applyBorder="1" applyAlignment="1">
      <alignment horizontal="center"/>
    </xf>
    <xf numFmtId="2" fontId="25" fillId="7" borderId="893" xfId="6" applyNumberFormat="1" applyFont="1" applyFill="1" applyBorder="1" applyAlignment="1">
      <alignment horizontal="center" vertical="center"/>
    </xf>
    <xf numFmtId="9" fontId="97" fillId="0" borderId="894" xfId="3" applyFont="1" applyBorder="1" applyAlignment="1">
      <alignment horizontal="center"/>
    </xf>
    <xf numFmtId="9" fontId="97" fillId="0" borderId="895" xfId="3" applyFont="1" applyBorder="1" applyAlignment="1">
      <alignment horizontal="center"/>
    </xf>
    <xf numFmtId="2" fontId="97" fillId="0" borderId="600" xfId="6" applyNumberFormat="1" applyFont="1" applyFill="1" applyBorder="1" applyAlignment="1">
      <alignment horizontal="center"/>
    </xf>
    <xf numFmtId="3" fontId="21" fillId="0" borderId="895" xfId="6" applyNumberFormat="1" applyFont="1" applyBorder="1" applyAlignment="1">
      <alignment horizontal="center" vertical="center"/>
    </xf>
    <xf numFmtId="2" fontId="97" fillId="0" borderId="895" xfId="6" applyNumberFormat="1" applyFont="1" applyFill="1" applyBorder="1" applyAlignment="1">
      <alignment horizontal="center"/>
    </xf>
    <xf numFmtId="0" fontId="52" fillId="0" borderId="696" xfId="2" applyFont="1" applyBorder="1"/>
    <xf numFmtId="180" fontId="97" fillId="0" borderId="893" xfId="6" applyNumberFormat="1" applyFont="1" applyBorder="1" applyAlignment="1">
      <alignment horizontal="center"/>
    </xf>
    <xf numFmtId="2" fontId="11" fillId="0" borderId="896" xfId="6" applyNumberFormat="1" applyFont="1" applyBorder="1" applyAlignment="1">
      <alignment horizontal="center" vertical="center"/>
    </xf>
    <xf numFmtId="0" fontId="25" fillId="7" borderId="587" xfId="6" applyFont="1" applyFill="1" applyBorder="1" applyAlignment="1" applyProtection="1">
      <alignment horizontal="center" vertical="center"/>
    </xf>
    <xf numFmtId="180" fontId="97" fillId="0" borderId="587" xfId="6" applyNumberFormat="1" applyFont="1" applyFill="1" applyBorder="1" applyAlignment="1" applyProtection="1">
      <alignment horizontal="center"/>
    </xf>
    <xf numFmtId="0" fontId="25" fillId="7" borderId="893" xfId="6" applyFont="1" applyFill="1" applyBorder="1" applyAlignment="1" applyProtection="1">
      <alignment horizontal="center" vertical="center"/>
    </xf>
    <xf numFmtId="180" fontId="97" fillId="0" borderId="894" xfId="6" applyNumberFormat="1" applyFont="1" applyBorder="1" applyAlignment="1" applyProtection="1">
      <alignment horizontal="center"/>
    </xf>
    <xf numFmtId="180" fontId="97" fillId="0" borderId="893" xfId="6" applyNumberFormat="1" applyFont="1" applyBorder="1" applyAlignment="1" applyProtection="1">
      <alignment horizontal="center"/>
    </xf>
    <xf numFmtId="2" fontId="11" fillId="0" borderId="896" xfId="6" applyNumberFormat="1" applyFont="1" applyBorder="1" applyAlignment="1" applyProtection="1">
      <alignment horizontal="center" vertical="center"/>
    </xf>
    <xf numFmtId="9" fontId="17" fillId="0" borderId="560" xfId="3" applyFont="1" applyFill="1" applyBorder="1" applyAlignment="1" applyProtection="1">
      <alignment horizontal="center"/>
    </xf>
    <xf numFmtId="9" fontId="97" fillId="0" borderId="601" xfId="14" applyFont="1" applyBorder="1" applyAlignment="1" applyProtection="1">
      <alignment horizontal="center"/>
    </xf>
    <xf numFmtId="9" fontId="97" fillId="0" borderId="894" xfId="14" applyFont="1" applyBorder="1" applyAlignment="1" applyProtection="1">
      <alignment horizontal="center"/>
    </xf>
    <xf numFmtId="9" fontId="97" fillId="0" borderId="895" xfId="14" applyFont="1" applyBorder="1" applyAlignment="1" applyProtection="1">
      <alignment horizontal="center"/>
    </xf>
    <xf numFmtId="2" fontId="17" fillId="0" borderId="560" xfId="6" applyNumberFormat="1" applyFont="1" applyFill="1" applyBorder="1" applyAlignment="1" applyProtection="1">
      <alignment horizontal="center"/>
    </xf>
    <xf numFmtId="182" fontId="97" fillId="0" borderId="894" xfId="6" applyNumberFormat="1" applyFont="1" applyBorder="1" applyAlignment="1" applyProtection="1">
      <alignment horizontal="center"/>
    </xf>
    <xf numFmtId="2" fontId="97" fillId="0" borderId="894" xfId="6" applyNumberFormat="1" applyFont="1" applyBorder="1" applyAlignment="1" applyProtection="1">
      <alignment horizontal="center"/>
    </xf>
    <xf numFmtId="2" fontId="97" fillId="0" borderId="894" xfId="6" applyNumberFormat="1" applyFont="1" applyBorder="1" applyAlignment="1" applyProtection="1">
      <alignment horizontal="center" vertical="center"/>
    </xf>
    <xf numFmtId="0" fontId="24" fillId="7" borderId="893" xfId="6" applyFont="1" applyFill="1" applyBorder="1" applyAlignment="1" applyProtection="1">
      <alignment horizontal="center" vertical="center" wrapText="1"/>
    </xf>
    <xf numFmtId="182" fontId="102" fillId="0" borderId="894" xfId="66" applyNumberFormat="1" applyFont="1" applyBorder="1" applyAlignment="1" applyProtection="1">
      <alignment horizontal="center" vertical="center" wrapText="1"/>
    </xf>
    <xf numFmtId="180" fontId="103" fillId="0" borderId="601" xfId="6" applyNumberFormat="1" applyFont="1" applyBorder="1" applyAlignment="1" applyProtection="1">
      <alignment horizontal="center" vertical="center"/>
    </xf>
    <xf numFmtId="0" fontId="41" fillId="7" borderId="893" xfId="6" applyFont="1" applyFill="1" applyBorder="1" applyAlignment="1" applyProtection="1">
      <alignment horizontal="center" vertical="center" wrapText="1"/>
    </xf>
    <xf numFmtId="182" fontId="103" fillId="0" borderId="894" xfId="6" applyNumberFormat="1" applyFont="1" applyBorder="1" applyAlignment="1" applyProtection="1">
      <alignment horizontal="center"/>
    </xf>
    <xf numFmtId="182" fontId="103" fillId="0" borderId="896" xfId="6" applyNumberFormat="1" applyFont="1" applyBorder="1" applyAlignment="1" applyProtection="1">
      <alignment horizontal="center"/>
    </xf>
    <xf numFmtId="180" fontId="103" fillId="0" borderId="895" xfId="6" applyNumberFormat="1" applyFont="1" applyBorder="1" applyAlignment="1" applyProtection="1">
      <alignment horizontal="center" vertical="center"/>
    </xf>
    <xf numFmtId="180" fontId="16" fillId="0" borderId="894" xfId="66" applyNumberFormat="1" applyFont="1" applyBorder="1" applyAlignment="1" applyProtection="1">
      <alignment horizontal="center" vertical="center"/>
    </xf>
    <xf numFmtId="180" fontId="102" fillId="0" borderId="896" xfId="66" applyNumberFormat="1" applyFont="1" applyBorder="1" applyAlignment="1" applyProtection="1">
      <alignment horizontal="center" vertical="center" wrapText="1"/>
    </xf>
    <xf numFmtId="0" fontId="25" fillId="0" borderId="898" xfId="6" applyFont="1" applyFill="1" applyBorder="1" applyAlignment="1" applyProtection="1">
      <alignment vertical="center"/>
    </xf>
    <xf numFmtId="0" fontId="25" fillId="0" borderId="899" xfId="6" applyFont="1" applyFill="1" applyBorder="1" applyAlignment="1" applyProtection="1">
      <alignment vertical="center"/>
    </xf>
    <xf numFmtId="0" fontId="25" fillId="7" borderId="897" xfId="6" applyFont="1" applyFill="1" applyBorder="1" applyAlignment="1" applyProtection="1">
      <alignment horizontal="center" vertical="center" wrapText="1"/>
    </xf>
    <xf numFmtId="180" fontId="106" fillId="0" borderId="900" xfId="6" applyNumberFormat="1" applyFont="1" applyFill="1" applyBorder="1" applyAlignment="1" applyProtection="1">
      <alignment horizontal="center" vertical="center"/>
    </xf>
    <xf numFmtId="180" fontId="106" fillId="0" borderId="901" xfId="6" applyNumberFormat="1" applyFont="1" applyFill="1" applyBorder="1" applyAlignment="1" applyProtection="1">
      <alignment horizontal="center" vertical="center"/>
    </xf>
    <xf numFmtId="180" fontId="16" fillId="0" borderId="902" xfId="6" applyNumberFormat="1" applyFont="1" applyFill="1" applyBorder="1" applyAlignment="1" applyProtection="1">
      <alignment horizontal="center" vertical="center"/>
    </xf>
    <xf numFmtId="180" fontId="16" fillId="0" borderId="898" xfId="66" applyNumberFormat="1" applyFont="1" applyBorder="1" applyAlignment="1" applyProtection="1">
      <alignment horizontal="center" vertical="center"/>
    </xf>
    <xf numFmtId="180" fontId="16" fillId="0" borderId="899" xfId="66" applyNumberFormat="1" applyFont="1" applyBorder="1" applyAlignment="1" applyProtection="1">
      <alignment horizontal="center" vertical="center"/>
    </xf>
    <xf numFmtId="180" fontId="97" fillId="0" borderId="903" xfId="6" applyNumberFormat="1" applyFont="1" applyBorder="1" applyAlignment="1" applyProtection="1">
      <alignment horizontal="center" vertical="center"/>
    </xf>
    <xf numFmtId="180" fontId="11" fillId="26" borderId="560" xfId="6" applyNumberFormat="1" applyFont="1" applyFill="1" applyBorder="1" applyAlignment="1" applyProtection="1">
      <alignment horizontal="center"/>
      <protection locked="0"/>
    </xf>
    <xf numFmtId="0" fontId="16" fillId="7" borderId="597" xfId="6" applyFont="1" applyFill="1" applyBorder="1" applyAlignment="1" applyProtection="1">
      <alignment horizontal="center" vertical="center"/>
    </xf>
    <xf numFmtId="0" fontId="1" fillId="7" borderId="904" xfId="6" applyFont="1" applyFill="1" applyBorder="1" applyAlignment="1" applyProtection="1">
      <alignment horizontal="center" vertical="center"/>
    </xf>
    <xf numFmtId="0" fontId="16" fillId="7" borderId="587" xfId="6" applyFont="1" applyFill="1" applyBorder="1" applyAlignment="1" applyProtection="1">
      <alignment horizontal="center" vertical="center"/>
    </xf>
    <xf numFmtId="182" fontId="99" fillId="0" borderId="560" xfId="6" applyNumberFormat="1" applyFont="1" applyFill="1" applyBorder="1" applyAlignment="1" applyProtection="1">
      <alignment horizontal="center"/>
    </xf>
    <xf numFmtId="182" fontId="101" fillId="0" borderId="894" xfId="6" applyNumberFormat="1" applyFont="1" applyBorder="1" applyAlignment="1" applyProtection="1">
      <alignment horizontal="center" vertical="center"/>
    </xf>
    <xf numFmtId="9" fontId="17" fillId="0" borderId="560" xfId="14" applyFont="1" applyFill="1" applyBorder="1" applyAlignment="1" applyProtection="1">
      <alignment horizontal="center"/>
    </xf>
    <xf numFmtId="9" fontId="99" fillId="0" borderId="588" xfId="6" applyNumberFormat="1" applyFont="1" applyFill="1" applyBorder="1" applyAlignment="1" applyProtection="1">
      <alignment horizontal="center"/>
    </xf>
    <xf numFmtId="0" fontId="11" fillId="7" borderId="893" xfId="6" applyFont="1" applyFill="1" applyBorder="1" applyAlignment="1" applyProtection="1">
      <alignment horizontal="center" vertical="center" wrapText="1"/>
    </xf>
    <xf numFmtId="9" fontId="101" fillId="0" borderId="896" xfId="3" applyFont="1" applyBorder="1" applyAlignment="1" applyProtection="1">
      <alignment horizontal="center" vertical="center"/>
    </xf>
    <xf numFmtId="0" fontId="16" fillId="7" borderId="905" xfId="6" applyFont="1" applyFill="1" applyBorder="1" applyAlignment="1" applyProtection="1">
      <alignment horizontal="center" vertical="center"/>
    </xf>
    <xf numFmtId="9" fontId="11" fillId="0" borderId="560" xfId="14" applyFont="1" applyFill="1" applyBorder="1" applyAlignment="1" applyProtection="1">
      <alignment horizontal="center"/>
    </xf>
    <xf numFmtId="9" fontId="11" fillId="0" borderId="588" xfId="14" applyFont="1" applyFill="1" applyBorder="1" applyAlignment="1" applyProtection="1">
      <alignment horizontal="center"/>
    </xf>
    <xf numFmtId="0" fontId="1" fillId="7" borderId="906" xfId="6" applyFont="1" applyFill="1" applyBorder="1" applyAlignment="1" applyProtection="1">
      <alignment horizontal="center" vertical="center" wrapText="1"/>
    </xf>
    <xf numFmtId="9" fontId="11" fillId="0" borderId="894" xfId="14" applyFont="1" applyFill="1" applyBorder="1" applyAlignment="1" applyProtection="1">
      <alignment horizontal="center"/>
    </xf>
    <xf numFmtId="9" fontId="11" fillId="0" borderId="896" xfId="14" applyFont="1" applyFill="1" applyBorder="1" applyAlignment="1" applyProtection="1">
      <alignment horizontal="center"/>
    </xf>
    <xf numFmtId="0" fontId="16" fillId="7" borderId="529" xfId="6" applyFont="1" applyFill="1" applyBorder="1" applyAlignment="1" applyProtection="1">
      <alignment horizontal="center" vertical="center"/>
    </xf>
    <xf numFmtId="0" fontId="2" fillId="9" borderId="420" xfId="0" applyFont="1" applyFill="1" applyBorder="1" applyAlignment="1" applyProtection="1">
      <alignment vertical="center"/>
    </xf>
    <xf numFmtId="0" fontId="2" fillId="9" borderId="419" xfId="0" applyFont="1" applyFill="1" applyBorder="1" applyAlignment="1" applyProtection="1">
      <alignment vertical="center"/>
    </xf>
    <xf numFmtId="0" fontId="2" fillId="9" borderId="85" xfId="0" applyFont="1" applyFill="1" applyBorder="1" applyAlignment="1" applyProtection="1">
      <alignment horizontal="left" vertical="center" wrapText="1"/>
    </xf>
    <xf numFmtId="0" fontId="2" fillId="9" borderId="418" xfId="0"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1" fillId="9" borderId="100" xfId="0" applyFont="1" applyFill="1" applyBorder="1" applyAlignment="1" applyProtection="1">
      <alignment horizontal="center" vertical="center" wrapText="1"/>
    </xf>
    <xf numFmtId="0" fontId="0" fillId="0" borderId="87" xfId="0" applyFont="1" applyBorder="1" applyAlignment="1" applyProtection="1">
      <alignment horizontal="center"/>
    </xf>
    <xf numFmtId="0" fontId="0" fillId="0" borderId="87" xfId="0" applyFont="1" applyBorder="1" applyProtection="1"/>
    <xf numFmtId="0" fontId="0" fillId="40" borderId="910" xfId="0" applyFont="1" applyFill="1" applyBorder="1" applyProtection="1">
      <protection locked="0"/>
    </xf>
    <xf numFmtId="0" fontId="0" fillId="40" borderId="913" xfId="0" applyFont="1" applyFill="1" applyBorder="1" applyProtection="1">
      <protection locked="0"/>
    </xf>
    <xf numFmtId="0" fontId="0" fillId="40" borderId="40" xfId="0" applyFont="1" applyFill="1" applyBorder="1" applyProtection="1">
      <protection locked="0"/>
    </xf>
    <xf numFmtId="0" fontId="0" fillId="40" borderId="914" xfId="0" applyFont="1" applyFill="1" applyBorder="1" applyProtection="1">
      <protection locked="0"/>
    </xf>
    <xf numFmtId="0" fontId="0" fillId="40" borderId="43" xfId="0" applyFont="1" applyFill="1" applyBorder="1" applyProtection="1">
      <protection locked="0"/>
    </xf>
    <xf numFmtId="0" fontId="5" fillId="6" borderId="39" xfId="1" applyFill="1" applyBorder="1" applyAlignment="1">
      <alignment horizontal="left" vertical="center"/>
    </xf>
    <xf numFmtId="0" fontId="26" fillId="37" borderId="0" xfId="0" applyFont="1" applyFill="1" applyBorder="1" applyAlignment="1" applyProtection="1">
      <alignment horizontal="center" vertical="center" wrapText="1"/>
    </xf>
    <xf numFmtId="0" fontId="26" fillId="36" borderId="0" xfId="0" applyFont="1" applyFill="1" applyBorder="1" applyAlignment="1" applyProtection="1">
      <alignment horizontal="center" vertical="center"/>
    </xf>
    <xf numFmtId="0" fontId="26" fillId="37" borderId="0" xfId="0" applyFont="1" applyFill="1" applyBorder="1" applyAlignment="1" applyProtection="1">
      <alignment horizontal="center" vertical="center"/>
    </xf>
    <xf numFmtId="0" fontId="26" fillId="37" borderId="105" xfId="0" applyFont="1" applyFill="1" applyBorder="1" applyAlignment="1" applyProtection="1">
      <alignment horizontal="center" vertical="center"/>
    </xf>
    <xf numFmtId="0" fontId="26" fillId="0" borderId="0" xfId="0" applyFont="1" applyFill="1" applyBorder="1" applyAlignment="1">
      <alignment vertical="center"/>
    </xf>
    <xf numFmtId="0" fontId="26" fillId="0" borderId="0" xfId="0" applyFont="1" applyFill="1" applyBorder="1" applyAlignment="1">
      <alignment horizontal="center" vertical="center"/>
    </xf>
    <xf numFmtId="0" fontId="0" fillId="0" borderId="173" xfId="0" applyFont="1" applyBorder="1" applyAlignment="1">
      <alignment horizontal="center" vertical="center"/>
    </xf>
    <xf numFmtId="0" fontId="0" fillId="0" borderId="56" xfId="0" applyFont="1" applyBorder="1" applyAlignment="1">
      <alignment horizontal="center" vertical="center"/>
    </xf>
    <xf numFmtId="0" fontId="1" fillId="0" borderId="0" xfId="0" applyFont="1" applyFill="1" applyProtection="1"/>
    <xf numFmtId="0" fontId="1" fillId="0" borderId="0" xfId="0" applyFont="1" applyFill="1"/>
    <xf numFmtId="0" fontId="1" fillId="0" borderId="0" xfId="0" applyFont="1" applyFill="1" applyBorder="1"/>
    <xf numFmtId="0" fontId="1" fillId="0" borderId="0" xfId="0" applyFont="1" applyFill="1" applyBorder="1" applyAlignment="1">
      <alignment horizontal="center"/>
    </xf>
    <xf numFmtId="0" fontId="1" fillId="0" borderId="0" xfId="0" applyFont="1" applyFill="1" applyAlignment="1">
      <alignment horizontal="left" vertical="center"/>
    </xf>
    <xf numFmtId="0" fontId="1" fillId="0" borderId="0" xfId="0" applyFont="1" applyFill="1" applyBorder="1" applyAlignment="1">
      <alignment horizontal="left" vertical="center"/>
    </xf>
    <xf numFmtId="0" fontId="1" fillId="0" borderId="0" xfId="0" applyFont="1" applyAlignment="1">
      <alignment horizontal="left" vertical="center"/>
    </xf>
    <xf numFmtId="0" fontId="1" fillId="0" borderId="0" xfId="0" applyFont="1" applyBorder="1" applyAlignment="1" applyProtection="1">
      <alignment horizontal="center"/>
    </xf>
    <xf numFmtId="0" fontId="1" fillId="0" borderId="0" xfId="0" applyFont="1" applyAlignment="1" applyProtection="1"/>
    <xf numFmtId="0" fontId="1" fillId="0" borderId="0" xfId="0" applyFont="1" applyProtection="1"/>
    <xf numFmtId="0" fontId="1" fillId="0" borderId="392" xfId="0" applyFont="1" applyBorder="1" applyProtection="1"/>
    <xf numFmtId="0" fontId="6" fillId="26" borderId="836" xfId="2" applyFill="1" applyBorder="1" applyAlignment="1" applyProtection="1">
      <alignment horizontal="center"/>
      <protection locked="0"/>
    </xf>
    <xf numFmtId="0" fontId="6" fillId="26" borderId="837" xfId="2" applyFill="1" applyBorder="1" applyAlignment="1" applyProtection="1">
      <alignment horizontal="center"/>
      <protection locked="0"/>
    </xf>
    <xf numFmtId="0" fontId="119" fillId="26" borderId="837" xfId="2" applyFont="1" applyFill="1" applyBorder="1" applyAlignment="1" applyProtection="1">
      <alignment horizontal="center"/>
      <protection locked="0"/>
    </xf>
    <xf numFmtId="0" fontId="6" fillId="40" borderId="836" xfId="2" applyFill="1" applyBorder="1" applyAlignment="1" applyProtection="1">
      <alignment horizontal="center"/>
      <protection locked="0"/>
    </xf>
    <xf numFmtId="0" fontId="6" fillId="40" borderId="831" xfId="2" applyFill="1" applyBorder="1" applyAlignment="1" applyProtection="1">
      <alignment horizontal="center"/>
      <protection locked="0"/>
    </xf>
    <xf numFmtId="0" fontId="0" fillId="5" borderId="45" xfId="0" applyFont="1" applyFill="1" applyBorder="1" applyAlignment="1" applyProtection="1">
      <alignment horizontal="center" vertical="top"/>
      <protection locked="0"/>
    </xf>
    <xf numFmtId="14" fontId="0" fillId="5" borderId="39" xfId="0" applyNumberFormat="1" applyFont="1" applyFill="1" applyBorder="1" applyAlignment="1" applyProtection="1">
      <alignment horizontal="center" vertical="center"/>
      <protection locked="0"/>
    </xf>
    <xf numFmtId="14" fontId="0" fillId="5" borderId="45" xfId="0" applyNumberFormat="1" applyFont="1" applyFill="1" applyBorder="1" applyAlignment="1" applyProtection="1">
      <alignment horizontal="center" vertical="center"/>
      <protection locked="0"/>
    </xf>
    <xf numFmtId="0" fontId="0" fillId="5" borderId="50" xfId="0" applyFont="1" applyFill="1" applyBorder="1" applyAlignment="1" applyProtection="1">
      <alignment horizontal="left" vertical="center"/>
      <protection locked="0"/>
    </xf>
    <xf numFmtId="0" fontId="0" fillId="5" borderId="45" xfId="0" applyFont="1" applyFill="1" applyBorder="1" applyAlignment="1" applyProtection="1">
      <alignment horizontal="left" vertical="center"/>
      <protection locked="0"/>
    </xf>
    <xf numFmtId="0" fontId="0" fillId="5" borderId="38"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26" borderId="56" xfId="0" applyFont="1" applyFill="1" applyBorder="1" applyAlignment="1" applyProtection="1">
      <alignment horizontal="center" vertical="center" wrapText="1"/>
      <protection locked="0"/>
    </xf>
    <xf numFmtId="0" fontId="26" fillId="26" borderId="56" xfId="0" applyFont="1" applyFill="1" applyBorder="1" applyAlignment="1" applyProtection="1">
      <alignment horizontal="center" vertical="center" wrapText="1"/>
      <protection locked="0"/>
    </xf>
    <xf numFmtId="1" fontId="0" fillId="39" borderId="53" xfId="0" applyNumberFormat="1" applyFont="1" applyFill="1" applyBorder="1" applyAlignment="1" applyProtection="1">
      <alignment horizontal="center" vertical="center" wrapText="1"/>
      <protection locked="0"/>
    </xf>
    <xf numFmtId="1" fontId="0" fillId="39" borderId="56" xfId="0" applyNumberFormat="1" applyFont="1" applyFill="1" applyBorder="1" applyAlignment="1" applyProtection="1">
      <alignment horizontal="center" vertical="center" wrapText="1"/>
      <protection locked="0"/>
    </xf>
    <xf numFmtId="1" fontId="0" fillId="39" borderId="59"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textRotation="75" wrapText="1"/>
    </xf>
    <xf numFmtId="0" fontId="26" fillId="0" borderId="470" xfId="0" quotePrefix="1" applyFont="1" applyBorder="1" applyAlignment="1" applyProtection="1">
      <alignment vertical="center"/>
    </xf>
    <xf numFmtId="0" fontId="26" fillId="0" borderId="404" xfId="0" quotePrefix="1" applyFont="1" applyBorder="1" applyAlignment="1" applyProtection="1">
      <alignment vertical="center"/>
    </xf>
    <xf numFmtId="0" fontId="26" fillId="0" borderId="0" xfId="0" quotePrefix="1" applyFont="1" applyBorder="1" applyAlignment="1" applyProtection="1">
      <alignment horizontal="left" vertical="center"/>
    </xf>
    <xf numFmtId="0" fontId="0" fillId="26" borderId="0" xfId="0" applyFont="1" applyFill="1" applyBorder="1" applyAlignment="1" applyProtection="1">
      <alignment horizontal="center" vertical="center" wrapText="1"/>
      <protection locked="0"/>
    </xf>
    <xf numFmtId="180" fontId="69" fillId="0" borderId="533" xfId="6" applyNumberFormat="1" applyFont="1" applyFill="1" applyBorder="1" applyAlignment="1" applyProtection="1">
      <alignment horizontal="center"/>
      <protection locked="0"/>
    </xf>
    <xf numFmtId="182" fontId="18" fillId="0" borderId="533" xfId="6" applyNumberFormat="1" applyFont="1" applyFill="1" applyBorder="1" applyAlignment="1" applyProtection="1">
      <alignment horizontal="center"/>
    </xf>
    <xf numFmtId="182" fontId="129" fillId="0" borderId="533" xfId="6" applyNumberFormat="1" applyFont="1" applyFill="1" applyBorder="1" applyAlignment="1" applyProtection="1">
      <alignment horizontal="center"/>
    </xf>
    <xf numFmtId="9" fontId="18" fillId="0" borderId="532" xfId="14" applyFont="1" applyFill="1" applyBorder="1" applyAlignment="1" applyProtection="1">
      <alignment horizontal="center"/>
    </xf>
    <xf numFmtId="9" fontId="69" fillId="0" borderId="532" xfId="14" applyFont="1" applyFill="1" applyBorder="1" applyAlignment="1" applyProtection="1">
      <alignment horizontal="center"/>
    </xf>
    <xf numFmtId="180" fontId="130" fillId="0" borderId="533" xfId="6" applyNumberFormat="1" applyFont="1" applyFill="1" applyBorder="1" applyAlignment="1" applyProtection="1">
      <alignment horizontal="center"/>
    </xf>
    <xf numFmtId="180" fontId="130" fillId="0" borderId="560" xfId="6" applyNumberFormat="1" applyFont="1" applyFill="1" applyBorder="1" applyAlignment="1" applyProtection="1">
      <alignment horizontal="center"/>
    </xf>
    <xf numFmtId="180" fontId="130" fillId="0" borderId="894" xfId="6" applyNumberFormat="1" applyFont="1" applyFill="1" applyBorder="1" applyAlignment="1" applyProtection="1">
      <alignment horizontal="center"/>
    </xf>
    <xf numFmtId="9" fontId="130" fillId="0" borderId="536" xfId="14" applyFont="1" applyFill="1" applyBorder="1" applyAlignment="1" applyProtection="1">
      <alignment horizontal="center"/>
    </xf>
    <xf numFmtId="3" fontId="130" fillId="0" borderId="896" xfId="6" applyNumberFormat="1" applyFont="1" applyFill="1" applyBorder="1" applyAlignment="1" applyProtection="1">
      <alignment horizontal="center"/>
    </xf>
    <xf numFmtId="0" fontId="17" fillId="67" borderId="533" xfId="6" applyFont="1" applyFill="1" applyBorder="1" applyAlignment="1" applyProtection="1">
      <alignment horizontal="center" vertical="center" wrapText="1"/>
    </xf>
    <xf numFmtId="0" fontId="17" fillId="67" borderId="560" xfId="6" applyFont="1" applyFill="1" applyBorder="1" applyAlignment="1" applyProtection="1">
      <alignment horizontal="center" vertical="center" wrapText="1"/>
    </xf>
    <xf numFmtId="182" fontId="102" fillId="67" borderId="894" xfId="66" applyNumberFormat="1" applyFont="1" applyFill="1" applyBorder="1" applyAlignment="1" applyProtection="1">
      <alignment horizontal="center" vertical="center" wrapText="1"/>
    </xf>
    <xf numFmtId="182" fontId="51" fillId="0" borderId="533" xfId="14" applyNumberFormat="1" applyFont="1" applyFill="1" applyBorder="1" applyAlignment="1" applyProtection="1">
      <alignment horizontal="center"/>
    </xf>
    <xf numFmtId="180" fontId="125" fillId="0" borderId="530" xfId="6" applyNumberFormat="1" applyFont="1" applyFill="1" applyBorder="1" applyAlignment="1" applyProtection="1">
      <alignment horizontal="center"/>
    </xf>
    <xf numFmtId="2" fontId="18" fillId="0" borderId="533" xfId="6" applyNumberFormat="1" applyFont="1" applyFill="1" applyBorder="1" applyAlignment="1" applyProtection="1">
      <alignment horizontal="center"/>
    </xf>
    <xf numFmtId="182" fontId="51" fillId="0" borderId="533" xfId="6" applyNumberFormat="1" applyFont="1" applyFill="1" applyBorder="1" applyAlignment="1">
      <alignment horizontal="center"/>
    </xf>
    <xf numFmtId="180" fontId="51" fillId="0" borderId="530" xfId="6" applyNumberFormat="1" applyFont="1" applyFill="1" applyBorder="1" applyAlignment="1">
      <alignment horizontal="center"/>
    </xf>
    <xf numFmtId="1" fontId="18" fillId="0" borderId="533" xfId="6" applyNumberFormat="1" applyFont="1" applyFill="1" applyBorder="1" applyAlignment="1">
      <alignment horizontal="center"/>
    </xf>
    <xf numFmtId="0" fontId="51" fillId="0" borderId="559" xfId="6" applyFont="1" applyFill="1" applyBorder="1" applyAlignment="1">
      <alignment horizontal="center"/>
    </xf>
    <xf numFmtId="174" fontId="51" fillId="0" borderId="533" xfId="6" applyNumberFormat="1" applyFont="1" applyFill="1" applyBorder="1" applyAlignment="1">
      <alignment horizontal="center"/>
    </xf>
    <xf numFmtId="2" fontId="51" fillId="0" borderId="562" xfId="6" applyNumberFormat="1" applyFont="1" applyFill="1" applyBorder="1" applyAlignment="1">
      <alignment horizontal="center"/>
    </xf>
    <xf numFmtId="2" fontId="105" fillId="0" borderId="426" xfId="2" applyNumberFormat="1" applyFont="1" applyBorder="1" applyAlignment="1">
      <alignment horizontal="center"/>
    </xf>
    <xf numFmtId="0" fontId="52" fillId="0" borderId="251" xfId="2" applyFont="1" applyBorder="1"/>
    <xf numFmtId="0" fontId="52" fillId="0" borderId="923" xfId="2" applyFont="1" applyBorder="1"/>
    <xf numFmtId="0" fontId="132" fillId="0" borderId="251" xfId="2" applyFont="1" applyBorder="1" applyProtection="1"/>
    <xf numFmtId="0" fontId="132" fillId="0" borderId="923" xfId="2" applyFont="1" applyBorder="1" applyProtection="1"/>
    <xf numFmtId="0" fontId="6" fillId="19" borderId="0" xfId="7" applyFill="1"/>
    <xf numFmtId="0" fontId="31" fillId="19" borderId="0" xfId="7" applyFont="1" applyFill="1" applyAlignment="1">
      <alignment horizontal="center"/>
    </xf>
    <xf numFmtId="0" fontId="6" fillId="19" borderId="0" xfId="7" applyFill="1" applyAlignment="1">
      <alignment horizontal="center"/>
    </xf>
    <xf numFmtId="0" fontId="25" fillId="19" borderId="0" xfId="7" applyFont="1" applyFill="1" applyAlignment="1">
      <alignment horizontal="center" vertical="center" wrapText="1"/>
    </xf>
    <xf numFmtId="0" fontId="59" fillId="62" borderId="0" xfId="7" applyFont="1" applyFill="1" applyAlignment="1">
      <alignment horizontal="center" vertical="center" wrapText="1"/>
    </xf>
    <xf numFmtId="0" fontId="28" fillId="34" borderId="809" xfId="81" applyFont="1" applyFill="1" applyBorder="1" applyAlignment="1" applyProtection="1">
      <alignment horizontal="center" vertical="center" wrapText="1"/>
    </xf>
    <xf numFmtId="0" fontId="6" fillId="40" borderId="837" xfId="2" applyFill="1" applyBorder="1" applyAlignment="1" applyProtection="1">
      <alignment horizontal="center"/>
      <protection locked="0"/>
    </xf>
    <xf numFmtId="0" fontId="37" fillId="2" borderId="0" xfId="0" applyFont="1" applyFill="1" applyBorder="1" applyAlignment="1" applyProtection="1">
      <alignment horizontal="center" vertical="center"/>
    </xf>
    <xf numFmtId="0" fontId="26" fillId="0" borderId="0" xfId="0" applyFont="1" applyAlignment="1" applyProtection="1">
      <alignment horizontal="left" vertical="center"/>
    </xf>
    <xf numFmtId="0" fontId="26" fillId="0" borderId="0" xfId="0" applyFont="1" applyAlignment="1" applyProtection="1">
      <alignment horizontal="center" vertical="center" wrapText="1"/>
    </xf>
    <xf numFmtId="0" fontId="52" fillId="26" borderId="274" xfId="2" applyFont="1" applyFill="1" applyBorder="1" applyAlignment="1" applyProtection="1">
      <alignment horizontal="center" vertical="center"/>
      <protection locked="0"/>
    </xf>
    <xf numFmtId="0" fontId="0" fillId="0" borderId="0" xfId="0" applyFont="1" applyAlignment="1" applyProtection="1">
      <alignment horizontal="center"/>
    </xf>
    <xf numFmtId="0" fontId="11" fillId="40" borderId="659" xfId="15" applyFont="1" applyFill="1" applyBorder="1" applyAlignment="1" applyProtection="1">
      <alignment horizontal="center" vertical="center"/>
      <protection locked="0"/>
    </xf>
    <xf numFmtId="0" fontId="26" fillId="0" borderId="0" xfId="0" applyFont="1" applyAlignment="1"/>
    <xf numFmtId="9" fontId="22" fillId="67" borderId="533" xfId="14" applyFont="1" applyFill="1" applyBorder="1" applyAlignment="1" applyProtection="1">
      <alignment vertical="center" wrapText="1"/>
      <protection locked="0"/>
    </xf>
    <xf numFmtId="0" fontId="52" fillId="26" borderId="929" xfId="2" applyFont="1" applyFill="1" applyBorder="1" applyAlignment="1" applyProtection="1">
      <alignment horizontal="center" vertical="center"/>
      <protection locked="0"/>
    </xf>
    <xf numFmtId="9" fontId="22" fillId="67" borderId="596" xfId="14" applyFont="1" applyFill="1" applyBorder="1" applyAlignment="1" applyProtection="1">
      <alignment vertical="center" wrapText="1"/>
      <protection locked="0"/>
    </xf>
    <xf numFmtId="9" fontId="22" fillId="67" borderId="930" xfId="14" applyFont="1" applyFill="1" applyBorder="1" applyAlignment="1" applyProtection="1">
      <alignment vertical="center" wrapText="1"/>
      <protection locked="0"/>
    </xf>
    <xf numFmtId="9" fontId="22" fillId="67" borderId="931" xfId="14" applyFont="1" applyFill="1" applyBorder="1" applyAlignment="1" applyProtection="1">
      <alignment vertical="center" wrapText="1"/>
      <protection locked="0"/>
    </xf>
    <xf numFmtId="0" fontId="135" fillId="40" borderId="800" xfId="2" applyFont="1" applyFill="1" applyBorder="1" applyAlignment="1" applyProtection="1">
      <alignment horizontal="center" vertical="center"/>
      <protection locked="0"/>
    </xf>
    <xf numFmtId="0" fontId="135" fillId="40" borderId="801" xfId="2" applyFont="1" applyFill="1" applyBorder="1" applyAlignment="1" applyProtection="1">
      <alignment horizontal="center" vertical="center"/>
      <protection locked="0"/>
    </xf>
    <xf numFmtId="0" fontId="21" fillId="0" borderId="0" xfId="0" applyFont="1" applyFill="1" applyBorder="1" applyAlignment="1" applyProtection="1">
      <alignment horizontal="right" vertical="center"/>
    </xf>
    <xf numFmtId="0" fontId="11" fillId="0" borderId="932" xfId="81" applyBorder="1" applyAlignment="1" applyProtection="1">
      <alignment vertical="center"/>
    </xf>
    <xf numFmtId="0" fontId="11" fillId="0" borderId="0" xfId="81" applyBorder="1" applyAlignment="1" applyProtection="1">
      <alignment vertical="center"/>
    </xf>
    <xf numFmtId="0" fontId="1" fillId="0" borderId="0" xfId="81" applyFont="1" applyBorder="1" applyAlignment="1" applyProtection="1">
      <alignment vertical="center"/>
    </xf>
    <xf numFmtId="0" fontId="1" fillId="0" borderId="0" xfId="81" applyFont="1" applyBorder="1" applyAlignment="1" applyProtection="1">
      <alignment horizontal="right" vertical="center"/>
    </xf>
    <xf numFmtId="0" fontId="11" fillId="0" borderId="933" xfId="81" applyBorder="1" applyAlignment="1" applyProtection="1">
      <alignment vertical="center"/>
    </xf>
    <xf numFmtId="0" fontId="11" fillId="0" borderId="934" xfId="81" applyBorder="1" applyAlignment="1" applyProtection="1">
      <alignment vertical="center"/>
    </xf>
    <xf numFmtId="9" fontId="11" fillId="40" borderId="659" xfId="15" applyNumberFormat="1" applyFill="1" applyBorder="1" applyAlignment="1" applyProtection="1">
      <alignment horizontal="center" vertical="center"/>
      <protection locked="0"/>
    </xf>
    <xf numFmtId="0" fontId="0" fillId="40" borderId="659" xfId="15" applyFont="1" applyFill="1" applyBorder="1" applyAlignment="1" applyProtection="1">
      <alignment horizontal="center" vertical="center"/>
      <protection locked="0"/>
    </xf>
    <xf numFmtId="0" fontId="6" fillId="0" borderId="0" xfId="2" applyFill="1" applyAlignment="1">
      <alignment vertical="center"/>
    </xf>
    <xf numFmtId="182" fontId="6" fillId="0" borderId="285" xfId="2" applyNumberFormat="1" applyFill="1" applyBorder="1" applyAlignment="1">
      <alignment horizontal="center" vertical="center"/>
    </xf>
    <xf numFmtId="0" fontId="28" fillId="0" borderId="945" xfId="2" applyFont="1" applyFill="1" applyBorder="1" applyAlignment="1">
      <alignment horizontal="center" vertical="center"/>
    </xf>
    <xf numFmtId="170" fontId="6" fillId="0" borderId="938" xfId="2" applyNumberFormat="1" applyFill="1" applyBorder="1" applyAlignment="1">
      <alignment horizontal="center" vertical="center"/>
    </xf>
    <xf numFmtId="0" fontId="31" fillId="0" borderId="0" xfId="2" applyFont="1" applyFill="1" applyBorder="1" applyAlignment="1">
      <alignment horizontal="right" vertical="center"/>
    </xf>
    <xf numFmtId="0" fontId="31" fillId="0" borderId="951" xfId="2" applyFont="1" applyFill="1" applyBorder="1" applyAlignment="1">
      <alignment horizontal="right" vertical="center"/>
    </xf>
    <xf numFmtId="177" fontId="31" fillId="0" borderId="0" xfId="2" applyNumberFormat="1" applyFont="1" applyFill="1" applyBorder="1" applyAlignment="1">
      <alignment horizontal="center" vertical="center"/>
    </xf>
    <xf numFmtId="177" fontId="31" fillId="0" borderId="951" xfId="2" applyNumberFormat="1" applyFont="1" applyFill="1" applyBorder="1" applyAlignment="1">
      <alignment horizontal="center" vertical="center"/>
    </xf>
    <xf numFmtId="176" fontId="31" fillId="0" borderId="650" xfId="17" applyNumberFormat="1" applyFont="1" applyFill="1" applyBorder="1" applyAlignment="1">
      <alignment horizontal="center" vertical="center"/>
    </xf>
    <xf numFmtId="184" fontId="31" fillId="0" borderId="653" xfId="17" applyNumberFormat="1" applyFont="1" applyFill="1" applyBorder="1" applyAlignment="1">
      <alignment horizontal="center" vertical="center"/>
    </xf>
    <xf numFmtId="0" fontId="6" fillId="26" borderId="654" xfId="2" applyFill="1" applyBorder="1" applyAlignment="1">
      <alignment horizontal="center" vertical="center"/>
    </xf>
    <xf numFmtId="0" fontId="21" fillId="0" borderId="0" xfId="0" applyFont="1" applyAlignment="1" applyProtection="1">
      <alignment vertical="center" wrapText="1"/>
    </xf>
    <xf numFmtId="0" fontId="35" fillId="0" borderId="0" xfId="10" applyFont="1" applyFill="1" applyBorder="1" applyAlignment="1" applyProtection="1"/>
    <xf numFmtId="0" fontId="24" fillId="15" borderId="0" xfId="10" applyFont="1" applyFill="1" applyBorder="1" applyAlignment="1" applyProtection="1">
      <alignment vertical="center"/>
    </xf>
    <xf numFmtId="0" fontId="1" fillId="15" borderId="0" xfId="0" applyFont="1" applyFill="1" applyBorder="1" applyAlignment="1" applyProtection="1">
      <alignment vertical="center"/>
    </xf>
    <xf numFmtId="0" fontId="26" fillId="15" borderId="0" xfId="0" applyFont="1" applyFill="1" applyBorder="1" applyAlignment="1" applyProtection="1">
      <alignment vertical="top" wrapText="1"/>
    </xf>
    <xf numFmtId="0" fontId="35" fillId="0" borderId="331" xfId="10" applyFont="1" applyFill="1" applyBorder="1" applyAlignment="1" applyProtection="1"/>
    <xf numFmtId="0" fontId="26" fillId="0" borderId="0" xfId="0" applyFont="1" applyAlignment="1">
      <alignment horizontal="left" vertical="center"/>
    </xf>
    <xf numFmtId="0" fontId="26" fillId="0" borderId="0" xfId="0" applyFont="1" applyAlignment="1" applyProtection="1">
      <alignment horizontal="center" vertical="center"/>
    </xf>
    <xf numFmtId="0" fontId="26" fillId="0" borderId="0" xfId="0" applyFont="1" applyAlignment="1" applyProtection="1">
      <alignment horizontal="left" vertical="center" wrapText="1"/>
    </xf>
    <xf numFmtId="12" fontId="26" fillId="0" borderId="958" xfId="0" applyNumberFormat="1" applyFont="1" applyBorder="1" applyAlignment="1" applyProtection="1">
      <alignment horizontal="left" vertical="center" wrapText="1"/>
    </xf>
    <xf numFmtId="12" fontId="26" fillId="0" borderId="961" xfId="0" applyNumberFormat="1" applyFont="1" applyBorder="1" applyAlignment="1" applyProtection="1">
      <alignment horizontal="left" vertical="center" wrapText="1"/>
    </xf>
    <xf numFmtId="12" fontId="26" fillId="0" borderId="963" xfId="0" applyNumberFormat="1" applyFont="1" applyBorder="1" applyAlignment="1" applyProtection="1">
      <alignment horizontal="left" vertical="center" wrapText="1"/>
    </xf>
    <xf numFmtId="12" fontId="21" fillId="0" borderId="957" xfId="0" applyNumberFormat="1" applyFont="1" applyBorder="1" applyAlignment="1" applyProtection="1">
      <alignment horizontal="center" vertical="center" wrapText="1"/>
    </xf>
    <xf numFmtId="9" fontId="26" fillId="0" borderId="960" xfId="0" applyNumberFormat="1" applyFont="1" applyBorder="1" applyAlignment="1" applyProtection="1">
      <alignment horizontal="center" vertical="center" wrapText="1"/>
    </xf>
    <xf numFmtId="9" fontId="26" fillId="0" borderId="962" xfId="0" applyNumberFormat="1" applyFont="1" applyBorder="1" applyAlignment="1" applyProtection="1">
      <alignment horizontal="center" vertical="center" wrapText="1"/>
    </xf>
    <xf numFmtId="171" fontId="26" fillId="0" borderId="960" xfId="0" applyNumberFormat="1" applyFont="1" applyBorder="1" applyAlignment="1" applyProtection="1">
      <alignment horizontal="center" vertical="center" wrapText="1"/>
    </xf>
    <xf numFmtId="171" fontId="26" fillId="26" borderId="960" xfId="0" applyNumberFormat="1" applyFont="1" applyFill="1" applyBorder="1" applyAlignment="1" applyProtection="1">
      <alignment horizontal="center" vertical="center" wrapText="1"/>
    </xf>
    <xf numFmtId="171" fontId="26" fillId="26" borderId="962" xfId="0" applyNumberFormat="1" applyFont="1" applyFill="1" applyBorder="1" applyAlignment="1" applyProtection="1">
      <alignment horizontal="center" vertical="center" wrapText="1"/>
    </xf>
    <xf numFmtId="171" fontId="26" fillId="0" borderId="962" xfId="0" applyNumberFormat="1" applyFont="1" applyBorder="1" applyAlignment="1" applyProtection="1">
      <alignment horizontal="center" vertical="center" wrapText="1"/>
    </xf>
    <xf numFmtId="0" fontId="60" fillId="8" borderId="971" xfId="2" applyFont="1" applyFill="1" applyBorder="1" applyAlignment="1" applyProtection="1">
      <alignment vertical="center"/>
    </xf>
    <xf numFmtId="0" fontId="60" fillId="8" borderId="970" xfId="2" applyFont="1" applyFill="1" applyBorder="1" applyAlignment="1" applyProtection="1">
      <alignment vertical="center"/>
    </xf>
    <xf numFmtId="3" fontId="52" fillId="40" borderId="360" xfId="2" applyNumberFormat="1" applyFont="1" applyFill="1" applyBorder="1" applyAlignment="1" applyProtection="1">
      <alignment horizontal="left" vertical="center"/>
      <protection locked="0"/>
    </xf>
    <xf numFmtId="3" fontId="52" fillId="40" borderId="265" xfId="2" applyNumberFormat="1" applyFont="1" applyFill="1" applyBorder="1" applyAlignment="1" applyProtection="1">
      <alignment horizontal="left" vertical="center"/>
      <protection locked="0"/>
    </xf>
    <xf numFmtId="3" fontId="52" fillId="40" borderId="266" xfId="2" applyNumberFormat="1" applyFont="1" applyFill="1" applyBorder="1" applyAlignment="1" applyProtection="1">
      <alignment horizontal="left" vertical="center"/>
      <protection locked="0"/>
    </xf>
    <xf numFmtId="0" fontId="31" fillId="34" borderId="650" xfId="2" applyFont="1" applyFill="1" applyBorder="1" applyAlignment="1">
      <alignment horizontal="center" vertical="center" wrapText="1"/>
    </xf>
    <xf numFmtId="0" fontId="28" fillId="0" borderId="944" xfId="2" applyFont="1" applyFill="1" applyBorder="1" applyAlignment="1">
      <alignment horizontal="center" vertical="center" wrapText="1"/>
    </xf>
    <xf numFmtId="183" fontId="23" fillId="0" borderId="683" xfId="2" applyNumberFormat="1" applyFont="1" applyFill="1" applyBorder="1" applyAlignment="1">
      <alignment horizontal="center" vertical="center" wrapText="1"/>
    </xf>
    <xf numFmtId="177" fontId="31" fillId="0" borderId="940" xfId="2" applyNumberFormat="1" applyFont="1" applyFill="1" applyBorder="1" applyAlignment="1">
      <alignment horizontal="center" vertical="center"/>
    </xf>
    <xf numFmtId="177" fontId="31" fillId="0" borderId="939" xfId="2" applyNumberFormat="1" applyFont="1" applyFill="1" applyBorder="1" applyAlignment="1">
      <alignment horizontal="center" vertical="center"/>
    </xf>
    <xf numFmtId="0" fontId="31" fillId="0" borderId="945" xfId="2" applyFont="1" applyFill="1" applyBorder="1" applyAlignment="1">
      <alignment horizontal="center" vertical="center"/>
    </xf>
    <xf numFmtId="0" fontId="26" fillId="0" borderId="946" xfId="0" applyFont="1" applyFill="1" applyBorder="1" applyAlignment="1">
      <alignment horizontal="left" vertical="center" wrapText="1"/>
    </xf>
    <xf numFmtId="182" fontId="26" fillId="0" borderId="948" xfId="0" applyNumberFormat="1" applyFont="1" applyFill="1" applyBorder="1" applyAlignment="1">
      <alignment horizontal="center" vertical="center" wrapText="1"/>
    </xf>
    <xf numFmtId="177" fontId="31" fillId="0" borderId="955" xfId="2" applyNumberFormat="1" applyFont="1" applyFill="1" applyBorder="1" applyAlignment="1">
      <alignment horizontal="center" vertical="center"/>
    </xf>
    <xf numFmtId="177" fontId="31" fillId="0" borderId="956" xfId="2" applyNumberFormat="1" applyFont="1" applyFill="1" applyBorder="1" applyAlignment="1">
      <alignment horizontal="center" vertical="center"/>
    </xf>
    <xf numFmtId="0" fontId="28" fillId="27" borderId="946" xfId="2" applyFont="1" applyFill="1" applyBorder="1" applyAlignment="1">
      <alignment horizontal="center" vertical="center"/>
    </xf>
    <xf numFmtId="182" fontId="6" fillId="27" borderId="947" xfId="2" applyNumberFormat="1" applyFill="1" applyBorder="1" applyAlignment="1">
      <alignment horizontal="center" vertical="center"/>
    </xf>
    <xf numFmtId="177" fontId="31" fillId="27" borderId="955" xfId="2" applyNumberFormat="1" applyFont="1" applyFill="1" applyBorder="1" applyAlignment="1">
      <alignment horizontal="center" vertical="center"/>
    </xf>
    <xf numFmtId="177" fontId="31" fillId="27" borderId="956" xfId="2" applyNumberFormat="1" applyFont="1" applyFill="1" applyBorder="1" applyAlignment="1">
      <alignment horizontal="center" vertical="center"/>
    </xf>
    <xf numFmtId="0" fontId="31" fillId="0" borderId="951" xfId="2" quotePrefix="1" applyFont="1" applyFill="1" applyBorder="1" applyAlignment="1">
      <alignment horizontal="right" vertical="center"/>
    </xf>
    <xf numFmtId="0" fontId="6" fillId="0" borderId="973" xfId="2" applyBorder="1" applyAlignment="1">
      <alignment horizontal="center" vertical="center" wrapText="1"/>
    </xf>
    <xf numFmtId="0" fontId="6" fillId="0" borderId="285" xfId="2" applyBorder="1" applyAlignment="1">
      <alignment horizontal="center" vertical="center" wrapText="1"/>
    </xf>
    <xf numFmtId="0" fontId="6" fillId="0" borderId="974" xfId="2" applyBorder="1" applyAlignment="1">
      <alignment horizontal="center" vertical="center"/>
    </xf>
    <xf numFmtId="0" fontId="0" fillId="0" borderId="104" xfId="0" applyFont="1" applyBorder="1" applyAlignment="1">
      <alignment vertical="center"/>
    </xf>
    <xf numFmtId="0" fontId="0" fillId="0" borderId="0" xfId="0" applyFont="1" applyBorder="1" applyAlignment="1">
      <alignment vertical="center"/>
    </xf>
    <xf numFmtId="0" fontId="137" fillId="9" borderId="37" xfId="9" applyFont="1" applyFill="1" applyBorder="1" applyAlignment="1">
      <alignment horizontal="center" vertical="center" wrapText="1"/>
    </xf>
    <xf numFmtId="0" fontId="5" fillId="0" borderId="89" xfId="1" applyFont="1" applyBorder="1" applyAlignment="1" applyProtection="1">
      <alignment horizontal="left" vertical="center"/>
    </xf>
    <xf numFmtId="0" fontId="0" fillId="40" borderId="90" xfId="0" applyFont="1" applyFill="1" applyBorder="1" applyProtection="1">
      <protection locked="0"/>
    </xf>
    <xf numFmtId="0" fontId="5" fillId="0" borderId="89" xfId="1" applyBorder="1" applyAlignment="1" applyProtection="1">
      <alignment horizontal="left" vertical="center"/>
    </xf>
    <xf numFmtId="0" fontId="22" fillId="0" borderId="981" xfId="7" applyFont="1" applyBorder="1" applyAlignment="1" applyProtection="1">
      <alignment vertical="center"/>
    </xf>
    <xf numFmtId="0" fontId="22" fillId="0" borderId="982" xfId="0" applyFont="1" applyBorder="1" applyAlignment="1" applyProtection="1">
      <alignment vertical="center"/>
    </xf>
    <xf numFmtId="0" fontId="22" fillId="0" borderId="240" xfId="7" applyFont="1" applyBorder="1" applyAlignment="1" applyProtection="1">
      <alignment vertical="center"/>
    </xf>
    <xf numFmtId="0" fontId="22" fillId="0" borderId="238" xfId="0" applyFont="1" applyBorder="1" applyAlignment="1" applyProtection="1">
      <alignment vertical="center"/>
    </xf>
    <xf numFmtId="0" fontId="5" fillId="0" borderId="980" xfId="1" applyBorder="1" applyAlignment="1" applyProtection="1">
      <alignment vertical="center"/>
    </xf>
    <xf numFmtId="0" fontId="5" fillId="0" borderId="45" xfId="1" applyBorder="1" applyAlignment="1" applyProtection="1">
      <alignment vertical="center"/>
    </xf>
    <xf numFmtId="0" fontId="5" fillId="0" borderId="978" xfId="1" applyFont="1" applyBorder="1" applyAlignment="1" applyProtection="1">
      <alignment vertical="center"/>
    </xf>
    <xf numFmtId="0" fontId="5" fillId="0" borderId="979" xfId="1" applyFont="1" applyBorder="1" applyAlignment="1" applyProtection="1">
      <alignment vertical="center"/>
    </xf>
    <xf numFmtId="0" fontId="5" fillId="0" borderId="977" xfId="1" applyBorder="1" applyAlignment="1" applyProtection="1">
      <alignment vertical="center"/>
    </xf>
    <xf numFmtId="0" fontId="22" fillId="0" borderId="240" xfId="0" applyFont="1" applyBorder="1" applyAlignment="1" applyProtection="1">
      <alignment vertical="center"/>
    </xf>
    <xf numFmtId="0" fontId="22" fillId="0" borderId="238" xfId="7" applyFont="1" applyBorder="1" applyAlignment="1" applyProtection="1">
      <alignment vertical="center"/>
    </xf>
    <xf numFmtId="0" fontId="5" fillId="0" borderId="989" xfId="1" applyBorder="1" applyAlignment="1" applyProtection="1">
      <alignment vertical="center"/>
    </xf>
    <xf numFmtId="0" fontId="5" fillId="0" borderId="987" xfId="1" applyFont="1" applyBorder="1" applyAlignment="1" applyProtection="1">
      <alignment vertical="center"/>
    </xf>
    <xf numFmtId="0" fontId="5" fillId="0" borderId="988" xfId="1" applyFont="1" applyBorder="1" applyAlignment="1" applyProtection="1">
      <alignment vertical="center"/>
    </xf>
    <xf numFmtId="0" fontId="0" fillId="40" borderId="990" xfId="0" applyFont="1" applyFill="1" applyBorder="1" applyProtection="1">
      <protection locked="0"/>
    </xf>
    <xf numFmtId="0" fontId="0" fillId="0" borderId="991" xfId="0" applyFont="1" applyBorder="1" applyAlignment="1" applyProtection="1"/>
    <xf numFmtId="0" fontId="0" fillId="0" borderId="97" xfId="0" applyFont="1" applyBorder="1" applyAlignment="1" applyProtection="1"/>
    <xf numFmtId="0" fontId="0" fillId="0" borderId="992" xfId="0" applyFont="1" applyBorder="1" applyAlignment="1" applyProtection="1"/>
    <xf numFmtId="0" fontId="22" fillId="0" borderId="89" xfId="0" applyFont="1" applyBorder="1" applyAlignment="1" applyProtection="1">
      <alignment vertical="center"/>
    </xf>
    <xf numFmtId="0" fontId="22" fillId="0" borderId="994" xfId="0" applyFont="1" applyBorder="1" applyAlignment="1" applyProtection="1">
      <alignment vertical="center"/>
    </xf>
    <xf numFmtId="0" fontId="5" fillId="0" borderId="993" xfId="1" applyBorder="1" applyAlignment="1" applyProtection="1">
      <alignment vertical="center"/>
    </xf>
    <xf numFmtId="0" fontId="0" fillId="0" borderId="87" xfId="0" applyFont="1" applyBorder="1" applyAlignment="1" applyProtection="1"/>
    <xf numFmtId="0" fontId="5" fillId="0" borderId="996" xfId="1" applyBorder="1" applyAlignment="1" applyProtection="1">
      <alignment vertical="center"/>
    </xf>
    <xf numFmtId="0" fontId="22" fillId="0" borderId="0" xfId="7" applyFont="1" applyBorder="1" applyAlignment="1" applyProtection="1">
      <alignment vertical="center"/>
    </xf>
    <xf numFmtId="0" fontId="22" fillId="0" borderId="995" xfId="7" applyFont="1" applyBorder="1" applyAlignment="1" applyProtection="1">
      <alignment vertical="center"/>
    </xf>
    <xf numFmtId="0" fontId="0" fillId="40" borderId="997" xfId="0" applyFont="1" applyFill="1" applyBorder="1" applyProtection="1">
      <protection locked="0"/>
    </xf>
    <xf numFmtId="0" fontId="5" fillId="0" borderId="45" xfId="1" applyFont="1" applyBorder="1" applyAlignment="1" applyProtection="1">
      <alignment vertical="center"/>
    </xf>
    <xf numFmtId="0" fontId="5" fillId="0" borderId="240" xfId="1" applyFont="1" applyBorder="1" applyAlignment="1" applyProtection="1">
      <alignment vertical="center"/>
    </xf>
    <xf numFmtId="0" fontId="5" fillId="0" borderId="238" xfId="1" applyFont="1" applyBorder="1" applyAlignment="1" applyProtection="1">
      <alignment vertical="center"/>
    </xf>
    <xf numFmtId="0" fontId="5" fillId="0" borderId="979" xfId="1" applyBorder="1" applyAlignment="1" applyProtection="1">
      <alignment vertical="center"/>
    </xf>
    <xf numFmtId="0" fontId="22" fillId="0" borderId="89" xfId="7" applyFont="1" applyBorder="1" applyAlignment="1" applyProtection="1">
      <alignment vertical="center"/>
    </xf>
    <xf numFmtId="0" fontId="22" fillId="0" borderId="994" xfId="7" applyFont="1" applyBorder="1" applyAlignment="1" applyProtection="1">
      <alignment vertical="center"/>
    </xf>
    <xf numFmtId="0" fontId="5" fillId="0" borderId="89" xfId="1" applyBorder="1" applyAlignment="1" applyProtection="1">
      <alignment vertical="center"/>
    </xf>
    <xf numFmtId="0" fontId="22" fillId="0" borderId="978" xfId="7" applyFont="1" applyBorder="1" applyAlignment="1" applyProtection="1">
      <alignment vertical="center"/>
    </xf>
    <xf numFmtId="0" fontId="22" fillId="0" borderId="979" xfId="7" applyFont="1" applyBorder="1" applyAlignment="1" applyProtection="1">
      <alignment vertical="center"/>
    </xf>
    <xf numFmtId="0" fontId="22" fillId="0" borderId="998" xfId="8" applyFont="1" applyBorder="1" applyAlignment="1" applyProtection="1">
      <alignment vertical="center" wrapText="1"/>
    </xf>
    <xf numFmtId="0" fontId="22" fillId="0" borderId="62" xfId="8" applyFont="1" applyBorder="1" applyAlignment="1" applyProtection="1">
      <alignment vertical="center" wrapText="1"/>
    </xf>
    <xf numFmtId="0" fontId="22" fillId="0" borderId="999" xfId="8" applyFont="1" applyBorder="1" applyAlignment="1" applyProtection="1">
      <alignment vertical="center" wrapText="1"/>
    </xf>
    <xf numFmtId="0" fontId="22" fillId="0" borderId="987" xfId="7" applyFont="1" applyBorder="1" applyAlignment="1" applyProtection="1">
      <alignment vertical="center"/>
    </xf>
    <xf numFmtId="0" fontId="22" fillId="0" borderId="988" xfId="7" applyFont="1" applyBorder="1" applyAlignment="1" applyProtection="1">
      <alignment vertical="center"/>
    </xf>
    <xf numFmtId="0" fontId="25" fillId="0" borderId="87" xfId="7" applyFont="1" applyFill="1" applyBorder="1" applyAlignment="1" applyProtection="1">
      <alignment horizontal="left" vertical="center"/>
    </xf>
    <xf numFmtId="0" fontId="5" fillId="0" borderId="45" xfId="1" applyFont="1" applyBorder="1" applyAlignment="1" applyProtection="1">
      <alignment horizontal="left" vertical="center"/>
    </xf>
    <xf numFmtId="0" fontId="5" fillId="0" borderId="240" xfId="1" applyFont="1" applyBorder="1" applyAlignment="1" applyProtection="1">
      <alignment horizontal="left" vertical="center"/>
    </xf>
    <xf numFmtId="0" fontId="5" fillId="0" borderId="238" xfId="1" applyFont="1" applyBorder="1" applyAlignment="1" applyProtection="1">
      <alignment horizontal="left" vertical="center"/>
    </xf>
    <xf numFmtId="0" fontId="0" fillId="40" borderId="1001" xfId="0" applyFont="1" applyFill="1" applyBorder="1" applyProtection="1">
      <protection locked="0"/>
    </xf>
    <xf numFmtId="0" fontId="0" fillId="0" borderId="0" xfId="0" applyFont="1" applyBorder="1" applyAlignment="1" applyProtection="1">
      <alignment horizontal="center"/>
    </xf>
    <xf numFmtId="0" fontId="0" fillId="0" borderId="0" xfId="4" applyFont="1" applyAlignment="1" applyProtection="1">
      <alignment horizontal="center"/>
    </xf>
    <xf numFmtId="0" fontId="0" fillId="0" borderId="175" xfId="0" applyFont="1" applyBorder="1" applyAlignment="1">
      <alignment horizontal="center" vertical="center"/>
    </xf>
    <xf numFmtId="0" fontId="0" fillId="0" borderId="68" xfId="0" applyFont="1" applyBorder="1" applyAlignment="1">
      <alignment horizontal="center" vertical="center"/>
    </xf>
    <xf numFmtId="0" fontId="0" fillId="0" borderId="69" xfId="0" applyFont="1" applyBorder="1" applyAlignment="1">
      <alignment horizontal="center" vertical="center"/>
    </xf>
    <xf numFmtId="0" fontId="0" fillId="0" borderId="56" xfId="0" applyFont="1" applyBorder="1" applyAlignment="1" applyProtection="1">
      <alignment horizontal="center" vertical="center"/>
    </xf>
    <xf numFmtId="0" fontId="0" fillId="0" borderId="345" xfId="0" applyFont="1" applyBorder="1" applyAlignment="1" applyProtection="1">
      <alignment horizontal="left" vertical="top" wrapText="1"/>
    </xf>
    <xf numFmtId="0" fontId="0" fillId="0" borderId="346" xfId="0" applyFont="1" applyBorder="1" applyAlignment="1" applyProtection="1">
      <alignment horizontal="left" vertical="top" wrapText="1"/>
    </xf>
    <xf numFmtId="0" fontId="0" fillId="0" borderId="0" xfId="0" applyFont="1" applyAlignment="1" applyProtection="1">
      <alignment horizontal="center"/>
    </xf>
    <xf numFmtId="0" fontId="26" fillId="0" borderId="0" xfId="0" applyFont="1" applyAlignment="1"/>
    <xf numFmtId="0" fontId="30" fillId="0" borderId="345" xfId="0" applyFont="1" applyBorder="1" applyAlignment="1" applyProtection="1">
      <alignment horizontal="center" vertical="center"/>
    </xf>
    <xf numFmtId="0" fontId="0" fillId="0" borderId="113" xfId="0" applyFont="1" applyFill="1" applyBorder="1" applyAlignment="1" applyProtection="1">
      <alignment horizontal="center" vertical="center"/>
      <protection locked="0"/>
    </xf>
    <xf numFmtId="0" fontId="0" fillId="0" borderId="113" xfId="0" applyFont="1" applyFill="1" applyBorder="1" applyAlignment="1" applyProtection="1">
      <alignment horizontal="center" vertical="top" wrapText="1"/>
      <protection locked="0"/>
    </xf>
    <xf numFmtId="0" fontId="0" fillId="0" borderId="114" xfId="0" applyFont="1" applyFill="1" applyBorder="1" applyAlignment="1" applyProtection="1">
      <alignment horizontal="center" vertical="top" wrapText="1"/>
      <protection locked="0"/>
    </xf>
    <xf numFmtId="0" fontId="35" fillId="26" borderId="112" xfId="2" applyFont="1" applyFill="1" applyBorder="1" applyAlignment="1" applyProtection="1">
      <alignment horizontal="left" vertical="center"/>
      <protection locked="0"/>
    </xf>
    <xf numFmtId="0" fontId="26" fillId="26" borderId="113" xfId="0" applyFont="1" applyFill="1" applyBorder="1" applyAlignment="1" applyProtection="1">
      <alignment horizontal="left" vertical="center"/>
      <protection locked="0"/>
    </xf>
    <xf numFmtId="9" fontId="0" fillId="0" borderId="129" xfId="3" applyFont="1" applyFill="1" applyBorder="1" applyAlignment="1" applyProtection="1">
      <alignment horizontal="center" vertical="center"/>
      <protection locked="0"/>
    </xf>
    <xf numFmtId="9" fontId="0" fillId="0" borderId="218" xfId="3"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top" wrapText="1"/>
      <protection locked="0"/>
    </xf>
    <xf numFmtId="0" fontId="35" fillId="26" borderId="218" xfId="2" applyFont="1" applyFill="1" applyBorder="1" applyAlignment="1" applyProtection="1">
      <alignment horizontal="left" vertical="center"/>
      <protection locked="0"/>
    </xf>
    <xf numFmtId="0" fontId="0" fillId="0" borderId="129" xfId="0" applyFont="1" applyFill="1" applyBorder="1" applyAlignment="1" applyProtection="1">
      <alignment horizontal="center" vertical="center" wrapText="1"/>
      <protection locked="0"/>
    </xf>
    <xf numFmtId="0" fontId="0" fillId="0" borderId="130" xfId="0" applyFont="1" applyFill="1" applyBorder="1" applyAlignment="1" applyProtection="1">
      <alignment horizontal="center" vertical="center" wrapText="1"/>
      <protection locked="0"/>
    </xf>
    <xf numFmtId="0" fontId="0" fillId="0" borderId="131" xfId="0" applyFont="1" applyFill="1" applyBorder="1" applyAlignment="1" applyProtection="1">
      <alignment horizontal="center" vertical="center" wrapText="1"/>
      <protection locked="0"/>
    </xf>
    <xf numFmtId="0" fontId="0" fillId="0" borderId="245"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35" fillId="0" borderId="0" xfId="2" applyFont="1" applyFill="1" applyBorder="1" applyAlignment="1" applyProtection="1">
      <alignment horizontal="left" vertical="center"/>
      <protection locked="0"/>
    </xf>
    <xf numFmtId="0" fontId="26" fillId="0" borderId="0" xfId="0" applyFont="1" applyFill="1" applyBorder="1" applyAlignment="1" applyProtection="1">
      <alignment horizontal="left" vertical="center"/>
      <protection locked="0"/>
    </xf>
    <xf numFmtId="9" fontId="0" fillId="0" borderId="0" xfId="3" applyFont="1" applyFill="1" applyBorder="1" applyAlignment="1" applyProtection="1">
      <alignment horizontal="center" vertical="center"/>
      <protection locked="0"/>
    </xf>
    <xf numFmtId="0" fontId="40" fillId="29" borderId="261" xfId="0" applyFont="1" applyFill="1" applyBorder="1" applyAlignment="1" applyProtection="1">
      <alignment horizontal="left" vertical="center"/>
    </xf>
    <xf numFmtId="0" fontId="40" fillId="29" borderId="262" xfId="0" applyFont="1" applyFill="1" applyBorder="1" applyAlignment="1" applyProtection="1">
      <alignment horizontal="left" vertical="center"/>
    </xf>
    <xf numFmtId="0" fontId="40" fillId="29" borderId="263" xfId="0" applyFont="1" applyFill="1" applyBorder="1" applyAlignment="1" applyProtection="1">
      <alignment horizontal="left" vertical="center"/>
    </xf>
    <xf numFmtId="0" fontId="2" fillId="29" borderId="262" xfId="0" applyFont="1" applyFill="1" applyBorder="1" applyAlignment="1" applyProtection="1">
      <alignment horizontal="left" vertical="center"/>
    </xf>
    <xf numFmtId="0" fontId="35" fillId="26" borderId="265" xfId="2" applyFont="1" applyFill="1" applyBorder="1" applyAlignment="1" applyProtection="1">
      <alignment horizontal="left" vertical="center"/>
      <protection locked="0"/>
    </xf>
    <xf numFmtId="0" fontId="96" fillId="0" borderId="168" xfId="2" applyFont="1" applyFill="1" applyBorder="1" applyAlignment="1" applyProtection="1">
      <alignment horizontal="left" vertical="center"/>
    </xf>
    <xf numFmtId="0" fontId="11" fillId="0" borderId="238" xfId="9" applyFill="1" applyBorder="1" applyAlignment="1">
      <alignment horizontal="center" vertical="center"/>
    </xf>
    <xf numFmtId="169" fontId="38" fillId="9" borderId="37" xfId="0" applyNumberFormat="1" applyFont="1" applyFill="1" applyBorder="1" applyAlignment="1">
      <alignment horizontal="center"/>
    </xf>
    <xf numFmtId="0" fontId="0" fillId="39" borderId="38" xfId="0" applyFont="1" applyFill="1" applyBorder="1" applyAlignment="1" applyProtection="1">
      <protection locked="0"/>
    </xf>
    <xf numFmtId="0" fontId="0" fillId="39" borderId="39" xfId="0" applyFont="1" applyFill="1" applyBorder="1" applyAlignment="1" applyProtection="1">
      <alignment vertical="center"/>
      <protection locked="0"/>
    </xf>
    <xf numFmtId="0" fontId="0" fillId="39" borderId="40" xfId="0" applyFont="1" applyFill="1" applyBorder="1" applyAlignment="1" applyProtection="1">
      <alignment horizontal="center" vertical="center"/>
      <protection locked="0"/>
    </xf>
    <xf numFmtId="0" fontId="0" fillId="39" borderId="39" xfId="0" applyFont="1" applyFill="1" applyBorder="1" applyAlignment="1" applyProtection="1">
      <alignment horizontal="center" vertical="center"/>
      <protection locked="0"/>
    </xf>
    <xf numFmtId="0" fontId="21" fillId="0" borderId="0" xfId="0" applyFont="1" applyBorder="1" applyAlignment="1" applyProtection="1">
      <alignment horizontal="center" vertical="center"/>
    </xf>
    <xf numFmtId="0" fontId="48" fillId="0" borderId="67" xfId="4" applyFont="1" applyFill="1" applyBorder="1" applyAlignment="1" applyProtection="1">
      <alignment horizontal="left" vertical="center" readingOrder="1"/>
      <protection locked="0"/>
    </xf>
    <xf numFmtId="0" fontId="48" fillId="0" borderId="68" xfId="4" applyFont="1" applyFill="1" applyBorder="1" applyAlignment="1" applyProtection="1">
      <alignment horizontal="left" vertical="center" readingOrder="1"/>
      <protection locked="0"/>
    </xf>
    <xf numFmtId="0" fontId="48" fillId="0" borderId="390" xfId="4" applyFont="1" applyFill="1" applyBorder="1" applyAlignment="1" applyProtection="1">
      <alignment horizontal="left" vertical="center" readingOrder="1"/>
      <protection locked="0"/>
    </xf>
    <xf numFmtId="171" fontId="135" fillId="0" borderId="175" xfId="4" applyNumberFormat="1" applyFont="1" applyFill="1" applyBorder="1" applyAlignment="1" applyProtection="1">
      <alignment horizontal="center" vertical="center" wrapText="1" readingOrder="1"/>
      <protection locked="0"/>
    </xf>
    <xf numFmtId="171" fontId="135" fillId="0" borderId="390" xfId="4" applyNumberFormat="1" applyFont="1" applyFill="1" applyBorder="1" applyAlignment="1" applyProtection="1">
      <alignment horizontal="center" vertical="center" wrapText="1" readingOrder="1"/>
      <protection locked="0"/>
    </xf>
    <xf numFmtId="0" fontId="145" fillId="0" borderId="53" xfId="2" applyFont="1" applyBorder="1" applyAlignment="1" applyProtection="1">
      <alignment horizontal="center" vertical="center" textRotation="75" wrapText="1"/>
      <protection locked="0"/>
    </xf>
    <xf numFmtId="2" fontId="2" fillId="8" borderId="345" xfId="0" applyNumberFormat="1" applyFont="1" applyFill="1" applyBorder="1" applyAlignment="1" applyProtection="1">
      <alignment vertical="center"/>
    </xf>
    <xf numFmtId="0" fontId="1" fillId="0" borderId="0" xfId="0" applyFont="1" applyBorder="1" applyAlignment="1" applyProtection="1">
      <alignment horizontal="right" vertical="center"/>
    </xf>
    <xf numFmtId="1" fontId="0" fillId="0" borderId="0" xfId="0" applyNumberFormat="1" applyFont="1" applyAlignment="1" applyProtection="1"/>
    <xf numFmtId="1" fontId="0" fillId="0" borderId="61" xfId="0" applyNumberFormat="1" applyFont="1" applyFill="1" applyBorder="1" applyAlignment="1">
      <alignment horizontal="center"/>
    </xf>
    <xf numFmtId="0" fontId="148" fillId="0" borderId="56" xfId="0" applyFont="1" applyBorder="1" applyAlignment="1" applyProtection="1">
      <alignment horizontal="center"/>
    </xf>
    <xf numFmtId="1" fontId="0" fillId="0" borderId="0" xfId="0" applyNumberFormat="1" applyFont="1" applyAlignment="1"/>
    <xf numFmtId="1" fontId="0" fillId="0" borderId="0" xfId="0" applyNumberFormat="1" applyFont="1" applyFill="1" applyAlignment="1"/>
    <xf numFmtId="1" fontId="0" fillId="0" borderId="61" xfId="0" applyNumberFormat="1" applyFont="1" applyFill="1" applyBorder="1" applyAlignment="1"/>
    <xf numFmtId="0" fontId="35" fillId="0" borderId="613" xfId="2" applyFont="1" applyFill="1" applyBorder="1" applyAlignment="1" applyProtection="1">
      <alignment horizontal="left" vertical="center" wrapText="1"/>
      <protection locked="0"/>
    </xf>
    <xf numFmtId="0" fontId="26" fillId="0" borderId="130" xfId="0" applyFont="1" applyFill="1" applyBorder="1" applyAlignment="1" applyProtection="1">
      <alignment horizontal="left" vertical="center" wrapText="1"/>
      <protection locked="0"/>
    </xf>
    <xf numFmtId="0" fontId="26" fillId="0" borderId="218" xfId="0" applyFont="1" applyFill="1" applyBorder="1" applyAlignment="1" applyProtection="1">
      <alignment horizontal="left" vertical="center" wrapText="1"/>
      <protection locked="0"/>
    </xf>
    <xf numFmtId="0" fontId="52" fillId="0" borderId="858" xfId="2" applyNumberFormat="1" applyFont="1" applyFill="1" applyBorder="1" applyAlignment="1" applyProtection="1">
      <alignment horizontal="center" vertical="center"/>
    </xf>
    <xf numFmtId="0" fontId="24" fillId="0" borderId="378" xfId="2" applyFont="1" applyFill="1" applyBorder="1" applyAlignment="1" applyProtection="1">
      <alignment horizontal="left" vertical="center" wrapText="1"/>
    </xf>
    <xf numFmtId="0" fontId="24" fillId="0" borderId="1026" xfId="2" applyFont="1" applyFill="1" applyBorder="1" applyAlignment="1" applyProtection="1">
      <alignment horizontal="left" vertical="center" wrapText="1"/>
    </xf>
    <xf numFmtId="0" fontId="52" fillId="0" borderId="916" xfId="2" applyNumberFormat="1" applyFont="1" applyFill="1" applyBorder="1" applyAlignment="1" applyProtection="1">
      <alignment horizontal="center" vertical="center"/>
    </xf>
    <xf numFmtId="0" fontId="35" fillId="0" borderId="381" xfId="2" quotePrefix="1" applyFont="1" applyFill="1" applyBorder="1" applyAlignment="1" applyProtection="1">
      <alignment horizontal="left" vertical="center" wrapText="1"/>
      <protection locked="0"/>
    </xf>
    <xf numFmtId="0" fontId="35" fillId="0" borderId="1026" xfId="2" applyFont="1" applyFill="1" applyBorder="1" applyAlignment="1" applyProtection="1">
      <alignment horizontal="left" vertical="center"/>
      <protection locked="0"/>
    </xf>
    <xf numFmtId="0" fontId="35" fillId="0" borderId="382" xfId="2" applyFont="1" applyFill="1" applyBorder="1" applyAlignment="1" applyProtection="1">
      <alignment horizontal="left" vertical="center"/>
      <protection locked="0"/>
    </xf>
    <xf numFmtId="0" fontId="30" fillId="0" borderId="0" xfId="0" quotePrefix="1" applyFont="1" applyFill="1" applyBorder="1" applyAlignment="1" applyProtection="1">
      <alignment horizontal="center" vertical="center"/>
    </xf>
    <xf numFmtId="0" fontId="58" fillId="0" borderId="0" xfId="0" applyFont="1" applyFill="1" applyBorder="1" applyAlignment="1" applyProtection="1">
      <alignment horizontal="left" vertical="center" wrapText="1"/>
    </xf>
    <xf numFmtId="0" fontId="0" fillId="0" borderId="0" xfId="0" applyFont="1" applyFill="1" applyBorder="1" applyAlignment="1" applyProtection="1">
      <alignment vertical="center"/>
    </xf>
    <xf numFmtId="0" fontId="24" fillId="0" borderId="260" xfId="2" applyFont="1" applyFill="1" applyBorder="1" applyAlignment="1" applyProtection="1">
      <alignment vertical="center"/>
      <protection locked="0"/>
    </xf>
    <xf numFmtId="0" fontId="24" fillId="0" borderId="0" xfId="2" applyFont="1" applyFill="1" applyBorder="1" applyAlignment="1" applyProtection="1">
      <alignment vertical="center"/>
      <protection locked="0"/>
    </xf>
    <xf numFmtId="0" fontId="60" fillId="0" borderId="260" xfId="2" applyFont="1" applyFill="1" applyBorder="1" applyAlignment="1" applyProtection="1">
      <alignment horizontal="center" vertical="center"/>
    </xf>
    <xf numFmtId="0" fontId="60" fillId="0" borderId="0" xfId="2" applyFont="1" applyFill="1" applyBorder="1" applyAlignment="1" applyProtection="1">
      <alignment horizontal="center" vertical="center"/>
    </xf>
    <xf numFmtId="0" fontId="135" fillId="40" borderId="928" xfId="2" applyFont="1" applyFill="1" applyBorder="1" applyAlignment="1" applyProtection="1">
      <alignment horizontal="center" vertical="center"/>
      <protection locked="0"/>
    </xf>
    <xf numFmtId="0" fontId="52" fillId="0" borderId="926" xfId="2" applyNumberFormat="1" applyFont="1" applyFill="1" applyBorder="1" applyAlignment="1" applyProtection="1">
      <alignment horizontal="center" vertical="center"/>
    </xf>
    <xf numFmtId="9" fontId="0" fillId="0" borderId="0" xfId="6" applyNumberFormat="1" applyFont="1" applyFill="1" applyBorder="1" applyAlignment="1" applyProtection="1">
      <alignment horizontal="left" vertical="top" wrapText="1"/>
    </xf>
    <xf numFmtId="0" fontId="26" fillId="0" borderId="0" xfId="0" applyFont="1" applyFill="1" applyBorder="1" applyAlignment="1" applyProtection="1">
      <alignment horizontal="left" vertical="center" wrapText="1"/>
    </xf>
    <xf numFmtId="0" fontId="1" fillId="7" borderId="1043" xfId="6" applyFont="1" applyFill="1" applyBorder="1" applyAlignment="1" applyProtection="1">
      <alignment horizontal="center" vertical="center"/>
    </xf>
    <xf numFmtId="182" fontId="11" fillId="33" borderId="533" xfId="6" applyNumberFormat="1" applyFont="1" applyFill="1" applyBorder="1" applyAlignment="1" applyProtection="1">
      <alignment horizontal="center"/>
      <protection locked="0"/>
    </xf>
    <xf numFmtId="180" fontId="11" fillId="33" borderId="533" xfId="6" applyNumberFormat="1" applyFont="1" applyFill="1" applyBorder="1" applyAlignment="1" applyProtection="1">
      <alignment horizontal="center"/>
      <protection locked="0"/>
    </xf>
    <xf numFmtId="180" fontId="11" fillId="33" borderId="560" xfId="6" applyNumberFormat="1" applyFont="1" applyFill="1" applyBorder="1" applyAlignment="1" applyProtection="1">
      <alignment horizontal="center"/>
      <protection locked="0"/>
    </xf>
    <xf numFmtId="180" fontId="97" fillId="33" borderId="894" xfId="6" applyNumberFormat="1" applyFont="1" applyFill="1" applyBorder="1" applyAlignment="1" applyProtection="1">
      <alignment horizontal="center"/>
    </xf>
    <xf numFmtId="182" fontId="11" fillId="26" borderId="533" xfId="6" applyNumberFormat="1" applyFont="1" applyFill="1" applyBorder="1" applyAlignment="1" applyProtection="1">
      <alignment horizontal="center"/>
      <protection locked="0"/>
    </xf>
    <xf numFmtId="180" fontId="0" fillId="26" borderId="533" xfId="6" applyNumberFormat="1" applyFont="1" applyFill="1" applyBorder="1" applyAlignment="1" applyProtection="1">
      <alignment horizontal="center"/>
      <protection locked="0"/>
    </xf>
    <xf numFmtId="182" fontId="0" fillId="26" borderId="533" xfId="6" applyNumberFormat="1" applyFont="1" applyFill="1" applyBorder="1" applyAlignment="1" applyProtection="1">
      <alignment horizontal="center"/>
      <protection locked="0"/>
    </xf>
    <xf numFmtId="182" fontId="11" fillId="0" borderId="564" xfId="6" applyNumberFormat="1" applyFont="1" applyFill="1" applyBorder="1" applyAlignment="1" applyProtection="1">
      <alignment horizontal="center" vertical="center"/>
    </xf>
    <xf numFmtId="182" fontId="11" fillId="0" borderId="530" xfId="6" applyNumberFormat="1" applyFont="1" applyFill="1" applyBorder="1" applyAlignment="1" applyProtection="1">
      <alignment horizontal="center" vertical="center"/>
    </xf>
    <xf numFmtId="182" fontId="11" fillId="0" borderId="551" xfId="6" applyNumberFormat="1" applyFont="1" applyFill="1" applyBorder="1" applyAlignment="1" applyProtection="1">
      <alignment horizontal="center" vertical="center"/>
    </xf>
    <xf numFmtId="0" fontId="11" fillId="0" borderId="555" xfId="6" applyFont="1" applyBorder="1" applyProtection="1"/>
    <xf numFmtId="0" fontId="11" fillId="0" borderId="556" xfId="6" applyFont="1" applyBorder="1" applyProtection="1"/>
    <xf numFmtId="0" fontId="97" fillId="0" borderId="556" xfId="6" applyFont="1" applyBorder="1" applyAlignment="1" applyProtection="1">
      <alignment horizontal="right"/>
    </xf>
    <xf numFmtId="0" fontId="11" fillId="0" borderId="565" xfId="6" applyFont="1" applyBorder="1" applyProtection="1"/>
    <xf numFmtId="9" fontId="11" fillId="0" borderId="536" xfId="3" applyFont="1" applyBorder="1" applyAlignment="1" applyProtection="1">
      <alignment horizontal="center" vertical="center"/>
    </xf>
    <xf numFmtId="0" fontId="11" fillId="0" borderId="557" xfId="6" applyFont="1" applyBorder="1" applyProtection="1"/>
    <xf numFmtId="182" fontId="11" fillId="26" borderId="530" xfId="6" applyNumberFormat="1" applyFont="1" applyFill="1" applyBorder="1" applyAlignment="1" applyProtection="1">
      <alignment horizontal="center" vertical="center"/>
    </xf>
    <xf numFmtId="0" fontId="98" fillId="0" borderId="1044" xfId="2" applyFont="1" applyFill="1" applyBorder="1" applyAlignment="1" applyProtection="1">
      <alignment horizontal="right" vertical="center" wrapText="1"/>
    </xf>
    <xf numFmtId="0" fontId="69" fillId="0" borderId="569" xfId="6" applyFont="1" applyBorder="1" applyAlignment="1" applyProtection="1">
      <alignment horizontal="center"/>
    </xf>
    <xf numFmtId="9" fontId="130" fillId="0" borderId="569" xfId="14" applyFont="1" applyFill="1" applyBorder="1" applyAlignment="1" applyProtection="1">
      <alignment horizontal="center"/>
    </xf>
    <xf numFmtId="3" fontId="130" fillId="0" borderId="898" xfId="6" applyNumberFormat="1" applyFont="1" applyFill="1" applyBorder="1" applyAlignment="1" applyProtection="1">
      <alignment horizontal="center"/>
    </xf>
    <xf numFmtId="182" fontId="11" fillId="0" borderId="1047" xfId="6" applyNumberFormat="1" applyFont="1" applyFill="1" applyBorder="1" applyAlignment="1" applyProtection="1">
      <alignment horizontal="center" vertical="center"/>
    </xf>
    <xf numFmtId="182" fontId="11" fillId="0" borderId="1048" xfId="6" applyNumberFormat="1" applyFont="1" applyFill="1" applyBorder="1" applyAlignment="1" applyProtection="1">
      <alignment horizontal="center" vertical="center"/>
    </xf>
    <xf numFmtId="182" fontId="11" fillId="0" borderId="1049" xfId="6" applyNumberFormat="1" applyFont="1" applyFill="1" applyBorder="1" applyAlignment="1" applyProtection="1">
      <alignment horizontal="center" vertical="center"/>
    </xf>
    <xf numFmtId="0" fontId="11" fillId="0" borderId="1050" xfId="6" applyFont="1" applyBorder="1" applyProtection="1"/>
    <xf numFmtId="0" fontId="11" fillId="0" borderId="1051" xfId="6" applyFont="1" applyBorder="1" applyProtection="1"/>
    <xf numFmtId="0" fontId="97" fillId="0" borderId="1051" xfId="6" applyFont="1" applyBorder="1" applyAlignment="1" applyProtection="1">
      <alignment horizontal="right"/>
    </xf>
    <xf numFmtId="0" fontId="11" fillId="0" borderId="1052" xfId="6" applyFont="1" applyBorder="1" applyProtection="1"/>
    <xf numFmtId="9" fontId="11" fillId="0" borderId="1053" xfId="3" applyFont="1" applyBorder="1" applyAlignment="1" applyProtection="1">
      <alignment horizontal="center" vertical="center"/>
    </xf>
    <xf numFmtId="0" fontId="11" fillId="0" borderId="1054" xfId="6" applyFont="1" applyBorder="1" applyProtection="1"/>
    <xf numFmtId="9" fontId="11" fillId="0" borderId="0" xfId="3" applyFont="1" applyAlignment="1" applyProtection="1">
      <alignment horizontal="center" vertical="center"/>
    </xf>
    <xf numFmtId="0" fontId="16" fillId="25" borderId="539" xfId="6" applyFont="1" applyFill="1" applyBorder="1" applyAlignment="1" applyProtection="1">
      <alignment horizontal="center" vertical="center"/>
    </xf>
    <xf numFmtId="0" fontId="16" fillId="25" borderId="1055" xfId="6" applyFont="1" applyFill="1" applyBorder="1" applyAlignment="1" applyProtection="1">
      <alignment horizontal="center" vertical="center"/>
    </xf>
    <xf numFmtId="180" fontId="149" fillId="25" borderId="544" xfId="6" applyNumberFormat="1" applyFont="1" applyFill="1" applyBorder="1" applyAlignment="1" applyProtection="1">
      <alignment horizontal="center"/>
    </xf>
    <xf numFmtId="180" fontId="149" fillId="25" borderId="545" xfId="6" applyNumberFormat="1" applyFont="1" applyFill="1" applyBorder="1" applyAlignment="1" applyProtection="1">
      <alignment horizontal="center"/>
    </xf>
    <xf numFmtId="180" fontId="149" fillId="25" borderId="1057" xfId="6" applyNumberFormat="1" applyFont="1" applyFill="1" applyBorder="1" applyAlignment="1" applyProtection="1">
      <alignment horizontal="center"/>
    </xf>
    <xf numFmtId="180" fontId="149" fillId="25" borderId="1058" xfId="6" applyNumberFormat="1" applyFont="1" applyFill="1" applyBorder="1" applyAlignment="1" applyProtection="1">
      <alignment horizontal="center"/>
    </xf>
    <xf numFmtId="180" fontId="97" fillId="25" borderId="1061" xfId="6" applyNumberFormat="1" applyFont="1" applyFill="1" applyBorder="1" applyAlignment="1" applyProtection="1">
      <alignment horizontal="center"/>
    </xf>
    <xf numFmtId="180" fontId="97" fillId="25" borderId="1062" xfId="6" applyNumberFormat="1" applyFont="1" applyFill="1" applyBorder="1" applyAlignment="1" applyProtection="1">
      <alignment horizontal="center"/>
    </xf>
    <xf numFmtId="9" fontId="100" fillId="25" borderId="533" xfId="14" applyFont="1" applyFill="1" applyBorder="1" applyAlignment="1" applyProtection="1">
      <alignment horizontal="center"/>
    </xf>
    <xf numFmtId="3" fontId="11" fillId="25" borderId="894" xfId="6" applyNumberFormat="1" applyFont="1" applyFill="1" applyBorder="1" applyAlignment="1" applyProtection="1">
      <alignment horizontal="center" vertical="center"/>
    </xf>
    <xf numFmtId="3" fontId="11" fillId="0" borderId="894" xfId="6" applyNumberFormat="1" applyFont="1" applyFill="1" applyBorder="1" applyAlignment="1" applyProtection="1">
      <alignment horizontal="center" vertical="center"/>
    </xf>
    <xf numFmtId="9" fontId="76" fillId="25" borderId="533" xfId="14" applyFont="1" applyFill="1" applyBorder="1" applyAlignment="1" applyProtection="1">
      <alignment horizontal="center"/>
    </xf>
    <xf numFmtId="9" fontId="76" fillId="25" borderId="1057" xfId="14" applyFont="1" applyFill="1" applyBorder="1" applyAlignment="1" applyProtection="1">
      <alignment horizontal="center" vertical="center"/>
    </xf>
    <xf numFmtId="0" fontId="11" fillId="25" borderId="1070" xfId="6" applyFont="1" applyFill="1" applyBorder="1" applyProtection="1"/>
    <xf numFmtId="0" fontId="16" fillId="25" borderId="530" xfId="6" applyFont="1" applyFill="1" applyBorder="1" applyAlignment="1" applyProtection="1">
      <alignment horizontal="center" vertical="center"/>
    </xf>
    <xf numFmtId="0" fontId="16" fillId="25" borderId="531" xfId="6" applyFont="1" applyFill="1" applyBorder="1" applyAlignment="1" applyProtection="1">
      <alignment horizontal="center" vertical="center"/>
    </xf>
    <xf numFmtId="0" fontId="11" fillId="0" borderId="0" xfId="6" applyFont="1" applyFill="1" applyAlignment="1" applyProtection="1">
      <alignment vertical="center"/>
    </xf>
    <xf numFmtId="0" fontId="0" fillId="0" borderId="0" xfId="6" applyFont="1" applyFill="1" applyBorder="1" applyAlignment="1" applyProtection="1">
      <alignment vertical="center"/>
    </xf>
    <xf numFmtId="9" fontId="11" fillId="0" borderId="0" xfId="6" applyNumberFormat="1" applyFont="1" applyFill="1" applyBorder="1" applyAlignment="1" applyProtection="1">
      <alignment horizontal="center" vertical="center"/>
    </xf>
    <xf numFmtId="9" fontId="17" fillId="0" borderId="0" xfId="14" applyFont="1" applyFill="1" applyBorder="1" applyAlignment="1" applyProtection="1">
      <alignment horizontal="left" vertical="center"/>
    </xf>
    <xf numFmtId="3" fontId="97" fillId="0" borderId="0" xfId="6" applyNumberFormat="1" applyFont="1" applyFill="1" applyBorder="1" applyAlignment="1" applyProtection="1">
      <alignment horizontal="center" vertical="center"/>
    </xf>
    <xf numFmtId="0" fontId="111" fillId="28" borderId="698" xfId="2" applyFont="1" applyFill="1" applyBorder="1" applyAlignment="1" applyProtection="1">
      <alignment horizontal="center" vertical="center"/>
    </xf>
    <xf numFmtId="0" fontId="111" fillId="28" borderId="0" xfId="2" applyFont="1" applyFill="1" applyBorder="1" applyAlignment="1" applyProtection="1">
      <alignment horizontal="center" vertical="center"/>
    </xf>
    <xf numFmtId="180" fontId="97" fillId="25" borderId="1071" xfId="6" applyNumberFormat="1" applyFont="1" applyFill="1" applyBorder="1" applyAlignment="1" applyProtection="1">
      <alignment horizontal="center" vertical="center"/>
    </xf>
    <xf numFmtId="180" fontId="97" fillId="25" borderId="1072" xfId="6" applyNumberFormat="1" applyFont="1" applyFill="1" applyBorder="1" applyAlignment="1" applyProtection="1">
      <alignment horizontal="center" vertical="center"/>
    </xf>
    <xf numFmtId="0" fontId="11" fillId="0" borderId="0" xfId="6" applyFont="1" applyFill="1" applyAlignment="1" applyProtection="1">
      <alignment horizontal="center" vertical="center"/>
    </xf>
    <xf numFmtId="0" fontId="0" fillId="0" borderId="0" xfId="6" applyFont="1" applyFill="1" applyBorder="1" applyAlignment="1" applyProtection="1">
      <alignment horizontal="center" vertical="center"/>
    </xf>
    <xf numFmtId="9" fontId="17" fillId="0" borderId="0" xfId="14" applyFont="1" applyFill="1" applyBorder="1" applyAlignment="1" applyProtection="1">
      <alignment horizontal="center" vertical="center"/>
    </xf>
    <xf numFmtId="9" fontId="100" fillId="0" borderId="569" xfId="14" applyFont="1" applyFill="1" applyBorder="1" applyAlignment="1" applyProtection="1">
      <alignment horizontal="center"/>
    </xf>
    <xf numFmtId="3" fontId="11" fillId="0" borderId="898" xfId="6" applyNumberFormat="1" applyFont="1" applyFill="1" applyBorder="1" applyAlignment="1" applyProtection="1">
      <alignment horizontal="center" vertical="center"/>
    </xf>
    <xf numFmtId="9" fontId="107" fillId="25" borderId="1076" xfId="3" applyFont="1" applyFill="1" applyBorder="1" applyAlignment="1" applyProtection="1">
      <alignment horizontal="center" vertical="center"/>
    </xf>
    <xf numFmtId="9" fontId="107" fillId="25" borderId="1077" xfId="3" applyFont="1" applyFill="1" applyBorder="1" applyAlignment="1" applyProtection="1">
      <alignment horizontal="center" vertical="center"/>
    </xf>
    <xf numFmtId="0" fontId="11" fillId="28" borderId="552" xfId="6" applyFont="1" applyFill="1" applyBorder="1" applyProtection="1"/>
    <xf numFmtId="0" fontId="11" fillId="28" borderId="553" xfId="6" applyFont="1" applyFill="1" applyBorder="1" applyProtection="1"/>
    <xf numFmtId="0" fontId="97" fillId="28" borderId="553" xfId="6" applyFont="1" applyFill="1" applyBorder="1" applyAlignment="1" applyProtection="1">
      <alignment horizontal="right"/>
    </xf>
    <xf numFmtId="0" fontId="72" fillId="25" borderId="1078" xfId="6" applyFont="1" applyFill="1" applyBorder="1" applyProtection="1"/>
    <xf numFmtId="9" fontId="72" fillId="25" borderId="1078" xfId="3" applyFont="1" applyFill="1" applyBorder="1" applyAlignment="1" applyProtection="1">
      <alignment horizontal="center" vertical="center"/>
    </xf>
    <xf numFmtId="9" fontId="72" fillId="25" borderId="1079" xfId="3" applyFont="1" applyFill="1" applyBorder="1" applyAlignment="1" applyProtection="1">
      <alignment horizontal="center" vertical="center"/>
    </xf>
    <xf numFmtId="0" fontId="72" fillId="25" borderId="1082" xfId="6" applyFont="1" applyFill="1" applyBorder="1" applyProtection="1"/>
    <xf numFmtId="9" fontId="72" fillId="25" borderId="1082" xfId="3" applyFont="1" applyFill="1" applyBorder="1" applyAlignment="1" applyProtection="1">
      <alignment horizontal="center" vertical="center"/>
    </xf>
    <xf numFmtId="9" fontId="72" fillId="25" borderId="1083" xfId="3" applyFont="1" applyFill="1" applyBorder="1" applyAlignment="1" applyProtection="1">
      <alignment horizontal="center" vertical="center"/>
    </xf>
    <xf numFmtId="0" fontId="16" fillId="25" borderId="587" xfId="6" applyFont="1" applyFill="1" applyBorder="1" applyAlignment="1" applyProtection="1">
      <alignment horizontal="center" vertical="center"/>
    </xf>
    <xf numFmtId="0" fontId="11" fillId="25" borderId="893" xfId="6" applyFont="1" applyFill="1" applyBorder="1" applyAlignment="1" applyProtection="1">
      <alignment horizontal="center" vertical="center"/>
    </xf>
    <xf numFmtId="182" fontId="18" fillId="25" borderId="533" xfId="6" applyNumberFormat="1" applyFont="1" applyFill="1" applyBorder="1" applyAlignment="1" applyProtection="1">
      <alignment horizontal="center"/>
    </xf>
    <xf numFmtId="182" fontId="17" fillId="25" borderId="533" xfId="6" applyNumberFormat="1" applyFont="1" applyFill="1" applyBorder="1" applyAlignment="1" applyProtection="1">
      <alignment horizontal="center"/>
    </xf>
    <xf numFmtId="182" fontId="17" fillId="25" borderId="560" xfId="6" applyNumberFormat="1" applyFont="1" applyFill="1" applyBorder="1" applyAlignment="1" applyProtection="1">
      <alignment horizontal="center"/>
    </xf>
    <xf numFmtId="182" fontId="11" fillId="0" borderId="0" xfId="6" applyNumberFormat="1" applyFont="1" applyFill="1" applyAlignment="1" applyProtection="1">
      <alignment horizontal="center" vertical="center"/>
    </xf>
    <xf numFmtId="0" fontId="25" fillId="0" borderId="919" xfId="6" applyFont="1" applyFill="1" applyBorder="1" applyAlignment="1" applyProtection="1">
      <alignment vertical="center"/>
    </xf>
    <xf numFmtId="0" fontId="25" fillId="0" borderId="920" xfId="6" applyFont="1" applyFill="1" applyBorder="1" applyAlignment="1" applyProtection="1">
      <alignment vertical="center"/>
    </xf>
    <xf numFmtId="0" fontId="52" fillId="0" borderId="0" xfId="2" applyFont="1" applyProtection="1">
      <protection locked="0"/>
    </xf>
    <xf numFmtId="0" fontId="52" fillId="0" borderId="446" xfId="2" applyFont="1" applyBorder="1" applyProtection="1"/>
    <xf numFmtId="178" fontId="52" fillId="0" borderId="1007" xfId="2" applyNumberFormat="1" applyFont="1" applyBorder="1" applyProtection="1"/>
    <xf numFmtId="0" fontId="52" fillId="0" borderId="1007" xfId="2" applyFont="1" applyBorder="1" applyProtection="1"/>
    <xf numFmtId="180" fontId="69" fillId="0" borderId="533" xfId="6" applyNumberFormat="1" applyFont="1" applyFill="1" applyBorder="1" applyAlignment="1" applyProtection="1">
      <alignment horizontal="center" vertical="center"/>
      <protection locked="0"/>
    </xf>
    <xf numFmtId="180" fontId="11" fillId="26" borderId="533" xfId="6" applyNumberFormat="1" applyFont="1" applyFill="1" applyBorder="1" applyAlignment="1" applyProtection="1">
      <alignment horizontal="center" vertical="center"/>
      <protection locked="0"/>
    </xf>
    <xf numFmtId="180" fontId="11" fillId="26" borderId="560" xfId="6" applyNumberFormat="1" applyFont="1" applyFill="1" applyBorder="1" applyAlignment="1" applyProtection="1">
      <alignment horizontal="center" vertical="center"/>
      <protection locked="0"/>
    </xf>
    <xf numFmtId="180" fontId="97" fillId="8" borderId="894" xfId="6" applyNumberFormat="1" applyFont="1" applyFill="1" applyBorder="1" applyAlignment="1" applyProtection="1">
      <alignment horizontal="center" vertical="center"/>
    </xf>
    <xf numFmtId="9" fontId="11" fillId="0" borderId="0" xfId="14" applyFont="1" applyBorder="1" applyAlignment="1" applyProtection="1">
      <alignment vertical="center"/>
    </xf>
    <xf numFmtId="9" fontId="18" fillId="0" borderId="532" xfId="14" applyFont="1" applyFill="1" applyBorder="1" applyAlignment="1" applyProtection="1">
      <alignment horizontal="center" vertical="center"/>
    </xf>
    <xf numFmtId="9" fontId="17" fillId="0" borderId="533" xfId="14" applyFont="1" applyFill="1" applyBorder="1" applyAlignment="1" applyProtection="1">
      <alignment horizontal="center" vertical="center"/>
    </xf>
    <xf numFmtId="9" fontId="17" fillId="0" borderId="560" xfId="14" applyFont="1" applyFill="1" applyBorder="1" applyAlignment="1" applyProtection="1">
      <alignment horizontal="center" vertical="center"/>
    </xf>
    <xf numFmtId="9" fontId="97" fillId="0" borderId="894" xfId="14" applyFont="1" applyBorder="1" applyAlignment="1" applyProtection="1">
      <alignment horizontal="center" vertical="center"/>
    </xf>
    <xf numFmtId="0" fontId="11" fillId="0" borderId="0" xfId="6" applyFont="1" applyFill="1" applyBorder="1" applyAlignment="1" applyProtection="1">
      <alignment vertical="center"/>
    </xf>
    <xf numFmtId="0" fontId="26" fillId="0" borderId="0" xfId="0" applyFont="1" applyAlignment="1" applyProtection="1">
      <alignment horizontal="center" vertical="center"/>
    </xf>
    <xf numFmtId="0" fontId="0" fillId="0" borderId="0" xfId="0" applyFont="1" applyBorder="1" applyAlignment="1" applyProtection="1">
      <alignment horizontal="center"/>
    </xf>
    <xf numFmtId="0" fontId="26" fillId="0" borderId="0" xfId="0" applyFont="1" applyAlignment="1" applyProtection="1">
      <alignment horizontal="left" vertical="center" wrapText="1"/>
    </xf>
    <xf numFmtId="0" fontId="26" fillId="0" borderId="0" xfId="0" applyFont="1" applyAlignment="1" applyProtection="1">
      <alignment horizontal="center" vertical="center" wrapText="1"/>
    </xf>
    <xf numFmtId="0" fontId="0" fillId="0" borderId="0" xfId="0" quotePrefix="1" applyFont="1" applyAlignment="1" applyProtection="1">
      <alignment horizontal="center"/>
    </xf>
    <xf numFmtId="0" fontId="0" fillId="0" borderId="175" xfId="0" applyFont="1" applyBorder="1" applyAlignment="1">
      <alignment horizontal="center" vertical="center"/>
    </xf>
    <xf numFmtId="0" fontId="0" fillId="0" borderId="68" xfId="0" applyFont="1" applyBorder="1" applyAlignment="1">
      <alignment horizontal="center" vertical="center"/>
    </xf>
    <xf numFmtId="0" fontId="0" fillId="0" borderId="69" xfId="0" applyFont="1" applyBorder="1" applyAlignment="1">
      <alignment horizontal="center" vertical="center"/>
    </xf>
    <xf numFmtId="0" fontId="0" fillId="0" borderId="56" xfId="0" applyFont="1" applyBorder="1" applyAlignment="1" applyProtection="1">
      <alignment horizontal="center" vertical="center"/>
    </xf>
    <xf numFmtId="0" fontId="0" fillId="0" borderId="345" xfId="0" applyFont="1" applyBorder="1" applyAlignment="1" applyProtection="1">
      <alignment horizontal="left" vertical="top" wrapText="1"/>
    </xf>
    <xf numFmtId="0" fontId="0" fillId="0" borderId="346" xfId="0" applyFont="1" applyBorder="1" applyAlignment="1" applyProtection="1">
      <alignment horizontal="left" vertical="top" wrapText="1"/>
    </xf>
    <xf numFmtId="0" fontId="30" fillId="0" borderId="345" xfId="0" applyFont="1" applyBorder="1" applyAlignment="1" applyProtection="1">
      <alignment horizontal="center" vertical="center"/>
    </xf>
    <xf numFmtId="0" fontId="0" fillId="0" borderId="0" xfId="0" applyFont="1" applyAlignment="1" applyProtection="1">
      <alignment horizontal="center"/>
    </xf>
    <xf numFmtId="3" fontId="67" fillId="0" borderId="360" xfId="2" applyNumberFormat="1" applyFont="1" applyFill="1" applyBorder="1" applyAlignment="1" applyProtection="1">
      <alignment horizontal="center" vertical="center"/>
    </xf>
    <xf numFmtId="3" fontId="67" fillId="0" borderId="867" xfId="2" applyNumberFormat="1" applyFont="1" applyFill="1" applyBorder="1" applyAlignment="1" applyProtection="1">
      <alignment horizontal="center" vertical="center"/>
    </xf>
    <xf numFmtId="3" fontId="67" fillId="0" borderId="361" xfId="2" applyNumberFormat="1" applyFont="1" applyFill="1" applyBorder="1" applyAlignment="1" applyProtection="1">
      <alignment horizontal="center" vertical="center"/>
    </xf>
    <xf numFmtId="0" fontId="52" fillId="5" borderId="264" xfId="2" applyFont="1" applyFill="1" applyBorder="1" applyAlignment="1" applyProtection="1">
      <alignment horizontal="left" vertical="center"/>
      <protection locked="0"/>
    </xf>
    <xf numFmtId="0" fontId="52" fillId="5" borderId="265" xfId="2" applyFont="1" applyFill="1" applyBorder="1" applyAlignment="1" applyProtection="1">
      <alignment horizontal="left" vertical="center"/>
      <protection locked="0"/>
    </xf>
    <xf numFmtId="0" fontId="52" fillId="5" borderId="361" xfId="2" applyFont="1" applyFill="1" applyBorder="1" applyAlignment="1" applyProtection="1">
      <alignment horizontal="left" vertical="center"/>
      <protection locked="0"/>
    </xf>
    <xf numFmtId="0" fontId="67" fillId="0" borderId="866" xfId="2" applyFont="1" applyFill="1" applyBorder="1" applyAlignment="1" applyProtection="1">
      <alignment horizontal="left" vertical="center"/>
    </xf>
    <xf numFmtId="0" fontId="67" fillId="0" borderId="265" xfId="2" applyFont="1" applyFill="1" applyBorder="1" applyAlignment="1" applyProtection="1">
      <alignment horizontal="left" vertical="center"/>
    </xf>
    <xf numFmtId="0" fontId="67" fillId="0" borderId="361" xfId="2" applyFont="1" applyFill="1" applyBorder="1" applyAlignment="1" applyProtection="1">
      <alignment horizontal="left" vertical="center"/>
    </xf>
    <xf numFmtId="0" fontId="31" fillId="34" borderId="650" xfId="2" applyFont="1" applyFill="1" applyBorder="1" applyAlignment="1">
      <alignment horizontal="center" vertical="center"/>
    </xf>
    <xf numFmtId="0" fontId="31" fillId="34" borderId="670" xfId="2" applyFont="1" applyFill="1" applyBorder="1" applyAlignment="1">
      <alignment horizontal="center" vertical="center"/>
    </xf>
    <xf numFmtId="0" fontId="31" fillId="34" borderId="671" xfId="2" applyFont="1" applyFill="1" applyBorder="1" applyAlignment="1">
      <alignment horizontal="center" vertical="center"/>
    </xf>
    <xf numFmtId="0" fontId="28" fillId="25" borderId="647" xfId="17" applyFont="1" applyFill="1" applyBorder="1" applyAlignment="1">
      <alignment horizontal="center"/>
    </xf>
    <xf numFmtId="9" fontId="22" fillId="67" borderId="533" xfId="14" applyFont="1" applyFill="1" applyBorder="1" applyAlignment="1" applyProtection="1">
      <alignment horizontal="center" vertical="center" wrapText="1"/>
      <protection locked="0"/>
    </xf>
    <xf numFmtId="0" fontId="24" fillId="0" borderId="264" xfId="0" quotePrefix="1" applyFont="1" applyFill="1" applyBorder="1" applyAlignment="1" applyProtection="1">
      <alignment horizontal="left" vertical="center"/>
    </xf>
    <xf numFmtId="0" fontId="24" fillId="0" borderId="265" xfId="0" quotePrefix="1" applyFont="1" applyFill="1" applyBorder="1" applyAlignment="1" applyProtection="1">
      <alignment horizontal="left" vertical="center"/>
    </xf>
    <xf numFmtId="0" fontId="21" fillId="0" borderId="0" xfId="0" applyFont="1" applyFill="1" applyBorder="1" applyProtection="1"/>
    <xf numFmtId="0" fontId="21" fillId="0" borderId="0" xfId="0" applyFont="1" applyFill="1" applyBorder="1"/>
    <xf numFmtId="0" fontId="148" fillId="8" borderId="265" xfId="0" applyFont="1" applyFill="1" applyBorder="1" applyProtection="1"/>
    <xf numFmtId="0" fontId="152" fillId="0" borderId="380" xfId="2" applyFont="1" applyBorder="1" applyAlignment="1" applyProtection="1">
      <alignment vertical="center"/>
    </xf>
    <xf numFmtId="0" fontId="52" fillId="0" borderId="380" xfId="2" applyFont="1" applyBorder="1" applyAlignment="1" applyProtection="1">
      <alignment horizontal="center" vertical="center"/>
    </xf>
    <xf numFmtId="176" fontId="131" fillId="0" borderId="251" xfId="2" applyNumberFormat="1" applyFont="1" applyFill="1" applyBorder="1" applyAlignment="1" applyProtection="1">
      <alignment horizontal="center" vertical="center"/>
      <protection locked="0"/>
    </xf>
    <xf numFmtId="176" fontId="131" fillId="0" borderId="923" xfId="2" applyNumberFormat="1" applyFont="1" applyFill="1" applyBorder="1" applyAlignment="1" applyProtection="1">
      <alignment horizontal="center" vertical="center"/>
      <protection locked="0"/>
    </xf>
    <xf numFmtId="0" fontId="60" fillId="0" borderId="0" xfId="2" applyFont="1" applyFill="1" applyProtection="1"/>
    <xf numFmtId="0" fontId="60" fillId="0" borderId="0" xfId="2" applyFont="1" applyFill="1"/>
    <xf numFmtId="3" fontId="132" fillId="0" borderId="866" xfId="2" applyNumberFormat="1" applyFont="1" applyFill="1" applyBorder="1" applyAlignment="1" applyProtection="1">
      <alignment horizontal="center"/>
    </xf>
    <xf numFmtId="0" fontId="132" fillId="0" borderId="867" xfId="2" applyFont="1" applyFill="1" applyBorder="1" applyAlignment="1" applyProtection="1">
      <alignment horizontal="center"/>
    </xf>
    <xf numFmtId="0" fontId="52" fillId="0" borderId="0" xfId="2" applyFont="1" applyBorder="1" applyAlignment="1" applyProtection="1">
      <alignment horizontal="center" wrapText="1"/>
    </xf>
    <xf numFmtId="0" fontId="24" fillId="0" borderId="0" xfId="2" applyFont="1" applyFill="1" applyBorder="1" applyAlignment="1" applyProtection="1">
      <alignment horizontal="left" vertical="center"/>
    </xf>
    <xf numFmtId="0" fontId="52" fillId="0" borderId="0" xfId="2" applyFont="1" applyFill="1" applyBorder="1" applyAlignment="1" applyProtection="1">
      <alignment horizontal="center" wrapText="1"/>
    </xf>
    <xf numFmtId="9" fontId="22" fillId="0" borderId="0" xfId="3" applyFont="1" applyBorder="1" applyAlignment="1" applyProtection="1">
      <alignment horizontal="center"/>
    </xf>
    <xf numFmtId="0" fontId="6" fillId="65" borderId="671" xfId="2" applyFont="1" applyFill="1" applyBorder="1" applyAlignment="1">
      <alignment horizontal="center" vertical="center"/>
    </xf>
    <xf numFmtId="0" fontId="6" fillId="65" borderId="676" xfId="2" applyFont="1" applyFill="1" applyBorder="1" applyAlignment="1">
      <alignment horizontal="center" vertical="center"/>
    </xf>
    <xf numFmtId="0" fontId="136" fillId="0" borderId="952" xfId="2" applyFont="1" applyFill="1" applyBorder="1" applyAlignment="1">
      <alignment horizontal="center" vertical="center" wrapText="1"/>
    </xf>
    <xf numFmtId="183" fontId="136" fillId="0" borderId="953" xfId="2" applyNumberFormat="1" applyFont="1" applyFill="1" applyBorder="1" applyAlignment="1">
      <alignment horizontal="center" vertical="center" wrapText="1"/>
    </xf>
    <xf numFmtId="0" fontId="136" fillId="0" borderId="941" xfId="2" applyFont="1" applyFill="1" applyBorder="1" applyAlignment="1">
      <alignment horizontal="center" vertical="center"/>
    </xf>
    <xf numFmtId="186" fontId="136" fillId="0" borderId="942" xfId="2" applyNumberFormat="1" applyFont="1" applyFill="1" applyBorder="1" applyAlignment="1">
      <alignment horizontal="center" vertical="center" wrapText="1"/>
    </xf>
    <xf numFmtId="170" fontId="136" fillId="0" borderId="943" xfId="2" applyNumberFormat="1" applyFont="1" applyFill="1" applyBorder="1" applyAlignment="1">
      <alignment horizontal="center" vertical="center" wrapText="1"/>
    </xf>
    <xf numFmtId="0" fontId="28" fillId="25" borderId="944" xfId="2" applyFont="1" applyFill="1" applyBorder="1" applyAlignment="1">
      <alignment horizontal="center" vertical="center" wrapText="1"/>
    </xf>
    <xf numFmtId="183" fontId="23" fillId="25" borderId="683" xfId="2" applyNumberFormat="1" applyFont="1" applyFill="1" applyBorder="1" applyAlignment="1">
      <alignment horizontal="center" vertical="center" wrapText="1"/>
    </xf>
    <xf numFmtId="177" fontId="31" fillId="25" borderId="940" xfId="2" applyNumberFormat="1" applyFont="1" applyFill="1" applyBorder="1" applyAlignment="1">
      <alignment horizontal="center" vertical="center"/>
    </xf>
    <xf numFmtId="177" fontId="31" fillId="25" borderId="939" xfId="2" applyNumberFormat="1" applyFont="1" applyFill="1" applyBorder="1" applyAlignment="1">
      <alignment horizontal="center" vertical="center"/>
    </xf>
    <xf numFmtId="0" fontId="154" fillId="8" borderId="345" xfId="0" applyFont="1" applyFill="1" applyBorder="1" applyAlignment="1" applyProtection="1">
      <alignment horizontal="right" vertical="center"/>
    </xf>
    <xf numFmtId="0" fontId="0" fillId="0" borderId="53" xfId="0" applyFont="1" applyBorder="1" applyAlignment="1" applyProtection="1">
      <alignment horizontal="center" vertical="center"/>
    </xf>
    <xf numFmtId="0" fontId="0" fillId="0" borderId="54" xfId="0" applyFont="1" applyBorder="1" applyAlignment="1" applyProtection="1">
      <alignment horizontal="center" vertical="center"/>
    </xf>
    <xf numFmtId="9" fontId="26" fillId="0" borderId="59" xfId="3" applyFont="1" applyBorder="1" applyAlignment="1" applyProtection="1">
      <alignment horizontal="center" vertical="center"/>
    </xf>
    <xf numFmtId="0" fontId="26" fillId="0" borderId="0" xfId="0" applyFont="1" applyBorder="1" applyAlignment="1" applyProtection="1">
      <alignment horizontal="right" vertical="center"/>
    </xf>
    <xf numFmtId="2" fontId="151" fillId="0" borderId="0" xfId="3" applyNumberFormat="1" applyFont="1" applyBorder="1" applyAlignment="1" applyProtection="1">
      <alignment horizontal="center" vertical="center"/>
    </xf>
    <xf numFmtId="9" fontId="26" fillId="0" borderId="0" xfId="3" applyFont="1" applyBorder="1" applyAlignment="1" applyProtection="1">
      <alignment horizontal="center" vertical="center"/>
    </xf>
    <xf numFmtId="9" fontId="21" fillId="0" borderId="0" xfId="3" applyFont="1" applyBorder="1" applyAlignment="1" applyProtection="1">
      <alignment vertical="center"/>
    </xf>
    <xf numFmtId="0" fontId="0" fillId="0" borderId="0" xfId="0" applyFont="1" applyFill="1" applyBorder="1" applyAlignment="1" applyProtection="1">
      <alignment horizontal="center"/>
    </xf>
    <xf numFmtId="0" fontId="26" fillId="0" borderId="0" xfId="0" applyFont="1" applyFill="1" applyBorder="1" applyAlignment="1" applyProtection="1">
      <alignment horizontal="right" vertical="center"/>
    </xf>
    <xf numFmtId="2" fontId="151" fillId="0" borderId="0" xfId="3" applyNumberFormat="1" applyFont="1" applyFill="1" applyBorder="1" applyAlignment="1" applyProtection="1">
      <alignment horizontal="center" vertical="center"/>
    </xf>
    <xf numFmtId="9" fontId="26" fillId="0" borderId="0" xfId="3" applyFont="1" applyFill="1" applyBorder="1" applyAlignment="1" applyProtection="1">
      <alignment horizontal="center" vertical="center"/>
    </xf>
    <xf numFmtId="9" fontId="21" fillId="0" borderId="0" xfId="3" applyFont="1" applyFill="1" applyBorder="1" applyAlignment="1" applyProtection="1">
      <alignment vertical="center"/>
    </xf>
    <xf numFmtId="0" fontId="0" fillId="0" borderId="0" xfId="0" applyFont="1" applyFill="1" applyAlignment="1" applyProtection="1"/>
    <xf numFmtId="0" fontId="24" fillId="0" borderId="0" xfId="0" applyFont="1" applyFill="1" applyBorder="1" applyAlignment="1" applyProtection="1">
      <alignment horizontal="center" vertical="center" wrapText="1"/>
    </xf>
    <xf numFmtId="173" fontId="1" fillId="26" borderId="935" xfId="81" applyNumberFormat="1" applyFont="1" applyFill="1" applyBorder="1" applyAlignment="1" applyProtection="1">
      <alignment horizontal="center" vertical="center"/>
    </xf>
    <xf numFmtId="185" fontId="1" fillId="26" borderId="936" xfId="81" applyNumberFormat="1" applyFont="1" applyFill="1" applyBorder="1" applyAlignment="1" applyProtection="1">
      <alignment horizontal="center" vertical="center"/>
    </xf>
    <xf numFmtId="0" fontId="37" fillId="2" borderId="0" xfId="0" applyFont="1" applyFill="1" applyBorder="1" applyAlignment="1">
      <alignment horizontal="center" vertical="center"/>
    </xf>
    <xf numFmtId="0" fontId="37" fillId="2" borderId="0" xfId="0" applyFont="1" applyFill="1" applyBorder="1" applyAlignment="1" applyProtection="1">
      <alignment horizontal="center" vertical="center"/>
    </xf>
    <xf numFmtId="0" fontId="26" fillId="0" borderId="0" xfId="0" applyFont="1" applyAlignment="1" applyProtection="1">
      <alignment horizontal="center" vertical="center"/>
    </xf>
    <xf numFmtId="0" fontId="0" fillId="0" borderId="0" xfId="0" applyFont="1" applyBorder="1" applyAlignment="1" applyProtection="1">
      <alignment horizontal="center"/>
    </xf>
    <xf numFmtId="0" fontId="26" fillId="0" borderId="0" xfId="0" applyFont="1" applyAlignment="1" applyProtection="1">
      <alignment horizontal="left" vertical="center" wrapText="1"/>
    </xf>
    <xf numFmtId="9" fontId="22" fillId="67" borderId="533" xfId="14" applyFont="1" applyFill="1" applyBorder="1" applyAlignment="1" applyProtection="1">
      <alignment horizontal="center" vertical="center" wrapText="1"/>
      <protection locked="0"/>
    </xf>
    <xf numFmtId="0" fontId="97" fillId="0" borderId="0" xfId="6" applyFont="1" applyFill="1" applyBorder="1" applyAlignment="1" applyProtection="1">
      <alignment horizontal="center"/>
    </xf>
    <xf numFmtId="0" fontId="1" fillId="0" borderId="530" xfId="6" applyFont="1" applyBorder="1" applyAlignment="1" applyProtection="1">
      <alignment horizontal="center"/>
    </xf>
    <xf numFmtId="0" fontId="11" fillId="0" borderId="535" xfId="6" applyFont="1" applyBorder="1" applyAlignment="1" applyProtection="1">
      <alignment horizontal="center"/>
    </xf>
    <xf numFmtId="0" fontId="11" fillId="0" borderId="536" xfId="6" applyFont="1" applyBorder="1" applyAlignment="1" applyProtection="1">
      <alignment horizontal="center"/>
    </xf>
    <xf numFmtId="0" fontId="41" fillId="7" borderId="530" xfId="6" applyFont="1" applyFill="1" applyBorder="1" applyAlignment="1" applyProtection="1">
      <alignment horizontal="center" vertical="center" wrapText="1"/>
    </xf>
    <xf numFmtId="9" fontId="17" fillId="0" borderId="0" xfId="14" applyFont="1" applyFill="1" applyBorder="1" applyAlignment="1" applyProtection="1">
      <alignment horizontal="center"/>
    </xf>
    <xf numFmtId="0" fontId="25" fillId="7" borderId="539" xfId="6" applyFont="1" applyFill="1" applyBorder="1" applyAlignment="1" applyProtection="1">
      <alignment horizontal="center" vertical="center" wrapText="1"/>
    </xf>
    <xf numFmtId="0" fontId="96" fillId="0" borderId="168" xfId="2" applyFont="1" applyFill="1" applyBorder="1" applyAlignment="1" applyProtection="1">
      <alignment horizontal="left" vertical="center"/>
    </xf>
    <xf numFmtId="0" fontId="6" fillId="0" borderId="168" xfId="2" applyFont="1" applyFill="1" applyBorder="1" applyAlignment="1">
      <alignment horizontal="left"/>
    </xf>
    <xf numFmtId="0" fontId="6" fillId="0" borderId="0" xfId="2" applyFont="1" applyFill="1" applyBorder="1" applyAlignment="1">
      <alignment horizontal="left"/>
    </xf>
    <xf numFmtId="0" fontId="0" fillId="0" borderId="0" xfId="4" applyFont="1" applyAlignment="1" applyProtection="1">
      <alignment horizontal="center"/>
    </xf>
    <xf numFmtId="164" fontId="139" fillId="0" borderId="173" xfId="4" applyNumberFormat="1" applyFont="1" applyFill="1" applyBorder="1" applyAlignment="1" applyProtection="1">
      <alignment horizontal="center" vertical="center" wrapText="1" readingOrder="1"/>
    </xf>
    <xf numFmtId="164" fontId="140" fillId="0" borderId="56" xfId="4" applyNumberFormat="1" applyFont="1" applyFill="1" applyBorder="1" applyAlignment="1" applyProtection="1">
      <alignment horizontal="center" vertical="center" wrapText="1" readingOrder="1"/>
    </xf>
    <xf numFmtId="0" fontId="0" fillId="0" borderId="175" xfId="0" applyFont="1" applyFill="1" applyBorder="1" applyAlignment="1" applyProtection="1">
      <alignment horizontal="center" vertical="center"/>
      <protection locked="0"/>
    </xf>
    <xf numFmtId="0" fontId="0" fillId="0" borderId="68" xfId="0" applyFont="1" applyFill="1" applyBorder="1" applyAlignment="1" applyProtection="1">
      <alignment horizontal="center" vertical="center"/>
      <protection locked="0"/>
    </xf>
    <xf numFmtId="0" fontId="0" fillId="0" borderId="69" xfId="0" applyFont="1" applyFill="1" applyBorder="1" applyAlignment="1" applyProtection="1">
      <alignment horizontal="center" vertical="center"/>
      <protection locked="0"/>
    </xf>
    <xf numFmtId="0" fontId="52" fillId="5" borderId="264" xfId="2" applyFont="1" applyFill="1" applyBorder="1" applyAlignment="1" applyProtection="1">
      <alignment horizontal="left" vertical="center"/>
      <protection locked="0"/>
    </xf>
    <xf numFmtId="0" fontId="52" fillId="5" borderId="265" xfId="2" applyFont="1" applyFill="1" applyBorder="1" applyAlignment="1" applyProtection="1">
      <alignment horizontal="left" vertical="center"/>
      <protection locked="0"/>
    </xf>
    <xf numFmtId="0" fontId="52" fillId="5" borderId="361" xfId="2" applyFont="1" applyFill="1" applyBorder="1" applyAlignment="1" applyProtection="1">
      <alignment horizontal="left" vertical="center"/>
      <protection locked="0"/>
    </xf>
    <xf numFmtId="0" fontId="52" fillId="0" borderId="273" xfId="2" applyFont="1" applyFill="1" applyBorder="1" applyAlignment="1" applyProtection="1">
      <alignment horizontal="left" vertical="center"/>
    </xf>
    <xf numFmtId="0" fontId="52" fillId="0" borderId="274" xfId="2" applyFont="1" applyFill="1" applyBorder="1" applyAlignment="1" applyProtection="1">
      <alignment horizontal="left" vertical="center"/>
    </xf>
    <xf numFmtId="3" fontId="67" fillId="0" borderId="360" xfId="2" applyNumberFormat="1" applyFont="1" applyFill="1" applyBorder="1" applyAlignment="1" applyProtection="1">
      <alignment horizontal="center" vertical="center"/>
    </xf>
    <xf numFmtId="3" fontId="67" fillId="0" borderId="361" xfId="2" applyNumberFormat="1" applyFont="1" applyFill="1" applyBorder="1" applyAlignment="1" applyProtection="1">
      <alignment horizontal="center" vertical="center"/>
    </xf>
    <xf numFmtId="3" fontId="67" fillId="0" borderId="867" xfId="2" applyNumberFormat="1" applyFont="1" applyFill="1" applyBorder="1" applyAlignment="1" applyProtection="1">
      <alignment horizontal="center" vertical="center"/>
    </xf>
    <xf numFmtId="0" fontId="67" fillId="0" borderId="866" xfId="2" applyFont="1" applyFill="1" applyBorder="1" applyAlignment="1" applyProtection="1">
      <alignment horizontal="left" vertical="center"/>
    </xf>
    <xf numFmtId="0" fontId="67" fillId="0" borderId="265" xfId="2" applyFont="1" applyFill="1" applyBorder="1" applyAlignment="1" applyProtection="1">
      <alignment horizontal="left" vertical="center"/>
    </xf>
    <xf numFmtId="0" fontId="67" fillId="0" borderId="361" xfId="2" applyFont="1" applyFill="1" applyBorder="1" applyAlignment="1" applyProtection="1">
      <alignment horizontal="left" vertical="center"/>
    </xf>
    <xf numFmtId="171" fontId="22" fillId="0" borderId="274" xfId="4" applyNumberFormat="1" applyFont="1" applyFill="1" applyBorder="1" applyAlignment="1" applyProtection="1">
      <alignment horizontal="center" vertical="center" wrapText="1" readingOrder="1"/>
    </xf>
    <xf numFmtId="9" fontId="19" fillId="0" borderId="274" xfId="4" applyNumberFormat="1" applyFont="1" applyFill="1" applyBorder="1" applyAlignment="1" applyProtection="1">
      <alignment horizontal="center" vertical="center" wrapText="1" readingOrder="1"/>
    </xf>
    <xf numFmtId="171" fontId="52" fillId="40" borderId="274" xfId="4" applyNumberFormat="1" applyFont="1" applyFill="1" applyBorder="1" applyAlignment="1" applyProtection="1">
      <alignment horizontal="left" vertical="center" wrapText="1" readingOrder="1"/>
      <protection locked="0"/>
    </xf>
    <xf numFmtId="171" fontId="52" fillId="40" borderId="275" xfId="4" applyNumberFormat="1" applyFont="1" applyFill="1" applyBorder="1" applyAlignment="1" applyProtection="1">
      <alignment horizontal="left" vertical="center" wrapText="1" readingOrder="1"/>
      <protection locked="0"/>
    </xf>
    <xf numFmtId="9" fontId="22" fillId="0" borderId="0" xfId="3" applyFont="1" applyBorder="1" applyAlignment="1" applyProtection="1">
      <alignment horizontal="center"/>
    </xf>
    <xf numFmtId="0" fontId="26" fillId="0" borderId="0" xfId="0" applyFont="1" applyAlignment="1"/>
    <xf numFmtId="9" fontId="22" fillId="0" borderId="533" xfId="14" applyFont="1" applyFill="1" applyBorder="1" applyAlignment="1" applyProtection="1">
      <alignment horizontal="center" vertical="center" wrapText="1"/>
      <protection locked="0"/>
    </xf>
    <xf numFmtId="2" fontId="17" fillId="0" borderId="533" xfId="6" applyNumberFormat="1" applyFont="1" applyFill="1" applyBorder="1" applyAlignment="1" applyProtection="1">
      <alignment horizontal="center" vertical="center" wrapText="1"/>
    </xf>
    <xf numFmtId="2" fontId="17" fillId="0" borderId="560" xfId="6" applyNumberFormat="1" applyFont="1" applyFill="1" applyBorder="1" applyAlignment="1" applyProtection="1">
      <alignment horizontal="center" vertical="center" wrapText="1"/>
    </xf>
    <xf numFmtId="0" fontId="97" fillId="0" borderId="698" xfId="6" applyFont="1" applyBorder="1" applyAlignment="1" applyProtection="1">
      <alignment horizontal="right"/>
    </xf>
    <xf numFmtId="0" fontId="97" fillId="0" borderId="1096" xfId="6" applyFont="1" applyBorder="1" applyAlignment="1" applyProtection="1">
      <alignment horizontal="right"/>
    </xf>
    <xf numFmtId="180" fontId="125" fillId="0" borderId="1097" xfId="6" applyNumberFormat="1" applyFont="1" applyFill="1" applyBorder="1" applyAlignment="1" applyProtection="1">
      <alignment horizontal="center"/>
    </xf>
    <xf numFmtId="2" fontId="125" fillId="0" borderId="539" xfId="6" applyNumberFormat="1" applyFont="1" applyFill="1" applyBorder="1" applyAlignment="1" applyProtection="1">
      <alignment horizontal="center" vertical="center"/>
    </xf>
    <xf numFmtId="2" fontId="97" fillId="0" borderId="539" xfId="6" applyNumberFormat="1" applyFont="1" applyFill="1" applyBorder="1" applyAlignment="1" applyProtection="1">
      <alignment horizontal="center" vertical="center"/>
    </xf>
    <xf numFmtId="2" fontId="97" fillId="0" borderId="597" xfId="6" applyNumberFormat="1" applyFont="1" applyFill="1" applyBorder="1" applyAlignment="1" applyProtection="1">
      <alignment horizontal="center" vertical="center"/>
    </xf>
    <xf numFmtId="3" fontId="40" fillId="0" borderId="897" xfId="6" applyNumberFormat="1" applyFont="1" applyBorder="1" applyAlignment="1" applyProtection="1">
      <alignment horizontal="center" vertical="center"/>
    </xf>
    <xf numFmtId="0" fontId="97" fillId="0" borderId="700" xfId="6" applyFont="1" applyBorder="1" applyAlignment="1" applyProtection="1">
      <alignment horizontal="right" vertical="center"/>
    </xf>
    <xf numFmtId="0" fontId="97" fillId="0" borderId="570" xfId="6" applyFont="1" applyBorder="1" applyAlignment="1" applyProtection="1">
      <alignment horizontal="right" vertical="center"/>
    </xf>
    <xf numFmtId="2" fontId="125" fillId="0" borderId="570" xfId="6" applyNumberFormat="1" applyFont="1" applyFill="1" applyBorder="1" applyAlignment="1" applyProtection="1">
      <alignment horizontal="center" vertical="center"/>
    </xf>
    <xf numFmtId="2" fontId="125" fillId="0" borderId="591" xfId="6" applyNumberFormat="1" applyFont="1" applyFill="1" applyBorder="1" applyAlignment="1" applyProtection="1">
      <alignment horizontal="center" vertical="center"/>
    </xf>
    <xf numFmtId="173" fontId="106" fillId="26" borderId="935" xfId="81" applyNumberFormat="1" applyFont="1" applyFill="1" applyBorder="1" applyAlignment="1" applyProtection="1">
      <alignment horizontal="center" vertical="center"/>
    </xf>
    <xf numFmtId="185" fontId="106" fillId="26" borderId="936" xfId="81" applyNumberFormat="1" applyFont="1" applyFill="1" applyBorder="1" applyAlignment="1" applyProtection="1">
      <alignment horizontal="center" vertical="center"/>
    </xf>
    <xf numFmtId="185" fontId="106" fillId="26" borderId="937" xfId="81" applyNumberFormat="1" applyFont="1" applyFill="1" applyBorder="1" applyAlignment="1" applyProtection="1">
      <alignment horizontal="center" vertical="center"/>
    </xf>
    <xf numFmtId="0" fontId="39" fillId="18" borderId="0" xfId="0" applyFont="1" applyFill="1" applyBorder="1" applyAlignment="1" applyProtection="1">
      <alignment horizontal="left" vertical="center"/>
    </xf>
    <xf numFmtId="0" fontId="56" fillId="19" borderId="0" xfId="0" applyFont="1" applyFill="1" applyBorder="1" applyAlignment="1" applyProtection="1">
      <alignment horizontal="left" vertical="center"/>
    </xf>
    <xf numFmtId="0" fontId="39" fillId="34" borderId="0" xfId="0" applyFont="1" applyFill="1" applyBorder="1" applyAlignment="1" applyProtection="1">
      <alignment horizontal="left" vertical="center"/>
    </xf>
    <xf numFmtId="0" fontId="39" fillId="23" borderId="0" xfId="0" applyFont="1" applyFill="1" applyBorder="1" applyAlignment="1" applyProtection="1">
      <alignment horizontal="left" vertical="center"/>
    </xf>
    <xf numFmtId="0" fontId="39" fillId="10" borderId="0" xfId="0" applyFont="1" applyFill="1" applyBorder="1" applyAlignment="1" applyProtection="1">
      <alignment horizontal="left" vertical="center"/>
    </xf>
    <xf numFmtId="0" fontId="56" fillId="13" borderId="0" xfId="0" applyFont="1" applyFill="1" applyBorder="1" applyAlignment="1" applyProtection="1">
      <alignment horizontal="left" vertical="center"/>
    </xf>
    <xf numFmtId="0" fontId="39" fillId="6" borderId="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33" fillId="0" borderId="0" xfId="0" applyFont="1" applyAlignment="1">
      <alignment horizontal="center" vertical="center"/>
    </xf>
    <xf numFmtId="0" fontId="2" fillId="9" borderId="0" xfId="0" applyFont="1" applyFill="1" applyBorder="1" applyAlignment="1" applyProtection="1">
      <alignment horizontal="left" vertical="center"/>
    </xf>
    <xf numFmtId="0" fontId="56" fillId="64" borderId="0" xfId="0" applyFont="1" applyFill="1" applyBorder="1" applyAlignment="1" applyProtection="1">
      <alignment horizontal="left" vertical="center"/>
    </xf>
    <xf numFmtId="0" fontId="56" fillId="20" borderId="0" xfId="0" applyFont="1" applyFill="1" applyBorder="1" applyAlignment="1" applyProtection="1">
      <alignment horizontal="left" vertical="center"/>
    </xf>
    <xf numFmtId="0" fontId="56" fillId="17" borderId="0" xfId="0" applyFont="1" applyFill="1" applyBorder="1" applyAlignment="1" applyProtection="1">
      <alignment horizontal="left" vertical="center"/>
    </xf>
    <xf numFmtId="0" fontId="39" fillId="30" borderId="0" xfId="0" applyFont="1" applyFill="1" applyBorder="1" applyAlignment="1" applyProtection="1">
      <alignment horizontal="left" vertical="center"/>
    </xf>
    <xf numFmtId="0" fontId="60" fillId="21" borderId="1102" xfId="2" applyFont="1" applyFill="1" applyBorder="1" applyAlignment="1" applyProtection="1">
      <alignment horizontal="center" wrapText="1"/>
    </xf>
    <xf numFmtId="0" fontId="60" fillId="21" borderId="1106" xfId="2" applyFont="1" applyFill="1" applyBorder="1" applyAlignment="1" applyProtection="1">
      <alignment horizontal="center" wrapText="1"/>
    </xf>
    <xf numFmtId="0" fontId="111" fillId="0" borderId="168" xfId="2" applyFont="1" applyFill="1" applyBorder="1" applyAlignment="1" applyProtection="1">
      <alignment horizontal="left" vertical="center"/>
    </xf>
    <xf numFmtId="0" fontId="24" fillId="0" borderId="0" xfId="2" applyFont="1" applyBorder="1" applyProtection="1"/>
    <xf numFmtId="2" fontId="24" fillId="0" borderId="426" xfId="2" applyNumberFormat="1" applyFont="1" applyBorder="1" applyAlignment="1" applyProtection="1">
      <alignment horizontal="center"/>
    </xf>
    <xf numFmtId="22" fontId="0" fillId="0" borderId="0" xfId="0" applyNumberFormat="1" applyFont="1" applyAlignment="1" applyProtection="1">
      <alignment horizontal="center" vertical="center"/>
    </xf>
    <xf numFmtId="0" fontId="29" fillId="0" borderId="0" xfId="1" applyFont="1" applyFill="1" applyAlignment="1" applyProtection="1">
      <alignment horizontal="left" vertical="center"/>
    </xf>
    <xf numFmtId="0" fontId="29" fillId="0" borderId="0" xfId="1" applyFont="1" applyFill="1" applyBorder="1" applyAlignment="1" applyProtection="1">
      <alignment horizontal="left" vertical="center"/>
    </xf>
    <xf numFmtId="0" fontId="29" fillId="0" borderId="0" xfId="1" applyFont="1" applyBorder="1" applyAlignment="1" applyProtection="1">
      <alignment vertical="center"/>
    </xf>
    <xf numFmtId="0" fontId="60" fillId="0" borderId="866" xfId="2" applyFont="1" applyFill="1" applyBorder="1" applyAlignment="1" applyProtection="1">
      <alignment horizontal="left" vertical="center"/>
    </xf>
    <xf numFmtId="0" fontId="60" fillId="0" borderId="265" xfId="2" applyFont="1" applyFill="1" applyBorder="1" applyAlignment="1" applyProtection="1">
      <alignment horizontal="left" vertical="center"/>
    </xf>
    <xf numFmtId="0" fontId="60" fillId="0" borderId="361" xfId="2" applyFont="1" applyFill="1" applyBorder="1" applyAlignment="1" applyProtection="1">
      <alignment horizontal="left" vertical="center"/>
    </xf>
    <xf numFmtId="0" fontId="58" fillId="0" borderId="0" xfId="0" applyFont="1" applyFill="1" applyBorder="1" applyAlignment="1" applyProtection="1">
      <alignment horizontal="left" vertical="center"/>
    </xf>
    <xf numFmtId="0" fontId="35" fillId="0" borderId="0" xfId="0" applyFont="1" applyFill="1" applyBorder="1" applyAlignment="1" applyProtection="1">
      <alignment horizontal="left" vertical="center"/>
    </xf>
    <xf numFmtId="0" fontId="24" fillId="0" borderId="0" xfId="0" applyFont="1" applyFill="1" applyBorder="1" applyAlignment="1" applyProtection="1">
      <alignment horizontal="left" vertical="center"/>
    </xf>
    <xf numFmtId="0" fontId="0" fillId="0" borderId="0" xfId="0" applyFont="1" applyBorder="1" applyAlignment="1" applyProtection="1">
      <alignment vertical="center"/>
    </xf>
    <xf numFmtId="22" fontId="0" fillId="0" borderId="0" xfId="0" applyNumberFormat="1" applyFont="1" applyBorder="1" applyAlignment="1" applyProtection="1">
      <alignment vertical="center"/>
    </xf>
    <xf numFmtId="0" fontId="0" fillId="0" borderId="1122" xfId="0" applyFont="1" applyBorder="1" applyAlignment="1" applyProtection="1">
      <alignment vertical="center"/>
    </xf>
    <xf numFmtId="0" fontId="0" fillId="0" borderId="1123" xfId="0" applyFont="1" applyBorder="1" applyAlignment="1" applyProtection="1">
      <alignment vertical="center"/>
    </xf>
    <xf numFmtId="22" fontId="0" fillId="0" borderId="1123" xfId="0" applyNumberFormat="1" applyFont="1" applyBorder="1" applyAlignment="1" applyProtection="1">
      <alignment vertical="center"/>
    </xf>
    <xf numFmtId="0" fontId="60" fillId="25" borderId="251" xfId="2" applyFont="1" applyFill="1" applyBorder="1" applyAlignment="1" applyProtection="1">
      <alignment horizontal="left" vertical="center"/>
    </xf>
    <xf numFmtId="0" fontId="60" fillId="25" borderId="0" xfId="2" applyFont="1" applyFill="1" applyBorder="1" applyAlignment="1" applyProtection="1">
      <alignment horizontal="left" vertical="center"/>
    </xf>
    <xf numFmtId="0" fontId="60" fillId="25" borderId="1012" xfId="2" applyFont="1" applyFill="1" applyBorder="1" applyAlignment="1" applyProtection="1">
      <alignment horizontal="left" vertical="center"/>
    </xf>
    <xf numFmtId="9" fontId="52" fillId="0" borderId="360" xfId="3" applyFont="1" applyFill="1" applyBorder="1" applyAlignment="1" applyProtection="1">
      <alignment horizontal="center" vertical="center"/>
    </xf>
    <xf numFmtId="9" fontId="52" fillId="0" borderId="361" xfId="3" applyFont="1" applyFill="1" applyBorder="1" applyAlignment="1" applyProtection="1">
      <alignment horizontal="center" vertical="center"/>
    </xf>
    <xf numFmtId="9" fontId="52" fillId="0" borderId="265" xfId="3" applyFont="1" applyFill="1" applyBorder="1" applyAlignment="1" applyProtection="1">
      <alignment horizontal="center" vertical="center"/>
    </xf>
    <xf numFmtId="9" fontId="52" fillId="0" borderId="264" xfId="3" applyFont="1" applyFill="1" applyBorder="1" applyAlignment="1" applyProtection="1">
      <alignment horizontal="center" vertical="center"/>
    </xf>
    <xf numFmtId="9" fontId="52" fillId="0" borderId="266" xfId="3" applyFont="1" applyFill="1" applyBorder="1" applyAlignment="1" applyProtection="1">
      <alignment horizontal="center" vertical="center"/>
    </xf>
    <xf numFmtId="0" fontId="0" fillId="0" borderId="0" xfId="0" quotePrefix="1" applyFont="1" applyBorder="1" applyAlignment="1">
      <alignment horizontal="center"/>
    </xf>
    <xf numFmtId="0" fontId="0" fillId="5" borderId="1131" xfId="0" applyFont="1" applyFill="1" applyBorder="1" applyAlignment="1" applyProtection="1">
      <alignment horizontal="left" vertical="center"/>
      <protection locked="0"/>
    </xf>
    <xf numFmtId="0" fontId="0" fillId="5" borderId="1134" xfId="0" applyFont="1" applyFill="1" applyBorder="1" applyAlignment="1" applyProtection="1">
      <alignment horizontal="left" vertical="center"/>
      <protection locked="0"/>
    </xf>
    <xf numFmtId="0" fontId="0" fillId="26" borderId="1137" xfId="0" applyFont="1" applyFill="1" applyBorder="1" applyAlignment="1">
      <alignment horizontal="left" vertical="center"/>
    </xf>
    <xf numFmtId="0" fontId="0" fillId="26" borderId="1140" xfId="0" applyFont="1" applyFill="1" applyBorder="1" applyAlignment="1">
      <alignment horizontal="left" vertical="center"/>
    </xf>
    <xf numFmtId="0" fontId="24" fillId="8" borderId="0" xfId="2" applyFont="1" applyFill="1" applyBorder="1" applyAlignment="1" applyProtection="1">
      <alignment horizontal="left" vertical="center"/>
      <protection locked="0"/>
    </xf>
    <xf numFmtId="0" fontId="21" fillId="8" borderId="0" xfId="0" applyFont="1" applyFill="1" applyBorder="1" applyAlignment="1" applyProtection="1">
      <alignment horizontal="left" vertical="center"/>
      <protection locked="0"/>
    </xf>
    <xf numFmtId="0" fontId="0" fillId="8" borderId="0" xfId="0" applyFont="1" applyFill="1" applyBorder="1" applyAlignment="1" applyProtection="1">
      <alignment horizontal="center" vertical="center"/>
      <protection locked="0"/>
    </xf>
    <xf numFmtId="0" fontId="0" fillId="8" borderId="0" xfId="0" applyFont="1" applyFill="1" applyBorder="1" applyAlignment="1" applyProtection="1">
      <alignment horizontal="center" vertical="top" wrapText="1"/>
      <protection locked="0"/>
    </xf>
    <xf numFmtId="171" fontId="22" fillId="0" borderId="360" xfId="2" applyNumberFormat="1" applyFont="1" applyFill="1" applyBorder="1" applyAlignment="1" applyProtection="1">
      <alignment horizontal="center" vertical="center"/>
    </xf>
    <xf numFmtId="171" fontId="22" fillId="0" borderId="361" xfId="2" applyNumberFormat="1" applyFont="1" applyFill="1" applyBorder="1" applyAlignment="1" applyProtection="1">
      <alignment horizontal="center" vertical="center"/>
    </xf>
    <xf numFmtId="3" fontId="52" fillId="40" borderId="360" xfId="2" applyNumberFormat="1" applyFont="1" applyFill="1" applyBorder="1" applyAlignment="1" applyProtection="1">
      <alignment horizontal="center" vertical="center"/>
      <protection locked="0"/>
    </xf>
    <xf numFmtId="3" fontId="52" fillId="40" borderId="265" xfId="2" applyNumberFormat="1" applyFont="1" applyFill="1" applyBorder="1" applyAlignment="1" applyProtection="1">
      <alignment horizontal="center" vertical="center"/>
      <protection locked="0"/>
    </xf>
    <xf numFmtId="3" fontId="52" fillId="40" borderId="266" xfId="2" applyNumberFormat="1" applyFont="1" applyFill="1" applyBorder="1" applyAlignment="1" applyProtection="1">
      <alignment horizontal="center" vertical="center"/>
      <protection locked="0"/>
    </xf>
    <xf numFmtId="0" fontId="11" fillId="40" borderId="812" xfId="81" applyFill="1" applyBorder="1" applyAlignment="1" applyProtection="1">
      <alignment horizontal="center" vertical="center"/>
      <protection locked="0"/>
    </xf>
    <xf numFmtId="0" fontId="0" fillId="40" borderId="812" xfId="81" applyFont="1" applyFill="1" applyBorder="1" applyAlignment="1" applyProtection="1">
      <alignment horizontal="center" vertical="center"/>
      <protection locked="0"/>
    </xf>
    <xf numFmtId="0" fontId="6" fillId="40" borderId="812" xfId="81" applyFont="1" applyFill="1" applyBorder="1" applyAlignment="1" applyProtection="1">
      <alignment horizontal="center" vertical="center"/>
      <protection locked="0"/>
    </xf>
    <xf numFmtId="3" fontId="69" fillId="0" borderId="533" xfId="6" applyNumberFormat="1" applyFont="1" applyFill="1" applyBorder="1" applyAlignment="1" applyProtection="1">
      <alignment horizontal="center"/>
      <protection locked="0"/>
    </xf>
    <xf numFmtId="3" fontId="69" fillId="0" borderId="533" xfId="6" applyNumberFormat="1" applyFont="1" applyFill="1" applyBorder="1" applyAlignment="1" applyProtection="1">
      <alignment horizontal="center"/>
    </xf>
    <xf numFmtId="3" fontId="130" fillId="0" borderId="533" xfId="6" applyNumberFormat="1" applyFont="1" applyFill="1" applyBorder="1" applyAlignment="1" applyProtection="1">
      <alignment horizontal="center"/>
    </xf>
    <xf numFmtId="3" fontId="130" fillId="0" borderId="560" xfId="6" applyNumberFormat="1" applyFont="1" applyFill="1" applyBorder="1" applyAlignment="1" applyProtection="1">
      <alignment horizontal="center"/>
    </xf>
    <xf numFmtId="3" fontId="130" fillId="0" borderId="894" xfId="6" applyNumberFormat="1" applyFont="1" applyFill="1" applyBorder="1" applyAlignment="1" applyProtection="1">
      <alignment horizontal="center"/>
    </xf>
    <xf numFmtId="3" fontId="97" fillId="0" borderId="894" xfId="6" applyNumberFormat="1" applyFont="1" applyBorder="1" applyAlignment="1" applyProtection="1">
      <alignment horizontal="center"/>
    </xf>
    <xf numFmtId="3" fontId="97" fillId="0" borderId="530" xfId="6" applyNumberFormat="1" applyFont="1" applyFill="1" applyBorder="1" applyAlignment="1" applyProtection="1">
      <alignment horizontal="center"/>
    </xf>
    <xf numFmtId="3" fontId="97" fillId="0" borderId="587" xfId="6" applyNumberFormat="1" applyFont="1" applyFill="1" applyBorder="1" applyAlignment="1" applyProtection="1">
      <alignment horizontal="center"/>
    </xf>
    <xf numFmtId="3" fontId="97" fillId="0" borderId="893" xfId="6" applyNumberFormat="1" applyFont="1" applyBorder="1" applyAlignment="1" applyProtection="1">
      <alignment horizontal="center"/>
    </xf>
    <xf numFmtId="3" fontId="125" fillId="0" borderId="1097" xfId="6" applyNumberFormat="1" applyFont="1" applyFill="1" applyBorder="1" applyAlignment="1" applyProtection="1">
      <alignment horizontal="center"/>
    </xf>
    <xf numFmtId="3" fontId="125" fillId="0" borderId="1121" xfId="6" applyNumberFormat="1" applyFont="1" applyFill="1" applyBorder="1" applyAlignment="1" applyProtection="1">
      <alignment horizontal="center"/>
    </xf>
    <xf numFmtId="3" fontId="17" fillId="0" borderId="533" xfId="6" applyNumberFormat="1" applyFont="1" applyFill="1" applyBorder="1" applyAlignment="1" applyProtection="1">
      <alignment horizontal="center"/>
    </xf>
    <xf numFmtId="3" fontId="97" fillId="0" borderId="440" xfId="6" applyNumberFormat="1" applyFont="1" applyFill="1" applyBorder="1" applyAlignment="1" applyProtection="1">
      <alignment horizontal="center"/>
    </xf>
    <xf numFmtId="3" fontId="0" fillId="0" borderId="533" xfId="6" applyNumberFormat="1" applyFont="1" applyBorder="1" applyAlignment="1" applyProtection="1">
      <alignment horizontal="center" vertical="center"/>
    </xf>
    <xf numFmtId="3" fontId="16" fillId="0" borderId="898" xfId="66" applyNumberFormat="1" applyFont="1" applyBorder="1" applyAlignment="1" applyProtection="1">
      <alignment horizontal="center" vertical="center"/>
    </xf>
    <xf numFmtId="0" fontId="26" fillId="0" borderId="1141" xfId="0" applyFont="1" applyBorder="1" applyAlignment="1">
      <alignment vertical="center"/>
    </xf>
    <xf numFmtId="0" fontId="0" fillId="40" borderId="824" xfId="81" applyFont="1" applyFill="1" applyBorder="1" applyAlignment="1" applyProtection="1">
      <alignment horizontal="center" vertical="center"/>
      <protection locked="0"/>
    </xf>
    <xf numFmtId="0" fontId="6" fillId="40" borderId="824" xfId="81" applyFont="1" applyFill="1" applyBorder="1" applyAlignment="1" applyProtection="1">
      <alignment horizontal="center" vertical="center"/>
      <protection locked="0"/>
    </xf>
    <xf numFmtId="0" fontId="11" fillId="40" borderId="824" xfId="81" applyFill="1" applyBorder="1" applyAlignment="1" applyProtection="1">
      <alignment horizontal="center" vertical="center"/>
      <protection locked="0"/>
    </xf>
    <xf numFmtId="0" fontId="0" fillId="40" borderId="1142" xfId="81" applyFont="1" applyFill="1" applyBorder="1" applyAlignment="1" applyProtection="1">
      <alignment horizontal="center" vertical="center"/>
      <protection locked="0"/>
    </xf>
    <xf numFmtId="0" fontId="6" fillId="40" borderId="1142" xfId="81" applyFont="1" applyFill="1" applyBorder="1" applyAlignment="1" applyProtection="1">
      <alignment horizontal="center" vertical="center"/>
      <protection locked="0"/>
    </xf>
    <xf numFmtId="0" fontId="11" fillId="40" borderId="1142" xfId="81" applyFill="1" applyBorder="1" applyAlignment="1" applyProtection="1">
      <alignment horizontal="center" vertical="center"/>
      <protection locked="0"/>
    </xf>
    <xf numFmtId="0" fontId="11" fillId="40" borderId="824" xfId="81" applyFont="1" applyFill="1" applyBorder="1" applyAlignment="1" applyProtection="1">
      <alignment horizontal="center" vertical="center"/>
      <protection locked="0"/>
    </xf>
    <xf numFmtId="0" fontId="11" fillId="40" borderId="1142" xfId="81" applyFont="1" applyFill="1" applyBorder="1" applyAlignment="1" applyProtection="1">
      <alignment horizontal="center" vertical="center"/>
      <protection locked="0"/>
    </xf>
    <xf numFmtId="0" fontId="0" fillId="40" borderId="824" xfId="81" applyFont="1" applyFill="1" applyBorder="1" applyAlignment="1" applyProtection="1">
      <alignment vertical="center"/>
      <protection locked="0"/>
    </xf>
    <xf numFmtId="0" fontId="0" fillId="40" borderId="1143" xfId="81" applyFont="1" applyFill="1" applyBorder="1" applyAlignment="1" applyProtection="1">
      <alignment horizontal="center" vertical="center"/>
      <protection locked="0"/>
    </xf>
    <xf numFmtId="0" fontId="0" fillId="40" borderId="1144" xfId="81" applyFont="1" applyFill="1" applyBorder="1" applyAlignment="1" applyProtection="1">
      <alignment vertical="center"/>
      <protection locked="0"/>
    </xf>
    <xf numFmtId="173" fontId="1" fillId="26" borderId="1145" xfId="81" applyNumberFormat="1" applyFont="1" applyFill="1" applyBorder="1" applyAlignment="1" applyProtection="1">
      <alignment horizontal="center" vertical="center"/>
    </xf>
    <xf numFmtId="185" fontId="1" fillId="26" borderId="1146" xfId="81" applyNumberFormat="1" applyFont="1" applyFill="1" applyBorder="1" applyAlignment="1" applyProtection="1">
      <alignment horizontal="center" vertical="center"/>
    </xf>
    <xf numFmtId="173" fontId="106" fillId="26" borderId="1147" xfId="81" applyNumberFormat="1" applyFont="1" applyFill="1" applyBorder="1" applyAlignment="1" applyProtection="1">
      <alignment horizontal="center" vertical="center"/>
    </xf>
    <xf numFmtId="185" fontId="106" fillId="26" borderId="1148" xfId="81" applyNumberFormat="1" applyFont="1" applyFill="1" applyBorder="1" applyAlignment="1" applyProtection="1">
      <alignment horizontal="center" vertical="center"/>
    </xf>
    <xf numFmtId="173" fontId="106" fillId="26" borderId="1149" xfId="81" applyNumberFormat="1" applyFont="1" applyFill="1" applyBorder="1" applyAlignment="1" applyProtection="1">
      <alignment horizontal="center" vertical="center"/>
    </xf>
    <xf numFmtId="3" fontId="37" fillId="2" borderId="0" xfId="0" applyNumberFormat="1" applyFont="1" applyFill="1" applyBorder="1" applyAlignment="1" applyProtection="1">
      <alignment horizontal="center" vertical="center"/>
    </xf>
    <xf numFmtId="3" fontId="37" fillId="2" borderId="0" xfId="0" applyNumberFormat="1" applyFont="1" applyFill="1" applyBorder="1" applyAlignment="1" applyProtection="1">
      <alignment vertical="center"/>
    </xf>
    <xf numFmtId="3" fontId="5" fillId="3" borderId="0" xfId="1" applyNumberFormat="1" applyFill="1" applyAlignment="1" applyProtection="1">
      <alignment horizontal="center" vertical="center"/>
    </xf>
    <xf numFmtId="3" fontId="37" fillId="0" borderId="0" xfId="0" applyNumberFormat="1" applyFont="1" applyAlignment="1" applyProtection="1">
      <alignment horizontal="center" vertical="center"/>
    </xf>
    <xf numFmtId="3" fontId="37" fillId="0" borderId="0" xfId="0" applyNumberFormat="1" applyFont="1" applyAlignment="1">
      <alignment horizontal="center" vertical="center"/>
    </xf>
    <xf numFmtId="3" fontId="38" fillId="2" borderId="0" xfId="0" applyNumberFormat="1" applyFont="1" applyFill="1" applyBorder="1" applyAlignment="1" applyProtection="1">
      <alignment vertical="center"/>
    </xf>
    <xf numFmtId="3" fontId="38" fillId="2" borderId="0" xfId="0" applyNumberFormat="1" applyFont="1" applyFill="1" applyBorder="1" applyAlignment="1" applyProtection="1">
      <alignment vertical="center" wrapText="1"/>
    </xf>
    <xf numFmtId="3" fontId="38" fillId="2" borderId="1" xfId="0" applyNumberFormat="1" applyFont="1" applyFill="1" applyBorder="1" applyAlignment="1" applyProtection="1">
      <alignment horizontal="center" vertical="center"/>
    </xf>
    <xf numFmtId="3" fontId="38" fillId="0" borderId="0" xfId="0" applyNumberFormat="1" applyFont="1" applyAlignment="1" applyProtection="1">
      <alignment vertical="center"/>
    </xf>
    <xf numFmtId="3" fontId="38" fillId="0" borderId="0" xfId="0" applyNumberFormat="1" applyFont="1" applyAlignment="1">
      <alignment vertical="center"/>
    </xf>
    <xf numFmtId="3" fontId="0" fillId="0" borderId="0" xfId="0" applyNumberFormat="1" applyFont="1" applyProtection="1"/>
    <xf numFmtId="3" fontId="0" fillId="0" borderId="0" xfId="0" applyNumberFormat="1" applyFont="1"/>
    <xf numFmtId="3" fontId="2" fillId="0" borderId="0" xfId="0" applyNumberFormat="1" applyFont="1" applyAlignment="1" applyProtection="1">
      <alignment vertical="center"/>
    </xf>
    <xf numFmtId="3" fontId="2" fillId="0" borderId="0" xfId="0" applyNumberFormat="1" applyFont="1" applyAlignment="1">
      <alignment vertical="center"/>
    </xf>
    <xf numFmtId="3" fontId="26" fillId="0" borderId="0" xfId="0" applyNumberFormat="1" applyFont="1" applyAlignment="1" applyProtection="1">
      <alignment vertical="center"/>
    </xf>
    <xf numFmtId="3" fontId="26" fillId="0" borderId="0" xfId="0" applyNumberFormat="1" applyFont="1" applyAlignment="1">
      <alignment vertical="center"/>
    </xf>
    <xf numFmtId="3" fontId="26" fillId="0" borderId="0" xfId="0" applyNumberFormat="1" applyFont="1" applyAlignment="1" applyProtection="1">
      <alignment horizontal="center" vertical="center"/>
    </xf>
    <xf numFmtId="3" fontId="26" fillId="0" borderId="0" xfId="0" applyNumberFormat="1" applyFont="1" applyAlignment="1" applyProtection="1">
      <alignment horizontal="left" vertical="center" wrapText="1"/>
    </xf>
    <xf numFmtId="3" fontId="26" fillId="0" borderId="0" xfId="0" applyNumberFormat="1" applyFont="1" applyBorder="1" applyAlignment="1" applyProtection="1">
      <alignment horizontal="left" vertical="center" wrapText="1"/>
    </xf>
    <xf numFmtId="3" fontId="26" fillId="0" borderId="0" xfId="0" applyNumberFormat="1" applyFont="1" applyFill="1" applyBorder="1" applyAlignment="1" applyProtection="1">
      <alignment vertical="center"/>
    </xf>
    <xf numFmtId="3" fontId="0" fillId="0" borderId="0" xfId="6" applyNumberFormat="1" applyFont="1" applyFill="1" applyBorder="1" applyProtection="1"/>
    <xf numFmtId="3" fontId="0" fillId="0" borderId="0" xfId="6" applyNumberFormat="1" applyFont="1" applyFill="1" applyBorder="1" applyAlignment="1" applyProtection="1">
      <alignment horizontal="left" vertical="top" wrapText="1"/>
    </xf>
    <xf numFmtId="3" fontId="17" fillId="0" borderId="0" xfId="14" applyNumberFormat="1" applyFont="1" applyFill="1" applyBorder="1" applyAlignment="1" applyProtection="1">
      <alignment horizontal="left"/>
    </xf>
    <xf numFmtId="3" fontId="26" fillId="0" borderId="0" xfId="0" applyNumberFormat="1" applyFont="1" applyFill="1" applyBorder="1" applyAlignment="1" applyProtection="1">
      <alignment horizontal="left" vertical="center" wrapText="1"/>
    </xf>
    <xf numFmtId="3" fontId="26" fillId="0" borderId="0" xfId="0" applyNumberFormat="1" applyFont="1" applyFill="1" applyAlignment="1" applyProtection="1">
      <alignment vertical="center"/>
    </xf>
    <xf numFmtId="3" fontId="26" fillId="0" borderId="0" xfId="0" applyNumberFormat="1" applyFont="1" applyFill="1" applyAlignment="1">
      <alignment vertical="center"/>
    </xf>
    <xf numFmtId="3" fontId="11" fillId="0" borderId="0" xfId="6" applyNumberFormat="1" applyFont="1" applyBorder="1" applyAlignment="1" applyProtection="1">
      <alignment horizontal="center" vertical="center"/>
    </xf>
    <xf numFmtId="3" fontId="11" fillId="0" borderId="0" xfId="6" applyNumberFormat="1" applyFont="1" applyAlignment="1" applyProtection="1">
      <alignment horizontal="center" vertical="center"/>
    </xf>
    <xf numFmtId="3" fontId="11" fillId="0" borderId="0" xfId="6" applyNumberFormat="1" applyFont="1" applyAlignment="1">
      <alignment horizontal="center" vertical="center"/>
    </xf>
    <xf numFmtId="3" fontId="97" fillId="33" borderId="894" xfId="6" applyNumberFormat="1" applyFont="1" applyFill="1" applyBorder="1" applyAlignment="1" applyProtection="1">
      <alignment horizontal="center"/>
    </xf>
    <xf numFmtId="3" fontId="11" fillId="0" borderId="0" xfId="14" applyNumberFormat="1" applyFont="1" applyBorder="1" applyProtection="1"/>
    <xf numFmtId="3" fontId="11" fillId="26" borderId="533" xfId="6" applyNumberFormat="1" applyFont="1" applyFill="1" applyBorder="1" applyAlignment="1" applyProtection="1">
      <alignment horizontal="center"/>
      <protection locked="0"/>
    </xf>
    <xf numFmtId="3" fontId="11" fillId="0" borderId="0" xfId="6" applyNumberFormat="1" applyFont="1" applyProtection="1"/>
    <xf numFmtId="3" fontId="11" fillId="0" borderId="0" xfId="6" applyNumberFormat="1" applyFont="1"/>
    <xf numFmtId="3" fontId="0" fillId="26" borderId="533" xfId="6" applyNumberFormat="1" applyFont="1" applyFill="1" applyBorder="1" applyAlignment="1" applyProtection="1">
      <alignment horizontal="center"/>
      <protection locked="0"/>
    </xf>
    <xf numFmtId="3" fontId="11" fillId="0" borderId="0" xfId="6" applyNumberFormat="1" applyFont="1" applyBorder="1" applyProtection="1"/>
    <xf numFmtId="3" fontId="69" fillId="0" borderId="536" xfId="6" applyNumberFormat="1" applyFont="1" applyBorder="1" applyAlignment="1" applyProtection="1">
      <alignment horizontal="center"/>
    </xf>
    <xf numFmtId="3" fontId="11" fillId="0" borderId="536" xfId="14" applyNumberFormat="1" applyFont="1" applyFill="1" applyBorder="1" applyAlignment="1" applyProtection="1">
      <alignment horizontal="center"/>
    </xf>
    <xf numFmtId="3" fontId="11" fillId="0" borderId="564" xfId="6" applyNumberFormat="1" applyFont="1" applyFill="1" applyBorder="1" applyAlignment="1" applyProtection="1">
      <alignment horizontal="center" vertical="center"/>
    </xf>
    <xf numFmtId="3" fontId="11" fillId="0" borderId="530" xfId="6" applyNumberFormat="1" applyFont="1" applyFill="1" applyBorder="1" applyAlignment="1" applyProtection="1">
      <alignment horizontal="center" vertical="center"/>
    </xf>
    <xf numFmtId="3" fontId="11" fillId="0" borderId="551" xfId="6" applyNumberFormat="1" applyFont="1" applyFill="1" applyBorder="1" applyAlignment="1" applyProtection="1">
      <alignment horizontal="center" vertical="center"/>
    </xf>
    <xf numFmtId="3" fontId="11" fillId="0" borderId="0" xfId="6" applyNumberFormat="1" applyFont="1" applyFill="1" applyProtection="1"/>
    <xf numFmtId="3" fontId="11" fillId="0" borderId="0" xfId="6" applyNumberFormat="1" applyFont="1" applyFill="1" applyBorder="1" applyProtection="1"/>
    <xf numFmtId="3" fontId="11" fillId="0" borderId="556" xfId="6" applyNumberFormat="1" applyFont="1" applyBorder="1" applyProtection="1"/>
    <xf numFmtId="3" fontId="97" fillId="0" borderId="556" xfId="6" applyNumberFormat="1" applyFont="1" applyBorder="1" applyAlignment="1" applyProtection="1">
      <alignment horizontal="right"/>
    </xf>
    <xf numFmtId="3" fontId="11" fillId="0" borderId="565" xfId="6" applyNumberFormat="1" applyFont="1" applyBorder="1" applyProtection="1"/>
    <xf numFmtId="3" fontId="11" fillId="0" borderId="0" xfId="14" applyNumberFormat="1" applyFont="1" applyFill="1" applyBorder="1" applyAlignment="1" applyProtection="1">
      <alignment horizontal="center"/>
    </xf>
    <xf numFmtId="3" fontId="11" fillId="0" borderId="0" xfId="6" applyNumberFormat="1" applyFont="1" applyFill="1" applyBorder="1"/>
    <xf numFmtId="3" fontId="16" fillId="7" borderId="539" xfId="6" applyNumberFormat="1" applyFont="1" applyFill="1" applyBorder="1" applyAlignment="1" applyProtection="1">
      <alignment horizontal="center" vertical="center"/>
    </xf>
    <xf numFmtId="3" fontId="16" fillId="7" borderId="597" xfId="6" applyNumberFormat="1" applyFont="1" applyFill="1" applyBorder="1" applyAlignment="1" applyProtection="1">
      <alignment horizontal="center" vertical="center"/>
    </xf>
    <xf numFmtId="3" fontId="11" fillId="0" borderId="0" xfId="6" applyNumberFormat="1" applyFont="1" applyFill="1" applyBorder="1" applyAlignment="1" applyProtection="1">
      <alignment vertical="center"/>
    </xf>
    <xf numFmtId="3" fontId="11" fillId="0" borderId="0" xfId="6" applyNumberFormat="1" applyFont="1" applyAlignment="1">
      <alignment vertical="center"/>
    </xf>
    <xf numFmtId="3" fontId="97" fillId="0" borderId="0" xfId="6" applyNumberFormat="1" applyFont="1" applyBorder="1" applyAlignment="1" applyProtection="1">
      <alignment horizontal="right"/>
    </xf>
    <xf numFmtId="3" fontId="149" fillId="25" borderId="544" xfId="6" applyNumberFormat="1" applyFont="1" applyFill="1" applyBorder="1" applyAlignment="1" applyProtection="1">
      <alignment horizontal="center"/>
    </xf>
    <xf numFmtId="3" fontId="149" fillId="25" borderId="545" xfId="6" applyNumberFormat="1" applyFont="1" applyFill="1" applyBorder="1" applyAlignment="1" applyProtection="1">
      <alignment horizontal="center"/>
    </xf>
    <xf numFmtId="3" fontId="97" fillId="0" borderId="0" xfId="14" applyNumberFormat="1" applyFont="1" applyBorder="1" applyAlignment="1" applyProtection="1">
      <alignment horizontal="center"/>
    </xf>
    <xf numFmtId="3" fontId="149" fillId="25" borderId="1057" xfId="6" applyNumberFormat="1" applyFont="1" applyFill="1" applyBorder="1" applyAlignment="1" applyProtection="1">
      <alignment horizontal="center"/>
    </xf>
    <xf numFmtId="3" fontId="149" fillId="25" borderId="1058" xfId="6" applyNumberFormat="1" applyFont="1" applyFill="1" applyBorder="1" applyAlignment="1" applyProtection="1">
      <alignment horizontal="center"/>
    </xf>
    <xf numFmtId="3" fontId="97" fillId="25" borderId="1061" xfId="6" applyNumberFormat="1" applyFont="1" applyFill="1" applyBorder="1" applyAlignment="1" applyProtection="1">
      <alignment horizontal="center"/>
    </xf>
    <xf numFmtId="3" fontId="97" fillId="25" borderId="1062" xfId="6" applyNumberFormat="1" applyFont="1" applyFill="1" applyBorder="1" applyAlignment="1" applyProtection="1">
      <alignment horizontal="center"/>
    </xf>
    <xf numFmtId="3" fontId="11" fillId="0" borderId="0" xfId="6" applyNumberFormat="1" applyFont="1" applyFill="1"/>
    <xf numFmtId="3" fontId="11" fillId="0" borderId="0" xfId="6" applyNumberFormat="1" applyFont="1" applyFill="1" applyBorder="1" applyAlignment="1" applyProtection="1">
      <alignment horizontal="center" vertical="center"/>
    </xf>
    <xf numFmtId="3" fontId="11" fillId="0" borderId="0" xfId="6" applyNumberFormat="1" applyFont="1" applyAlignment="1" applyProtection="1">
      <alignment vertical="center"/>
    </xf>
    <xf numFmtId="3" fontId="97" fillId="25" borderId="1071" xfId="6" applyNumberFormat="1" applyFont="1" applyFill="1" applyBorder="1" applyAlignment="1" applyProtection="1">
      <alignment horizontal="center" vertical="center"/>
    </xf>
    <xf numFmtId="3" fontId="97" fillId="25" borderId="1072" xfId="6" applyNumberFormat="1" applyFont="1" applyFill="1" applyBorder="1" applyAlignment="1" applyProtection="1">
      <alignment horizontal="center" vertical="center"/>
    </xf>
    <xf numFmtId="3" fontId="11" fillId="0" borderId="0" xfId="6" applyNumberFormat="1" applyFont="1" applyBorder="1"/>
    <xf numFmtId="3" fontId="0" fillId="0" borderId="0" xfId="6" applyNumberFormat="1" applyFont="1" applyProtection="1"/>
    <xf numFmtId="3" fontId="22" fillId="0" borderId="0" xfId="2" applyNumberFormat="1" applyFont="1" applyProtection="1"/>
    <xf numFmtId="3" fontId="22" fillId="0" borderId="0" xfId="2" applyNumberFormat="1" applyFont="1"/>
    <xf numFmtId="3" fontId="1" fillId="8" borderId="0" xfId="0" applyNumberFormat="1" applyFont="1" applyFill="1" applyBorder="1" applyAlignment="1" applyProtection="1">
      <alignment vertical="top"/>
    </xf>
    <xf numFmtId="3" fontId="1" fillId="8" borderId="0" xfId="0" applyNumberFormat="1" applyFont="1" applyFill="1" applyBorder="1" applyAlignment="1" applyProtection="1">
      <alignment vertical="top" wrapText="1"/>
    </xf>
    <xf numFmtId="3" fontId="69" fillId="0" borderId="0" xfId="0"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left" vertical="top"/>
    </xf>
    <xf numFmtId="9" fontId="130" fillId="0" borderId="536" xfId="3" applyFont="1" applyFill="1" applyBorder="1" applyAlignment="1" applyProtection="1">
      <alignment horizontal="center"/>
    </xf>
    <xf numFmtId="9" fontId="18" fillId="0" borderId="532" xfId="3" applyFont="1" applyFill="1" applyBorder="1" applyAlignment="1" applyProtection="1">
      <alignment horizontal="center"/>
    </xf>
    <xf numFmtId="3" fontId="17" fillId="67" borderId="533" xfId="6" applyNumberFormat="1" applyFont="1" applyFill="1" applyBorder="1" applyAlignment="1" applyProtection="1">
      <alignment horizontal="center" vertical="center" wrapText="1"/>
    </xf>
    <xf numFmtId="3" fontId="17" fillId="67" borderId="560" xfId="6" applyNumberFormat="1" applyFont="1" applyFill="1" applyBorder="1" applyAlignment="1" applyProtection="1">
      <alignment horizontal="center" vertical="center" wrapText="1"/>
    </xf>
    <xf numFmtId="3" fontId="102" fillId="67" borderId="894" xfId="66" applyNumberFormat="1" applyFont="1" applyFill="1" applyBorder="1" applyAlignment="1" applyProtection="1">
      <alignment horizontal="center" vertical="center" wrapText="1"/>
    </xf>
    <xf numFmtId="3" fontId="0" fillId="0" borderId="0" xfId="6" applyNumberFormat="1" applyFont="1"/>
    <xf numFmtId="3" fontId="17" fillId="0" borderId="533" xfId="6" applyNumberFormat="1" applyFont="1" applyBorder="1" applyAlignment="1" applyProtection="1">
      <alignment horizontal="center" vertical="center" wrapText="1"/>
    </xf>
    <xf numFmtId="3" fontId="100" fillId="0" borderId="536" xfId="6" applyNumberFormat="1" applyFont="1" applyBorder="1" applyAlignment="1" applyProtection="1">
      <alignment horizontal="center" vertical="center" wrapText="1"/>
    </xf>
    <xf numFmtId="3" fontId="102" fillId="0" borderId="896" xfId="66" applyNumberFormat="1" applyFont="1" applyBorder="1" applyAlignment="1" applyProtection="1">
      <alignment horizontal="center" vertical="center" wrapText="1"/>
    </xf>
    <xf numFmtId="3" fontId="100" fillId="0" borderId="562" xfId="6" applyNumberFormat="1" applyFont="1" applyBorder="1" applyAlignment="1" applyProtection="1">
      <alignment horizontal="center" vertical="center"/>
    </xf>
    <xf numFmtId="3" fontId="18" fillId="0" borderId="544" xfId="6" applyNumberFormat="1" applyFont="1" applyFill="1" applyBorder="1" applyAlignment="1" applyProtection="1">
      <alignment horizontal="center" vertical="center"/>
    </xf>
    <xf numFmtId="3" fontId="18" fillId="0" borderId="598" xfId="6" applyNumberFormat="1" applyFont="1" applyFill="1" applyBorder="1" applyAlignment="1" applyProtection="1">
      <alignment horizontal="center" vertical="center"/>
    </xf>
    <xf numFmtId="3" fontId="106" fillId="0" borderId="900" xfId="6" applyNumberFormat="1" applyFont="1" applyFill="1" applyBorder="1" applyAlignment="1" applyProtection="1">
      <alignment horizontal="center" vertical="center"/>
    </xf>
    <xf numFmtId="3" fontId="18" fillId="0" borderId="547" xfId="6" applyNumberFormat="1" applyFont="1" applyFill="1" applyBorder="1" applyAlignment="1" applyProtection="1">
      <alignment horizontal="center" vertical="center"/>
    </xf>
    <xf numFmtId="3" fontId="106" fillId="0" borderId="901" xfId="6" applyNumberFormat="1" applyFont="1" applyFill="1" applyBorder="1" applyAlignment="1" applyProtection="1">
      <alignment horizontal="center" vertical="center"/>
    </xf>
    <xf numFmtId="3" fontId="16" fillId="0" borderId="559" xfId="6" applyNumberFormat="1" applyFont="1" applyFill="1" applyBorder="1" applyAlignment="1" applyProtection="1">
      <alignment horizontal="center" vertical="center"/>
    </xf>
    <xf numFmtId="3" fontId="16" fillId="0" borderId="600" xfId="6" applyNumberFormat="1" applyFont="1" applyFill="1" applyBorder="1" applyAlignment="1" applyProtection="1">
      <alignment horizontal="center" vertical="center"/>
    </xf>
    <xf numFmtId="3" fontId="16" fillId="0" borderId="902" xfId="6" applyNumberFormat="1" applyFont="1" applyFill="1" applyBorder="1" applyAlignment="1" applyProtection="1">
      <alignment horizontal="center" vertical="center"/>
    </xf>
    <xf numFmtId="3" fontId="52" fillId="0" borderId="0" xfId="2" applyNumberFormat="1" applyFont="1" applyProtection="1"/>
    <xf numFmtId="3" fontId="52" fillId="0" borderId="0" xfId="2" applyNumberFormat="1" applyFont="1"/>
    <xf numFmtId="3" fontId="25" fillId="7" borderId="539" xfId="6" applyNumberFormat="1" applyFont="1" applyFill="1" applyBorder="1" applyAlignment="1" applyProtection="1">
      <alignment horizontal="center" vertical="center" wrapText="1"/>
    </xf>
    <xf numFmtId="3" fontId="0" fillId="0" borderId="0" xfId="6" applyNumberFormat="1" applyFont="1" applyAlignment="1" applyProtection="1">
      <alignment vertical="center" wrapText="1"/>
    </xf>
    <xf numFmtId="3" fontId="0" fillId="0" borderId="0" xfId="6" applyNumberFormat="1" applyFont="1" applyAlignment="1">
      <alignment vertical="center" wrapText="1"/>
    </xf>
    <xf numFmtId="3" fontId="0" fillId="0" borderId="0" xfId="6" applyNumberFormat="1" applyFont="1" applyAlignment="1" applyProtection="1">
      <alignment vertical="center"/>
    </xf>
    <xf numFmtId="3" fontId="0" fillId="0" borderId="0" xfId="6" applyNumberFormat="1" applyFont="1" applyAlignment="1">
      <alignment vertical="center"/>
    </xf>
    <xf numFmtId="3" fontId="16" fillId="0" borderId="894" xfId="66" applyNumberFormat="1" applyFont="1" applyBorder="1" applyAlignment="1" applyProtection="1">
      <alignment horizontal="center" vertical="center"/>
    </xf>
    <xf numFmtId="3" fontId="16" fillId="0" borderId="899" xfId="66" applyNumberFormat="1" applyFont="1" applyBorder="1" applyAlignment="1" applyProtection="1">
      <alignment horizontal="center" vertical="center"/>
    </xf>
    <xf numFmtId="3" fontId="97" fillId="0" borderId="559" xfId="6" applyNumberFormat="1" applyFont="1" applyBorder="1" applyAlignment="1" applyProtection="1">
      <alignment horizontal="center" vertical="center"/>
    </xf>
    <xf numFmtId="3" fontId="97" fillId="0" borderId="600" xfId="6" applyNumberFormat="1" applyFont="1" applyBorder="1" applyAlignment="1" applyProtection="1">
      <alignment horizontal="center" vertical="center"/>
    </xf>
    <xf numFmtId="3" fontId="97" fillId="0" borderId="903" xfId="6" applyNumberFormat="1" applyFont="1" applyBorder="1" applyAlignment="1" applyProtection="1">
      <alignment horizontal="center" vertical="center"/>
    </xf>
    <xf numFmtId="3" fontId="16" fillId="0" borderId="0" xfId="6" applyNumberFormat="1" applyFont="1" applyFill="1" applyBorder="1" applyProtection="1"/>
    <xf numFmtId="3" fontId="25" fillId="7" borderId="529" xfId="6" applyNumberFormat="1" applyFont="1" applyFill="1" applyBorder="1" applyAlignment="1" applyProtection="1">
      <alignment horizontal="center" vertical="center"/>
    </xf>
    <xf numFmtId="3" fontId="25" fillId="7" borderId="530" xfId="6" applyNumberFormat="1" applyFont="1" applyFill="1" applyBorder="1" applyAlignment="1" applyProtection="1">
      <alignment horizontal="center" vertical="center"/>
    </xf>
    <xf numFmtId="3" fontId="25" fillId="7" borderId="587" xfId="6" applyNumberFormat="1" applyFont="1" applyFill="1" applyBorder="1" applyAlignment="1" applyProtection="1">
      <alignment horizontal="center" vertical="center"/>
    </xf>
    <xf numFmtId="3" fontId="22" fillId="0" borderId="0" xfId="2" applyNumberFormat="1" applyFont="1" applyAlignment="1">
      <alignment vertical="center"/>
    </xf>
    <xf numFmtId="3" fontId="97" fillId="0" borderId="698" xfId="6" applyNumberFormat="1" applyFont="1" applyBorder="1" applyAlignment="1" applyProtection="1">
      <alignment horizontal="right"/>
    </xf>
    <xf numFmtId="3" fontId="97" fillId="0" borderId="1096" xfId="6" applyNumberFormat="1" applyFont="1" applyBorder="1" applyAlignment="1" applyProtection="1">
      <alignment horizontal="right"/>
    </xf>
    <xf numFmtId="3" fontId="52" fillId="0" borderId="536" xfId="2" applyNumberFormat="1" applyFont="1" applyBorder="1" applyProtection="1"/>
    <xf numFmtId="3" fontId="17" fillId="0" borderId="533" xfId="6" applyNumberFormat="1" applyFont="1" applyFill="1" applyBorder="1" applyAlignment="1" applyProtection="1">
      <alignment horizontal="center" vertical="center" wrapText="1"/>
    </xf>
    <xf numFmtId="3" fontId="17" fillId="0" borderId="560" xfId="6" applyNumberFormat="1" applyFont="1" applyFill="1" applyBorder="1" applyAlignment="1" applyProtection="1">
      <alignment horizontal="center" vertical="center" wrapText="1"/>
    </xf>
    <xf numFmtId="3" fontId="97" fillId="0" borderId="700" xfId="6" applyNumberFormat="1" applyFont="1" applyBorder="1" applyAlignment="1" applyProtection="1">
      <alignment horizontal="right" vertical="center"/>
    </xf>
    <xf numFmtId="3" fontId="97" fillId="0" borderId="570" xfId="6" applyNumberFormat="1" applyFont="1" applyBorder="1" applyAlignment="1" applyProtection="1">
      <alignment horizontal="right" vertical="center"/>
    </xf>
    <xf numFmtId="3" fontId="52" fillId="0" borderId="0" xfId="2" applyNumberFormat="1" applyFont="1" applyAlignment="1" applyProtection="1">
      <alignment vertical="center"/>
    </xf>
    <xf numFmtId="3" fontId="52" fillId="0" borderId="0" xfId="2" applyNumberFormat="1" applyFont="1" applyAlignment="1">
      <alignment vertical="center"/>
    </xf>
    <xf numFmtId="3" fontId="60" fillId="0" borderId="0" xfId="2" applyNumberFormat="1" applyFont="1" applyProtection="1"/>
    <xf numFmtId="3" fontId="52" fillId="28" borderId="0" xfId="2" applyNumberFormat="1" applyFont="1" applyFill="1" applyBorder="1" applyProtection="1"/>
    <xf numFmtId="3" fontId="52" fillId="0" borderId="0" xfId="2" applyNumberFormat="1" applyFont="1" applyBorder="1" applyProtection="1"/>
    <xf numFmtId="3" fontId="96" fillId="0" borderId="423" xfId="2" applyNumberFormat="1" applyFont="1" applyFill="1" applyBorder="1" applyAlignment="1" applyProtection="1">
      <alignment horizontal="center" vertical="center" wrapText="1"/>
    </xf>
    <xf numFmtId="3" fontId="52" fillId="0" borderId="1007" xfId="2" applyNumberFormat="1" applyFont="1" applyBorder="1" applyProtection="1"/>
    <xf numFmtId="3" fontId="52" fillId="0" borderId="0" xfId="2" applyNumberFormat="1" applyFont="1" applyFill="1" applyBorder="1" applyProtection="1"/>
    <xf numFmtId="3" fontId="96" fillId="0" borderId="0" xfId="2" applyNumberFormat="1" applyFont="1" applyFill="1" applyBorder="1" applyAlignment="1" applyProtection="1">
      <alignment horizontal="left" vertical="center"/>
    </xf>
    <xf numFmtId="3" fontId="52" fillId="0" borderId="0" xfId="2" applyNumberFormat="1" applyFont="1" applyBorder="1" applyAlignment="1" applyProtection="1">
      <alignment horizontal="center"/>
    </xf>
    <xf numFmtId="3" fontId="96" fillId="0" borderId="168" xfId="2" applyNumberFormat="1" applyFont="1" applyFill="1" applyBorder="1" applyAlignment="1" applyProtection="1">
      <alignment horizontal="left" vertical="center"/>
    </xf>
    <xf numFmtId="3" fontId="96" fillId="0" borderId="441" xfId="2" applyNumberFormat="1" applyFont="1" applyFill="1" applyBorder="1" applyAlignment="1" applyProtection="1">
      <alignment horizontal="center" vertical="center" wrapText="1"/>
    </xf>
    <xf numFmtId="3" fontId="52" fillId="0" borderId="426" xfId="2" applyNumberFormat="1" applyFont="1" applyBorder="1" applyAlignment="1" applyProtection="1">
      <alignment horizontal="center"/>
    </xf>
    <xf numFmtId="3" fontId="24" fillId="0" borderId="0" xfId="2" applyNumberFormat="1" applyFont="1" applyBorder="1" applyProtection="1"/>
    <xf numFmtId="3" fontId="52" fillId="0" borderId="427" xfId="2" applyNumberFormat="1" applyFont="1" applyBorder="1" applyProtection="1"/>
    <xf numFmtId="9" fontId="97" fillId="0" borderId="536" xfId="3" applyFont="1" applyFill="1" applyBorder="1" applyAlignment="1" applyProtection="1">
      <alignment horizontal="center"/>
    </xf>
    <xf numFmtId="4" fontId="31" fillId="0" borderId="650" xfId="2" applyNumberFormat="1" applyFont="1" applyFill="1" applyBorder="1" applyAlignment="1">
      <alignment horizontal="center" vertical="center"/>
    </xf>
    <xf numFmtId="4" fontId="31" fillId="0" borderId="651" xfId="2" applyNumberFormat="1" applyFont="1" applyFill="1" applyBorder="1" applyAlignment="1">
      <alignment horizontal="center" vertical="center"/>
    </xf>
    <xf numFmtId="4" fontId="31" fillId="0" borderId="671" xfId="2" applyNumberFormat="1" applyFont="1" applyFill="1" applyBorder="1" applyAlignment="1">
      <alignment horizontal="center" vertical="center"/>
    </xf>
    <xf numFmtId="4" fontId="31" fillId="0" borderId="661" xfId="2" applyNumberFormat="1" applyFont="1" applyFill="1" applyBorder="1" applyAlignment="1">
      <alignment horizontal="center" vertical="center"/>
    </xf>
    <xf numFmtId="4" fontId="31" fillId="0" borderId="669" xfId="2" applyNumberFormat="1" applyFont="1" applyFill="1" applyBorder="1" applyAlignment="1">
      <alignment horizontal="center" vertical="center"/>
    </xf>
    <xf numFmtId="0" fontId="34" fillId="0" borderId="668" xfId="2" applyFont="1" applyFill="1" applyBorder="1" applyAlignment="1">
      <alignment horizontal="left" vertical="center"/>
    </xf>
    <xf numFmtId="0" fontId="34" fillId="0" borderId="661" xfId="2" applyFont="1" applyFill="1" applyBorder="1" applyAlignment="1">
      <alignment horizontal="left" vertical="center"/>
    </xf>
    <xf numFmtId="0" fontId="34" fillId="0" borderId="670" xfId="2" applyFont="1" applyFill="1" applyBorder="1" applyAlignment="1">
      <alignment horizontal="left" vertical="center"/>
    </xf>
    <xf numFmtId="0" fontId="6" fillId="0" borderId="668" xfId="2" applyFont="1" applyFill="1" applyBorder="1" applyAlignment="1">
      <alignment horizontal="left" vertical="center"/>
    </xf>
    <xf numFmtId="0" fontId="6" fillId="0" borderId="661" xfId="2" applyFont="1" applyFill="1" applyBorder="1" applyAlignment="1">
      <alignment horizontal="left" vertical="center"/>
    </xf>
    <xf numFmtId="0" fontId="6" fillId="0" borderId="670" xfId="2" applyFont="1" applyFill="1" applyBorder="1" applyAlignment="1">
      <alignment horizontal="left" vertical="center"/>
    </xf>
    <xf numFmtId="9" fontId="97" fillId="0" borderId="561" xfId="3" applyFont="1" applyBorder="1" applyAlignment="1" applyProtection="1">
      <alignment horizontal="center"/>
    </xf>
    <xf numFmtId="3" fontId="17" fillId="76" borderId="533" xfId="6" applyNumberFormat="1" applyFont="1" applyFill="1" applyBorder="1" applyAlignment="1" applyProtection="1">
      <alignment horizontal="center" vertical="center" wrapText="1"/>
    </xf>
    <xf numFmtId="3" fontId="52" fillId="28" borderId="1150" xfId="2" applyNumberFormat="1" applyFont="1" applyFill="1" applyBorder="1" applyAlignment="1" applyProtection="1">
      <alignment horizontal="center"/>
    </xf>
    <xf numFmtId="3" fontId="52" fillId="0" borderId="1151" xfId="2" applyNumberFormat="1" applyFont="1" applyBorder="1" applyAlignment="1" applyProtection="1">
      <alignment horizontal="center"/>
    </xf>
    <xf numFmtId="3" fontId="52" fillId="0" borderId="1152" xfId="2" applyNumberFormat="1" applyFont="1" applyBorder="1" applyAlignment="1" applyProtection="1">
      <alignment horizontal="center"/>
    </xf>
    <xf numFmtId="3" fontId="52" fillId="28" borderId="710" xfId="2" applyNumberFormat="1" applyFont="1" applyFill="1" applyBorder="1" applyProtection="1"/>
    <xf numFmtId="3" fontId="52" fillId="0" borderId="710" xfId="2" applyNumberFormat="1" applyFont="1" applyBorder="1" applyProtection="1"/>
    <xf numFmtId="3" fontId="52" fillId="0" borderId="711" xfId="2" applyNumberFormat="1" applyFont="1" applyBorder="1" applyProtection="1"/>
    <xf numFmtId="3" fontId="52" fillId="0" borderId="690" xfId="2" applyNumberFormat="1" applyFont="1" applyBorder="1" applyProtection="1"/>
    <xf numFmtId="3" fontId="52" fillId="0" borderId="694" xfId="2" applyNumberFormat="1" applyFont="1" applyBorder="1" applyProtection="1"/>
    <xf numFmtId="3" fontId="52" fillId="0" borderId="692" xfId="2" applyNumberFormat="1" applyFont="1" applyBorder="1" applyProtection="1"/>
    <xf numFmtId="3" fontId="52" fillId="0" borderId="689" xfId="2" applyNumberFormat="1" applyFont="1" applyBorder="1" applyProtection="1"/>
    <xf numFmtId="3" fontId="96" fillId="0" borderId="1153" xfId="2" applyNumberFormat="1" applyFont="1" applyFill="1" applyBorder="1" applyAlignment="1" applyProtection="1">
      <alignment horizontal="center" vertical="center" wrapText="1"/>
    </xf>
    <xf numFmtId="3" fontId="109" fillId="0" borderId="689" xfId="2" applyNumberFormat="1" applyFont="1" applyFill="1" applyBorder="1" applyAlignment="1" applyProtection="1">
      <alignment horizontal="left" vertical="center"/>
    </xf>
    <xf numFmtId="3" fontId="52" fillId="0" borderId="1154" xfId="2" applyNumberFormat="1" applyFont="1" applyBorder="1" applyAlignment="1" applyProtection="1">
      <alignment horizontal="center"/>
    </xf>
    <xf numFmtId="3" fontId="52" fillId="0" borderId="689" xfId="2" applyNumberFormat="1" applyFont="1" applyBorder="1" applyAlignment="1" applyProtection="1"/>
    <xf numFmtId="3" fontId="111" fillId="0" borderId="689" xfId="2" applyNumberFormat="1" applyFont="1" applyFill="1" applyBorder="1" applyAlignment="1" applyProtection="1">
      <alignment horizontal="left" vertical="center"/>
    </xf>
    <xf numFmtId="3" fontId="52" fillId="0" borderId="1155" xfId="2" applyNumberFormat="1" applyFont="1" applyBorder="1" applyProtection="1"/>
    <xf numFmtId="3" fontId="52" fillId="0" borderId="691" xfId="2" applyNumberFormat="1" applyFont="1" applyBorder="1" applyProtection="1"/>
    <xf numFmtId="3" fontId="24" fillId="28" borderId="426" xfId="2" applyNumberFormat="1" applyFont="1" applyFill="1" applyBorder="1" applyAlignment="1" applyProtection="1">
      <alignment horizontal="center"/>
    </xf>
    <xf numFmtId="3" fontId="24" fillId="28" borderId="1154" xfId="2" applyNumberFormat="1" applyFont="1" applyFill="1" applyBorder="1" applyAlignment="1" applyProtection="1">
      <alignment horizontal="center"/>
    </xf>
    <xf numFmtId="3" fontId="60" fillId="28" borderId="709" xfId="2" applyNumberFormat="1" applyFont="1" applyFill="1" applyBorder="1" applyProtection="1"/>
    <xf numFmtId="3" fontId="52" fillId="0" borderId="709" xfId="2" applyNumberFormat="1" applyFont="1" applyBorder="1" applyProtection="1"/>
    <xf numFmtId="3" fontId="52" fillId="28" borderId="689" xfId="2" applyNumberFormat="1" applyFont="1" applyFill="1" applyBorder="1" applyProtection="1"/>
    <xf numFmtId="3" fontId="96" fillId="0" borderId="1156" xfId="2" applyNumberFormat="1" applyFont="1" applyFill="1" applyBorder="1" applyAlignment="1" applyProtection="1">
      <alignment horizontal="center" vertical="center" wrapText="1"/>
    </xf>
    <xf numFmtId="3" fontId="97" fillId="0" borderId="1157" xfId="6" applyNumberFormat="1" applyFont="1" applyFill="1" applyBorder="1" applyAlignment="1" applyProtection="1">
      <alignment horizontal="center"/>
    </xf>
    <xf numFmtId="3" fontId="97" fillId="0" borderId="0" xfId="6" applyNumberFormat="1" applyFont="1" applyBorder="1" applyAlignment="1" applyProtection="1">
      <alignment horizontal="right" vertical="center"/>
    </xf>
    <xf numFmtId="3" fontId="97" fillId="0" borderId="0" xfId="6" applyNumberFormat="1" applyFont="1" applyBorder="1" applyAlignment="1" applyProtection="1">
      <alignment horizontal="center" vertical="center"/>
    </xf>
    <xf numFmtId="3" fontId="102" fillId="0" borderId="894" xfId="66" applyNumberFormat="1" applyFont="1" applyFill="1" applyBorder="1" applyAlignment="1" applyProtection="1">
      <alignment horizontal="center" vertical="center" wrapText="1"/>
    </xf>
    <xf numFmtId="9" fontId="18" fillId="0" borderId="529" xfId="3" applyFont="1" applyFill="1" applyBorder="1" applyAlignment="1" applyProtection="1">
      <alignment horizontal="center"/>
    </xf>
    <xf numFmtId="9" fontId="18" fillId="0" borderId="530" xfId="3" applyFont="1" applyFill="1" applyBorder="1" applyAlignment="1" applyProtection="1">
      <alignment horizontal="center"/>
    </xf>
    <xf numFmtId="9" fontId="18" fillId="0" borderId="533" xfId="3" applyFont="1" applyFill="1" applyBorder="1" applyAlignment="1" applyProtection="1">
      <alignment horizontal="center"/>
    </xf>
    <xf numFmtId="9" fontId="11" fillId="0" borderId="0" xfId="3" applyFont="1" applyFill="1" applyBorder="1" applyAlignment="1" applyProtection="1">
      <alignment horizontal="center"/>
    </xf>
    <xf numFmtId="9" fontId="11" fillId="0" borderId="537" xfId="3" applyFont="1" applyBorder="1" applyAlignment="1" applyProtection="1">
      <alignment horizontal="center" vertical="center"/>
    </xf>
    <xf numFmtId="9" fontId="52" fillId="31" borderId="426" xfId="3" applyFont="1" applyFill="1" applyBorder="1" applyAlignment="1" applyProtection="1">
      <alignment horizontal="center" vertical="center"/>
    </xf>
    <xf numFmtId="9" fontId="52" fillId="31" borderId="1154" xfId="3" applyFont="1" applyFill="1" applyBorder="1" applyAlignment="1" applyProtection="1">
      <alignment horizontal="center" vertical="center"/>
    </xf>
    <xf numFmtId="1" fontId="31" fillId="0" borderId="661" xfId="2" applyNumberFormat="1" applyFont="1" applyFill="1" applyBorder="1" applyAlignment="1">
      <alignment vertical="center"/>
    </xf>
    <xf numFmtId="1" fontId="31" fillId="0" borderId="650" xfId="2" applyNumberFormat="1" applyFont="1" applyFill="1" applyBorder="1" applyAlignment="1">
      <alignment vertical="center"/>
    </xf>
    <xf numFmtId="3" fontId="6" fillId="0" borderId="0" xfId="2" applyNumberFormat="1" applyFont="1"/>
    <xf numFmtId="3" fontId="31" fillId="25" borderId="650" xfId="2" applyNumberFormat="1" applyFont="1" applyFill="1" applyBorder="1" applyAlignment="1">
      <alignment horizontal="center" vertical="center"/>
    </xf>
    <xf numFmtId="3" fontId="31" fillId="0" borderId="671" xfId="2" applyNumberFormat="1" applyFont="1" applyBorder="1" applyAlignment="1">
      <alignment horizontal="center" vertical="center"/>
    </xf>
    <xf numFmtId="3" fontId="31" fillId="0" borderId="650" xfId="2" applyNumberFormat="1" applyFont="1" applyBorder="1" applyAlignment="1">
      <alignment horizontal="center" vertical="center"/>
    </xf>
    <xf numFmtId="3" fontId="31" fillId="0" borderId="670" xfId="2" applyNumberFormat="1" applyFont="1" applyBorder="1" applyAlignment="1">
      <alignment horizontal="center" vertical="center"/>
    </xf>
    <xf numFmtId="3" fontId="6" fillId="0" borderId="671" xfId="2" applyNumberFormat="1" applyFont="1" applyBorder="1" applyAlignment="1">
      <alignment horizontal="center" vertical="center"/>
    </xf>
    <xf numFmtId="3" fontId="6" fillId="0" borderId="650" xfId="3" applyNumberFormat="1" applyFont="1" applyFill="1" applyBorder="1" applyAlignment="1">
      <alignment horizontal="center" vertical="center"/>
    </xf>
    <xf numFmtId="3" fontId="6" fillId="0" borderId="661" xfId="2" applyNumberFormat="1" applyFont="1" applyBorder="1" applyAlignment="1">
      <alignment horizontal="center" vertical="center"/>
    </xf>
    <xf numFmtId="3" fontId="6" fillId="0" borderId="650" xfId="2" applyNumberFormat="1" applyFont="1" applyBorder="1" applyAlignment="1">
      <alignment horizontal="center" vertical="center"/>
    </xf>
    <xf numFmtId="3" fontId="6" fillId="0" borderId="670" xfId="2" applyNumberFormat="1" applyFont="1" applyBorder="1" applyAlignment="1">
      <alignment horizontal="center" vertical="center"/>
    </xf>
    <xf numFmtId="3" fontId="6" fillId="0" borderId="650" xfId="2" applyNumberFormat="1" applyFont="1" applyFill="1" applyBorder="1" applyAlignment="1">
      <alignment horizontal="center" vertical="center"/>
    </xf>
    <xf numFmtId="3" fontId="6" fillId="0" borderId="0" xfId="2" applyNumberFormat="1" applyFont="1" applyBorder="1" applyAlignment="1">
      <alignment horizontal="center" vertical="center"/>
    </xf>
    <xf numFmtId="3" fontId="136" fillId="0" borderId="954" xfId="2" applyNumberFormat="1" applyFont="1" applyFill="1" applyBorder="1" applyAlignment="1">
      <alignment horizontal="center" vertical="center" wrapText="1"/>
    </xf>
    <xf numFmtId="3" fontId="23" fillId="25" borderId="684" xfId="2" applyNumberFormat="1" applyFont="1" applyFill="1" applyBorder="1" applyAlignment="1">
      <alignment horizontal="center" vertical="center" wrapText="1"/>
    </xf>
    <xf numFmtId="3" fontId="23" fillId="0" borderId="684" xfId="2" applyNumberFormat="1" applyFont="1" applyFill="1" applyBorder="1" applyAlignment="1">
      <alignment horizontal="center" vertical="center" wrapText="1"/>
    </xf>
    <xf numFmtId="3" fontId="23" fillId="27" borderId="948" xfId="2" applyNumberFormat="1" applyFont="1" applyFill="1" applyBorder="1" applyAlignment="1">
      <alignment horizontal="center" vertical="center"/>
    </xf>
    <xf numFmtId="170" fontId="26" fillId="0" borderId="947" xfId="0" applyNumberFormat="1" applyFont="1" applyFill="1" applyBorder="1" applyAlignment="1">
      <alignment horizontal="center" vertical="center" wrapText="1"/>
    </xf>
    <xf numFmtId="1" fontId="6" fillId="26" borderId="682" xfId="2" applyNumberFormat="1" applyFill="1" applyBorder="1" applyAlignment="1">
      <alignment horizontal="center" vertical="center"/>
    </xf>
    <xf numFmtId="170" fontId="6" fillId="0" borderId="651" xfId="17" applyNumberFormat="1" applyFont="1" applyFill="1" applyBorder="1" applyAlignment="1">
      <alignment horizontal="center" vertical="center"/>
    </xf>
    <xf numFmtId="3" fontId="6" fillId="0" borderId="742" xfId="2" applyNumberFormat="1" applyFill="1" applyBorder="1" applyAlignment="1">
      <alignment horizontal="center" vertical="center"/>
    </xf>
    <xf numFmtId="3" fontId="31" fillId="0" borderId="741" xfId="2" applyNumberFormat="1" applyFont="1" applyBorder="1" applyAlignment="1">
      <alignment horizontal="center" vertical="center"/>
    </xf>
    <xf numFmtId="3" fontId="31" fillId="0" borderId="654" xfId="2" applyNumberFormat="1" applyFont="1" applyBorder="1" applyAlignment="1">
      <alignment horizontal="center" vertical="center"/>
    </xf>
    <xf numFmtId="0" fontId="26" fillId="0" borderId="157" xfId="0" quotePrefix="1" applyFont="1" applyBorder="1" applyAlignment="1" applyProtection="1">
      <alignment horizontal="center" vertical="center"/>
    </xf>
    <xf numFmtId="0" fontId="26" fillId="0" borderId="158" xfId="0" quotePrefix="1" applyFont="1" applyBorder="1" applyAlignment="1" applyProtection="1">
      <alignment horizontal="center" vertical="center"/>
    </xf>
    <xf numFmtId="3" fontId="0" fillId="0" borderId="0" xfId="0" applyNumberFormat="1" applyFont="1" applyFill="1" applyAlignment="1" applyProtection="1">
      <alignment horizontal="left" vertical="center"/>
    </xf>
    <xf numFmtId="0" fontId="0" fillId="40" borderId="829" xfId="81" applyFont="1" applyFill="1" applyBorder="1" applyAlignment="1" applyProtection="1">
      <alignment vertical="center"/>
      <protection locked="0"/>
    </xf>
    <xf numFmtId="4" fontId="31" fillId="0" borderId="661" xfId="2" applyNumberFormat="1" applyFont="1" applyFill="1" applyBorder="1" applyAlignment="1">
      <alignment horizontal="center" vertical="center"/>
    </xf>
    <xf numFmtId="4" fontId="31" fillId="0" borderId="669" xfId="2" applyNumberFormat="1" applyFont="1" applyFill="1" applyBorder="1" applyAlignment="1">
      <alignment horizontal="center" vertical="center"/>
    </xf>
    <xf numFmtId="9" fontId="11" fillId="26" borderId="0" xfId="3" applyFont="1" applyFill="1" applyBorder="1" applyAlignment="1">
      <alignment horizontal="center" vertical="center"/>
    </xf>
    <xf numFmtId="3" fontId="11" fillId="0" borderId="531" xfId="6" applyNumberFormat="1" applyFont="1" applyFill="1" applyBorder="1" applyAlignment="1" applyProtection="1">
      <alignment horizontal="center" vertical="center"/>
    </xf>
    <xf numFmtId="3" fontId="69" fillId="0" borderId="530" xfId="6" applyNumberFormat="1" applyFont="1" applyFill="1" applyBorder="1" applyAlignment="1" applyProtection="1">
      <alignment horizontal="center"/>
    </xf>
    <xf numFmtId="9" fontId="11" fillId="0" borderId="602" xfId="3" applyFont="1" applyFill="1" applyBorder="1" applyAlignment="1">
      <alignment horizontal="center" vertical="center"/>
    </xf>
    <xf numFmtId="3" fontId="69" fillId="26" borderId="533" xfId="6" applyNumberFormat="1" applyFont="1" applyFill="1" applyBorder="1" applyAlignment="1" applyProtection="1">
      <alignment horizontal="center"/>
      <protection locked="0"/>
    </xf>
    <xf numFmtId="3" fontId="18" fillId="0" borderId="533" xfId="6" applyNumberFormat="1" applyFont="1" applyFill="1" applyBorder="1" applyAlignment="1" applyProtection="1">
      <alignment horizontal="center"/>
    </xf>
    <xf numFmtId="0" fontId="37" fillId="2" borderId="0" xfId="0" applyFont="1" applyFill="1" applyBorder="1" applyAlignment="1" applyProtection="1">
      <alignment horizontal="center" vertical="center"/>
    </xf>
    <xf numFmtId="0" fontId="0" fillId="0" borderId="0" xfId="0" applyFont="1" applyAlignment="1" applyProtection="1">
      <alignment horizontal="center"/>
    </xf>
    <xf numFmtId="0" fontId="21" fillId="24" borderId="329" xfId="0" quotePrefix="1" applyFont="1" applyFill="1" applyBorder="1" applyAlignment="1" applyProtection="1">
      <alignment vertical="center"/>
    </xf>
    <xf numFmtId="0" fontId="26" fillId="0" borderId="0" xfId="0" applyFont="1" applyAlignment="1"/>
    <xf numFmtId="0" fontId="0" fillId="9" borderId="1165" xfId="0" applyFont="1" applyFill="1" applyBorder="1" applyAlignment="1" applyProtection="1">
      <alignment vertical="center"/>
    </xf>
    <xf numFmtId="0" fontId="38" fillId="9" borderId="1165" xfId="0" applyFont="1" applyFill="1" applyBorder="1" applyAlignment="1" applyProtection="1">
      <alignment horizontal="center" vertical="center" wrapText="1"/>
    </xf>
    <xf numFmtId="0" fontId="0" fillId="0" borderId="0" xfId="0" applyFont="1" applyBorder="1" applyAlignment="1" applyProtection="1"/>
    <xf numFmtId="0" fontId="0" fillId="0" borderId="0" xfId="0" applyFont="1" applyBorder="1" applyAlignment="1"/>
    <xf numFmtId="0" fontId="21" fillId="24" borderId="1174" xfId="0" quotePrefix="1" applyFont="1" applyFill="1" applyBorder="1" applyAlignment="1" applyProtection="1">
      <alignment vertical="center"/>
    </xf>
    <xf numFmtId="0" fontId="0" fillId="26" borderId="1178" xfId="0" applyFont="1" applyFill="1" applyBorder="1" applyAlignment="1" applyProtection="1">
      <alignment vertical="center" wrapText="1"/>
      <protection locked="0"/>
    </xf>
    <xf numFmtId="0" fontId="0" fillId="26" borderId="1178" xfId="0" applyFont="1" applyFill="1" applyBorder="1" applyAlignment="1" applyProtection="1">
      <alignment horizontal="center" vertical="center" wrapText="1"/>
      <protection locked="0"/>
    </xf>
    <xf numFmtId="0" fontId="0" fillId="26" borderId="0" xfId="0" applyFont="1" applyFill="1" applyBorder="1" applyAlignment="1" applyProtection="1">
      <alignment horizontal="center" vertical="center" wrapText="1"/>
      <protection locked="0"/>
    </xf>
    <xf numFmtId="0" fontId="0" fillId="26" borderId="1181" xfId="0" applyFont="1" applyFill="1" applyBorder="1" applyAlignment="1" applyProtection="1">
      <alignment vertical="center" wrapText="1"/>
      <protection locked="0"/>
    </xf>
    <xf numFmtId="0" fontId="0" fillId="26" borderId="1181" xfId="0" applyFont="1" applyFill="1" applyBorder="1" applyAlignment="1" applyProtection="1">
      <alignment horizontal="center" vertical="center" wrapText="1"/>
      <protection locked="0"/>
    </xf>
    <xf numFmtId="0" fontId="0" fillId="26" borderId="1182" xfId="0" applyFont="1" applyFill="1" applyBorder="1" applyAlignment="1" applyProtection="1">
      <alignment vertical="center" wrapText="1"/>
      <protection locked="0"/>
    </xf>
    <xf numFmtId="0" fontId="0" fillId="26" borderId="1182" xfId="0" applyFont="1" applyFill="1" applyBorder="1" applyAlignment="1" applyProtection="1">
      <alignment horizontal="center" vertical="center" wrapText="1"/>
      <protection locked="0"/>
    </xf>
    <xf numFmtId="0" fontId="21" fillId="24" borderId="1191" xfId="0" quotePrefix="1" applyFont="1" applyFill="1" applyBorder="1" applyAlignment="1" applyProtection="1">
      <alignment vertical="center"/>
    </xf>
    <xf numFmtId="0" fontId="0" fillId="26" borderId="1179" xfId="0" applyFont="1" applyFill="1" applyBorder="1" applyAlignment="1" applyProtection="1">
      <alignment horizontal="center" vertical="center" wrapText="1"/>
      <protection locked="0"/>
    </xf>
    <xf numFmtId="0" fontId="0" fillId="26" borderId="1180" xfId="0" applyFont="1" applyFill="1" applyBorder="1" applyAlignment="1" applyProtection="1">
      <alignment horizontal="center" vertical="center" wrapText="1"/>
      <protection locked="0"/>
    </xf>
    <xf numFmtId="9" fontId="35" fillId="0" borderId="0" xfId="14" applyFont="1" applyFill="1" applyBorder="1" applyAlignment="1" applyProtection="1">
      <alignment horizontal="center" vertical="center"/>
    </xf>
    <xf numFmtId="0" fontId="24" fillId="0" borderId="251" xfId="2" applyFont="1" applyFill="1" applyBorder="1" applyAlignment="1" applyProtection="1">
      <alignment horizontal="left" vertical="center"/>
    </xf>
    <xf numFmtId="0" fontId="35" fillId="0" borderId="0" xfId="2" applyFont="1" applyFill="1" applyBorder="1" applyProtection="1"/>
    <xf numFmtId="0" fontId="35" fillId="0" borderId="0" xfId="2" applyFont="1" applyFill="1" applyBorder="1"/>
    <xf numFmtId="9" fontId="134" fillId="0" borderId="0" xfId="14" applyFont="1" applyFill="1" applyBorder="1" applyAlignment="1" applyProtection="1">
      <alignment horizontal="center" vertical="center"/>
    </xf>
    <xf numFmtId="0" fontId="26" fillId="9" borderId="1202" xfId="0" applyFont="1" applyFill="1" applyBorder="1" applyAlignment="1" applyProtection="1">
      <alignment horizontal="center" vertical="center"/>
    </xf>
    <xf numFmtId="0" fontId="0" fillId="9" borderId="1202" xfId="0" applyFont="1" applyFill="1" applyBorder="1" applyAlignment="1" applyProtection="1">
      <alignment vertical="center"/>
    </xf>
    <xf numFmtId="0" fontId="38" fillId="9" borderId="1202" xfId="0" applyFont="1" applyFill="1" applyBorder="1" applyAlignment="1" applyProtection="1">
      <alignment horizontal="center" vertical="center" wrapText="1"/>
    </xf>
    <xf numFmtId="0" fontId="0" fillId="26" borderId="1204" xfId="0" applyFont="1" applyFill="1" applyBorder="1" applyAlignment="1" applyProtection="1">
      <alignment horizontal="center" vertical="center" wrapText="1"/>
      <protection locked="0"/>
    </xf>
    <xf numFmtId="0" fontId="0" fillId="26" borderId="1204" xfId="0" applyFont="1" applyFill="1" applyBorder="1" applyAlignment="1" applyProtection="1">
      <alignment vertical="center" wrapText="1"/>
      <protection locked="0"/>
    </xf>
    <xf numFmtId="0" fontId="0" fillId="26" borderId="1181" xfId="0" applyFont="1" applyFill="1" applyBorder="1" applyAlignment="1" applyProtection="1">
      <alignment vertical="center"/>
      <protection locked="0"/>
    </xf>
    <xf numFmtId="0" fontId="37" fillId="2" borderId="443" xfId="0" applyFont="1" applyFill="1" applyBorder="1" applyAlignment="1" applyProtection="1"/>
    <xf numFmtId="3" fontId="25" fillId="7" borderId="539" xfId="6" applyNumberFormat="1" applyFont="1" applyFill="1" applyBorder="1" applyAlignment="1" applyProtection="1">
      <alignment horizontal="center" vertical="center" wrapText="1"/>
    </xf>
    <xf numFmtId="0" fontId="25" fillId="7" borderId="539" xfId="6" applyFont="1" applyFill="1" applyBorder="1" applyAlignment="1" applyProtection="1">
      <alignment horizontal="center" vertical="center" wrapText="1"/>
    </xf>
    <xf numFmtId="1" fontId="17" fillId="25" borderId="533" xfId="6" applyNumberFormat="1" applyFont="1" applyFill="1" applyBorder="1" applyAlignment="1" applyProtection="1">
      <alignment horizontal="center"/>
    </xf>
    <xf numFmtId="3" fontId="11" fillId="26" borderId="533" xfId="6" applyNumberFormat="1" applyFont="1" applyFill="1" applyBorder="1" applyAlignment="1" applyProtection="1">
      <alignment horizontal="center" vertical="center"/>
      <protection locked="0"/>
    </xf>
    <xf numFmtId="3" fontId="11" fillId="26" borderId="560" xfId="6" applyNumberFormat="1" applyFont="1" applyFill="1" applyBorder="1" applyAlignment="1" applyProtection="1">
      <alignment horizontal="center" vertical="center"/>
      <protection locked="0"/>
    </xf>
    <xf numFmtId="3" fontId="11" fillId="26" borderId="560" xfId="6" applyNumberFormat="1" applyFont="1" applyFill="1" applyBorder="1" applyAlignment="1" applyProtection="1">
      <alignment horizontal="center"/>
      <protection locked="0"/>
    </xf>
    <xf numFmtId="1" fontId="11" fillId="26" borderId="533" xfId="6" applyNumberFormat="1" applyFont="1" applyFill="1" applyBorder="1" applyAlignment="1" applyProtection="1">
      <alignment horizontal="center"/>
      <protection locked="0"/>
    </xf>
    <xf numFmtId="1" fontId="11" fillId="26" borderId="560" xfId="6" applyNumberFormat="1" applyFont="1" applyFill="1" applyBorder="1" applyAlignment="1" applyProtection="1">
      <alignment horizontal="center"/>
      <protection locked="0"/>
    </xf>
    <xf numFmtId="1" fontId="0" fillId="26" borderId="533" xfId="6" applyNumberFormat="1" applyFont="1" applyFill="1" applyBorder="1" applyAlignment="1" applyProtection="1">
      <alignment horizontal="center"/>
      <protection locked="0"/>
    </xf>
    <xf numFmtId="3" fontId="97" fillId="8" borderId="894" xfId="6" applyNumberFormat="1" applyFont="1" applyFill="1" applyBorder="1" applyAlignment="1" applyProtection="1">
      <alignment horizontal="center" vertical="center"/>
    </xf>
    <xf numFmtId="1" fontId="11" fillId="0" borderId="1048" xfId="6" applyNumberFormat="1" applyFont="1" applyFill="1" applyBorder="1" applyAlignment="1" applyProtection="1">
      <alignment horizontal="center" vertical="center"/>
    </xf>
    <xf numFmtId="1" fontId="11" fillId="0" borderId="1049" xfId="6" applyNumberFormat="1" applyFont="1" applyFill="1" applyBorder="1" applyAlignment="1" applyProtection="1">
      <alignment horizontal="center" vertical="center"/>
    </xf>
    <xf numFmtId="1" fontId="11" fillId="0" borderId="530" xfId="6" applyNumberFormat="1" applyFont="1" applyFill="1" applyBorder="1" applyAlignment="1" applyProtection="1">
      <alignment horizontal="center" vertical="center"/>
    </xf>
    <xf numFmtId="1" fontId="11" fillId="0" borderId="551" xfId="6" applyNumberFormat="1" applyFont="1" applyFill="1" applyBorder="1" applyAlignment="1" applyProtection="1">
      <alignment horizontal="center" vertical="center"/>
    </xf>
    <xf numFmtId="1" fontId="97" fillId="0" borderId="894" xfId="6" applyNumberFormat="1" applyFont="1" applyBorder="1" applyAlignment="1" applyProtection="1">
      <alignment horizontal="center"/>
    </xf>
    <xf numFmtId="1" fontId="129" fillId="0" borderId="533" xfId="6" applyNumberFormat="1" applyFont="1" applyFill="1" applyBorder="1" applyAlignment="1" applyProtection="1">
      <alignment horizontal="center"/>
    </xf>
    <xf numFmtId="1" fontId="99" fillId="0" borderId="533" xfId="6" applyNumberFormat="1" applyFont="1" applyFill="1" applyBorder="1" applyAlignment="1" applyProtection="1">
      <alignment horizontal="center"/>
    </xf>
    <xf numFmtId="1" fontId="99" fillId="0" borderId="560" xfId="6" applyNumberFormat="1" applyFont="1" applyFill="1" applyBorder="1" applyAlignment="1" applyProtection="1">
      <alignment horizontal="center"/>
    </xf>
    <xf numFmtId="1" fontId="101" fillId="0" borderId="894" xfId="6" applyNumberFormat="1" applyFont="1" applyBorder="1" applyAlignment="1" applyProtection="1">
      <alignment horizontal="center" vertical="center"/>
    </xf>
    <xf numFmtId="1" fontId="17" fillId="0" borderId="533" xfId="6" applyNumberFormat="1" applyFont="1" applyBorder="1" applyAlignment="1" applyProtection="1">
      <alignment horizontal="center" vertical="center" wrapText="1"/>
    </xf>
    <xf numFmtId="1" fontId="102" fillId="0" borderId="894" xfId="66" applyNumberFormat="1" applyFont="1" applyBorder="1" applyAlignment="1" applyProtection="1">
      <alignment horizontal="center" vertical="center" wrapText="1"/>
    </xf>
    <xf numFmtId="3" fontId="102" fillId="0" borderId="536" xfId="66" applyNumberFormat="1" applyFont="1" applyBorder="1" applyAlignment="1" applyProtection="1">
      <alignment horizontal="center" vertical="center" wrapText="1"/>
    </xf>
    <xf numFmtId="3" fontId="102" fillId="0" borderId="588" xfId="66" applyNumberFormat="1" applyFont="1" applyBorder="1" applyAlignment="1" applyProtection="1">
      <alignment horizontal="center" vertical="center" wrapText="1"/>
    </xf>
    <xf numFmtId="3" fontId="103" fillId="0" borderId="562" xfId="6" applyNumberFormat="1" applyFont="1" applyBorder="1" applyAlignment="1" applyProtection="1">
      <alignment horizontal="center" vertical="center"/>
    </xf>
    <xf numFmtId="3" fontId="103" fillId="0" borderId="601" xfId="6" applyNumberFormat="1" applyFont="1" applyBorder="1" applyAlignment="1" applyProtection="1">
      <alignment horizontal="center" vertical="center"/>
    </xf>
    <xf numFmtId="3" fontId="103" fillId="0" borderId="895" xfId="6" applyNumberFormat="1" applyFont="1" applyBorder="1" applyAlignment="1" applyProtection="1">
      <alignment horizontal="center" vertical="center"/>
    </xf>
    <xf numFmtId="1" fontId="51" fillId="0" borderId="533" xfId="14" applyNumberFormat="1" applyFont="1" applyFill="1" applyBorder="1" applyAlignment="1" applyProtection="1">
      <alignment horizontal="center"/>
    </xf>
    <xf numFmtId="1" fontId="103" fillId="0" borderId="894" xfId="6" applyNumberFormat="1" applyFont="1" applyBorder="1" applyAlignment="1" applyProtection="1">
      <alignment horizontal="center"/>
    </xf>
    <xf numFmtId="3" fontId="18" fillId="0" borderId="599" xfId="6" applyNumberFormat="1" applyFont="1" applyFill="1" applyBorder="1" applyAlignment="1" applyProtection="1">
      <alignment horizontal="center" vertical="center"/>
    </xf>
    <xf numFmtId="1" fontId="0" fillId="0" borderId="533" xfId="6" applyNumberFormat="1" applyFont="1" applyBorder="1" applyAlignment="1" applyProtection="1">
      <alignment horizontal="center" vertical="center"/>
    </xf>
    <xf numFmtId="1" fontId="16" fillId="0" borderId="898" xfId="66" applyNumberFormat="1" applyFont="1" applyBorder="1" applyAlignment="1" applyProtection="1">
      <alignment horizontal="center" vertical="center"/>
    </xf>
    <xf numFmtId="1" fontId="16" fillId="0" borderId="894" xfId="66" applyNumberFormat="1" applyFont="1" applyBorder="1" applyAlignment="1" applyProtection="1">
      <alignment horizontal="center" vertical="center"/>
    </xf>
    <xf numFmtId="1" fontId="16" fillId="0" borderId="899" xfId="66" applyNumberFormat="1" applyFont="1" applyBorder="1" applyAlignment="1" applyProtection="1">
      <alignment horizontal="center" vertical="center"/>
    </xf>
    <xf numFmtId="3" fontId="69" fillId="0" borderId="533" xfId="6" applyNumberFormat="1" applyFont="1" applyFill="1" applyBorder="1" applyAlignment="1" applyProtection="1">
      <alignment horizontal="center" vertical="center"/>
      <protection locked="0"/>
    </xf>
    <xf numFmtId="9" fontId="18" fillId="0" borderId="533" xfId="14" applyFont="1" applyFill="1" applyBorder="1" applyAlignment="1" applyProtection="1">
      <alignment horizontal="center"/>
    </xf>
    <xf numFmtId="9" fontId="18" fillId="0" borderId="596" xfId="14" applyFont="1" applyFill="1" applyBorder="1" applyAlignment="1" applyProtection="1">
      <alignment horizontal="center"/>
    </xf>
    <xf numFmtId="1" fontId="11" fillId="0" borderId="564" xfId="6" applyNumberFormat="1" applyFont="1" applyFill="1" applyBorder="1" applyAlignment="1" applyProtection="1">
      <alignment horizontal="center" vertical="center"/>
    </xf>
    <xf numFmtId="9" fontId="18" fillId="0" borderId="533" xfId="14" applyFont="1" applyFill="1" applyBorder="1" applyAlignment="1" applyProtection="1">
      <alignment horizontal="center" vertical="center"/>
    </xf>
    <xf numFmtId="9" fontId="18" fillId="0" borderId="596" xfId="14" applyFont="1" applyFill="1" applyBorder="1" applyAlignment="1" applyProtection="1">
      <alignment horizontal="center" vertical="center"/>
    </xf>
    <xf numFmtId="1" fontId="11" fillId="0" borderId="1047" xfId="6" applyNumberFormat="1" applyFont="1" applyFill="1" applyBorder="1" applyAlignment="1" applyProtection="1">
      <alignment horizontal="center" vertical="center"/>
    </xf>
    <xf numFmtId="1" fontId="18" fillId="0" borderId="533" xfId="6" applyNumberFormat="1" applyFont="1" applyFill="1" applyBorder="1" applyAlignment="1" applyProtection="1">
      <alignment horizontal="center"/>
    </xf>
    <xf numFmtId="3" fontId="125" fillId="0" borderId="530" xfId="6" applyNumberFormat="1" applyFont="1" applyFill="1" applyBorder="1" applyAlignment="1" applyProtection="1">
      <alignment horizontal="center"/>
    </xf>
    <xf numFmtId="1" fontId="17" fillId="0" borderId="533" xfId="6" applyNumberFormat="1" applyFont="1" applyFill="1" applyBorder="1" applyAlignment="1" applyProtection="1">
      <alignment horizontal="center" vertical="center" wrapText="1"/>
    </xf>
    <xf numFmtId="1" fontId="17" fillId="0" borderId="560" xfId="6" applyNumberFormat="1" applyFont="1" applyFill="1" applyBorder="1" applyAlignment="1" applyProtection="1">
      <alignment horizontal="center" vertical="center" wrapText="1"/>
    </xf>
    <xf numFmtId="1" fontId="22" fillId="0" borderId="533" xfId="14" applyNumberFormat="1" applyFont="1" applyFill="1" applyBorder="1" applyAlignment="1" applyProtection="1">
      <alignment horizontal="center" vertical="center" wrapText="1"/>
      <protection locked="0"/>
    </xf>
    <xf numFmtId="1" fontId="17" fillId="0" borderId="533" xfId="6" applyNumberFormat="1" applyFont="1" applyFill="1" applyBorder="1" applyAlignment="1" applyProtection="1">
      <alignment horizontal="center"/>
    </xf>
    <xf numFmtId="1" fontId="17" fillId="0" borderId="560" xfId="6" applyNumberFormat="1" applyFont="1" applyFill="1" applyBorder="1" applyAlignment="1" applyProtection="1">
      <alignment horizontal="center"/>
    </xf>
    <xf numFmtId="1" fontId="97" fillId="0" borderId="894" xfId="6" applyNumberFormat="1" applyFont="1" applyBorder="1" applyAlignment="1" applyProtection="1">
      <alignment horizontal="center" vertical="center"/>
    </xf>
    <xf numFmtId="1" fontId="51" fillId="0" borderId="533" xfId="6" applyNumberFormat="1" applyFont="1" applyFill="1" applyBorder="1" applyAlignment="1">
      <alignment horizontal="center"/>
    </xf>
    <xf numFmtId="1" fontId="97" fillId="0" borderId="894" xfId="6" applyNumberFormat="1" applyFont="1" applyBorder="1" applyAlignment="1">
      <alignment horizontal="center"/>
    </xf>
    <xf numFmtId="3" fontId="51" fillId="0" borderId="530" xfId="6" applyNumberFormat="1" applyFont="1" applyFill="1" applyBorder="1" applyAlignment="1">
      <alignment horizontal="center"/>
    </xf>
    <xf numFmtId="3" fontId="97" fillId="0" borderId="530" xfId="6" applyNumberFormat="1" applyFont="1" applyFill="1" applyBorder="1" applyAlignment="1">
      <alignment horizontal="center"/>
    </xf>
    <xf numFmtId="3" fontId="97" fillId="0" borderId="587" xfId="6" applyNumberFormat="1" applyFont="1" applyFill="1" applyBorder="1" applyAlignment="1">
      <alignment horizontal="center"/>
    </xf>
    <xf numFmtId="3" fontId="97" fillId="0" borderId="893" xfId="6" applyNumberFormat="1" applyFont="1" applyBorder="1" applyAlignment="1">
      <alignment horizontal="center"/>
    </xf>
    <xf numFmtId="9" fontId="16" fillId="0" borderId="532" xfId="3" applyFont="1" applyFill="1" applyBorder="1" applyAlignment="1">
      <alignment horizontal="center"/>
    </xf>
    <xf numFmtId="9" fontId="97" fillId="0" borderId="561" xfId="3" applyFont="1" applyBorder="1" applyAlignment="1">
      <alignment horizontal="center"/>
    </xf>
    <xf numFmtId="0" fontId="96" fillId="0" borderId="547" xfId="2" applyFont="1" applyFill="1" applyBorder="1" applyAlignment="1" applyProtection="1">
      <alignment vertical="center"/>
    </xf>
    <xf numFmtId="3" fontId="51" fillId="0" borderId="533" xfId="14" applyNumberFormat="1" applyFont="1" applyFill="1" applyBorder="1" applyAlignment="1" applyProtection="1">
      <alignment horizontal="center"/>
    </xf>
    <xf numFmtId="0" fontId="16" fillId="7" borderId="1213" xfId="6" applyFont="1" applyFill="1" applyBorder="1" applyAlignment="1" applyProtection="1">
      <alignment horizontal="center" vertical="center"/>
    </xf>
    <xf numFmtId="0" fontId="16" fillId="7" borderId="1214" xfId="6" applyFont="1" applyFill="1" applyBorder="1" applyAlignment="1" applyProtection="1">
      <alignment horizontal="center" vertical="center"/>
    </xf>
    <xf numFmtId="0" fontId="24" fillId="7" borderId="1215" xfId="6" applyFont="1" applyFill="1" applyBorder="1" applyAlignment="1" applyProtection="1">
      <alignment horizontal="center" vertical="center" wrapText="1"/>
    </xf>
    <xf numFmtId="0" fontId="0" fillId="0" borderId="77" xfId="6" applyFont="1" applyBorder="1" applyProtection="1"/>
    <xf numFmtId="0" fontId="0" fillId="0" borderId="30" xfId="6" applyFont="1" applyBorder="1" applyProtection="1"/>
    <xf numFmtId="9" fontId="17" fillId="0" borderId="1220" xfId="14" applyFont="1" applyFill="1" applyBorder="1" applyAlignment="1" applyProtection="1">
      <alignment horizontal="center"/>
    </xf>
    <xf numFmtId="0" fontId="11" fillId="0" borderId="0" xfId="6" applyFont="1" applyBorder="1" applyAlignment="1" applyProtection="1">
      <alignment vertical="center"/>
    </xf>
    <xf numFmtId="0" fontId="0" fillId="0" borderId="30" xfId="6" applyFont="1" applyBorder="1" applyAlignment="1" applyProtection="1">
      <alignment horizontal="center" vertical="center"/>
    </xf>
    <xf numFmtId="0" fontId="0" fillId="0" borderId="0" xfId="6" applyFont="1" applyBorder="1" applyAlignment="1" applyProtection="1">
      <alignment horizontal="center" vertical="center"/>
    </xf>
    <xf numFmtId="0" fontId="0" fillId="0" borderId="30" xfId="6" applyFont="1" applyFill="1" applyBorder="1" applyAlignment="1" applyProtection="1">
      <alignment horizontal="center" vertical="center"/>
    </xf>
    <xf numFmtId="0" fontId="1" fillId="0" borderId="30" xfId="6" applyFont="1" applyBorder="1" applyProtection="1"/>
    <xf numFmtId="0" fontId="1" fillId="0" borderId="0" xfId="6" applyFont="1" applyBorder="1" applyProtection="1"/>
    <xf numFmtId="0" fontId="0" fillId="0" borderId="0" xfId="6" applyFont="1" applyBorder="1" applyAlignment="1" applyProtection="1">
      <alignment vertical="center"/>
    </xf>
    <xf numFmtId="9" fontId="17" fillId="0" borderId="542" xfId="14" applyFont="1" applyFill="1" applyBorder="1" applyAlignment="1" applyProtection="1">
      <alignment horizontal="center"/>
    </xf>
    <xf numFmtId="9" fontId="17" fillId="0" borderId="894" xfId="14" applyFont="1" applyFill="1" applyBorder="1" applyAlignment="1" applyProtection="1">
      <alignment horizontal="center"/>
    </xf>
    <xf numFmtId="3" fontId="162" fillId="0" borderId="894" xfId="66" applyNumberFormat="1" applyFont="1" applyBorder="1" applyAlignment="1" applyProtection="1">
      <alignment horizontal="center" vertical="center" wrapText="1"/>
    </xf>
    <xf numFmtId="3" fontId="162" fillId="0" borderId="896" xfId="66" applyNumberFormat="1" applyFont="1" applyBorder="1" applyAlignment="1" applyProtection="1">
      <alignment horizontal="center" vertical="center" wrapText="1"/>
    </xf>
    <xf numFmtId="0" fontId="25" fillId="0" borderId="1227" xfId="6" applyFont="1" applyFill="1" applyBorder="1" applyAlignment="1" applyProtection="1">
      <alignment horizontal="center" vertical="center"/>
    </xf>
    <xf numFmtId="9" fontId="17" fillId="0" borderId="1228" xfId="14" applyFont="1" applyFill="1" applyBorder="1" applyAlignment="1" applyProtection="1">
      <alignment horizontal="center"/>
    </xf>
    <xf numFmtId="9" fontId="17" fillId="0" borderId="1229" xfId="14" applyFont="1" applyFill="1" applyBorder="1" applyAlignment="1" applyProtection="1">
      <alignment horizontal="center"/>
    </xf>
    <xf numFmtId="3" fontId="0" fillId="0" borderId="696" xfId="6" applyNumberFormat="1" applyFont="1" applyBorder="1" applyAlignment="1" applyProtection="1">
      <alignment vertical="center" wrapText="1"/>
    </xf>
    <xf numFmtId="3" fontId="0" fillId="0" borderId="0" xfId="6" applyNumberFormat="1" applyFont="1" applyBorder="1" applyAlignment="1" applyProtection="1">
      <alignment vertical="center"/>
    </xf>
    <xf numFmtId="3" fontId="0" fillId="0" borderId="699" xfId="6" applyNumberFormat="1" applyFont="1" applyBorder="1" applyAlignment="1" applyProtection="1">
      <alignment vertical="center"/>
    </xf>
    <xf numFmtId="3" fontId="11" fillId="0" borderId="570" xfId="6" applyNumberFormat="1" applyFont="1" applyBorder="1" applyAlignment="1" applyProtection="1">
      <alignment vertical="center"/>
    </xf>
    <xf numFmtId="3" fontId="107" fillId="0" borderId="903" xfId="6" applyNumberFormat="1" applyFont="1" applyBorder="1" applyAlignment="1" applyProtection="1">
      <alignment horizontal="center" vertical="center"/>
    </xf>
    <xf numFmtId="9" fontId="17" fillId="0" borderId="1162" xfId="14" applyFont="1" applyFill="1" applyBorder="1" applyAlignment="1" applyProtection="1">
      <alignment horizontal="center"/>
    </xf>
    <xf numFmtId="9" fontId="17" fillId="0" borderId="1163" xfId="14" applyFont="1" applyFill="1" applyBorder="1" applyAlignment="1" applyProtection="1">
      <alignment horizontal="center"/>
    </xf>
    <xf numFmtId="3" fontId="97" fillId="25" borderId="559" xfId="6" applyNumberFormat="1" applyFont="1" applyFill="1" applyBorder="1" applyAlignment="1" applyProtection="1">
      <alignment horizontal="center" vertical="center"/>
    </xf>
    <xf numFmtId="3" fontId="97" fillId="25" borderId="600" xfId="6" applyNumberFormat="1" applyFont="1" applyFill="1" applyBorder="1" applyAlignment="1" applyProtection="1">
      <alignment horizontal="center" vertical="center"/>
    </xf>
    <xf numFmtId="3" fontId="25" fillId="7" borderId="1055" xfId="6" applyNumberFormat="1" applyFont="1" applyFill="1" applyBorder="1" applyAlignment="1" applyProtection="1">
      <alignment horizontal="center" vertical="center" wrapText="1"/>
    </xf>
    <xf numFmtId="3" fontId="0" fillId="0" borderId="0" xfId="6" applyNumberFormat="1" applyFont="1" applyBorder="1" applyAlignment="1">
      <alignment vertical="center"/>
    </xf>
    <xf numFmtId="3" fontId="0" fillId="0" borderId="534" xfId="6" applyNumberFormat="1" applyFont="1" applyBorder="1" applyAlignment="1" applyProtection="1">
      <alignment horizontal="center" vertical="center"/>
    </xf>
    <xf numFmtId="0" fontId="0" fillId="0" borderId="696" xfId="6" applyFont="1" applyBorder="1" applyAlignment="1" applyProtection="1">
      <alignment vertical="center" wrapText="1"/>
    </xf>
    <xf numFmtId="0" fontId="25" fillId="0" borderId="1230" xfId="6" applyFont="1" applyFill="1" applyBorder="1" applyAlignment="1" applyProtection="1">
      <alignment horizontal="center" vertical="center"/>
    </xf>
    <xf numFmtId="0" fontId="25" fillId="0" borderId="1231" xfId="6" applyFont="1" applyFill="1" applyBorder="1" applyAlignment="1" applyProtection="1">
      <alignment horizontal="center" vertical="center"/>
    </xf>
    <xf numFmtId="0" fontId="0" fillId="0" borderId="699" xfId="6" applyFont="1" applyBorder="1" applyAlignment="1" applyProtection="1">
      <alignment vertical="center"/>
    </xf>
    <xf numFmtId="0" fontId="11" fillId="0" borderId="570" xfId="6" applyFont="1" applyBorder="1" applyAlignment="1" applyProtection="1">
      <alignment vertical="center"/>
    </xf>
    <xf numFmtId="0" fontId="17" fillId="67" borderId="534" xfId="6" applyFont="1" applyFill="1" applyBorder="1" applyAlignment="1" applyProtection="1">
      <alignment horizontal="center" vertical="center" wrapText="1"/>
    </xf>
    <xf numFmtId="3" fontId="11" fillId="0" borderId="22" xfId="6" applyNumberFormat="1" applyFont="1" applyBorder="1" applyAlignment="1" applyProtection="1">
      <alignment horizontal="center" vertical="center"/>
    </xf>
    <xf numFmtId="3" fontId="16" fillId="7" borderId="1233" xfId="6" applyNumberFormat="1" applyFont="1" applyFill="1" applyBorder="1" applyAlignment="1" applyProtection="1">
      <alignment horizontal="center" vertical="center"/>
    </xf>
    <xf numFmtId="3" fontId="16" fillId="7" borderId="1232" xfId="6" applyNumberFormat="1" applyFont="1" applyFill="1" applyBorder="1" applyAlignment="1" applyProtection="1">
      <alignment horizontal="center" vertical="center"/>
    </xf>
    <xf numFmtId="3" fontId="1" fillId="7" borderId="1237" xfId="6" applyNumberFormat="1" applyFont="1" applyFill="1" applyBorder="1" applyAlignment="1" applyProtection="1">
      <alignment horizontal="center" vertical="center"/>
    </xf>
    <xf numFmtId="3" fontId="1" fillId="7" borderId="1238" xfId="6" applyNumberFormat="1" applyFont="1" applyFill="1" applyBorder="1" applyAlignment="1" applyProtection="1">
      <alignment horizontal="center" vertical="center"/>
    </xf>
    <xf numFmtId="9" fontId="18" fillId="0" borderId="1240" xfId="3" applyFont="1" applyFill="1" applyBorder="1" applyAlignment="1" applyProtection="1">
      <alignment horizontal="center"/>
    </xf>
    <xf numFmtId="9" fontId="18" fillId="0" borderId="1221" xfId="3" applyFont="1" applyFill="1" applyBorder="1" applyAlignment="1" applyProtection="1">
      <alignment horizontal="center"/>
    </xf>
    <xf numFmtId="9" fontId="97" fillId="0" borderId="1221" xfId="3" applyFont="1" applyBorder="1" applyAlignment="1" applyProtection="1">
      <alignment horizontal="center"/>
    </xf>
    <xf numFmtId="3" fontId="11" fillId="0" borderId="1241" xfId="14" applyNumberFormat="1" applyFont="1" applyFill="1" applyBorder="1" applyAlignment="1" applyProtection="1">
      <alignment horizontal="center"/>
    </xf>
    <xf numFmtId="3" fontId="11" fillId="0" borderId="1243" xfId="6" applyNumberFormat="1" applyFont="1" applyBorder="1" applyProtection="1"/>
    <xf numFmtId="9" fontId="11" fillId="0" borderId="1247" xfId="3" applyFont="1" applyFill="1" applyBorder="1" applyAlignment="1">
      <alignment horizontal="center" vertical="center"/>
    </xf>
    <xf numFmtId="3" fontId="11" fillId="0" borderId="1248" xfId="6" applyNumberFormat="1" applyFont="1" applyFill="1" applyBorder="1" applyAlignment="1" applyProtection="1">
      <alignment horizontal="center" vertical="center"/>
    </xf>
    <xf numFmtId="0" fontId="0" fillId="0" borderId="0" xfId="0" applyFont="1" applyBorder="1" applyAlignment="1" applyProtection="1">
      <alignment horizontal="center"/>
    </xf>
    <xf numFmtId="171" fontId="52" fillId="40" borderId="360" xfId="4" applyNumberFormat="1" applyFont="1" applyFill="1" applyBorder="1" applyAlignment="1" applyProtection="1">
      <alignment horizontal="left" vertical="center" wrapText="1" readingOrder="1"/>
      <protection locked="0"/>
    </xf>
    <xf numFmtId="171" fontId="52" fillId="40" borderId="265" xfId="4" applyNumberFormat="1" applyFont="1" applyFill="1" applyBorder="1" applyAlignment="1" applyProtection="1">
      <alignment horizontal="left" vertical="center" wrapText="1" readingOrder="1"/>
      <protection locked="0"/>
    </xf>
    <xf numFmtId="171" fontId="52" fillId="40" borderId="266" xfId="4" applyNumberFormat="1" applyFont="1" applyFill="1" applyBorder="1" applyAlignment="1" applyProtection="1">
      <alignment horizontal="left" vertical="center" wrapText="1" readingOrder="1"/>
      <protection locked="0"/>
    </xf>
    <xf numFmtId="1" fontId="0" fillId="0" borderId="402" xfId="3" applyNumberFormat="1" applyFont="1" applyFill="1" applyBorder="1" applyAlignment="1" applyProtection="1">
      <alignment horizontal="center" vertical="center" wrapText="1"/>
    </xf>
    <xf numFmtId="0" fontId="0" fillId="40" borderId="812" xfId="81" applyFont="1" applyFill="1" applyBorder="1" applyAlignment="1" applyProtection="1">
      <alignment horizontal="center" vertical="center"/>
      <protection locked="0"/>
    </xf>
    <xf numFmtId="3" fontId="69" fillId="33" borderId="533" xfId="6" applyNumberFormat="1" applyFont="1" applyFill="1" applyBorder="1" applyAlignment="1" applyProtection="1">
      <alignment horizontal="center"/>
      <protection locked="0"/>
    </xf>
    <xf numFmtId="1" fontId="17" fillId="0" borderId="533" xfId="6" applyNumberFormat="1" applyFont="1" applyFill="1" applyBorder="1" applyAlignment="1">
      <alignment horizontal="center"/>
    </xf>
    <xf numFmtId="1" fontId="17" fillId="0" borderId="560" xfId="6" applyNumberFormat="1" applyFont="1" applyFill="1" applyBorder="1" applyAlignment="1">
      <alignment horizontal="center"/>
    </xf>
    <xf numFmtId="1" fontId="97" fillId="0" borderId="894" xfId="6" applyNumberFormat="1" applyFont="1" applyBorder="1" applyAlignment="1">
      <alignment horizontal="center" vertical="center"/>
    </xf>
    <xf numFmtId="1" fontId="97" fillId="0" borderId="559" xfId="6" applyNumberFormat="1" applyFont="1" applyFill="1" applyBorder="1" applyAlignment="1">
      <alignment horizontal="center"/>
    </xf>
    <xf numFmtId="1" fontId="97" fillId="0" borderId="600" xfId="6" applyNumberFormat="1" applyFont="1" applyFill="1" applyBorder="1" applyAlignment="1">
      <alignment horizontal="center"/>
    </xf>
    <xf numFmtId="3" fontId="25" fillId="0" borderId="1246" xfId="6" applyNumberFormat="1" applyFont="1" applyBorder="1" applyAlignment="1">
      <alignment horizontal="right" vertical="center"/>
    </xf>
    <xf numFmtId="3" fontId="25" fillId="0" borderId="1247" xfId="6" applyNumberFormat="1" applyFont="1" applyBorder="1" applyAlignment="1">
      <alignment horizontal="right" vertical="center"/>
    </xf>
    <xf numFmtId="3" fontId="11" fillId="0" borderId="698" xfId="6" applyNumberFormat="1" applyFont="1" applyFill="1" applyBorder="1" applyAlignment="1" applyProtection="1">
      <alignment horizontal="center"/>
    </xf>
    <xf numFmtId="3" fontId="11" fillId="0" borderId="1163" xfId="6" applyNumberFormat="1" applyFont="1" applyFill="1" applyBorder="1" applyAlignment="1" applyProtection="1">
      <alignment horizontal="center" vertical="center"/>
    </xf>
    <xf numFmtId="3" fontId="165" fillId="0" borderId="1248" xfId="6" applyNumberFormat="1" applyFont="1" applyFill="1" applyBorder="1" applyAlignment="1" applyProtection="1">
      <alignment horizontal="center" vertical="center"/>
    </xf>
    <xf numFmtId="3" fontId="166" fillId="0" borderId="1248" xfId="6" applyNumberFormat="1" applyFont="1" applyFill="1" applyBorder="1" applyAlignment="1" applyProtection="1">
      <alignment horizontal="center" vertical="center"/>
    </xf>
    <xf numFmtId="3" fontId="69" fillId="0" borderId="1097" xfId="6" applyNumberFormat="1" applyFont="1" applyFill="1" applyBorder="1" applyAlignment="1" applyProtection="1">
      <alignment horizontal="center" vertical="center"/>
    </xf>
    <xf numFmtId="3" fontId="69" fillId="0" borderId="569" xfId="6" applyNumberFormat="1" applyFont="1" applyFill="1" applyBorder="1" applyAlignment="1" applyProtection="1">
      <alignment horizontal="center" vertical="center"/>
    </xf>
    <xf numFmtId="3" fontId="69" fillId="0" borderId="1121" xfId="6" applyNumberFormat="1" applyFont="1" applyFill="1" applyBorder="1" applyAlignment="1" applyProtection="1">
      <alignment horizontal="center" vertical="center"/>
    </xf>
    <xf numFmtId="3" fontId="166" fillId="0" borderId="1250" xfId="6" applyNumberFormat="1" applyFont="1" applyFill="1" applyBorder="1" applyAlignment="1" applyProtection="1">
      <alignment horizontal="center" vertical="center"/>
    </xf>
    <xf numFmtId="3" fontId="165" fillId="0" borderId="1250" xfId="6" applyNumberFormat="1" applyFont="1" applyFill="1" applyBorder="1" applyAlignment="1" applyProtection="1">
      <alignment horizontal="center" vertical="center"/>
    </xf>
    <xf numFmtId="3" fontId="1" fillId="0" borderId="1248" xfId="6" applyNumberFormat="1" applyFont="1" applyFill="1" applyBorder="1" applyAlignment="1" applyProtection="1">
      <alignment horizontal="center" vertical="center"/>
    </xf>
    <xf numFmtId="3" fontId="1" fillId="0" borderId="1249" xfId="6" applyNumberFormat="1" applyFont="1" applyFill="1" applyBorder="1" applyAlignment="1" applyProtection="1">
      <alignment horizontal="center" vertical="center"/>
    </xf>
    <xf numFmtId="0" fontId="0" fillId="40" borderId="815" xfId="81" applyFont="1" applyFill="1" applyBorder="1" applyAlignment="1" applyProtection="1">
      <alignment vertical="center"/>
      <protection locked="0"/>
    </xf>
    <xf numFmtId="0" fontId="0" fillId="0" borderId="689" xfId="0" applyFont="1" applyBorder="1"/>
    <xf numFmtId="0" fontId="0" fillId="0" borderId="691" xfId="0" applyFont="1" applyBorder="1"/>
    <xf numFmtId="0" fontId="0" fillId="0" borderId="694" xfId="0" applyFont="1" applyBorder="1"/>
    <xf numFmtId="0" fontId="107" fillId="26" borderId="332" xfId="0" applyNumberFormat="1" applyFont="1" applyFill="1" applyBorder="1"/>
    <xf numFmtId="0" fontId="0" fillId="26" borderId="693" xfId="0" applyFont="1" applyFill="1" applyBorder="1"/>
    <xf numFmtId="0" fontId="0" fillId="26" borderId="688" xfId="0" applyFont="1" applyFill="1" applyBorder="1"/>
    <xf numFmtId="171" fontId="60" fillId="0" borderId="360" xfId="4" applyNumberFormat="1" applyFont="1" applyFill="1" applyBorder="1" applyAlignment="1" applyProtection="1">
      <alignment horizontal="center" vertical="center" wrapText="1" readingOrder="1"/>
    </xf>
    <xf numFmtId="171" fontId="60" fillId="0" borderId="361" xfId="4" applyNumberFormat="1" applyFont="1" applyFill="1" applyBorder="1" applyAlignment="1" applyProtection="1">
      <alignment horizontal="center" vertical="center" wrapText="1" readingOrder="1"/>
    </xf>
    <xf numFmtId="0" fontId="142" fillId="39" borderId="67" xfId="4" applyFont="1" applyFill="1" applyBorder="1" applyAlignment="1" applyProtection="1">
      <alignment horizontal="left" vertical="center" readingOrder="1"/>
      <protection locked="0"/>
    </xf>
    <xf numFmtId="0" fontId="142" fillId="39" borderId="68" xfId="4" applyFont="1" applyFill="1" applyBorder="1" applyAlignment="1" applyProtection="1">
      <alignment horizontal="left" vertical="center" readingOrder="1"/>
      <protection locked="0"/>
    </xf>
    <xf numFmtId="0" fontId="142" fillId="39" borderId="390" xfId="4" applyFont="1" applyFill="1" applyBorder="1" applyAlignment="1" applyProtection="1">
      <alignment horizontal="left" vertical="center" readingOrder="1"/>
      <protection locked="0"/>
    </xf>
    <xf numFmtId="0" fontId="0" fillId="0" borderId="175" xfId="0" applyFont="1" applyFill="1" applyBorder="1" applyAlignment="1" applyProtection="1">
      <alignment horizontal="left" vertical="center"/>
      <protection locked="0"/>
    </xf>
    <xf numFmtId="0" fontId="0" fillId="0" borderId="68" xfId="0" applyFont="1" applyFill="1" applyBorder="1" applyAlignment="1" applyProtection="1">
      <alignment horizontal="left" vertical="center"/>
      <protection locked="0"/>
    </xf>
    <xf numFmtId="0" fontId="0" fillId="0" borderId="69" xfId="0" applyFont="1" applyFill="1" applyBorder="1" applyAlignment="1" applyProtection="1">
      <alignment horizontal="left" vertical="center"/>
      <protection locked="0"/>
    </xf>
    <xf numFmtId="0" fontId="0" fillId="0" borderId="175" xfId="0" applyFont="1" applyFill="1" applyBorder="1" applyAlignment="1" applyProtection="1">
      <alignment horizontal="center" vertical="center"/>
      <protection locked="0"/>
    </xf>
    <xf numFmtId="0" fontId="0" fillId="0" borderId="68" xfId="0" applyFont="1" applyFill="1" applyBorder="1" applyAlignment="1" applyProtection="1">
      <alignment horizontal="center" vertical="center"/>
      <protection locked="0"/>
    </xf>
    <xf numFmtId="0" fontId="0" fillId="0" borderId="69" xfId="0" applyFont="1" applyFill="1" applyBorder="1" applyAlignment="1" applyProtection="1">
      <alignment horizontal="center" vertical="center"/>
      <protection locked="0"/>
    </xf>
    <xf numFmtId="171" fontId="135" fillId="0" borderId="175" xfId="4" applyNumberFormat="1" applyFont="1" applyFill="1" applyBorder="1" applyAlignment="1" applyProtection="1">
      <alignment horizontal="center" vertical="center" wrapText="1" readingOrder="1"/>
      <protection locked="0"/>
    </xf>
    <xf numFmtId="171" fontId="135" fillId="0" borderId="390" xfId="4" applyNumberFormat="1" applyFont="1" applyFill="1" applyBorder="1" applyAlignment="1" applyProtection="1">
      <alignment horizontal="center" vertical="center" wrapText="1" readingOrder="1"/>
      <protection locked="0"/>
    </xf>
    <xf numFmtId="3" fontId="67" fillId="0" borderId="360" xfId="2" applyNumberFormat="1" applyFont="1" applyFill="1" applyBorder="1" applyAlignment="1" applyProtection="1">
      <alignment horizontal="center" vertical="center"/>
    </xf>
    <xf numFmtId="3" fontId="67" fillId="0" borderId="867" xfId="2" applyNumberFormat="1" applyFont="1" applyFill="1" applyBorder="1" applyAlignment="1" applyProtection="1">
      <alignment horizontal="center" vertical="center"/>
    </xf>
    <xf numFmtId="3" fontId="67" fillId="0" borderId="361" xfId="2" applyNumberFormat="1" applyFont="1" applyFill="1" applyBorder="1" applyAlignment="1" applyProtection="1">
      <alignment horizontal="center" vertical="center"/>
    </xf>
    <xf numFmtId="0" fontId="67" fillId="0" borderId="866" xfId="2" applyFont="1" applyFill="1" applyBorder="1" applyAlignment="1" applyProtection="1">
      <alignment horizontal="left" vertical="center"/>
    </xf>
    <xf numFmtId="0" fontId="67" fillId="0" borderId="265" xfId="2" applyFont="1" applyFill="1" applyBorder="1" applyAlignment="1" applyProtection="1">
      <alignment horizontal="left" vertical="center"/>
    </xf>
    <xf numFmtId="0" fontId="67" fillId="0" borderId="361" xfId="2" applyFont="1" applyFill="1" applyBorder="1" applyAlignment="1" applyProtection="1">
      <alignment horizontal="left" vertical="center"/>
    </xf>
    <xf numFmtId="171" fontId="22" fillId="0" borderId="360" xfId="4" applyNumberFormat="1" applyFont="1" applyFill="1" applyBorder="1" applyAlignment="1" applyProtection="1">
      <alignment horizontal="center" vertical="center" wrapText="1" readingOrder="1"/>
    </xf>
    <xf numFmtId="171" fontId="22" fillId="0" borderId="361" xfId="4" applyNumberFormat="1" applyFont="1" applyFill="1" applyBorder="1" applyAlignment="1" applyProtection="1">
      <alignment horizontal="center" vertical="center" wrapText="1" readingOrder="1"/>
    </xf>
    <xf numFmtId="9" fontId="19" fillId="0" borderId="360" xfId="4" applyNumberFormat="1" applyFont="1" applyFill="1" applyBorder="1" applyAlignment="1" applyProtection="1">
      <alignment horizontal="center" vertical="center" wrapText="1" readingOrder="1"/>
    </xf>
    <xf numFmtId="9" fontId="19" fillId="0" borderId="361" xfId="4" applyNumberFormat="1" applyFont="1" applyFill="1" applyBorder="1" applyAlignment="1" applyProtection="1">
      <alignment horizontal="center" vertical="center" wrapText="1" readingOrder="1"/>
    </xf>
    <xf numFmtId="9" fontId="52" fillId="0" borderId="360" xfId="3" applyFont="1" applyFill="1" applyBorder="1" applyAlignment="1" applyProtection="1">
      <alignment horizontal="center" vertical="center"/>
    </xf>
    <xf numFmtId="9" fontId="52" fillId="0" borderId="361" xfId="3" applyFont="1" applyFill="1" applyBorder="1" applyAlignment="1" applyProtection="1">
      <alignment horizontal="center" vertical="center"/>
    </xf>
    <xf numFmtId="9" fontId="52" fillId="0" borderId="265" xfId="3" applyFont="1" applyFill="1" applyBorder="1" applyAlignment="1" applyProtection="1">
      <alignment horizontal="center" vertical="center"/>
    </xf>
    <xf numFmtId="9" fontId="52" fillId="0" borderId="264" xfId="3" applyFont="1" applyFill="1" applyBorder="1" applyAlignment="1" applyProtection="1">
      <alignment horizontal="center" vertical="center"/>
    </xf>
    <xf numFmtId="9" fontId="52" fillId="0" borderId="266" xfId="3" applyFont="1" applyFill="1" applyBorder="1" applyAlignment="1" applyProtection="1">
      <alignment horizontal="center" vertical="center"/>
    </xf>
    <xf numFmtId="0" fontId="60" fillId="0" borderId="866" xfId="2" applyFont="1" applyFill="1" applyBorder="1" applyAlignment="1" applyProtection="1">
      <alignment horizontal="left" vertical="center"/>
    </xf>
    <xf numFmtId="0" fontId="60" fillId="0" borderId="265" xfId="2" applyFont="1" applyFill="1" applyBorder="1" applyAlignment="1" applyProtection="1">
      <alignment horizontal="left" vertical="center"/>
    </xf>
    <xf numFmtId="0" fontId="60" fillId="0" borderId="361" xfId="2" applyFont="1" applyFill="1" applyBorder="1" applyAlignment="1" applyProtection="1">
      <alignment horizontal="left" vertical="center"/>
    </xf>
    <xf numFmtId="0" fontId="24" fillId="21" borderId="643" xfId="2" applyFont="1" applyFill="1" applyBorder="1" applyAlignment="1" applyProtection="1">
      <alignment horizontal="left" vertical="center"/>
    </xf>
    <xf numFmtId="0" fontId="168" fillId="6" borderId="39" xfId="1" applyFont="1" applyFill="1" applyBorder="1" applyAlignment="1">
      <alignment horizontal="left" vertical="center"/>
    </xf>
    <xf numFmtId="0" fontId="37" fillId="2" borderId="0" xfId="0" applyFont="1" applyFill="1" applyBorder="1" applyAlignment="1" applyProtection="1">
      <alignment horizontal="center" vertical="center"/>
    </xf>
    <xf numFmtId="3" fontId="0" fillId="26" borderId="539" xfId="6" applyNumberFormat="1" applyFont="1" applyFill="1" applyBorder="1" applyAlignment="1" applyProtection="1">
      <alignment horizontal="center" vertical="center"/>
    </xf>
    <xf numFmtId="3" fontId="22" fillId="0" borderId="0" xfId="2" applyNumberFormat="1" applyFont="1" applyAlignment="1" applyProtection="1">
      <alignment vertical="top"/>
    </xf>
    <xf numFmtId="3" fontId="52" fillId="0" borderId="0" xfId="2" applyNumberFormat="1" applyFont="1" applyFill="1" applyAlignment="1" applyProtection="1">
      <alignment horizontal="center" vertical="center"/>
    </xf>
    <xf numFmtId="3" fontId="25" fillId="0" borderId="0" xfId="6" applyNumberFormat="1" applyFont="1" applyBorder="1" applyAlignment="1">
      <alignment horizontal="right" vertical="center"/>
    </xf>
    <xf numFmtId="9" fontId="11" fillId="0" borderId="0" xfId="3" applyFont="1" applyFill="1" applyBorder="1" applyAlignment="1">
      <alignment horizontal="center" vertical="center"/>
    </xf>
    <xf numFmtId="3" fontId="165" fillId="0" borderId="0" xfId="6" applyNumberFormat="1" applyFont="1" applyFill="1" applyBorder="1" applyAlignment="1" applyProtection="1">
      <alignment horizontal="center" vertical="center"/>
    </xf>
    <xf numFmtId="3" fontId="1" fillId="0" borderId="0" xfId="6" applyNumberFormat="1" applyFont="1" applyFill="1" applyBorder="1" applyAlignment="1" applyProtection="1">
      <alignment horizontal="center" vertical="center" wrapText="1"/>
    </xf>
    <xf numFmtId="9" fontId="69" fillId="0" borderId="0" xfId="3" applyFont="1" applyFill="1" applyBorder="1" applyAlignment="1" applyProtection="1">
      <alignment horizontal="center"/>
    </xf>
    <xf numFmtId="3" fontId="22" fillId="0" borderId="0" xfId="2" applyNumberFormat="1" applyFont="1" applyAlignment="1">
      <alignment horizontal="center" vertical="center"/>
    </xf>
    <xf numFmtId="3" fontId="160" fillId="0" borderId="698" xfId="2" applyNumberFormat="1" applyFont="1" applyBorder="1" applyAlignment="1" applyProtection="1">
      <alignment vertical="center"/>
    </xf>
    <xf numFmtId="3" fontId="160" fillId="0" borderId="0" xfId="2" applyNumberFormat="1" applyFont="1" applyBorder="1" applyAlignment="1" applyProtection="1">
      <alignment vertical="center"/>
    </xf>
    <xf numFmtId="3" fontId="160" fillId="0" borderId="566" xfId="2" applyNumberFormat="1" applyFont="1" applyBorder="1" applyAlignment="1" applyProtection="1">
      <alignment vertical="center"/>
    </xf>
    <xf numFmtId="3" fontId="160" fillId="0" borderId="567" xfId="2" applyNumberFormat="1" applyFont="1" applyBorder="1" applyAlignment="1" applyProtection="1">
      <alignment vertical="center"/>
    </xf>
    <xf numFmtId="3" fontId="160" fillId="0" borderId="567" xfId="2" applyNumberFormat="1" applyFont="1" applyBorder="1" applyAlignment="1" applyProtection="1">
      <alignment horizontal="right" vertical="center"/>
    </xf>
    <xf numFmtId="3" fontId="160" fillId="0" borderId="567" xfId="2" applyNumberFormat="1" applyFont="1" applyBorder="1" applyAlignment="1" applyProtection="1">
      <alignment horizontal="center" vertical="center"/>
    </xf>
    <xf numFmtId="3" fontId="52" fillId="0" borderId="0" xfId="2" applyNumberFormat="1" applyFont="1" applyFill="1" applyProtection="1"/>
    <xf numFmtId="3" fontId="52" fillId="0" borderId="0" xfId="2" applyNumberFormat="1" applyFont="1" applyFill="1"/>
    <xf numFmtId="3" fontId="60" fillId="0" borderId="0" xfId="2" applyNumberFormat="1" applyFont="1" applyFill="1" applyAlignment="1" applyProtection="1">
      <alignment horizontal="center"/>
    </xf>
    <xf numFmtId="3" fontId="52" fillId="0" borderId="0" xfId="2" applyNumberFormat="1" applyFont="1" applyFill="1" applyAlignment="1" applyProtection="1">
      <alignment horizontal="center"/>
    </xf>
    <xf numFmtId="3" fontId="52" fillId="0" borderId="0" xfId="2" applyNumberFormat="1" applyFont="1" applyFill="1" applyAlignment="1">
      <alignment vertical="center"/>
    </xf>
    <xf numFmtId="3" fontId="169" fillId="0" borderId="0" xfId="2" applyNumberFormat="1" applyFont="1" applyFill="1" applyAlignment="1" applyProtection="1">
      <alignment horizontal="center"/>
    </xf>
    <xf numFmtId="3" fontId="52" fillId="0" borderId="0" xfId="2" applyNumberFormat="1" applyFont="1" applyFill="1" applyAlignment="1">
      <alignment horizontal="center" vertical="center"/>
    </xf>
    <xf numFmtId="3" fontId="170" fillId="0" borderId="0" xfId="2" applyNumberFormat="1" applyFont="1" applyFill="1" applyAlignment="1" applyProtection="1">
      <alignment horizontal="center"/>
    </xf>
    <xf numFmtId="3" fontId="170" fillId="0" borderId="0" xfId="2" applyNumberFormat="1" applyFont="1" applyFill="1" applyAlignment="1" applyProtection="1">
      <alignment horizontal="center" vertical="center"/>
    </xf>
    <xf numFmtId="3" fontId="169" fillId="0" borderId="0" xfId="2" applyNumberFormat="1" applyFont="1" applyFill="1" applyAlignment="1" applyProtection="1">
      <alignment horizontal="center" vertical="center"/>
    </xf>
    <xf numFmtId="3" fontId="22" fillId="0" borderId="0" xfId="2" applyNumberFormat="1" applyFont="1" applyFill="1" applyAlignment="1" applyProtection="1">
      <alignment vertical="center"/>
    </xf>
    <xf numFmtId="3" fontId="22" fillId="0" borderId="0" xfId="2" applyNumberFormat="1" applyFont="1" applyFill="1"/>
    <xf numFmtId="0" fontId="6" fillId="40" borderId="812" xfId="81" applyFont="1" applyFill="1" applyBorder="1" applyAlignment="1" applyProtection="1">
      <alignment horizontal="center" vertical="center"/>
      <protection locked="0"/>
    </xf>
    <xf numFmtId="0" fontId="0" fillId="40" borderId="812" xfId="81" applyFont="1" applyFill="1" applyBorder="1" applyAlignment="1" applyProtection="1">
      <alignment horizontal="center" vertical="center"/>
      <protection locked="0"/>
    </xf>
    <xf numFmtId="0" fontId="0" fillId="0" borderId="0" xfId="81" applyFont="1" applyBorder="1" applyAlignment="1" applyProtection="1">
      <alignment vertical="center"/>
    </xf>
    <xf numFmtId="3" fontId="11" fillId="0" borderId="0" xfId="6" applyNumberFormat="1" applyFont="1" applyFill="1" applyBorder="1" applyAlignment="1" applyProtection="1"/>
    <xf numFmtId="3" fontId="18" fillId="0" borderId="533" xfId="3" applyNumberFormat="1" applyFont="1" applyFill="1" applyBorder="1" applyAlignment="1" applyProtection="1">
      <alignment horizontal="center"/>
    </xf>
    <xf numFmtId="178" fontId="17" fillId="0" borderId="533" xfId="6" applyNumberFormat="1" applyFont="1" applyFill="1" applyBorder="1" applyAlignment="1" applyProtection="1">
      <alignment horizontal="center"/>
    </xf>
    <xf numFmtId="178" fontId="125" fillId="0" borderId="538" xfId="6" applyNumberFormat="1" applyFont="1" applyFill="1" applyBorder="1" applyAlignment="1" applyProtection="1">
      <alignment horizontal="center" vertical="center"/>
    </xf>
    <xf numFmtId="178" fontId="97" fillId="0" borderId="539" xfId="6" applyNumberFormat="1" applyFont="1" applyFill="1" applyBorder="1" applyAlignment="1" applyProtection="1">
      <alignment horizontal="center" vertical="center"/>
    </xf>
    <xf numFmtId="178" fontId="125" fillId="0" borderId="558" xfId="6" applyNumberFormat="1" applyFont="1" applyFill="1" applyBorder="1" applyAlignment="1" applyProtection="1">
      <alignment horizontal="center" vertical="center"/>
    </xf>
    <xf numFmtId="178" fontId="125" fillId="0" borderId="559" xfId="6" applyNumberFormat="1" applyFont="1" applyFill="1" applyBorder="1" applyAlignment="1" applyProtection="1">
      <alignment horizontal="center" vertical="center"/>
    </xf>
    <xf numFmtId="9" fontId="69" fillId="31" borderId="333" xfId="3" applyFont="1" applyFill="1" applyBorder="1" applyAlignment="1" applyProtection="1">
      <alignment horizontal="center" vertical="center"/>
      <protection locked="0"/>
    </xf>
    <xf numFmtId="9" fontId="16" fillId="0" borderId="532" xfId="3" applyFont="1" applyFill="1" applyBorder="1" applyAlignment="1" applyProtection="1">
      <alignment horizontal="center"/>
    </xf>
    <xf numFmtId="9" fontId="16" fillId="0" borderId="533" xfId="3" applyFont="1" applyFill="1" applyBorder="1" applyAlignment="1" applyProtection="1">
      <alignment horizontal="center"/>
    </xf>
    <xf numFmtId="3" fontId="17" fillId="67" borderId="534" xfId="6" applyNumberFormat="1" applyFont="1" applyFill="1" applyBorder="1" applyAlignment="1" applyProtection="1">
      <alignment horizontal="center" vertical="center" wrapText="1"/>
    </xf>
    <xf numFmtId="178" fontId="16" fillId="0" borderId="533" xfId="6" applyNumberFormat="1" applyFont="1" applyFill="1" applyBorder="1" applyAlignment="1" applyProtection="1">
      <alignment horizontal="center"/>
    </xf>
    <xf numFmtId="3" fontId="52" fillId="0" borderId="695" xfId="2" applyNumberFormat="1" applyFont="1" applyBorder="1" applyProtection="1"/>
    <xf numFmtId="177" fontId="6" fillId="26" borderId="650" xfId="2" applyNumberFormat="1" applyFont="1" applyFill="1" applyBorder="1" applyAlignment="1">
      <alignment horizontal="center" vertical="center"/>
    </xf>
    <xf numFmtId="4" fontId="31" fillId="0" borderId="671" xfId="2" applyNumberFormat="1" applyFont="1" applyFill="1" applyBorder="1" applyAlignment="1">
      <alignment horizontal="center" vertical="center"/>
    </xf>
    <xf numFmtId="0" fontId="31" fillId="34" borderId="671" xfId="2" applyFont="1" applyFill="1" applyBorder="1" applyAlignment="1">
      <alignment horizontal="center" vertical="center"/>
    </xf>
    <xf numFmtId="3" fontId="96" fillId="25" borderId="560" xfId="2" applyNumberFormat="1" applyFont="1" applyFill="1" applyBorder="1" applyAlignment="1" applyProtection="1">
      <alignment horizontal="center" vertical="center"/>
    </xf>
    <xf numFmtId="3" fontId="96" fillId="25" borderId="582" xfId="2" applyNumberFormat="1" applyFont="1" applyFill="1" applyBorder="1" applyAlignment="1" applyProtection="1">
      <alignment horizontal="center" vertical="center"/>
    </xf>
    <xf numFmtId="3" fontId="22" fillId="67" borderId="533" xfId="14" applyNumberFormat="1" applyFont="1" applyFill="1" applyBorder="1" applyAlignment="1" applyProtection="1">
      <alignment horizontal="center" vertical="center" wrapText="1"/>
      <protection locked="0"/>
    </xf>
    <xf numFmtId="3" fontId="25" fillId="7" borderId="540" xfId="6" applyNumberFormat="1" applyFont="1" applyFill="1" applyBorder="1" applyAlignment="1" applyProtection="1">
      <alignment horizontal="center" vertical="center"/>
    </xf>
    <xf numFmtId="3" fontId="25" fillId="7" borderId="541" xfId="6" applyNumberFormat="1" applyFont="1" applyFill="1" applyBorder="1" applyAlignment="1" applyProtection="1">
      <alignment horizontal="center" vertical="center"/>
    </xf>
    <xf numFmtId="3" fontId="52" fillId="0" borderId="698" xfId="2" applyNumberFormat="1" applyFont="1" applyBorder="1" applyProtection="1"/>
    <xf numFmtId="3" fontId="52" fillId="0" borderId="700" xfId="2" applyNumberFormat="1" applyFont="1" applyBorder="1" applyProtection="1"/>
    <xf numFmtId="3" fontId="52" fillId="0" borderId="570" xfId="2" applyNumberFormat="1" applyFont="1" applyBorder="1" applyProtection="1"/>
    <xf numFmtId="177" fontId="6" fillId="26" borderId="650" xfId="2" applyNumberFormat="1" applyFont="1" applyFill="1" applyBorder="1" applyAlignment="1">
      <alignment vertical="center"/>
    </xf>
    <xf numFmtId="177" fontId="6" fillId="26" borderId="651" xfId="2" applyNumberFormat="1" applyFont="1" applyFill="1" applyBorder="1" applyAlignment="1">
      <alignment vertical="center"/>
    </xf>
    <xf numFmtId="177" fontId="6" fillId="26" borderId="670" xfId="2" applyNumberFormat="1" applyFont="1" applyFill="1" applyBorder="1" applyAlignment="1">
      <alignment vertical="center"/>
    </xf>
    <xf numFmtId="4" fontId="6" fillId="26" borderId="679" xfId="2" applyNumberFormat="1" applyFont="1" applyFill="1" applyBorder="1" applyAlignment="1">
      <alignment vertical="center"/>
    </xf>
    <xf numFmtId="4" fontId="6" fillId="26" borderId="675" xfId="2" applyNumberFormat="1" applyFont="1" applyFill="1" applyBorder="1" applyAlignment="1">
      <alignment vertical="center"/>
    </xf>
    <xf numFmtId="4" fontId="6" fillId="26" borderId="678" xfId="2" applyNumberFormat="1" applyFont="1" applyFill="1" applyBorder="1" applyAlignment="1">
      <alignment vertical="center"/>
    </xf>
    <xf numFmtId="177" fontId="31" fillId="0" borderId="942" xfId="2" applyNumberFormat="1" applyFont="1" applyFill="1" applyBorder="1" applyAlignment="1">
      <alignment vertical="center"/>
    </xf>
    <xf numFmtId="177" fontId="31" fillId="0" borderId="943" xfId="2" applyNumberFormat="1" applyFont="1" applyFill="1" applyBorder="1" applyAlignment="1">
      <alignment vertical="center"/>
    </xf>
    <xf numFmtId="170" fontId="136" fillId="0" borderId="1259" xfId="2" applyNumberFormat="1" applyFont="1" applyFill="1" applyBorder="1" applyAlignment="1">
      <alignment horizontal="center" vertical="center" wrapText="1"/>
    </xf>
    <xf numFmtId="3" fontId="136" fillId="0" borderId="1260" xfId="2" applyNumberFormat="1" applyFont="1" applyFill="1" applyBorder="1" applyAlignment="1">
      <alignment horizontal="center" vertical="center" wrapText="1"/>
    </xf>
    <xf numFmtId="3" fontId="23" fillId="25" borderId="1261" xfId="2" applyNumberFormat="1" applyFont="1" applyFill="1" applyBorder="1" applyAlignment="1">
      <alignment horizontal="center" vertical="center" wrapText="1"/>
    </xf>
    <xf numFmtId="177" fontId="31" fillId="0" borderId="1262" xfId="2" applyNumberFormat="1" applyFont="1" applyFill="1" applyBorder="1" applyAlignment="1">
      <alignment vertical="center"/>
    </xf>
    <xf numFmtId="177" fontId="6" fillId="0" borderId="659" xfId="2" applyNumberFormat="1" applyFont="1" applyFill="1" applyBorder="1" applyAlignment="1">
      <alignment horizontal="center" vertical="center"/>
    </xf>
    <xf numFmtId="177" fontId="6" fillId="0" borderId="1263" xfId="2" applyNumberFormat="1" applyFont="1" applyFill="1" applyBorder="1" applyAlignment="1">
      <alignment horizontal="center" vertical="center"/>
    </xf>
    <xf numFmtId="4" fontId="31" fillId="0" borderId="650" xfId="2" applyNumberFormat="1" applyFont="1" applyFill="1" applyBorder="1" applyAlignment="1">
      <alignment vertical="center"/>
    </xf>
    <xf numFmtId="4" fontId="31" fillId="0" borderId="651" xfId="2" applyNumberFormat="1" applyFont="1" applyFill="1" applyBorder="1" applyAlignment="1">
      <alignment vertical="center"/>
    </xf>
    <xf numFmtId="4" fontId="31" fillId="0" borderId="670" xfId="2" applyNumberFormat="1" applyFont="1" applyFill="1" applyBorder="1" applyAlignment="1">
      <alignment vertical="center"/>
    </xf>
    <xf numFmtId="0" fontId="31" fillId="0" borderId="1264" xfId="2" applyFont="1" applyFill="1" applyBorder="1" applyAlignment="1">
      <alignment horizontal="left" vertical="center"/>
    </xf>
    <xf numFmtId="0" fontId="31" fillId="0" borderId="950" xfId="2" applyFont="1" applyFill="1" applyBorder="1" applyAlignment="1">
      <alignment horizontal="left" vertical="center"/>
    </xf>
    <xf numFmtId="9" fontId="31" fillId="0" borderId="950" xfId="2" applyNumberFormat="1" applyFont="1" applyFill="1" applyBorder="1" applyAlignment="1">
      <alignment horizontal="center" vertical="center"/>
    </xf>
    <xf numFmtId="0" fontId="31" fillId="0" borderId="950" xfId="2" applyFont="1" applyFill="1" applyBorder="1" applyAlignment="1">
      <alignment horizontal="center" vertical="center"/>
    </xf>
    <xf numFmtId="180" fontId="31" fillId="0" borderId="950" xfId="2" applyNumberFormat="1" applyFont="1" applyFill="1" applyBorder="1" applyAlignment="1">
      <alignment horizontal="center" vertical="center"/>
    </xf>
    <xf numFmtId="4" fontId="31" fillId="0" borderId="950" xfId="2" applyNumberFormat="1" applyFont="1" applyFill="1" applyBorder="1" applyAlignment="1">
      <alignment horizontal="center" vertical="center"/>
    </xf>
    <xf numFmtId="0" fontId="31" fillId="0" borderId="1265" xfId="2" applyFont="1" applyFill="1" applyBorder="1" applyAlignment="1">
      <alignment horizontal="left" vertical="center"/>
    </xf>
    <xf numFmtId="0" fontId="31" fillId="0" borderId="1266" xfId="2" applyFont="1" applyFill="1" applyBorder="1" applyAlignment="1">
      <alignment horizontal="left" vertical="center"/>
    </xf>
    <xf numFmtId="4" fontId="31" fillId="0" borderId="659" xfId="2" applyNumberFormat="1" applyFont="1" applyFill="1" applyBorder="1" applyAlignment="1">
      <alignment horizontal="center" vertical="center"/>
    </xf>
    <xf numFmtId="0" fontId="6" fillId="65" borderId="0" xfId="2" applyFont="1" applyFill="1" applyBorder="1" applyAlignment="1">
      <alignment horizontal="center" vertical="center"/>
    </xf>
    <xf numFmtId="0" fontId="31" fillId="0" borderId="666" xfId="2" applyFont="1" applyFill="1" applyBorder="1" applyAlignment="1">
      <alignment horizontal="right" vertical="center"/>
    </xf>
    <xf numFmtId="0" fontId="6" fillId="0" borderId="666" xfId="2" applyBorder="1" applyAlignment="1">
      <alignment vertical="center"/>
    </xf>
    <xf numFmtId="0" fontId="6" fillId="0" borderId="0" xfId="2" applyBorder="1" applyAlignment="1">
      <alignment vertical="center"/>
    </xf>
    <xf numFmtId="0" fontId="31" fillId="0" borderId="0" xfId="2" quotePrefix="1" applyFont="1" applyBorder="1" applyAlignment="1">
      <alignment horizontal="right" vertical="center"/>
    </xf>
    <xf numFmtId="0" fontId="6" fillId="0" borderId="666" xfId="2" applyFill="1" applyBorder="1" applyAlignment="1">
      <alignment vertical="center"/>
    </xf>
    <xf numFmtId="0" fontId="6" fillId="0" borderId="0" xfId="2" applyFill="1" applyBorder="1" applyAlignment="1">
      <alignment vertical="center"/>
    </xf>
    <xf numFmtId="0" fontId="0" fillId="0" borderId="1270" xfId="0" applyFont="1" applyBorder="1"/>
    <xf numFmtId="0" fontId="0" fillId="0" borderId="687" xfId="0" applyFont="1" applyBorder="1"/>
    <xf numFmtId="0" fontId="26" fillId="0" borderId="687" xfId="0" applyFont="1" applyBorder="1" applyAlignment="1">
      <alignment horizontal="left" vertical="center" wrapText="1"/>
    </xf>
    <xf numFmtId="0" fontId="6" fillId="65" borderId="1271" xfId="2" applyFont="1" applyFill="1" applyBorder="1" applyAlignment="1">
      <alignment horizontal="center" vertical="center"/>
    </xf>
    <xf numFmtId="3" fontId="23" fillId="0" borderId="1261" xfId="2" applyNumberFormat="1" applyFont="1" applyFill="1" applyBorder="1" applyAlignment="1">
      <alignment horizontal="center" vertical="center" wrapText="1"/>
    </xf>
    <xf numFmtId="3" fontId="23" fillId="0" borderId="1251" xfId="2" applyNumberFormat="1" applyFont="1" applyFill="1" applyBorder="1" applyAlignment="1">
      <alignment horizontal="center" vertical="center"/>
    </xf>
    <xf numFmtId="3" fontId="23" fillId="27" borderId="1272" xfId="2" applyNumberFormat="1" applyFont="1" applyFill="1" applyBorder="1" applyAlignment="1">
      <alignment horizontal="center" vertical="center"/>
    </xf>
    <xf numFmtId="170" fontId="6" fillId="0" borderId="1251" xfId="2" applyNumberFormat="1" applyFill="1" applyBorder="1" applyAlignment="1">
      <alignment horizontal="center" vertical="center"/>
    </xf>
    <xf numFmtId="170" fontId="26" fillId="0" borderId="1272" xfId="0" applyNumberFormat="1" applyFont="1" applyFill="1" applyBorder="1" applyAlignment="1">
      <alignment horizontal="center" vertical="center" wrapText="1"/>
    </xf>
    <xf numFmtId="0" fontId="6" fillId="26" borderId="679" xfId="2" applyFont="1" applyFill="1" applyBorder="1" applyAlignment="1">
      <alignment horizontal="center" vertical="center"/>
    </xf>
    <xf numFmtId="186" fontId="136" fillId="0" borderId="1262" xfId="2" applyNumberFormat="1" applyFont="1" applyFill="1" applyBorder="1" applyAlignment="1">
      <alignment horizontal="center" vertical="center" wrapText="1"/>
    </xf>
    <xf numFmtId="3" fontId="136" fillId="0" borderId="1273" xfId="2" applyNumberFormat="1" applyFont="1" applyFill="1" applyBorder="1" applyAlignment="1">
      <alignment horizontal="center" vertical="center" wrapText="1"/>
    </xf>
    <xf numFmtId="3" fontId="23" fillId="25" borderId="1274" xfId="2" applyNumberFormat="1" applyFont="1" applyFill="1" applyBorder="1" applyAlignment="1">
      <alignment horizontal="center" vertical="center" wrapText="1"/>
    </xf>
    <xf numFmtId="3" fontId="23" fillId="0" borderId="1274" xfId="2" applyNumberFormat="1" applyFont="1" applyFill="1" applyBorder="1" applyAlignment="1">
      <alignment horizontal="center" vertical="center" wrapText="1"/>
    </xf>
    <xf numFmtId="3" fontId="23" fillId="0" borderId="1252" xfId="2" applyNumberFormat="1" applyFont="1" applyFill="1" applyBorder="1" applyAlignment="1">
      <alignment horizontal="center" vertical="center"/>
    </xf>
    <xf numFmtId="3" fontId="23" fillId="27" borderId="1275" xfId="2" applyNumberFormat="1" applyFont="1" applyFill="1" applyBorder="1" applyAlignment="1">
      <alignment horizontal="center" vertical="center"/>
    </xf>
    <xf numFmtId="170" fontId="6" fillId="0" borderId="1252" xfId="2" applyNumberFormat="1" applyFill="1" applyBorder="1" applyAlignment="1">
      <alignment horizontal="center" vertical="center"/>
    </xf>
    <xf numFmtId="170" fontId="26" fillId="0" borderId="1275" xfId="0" applyNumberFormat="1" applyFont="1" applyFill="1" applyBorder="1" applyAlignment="1">
      <alignment horizontal="center" vertical="center" wrapText="1"/>
    </xf>
    <xf numFmtId="4" fontId="31" fillId="0" borderId="658" xfId="2" applyNumberFormat="1" applyFont="1" applyFill="1" applyBorder="1" applyAlignment="1">
      <alignment horizontal="center" vertical="center"/>
    </xf>
    <xf numFmtId="0" fontId="6" fillId="26" borderId="658" xfId="2" applyFont="1" applyFill="1" applyBorder="1" applyAlignment="1">
      <alignment horizontal="center" vertical="center"/>
    </xf>
    <xf numFmtId="0" fontId="6" fillId="26" borderId="1276" xfId="2" applyFont="1" applyFill="1" applyBorder="1" applyAlignment="1">
      <alignment horizontal="center" vertical="center"/>
    </xf>
    <xf numFmtId="186" fontId="136" fillId="0" borderId="941" xfId="2" applyNumberFormat="1" applyFont="1" applyFill="1" applyBorder="1" applyAlignment="1">
      <alignment horizontal="center" vertical="center" wrapText="1"/>
    </xf>
    <xf numFmtId="3" fontId="136" fillId="0" borderId="952" xfId="2" applyNumberFormat="1" applyFont="1" applyFill="1" applyBorder="1" applyAlignment="1">
      <alignment horizontal="center" vertical="center" wrapText="1"/>
    </xf>
    <xf numFmtId="3" fontId="23" fillId="25" borderId="944" xfId="2" applyNumberFormat="1" applyFont="1" applyFill="1" applyBorder="1" applyAlignment="1">
      <alignment horizontal="center" vertical="center" wrapText="1"/>
    </xf>
    <xf numFmtId="3" fontId="23" fillId="0" borderId="944" xfId="2" applyNumberFormat="1" applyFont="1" applyFill="1" applyBorder="1" applyAlignment="1">
      <alignment horizontal="center" vertical="center" wrapText="1"/>
    </xf>
    <xf numFmtId="3" fontId="23" fillId="0" borderId="945" xfId="2" applyNumberFormat="1" applyFont="1" applyFill="1" applyBorder="1" applyAlignment="1">
      <alignment horizontal="center" vertical="center"/>
    </xf>
    <xf numFmtId="3" fontId="23" fillId="0" borderId="938" xfId="2" applyNumberFormat="1" applyFont="1" applyFill="1" applyBorder="1" applyAlignment="1">
      <alignment horizontal="center" vertical="center"/>
    </xf>
    <xf numFmtId="3" fontId="23" fillId="27" borderId="946" xfId="2" applyNumberFormat="1" applyFont="1" applyFill="1" applyBorder="1" applyAlignment="1">
      <alignment horizontal="center" vertical="center"/>
    </xf>
    <xf numFmtId="170" fontId="6" fillId="0" borderId="945" xfId="2" applyNumberFormat="1" applyFill="1" applyBorder="1" applyAlignment="1">
      <alignment horizontal="center" vertical="center"/>
    </xf>
    <xf numFmtId="170" fontId="26" fillId="0" borderId="946" xfId="0" applyNumberFormat="1" applyFont="1" applyFill="1" applyBorder="1" applyAlignment="1">
      <alignment horizontal="center" vertical="center" wrapText="1"/>
    </xf>
    <xf numFmtId="170" fontId="26" fillId="0" borderId="948" xfId="0" applyNumberFormat="1" applyFont="1" applyFill="1" applyBorder="1" applyAlignment="1">
      <alignment horizontal="center" vertical="center" wrapText="1"/>
    </xf>
    <xf numFmtId="177" fontId="31" fillId="0" borderId="1252" xfId="2" applyNumberFormat="1" applyFont="1" applyFill="1" applyBorder="1" applyAlignment="1">
      <alignment horizontal="center" vertical="center"/>
    </xf>
    <xf numFmtId="177" fontId="31" fillId="25" borderId="1274" xfId="2" applyNumberFormat="1" applyFont="1" applyFill="1" applyBorder="1" applyAlignment="1">
      <alignment horizontal="center" vertical="center"/>
    </xf>
    <xf numFmtId="0" fontId="0" fillId="40" borderId="812" xfId="81" applyFont="1" applyFill="1" applyBorder="1" applyAlignment="1" applyProtection="1">
      <alignment horizontal="center" vertical="center"/>
      <protection locked="0"/>
    </xf>
    <xf numFmtId="0" fontId="21" fillId="0" borderId="73" xfId="0" applyFont="1" applyFill="1" applyBorder="1" applyAlignment="1" applyProtection="1">
      <alignment horizontal="center" vertical="center"/>
    </xf>
    <xf numFmtId="0" fontId="21" fillId="0" borderId="33" xfId="0" applyFont="1" applyFill="1" applyBorder="1" applyAlignment="1" applyProtection="1">
      <alignment horizontal="center" vertical="center"/>
    </xf>
    <xf numFmtId="0" fontId="21" fillId="0" borderId="34" xfId="0" applyFont="1" applyFill="1" applyBorder="1" applyAlignment="1" applyProtection="1">
      <alignment horizontal="center" vertical="center"/>
    </xf>
    <xf numFmtId="0" fontId="70" fillId="0" borderId="387" xfId="0" applyFont="1" applyFill="1" applyBorder="1" applyAlignment="1" applyProtection="1">
      <alignment horizontal="left" vertical="top" wrapText="1"/>
      <protection locked="0"/>
    </xf>
    <xf numFmtId="0" fontId="70" fillId="0" borderId="17" xfId="0" applyFont="1" applyFill="1" applyBorder="1" applyAlignment="1" applyProtection="1">
      <alignment horizontal="left" vertical="top" wrapText="1"/>
      <protection locked="0"/>
    </xf>
    <xf numFmtId="0" fontId="70" fillId="0" borderId="32" xfId="0" applyFont="1" applyFill="1" applyBorder="1" applyAlignment="1" applyProtection="1">
      <alignment horizontal="left" vertical="top" wrapText="1"/>
      <protection locked="0"/>
    </xf>
    <xf numFmtId="0" fontId="5" fillId="0" borderId="0" xfId="1" applyAlignment="1">
      <alignment vertical="center"/>
    </xf>
    <xf numFmtId="0" fontId="0" fillId="8" borderId="0" xfId="0" applyFill="1"/>
    <xf numFmtId="1" fontId="0" fillId="75" borderId="0" xfId="0" applyNumberFormat="1" applyFill="1"/>
    <xf numFmtId="0" fontId="0" fillId="75" borderId="0" xfId="0" applyFill="1"/>
    <xf numFmtId="0" fontId="0" fillId="75" borderId="0" xfId="0" quotePrefix="1" applyFill="1"/>
    <xf numFmtId="0" fontId="37" fillId="2" borderId="0" xfId="0" applyFont="1" applyFill="1" applyBorder="1" applyAlignment="1">
      <alignment horizontal="center" vertical="center"/>
    </xf>
    <xf numFmtId="0" fontId="37" fillId="2" borderId="0" xfId="0" applyFont="1" applyFill="1" applyBorder="1" applyAlignment="1" applyProtection="1">
      <alignment horizontal="center" vertical="center"/>
    </xf>
    <xf numFmtId="0" fontId="26" fillId="0" borderId="0" xfId="0" applyFont="1" applyAlignment="1" applyProtection="1">
      <alignment horizontal="left" vertical="center" wrapText="1"/>
    </xf>
    <xf numFmtId="0" fontId="26" fillId="0" borderId="0" xfId="0" applyFont="1" applyAlignment="1" applyProtection="1">
      <alignment horizontal="center" vertical="center" wrapText="1"/>
    </xf>
    <xf numFmtId="0" fontId="0" fillId="0" borderId="0" xfId="0" quotePrefix="1" applyFont="1" applyAlignment="1" applyProtection="1">
      <alignment horizontal="center"/>
    </xf>
    <xf numFmtId="0" fontId="21" fillId="0" borderId="0" xfId="0" quotePrefix="1" applyFont="1" applyAlignment="1" applyProtection="1">
      <alignment horizontal="center" vertical="center"/>
    </xf>
    <xf numFmtId="0" fontId="40" fillId="29" borderId="261" xfId="0" applyFont="1" applyFill="1" applyBorder="1" applyAlignment="1" applyProtection="1">
      <alignment horizontal="left" vertical="center"/>
    </xf>
    <xf numFmtId="0" fontId="40" fillId="29" borderId="262" xfId="0" applyFont="1" applyFill="1" applyBorder="1" applyAlignment="1" applyProtection="1">
      <alignment horizontal="left" vertical="center"/>
    </xf>
    <xf numFmtId="0" fontId="40" fillId="29" borderId="263" xfId="0" applyFont="1" applyFill="1" applyBorder="1" applyAlignment="1" applyProtection="1">
      <alignment horizontal="left" vertical="center"/>
    </xf>
    <xf numFmtId="0" fontId="2" fillId="29" borderId="262" xfId="0" applyFont="1" applyFill="1" applyBorder="1" applyAlignment="1" applyProtection="1">
      <alignment horizontal="left" vertical="center"/>
    </xf>
    <xf numFmtId="4" fontId="31" fillId="0" borderId="650" xfId="2" applyNumberFormat="1" applyFont="1" applyFill="1" applyBorder="1" applyAlignment="1">
      <alignment horizontal="center" vertical="center"/>
    </xf>
    <xf numFmtId="4" fontId="31" fillId="0" borderId="651" xfId="2" applyNumberFormat="1" applyFont="1" applyFill="1" applyBorder="1" applyAlignment="1">
      <alignment horizontal="center" vertical="center"/>
    </xf>
    <xf numFmtId="0" fontId="6" fillId="0" borderId="668" xfId="2" applyFont="1" applyFill="1" applyBorder="1" applyAlignment="1">
      <alignment horizontal="left" vertical="center"/>
    </xf>
    <xf numFmtId="0" fontId="6" fillId="0" borderId="661" xfId="2" applyFont="1" applyFill="1" applyBorder="1" applyAlignment="1">
      <alignment horizontal="left" vertical="center"/>
    </xf>
    <xf numFmtId="0" fontId="6" fillId="0" borderId="670" xfId="2" applyFont="1" applyFill="1" applyBorder="1" applyAlignment="1">
      <alignment horizontal="left" vertical="center"/>
    </xf>
    <xf numFmtId="0" fontId="28" fillId="25" borderId="647" xfId="17" applyFont="1" applyFill="1" applyBorder="1" applyAlignment="1">
      <alignment horizontal="center"/>
    </xf>
    <xf numFmtId="0" fontId="34" fillId="0" borderId="668" xfId="2" applyFont="1" applyFill="1" applyBorder="1" applyAlignment="1">
      <alignment horizontal="left" vertical="center"/>
    </xf>
    <xf numFmtId="0" fontId="34" fillId="0" borderId="661" xfId="2" applyFont="1" applyFill="1" applyBorder="1" applyAlignment="1">
      <alignment horizontal="left" vertical="center"/>
    </xf>
    <xf numFmtId="0" fontId="34" fillId="0" borderId="670" xfId="2" applyFont="1" applyFill="1" applyBorder="1" applyAlignment="1">
      <alignment horizontal="left" vertical="center"/>
    </xf>
    <xf numFmtId="0" fontId="31" fillId="34" borderId="650" xfId="2" applyFont="1" applyFill="1" applyBorder="1" applyAlignment="1">
      <alignment horizontal="center" vertical="center"/>
    </xf>
    <xf numFmtId="4" fontId="31" fillId="0" borderId="671" xfId="2" applyNumberFormat="1" applyFont="1" applyFill="1" applyBorder="1" applyAlignment="1">
      <alignment horizontal="center" vertical="center"/>
    </xf>
    <xf numFmtId="4" fontId="31" fillId="0" borderId="661" xfId="2" applyNumberFormat="1" applyFont="1" applyFill="1" applyBorder="1" applyAlignment="1">
      <alignment horizontal="center" vertical="center"/>
    </xf>
    <xf numFmtId="4" fontId="31" fillId="0" borderId="669" xfId="2" applyNumberFormat="1" applyFont="1" applyFill="1" applyBorder="1" applyAlignment="1">
      <alignment horizontal="center" vertical="center"/>
    </xf>
    <xf numFmtId="0" fontId="31" fillId="0" borderId="671" xfId="2" applyFont="1" applyFill="1" applyBorder="1" applyAlignment="1">
      <alignment horizontal="center" vertical="center"/>
    </xf>
    <xf numFmtId="0" fontId="0" fillId="40" borderId="826" xfId="81" applyFont="1" applyFill="1" applyBorder="1" applyAlignment="1" applyProtection="1">
      <alignment horizontal="center" vertical="center"/>
      <protection locked="0"/>
    </xf>
    <xf numFmtId="0" fontId="11" fillId="40" borderId="812" xfId="81" applyFill="1" applyBorder="1" applyAlignment="1" applyProtection="1">
      <alignment horizontal="center" vertical="center"/>
      <protection locked="0"/>
    </xf>
    <xf numFmtId="0" fontId="6" fillId="40" borderId="826" xfId="81" applyFont="1" applyFill="1" applyBorder="1" applyAlignment="1" applyProtection="1">
      <alignment horizontal="center" vertical="center"/>
      <protection locked="0"/>
    </xf>
    <xf numFmtId="0" fontId="6" fillId="40" borderId="812" xfId="81" applyFont="1" applyFill="1" applyBorder="1" applyAlignment="1" applyProtection="1">
      <alignment horizontal="center" vertical="center"/>
      <protection locked="0"/>
    </xf>
    <xf numFmtId="0" fontId="0" fillId="40" borderId="812" xfId="81" applyFont="1" applyFill="1" applyBorder="1" applyAlignment="1" applyProtection="1">
      <alignment horizontal="center" vertical="center"/>
      <protection locked="0"/>
    </xf>
    <xf numFmtId="0" fontId="21" fillId="34" borderId="822" xfId="81" applyFont="1" applyFill="1" applyBorder="1" applyAlignment="1" applyProtection="1">
      <alignment horizontal="center" vertical="center" wrapText="1"/>
    </xf>
    <xf numFmtId="0" fontId="21" fillId="34" borderId="809" xfId="81" applyFont="1" applyFill="1" applyBorder="1" applyAlignment="1" applyProtection="1">
      <alignment horizontal="center" vertical="center" wrapText="1"/>
    </xf>
    <xf numFmtId="0" fontId="1" fillId="40" borderId="812" xfId="81" applyFont="1" applyFill="1" applyBorder="1" applyAlignment="1" applyProtection="1">
      <alignment horizontal="left" vertical="center"/>
      <protection locked="0"/>
    </xf>
    <xf numFmtId="0" fontId="1" fillId="40" borderId="824" xfId="81" applyFont="1" applyFill="1" applyBorder="1" applyAlignment="1" applyProtection="1">
      <alignment horizontal="left" vertical="center"/>
      <protection locked="0"/>
    </xf>
    <xf numFmtId="0" fontId="31" fillId="40" borderId="812" xfId="81" applyFont="1" applyFill="1" applyBorder="1" applyAlignment="1" applyProtection="1">
      <alignment horizontal="left" vertical="center"/>
      <protection locked="0"/>
    </xf>
    <xf numFmtId="0" fontId="31" fillId="40" borderId="824" xfId="81" applyFont="1" applyFill="1" applyBorder="1" applyAlignment="1" applyProtection="1">
      <alignment horizontal="left" vertical="center"/>
      <protection locked="0"/>
    </xf>
    <xf numFmtId="0" fontId="11" fillId="40" borderId="815" xfId="81" applyFill="1" applyBorder="1" applyAlignment="1" applyProtection="1">
      <alignment horizontal="center" vertical="center"/>
      <protection locked="0"/>
    </xf>
    <xf numFmtId="0" fontId="11" fillId="40" borderId="826" xfId="81" applyFill="1" applyBorder="1" applyAlignment="1" applyProtection="1">
      <alignment horizontal="center" vertical="center"/>
      <protection locked="0"/>
    </xf>
    <xf numFmtId="0" fontId="5" fillId="3" borderId="0" xfId="1" applyFont="1" applyFill="1" applyBorder="1" applyAlignment="1" applyProtection="1">
      <alignment horizontal="center" vertical="center"/>
    </xf>
    <xf numFmtId="3" fontId="0" fillId="0" borderId="0" xfId="0" applyNumberFormat="1" applyFont="1" applyAlignment="1" applyProtection="1">
      <alignment horizontal="center" vertical="center"/>
    </xf>
    <xf numFmtId="0" fontId="38" fillId="3" borderId="1" xfId="0" applyFont="1" applyFill="1" applyBorder="1" applyAlignment="1">
      <alignment horizontal="center" vertical="center"/>
    </xf>
    <xf numFmtId="0" fontId="26" fillId="8" borderId="392" xfId="0" applyFont="1" applyFill="1" applyBorder="1" applyAlignment="1" applyProtection="1">
      <alignment horizontal="center" vertical="center" wrapText="1"/>
    </xf>
    <xf numFmtId="0" fontId="26" fillId="8" borderId="392" xfId="0" applyFont="1" applyFill="1" applyBorder="1" applyAlignment="1" applyProtection="1">
      <alignment horizontal="center" vertical="center"/>
    </xf>
    <xf numFmtId="0" fontId="37" fillId="2" borderId="443" xfId="0" applyFont="1" applyFill="1" applyBorder="1" applyAlignment="1" applyProtection="1">
      <alignment vertical="center"/>
    </xf>
    <xf numFmtId="0" fontId="0" fillId="3" borderId="0" xfId="0" applyFont="1" applyFill="1"/>
    <xf numFmtId="0" fontId="38" fillId="3" borderId="0" xfId="0" applyFont="1" applyFill="1" applyBorder="1" applyAlignment="1" applyProtection="1">
      <alignment horizontal="center" vertical="center" wrapText="1"/>
    </xf>
    <xf numFmtId="0" fontId="2" fillId="0" borderId="889" xfId="0" applyFont="1" applyFill="1" applyBorder="1" applyAlignment="1" applyProtection="1">
      <alignment vertical="center"/>
    </xf>
    <xf numFmtId="0" fontId="5" fillId="3" borderId="0" xfId="1" applyFill="1" applyBorder="1" applyAlignment="1" applyProtection="1">
      <alignment horizontal="center" vertical="center"/>
      <protection locked="0"/>
    </xf>
    <xf numFmtId="0" fontId="3" fillId="2" borderId="0" xfId="0" applyFont="1" applyFill="1" applyBorder="1" applyAlignment="1">
      <alignment horizontal="center" vertical="center"/>
    </xf>
    <xf numFmtId="0" fontId="37" fillId="2" borderId="0" xfId="0" applyFont="1" applyFill="1" applyBorder="1" applyAlignment="1" applyProtection="1"/>
    <xf numFmtId="0" fontId="53" fillId="18" borderId="0" xfId="0" applyFont="1" applyFill="1" applyAlignment="1" applyProtection="1">
      <alignment horizontal="left" vertical="center"/>
    </xf>
    <xf numFmtId="0" fontId="37" fillId="2" borderId="0" xfId="0" applyFont="1" applyFill="1" applyBorder="1" applyAlignment="1" applyProtection="1">
      <alignment horizontal="center" vertical="center"/>
    </xf>
    <xf numFmtId="0" fontId="0" fillId="0" borderId="0" xfId="0" applyFont="1" applyAlignment="1" applyProtection="1">
      <alignment horizontal="center"/>
    </xf>
    <xf numFmtId="0" fontId="0" fillId="26" borderId="1179" xfId="0" applyFont="1" applyFill="1" applyBorder="1" applyAlignment="1" applyProtection="1">
      <alignment horizontal="center" vertical="center" wrapText="1"/>
      <protection locked="0"/>
    </xf>
    <xf numFmtId="0" fontId="0" fillId="26" borderId="0" xfId="0" applyFont="1" applyFill="1" applyBorder="1" applyAlignment="1" applyProtection="1">
      <alignment horizontal="center" vertical="center" wrapText="1"/>
      <protection locked="0"/>
    </xf>
    <xf numFmtId="0" fontId="0" fillId="26" borderId="1180" xfId="0" applyFont="1" applyFill="1" applyBorder="1" applyAlignment="1" applyProtection="1">
      <alignment horizontal="center" vertical="center" wrapText="1"/>
      <protection locked="0"/>
    </xf>
    <xf numFmtId="0" fontId="0" fillId="26" borderId="1198" xfId="0" applyFont="1" applyFill="1" applyBorder="1" applyAlignment="1" applyProtection="1">
      <alignment horizontal="center" vertical="center" wrapText="1"/>
      <protection locked="0"/>
    </xf>
    <xf numFmtId="0" fontId="26" fillId="0" borderId="0" xfId="0" applyFont="1" applyAlignment="1"/>
    <xf numFmtId="0" fontId="0" fillId="0" borderId="0" xfId="0" applyFont="1" applyBorder="1" applyAlignment="1" applyProtection="1">
      <alignment horizontal="center"/>
    </xf>
    <xf numFmtId="3" fontId="40" fillId="7" borderId="549" xfId="0" applyNumberFormat="1" applyFont="1" applyFill="1" applyBorder="1" applyAlignment="1" applyProtection="1">
      <alignment horizontal="left" vertical="center"/>
    </xf>
    <xf numFmtId="3" fontId="40" fillId="7" borderId="550" xfId="0" applyNumberFormat="1" applyFont="1" applyFill="1" applyBorder="1" applyAlignment="1" applyProtection="1">
      <alignment horizontal="left" vertical="center"/>
    </xf>
    <xf numFmtId="3" fontId="40" fillId="7" borderId="551" xfId="0" applyNumberFormat="1" applyFont="1" applyFill="1" applyBorder="1" applyAlignment="1" applyProtection="1">
      <alignment horizontal="left" vertical="center"/>
    </xf>
    <xf numFmtId="3" fontId="16" fillId="0" borderId="0" xfId="6" applyNumberFormat="1" applyFont="1" applyFill="1" applyBorder="1" applyAlignment="1" applyProtection="1">
      <alignment horizontal="center" vertical="center"/>
    </xf>
    <xf numFmtId="3" fontId="171" fillId="0" borderId="698" xfId="2" applyNumberFormat="1" applyFont="1" applyBorder="1" applyAlignment="1" applyProtection="1">
      <alignment horizontal="right"/>
    </xf>
    <xf numFmtId="3" fontId="171" fillId="0" borderId="0" xfId="2" applyNumberFormat="1" applyFont="1" applyBorder="1" applyAlignment="1" applyProtection="1">
      <alignment horizontal="right"/>
    </xf>
    <xf numFmtId="178" fontId="17" fillId="0" borderId="560" xfId="6" applyNumberFormat="1" applyFont="1" applyFill="1" applyBorder="1" applyAlignment="1" applyProtection="1">
      <alignment horizontal="center"/>
    </xf>
    <xf numFmtId="0" fontId="41" fillId="7" borderId="1212" xfId="6" applyFont="1" applyFill="1" applyBorder="1" applyAlignment="1" applyProtection="1">
      <alignment horizontal="center" vertical="center" wrapText="1"/>
    </xf>
    <xf numFmtId="3" fontId="25" fillId="7" borderId="539" xfId="6" applyNumberFormat="1" applyFont="1" applyFill="1" applyBorder="1" applyAlignment="1" applyProtection="1">
      <alignment horizontal="center" vertical="center" wrapText="1"/>
    </xf>
    <xf numFmtId="0" fontId="25" fillId="7" borderId="539" xfId="6" applyFont="1" applyFill="1" applyBorder="1" applyAlignment="1" applyProtection="1">
      <alignment horizontal="center" vertical="center" wrapText="1"/>
    </xf>
    <xf numFmtId="0" fontId="60" fillId="0" borderId="485" xfId="2" applyFont="1" applyFill="1" applyBorder="1" applyAlignment="1" applyProtection="1">
      <alignment vertical="center"/>
    </xf>
    <xf numFmtId="0" fontId="60" fillId="0" borderId="486" xfId="2" applyFont="1" applyFill="1" applyBorder="1" applyAlignment="1" applyProtection="1">
      <alignment vertical="center"/>
    </xf>
    <xf numFmtId="0" fontId="16" fillId="7" borderId="1213" xfId="6" applyNumberFormat="1" applyFont="1" applyFill="1" applyBorder="1" applyAlignment="1" applyProtection="1">
      <alignment horizontal="center" vertical="center"/>
    </xf>
    <xf numFmtId="0" fontId="16" fillId="7" borderId="1283" xfId="6" applyNumberFormat="1" applyFont="1" applyFill="1" applyBorder="1" applyAlignment="1" applyProtection="1">
      <alignment horizontal="center" vertical="center"/>
    </xf>
    <xf numFmtId="3" fontId="1" fillId="0" borderId="0" xfId="6" applyNumberFormat="1" applyFont="1" applyFill="1" applyBorder="1" applyAlignment="1" applyProtection="1">
      <alignment horizontal="center" vertical="center"/>
    </xf>
    <xf numFmtId="3" fontId="41" fillId="0" borderId="0" xfId="6" applyNumberFormat="1" applyFont="1" applyFill="1" applyBorder="1" applyAlignment="1" applyProtection="1">
      <alignment vertical="center" wrapText="1"/>
    </xf>
    <xf numFmtId="3" fontId="41" fillId="0" borderId="77" xfId="6" applyNumberFormat="1" applyFont="1" applyFill="1" applyBorder="1" applyAlignment="1" applyProtection="1">
      <alignment vertical="center" wrapText="1"/>
    </xf>
    <xf numFmtId="0" fontId="16" fillId="7" borderId="6" xfId="6" applyNumberFormat="1" applyFont="1" applyFill="1" applyBorder="1" applyAlignment="1" applyProtection="1">
      <alignment horizontal="center" vertical="center"/>
    </xf>
    <xf numFmtId="0" fontId="16" fillId="7" borderId="7" xfId="6" applyNumberFormat="1" applyFont="1" applyFill="1" applyBorder="1" applyAlignment="1" applyProtection="1">
      <alignment horizontal="center" vertical="center"/>
    </xf>
    <xf numFmtId="3" fontId="16" fillId="0" borderId="0" xfId="6" applyNumberFormat="1" applyFont="1" applyFill="1" applyBorder="1" applyAlignment="1" applyProtection="1">
      <alignment vertical="center"/>
    </xf>
    <xf numFmtId="0" fontId="25" fillId="25" borderId="335" xfId="6" applyFont="1" applyFill="1" applyBorder="1" applyAlignment="1" applyProtection="1">
      <alignment horizontal="center" vertical="center"/>
    </xf>
    <xf numFmtId="3" fontId="103" fillId="0" borderId="563" xfId="6" applyNumberFormat="1" applyFont="1" applyBorder="1" applyAlignment="1" applyProtection="1">
      <alignment horizontal="center" vertical="center"/>
    </xf>
    <xf numFmtId="3" fontId="25" fillId="0" borderId="698" xfId="6" applyNumberFormat="1" applyFont="1" applyFill="1" applyBorder="1" applyAlignment="1" applyProtection="1">
      <alignment horizontal="center" vertical="center"/>
    </xf>
    <xf numFmtId="3" fontId="11" fillId="0" borderId="698" xfId="6" applyNumberFormat="1" applyFont="1" applyFill="1" applyBorder="1" applyAlignment="1" applyProtection="1">
      <alignment horizontal="center" vertical="center"/>
      <protection locked="0"/>
    </xf>
    <xf numFmtId="9" fontId="18" fillId="0" borderId="698" xfId="3" applyFont="1" applyFill="1" applyBorder="1" applyAlignment="1" applyProtection="1">
      <alignment horizontal="center"/>
    </xf>
    <xf numFmtId="3" fontId="18" fillId="0" borderId="698" xfId="3" applyNumberFormat="1" applyFont="1" applyFill="1" applyBorder="1" applyAlignment="1" applyProtection="1">
      <alignment horizontal="center"/>
    </xf>
    <xf numFmtId="3" fontId="97" fillId="0" borderId="698" xfId="6" applyNumberFormat="1" applyFont="1" applyFill="1" applyBorder="1" applyAlignment="1" applyProtection="1">
      <alignment horizontal="center"/>
    </xf>
    <xf numFmtId="3" fontId="18" fillId="0" borderId="698" xfId="6" applyNumberFormat="1" applyFont="1" applyFill="1" applyBorder="1" applyAlignment="1" applyProtection="1">
      <alignment horizontal="center"/>
    </xf>
    <xf numFmtId="9" fontId="97" fillId="0" borderId="588" xfId="3" applyFont="1" applyFill="1" applyBorder="1" applyAlignment="1" applyProtection="1">
      <alignment horizontal="center"/>
    </xf>
    <xf numFmtId="3" fontId="125" fillId="0" borderId="698" xfId="6" applyNumberFormat="1" applyFont="1" applyFill="1" applyBorder="1" applyAlignment="1" applyProtection="1">
      <alignment horizontal="center"/>
    </xf>
    <xf numFmtId="9" fontId="97" fillId="0" borderId="698" xfId="3" applyFont="1" applyFill="1" applyBorder="1" applyAlignment="1" applyProtection="1">
      <alignment horizontal="center"/>
    </xf>
    <xf numFmtId="3" fontId="25" fillId="7" borderId="712" xfId="6" applyNumberFormat="1" applyFont="1" applyFill="1" applyBorder="1" applyAlignment="1" applyProtection="1">
      <alignment horizontal="center" vertical="center"/>
    </xf>
    <xf numFmtId="9" fontId="16" fillId="0" borderId="560" xfId="3" applyFont="1" applyFill="1" applyBorder="1" applyAlignment="1" applyProtection="1">
      <alignment horizontal="center"/>
    </xf>
    <xf numFmtId="9" fontId="17" fillId="0" borderId="698" xfId="3" applyFont="1" applyFill="1" applyBorder="1" applyAlignment="1" applyProtection="1">
      <alignment horizontal="center"/>
    </xf>
    <xf numFmtId="3" fontId="96" fillId="26" borderId="533" xfId="2" applyNumberFormat="1" applyFont="1" applyFill="1" applyBorder="1" applyAlignment="1" applyProtection="1">
      <alignment horizontal="center" vertical="center" wrapText="1"/>
      <protection locked="0"/>
    </xf>
    <xf numFmtId="3" fontId="17" fillId="0" borderId="560" xfId="6" applyNumberFormat="1" applyFont="1" applyFill="1" applyBorder="1" applyAlignment="1" applyProtection="1">
      <alignment horizontal="center"/>
    </xf>
    <xf numFmtId="3" fontId="52" fillId="0" borderId="1097" xfId="2" applyNumberFormat="1" applyFont="1" applyBorder="1" applyProtection="1"/>
    <xf numFmtId="3" fontId="22" fillId="0" borderId="0" xfId="2" applyNumberFormat="1" applyFont="1" applyBorder="1" applyProtection="1"/>
    <xf numFmtId="3" fontId="96" fillId="0" borderId="533" xfId="2" applyNumberFormat="1" applyFont="1" applyFill="1" applyBorder="1" applyAlignment="1" applyProtection="1">
      <alignment horizontal="center" vertical="center" wrapText="1"/>
      <protection locked="0"/>
    </xf>
    <xf numFmtId="3" fontId="17" fillId="31" borderId="533" xfId="6" applyNumberFormat="1" applyFont="1" applyFill="1" applyBorder="1" applyAlignment="1" applyProtection="1">
      <alignment horizontal="center"/>
    </xf>
    <xf numFmtId="4" fontId="52" fillId="0" borderId="1097" xfId="2" applyNumberFormat="1" applyFont="1" applyBorder="1" applyProtection="1"/>
    <xf numFmtId="4" fontId="60" fillId="0" borderId="1097" xfId="2" applyNumberFormat="1" applyFont="1" applyBorder="1" applyAlignment="1" applyProtection="1">
      <alignment horizontal="center"/>
    </xf>
    <xf numFmtId="3" fontId="24" fillId="0" borderId="699" xfId="2" applyNumberFormat="1" applyFont="1" applyBorder="1" applyAlignment="1">
      <alignment horizontal="center"/>
    </xf>
    <xf numFmtId="3" fontId="155" fillId="0" borderId="0" xfId="2" applyNumberFormat="1" applyFont="1" applyBorder="1" applyProtection="1"/>
    <xf numFmtId="4" fontId="96" fillId="0" borderId="533" xfId="2" applyNumberFormat="1" applyFont="1" applyFill="1" applyBorder="1" applyAlignment="1" applyProtection="1">
      <alignment horizontal="center" vertical="center" wrapText="1"/>
      <protection locked="0"/>
    </xf>
    <xf numFmtId="178" fontId="16" fillId="0" borderId="560" xfId="6" applyNumberFormat="1" applyFont="1" applyFill="1" applyBorder="1" applyAlignment="1" applyProtection="1">
      <alignment horizontal="center"/>
    </xf>
    <xf numFmtId="4" fontId="60" fillId="0" borderId="1096" xfId="2" applyNumberFormat="1" applyFont="1" applyBorder="1" applyAlignment="1" applyProtection="1">
      <alignment horizontal="center"/>
    </xf>
    <xf numFmtId="178" fontId="97" fillId="0" borderId="597" xfId="6" applyNumberFormat="1" applyFont="1" applyFill="1" applyBorder="1" applyAlignment="1" applyProtection="1">
      <alignment horizontal="center" vertical="center"/>
    </xf>
    <xf numFmtId="178" fontId="125" fillId="0" borderId="600" xfId="6" applyNumberFormat="1" applyFont="1" applyFill="1" applyBorder="1" applyAlignment="1" applyProtection="1">
      <alignment horizontal="center" vertical="center"/>
    </xf>
    <xf numFmtId="3" fontId="60" fillId="7" borderId="530" xfId="2" applyNumberFormat="1" applyFont="1" applyFill="1" applyBorder="1" applyAlignment="1" applyProtection="1">
      <alignment horizontal="center" vertical="center" wrapText="1"/>
    </xf>
    <xf numFmtId="3" fontId="60" fillId="7" borderId="531" xfId="2" applyNumberFormat="1" applyFont="1" applyFill="1" applyBorder="1" applyAlignment="1" applyProtection="1">
      <alignment horizontal="center" vertical="center" wrapText="1"/>
    </xf>
    <xf numFmtId="3" fontId="17" fillId="67" borderId="532" xfId="6" applyNumberFormat="1" applyFont="1" applyFill="1" applyBorder="1" applyAlignment="1" applyProtection="1">
      <alignment horizontal="center" vertical="center" wrapText="1"/>
    </xf>
    <xf numFmtId="3" fontId="52" fillId="0" borderId="1121" xfId="2" applyNumberFormat="1" applyFont="1" applyBorder="1"/>
    <xf numFmtId="3" fontId="24" fillId="0" borderId="1121" xfId="2" applyNumberFormat="1" applyFont="1" applyBorder="1"/>
    <xf numFmtId="3" fontId="24" fillId="0" borderId="1121" xfId="2" applyNumberFormat="1" applyFont="1" applyBorder="1" applyAlignment="1">
      <alignment horizontal="center"/>
    </xf>
    <xf numFmtId="4" fontId="60" fillId="0" borderId="1258" xfId="2" applyNumberFormat="1" applyFont="1" applyBorder="1" applyAlignment="1" applyProtection="1">
      <alignment horizontal="center"/>
    </xf>
    <xf numFmtId="1" fontId="22" fillId="0" borderId="539" xfId="6" applyNumberFormat="1" applyFont="1" applyFill="1" applyBorder="1" applyAlignment="1" applyProtection="1">
      <alignment horizontal="center"/>
    </xf>
    <xf numFmtId="1" fontId="22" fillId="0" borderId="1097" xfId="2" applyNumberFormat="1" applyFont="1" applyBorder="1" applyAlignment="1">
      <alignment horizontal="center"/>
    </xf>
    <xf numFmtId="3" fontId="158" fillId="25" borderId="531" xfId="2" applyNumberFormat="1" applyFont="1" applyFill="1" applyBorder="1"/>
    <xf numFmtId="3" fontId="173" fillId="25" borderId="536" xfId="2" applyNumberFormat="1" applyFont="1" applyFill="1" applyBorder="1" applyAlignment="1">
      <alignment horizontal="center" vertical="center"/>
    </xf>
    <xf numFmtId="3" fontId="151" fillId="25" borderId="537" xfId="0" applyNumberFormat="1" applyFont="1" applyFill="1" applyBorder="1" applyAlignment="1" applyProtection="1">
      <alignment horizontal="center" vertical="center" wrapText="1"/>
      <protection locked="0"/>
    </xf>
    <xf numFmtId="1" fontId="22" fillId="0" borderId="597" xfId="6" applyNumberFormat="1" applyFont="1" applyFill="1" applyBorder="1" applyAlignment="1" applyProtection="1">
      <alignment horizontal="center"/>
    </xf>
    <xf numFmtId="1" fontId="22" fillId="0" borderId="1258" xfId="2" applyNumberFormat="1" applyFont="1" applyBorder="1" applyAlignment="1">
      <alignment horizontal="center"/>
    </xf>
    <xf numFmtId="3" fontId="52" fillId="0" borderId="1097" xfId="2" applyNumberFormat="1" applyFont="1" applyBorder="1" applyAlignment="1" applyProtection="1">
      <alignment horizontal="center"/>
    </xf>
    <xf numFmtId="3" fontId="151" fillId="25" borderId="530" xfId="2" applyNumberFormat="1" applyFont="1" applyFill="1" applyBorder="1" applyAlignment="1" applyProtection="1">
      <alignment horizontal="center"/>
    </xf>
    <xf numFmtId="3" fontId="124" fillId="25" borderId="536" xfId="6" applyNumberFormat="1" applyFont="1" applyFill="1" applyBorder="1"/>
    <xf numFmtId="4" fontId="52" fillId="0" borderId="1258" xfId="2" applyNumberFormat="1" applyFont="1" applyBorder="1" applyProtection="1"/>
    <xf numFmtId="3" fontId="52" fillId="0" borderId="1258" xfId="2" applyNumberFormat="1" applyFont="1" applyBorder="1" applyProtection="1"/>
    <xf numFmtId="3" fontId="52" fillId="0" borderId="1121" xfId="2" applyNumberFormat="1" applyFont="1" applyFill="1" applyBorder="1" applyProtection="1"/>
    <xf numFmtId="3" fontId="60" fillId="0" borderId="541" xfId="2" applyNumberFormat="1" applyFont="1" applyFill="1" applyBorder="1" applyAlignment="1" applyProtection="1">
      <alignment horizontal="center"/>
    </xf>
    <xf numFmtId="1" fontId="22" fillId="0" borderId="1097" xfId="2" applyNumberFormat="1" applyFont="1" applyFill="1" applyBorder="1" applyAlignment="1" applyProtection="1">
      <alignment horizontal="center"/>
    </xf>
    <xf numFmtId="0" fontId="41" fillId="7" borderId="1290" xfId="6" applyFont="1" applyFill="1" applyBorder="1" applyAlignment="1" applyProtection="1">
      <alignment horizontal="center" vertical="center" wrapText="1"/>
    </xf>
    <xf numFmtId="0" fontId="17" fillId="67" borderId="1221" xfId="6" applyFont="1" applyFill="1" applyBorder="1" applyAlignment="1" applyProtection="1">
      <alignment horizontal="center" vertical="center" wrapText="1"/>
    </xf>
    <xf numFmtId="0" fontId="96" fillId="0" borderId="1253" xfId="2" applyFont="1" applyFill="1" applyBorder="1" applyAlignment="1" applyProtection="1">
      <alignment vertical="center"/>
    </xf>
    <xf numFmtId="3" fontId="51" fillId="0" borderId="1253" xfId="14" applyNumberFormat="1" applyFont="1" applyFill="1" applyBorder="1" applyAlignment="1" applyProtection="1">
      <alignment horizontal="center"/>
    </xf>
    <xf numFmtId="3" fontId="51" fillId="0" borderId="1257" xfId="14" applyNumberFormat="1" applyFont="1" applyFill="1" applyBorder="1" applyAlignment="1" applyProtection="1">
      <alignment horizontal="center"/>
    </xf>
    <xf numFmtId="0" fontId="25" fillId="0" borderId="1294" xfId="6" applyFont="1" applyFill="1" applyBorder="1" applyAlignment="1" applyProtection="1">
      <alignment vertical="center"/>
    </xf>
    <xf numFmtId="0" fontId="25" fillId="0" borderId="1295" xfId="6" applyFont="1" applyFill="1" applyBorder="1" applyAlignment="1" applyProtection="1">
      <alignment vertical="center"/>
    </xf>
    <xf numFmtId="0" fontId="25" fillId="25" borderId="1296" xfId="6" applyFont="1" applyFill="1" applyBorder="1" applyAlignment="1" applyProtection="1">
      <alignment horizontal="center" vertical="center"/>
    </xf>
    <xf numFmtId="0" fontId="25" fillId="25" borderId="1297" xfId="6" applyFont="1" applyFill="1" applyBorder="1" applyAlignment="1" applyProtection="1">
      <alignment horizontal="center" vertical="center"/>
    </xf>
    <xf numFmtId="9" fontId="17" fillId="0" borderId="1298" xfId="14" applyFont="1" applyFill="1" applyBorder="1" applyAlignment="1" applyProtection="1">
      <alignment horizontal="center"/>
    </xf>
    <xf numFmtId="9" fontId="17" fillId="0" borderId="1299" xfId="14" applyFont="1" applyFill="1" applyBorder="1" applyAlignment="1" applyProtection="1">
      <alignment horizontal="center"/>
    </xf>
    <xf numFmtId="9" fontId="17" fillId="0" borderId="1300" xfId="14" applyFont="1" applyFill="1" applyBorder="1" applyAlignment="1" applyProtection="1">
      <alignment horizontal="center"/>
    </xf>
    <xf numFmtId="9" fontId="17" fillId="0" borderId="1301" xfId="14" applyFont="1" applyFill="1" applyBorder="1" applyAlignment="1" applyProtection="1">
      <alignment horizontal="center"/>
    </xf>
    <xf numFmtId="9" fontId="17" fillId="0" borderId="1302" xfId="14" applyFont="1" applyFill="1" applyBorder="1" applyAlignment="1" applyProtection="1">
      <alignment horizontal="center"/>
    </xf>
    <xf numFmtId="9" fontId="17" fillId="0" borderId="1303" xfId="14" applyFont="1" applyFill="1" applyBorder="1" applyAlignment="1" applyProtection="1">
      <alignment horizontal="center"/>
    </xf>
    <xf numFmtId="9" fontId="17" fillId="0" borderId="1304" xfId="14" applyFont="1" applyFill="1" applyBorder="1" applyAlignment="1" applyProtection="1">
      <alignment horizontal="center"/>
    </xf>
    <xf numFmtId="3" fontId="25" fillId="7" borderId="538" xfId="6" applyNumberFormat="1" applyFont="1" applyFill="1" applyBorder="1" applyAlignment="1" applyProtection="1">
      <alignment horizontal="center" vertical="center" wrapText="1"/>
    </xf>
    <xf numFmtId="0" fontId="1" fillId="0" borderId="0" xfId="6" applyFont="1" applyBorder="1" applyAlignment="1" applyProtection="1"/>
    <xf numFmtId="0" fontId="0" fillId="0" borderId="1305" xfId="6" applyFont="1" applyBorder="1" applyProtection="1"/>
    <xf numFmtId="0" fontId="135" fillId="31" borderId="928" xfId="2" applyFont="1" applyFill="1" applyBorder="1" applyAlignment="1" applyProtection="1">
      <alignment horizontal="center" vertical="center"/>
      <protection locked="0"/>
    </xf>
    <xf numFmtId="0" fontId="135" fillId="31" borderId="800" xfId="2" applyFont="1" applyFill="1" applyBorder="1" applyAlignment="1" applyProtection="1">
      <alignment horizontal="center" vertical="center"/>
      <protection locked="0"/>
    </xf>
    <xf numFmtId="0" fontId="135" fillId="31" borderId="801" xfId="2" applyFont="1" applyFill="1" applyBorder="1" applyAlignment="1" applyProtection="1">
      <alignment horizontal="center" vertical="center"/>
      <protection locked="0"/>
    </xf>
    <xf numFmtId="0" fontId="24" fillId="0" borderId="1317" xfId="10" applyFont="1" applyFill="1" applyBorder="1" applyAlignment="1" applyProtection="1">
      <alignment vertical="center" wrapText="1"/>
    </xf>
    <xf numFmtId="0" fontId="21" fillId="0" borderId="1318" xfId="0" applyFont="1" applyBorder="1" applyAlignment="1" applyProtection="1">
      <alignment horizontal="center" vertical="center"/>
    </xf>
    <xf numFmtId="1" fontId="21" fillId="0" borderId="1321" xfId="0" applyNumberFormat="1" applyFont="1" applyBorder="1" applyAlignment="1" applyProtection="1">
      <alignment horizontal="center"/>
    </xf>
    <xf numFmtId="0" fontId="21" fillId="0" borderId="1321" xfId="0" applyFont="1" applyBorder="1" applyAlignment="1" applyProtection="1">
      <alignment horizontal="center"/>
    </xf>
    <xf numFmtId="1" fontId="21" fillId="0" borderId="1321" xfId="0" applyNumberFormat="1" applyFont="1" applyBorder="1" applyAlignment="1" applyProtection="1">
      <alignment horizontal="center" vertical="center"/>
    </xf>
    <xf numFmtId="1" fontId="21" fillId="0" borderId="1320" xfId="0" applyNumberFormat="1" applyFont="1" applyBorder="1" applyAlignment="1" applyProtection="1">
      <alignment horizontal="center"/>
    </xf>
    <xf numFmtId="1" fontId="21" fillId="0" borderId="1319" xfId="0" applyNumberFormat="1" applyFont="1" applyBorder="1" applyAlignment="1" applyProtection="1">
      <alignment horizontal="center"/>
    </xf>
    <xf numFmtId="0" fontId="0" fillId="5" borderId="747" xfId="0" applyFont="1" applyFill="1" applyBorder="1" applyAlignment="1" applyProtection="1">
      <alignment vertical="center" wrapText="1"/>
      <protection locked="0"/>
    </xf>
    <xf numFmtId="0" fontId="0" fillId="5" borderId="748" xfId="0" applyFont="1" applyFill="1" applyBorder="1" applyAlignment="1" applyProtection="1">
      <alignment vertical="center" wrapText="1"/>
      <protection locked="0"/>
    </xf>
    <xf numFmtId="0" fontId="0" fillId="5" borderId="749" xfId="0" applyFont="1" applyFill="1" applyBorder="1" applyAlignment="1" applyProtection="1">
      <alignment vertical="center" wrapText="1"/>
      <protection locked="0"/>
    </xf>
    <xf numFmtId="0" fontId="0" fillId="5" borderId="750" xfId="0" applyFont="1" applyFill="1" applyBorder="1" applyAlignment="1" applyProtection="1">
      <alignment vertical="center" wrapText="1"/>
      <protection locked="0"/>
    </xf>
    <xf numFmtId="0" fontId="6" fillId="0" borderId="0" xfId="7" applyFont="1"/>
    <xf numFmtId="0" fontId="142" fillId="39" borderId="67" xfId="4" applyFont="1" applyFill="1" applyBorder="1" applyAlignment="1" applyProtection="1">
      <alignment horizontal="left" vertical="center" readingOrder="1"/>
      <protection locked="0"/>
    </xf>
    <xf numFmtId="0" fontId="142" fillId="39" borderId="68" xfId="4" applyFont="1" applyFill="1" applyBorder="1" applyAlignment="1" applyProtection="1">
      <alignment horizontal="left" vertical="center" readingOrder="1"/>
      <protection locked="0"/>
    </xf>
    <xf numFmtId="0" fontId="142" fillId="39" borderId="390" xfId="4" applyFont="1" applyFill="1" applyBorder="1" applyAlignment="1" applyProtection="1">
      <alignment horizontal="left" vertical="center" readingOrder="1"/>
      <protection locked="0"/>
    </xf>
    <xf numFmtId="0" fontId="52" fillId="26" borderId="274" xfId="2" applyFont="1" applyFill="1" applyBorder="1" applyAlignment="1" applyProtection="1">
      <alignment horizontal="center" vertical="center"/>
      <protection locked="0"/>
    </xf>
    <xf numFmtId="0" fontId="52" fillId="26" borderId="361" xfId="2" applyFont="1" applyFill="1" applyBorder="1" applyAlignment="1" applyProtection="1">
      <alignment horizontal="center" vertical="center"/>
      <protection locked="0"/>
    </xf>
    <xf numFmtId="0" fontId="1" fillId="3" borderId="1329" xfId="0" applyFont="1" applyFill="1" applyBorder="1" applyAlignment="1">
      <alignment horizontal="center" vertical="center"/>
    </xf>
    <xf numFmtId="0" fontId="1" fillId="3" borderId="693" xfId="0" applyFont="1" applyFill="1" applyBorder="1" applyAlignment="1">
      <alignment vertical="center"/>
    </xf>
    <xf numFmtId="0" fontId="0" fillId="0" borderId="1330" xfId="0" applyFont="1" applyBorder="1" applyAlignment="1">
      <alignment horizontal="center"/>
    </xf>
    <xf numFmtId="0" fontId="0" fillId="0" borderId="1330" xfId="0" applyFont="1" applyFill="1" applyBorder="1" applyAlignment="1">
      <alignment horizontal="center"/>
    </xf>
    <xf numFmtId="0" fontId="1" fillId="0" borderId="689" xfId="0" applyFont="1" applyBorder="1"/>
    <xf numFmtId="172" fontId="0" fillId="26" borderId="1330" xfId="0" applyNumberFormat="1" applyFont="1" applyFill="1" applyBorder="1" applyAlignment="1">
      <alignment horizontal="center"/>
    </xf>
    <xf numFmtId="0" fontId="0" fillId="26" borderId="1330" xfId="0" applyFont="1" applyFill="1" applyBorder="1" applyAlignment="1">
      <alignment horizontal="center"/>
    </xf>
    <xf numFmtId="9" fontId="0" fillId="26" borderId="1330" xfId="0" applyNumberFormat="1" applyFont="1" applyFill="1" applyBorder="1" applyAlignment="1">
      <alignment horizontal="center"/>
    </xf>
    <xf numFmtId="0" fontId="0" fillId="26" borderId="1331" xfId="0" applyFont="1" applyFill="1" applyBorder="1" applyAlignment="1">
      <alignment horizontal="center"/>
    </xf>
    <xf numFmtId="3" fontId="171" fillId="0" borderId="0" xfId="2" applyNumberFormat="1" applyFont="1" applyBorder="1" applyAlignment="1" applyProtection="1">
      <alignment horizontal="right"/>
    </xf>
    <xf numFmtId="0" fontId="0" fillId="0" borderId="168" xfId="9" applyFont="1" applyFill="1" applyBorder="1" applyAlignment="1">
      <alignment vertical="center"/>
    </xf>
    <xf numFmtId="0" fontId="11" fillId="0" borderId="0" xfId="9" applyFill="1" applyBorder="1" applyAlignment="1">
      <alignment vertical="center"/>
    </xf>
    <xf numFmtId="0" fontId="37" fillId="0" borderId="0" xfId="9" applyFont="1" applyFill="1" applyBorder="1" applyAlignment="1">
      <alignment horizontal="center" vertical="center" wrapText="1"/>
    </xf>
    <xf numFmtId="0" fontId="11" fillId="0" borderId="0" xfId="9" applyFill="1" applyBorder="1"/>
    <xf numFmtId="0" fontId="0" fillId="0" borderId="0" xfId="9" applyFont="1" applyFill="1" applyBorder="1"/>
    <xf numFmtId="9" fontId="0" fillId="26" borderId="464" xfId="3" applyNumberFormat="1" applyFont="1" applyFill="1" applyBorder="1" applyAlignment="1" applyProtection="1">
      <alignment horizontal="center" vertical="center" wrapText="1"/>
      <protection locked="0"/>
    </xf>
    <xf numFmtId="9" fontId="0" fillId="26" borderId="124" xfId="3" applyNumberFormat="1" applyFont="1" applyFill="1" applyBorder="1" applyAlignment="1" applyProtection="1">
      <alignment horizontal="center" vertical="center" wrapText="1"/>
      <protection locked="0"/>
    </xf>
    <xf numFmtId="1" fontId="22" fillId="26" borderId="1002" xfId="2" applyNumberFormat="1" applyFont="1" applyFill="1" applyBorder="1" applyAlignment="1">
      <alignment horizontal="center"/>
    </xf>
    <xf numFmtId="3" fontId="173" fillId="25" borderId="541" xfId="2" applyNumberFormat="1" applyFont="1" applyFill="1" applyBorder="1" applyAlignment="1">
      <alignment horizontal="center"/>
    </xf>
    <xf numFmtId="170" fontId="11" fillId="0" borderId="533" xfId="6" applyNumberFormat="1" applyFont="1" applyFill="1" applyBorder="1" applyAlignment="1" applyProtection="1">
      <alignment horizontal="center" vertical="center"/>
      <protection locked="0"/>
    </xf>
    <xf numFmtId="3" fontId="22" fillId="0" borderId="1255" xfId="6" applyNumberFormat="1" applyFont="1" applyFill="1" applyBorder="1" applyAlignment="1" applyProtection="1">
      <alignment horizontal="center" vertical="center"/>
    </xf>
    <xf numFmtId="3" fontId="25" fillId="7" borderId="531" xfId="6" applyNumberFormat="1" applyFont="1" applyFill="1" applyBorder="1" applyAlignment="1" applyProtection="1">
      <alignment horizontal="center" vertical="center"/>
    </xf>
    <xf numFmtId="3" fontId="52" fillId="0" borderId="536" xfId="2" applyNumberFormat="1" applyFont="1" applyBorder="1" applyAlignment="1" applyProtection="1"/>
    <xf numFmtId="3" fontId="25" fillId="0" borderId="1121" xfId="2" applyNumberFormat="1" applyFont="1" applyBorder="1" applyAlignment="1">
      <alignment horizontal="center"/>
    </xf>
    <xf numFmtId="0" fontId="0" fillId="0" borderId="710" xfId="0" applyFont="1" applyBorder="1"/>
    <xf numFmtId="0" fontId="157" fillId="40" borderId="794" xfId="2" applyFont="1" applyFill="1" applyBorder="1" applyAlignment="1" applyProtection="1">
      <alignment horizontal="center" vertical="center" wrapText="1"/>
    </xf>
    <xf numFmtId="0" fontId="157" fillId="40" borderId="1032" xfId="2" applyFont="1" applyFill="1" applyBorder="1" applyAlignment="1" applyProtection="1">
      <alignment horizontal="center" vertical="center" wrapText="1"/>
    </xf>
    <xf numFmtId="0" fontId="40" fillId="27" borderId="252" xfId="0" applyFont="1" applyFill="1" applyBorder="1" applyAlignment="1" applyProtection="1">
      <alignment horizontal="left" vertical="center"/>
    </xf>
    <xf numFmtId="0" fontId="40" fillId="27" borderId="253" xfId="0" applyFont="1" applyFill="1" applyBorder="1" applyAlignment="1" applyProtection="1">
      <alignment horizontal="left" vertical="center"/>
    </xf>
    <xf numFmtId="173" fontId="0" fillId="0" borderId="0" xfId="81" applyNumberFormat="1" applyFont="1" applyBorder="1" applyAlignment="1" applyProtection="1">
      <alignment vertical="center"/>
    </xf>
    <xf numFmtId="173" fontId="0" fillId="0" borderId="0" xfId="81" applyNumberFormat="1" applyFont="1" applyBorder="1" applyAlignment="1" applyProtection="1">
      <alignment horizontal="left" vertical="center"/>
    </xf>
    <xf numFmtId="180" fontId="6" fillId="0" borderId="671" xfId="2" applyNumberFormat="1" applyFont="1" applyBorder="1" applyAlignment="1">
      <alignment horizontal="center" vertical="center"/>
    </xf>
    <xf numFmtId="180" fontId="6" fillId="0" borderId="671" xfId="2" applyNumberFormat="1" applyFont="1" applyFill="1" applyBorder="1" applyAlignment="1">
      <alignment horizontal="center" vertical="center"/>
    </xf>
    <xf numFmtId="3" fontId="31" fillId="25" borderId="671" xfId="2" applyNumberFormat="1" applyFont="1" applyFill="1" applyBorder="1" applyAlignment="1">
      <alignment horizontal="center" vertical="center"/>
    </xf>
    <xf numFmtId="3" fontId="31" fillId="25" borderId="670" xfId="2" applyNumberFormat="1" applyFont="1" applyFill="1" applyBorder="1" applyAlignment="1">
      <alignment horizontal="center" vertical="center"/>
    </xf>
    <xf numFmtId="3" fontId="6" fillId="0" borderId="660" xfId="2" applyNumberFormat="1" applyFont="1" applyBorder="1" applyAlignment="1">
      <alignment horizontal="center" vertical="center"/>
    </xf>
    <xf numFmtId="3" fontId="6" fillId="0" borderId="659" xfId="2" applyNumberFormat="1" applyFont="1" applyBorder="1" applyAlignment="1">
      <alignment horizontal="center" vertical="center"/>
    </xf>
    <xf numFmtId="3" fontId="6" fillId="0" borderId="659" xfId="3" applyNumberFormat="1" applyFont="1" applyFill="1" applyBorder="1" applyAlignment="1">
      <alignment horizontal="center" vertical="center"/>
    </xf>
    <xf numFmtId="3" fontId="6" fillId="0" borderId="951" xfId="2" applyNumberFormat="1" applyFont="1" applyBorder="1"/>
    <xf numFmtId="3" fontId="6" fillId="0" borderId="659" xfId="2" applyNumberFormat="1" applyFont="1" applyFill="1" applyBorder="1" applyAlignment="1">
      <alignment horizontal="center" vertical="center"/>
    </xf>
    <xf numFmtId="3" fontId="6" fillId="0" borderId="951" xfId="2" applyNumberFormat="1" applyFont="1" applyBorder="1" applyAlignment="1">
      <alignment horizontal="center" vertical="center"/>
    </xf>
    <xf numFmtId="3" fontId="31" fillId="25" borderId="658" xfId="2" applyNumberFormat="1" applyFont="1" applyFill="1" applyBorder="1" applyAlignment="1">
      <alignment horizontal="center" vertical="center"/>
    </xf>
    <xf numFmtId="3" fontId="31" fillId="25" borderId="659" xfId="2" applyNumberFormat="1" applyFont="1" applyFill="1" applyBorder="1" applyAlignment="1">
      <alignment horizontal="center" vertical="center"/>
    </xf>
    <xf numFmtId="3" fontId="6" fillId="0" borderId="671" xfId="2" applyNumberFormat="1" applyFont="1" applyFill="1" applyBorder="1" applyAlignment="1">
      <alignment horizontal="center" vertical="center"/>
    </xf>
    <xf numFmtId="3" fontId="6" fillId="0" borderId="658" xfId="2" applyNumberFormat="1" applyFont="1" applyBorder="1" applyAlignment="1">
      <alignment horizontal="center" vertical="center"/>
    </xf>
    <xf numFmtId="3" fontId="31" fillId="0" borderId="659" xfId="2" applyNumberFormat="1" applyFont="1" applyBorder="1" applyAlignment="1">
      <alignment horizontal="center" vertical="center"/>
    </xf>
    <xf numFmtId="3" fontId="6" fillId="0" borderId="658" xfId="2" applyNumberFormat="1" applyFont="1" applyFill="1" applyBorder="1" applyAlignment="1">
      <alignment horizontal="center" vertical="center"/>
    </xf>
    <xf numFmtId="180" fontId="6" fillId="0" borderId="659" xfId="2" applyNumberFormat="1" applyFont="1" applyFill="1" applyBorder="1" applyAlignment="1">
      <alignment horizontal="center" vertical="center"/>
    </xf>
    <xf numFmtId="180" fontId="6" fillId="0" borderId="659" xfId="2" applyNumberFormat="1" applyFont="1" applyBorder="1" applyAlignment="1">
      <alignment horizontal="center" vertical="center"/>
    </xf>
    <xf numFmtId="0" fontId="31" fillId="34" borderId="1356" xfId="2" applyFont="1" applyFill="1" applyBorder="1" applyAlignment="1">
      <alignment horizontal="center" vertical="center"/>
    </xf>
    <xf numFmtId="0" fontId="0" fillId="39" borderId="42" xfId="0" applyFont="1" applyFill="1" applyBorder="1" applyAlignment="1" applyProtection="1">
      <alignment horizontal="center" vertical="center"/>
      <protection locked="0"/>
    </xf>
    <xf numFmtId="0" fontId="69" fillId="0" borderId="0" xfId="0" quotePrefix="1" applyFont="1" applyFill="1" applyAlignment="1" applyProtection="1">
      <alignment wrapText="1"/>
    </xf>
    <xf numFmtId="0" fontId="35" fillId="0" borderId="1364" xfId="2" applyFont="1" applyFill="1" applyBorder="1" applyAlignment="1" applyProtection="1">
      <alignment horizontal="left" vertical="center"/>
      <protection locked="0"/>
    </xf>
    <xf numFmtId="0" fontId="35" fillId="0" borderId="1365" xfId="2" applyFont="1" applyFill="1" applyBorder="1" applyAlignment="1" applyProtection="1">
      <alignment horizontal="left" vertical="center"/>
      <protection locked="0"/>
    </xf>
    <xf numFmtId="9" fontId="130" fillId="0" borderId="0" xfId="3" applyFont="1" applyFill="1" applyBorder="1" applyAlignment="1" applyProtection="1">
      <alignment horizontal="center"/>
    </xf>
    <xf numFmtId="1" fontId="25" fillId="0" borderId="539" xfId="6" applyNumberFormat="1" applyFont="1" applyFill="1" applyBorder="1" applyAlignment="1" applyProtection="1">
      <alignment horizontal="center"/>
    </xf>
    <xf numFmtId="1" fontId="25" fillId="0" borderId="1055" xfId="6" applyNumberFormat="1" applyFont="1" applyFill="1" applyBorder="1" applyAlignment="1" applyProtection="1">
      <alignment horizontal="center"/>
    </xf>
    <xf numFmtId="3" fontId="52" fillId="0" borderId="1258" xfId="2" applyNumberFormat="1" applyFont="1" applyBorder="1" applyAlignment="1" applyProtection="1"/>
    <xf numFmtId="3" fontId="17" fillId="0" borderId="589" xfId="6" applyNumberFormat="1" applyFont="1" applyFill="1" applyBorder="1" applyAlignment="1" applyProtection="1">
      <alignment horizontal="center" vertical="center" wrapText="1"/>
    </xf>
    <xf numFmtId="3" fontId="52" fillId="0" borderId="1370" xfId="2" applyNumberFormat="1" applyFont="1" applyBorder="1" applyAlignment="1" applyProtection="1"/>
    <xf numFmtId="178" fontId="97" fillId="0" borderId="1371" xfId="6" applyNumberFormat="1" applyFont="1" applyFill="1" applyBorder="1" applyAlignment="1" applyProtection="1">
      <alignment horizontal="center" vertical="center"/>
    </xf>
    <xf numFmtId="178" fontId="125" fillId="0" borderId="1372" xfId="6" applyNumberFormat="1" applyFont="1" applyFill="1" applyBorder="1" applyAlignment="1" applyProtection="1">
      <alignment horizontal="center" vertical="center"/>
    </xf>
    <xf numFmtId="9" fontId="25" fillId="26" borderId="1332" xfId="3" applyFont="1" applyFill="1" applyBorder="1" applyAlignment="1" applyProtection="1">
      <alignment horizontal="center"/>
    </xf>
    <xf numFmtId="9" fontId="25" fillId="26" borderId="1333" xfId="3" applyFont="1" applyFill="1" applyBorder="1" applyAlignment="1" applyProtection="1">
      <alignment horizontal="center"/>
    </xf>
    <xf numFmtId="9" fontId="25" fillId="26" borderId="1334" xfId="3" applyFont="1" applyFill="1" applyBorder="1" applyAlignment="1" applyProtection="1">
      <alignment horizontal="center"/>
    </xf>
    <xf numFmtId="0" fontId="52" fillId="7" borderId="533" xfId="6" applyFont="1" applyFill="1" applyBorder="1" applyAlignment="1" applyProtection="1">
      <alignment horizontal="center" vertical="center" wrapText="1"/>
    </xf>
    <xf numFmtId="0" fontId="176" fillId="3" borderId="1329"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left"/>
    </xf>
    <xf numFmtId="0" fontId="0" fillId="26" borderId="333" xfId="0" applyFill="1" applyBorder="1" applyAlignment="1">
      <alignment horizontal="center"/>
    </xf>
    <xf numFmtId="0" fontId="0" fillId="8" borderId="1377" xfId="0" applyFont="1" applyFill="1" applyBorder="1" applyAlignment="1">
      <alignment vertical="center"/>
    </xf>
    <xf numFmtId="0" fontId="0" fillId="8" borderId="1377" xfId="0" applyFont="1" applyFill="1" applyBorder="1" applyAlignment="1"/>
    <xf numFmtId="0" fontId="0" fillId="0" borderId="0" xfId="0" applyFont="1" applyBorder="1" applyAlignment="1">
      <alignment horizontal="center"/>
    </xf>
    <xf numFmtId="0" fontId="0" fillId="0" borderId="1380" xfId="0" applyFont="1" applyBorder="1" applyAlignment="1">
      <alignment horizontal="center"/>
    </xf>
    <xf numFmtId="0" fontId="0" fillId="8" borderId="1377" xfId="0" applyFont="1" applyFill="1" applyBorder="1"/>
    <xf numFmtId="0" fontId="0" fillId="8" borderId="1377" xfId="0" applyFont="1" applyFill="1" applyBorder="1" applyAlignment="1" applyProtection="1"/>
    <xf numFmtId="0" fontId="0" fillId="8" borderId="0" xfId="0" applyFont="1" applyFill="1" applyBorder="1" applyAlignment="1" applyProtection="1"/>
    <xf numFmtId="0" fontId="21" fillId="3" borderId="231" xfId="0" applyFont="1" applyFill="1" applyBorder="1" applyAlignment="1" applyProtection="1"/>
    <xf numFmtId="0" fontId="21" fillId="3" borderId="169" xfId="0" applyFont="1" applyFill="1" applyBorder="1" applyAlignment="1" applyProtection="1"/>
    <xf numFmtId="0" fontId="0" fillId="8" borderId="1380" xfId="0" applyFont="1" applyFill="1" applyBorder="1"/>
    <xf numFmtId="0" fontId="0" fillId="0" borderId="1377" xfId="0" applyFont="1" applyBorder="1"/>
    <xf numFmtId="0" fontId="0" fillId="0" borderId="1378" xfId="0" applyFont="1" applyBorder="1" applyAlignment="1"/>
    <xf numFmtId="0" fontId="0" fillId="0" borderId="1380" xfId="0" applyFont="1" applyBorder="1"/>
    <xf numFmtId="0" fontId="0" fillId="0" borderId="0" xfId="0" applyFont="1" applyFill="1" applyBorder="1" applyAlignment="1"/>
    <xf numFmtId="0" fontId="0" fillId="0" borderId="1381" xfId="0" applyFont="1" applyBorder="1"/>
    <xf numFmtId="0" fontId="0" fillId="0" borderId="1382" xfId="0" applyFont="1" applyFill="1" applyBorder="1" applyAlignment="1"/>
    <xf numFmtId="0" fontId="0" fillId="0" borderId="1382" xfId="0" applyFont="1" applyBorder="1"/>
    <xf numFmtId="0" fontId="0" fillId="0" borderId="1383" xfId="0" applyFont="1" applyBorder="1"/>
    <xf numFmtId="0" fontId="26" fillId="0" borderId="0" xfId="0" applyFont="1" applyAlignment="1" applyProtection="1">
      <alignment horizontal="left" vertical="center"/>
    </xf>
    <xf numFmtId="0" fontId="0" fillId="0" borderId="0" xfId="0" applyFont="1" applyBorder="1" applyAlignment="1" applyProtection="1">
      <alignment horizontal="center"/>
    </xf>
    <xf numFmtId="0" fontId="16" fillId="7" borderId="383" xfId="6" applyNumberFormat="1" applyFont="1" applyFill="1" applyBorder="1" applyAlignment="1" applyProtection="1">
      <alignment horizontal="center" vertical="center"/>
    </xf>
    <xf numFmtId="3" fontId="22" fillId="0" borderId="1395" xfId="6" applyNumberFormat="1" applyFont="1" applyFill="1" applyBorder="1" applyAlignment="1" applyProtection="1">
      <alignment horizontal="center" vertical="center"/>
    </xf>
    <xf numFmtId="3" fontId="22" fillId="0" borderId="569" xfId="6" applyNumberFormat="1" applyFont="1" applyFill="1" applyBorder="1" applyAlignment="1" applyProtection="1">
      <alignment horizontal="center" vertical="center"/>
    </xf>
    <xf numFmtId="9" fontId="16" fillId="0" borderId="583" xfId="3" applyFont="1" applyFill="1" applyBorder="1" applyAlignment="1" applyProtection="1"/>
    <xf numFmtId="9" fontId="16" fillId="0" borderId="569" xfId="3" applyFont="1" applyFill="1" applyBorder="1" applyAlignment="1" applyProtection="1"/>
    <xf numFmtId="9" fontId="16" fillId="0" borderId="584" xfId="3" applyFont="1" applyFill="1" applyBorder="1" applyAlignment="1" applyProtection="1"/>
    <xf numFmtId="3" fontId="52" fillId="0" borderId="558" xfId="2" applyNumberFormat="1" applyFont="1" applyBorder="1"/>
    <xf numFmtId="3" fontId="52" fillId="0" borderId="559" xfId="2" applyNumberFormat="1" applyFont="1" applyBorder="1"/>
    <xf numFmtId="3" fontId="52" fillId="0" borderId="1400" xfId="2" applyNumberFormat="1" applyFont="1" applyBorder="1"/>
    <xf numFmtId="9" fontId="97" fillId="0" borderId="1399" xfId="3" applyFont="1" applyBorder="1" applyAlignment="1" applyProtection="1">
      <alignment horizontal="center"/>
    </xf>
    <xf numFmtId="0" fontId="1" fillId="0" borderId="812" xfId="81" applyFont="1" applyFill="1" applyBorder="1" applyAlignment="1" applyProtection="1">
      <alignment horizontal="left" vertical="center"/>
      <protection locked="0"/>
    </xf>
    <xf numFmtId="0" fontId="1" fillId="0" borderId="824" xfId="81" applyFont="1" applyFill="1" applyBorder="1" applyAlignment="1" applyProtection="1">
      <alignment horizontal="left" vertical="center"/>
      <protection locked="0"/>
    </xf>
    <xf numFmtId="0" fontId="6" fillId="31" borderId="826" xfId="81" applyFont="1" applyFill="1" applyBorder="1" applyAlignment="1" applyProtection="1">
      <alignment horizontal="center" vertical="center"/>
      <protection locked="0"/>
    </xf>
    <xf numFmtId="0" fontId="0" fillId="31" borderId="812" xfId="81" applyFont="1" applyFill="1" applyBorder="1" applyAlignment="1" applyProtection="1">
      <alignment horizontal="center" vertical="center"/>
      <protection locked="0"/>
    </xf>
    <xf numFmtId="0" fontId="0" fillId="31" borderId="824" xfId="81" applyFont="1" applyFill="1" applyBorder="1" applyAlignment="1" applyProtection="1">
      <alignment horizontal="center" vertical="center"/>
      <protection locked="0"/>
    </xf>
    <xf numFmtId="0" fontId="11" fillId="31" borderId="826" xfId="81" applyFont="1" applyFill="1" applyBorder="1" applyAlignment="1" applyProtection="1">
      <alignment horizontal="center" vertical="center"/>
      <protection locked="0"/>
    </xf>
    <xf numFmtId="0" fontId="6" fillId="31" borderId="824" xfId="81" applyFont="1" applyFill="1" applyBorder="1" applyAlignment="1" applyProtection="1">
      <alignment horizontal="center" vertical="center"/>
      <protection locked="0"/>
    </xf>
    <xf numFmtId="0" fontId="0" fillId="31" borderId="826" xfId="81" applyFont="1" applyFill="1" applyBorder="1" applyAlignment="1" applyProtection="1">
      <alignment horizontal="center" vertical="center"/>
      <protection locked="0"/>
    </xf>
    <xf numFmtId="0" fontId="11" fillId="31" borderId="826" xfId="81" applyFill="1" applyBorder="1" applyAlignment="1" applyProtection="1">
      <alignment horizontal="center" vertical="center"/>
      <protection locked="0"/>
    </xf>
    <xf numFmtId="0" fontId="11" fillId="31" borderId="812" xfId="81" applyFill="1" applyBorder="1" applyAlignment="1" applyProtection="1">
      <alignment horizontal="center" vertical="center"/>
      <protection locked="0"/>
    </xf>
    <xf numFmtId="0" fontId="11" fillId="31" borderId="824" xfId="81" applyFill="1" applyBorder="1" applyAlignment="1" applyProtection="1">
      <alignment horizontal="center" vertical="center"/>
      <protection locked="0"/>
    </xf>
    <xf numFmtId="0" fontId="6" fillId="31" borderId="812" xfId="81" applyFont="1" applyFill="1" applyBorder="1" applyAlignment="1" applyProtection="1">
      <alignment horizontal="center" vertical="center"/>
      <protection locked="0"/>
    </xf>
    <xf numFmtId="0" fontId="11" fillId="31" borderId="812" xfId="81" applyFont="1" applyFill="1" applyBorder="1" applyAlignment="1" applyProtection="1">
      <alignment horizontal="center" vertical="center"/>
      <protection locked="0"/>
    </xf>
    <xf numFmtId="0" fontId="11" fillId="31" borderId="824" xfId="81" applyFont="1" applyFill="1" applyBorder="1" applyAlignment="1" applyProtection="1">
      <alignment horizontal="center" vertical="center"/>
      <protection locked="0"/>
    </xf>
    <xf numFmtId="0" fontId="0" fillId="31" borderId="824" xfId="81" applyFont="1" applyFill="1" applyBorder="1" applyAlignment="1" applyProtection="1">
      <alignment vertical="center"/>
      <protection locked="0"/>
    </xf>
    <xf numFmtId="0" fontId="0" fillId="31" borderId="829" xfId="81" applyFont="1" applyFill="1" applyBorder="1" applyAlignment="1" applyProtection="1">
      <alignment vertical="center"/>
      <protection locked="0"/>
    </xf>
    <xf numFmtId="0" fontId="11" fillId="31" borderId="815" xfId="81" applyFill="1" applyBorder="1" applyAlignment="1" applyProtection="1">
      <alignment horizontal="center" vertical="center"/>
      <protection locked="0"/>
    </xf>
    <xf numFmtId="0" fontId="0" fillId="31" borderId="1143" xfId="81" applyFont="1" applyFill="1" applyBorder="1" applyAlignment="1" applyProtection="1">
      <alignment horizontal="center" vertical="center"/>
      <protection locked="0"/>
    </xf>
    <xf numFmtId="1" fontId="24" fillId="0" borderId="803" xfId="2" applyNumberFormat="1" applyFont="1" applyFill="1" applyBorder="1" applyAlignment="1" applyProtection="1">
      <alignment horizontal="center" vertical="center"/>
    </xf>
    <xf numFmtId="0" fontId="52" fillId="26" borderId="360" xfId="2" applyFont="1" applyFill="1" applyBorder="1" applyAlignment="1" applyProtection="1">
      <alignment horizontal="center" vertical="center"/>
      <protection locked="0"/>
    </xf>
    <xf numFmtId="9" fontId="1" fillId="0" borderId="74" xfId="3" applyFont="1" applyFill="1" applyBorder="1" applyAlignment="1" applyProtection="1">
      <alignment vertical="center"/>
    </xf>
    <xf numFmtId="9" fontId="1" fillId="0" borderId="392" xfId="3" quotePrefix="1" applyFont="1" applyBorder="1" applyAlignment="1" applyProtection="1">
      <alignment vertical="top"/>
    </xf>
    <xf numFmtId="188" fontId="17" fillId="76" borderId="533" xfId="6" applyNumberFormat="1" applyFont="1" applyFill="1" applyBorder="1" applyAlignment="1" applyProtection="1">
      <alignment horizontal="center" vertical="center" wrapText="1"/>
    </xf>
    <xf numFmtId="189" fontId="17" fillId="0" borderId="533" xfId="6" applyNumberFormat="1" applyFont="1" applyFill="1" applyBorder="1" applyAlignment="1" applyProtection="1">
      <alignment horizontal="center" vertical="center" wrapText="1"/>
    </xf>
    <xf numFmtId="3" fontId="17" fillId="76" borderId="560" xfId="6" applyNumberFormat="1" applyFont="1" applyFill="1" applyBorder="1" applyAlignment="1" applyProtection="1">
      <alignment horizontal="center" vertical="center" wrapText="1"/>
    </xf>
    <xf numFmtId="189" fontId="17" fillId="0" borderId="560" xfId="6" applyNumberFormat="1" applyFont="1" applyFill="1" applyBorder="1" applyAlignment="1" applyProtection="1">
      <alignment horizontal="center" vertical="center" wrapText="1"/>
    </xf>
    <xf numFmtId="3" fontId="17" fillId="76" borderId="589" xfId="6" applyNumberFormat="1" applyFont="1" applyFill="1" applyBorder="1" applyAlignment="1" applyProtection="1">
      <alignment horizontal="center" vertical="center" wrapText="1"/>
    </xf>
    <xf numFmtId="189" fontId="17" fillId="0" borderId="589" xfId="6" applyNumberFormat="1" applyFont="1" applyFill="1" applyBorder="1" applyAlignment="1" applyProtection="1">
      <alignment horizontal="center" vertical="center" wrapText="1"/>
    </xf>
    <xf numFmtId="189" fontId="17" fillId="0" borderId="533" xfId="6" applyNumberFormat="1" applyFont="1" applyFill="1" applyBorder="1" applyAlignment="1" applyProtection="1">
      <alignment horizontal="center"/>
    </xf>
    <xf numFmtId="1" fontId="175" fillId="3" borderId="928" xfId="2" applyNumberFormat="1" applyFont="1" applyFill="1" applyBorder="1" applyAlignment="1" applyProtection="1">
      <alignment horizontal="center" vertical="center"/>
      <protection locked="0"/>
    </xf>
    <xf numFmtId="1" fontId="52" fillId="0" borderId="0" xfId="2" applyNumberFormat="1" applyFont="1" applyAlignment="1">
      <alignment horizontal="center" vertical="center"/>
    </xf>
    <xf numFmtId="1" fontId="138" fillId="3" borderId="928" xfId="2" applyNumberFormat="1" applyFont="1" applyFill="1" applyBorder="1" applyAlignment="1" applyProtection="1">
      <alignment horizontal="center" vertical="center"/>
      <protection locked="0"/>
    </xf>
    <xf numFmtId="1" fontId="138" fillId="3" borderId="800" xfId="2" applyNumberFormat="1" applyFont="1" applyFill="1" applyBorder="1" applyAlignment="1" applyProtection="1">
      <alignment horizontal="center" vertical="center"/>
      <protection locked="0"/>
    </xf>
    <xf numFmtId="1" fontId="138" fillId="3" borderId="801" xfId="2" applyNumberFormat="1" applyFont="1" applyFill="1" applyBorder="1" applyAlignment="1" applyProtection="1">
      <alignment horizontal="center" vertical="center"/>
      <protection locked="0"/>
    </xf>
    <xf numFmtId="1" fontId="24" fillId="0" borderId="1038" xfId="2" applyNumberFormat="1" applyFont="1" applyFill="1" applyBorder="1" applyAlignment="1" applyProtection="1">
      <alignment horizontal="center" vertical="center"/>
    </xf>
    <xf numFmtId="1" fontId="24" fillId="0" borderId="804" xfId="2" applyNumberFormat="1" applyFont="1" applyFill="1" applyBorder="1" applyAlignment="1" applyProtection="1">
      <alignment horizontal="center" vertical="center"/>
    </xf>
    <xf numFmtId="0" fontId="52" fillId="26" borderId="363" xfId="2" applyFont="1" applyFill="1" applyBorder="1" applyAlignment="1" applyProtection="1">
      <alignment horizontal="center" vertical="center" wrapText="1"/>
      <protection locked="0"/>
    </xf>
    <xf numFmtId="0" fontId="52" fillId="5" borderId="363" xfId="2" applyFont="1" applyFill="1" applyBorder="1" applyAlignment="1" applyProtection="1">
      <alignment horizontal="center" vertical="center" wrapText="1"/>
      <protection locked="0"/>
    </xf>
    <xf numFmtId="0" fontId="52" fillId="5" borderId="274" xfId="2" applyFont="1" applyFill="1" applyBorder="1" applyAlignment="1" applyProtection="1">
      <alignment horizontal="center" vertical="center" wrapText="1"/>
      <protection locked="0"/>
    </xf>
    <xf numFmtId="0" fontId="52" fillId="5" borderId="364" xfId="2" applyFont="1" applyFill="1" applyBorder="1" applyAlignment="1" applyProtection="1">
      <alignment horizontal="center" vertical="center" wrapText="1"/>
      <protection locked="0"/>
    </xf>
    <xf numFmtId="0" fontId="52" fillId="26" borderId="361" xfId="2" applyFont="1" applyFill="1" applyBorder="1" applyAlignment="1" applyProtection="1">
      <alignment horizontal="center" vertical="center" wrapText="1"/>
      <protection locked="0"/>
    </xf>
    <xf numFmtId="0" fontId="52" fillId="26" borderId="275" xfId="2" applyFont="1" applyFill="1" applyBorder="1" applyAlignment="1" applyProtection="1">
      <alignment horizontal="center" vertical="center" wrapText="1"/>
      <protection locked="0"/>
    </xf>
    <xf numFmtId="0" fontId="0" fillId="31" borderId="0" xfId="0" applyFont="1" applyFill="1" applyBorder="1" applyAlignment="1" applyProtection="1">
      <alignment horizontal="center"/>
    </xf>
    <xf numFmtId="0" fontId="0" fillId="31" borderId="1378" xfId="0" applyFont="1" applyFill="1" applyBorder="1" applyAlignment="1">
      <alignment horizontal="center"/>
    </xf>
    <xf numFmtId="9" fontId="0" fillId="31" borderId="0" xfId="3" applyFont="1" applyFill="1" applyBorder="1" applyAlignment="1">
      <alignment horizontal="center"/>
    </xf>
    <xf numFmtId="9" fontId="0" fillId="31" borderId="0" xfId="0" applyNumberFormat="1" applyFont="1" applyFill="1" applyBorder="1" applyAlignment="1">
      <alignment horizontal="center"/>
    </xf>
    <xf numFmtId="9" fontId="0" fillId="31" borderId="1378" xfId="0" applyNumberFormat="1" applyFont="1" applyFill="1" applyBorder="1" applyAlignment="1">
      <alignment horizontal="center"/>
    </xf>
    <xf numFmtId="0" fontId="0" fillId="0" borderId="0" xfId="0" applyBorder="1"/>
    <xf numFmtId="3" fontId="179" fillId="0" borderId="533" xfId="6" applyNumberFormat="1" applyFont="1" applyFill="1" applyBorder="1" applyAlignment="1" applyProtection="1">
      <alignment horizontal="center"/>
    </xf>
    <xf numFmtId="3" fontId="179" fillId="0" borderId="1097" xfId="6" applyNumberFormat="1" applyFont="1" applyFill="1" applyBorder="1" applyAlignment="1" applyProtection="1">
      <alignment horizontal="center"/>
    </xf>
    <xf numFmtId="0" fontId="0" fillId="0" borderId="689" xfId="0" applyFont="1" applyFill="1" applyBorder="1"/>
    <xf numFmtId="0" fontId="0" fillId="0" borderId="690" xfId="0" applyFont="1" applyFill="1" applyBorder="1"/>
    <xf numFmtId="0" fontId="0" fillId="0" borderId="691" xfId="0" applyFont="1" applyFill="1" applyBorder="1"/>
    <xf numFmtId="0" fontId="0" fillId="0" borderId="694" xfId="0" applyFont="1" applyFill="1" applyBorder="1"/>
    <xf numFmtId="0" fontId="0" fillId="0" borderId="692" xfId="0" applyFont="1" applyFill="1" applyBorder="1"/>
    <xf numFmtId="0" fontId="0" fillId="0" borderId="0" xfId="0" applyFont="1" applyFill="1" applyAlignment="1"/>
    <xf numFmtId="0" fontId="26" fillId="0" borderId="0" xfId="0" applyFont="1" applyAlignment="1" applyProtection="1">
      <alignment horizontal="left" vertical="center"/>
    </xf>
    <xf numFmtId="0" fontId="26" fillId="0" borderId="0" xfId="0" applyFont="1" applyAlignment="1" applyProtection="1">
      <alignment horizontal="center" vertical="center"/>
    </xf>
    <xf numFmtId="0" fontId="70" fillId="0" borderId="18" xfId="0" applyFont="1" applyFill="1" applyBorder="1" applyAlignment="1" applyProtection="1">
      <alignment horizontal="center" vertical="top" wrapText="1"/>
      <protection locked="0"/>
    </xf>
    <xf numFmtId="0" fontId="70" fillId="0" borderId="12" xfId="0" applyFont="1" applyFill="1" applyBorder="1" applyAlignment="1" applyProtection="1">
      <alignment horizontal="center" vertical="top" wrapText="1"/>
      <protection locked="0"/>
    </xf>
    <xf numFmtId="0" fontId="70" fillId="0" borderId="13" xfId="0" applyFont="1" applyFill="1" applyBorder="1" applyAlignment="1" applyProtection="1">
      <alignment horizontal="center" vertical="top" wrapText="1"/>
      <protection locked="0"/>
    </xf>
    <xf numFmtId="0" fontId="2" fillId="0" borderId="16"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protection locked="0"/>
    </xf>
    <xf numFmtId="0" fontId="70" fillId="0" borderId="387" xfId="0" applyFont="1" applyFill="1" applyBorder="1" applyAlignment="1" applyProtection="1">
      <alignment horizontal="left" vertical="top" wrapText="1"/>
      <protection locked="0"/>
    </xf>
    <xf numFmtId="0" fontId="70" fillId="0" borderId="17" xfId="0" applyFont="1" applyFill="1" applyBorder="1" applyAlignment="1" applyProtection="1">
      <alignment horizontal="left" vertical="top" wrapText="1"/>
      <protection locked="0"/>
    </xf>
    <xf numFmtId="0" fontId="70" fillId="0" borderId="32" xfId="0" applyFont="1" applyFill="1" applyBorder="1" applyAlignment="1" applyProtection="1">
      <alignment horizontal="left" vertical="top" wrapText="1"/>
      <protection locked="0"/>
    </xf>
    <xf numFmtId="0" fontId="2" fillId="0" borderId="16" xfId="0" quotePrefix="1" applyFont="1" applyFill="1" applyBorder="1" applyAlignment="1" applyProtection="1">
      <alignment horizontal="left" vertical="center"/>
      <protection locked="0"/>
    </xf>
    <xf numFmtId="0" fontId="26" fillId="0" borderId="0" xfId="0" applyFont="1" applyAlignment="1" applyProtection="1">
      <alignment horizontal="left" vertical="center" wrapText="1"/>
    </xf>
    <xf numFmtId="3" fontId="176" fillId="0" borderId="335" xfId="6" applyNumberFormat="1" applyFont="1" applyBorder="1" applyAlignment="1">
      <alignment horizontal="center" vertical="center" wrapText="1"/>
    </xf>
    <xf numFmtId="3" fontId="176" fillId="0" borderId="337" xfId="6" applyNumberFormat="1" applyFont="1" applyBorder="1" applyAlignment="1">
      <alignment horizontal="center" vertical="center" wrapText="1"/>
    </xf>
    <xf numFmtId="3" fontId="98" fillId="0" borderId="19" xfId="2" applyNumberFormat="1" applyFont="1" applyFill="1" applyBorder="1" applyAlignment="1" applyProtection="1">
      <alignment horizontal="center" vertical="center" wrapText="1"/>
    </xf>
    <xf numFmtId="3" fontId="98" fillId="0" borderId="0" xfId="2" applyNumberFormat="1" applyFont="1" applyFill="1" applyBorder="1" applyAlignment="1" applyProtection="1">
      <alignment horizontal="center" vertical="center" wrapText="1"/>
    </xf>
    <xf numFmtId="0" fontId="11" fillId="0" borderId="0" xfId="81" applyBorder="1" applyAlignment="1" applyProtection="1">
      <alignment horizontal="center" vertical="center"/>
    </xf>
    <xf numFmtId="0" fontId="6" fillId="40" borderId="812" xfId="81" applyFont="1" applyFill="1" applyBorder="1" applyAlignment="1" applyProtection="1">
      <alignment horizontal="center" vertical="center"/>
      <protection locked="0"/>
    </xf>
    <xf numFmtId="0" fontId="11" fillId="0" borderId="812" xfId="81" applyBorder="1" applyAlignment="1" applyProtection="1">
      <alignment horizontal="center" vertical="center"/>
    </xf>
    <xf numFmtId="0" fontId="11" fillId="0" borderId="813" xfId="81" applyBorder="1" applyAlignment="1" applyProtection="1">
      <alignment horizontal="center" vertical="center"/>
    </xf>
    <xf numFmtId="0" fontId="11" fillId="40" borderId="812" xfId="81" applyFill="1" applyBorder="1" applyAlignment="1" applyProtection="1">
      <alignment horizontal="center" vertical="center"/>
      <protection locked="0"/>
    </xf>
    <xf numFmtId="0" fontId="0" fillId="40" borderId="812" xfId="81" applyFont="1" applyFill="1" applyBorder="1" applyAlignment="1" applyProtection="1">
      <alignment horizontal="center" vertical="center"/>
      <protection locked="0"/>
    </xf>
    <xf numFmtId="0" fontId="6" fillId="40" borderId="825" xfId="81" applyFont="1" applyFill="1" applyBorder="1" applyAlignment="1" applyProtection="1">
      <alignment horizontal="center" vertical="center"/>
      <protection locked="0"/>
    </xf>
    <xf numFmtId="0" fontId="6" fillId="40" borderId="813" xfId="81" applyFont="1" applyFill="1" applyBorder="1" applyAlignment="1" applyProtection="1">
      <alignment horizontal="center" vertical="center"/>
      <protection locked="0"/>
    </xf>
    <xf numFmtId="0" fontId="31" fillId="0" borderId="812" xfId="81" applyFont="1" applyFill="1" applyBorder="1" applyAlignment="1" applyProtection="1">
      <alignment horizontal="left" vertical="center"/>
      <protection locked="0"/>
    </xf>
    <xf numFmtId="0" fontId="11" fillId="0" borderId="817" xfId="81" applyBorder="1" applyAlignment="1" applyProtection="1">
      <alignment horizontal="center" vertical="center"/>
    </xf>
    <xf numFmtId="0" fontId="11" fillId="0" borderId="818" xfId="81" applyBorder="1" applyAlignment="1" applyProtection="1">
      <alignment horizontal="center" vertical="center"/>
    </xf>
    <xf numFmtId="0" fontId="11" fillId="0" borderId="819" xfId="81" applyBorder="1" applyAlignment="1" applyProtection="1">
      <alignment horizontal="center" vertical="center"/>
    </xf>
    <xf numFmtId="0" fontId="41" fillId="0" borderId="342" xfId="0" applyFont="1" applyFill="1" applyBorder="1" applyAlignment="1" applyProtection="1">
      <alignment vertical="center"/>
    </xf>
    <xf numFmtId="0" fontId="41" fillId="0" borderId="0" xfId="0" applyFont="1" applyFill="1" applyBorder="1" applyAlignment="1" applyProtection="1">
      <alignment vertical="center"/>
    </xf>
    <xf numFmtId="1" fontId="120" fillId="0" borderId="387" xfId="0" applyNumberFormat="1" applyFont="1" applyFill="1" applyBorder="1" applyAlignment="1" applyProtection="1">
      <alignment horizontal="center" vertical="center" wrapText="1"/>
      <protection locked="0"/>
    </xf>
    <xf numFmtId="1" fontId="120" fillId="0" borderId="388" xfId="0" applyNumberFormat="1" applyFont="1" applyFill="1" applyBorder="1" applyAlignment="1" applyProtection="1">
      <alignment horizontal="center" vertical="center" wrapText="1"/>
      <protection locked="0"/>
    </xf>
    <xf numFmtId="3" fontId="146" fillId="0" borderId="387" xfId="0" applyNumberFormat="1" applyFont="1" applyFill="1" applyBorder="1" applyAlignment="1" applyProtection="1">
      <alignment horizontal="center" vertical="center" wrapText="1"/>
      <protection locked="0"/>
    </xf>
    <xf numFmtId="3" fontId="146" fillId="0" borderId="388" xfId="0" applyNumberFormat="1" applyFont="1" applyFill="1" applyBorder="1" applyAlignment="1" applyProtection="1">
      <alignment horizontal="center" vertical="center" wrapText="1"/>
      <protection locked="0"/>
    </xf>
    <xf numFmtId="9" fontId="120" fillId="0" borderId="387" xfId="3" applyFont="1" applyFill="1" applyBorder="1" applyAlignment="1" applyProtection="1">
      <alignment horizontal="center" vertical="center"/>
      <protection locked="0"/>
    </xf>
    <xf numFmtId="9" fontId="120" fillId="0" borderId="388" xfId="3" applyFont="1" applyFill="1" applyBorder="1" applyAlignment="1" applyProtection="1">
      <alignment horizontal="center" vertical="center"/>
      <protection locked="0"/>
    </xf>
    <xf numFmtId="3" fontId="120" fillId="0" borderId="387" xfId="0" applyNumberFormat="1" applyFont="1" applyFill="1" applyBorder="1" applyAlignment="1" applyProtection="1">
      <alignment horizontal="center" vertical="center"/>
      <protection locked="0"/>
    </xf>
    <xf numFmtId="3" fontId="120" fillId="0" borderId="388" xfId="0" applyNumberFormat="1" applyFont="1" applyFill="1" applyBorder="1" applyAlignment="1" applyProtection="1">
      <alignment horizontal="center" vertical="center"/>
      <protection locked="0"/>
    </xf>
    <xf numFmtId="3" fontId="157" fillId="26" borderId="1409" xfId="6" applyNumberFormat="1" applyFont="1" applyFill="1" applyBorder="1" applyAlignment="1" applyProtection="1">
      <alignment vertical="center" wrapText="1"/>
    </xf>
    <xf numFmtId="3" fontId="157" fillId="26" borderId="1410" xfId="6" applyNumberFormat="1" applyFont="1" applyFill="1" applyBorder="1" applyAlignment="1" applyProtection="1">
      <alignment horizontal="center" vertical="center" wrapText="1"/>
    </xf>
    <xf numFmtId="3" fontId="157" fillId="26" borderId="1411" xfId="6" applyNumberFormat="1" applyFont="1" applyFill="1" applyBorder="1" applyAlignment="1" applyProtection="1">
      <alignment horizontal="center" vertical="center" wrapText="1"/>
    </xf>
    <xf numFmtId="3" fontId="160" fillId="0" borderId="1408" xfId="6" applyNumberFormat="1" applyFont="1" applyFill="1" applyBorder="1" applyAlignment="1" applyProtection="1">
      <alignment horizontal="center" vertical="center"/>
    </xf>
    <xf numFmtId="9" fontId="111" fillId="26" borderId="1255" xfId="3" applyFont="1" applyFill="1" applyBorder="1" applyAlignment="1" applyProtection="1">
      <alignment horizontal="center" vertical="center"/>
    </xf>
    <xf numFmtId="9" fontId="111" fillId="26" borderId="1395" xfId="3" applyFont="1" applyFill="1" applyBorder="1" applyAlignment="1" applyProtection="1">
      <alignment horizontal="center" vertical="center"/>
    </xf>
    <xf numFmtId="3" fontId="160" fillId="0" borderId="1255" xfId="6" applyNumberFormat="1" applyFont="1" applyFill="1" applyBorder="1" applyAlignment="1" applyProtection="1">
      <alignment horizontal="center" vertical="center"/>
    </xf>
    <xf numFmtId="3" fontId="160" fillId="0" borderId="1395" xfId="6" applyNumberFormat="1" applyFont="1" applyFill="1" applyBorder="1" applyAlignment="1" applyProtection="1">
      <alignment horizontal="center" vertical="center"/>
    </xf>
    <xf numFmtId="3" fontId="11" fillId="0" borderId="533" xfId="6" applyNumberFormat="1" applyFont="1" applyFill="1" applyBorder="1" applyAlignment="1" applyProtection="1">
      <alignment horizontal="center" vertical="center"/>
      <protection locked="0"/>
    </xf>
    <xf numFmtId="3" fontId="11" fillId="0" borderId="569" xfId="6" applyNumberFormat="1" applyFont="1" applyBorder="1" applyAlignment="1" applyProtection="1">
      <alignment horizontal="center" vertical="center"/>
    </xf>
    <xf numFmtId="3" fontId="141" fillId="0" borderId="1413" xfId="6" applyNumberFormat="1" applyFont="1" applyFill="1" applyBorder="1" applyAlignment="1" applyProtection="1">
      <alignment horizontal="center" vertical="center"/>
    </xf>
    <xf numFmtId="3" fontId="141" fillId="0" borderId="1412" xfId="6" applyNumberFormat="1" applyFont="1" applyFill="1" applyBorder="1" applyAlignment="1" applyProtection="1">
      <alignment horizontal="center" vertical="center"/>
    </xf>
    <xf numFmtId="3" fontId="51" fillId="0" borderId="1414" xfId="6" applyNumberFormat="1" applyFont="1" applyFill="1" applyBorder="1" applyAlignment="1" applyProtection="1">
      <alignment vertical="center" wrapText="1"/>
    </xf>
    <xf numFmtId="9" fontId="51" fillId="0" borderId="1414" xfId="3" applyFont="1" applyFill="1" applyBorder="1" applyAlignment="1" applyProtection="1">
      <alignment horizontal="center" vertical="center" wrapText="1"/>
    </xf>
    <xf numFmtId="9" fontId="51" fillId="0" borderId="1415" xfId="3" applyFont="1" applyFill="1" applyBorder="1" applyAlignment="1" applyProtection="1">
      <alignment horizontal="center" vertical="center" wrapText="1"/>
    </xf>
    <xf numFmtId="3" fontId="11" fillId="0" borderId="0" xfId="6" applyNumberFormat="1" applyFont="1" applyFill="1" applyAlignment="1">
      <alignment horizontal="center" vertical="center"/>
    </xf>
    <xf numFmtId="3" fontId="1" fillId="0" borderId="0" xfId="6" applyNumberFormat="1" applyFont="1" applyFill="1" applyBorder="1" applyAlignment="1">
      <alignment vertical="top" wrapText="1"/>
    </xf>
    <xf numFmtId="3" fontId="50" fillId="0" borderId="1397" xfId="3" applyNumberFormat="1" applyFont="1" applyFill="1" applyBorder="1" applyAlignment="1" applyProtection="1">
      <alignment horizontal="center" vertical="center"/>
    </xf>
    <xf numFmtId="3" fontId="50" fillId="0" borderId="1398" xfId="3" applyNumberFormat="1" applyFont="1" applyFill="1" applyBorder="1" applyAlignment="1" applyProtection="1">
      <alignment horizontal="center" vertical="center"/>
    </xf>
    <xf numFmtId="3" fontId="160" fillId="0" borderId="1406" xfId="6" applyNumberFormat="1" applyFont="1" applyFill="1" applyBorder="1" applyAlignment="1" applyProtection="1">
      <alignment horizontal="center" vertical="center"/>
    </xf>
    <xf numFmtId="3" fontId="160" fillId="0" borderId="1369" xfId="6" applyNumberFormat="1" applyFont="1" applyFill="1" applyBorder="1" applyAlignment="1" applyProtection="1">
      <alignment horizontal="center" vertical="center"/>
    </xf>
    <xf numFmtId="3" fontId="160" fillId="0" borderId="1396" xfId="6" applyNumberFormat="1" applyFont="1" applyFill="1" applyBorder="1" applyAlignment="1" applyProtection="1">
      <alignment horizontal="center" vertical="center"/>
    </xf>
    <xf numFmtId="0" fontId="24" fillId="27" borderId="843" xfId="2" applyFont="1" applyFill="1" applyBorder="1" applyAlignment="1" applyProtection="1">
      <alignment horizontal="left" vertical="center"/>
    </xf>
    <xf numFmtId="0" fontId="24" fillId="27" borderId="844" xfId="2" applyFont="1" applyFill="1" applyBorder="1" applyAlignment="1" applyProtection="1">
      <alignment horizontal="left" vertical="center"/>
    </xf>
    <xf numFmtId="0" fontId="6" fillId="26" borderId="1420" xfId="2" applyFill="1" applyBorder="1" applyAlignment="1" applyProtection="1">
      <alignment horizontal="center"/>
      <protection locked="0"/>
    </xf>
    <xf numFmtId="0" fontId="6" fillId="26" borderId="1421" xfId="2" applyFill="1" applyBorder="1" applyAlignment="1" applyProtection="1">
      <alignment horizontal="center"/>
      <protection locked="0"/>
    </xf>
    <xf numFmtId="0" fontId="6" fillId="40" borderId="1420" xfId="2" applyFill="1" applyBorder="1" applyAlignment="1" applyProtection="1">
      <alignment horizontal="center"/>
      <protection locked="0"/>
    </xf>
    <xf numFmtId="0" fontId="6" fillId="40" borderId="1422" xfId="2" applyFill="1" applyBorder="1" applyAlignment="1" applyProtection="1">
      <alignment horizontal="center"/>
      <protection locked="0"/>
    </xf>
    <xf numFmtId="0" fontId="6" fillId="40" borderId="1421" xfId="2" applyFill="1" applyBorder="1" applyAlignment="1" applyProtection="1">
      <alignment horizontal="center"/>
      <protection locked="0"/>
    </xf>
    <xf numFmtId="0" fontId="6" fillId="26" borderId="1423" xfId="2" applyFill="1" applyBorder="1" applyAlignment="1" applyProtection="1">
      <alignment horizontal="center"/>
      <protection locked="0"/>
    </xf>
    <xf numFmtId="0" fontId="6" fillId="26" borderId="1424" xfId="2" applyFill="1" applyBorder="1" applyAlignment="1" applyProtection="1">
      <alignment horizontal="center"/>
      <protection locked="0"/>
    </xf>
    <xf numFmtId="0" fontId="6" fillId="40" borderId="1423" xfId="2" applyFill="1" applyBorder="1" applyAlignment="1" applyProtection="1">
      <alignment horizontal="center"/>
      <protection locked="0"/>
    </xf>
    <xf numFmtId="0" fontId="6" fillId="40" borderId="1425" xfId="2" applyFill="1" applyBorder="1" applyAlignment="1" applyProtection="1">
      <alignment horizontal="center"/>
      <protection locked="0"/>
    </xf>
    <xf numFmtId="0" fontId="6" fillId="40" borderId="1424" xfId="2" applyFill="1" applyBorder="1" applyAlignment="1" applyProtection="1">
      <alignment horizontal="center"/>
      <protection locked="0"/>
    </xf>
    <xf numFmtId="0" fontId="6" fillId="26" borderId="1428" xfId="2" applyFill="1" applyBorder="1" applyAlignment="1" applyProtection="1">
      <alignment horizontal="center"/>
      <protection locked="0"/>
    </xf>
    <xf numFmtId="0" fontId="6" fillId="26" borderId="1429" xfId="2" applyFill="1" applyBorder="1" applyAlignment="1" applyProtection="1">
      <alignment horizontal="center"/>
      <protection locked="0"/>
    </xf>
    <xf numFmtId="0" fontId="6" fillId="40" borderId="1428" xfId="2" applyFill="1" applyBorder="1" applyAlignment="1" applyProtection="1">
      <alignment horizontal="center"/>
      <protection locked="0"/>
    </xf>
    <xf numFmtId="0" fontId="6" fillId="40" borderId="1430" xfId="2" applyFill="1" applyBorder="1" applyAlignment="1" applyProtection="1">
      <alignment horizontal="center"/>
      <protection locked="0"/>
    </xf>
    <xf numFmtId="0" fontId="6" fillId="40" borderId="1429" xfId="2" applyFill="1" applyBorder="1" applyAlignment="1" applyProtection="1">
      <alignment horizontal="center"/>
      <protection locked="0"/>
    </xf>
    <xf numFmtId="0" fontId="6" fillId="0" borderId="1418" xfId="2" applyBorder="1" applyAlignment="1" applyProtection="1"/>
    <xf numFmtId="0" fontId="6" fillId="0" borderId="1419" xfId="2" applyBorder="1" applyAlignment="1" applyProtection="1"/>
    <xf numFmtId="0" fontId="6" fillId="26" borderId="1431" xfId="2" applyFill="1" applyBorder="1" applyAlignment="1" applyProtection="1">
      <alignment horizontal="center"/>
      <protection locked="0"/>
    </xf>
    <xf numFmtId="0" fontId="6" fillId="26" borderId="1432" xfId="2" applyFill="1" applyBorder="1" applyAlignment="1" applyProtection="1">
      <alignment horizontal="center"/>
      <protection locked="0"/>
    </xf>
    <xf numFmtId="0" fontId="6" fillId="40" borderId="1431" xfId="2" applyFill="1" applyBorder="1" applyAlignment="1" applyProtection="1">
      <alignment horizontal="center"/>
      <protection locked="0"/>
    </xf>
    <xf numFmtId="0" fontId="6" fillId="40" borderId="1426" xfId="2" applyFill="1" applyBorder="1" applyAlignment="1" applyProtection="1">
      <alignment horizontal="center"/>
      <protection locked="0"/>
    </xf>
    <xf numFmtId="0" fontId="6" fillId="40" borderId="1432" xfId="2" applyFill="1" applyBorder="1" applyAlignment="1" applyProtection="1">
      <alignment horizontal="center"/>
      <protection locked="0"/>
    </xf>
    <xf numFmtId="0" fontId="21" fillId="27" borderId="811" xfId="81" applyFont="1" applyFill="1" applyBorder="1" applyAlignment="1" applyProtection="1">
      <alignment vertical="center"/>
    </xf>
    <xf numFmtId="0" fontId="21" fillId="27" borderId="812" xfId="81" applyFont="1" applyFill="1" applyBorder="1" applyAlignment="1" applyProtection="1">
      <alignment vertical="center"/>
    </xf>
    <xf numFmtId="0" fontId="21" fillId="27" borderId="813" xfId="81" applyFont="1" applyFill="1" applyBorder="1" applyAlignment="1" applyProtection="1">
      <alignment vertical="center"/>
    </xf>
    <xf numFmtId="0" fontId="21" fillId="27" borderId="812" xfId="81" applyFont="1" applyFill="1" applyBorder="1" applyAlignment="1" applyProtection="1">
      <alignment horizontal="center" vertical="center"/>
    </xf>
    <xf numFmtId="0" fontId="6" fillId="40" borderId="826" xfId="81" applyFont="1" applyFill="1" applyBorder="1" applyAlignment="1" applyProtection="1">
      <alignment vertical="center"/>
      <protection locked="0"/>
    </xf>
    <xf numFmtId="0" fontId="6" fillId="40" borderId="812" xfId="81" applyFont="1" applyFill="1" applyBorder="1" applyAlignment="1" applyProtection="1">
      <alignment vertical="center"/>
      <protection locked="0"/>
    </xf>
    <xf numFmtId="0" fontId="11" fillId="8" borderId="811" xfId="81" applyFill="1" applyBorder="1" applyAlignment="1" applyProtection="1">
      <alignment vertical="center"/>
    </xf>
    <xf numFmtId="0" fontId="21" fillId="0" borderId="811" xfId="81" applyFont="1" applyFill="1" applyBorder="1" applyAlignment="1" applyProtection="1">
      <alignment vertical="center"/>
    </xf>
    <xf numFmtId="0" fontId="31" fillId="0" borderId="827" xfId="81" applyFont="1" applyFill="1" applyBorder="1" applyAlignment="1" applyProtection="1">
      <alignment horizontal="left" vertical="center"/>
      <protection locked="0"/>
    </xf>
    <xf numFmtId="0" fontId="69" fillId="26" borderId="1181" xfId="0" applyFont="1" applyFill="1" applyBorder="1" applyAlignment="1" applyProtection="1">
      <alignment vertical="center" wrapText="1"/>
      <protection locked="0"/>
    </xf>
    <xf numFmtId="0" fontId="69" fillId="26" borderId="1181" xfId="0" applyFont="1" applyFill="1" applyBorder="1" applyAlignment="1" applyProtection="1">
      <alignment horizontal="center" vertical="center" wrapText="1"/>
      <protection locked="0"/>
    </xf>
    <xf numFmtId="0" fontId="69" fillId="0" borderId="0" xfId="0" applyFont="1" applyAlignment="1">
      <alignment vertical="center"/>
    </xf>
    <xf numFmtId="0" fontId="168" fillId="6" borderId="0" xfId="1" applyFont="1" applyFill="1" applyAlignment="1">
      <alignment horizontal="center" vertical="center" wrapText="1"/>
    </xf>
    <xf numFmtId="0" fontId="37" fillId="2" borderId="0" xfId="0" applyFont="1" applyFill="1" applyBorder="1" applyAlignment="1" applyProtection="1">
      <alignment horizontal="center" vertical="center"/>
    </xf>
    <xf numFmtId="0" fontId="0" fillId="39" borderId="39" xfId="0" applyFont="1" applyFill="1" applyBorder="1" applyAlignment="1" applyProtection="1">
      <alignment horizontal="center"/>
      <protection locked="0"/>
    </xf>
    <xf numFmtId="0" fontId="0" fillId="8" borderId="0" xfId="0" applyFont="1" applyFill="1" applyBorder="1" applyAlignment="1" applyProtection="1">
      <alignment horizontal="center"/>
    </xf>
    <xf numFmtId="0" fontId="31" fillId="0" borderId="0" xfId="236" applyFont="1"/>
    <xf numFmtId="0" fontId="6" fillId="0" borderId="0" xfId="236"/>
    <xf numFmtId="0" fontId="153" fillId="0" borderId="0" xfId="236" applyFont="1"/>
    <xf numFmtId="0" fontId="60" fillId="0" borderId="0" xfId="236" applyFont="1"/>
    <xf numFmtId="0" fontId="52" fillId="25" borderId="0" xfId="236" applyFont="1" applyFill="1"/>
    <xf numFmtId="0" fontId="52" fillId="0" borderId="0" xfId="236" applyFont="1"/>
    <xf numFmtId="0" fontId="31" fillId="0" borderId="1450" xfId="236" applyFont="1" applyFill="1" applyBorder="1"/>
    <xf numFmtId="0" fontId="6" fillId="0" borderId="1452" xfId="236" applyFill="1" applyBorder="1"/>
    <xf numFmtId="0" fontId="6" fillId="0" borderId="1451" xfId="236" applyFill="1" applyBorder="1"/>
    <xf numFmtId="0" fontId="6" fillId="0" borderId="0" xfId="236" applyFill="1" applyBorder="1"/>
    <xf numFmtId="0" fontId="6" fillId="0" borderId="1453" xfId="236" applyFill="1" applyBorder="1"/>
    <xf numFmtId="0" fontId="31" fillId="0" borderId="1454" xfId="236" applyFont="1" applyFill="1" applyBorder="1"/>
    <xf numFmtId="0" fontId="52" fillId="0" borderId="0" xfId="236" applyFont="1" applyFill="1" applyBorder="1"/>
    <xf numFmtId="0" fontId="6" fillId="0" borderId="1452" xfId="236" applyFill="1" applyBorder="1" applyAlignment="1"/>
    <xf numFmtId="0" fontId="52" fillId="0" borderId="1454" xfId="236" applyFont="1" applyFill="1" applyBorder="1"/>
    <xf numFmtId="0" fontId="6" fillId="0" borderId="1454" xfId="236" applyFont="1" applyFill="1" applyBorder="1"/>
    <xf numFmtId="0" fontId="31" fillId="0" borderId="1456" xfId="236" applyFont="1" applyFill="1" applyBorder="1"/>
    <xf numFmtId="0" fontId="6" fillId="0" borderId="1457" xfId="236" applyFill="1" applyBorder="1"/>
    <xf numFmtId="0" fontId="6" fillId="0" borderId="1458" xfId="236" applyFill="1" applyBorder="1"/>
    <xf numFmtId="0" fontId="6" fillId="0" borderId="1450" xfId="236" applyFill="1" applyBorder="1"/>
    <xf numFmtId="0" fontId="52" fillId="0" borderId="1454" xfId="236" applyFont="1" applyFill="1" applyBorder="1" applyAlignment="1">
      <alignment vertical="center"/>
    </xf>
    <xf numFmtId="0" fontId="52" fillId="0" borderId="1459" xfId="236" applyFont="1" applyFill="1" applyBorder="1" applyAlignment="1">
      <alignment vertical="center"/>
    </xf>
    <xf numFmtId="0" fontId="115" fillId="0" borderId="0" xfId="236" applyFont="1"/>
    <xf numFmtId="0" fontId="1" fillId="0" borderId="0" xfId="114" applyFont="1" applyBorder="1"/>
    <xf numFmtId="0" fontId="22" fillId="0" borderId="1454" xfId="236" applyFont="1" applyFill="1" applyBorder="1" applyAlignment="1">
      <alignment vertical="top" wrapText="1"/>
    </xf>
    <xf numFmtId="0" fontId="22" fillId="26" borderId="0" xfId="236" applyFont="1" applyFill="1" applyAlignment="1"/>
    <xf numFmtId="0" fontId="6" fillId="26" borderId="0" xfId="2" applyFill="1"/>
    <xf numFmtId="0" fontId="1" fillId="26" borderId="0" xfId="114" applyFont="1" applyFill="1" applyBorder="1"/>
    <xf numFmtId="0" fontId="6" fillId="26" borderId="1453" xfId="2" applyFill="1" applyBorder="1"/>
    <xf numFmtId="0" fontId="6" fillId="0" borderId="0" xfId="412" applyFont="1"/>
    <xf numFmtId="0" fontId="186" fillId="26" borderId="0" xfId="2" applyFont="1" applyFill="1"/>
    <xf numFmtId="0" fontId="22" fillId="26" borderId="0" xfId="236" applyFont="1" applyFill="1" applyBorder="1"/>
    <xf numFmtId="0" fontId="52" fillId="26" borderId="1453" xfId="236" applyFont="1" applyFill="1" applyBorder="1" applyAlignment="1">
      <alignment vertical="center" wrapText="1"/>
    </xf>
    <xf numFmtId="0" fontId="1" fillId="0" borderId="1460" xfId="114" applyFont="1" applyBorder="1"/>
    <xf numFmtId="0" fontId="6" fillId="0" borderId="0" xfId="412" applyFont="1" applyBorder="1"/>
    <xf numFmtId="0" fontId="186" fillId="0" borderId="0" xfId="2" applyFont="1"/>
    <xf numFmtId="0" fontId="52" fillId="0" borderId="1453" xfId="236" applyFont="1" applyFill="1" applyBorder="1" applyAlignment="1">
      <alignment vertical="center" wrapText="1"/>
    </xf>
    <xf numFmtId="0" fontId="22" fillId="0" borderId="0" xfId="236" applyFont="1" applyFill="1" applyBorder="1"/>
    <xf numFmtId="0" fontId="31" fillId="0" borderId="0" xfId="412" applyFont="1" applyBorder="1"/>
    <xf numFmtId="0" fontId="6" fillId="0" borderId="0" xfId="412" applyBorder="1"/>
    <xf numFmtId="0" fontId="22" fillId="0" borderId="1453" xfId="236" applyFont="1" applyFill="1" applyBorder="1"/>
    <xf numFmtId="0" fontId="31" fillId="0" borderId="0" xfId="412" applyFont="1"/>
    <xf numFmtId="0" fontId="6" fillId="0" borderId="0" xfId="412"/>
    <xf numFmtId="0" fontId="22" fillId="0" borderId="0" xfId="236" applyFont="1" applyFill="1" applyAlignment="1">
      <alignment horizontal="center" vertical="center"/>
    </xf>
    <xf numFmtId="0" fontId="22" fillId="0" borderId="0" xfId="236" applyFont="1" applyFill="1" applyBorder="1" applyAlignment="1">
      <alignment horizontal="center"/>
    </xf>
    <xf numFmtId="0" fontId="22" fillId="0" borderId="1454" xfId="236" applyFont="1" applyFill="1" applyBorder="1" applyAlignment="1">
      <alignment horizontal="left" vertical="top" wrapText="1"/>
    </xf>
    <xf numFmtId="9" fontId="22" fillId="0" borderId="0" xfId="3" applyFont="1" applyFill="1" applyBorder="1" applyAlignment="1">
      <alignment horizontal="center"/>
    </xf>
    <xf numFmtId="0" fontId="22" fillId="26" borderId="0" xfId="236" applyFont="1" applyFill="1" applyBorder="1" applyAlignment="1">
      <alignment vertical="center" wrapText="1"/>
    </xf>
    <xf numFmtId="0" fontId="6" fillId="0" borderId="0" xfId="236" applyBorder="1"/>
    <xf numFmtId="0" fontId="22" fillId="0" borderId="1454" xfId="236" applyFont="1" applyFill="1" applyBorder="1" applyAlignment="1">
      <alignment horizontal="right" vertical="top" wrapText="1"/>
    </xf>
    <xf numFmtId="9" fontId="22" fillId="0" borderId="0" xfId="236" applyNumberFormat="1" applyFont="1" applyFill="1" applyBorder="1" applyAlignment="1">
      <alignment horizontal="center"/>
    </xf>
    <xf numFmtId="0" fontId="22" fillId="0" borderId="1456" xfId="236" applyFont="1" applyFill="1" applyBorder="1"/>
    <xf numFmtId="0" fontId="22" fillId="0" borderId="1450" xfId="236" applyFont="1" applyFill="1" applyBorder="1"/>
    <xf numFmtId="0" fontId="22" fillId="0" borderId="1452" xfId="236" applyFont="1" applyFill="1" applyBorder="1"/>
    <xf numFmtId="0" fontId="22" fillId="0" borderId="0" xfId="236" applyFont="1" applyFill="1"/>
    <xf numFmtId="0" fontId="22" fillId="26" borderId="0" xfId="236" applyFont="1" applyFill="1" applyAlignment="1">
      <alignment horizontal="left" vertical="top" wrapText="1"/>
    </xf>
    <xf numFmtId="0" fontId="186" fillId="0" borderId="0" xfId="236" applyFont="1" applyFill="1" applyBorder="1"/>
    <xf numFmtId="0" fontId="186" fillId="0" borderId="1453" xfId="236" applyFont="1" applyFill="1" applyBorder="1"/>
    <xf numFmtId="0" fontId="22" fillId="0" borderId="0" xfId="236" applyFont="1" applyFill="1" applyAlignment="1">
      <alignment horizontal="left" vertical="top" wrapText="1"/>
    </xf>
    <xf numFmtId="0" fontId="6" fillId="26" borderId="0" xfId="236" applyFill="1"/>
    <xf numFmtId="0" fontId="22" fillId="26" borderId="1453" xfId="236" applyFont="1" applyFill="1" applyBorder="1" applyAlignment="1">
      <alignment vertical="center" wrapText="1"/>
    </xf>
    <xf numFmtId="0" fontId="185" fillId="0" borderId="0" xfId="236" applyFont="1" applyFill="1" applyAlignment="1">
      <alignment vertical="center" wrapText="1"/>
    </xf>
    <xf numFmtId="0" fontId="6" fillId="0" borderId="0" xfId="236" applyFill="1" applyAlignment="1">
      <alignment vertical="center" wrapText="1"/>
    </xf>
    <xf numFmtId="0" fontId="6" fillId="0" borderId="1453" xfId="236" applyFill="1" applyBorder="1" applyAlignment="1">
      <alignment vertical="center" wrapText="1"/>
    </xf>
    <xf numFmtId="0" fontId="185" fillId="0" borderId="0" xfId="236" applyFont="1" applyFill="1" applyAlignment="1">
      <alignment horizontal="left" vertical="top" wrapText="1"/>
    </xf>
    <xf numFmtId="0" fontId="183" fillId="0" borderId="0" xfId="236" applyFont="1" applyFill="1" applyAlignment="1">
      <alignment horizontal="left" vertical="top" wrapText="1"/>
    </xf>
    <xf numFmtId="0" fontId="186" fillId="0" borderId="1454" xfId="2" applyFont="1" applyBorder="1"/>
    <xf numFmtId="0" fontId="186" fillId="26" borderId="0" xfId="2" applyFont="1" applyFill="1" applyBorder="1"/>
    <xf numFmtId="0" fontId="186" fillId="0" borderId="1453" xfId="2" applyFont="1" applyBorder="1"/>
    <xf numFmtId="0" fontId="6" fillId="26" borderId="0" xfId="236" applyFill="1" applyBorder="1"/>
    <xf numFmtId="0" fontId="6" fillId="26" borderId="1453" xfId="236" applyFill="1" applyBorder="1"/>
    <xf numFmtId="0" fontId="22" fillId="26" borderId="0" xfId="236" applyFont="1" applyFill="1" applyBorder="1" applyAlignment="1">
      <alignment horizontal="center" vertical="center" wrapText="1"/>
    </xf>
    <xf numFmtId="0" fontId="22" fillId="26" borderId="0" xfId="236" applyFont="1" applyFill="1"/>
    <xf numFmtId="0" fontId="185" fillId="26" borderId="0" xfId="236" applyFont="1" applyFill="1"/>
    <xf numFmtId="0" fontId="31" fillId="26" borderId="0" xfId="236" applyFont="1" applyFill="1" applyBorder="1"/>
    <xf numFmtId="0" fontId="31" fillId="0" borderId="1450" xfId="236" applyFont="1" applyFill="1" applyBorder="1" applyAlignment="1"/>
    <xf numFmtId="0" fontId="182" fillId="0" borderId="1451" xfId="236" applyFont="1" applyFill="1" applyBorder="1" applyAlignment="1">
      <alignment vertical="center"/>
    </xf>
    <xf numFmtId="0" fontId="182" fillId="0" borderId="1451" xfId="236" applyFont="1" applyFill="1" applyBorder="1" applyAlignment="1">
      <alignment horizontal="center" vertical="center"/>
    </xf>
    <xf numFmtId="0" fontId="31" fillId="81" borderId="1456" xfId="236" applyFont="1" applyFill="1" applyBorder="1"/>
    <xf numFmtId="0" fontId="6" fillId="81" borderId="1457" xfId="236" applyFill="1" applyBorder="1"/>
    <xf numFmtId="0" fontId="6" fillId="81" borderId="1458" xfId="236" applyFill="1" applyBorder="1"/>
    <xf numFmtId="0" fontId="6" fillId="0" borderId="0" xfId="236" applyFill="1" applyBorder="1" applyAlignment="1">
      <alignment horizontal="center"/>
    </xf>
    <xf numFmtId="0" fontId="6" fillId="0" borderId="1453" xfId="236" applyFill="1" applyBorder="1" applyAlignment="1">
      <alignment horizontal="center"/>
    </xf>
    <xf numFmtId="14" fontId="52" fillId="25" borderId="0" xfId="236" applyNumberFormat="1" applyFont="1" applyFill="1"/>
    <xf numFmtId="0" fontId="6" fillId="0" borderId="0" xfId="236" applyAlignment="1">
      <alignment vertical="center"/>
    </xf>
    <xf numFmtId="0" fontId="60" fillId="0" borderId="333" xfId="236" applyFont="1" applyFill="1" applyBorder="1" applyAlignment="1">
      <alignment horizontal="center" vertical="top" wrapText="1"/>
    </xf>
    <xf numFmtId="0" fontId="6" fillId="0" borderId="1465" xfId="236" applyFill="1" applyBorder="1"/>
    <xf numFmtId="0" fontId="52" fillId="0" borderId="1454" xfId="236" applyFont="1" applyFill="1" applyBorder="1" applyAlignment="1">
      <alignment vertical="center" wrapText="1"/>
    </xf>
    <xf numFmtId="9" fontId="22" fillId="0" borderId="0" xfId="3" applyFont="1" applyFill="1" applyBorder="1" applyAlignment="1">
      <alignment horizontal="center" vertical="center"/>
    </xf>
    <xf numFmtId="0" fontId="22" fillId="0" borderId="0" xfId="236" applyFont="1" applyFill="1" applyBorder="1" applyAlignment="1">
      <alignment vertical="center"/>
    </xf>
    <xf numFmtId="0" fontId="22" fillId="0" borderId="1453" xfId="236" applyFont="1" applyFill="1" applyBorder="1" applyAlignment="1">
      <alignment vertical="center"/>
    </xf>
    <xf numFmtId="0" fontId="6" fillId="0" borderId="0" xfId="236" applyBorder="1" applyAlignment="1">
      <alignment vertical="center"/>
    </xf>
    <xf numFmtId="0" fontId="6" fillId="0" borderId="1456" xfId="236" applyFill="1" applyBorder="1"/>
    <xf numFmtId="0" fontId="1" fillId="25" borderId="56" xfId="0" applyFont="1" applyFill="1" applyBorder="1" applyAlignment="1" applyProtection="1">
      <alignment horizontal="center" vertical="center" wrapText="1"/>
    </xf>
    <xf numFmtId="0" fontId="1" fillId="26" borderId="53" xfId="0" applyFont="1" applyFill="1" applyBorder="1" applyAlignment="1" applyProtection="1">
      <alignment horizontal="center" vertical="center" wrapText="1"/>
    </xf>
    <xf numFmtId="0" fontId="1" fillId="26" borderId="54" xfId="0" applyFont="1" applyFill="1" applyBorder="1" applyAlignment="1" applyProtection="1">
      <alignment horizontal="center" vertical="center" wrapText="1"/>
    </xf>
    <xf numFmtId="0" fontId="1" fillId="26" borderId="56" xfId="0" applyFont="1" applyFill="1" applyBorder="1" applyAlignment="1" applyProtection="1">
      <alignment horizontal="center" vertical="center" wrapText="1"/>
      <protection locked="0"/>
    </xf>
    <xf numFmtId="0" fontId="1" fillId="26" borderId="57" xfId="0" applyFont="1" applyFill="1" applyBorder="1" applyAlignment="1" applyProtection="1">
      <alignment horizontal="center" vertical="center" wrapText="1"/>
      <protection locked="0"/>
    </xf>
    <xf numFmtId="0" fontId="26" fillId="0" borderId="67" xfId="0" applyFont="1" applyFill="1" applyBorder="1" applyAlignment="1" applyProtection="1">
      <alignment horizontal="center" vertical="center"/>
    </xf>
    <xf numFmtId="0" fontId="26" fillId="0" borderId="68" xfId="0" applyFont="1" applyFill="1" applyBorder="1" applyAlignment="1" applyProtection="1">
      <alignment horizontal="center" vertical="center"/>
    </xf>
    <xf numFmtId="0" fontId="26" fillId="0" borderId="69" xfId="0" applyFont="1" applyFill="1" applyBorder="1" applyAlignment="1" applyProtection="1">
      <alignment horizontal="center" vertical="center"/>
    </xf>
    <xf numFmtId="0" fontId="21" fillId="0" borderId="67" xfId="0" applyFont="1" applyFill="1" applyBorder="1" applyAlignment="1" applyProtection="1">
      <alignment horizontal="center" vertical="center"/>
    </xf>
    <xf numFmtId="0" fontId="21" fillId="0" borderId="68" xfId="0" applyFont="1" applyFill="1" applyBorder="1" applyAlignment="1" applyProtection="1">
      <alignment horizontal="center" vertical="center"/>
    </xf>
    <xf numFmtId="0" fontId="21" fillId="0" borderId="69" xfId="0" applyFont="1" applyFill="1" applyBorder="1" applyAlignment="1" applyProtection="1">
      <alignment horizontal="center" vertical="center"/>
    </xf>
    <xf numFmtId="0" fontId="35" fillId="0" borderId="357" xfId="10" applyFont="1" applyFill="1" applyBorder="1" applyAlignment="1" applyProtection="1">
      <alignment horizontal="center" vertical="center"/>
    </xf>
    <xf numFmtId="0" fontId="35" fillId="0" borderId="347" xfId="10" applyFont="1" applyFill="1" applyBorder="1" applyAlignment="1" applyProtection="1">
      <alignment horizontal="center" vertical="center"/>
    </xf>
    <xf numFmtId="0" fontId="35" fillId="0" borderId="396" xfId="10" applyFont="1" applyFill="1" applyBorder="1" applyAlignment="1" applyProtection="1">
      <alignment horizontal="center" vertical="center"/>
    </xf>
    <xf numFmtId="0" fontId="35" fillId="0" borderId="67" xfId="10" applyFont="1" applyFill="1" applyBorder="1" applyAlignment="1" applyProtection="1">
      <alignment horizontal="center" vertical="center"/>
    </xf>
    <xf numFmtId="0" fontId="35" fillId="0" borderId="68" xfId="10" applyFont="1" applyFill="1" applyBorder="1" applyAlignment="1" applyProtection="1">
      <alignment horizontal="center" vertical="center"/>
    </xf>
    <xf numFmtId="0" fontId="35" fillId="0" borderId="69" xfId="10" applyFont="1" applyFill="1" applyBorder="1" applyAlignment="1" applyProtection="1">
      <alignment horizontal="center" vertical="center"/>
    </xf>
    <xf numFmtId="0" fontId="1" fillId="25" borderId="53" xfId="0" applyFont="1" applyFill="1" applyBorder="1" applyAlignment="1" applyProtection="1">
      <alignment horizontal="center" vertical="center" wrapText="1"/>
    </xf>
    <xf numFmtId="0" fontId="1" fillId="26" borderId="175" xfId="0" applyFont="1" applyFill="1" applyBorder="1" applyAlignment="1" applyProtection="1">
      <alignment horizontal="left" vertical="center" wrapText="1"/>
    </xf>
    <xf numFmtId="0" fontId="1" fillId="26" borderId="68" xfId="0" applyFont="1" applyFill="1" applyBorder="1" applyAlignment="1" applyProtection="1">
      <alignment horizontal="left" vertical="center" wrapText="1"/>
    </xf>
    <xf numFmtId="0" fontId="1" fillId="26" borderId="390" xfId="0" applyFont="1" applyFill="1" applyBorder="1" applyAlignment="1" applyProtection="1">
      <alignment horizontal="left" vertical="center" wrapText="1"/>
    </xf>
    <xf numFmtId="0" fontId="1" fillId="26" borderId="68" xfId="0" applyFont="1" applyFill="1" applyBorder="1" applyAlignment="1" applyProtection="1">
      <alignment vertical="top"/>
    </xf>
    <xf numFmtId="0" fontId="1" fillId="26" borderId="390" xfId="0" applyFont="1" applyFill="1" applyBorder="1" applyAlignment="1" applyProtection="1">
      <alignment vertical="top"/>
    </xf>
    <xf numFmtId="0" fontId="11" fillId="0" borderId="0" xfId="9" applyFill="1" applyBorder="1" applyAlignment="1">
      <alignment horizontal="center"/>
    </xf>
    <xf numFmtId="0" fontId="0" fillId="0" borderId="168" xfId="9" applyFont="1" applyFill="1" applyBorder="1" applyAlignment="1">
      <alignment horizontal="center"/>
    </xf>
    <xf numFmtId="0" fontId="37" fillId="2" borderId="0" xfId="0" applyFont="1" applyFill="1" applyBorder="1" applyAlignment="1" applyProtection="1">
      <alignment horizontal="center" vertical="center"/>
    </xf>
    <xf numFmtId="0" fontId="22" fillId="0" borderId="1454" xfId="236" applyFont="1" applyFill="1" applyBorder="1" applyAlignment="1">
      <alignment horizontal="left" vertical="center" wrapText="1"/>
    </xf>
    <xf numFmtId="0" fontId="22" fillId="0" borderId="1454" xfId="236" applyFont="1" applyFill="1" applyBorder="1" applyAlignment="1">
      <alignment vertical="center" wrapText="1"/>
    </xf>
    <xf numFmtId="0" fontId="22" fillId="0" borderId="0" xfId="236" applyFont="1" applyFill="1" applyAlignment="1">
      <alignment vertical="center"/>
    </xf>
    <xf numFmtId="0" fontId="22" fillId="0" borderId="0" xfId="236" applyFont="1" applyFill="1" applyBorder="1" applyAlignment="1">
      <alignment vertical="center" wrapText="1"/>
    </xf>
    <xf numFmtId="0" fontId="22" fillId="0" borderId="1453" xfId="236" applyFont="1" applyFill="1" applyBorder="1" applyAlignment="1">
      <alignment vertical="center" wrapText="1"/>
    </xf>
    <xf numFmtId="0" fontId="22" fillId="26" borderId="0" xfId="236" applyFont="1" applyFill="1" applyAlignment="1">
      <alignment horizontal="center"/>
    </xf>
    <xf numFmtId="0" fontId="52" fillId="0" borderId="0" xfId="236" applyFont="1" applyFill="1" applyBorder="1" applyAlignment="1">
      <alignment vertical="center" wrapText="1"/>
    </xf>
    <xf numFmtId="0" fontId="22" fillId="26" borderId="0" xfId="236" applyFont="1" applyFill="1" applyBorder="1" applyAlignment="1">
      <alignment horizontal="center" vertical="center"/>
    </xf>
    <xf numFmtId="0" fontId="22" fillId="26" borderId="0" xfId="236" applyFont="1" applyFill="1" applyBorder="1" applyAlignment="1">
      <alignment horizontal="center"/>
    </xf>
    <xf numFmtId="0" fontId="22" fillId="0" borderId="0" xfId="236" applyFont="1" applyFill="1" applyAlignment="1">
      <alignment vertical="center" wrapText="1"/>
    </xf>
    <xf numFmtId="0" fontId="22" fillId="0" borderId="0" xfId="236" applyFont="1" applyFill="1" applyAlignment="1">
      <alignment horizontal="left" vertical="center" wrapText="1"/>
    </xf>
    <xf numFmtId="0" fontId="35" fillId="0" borderId="357" xfId="10" applyFont="1" applyFill="1" applyBorder="1" applyAlignment="1" applyProtection="1">
      <alignment horizontal="center" vertical="center"/>
    </xf>
    <xf numFmtId="0" fontId="35" fillId="0" borderId="347" xfId="10" applyFont="1" applyFill="1" applyBorder="1" applyAlignment="1" applyProtection="1">
      <alignment horizontal="center" vertical="center"/>
    </xf>
    <xf numFmtId="0" fontId="21" fillId="0" borderId="67" xfId="0" applyFont="1" applyFill="1" applyBorder="1" applyAlignment="1" applyProtection="1">
      <alignment horizontal="center" vertical="center"/>
    </xf>
    <xf numFmtId="0" fontId="21" fillId="0" borderId="68" xfId="0" applyFont="1" applyFill="1" applyBorder="1" applyAlignment="1" applyProtection="1">
      <alignment horizontal="center" vertical="center"/>
    </xf>
    <xf numFmtId="3" fontId="37" fillId="2" borderId="0" xfId="0" applyNumberFormat="1" applyFont="1" applyFill="1" applyBorder="1" applyAlignment="1" applyProtection="1">
      <alignment horizontal="center" vertical="center"/>
    </xf>
    <xf numFmtId="0" fontId="31" fillId="0" borderId="844" xfId="2" applyFont="1" applyFill="1" applyBorder="1" applyAlignment="1" applyProtection="1">
      <alignment horizontal="center" vertical="center" wrapText="1"/>
    </xf>
    <xf numFmtId="0" fontId="31" fillId="0" borderId="833" xfId="2" applyFont="1" applyFill="1" applyBorder="1" applyAlignment="1" applyProtection="1">
      <alignment horizontal="center" vertical="center" wrapText="1"/>
    </xf>
    <xf numFmtId="0" fontId="0" fillId="26" borderId="0" xfId="0" applyFont="1" applyFill="1" applyBorder="1" applyAlignment="1" applyProtection="1">
      <alignment horizontal="center" vertical="center" wrapText="1"/>
      <protection locked="0"/>
    </xf>
    <xf numFmtId="0" fontId="52" fillId="26" borderId="274" xfId="2" applyFont="1" applyFill="1" applyBorder="1" applyAlignment="1" applyProtection="1">
      <alignment horizontal="center" vertical="center"/>
      <protection locked="0"/>
    </xf>
    <xf numFmtId="0" fontId="0" fillId="26" borderId="274" xfId="0" applyFont="1" applyFill="1" applyBorder="1" applyAlignment="1" applyProtection="1">
      <alignment horizontal="center"/>
      <protection locked="0"/>
    </xf>
    <xf numFmtId="0" fontId="0" fillId="26" borderId="277" xfId="0" applyFont="1" applyFill="1" applyBorder="1" applyAlignment="1" applyProtection="1">
      <alignment horizontal="center"/>
    </xf>
    <xf numFmtId="0" fontId="1" fillId="0" borderId="175" xfId="0" applyFont="1" applyFill="1" applyBorder="1" applyAlignment="1" applyProtection="1">
      <alignment vertical="top" wrapText="1"/>
    </xf>
    <xf numFmtId="0" fontId="1" fillId="0" borderId="68" xfId="0" applyFont="1" applyFill="1" applyBorder="1" applyAlignment="1" applyProtection="1">
      <alignment vertical="top" wrapText="1"/>
    </xf>
    <xf numFmtId="0" fontId="0" fillId="39" borderId="39" xfId="0" applyFont="1" applyFill="1" applyBorder="1" applyAlignment="1" applyProtection="1">
      <alignment horizontal="center"/>
      <protection locked="0"/>
    </xf>
    <xf numFmtId="0" fontId="37" fillId="2" borderId="0" xfId="0" applyFont="1" applyFill="1" applyBorder="1" applyAlignment="1" applyProtection="1">
      <alignment horizontal="center" vertical="center"/>
    </xf>
    <xf numFmtId="0" fontId="182" fillId="0" borderId="1451" xfId="236" applyFont="1" applyFill="1" applyBorder="1" applyAlignment="1">
      <alignment horizontal="center" vertical="center" wrapText="1"/>
    </xf>
    <xf numFmtId="0" fontId="26" fillId="0" borderId="0" xfId="0" applyFont="1" applyAlignment="1">
      <alignment horizontal="center" vertical="center"/>
    </xf>
    <xf numFmtId="0" fontId="6" fillId="0" borderId="0" xfId="10"/>
    <xf numFmtId="0" fontId="189" fillId="0" borderId="0" xfId="10" applyFont="1" applyFill="1" applyBorder="1" applyAlignment="1">
      <alignment horizontal="center"/>
    </xf>
    <xf numFmtId="0" fontId="6" fillId="0" borderId="0" xfId="10" applyFill="1"/>
    <xf numFmtId="0" fontId="25" fillId="27" borderId="472" xfId="0" quotePrefix="1" applyFont="1" applyFill="1" applyBorder="1" applyAlignment="1" applyProtection="1">
      <alignment horizontal="center" vertical="center" textRotation="75" wrapText="1"/>
    </xf>
    <xf numFmtId="1" fontId="21" fillId="0" borderId="0" xfId="0" quotePrefix="1" applyNumberFormat="1" applyFont="1" applyFill="1" applyBorder="1" applyAlignment="1" applyProtection="1">
      <alignment horizontal="center" vertical="center"/>
    </xf>
    <xf numFmtId="1" fontId="21" fillId="0" borderId="0" xfId="0" quotePrefix="1" applyNumberFormat="1" applyFont="1" applyBorder="1" applyAlignment="1" applyProtection="1">
      <alignment horizontal="center" vertical="center"/>
    </xf>
    <xf numFmtId="0" fontId="25" fillId="25" borderId="472" xfId="0" quotePrefix="1" applyFont="1" applyFill="1" applyBorder="1" applyAlignment="1" applyProtection="1">
      <alignment horizontal="center" vertical="center" textRotation="75" wrapText="1"/>
    </xf>
    <xf numFmtId="0" fontId="21" fillId="0" borderId="1466" xfId="0" quotePrefix="1" applyFont="1" applyFill="1" applyBorder="1" applyAlignment="1" applyProtection="1">
      <alignment horizontal="left" vertical="center"/>
    </xf>
    <xf numFmtId="1" fontId="1" fillId="0" borderId="1466" xfId="0" applyNumberFormat="1" applyFont="1" applyFill="1" applyBorder="1" applyAlignment="1" applyProtection="1">
      <alignment horizontal="center" vertical="center" wrapText="1"/>
    </xf>
    <xf numFmtId="0" fontId="22" fillId="3" borderId="472" xfId="0" quotePrefix="1" applyFont="1" applyFill="1" applyBorder="1" applyAlignment="1" applyProtection="1">
      <alignment horizontal="center" vertical="center" textRotation="75" wrapText="1"/>
    </xf>
    <xf numFmtId="1" fontId="0" fillId="80" borderId="214" xfId="0" applyNumberFormat="1" applyFont="1" applyFill="1" applyBorder="1" applyAlignment="1" applyProtection="1">
      <alignment horizontal="center" vertical="center" wrapText="1"/>
      <protection locked="0"/>
    </xf>
    <xf numFmtId="1" fontId="0" fillId="80" borderId="209" xfId="0" applyNumberFormat="1" applyFont="1" applyFill="1" applyBorder="1" applyAlignment="1" applyProtection="1">
      <alignment horizontal="center" vertical="center" wrapText="1"/>
      <protection locked="0"/>
    </xf>
    <xf numFmtId="1" fontId="0" fillId="10" borderId="209" xfId="0" applyNumberFormat="1" applyFont="1" applyFill="1" applyBorder="1" applyAlignment="1" applyProtection="1">
      <alignment horizontal="center" vertical="center" wrapText="1"/>
      <protection locked="0"/>
    </xf>
    <xf numFmtId="1" fontId="0" fillId="4" borderId="209" xfId="0" applyNumberFormat="1" applyFont="1" applyFill="1" applyBorder="1" applyAlignment="1" applyProtection="1">
      <alignment horizontal="center" vertical="center" wrapText="1"/>
      <protection locked="0"/>
    </xf>
    <xf numFmtId="1" fontId="0" fillId="18" borderId="209" xfId="0" applyNumberFormat="1" applyFont="1" applyFill="1" applyBorder="1" applyAlignment="1" applyProtection="1">
      <alignment horizontal="center" vertical="center" wrapText="1"/>
      <protection locked="0"/>
    </xf>
    <xf numFmtId="1" fontId="21" fillId="0" borderId="1478" xfId="0" quotePrefix="1" applyNumberFormat="1" applyFont="1" applyBorder="1" applyAlignment="1" applyProtection="1">
      <alignment horizontal="center" vertical="center"/>
    </xf>
    <xf numFmtId="1" fontId="21" fillId="0" borderId="1479" xfId="0" quotePrefix="1" applyNumberFormat="1" applyFont="1" applyBorder="1" applyAlignment="1" applyProtection="1">
      <alignment horizontal="center" vertical="center"/>
    </xf>
    <xf numFmtId="1" fontId="69" fillId="26" borderId="1476" xfId="0" applyNumberFormat="1" applyFont="1" applyFill="1" applyBorder="1" applyAlignment="1" applyProtection="1">
      <alignment horizontal="center" vertical="center" wrapText="1"/>
      <protection locked="0"/>
    </xf>
    <xf numFmtId="1" fontId="69" fillId="26" borderId="1469" xfId="0" applyNumberFormat="1" applyFont="1" applyFill="1" applyBorder="1" applyAlignment="1" applyProtection="1">
      <alignment horizontal="center" vertical="center" wrapText="1"/>
      <protection locked="0"/>
    </xf>
    <xf numFmtId="1" fontId="69" fillId="26" borderId="1470" xfId="0" applyNumberFormat="1" applyFont="1" applyFill="1" applyBorder="1" applyAlignment="1" applyProtection="1">
      <alignment horizontal="center" vertical="center" wrapText="1"/>
      <protection locked="0"/>
    </xf>
    <xf numFmtId="1" fontId="69" fillId="26" borderId="1477" xfId="0" applyNumberFormat="1" applyFont="1" applyFill="1" applyBorder="1" applyAlignment="1" applyProtection="1">
      <alignment horizontal="center" vertical="center" wrapText="1"/>
      <protection locked="0"/>
    </xf>
    <xf numFmtId="1" fontId="69" fillId="26" borderId="1472" xfId="0" applyNumberFormat="1" applyFont="1" applyFill="1" applyBorder="1" applyAlignment="1" applyProtection="1">
      <alignment horizontal="center" vertical="center" wrapText="1"/>
      <protection locked="0"/>
    </xf>
    <xf numFmtId="1" fontId="69" fillId="26" borderId="1473" xfId="0" applyNumberFormat="1" applyFont="1" applyFill="1" applyBorder="1" applyAlignment="1" applyProtection="1">
      <alignment horizontal="center" vertical="center" wrapText="1"/>
      <protection locked="0"/>
    </xf>
    <xf numFmtId="1" fontId="1" fillId="0" borderId="1482" xfId="0" applyNumberFormat="1" applyFont="1" applyFill="1" applyBorder="1" applyAlignment="1" applyProtection="1">
      <alignment horizontal="center" vertical="center" wrapText="1"/>
    </xf>
    <xf numFmtId="1" fontId="69" fillId="26" borderId="1483" xfId="0" applyNumberFormat="1" applyFont="1" applyFill="1" applyBorder="1" applyAlignment="1" applyProtection="1">
      <alignment horizontal="center" vertical="center" wrapText="1"/>
    </xf>
    <xf numFmtId="1" fontId="69" fillId="26" borderId="1484" xfId="0" applyNumberFormat="1" applyFont="1" applyFill="1" applyBorder="1" applyAlignment="1" applyProtection="1">
      <alignment horizontal="center" vertical="center" wrapText="1"/>
    </xf>
    <xf numFmtId="1" fontId="69" fillId="26" borderId="1485" xfId="0" applyNumberFormat="1" applyFont="1" applyFill="1" applyBorder="1" applyAlignment="1" applyProtection="1">
      <alignment horizontal="center" vertical="center" wrapText="1"/>
    </xf>
    <xf numFmtId="1" fontId="1" fillId="0" borderId="1467" xfId="0" applyNumberFormat="1" applyFont="1" applyFill="1" applyBorder="1" applyAlignment="1" applyProtection="1">
      <alignment horizontal="center" vertical="center" wrapText="1"/>
    </xf>
    <xf numFmtId="1" fontId="21" fillId="0" borderId="1488" xfId="0" quotePrefix="1" applyNumberFormat="1" applyFont="1" applyBorder="1" applyAlignment="1" applyProtection="1">
      <alignment horizontal="center" vertical="center"/>
    </xf>
    <xf numFmtId="1" fontId="21" fillId="0" borderId="1489" xfId="0" quotePrefix="1" applyNumberFormat="1" applyFont="1" applyBorder="1" applyAlignment="1" applyProtection="1">
      <alignment horizontal="center" vertical="center"/>
    </xf>
    <xf numFmtId="1" fontId="21" fillId="0" borderId="1490" xfId="0" quotePrefix="1" applyNumberFormat="1" applyFont="1" applyBorder="1" applyAlignment="1" applyProtection="1">
      <alignment horizontal="center" vertical="center"/>
    </xf>
    <xf numFmtId="0" fontId="5" fillId="64" borderId="39" xfId="1" applyFill="1" applyBorder="1" applyAlignment="1">
      <alignment horizontal="left" vertical="center"/>
    </xf>
    <xf numFmtId="0" fontId="5" fillId="4" borderId="39" xfId="1" applyFill="1" applyBorder="1" applyAlignment="1">
      <alignment horizontal="left" vertical="center"/>
    </xf>
    <xf numFmtId="0" fontId="181" fillId="8" borderId="39" xfId="1" applyFont="1" applyFill="1" applyBorder="1" applyAlignment="1">
      <alignment horizontal="left" vertical="center"/>
    </xf>
    <xf numFmtId="0" fontId="0" fillId="0" borderId="709" xfId="0" applyBorder="1"/>
    <xf numFmtId="0" fontId="0" fillId="0" borderId="710" xfId="0" applyBorder="1"/>
    <xf numFmtId="0" fontId="0" fillId="0" borderId="711" xfId="0" applyBorder="1"/>
    <xf numFmtId="0" fontId="19" fillId="0" borderId="694" xfId="0" applyFont="1" applyBorder="1"/>
    <xf numFmtId="0" fontId="0" fillId="0" borderId="689" xfId="0" applyBorder="1"/>
    <xf numFmtId="0" fontId="0" fillId="0" borderId="690" xfId="0" applyBorder="1"/>
    <xf numFmtId="0" fontId="0" fillId="0" borderId="691" xfId="0" applyBorder="1"/>
    <xf numFmtId="0" fontId="0" fillId="0" borderId="694" xfId="0" applyBorder="1"/>
    <xf numFmtId="0" fontId="0" fillId="0" borderId="692" xfId="0" applyBorder="1"/>
    <xf numFmtId="3" fontId="111" fillId="28" borderId="1216" xfId="2" applyNumberFormat="1" applyFont="1" applyFill="1" applyBorder="1" applyAlignment="1" applyProtection="1">
      <alignment vertical="center"/>
    </xf>
    <xf numFmtId="3" fontId="111" fillId="28" borderId="533" xfId="2" applyNumberFormat="1" applyFont="1" applyFill="1" applyBorder="1" applyAlignment="1" applyProtection="1">
      <alignment vertical="center"/>
    </xf>
    <xf numFmtId="9" fontId="111" fillId="31" borderId="560" xfId="3" applyFont="1" applyFill="1" applyBorder="1" applyAlignment="1" applyProtection="1">
      <alignment vertical="center"/>
    </xf>
    <xf numFmtId="3" fontId="111" fillId="28" borderId="1256" xfId="2" applyNumberFormat="1" applyFont="1" applyFill="1" applyBorder="1" applyAlignment="1" applyProtection="1">
      <alignment vertical="center"/>
    </xf>
    <xf numFmtId="3" fontId="111" fillId="28" borderId="1253" xfId="2" applyNumberFormat="1" applyFont="1" applyFill="1" applyBorder="1" applyAlignment="1" applyProtection="1">
      <alignment vertical="center"/>
    </xf>
    <xf numFmtId="3" fontId="111" fillId="28" borderId="1286" xfId="2" applyNumberFormat="1" applyFont="1" applyFill="1" applyBorder="1" applyAlignment="1" applyProtection="1">
      <alignment vertical="center"/>
    </xf>
    <xf numFmtId="3" fontId="24" fillId="0" borderId="1494" xfId="6" applyNumberFormat="1" applyFont="1" applyFill="1" applyBorder="1" applyAlignment="1" applyProtection="1">
      <alignment horizontal="left" vertical="center" wrapText="1"/>
    </xf>
    <xf numFmtId="3" fontId="24" fillId="0" borderId="541" xfId="6" applyNumberFormat="1" applyFont="1" applyFill="1" applyBorder="1" applyAlignment="1" applyProtection="1">
      <alignment horizontal="left" vertical="center" wrapText="1"/>
    </xf>
    <xf numFmtId="3" fontId="24" fillId="0" borderId="712" xfId="6" applyNumberFormat="1" applyFont="1" applyFill="1" applyBorder="1" applyAlignment="1" applyProtection="1">
      <alignment horizontal="left" vertical="center" wrapText="1"/>
    </xf>
    <xf numFmtId="3" fontId="18" fillId="0" borderId="1495" xfId="6" applyNumberFormat="1" applyFont="1" applyFill="1" applyBorder="1" applyAlignment="1" applyProtection="1">
      <alignment horizontal="center" vertical="center" wrapText="1"/>
    </xf>
    <xf numFmtId="3" fontId="11" fillId="0" borderId="1497" xfId="6" applyNumberFormat="1" applyFont="1" applyBorder="1" applyAlignment="1">
      <alignment horizontal="center"/>
    </xf>
    <xf numFmtId="3" fontId="11" fillId="0" borderId="1498" xfId="6" applyNumberFormat="1" applyFont="1" applyBorder="1" applyAlignment="1">
      <alignment horizontal="center"/>
    </xf>
    <xf numFmtId="3" fontId="11" fillId="0" borderId="1499" xfId="6" applyNumberFormat="1" applyFont="1" applyBorder="1" applyAlignment="1">
      <alignment horizontal="center"/>
    </xf>
    <xf numFmtId="3" fontId="11" fillId="0" borderId="1500" xfId="6" applyNumberFormat="1" applyFont="1" applyBorder="1" applyAlignment="1">
      <alignment horizontal="center"/>
    </xf>
    <xf numFmtId="3" fontId="160" fillId="0" borderId="1496" xfId="6" applyNumberFormat="1" applyFont="1" applyBorder="1"/>
    <xf numFmtId="3" fontId="160" fillId="0" borderId="0" xfId="6" applyNumberFormat="1" applyFont="1" applyBorder="1"/>
    <xf numFmtId="0" fontId="6" fillId="26" borderId="836" xfId="2" applyFill="1" applyBorder="1" applyAlignment="1" applyProtection="1">
      <alignment horizontal="center" vertical="center"/>
      <protection locked="0"/>
    </xf>
    <xf numFmtId="0" fontId="6" fillId="26" borderId="837" xfId="2" applyFill="1" applyBorder="1" applyAlignment="1" applyProtection="1">
      <alignment horizontal="center" vertical="center"/>
      <protection locked="0"/>
    </xf>
    <xf numFmtId="0" fontId="6" fillId="40" borderId="836" xfId="2" applyFill="1" applyBorder="1" applyAlignment="1" applyProtection="1">
      <alignment horizontal="center" vertical="center"/>
      <protection locked="0"/>
    </xf>
    <xf numFmtId="0" fontId="6" fillId="40" borderId="831" xfId="2" applyFill="1" applyBorder="1" applyAlignment="1" applyProtection="1">
      <alignment horizontal="center" vertical="center"/>
      <protection locked="0"/>
    </xf>
    <xf numFmtId="0" fontId="6" fillId="40" borderId="837" xfId="2" applyFill="1" applyBorder="1" applyAlignment="1" applyProtection="1">
      <alignment horizontal="center" vertical="center"/>
      <protection locked="0"/>
    </xf>
    <xf numFmtId="0" fontId="24" fillId="34" borderId="1501" xfId="2" applyFont="1" applyFill="1" applyBorder="1" applyAlignment="1" applyProtection="1">
      <alignment horizontal="center" vertical="center" wrapText="1"/>
    </xf>
    <xf numFmtId="0" fontId="6" fillId="28" borderId="833" xfId="2" applyFill="1" applyBorder="1" applyAlignment="1" applyProtection="1">
      <alignment horizontal="center"/>
      <protection locked="0"/>
    </xf>
    <xf numFmtId="0" fontId="6" fillId="28" borderId="833" xfId="2" applyFill="1" applyBorder="1" applyAlignment="1" applyProtection="1">
      <alignment horizontal="center" vertical="center"/>
      <protection locked="0"/>
    </xf>
    <xf numFmtId="0" fontId="6" fillId="0" borderId="839" xfId="2" applyBorder="1" applyAlignment="1" applyProtection="1"/>
    <xf numFmtId="0" fontId="6" fillId="0" borderId="840" xfId="2" applyBorder="1" applyAlignment="1" applyProtection="1"/>
    <xf numFmtId="0" fontId="24" fillId="0" borderId="840" xfId="2" applyFont="1" applyFill="1" applyBorder="1" applyAlignment="1" applyProtection="1">
      <alignment vertical="center"/>
    </xf>
    <xf numFmtId="0" fontId="31" fillId="0" borderId="840" xfId="2" applyFont="1" applyFill="1" applyBorder="1" applyAlignment="1" applyProtection="1">
      <alignment horizontal="center" vertical="center" wrapText="1"/>
    </xf>
    <xf numFmtId="0" fontId="6" fillId="0" borderId="1419" xfId="2" applyBorder="1"/>
    <xf numFmtId="0" fontId="6" fillId="0" borderId="1504" xfId="2" applyBorder="1"/>
    <xf numFmtId="0" fontId="6" fillId="0" borderId="1505" xfId="2" applyBorder="1"/>
    <xf numFmtId="0" fontId="6" fillId="0" borderId="1506" xfId="2" applyBorder="1"/>
    <xf numFmtId="0" fontId="6" fillId="0" borderId="1507" xfId="2" applyBorder="1"/>
    <xf numFmtId="0" fontId="6" fillId="28" borderId="1509" xfId="2" applyFill="1" applyBorder="1" applyAlignment="1" applyProtection="1">
      <alignment horizontal="center"/>
      <protection locked="0"/>
    </xf>
    <xf numFmtId="0" fontId="6" fillId="28" borderId="1510" xfId="2" applyFill="1" applyBorder="1" applyAlignment="1" applyProtection="1">
      <alignment horizontal="center"/>
      <protection locked="0"/>
    </xf>
    <xf numFmtId="0" fontId="6" fillId="28" borderId="1504" xfId="2" applyFill="1" applyBorder="1" applyAlignment="1" applyProtection="1">
      <alignment horizontal="center"/>
      <protection locked="0"/>
    </xf>
    <xf numFmtId="0" fontId="6" fillId="28" borderId="1511" xfId="2" applyFill="1" applyBorder="1" applyAlignment="1" applyProtection="1">
      <alignment horizontal="center"/>
      <protection locked="0"/>
    </xf>
    <xf numFmtId="0" fontId="6" fillId="0" borderId="1512" xfId="2" applyBorder="1" applyAlignment="1" applyProtection="1"/>
    <xf numFmtId="0" fontId="6" fillId="0" borderId="932" xfId="2" applyBorder="1" applyAlignment="1" applyProtection="1"/>
    <xf numFmtId="0" fontId="6" fillId="0" borderId="0" xfId="2" applyBorder="1" applyAlignment="1" applyProtection="1"/>
    <xf numFmtId="0" fontId="5" fillId="63" borderId="39" xfId="1" applyFill="1" applyBorder="1" applyAlignment="1">
      <alignment horizontal="left" vertical="center"/>
    </xf>
    <xf numFmtId="0" fontId="11" fillId="0" borderId="985" xfId="9" applyFill="1" applyBorder="1" applyAlignment="1">
      <alignment horizontal="center" vertical="center"/>
    </xf>
    <xf numFmtId="0" fontId="1" fillId="26" borderId="68" xfId="0" applyFont="1" applyFill="1" applyBorder="1" applyAlignment="1" applyProtection="1">
      <alignment horizontal="center" vertical="center" wrapText="1"/>
    </xf>
    <xf numFmtId="9" fontId="6" fillId="26" borderId="1004" xfId="236" applyNumberFormat="1" applyFill="1" applyBorder="1" applyAlignment="1">
      <alignment horizontal="center"/>
    </xf>
    <xf numFmtId="0" fontId="6" fillId="0" borderId="1453" xfId="236" quotePrefix="1" applyFill="1" applyBorder="1"/>
    <xf numFmtId="9" fontId="6" fillId="26" borderId="1003" xfId="236" applyNumberFormat="1" applyFill="1" applyBorder="1" applyAlignment="1">
      <alignment horizontal="center"/>
    </xf>
    <xf numFmtId="0" fontId="1" fillId="26" borderId="68" xfId="0" applyFont="1" applyFill="1" applyBorder="1" applyAlignment="1" applyProtection="1">
      <alignment horizontal="center" vertical="center"/>
    </xf>
    <xf numFmtId="1" fontId="0" fillId="6" borderId="209" xfId="0" applyNumberFormat="1" applyFont="1" applyFill="1" applyBorder="1" applyAlignment="1" applyProtection="1">
      <alignment horizontal="center" vertical="center" wrapText="1"/>
      <protection locked="0"/>
    </xf>
    <xf numFmtId="1" fontId="0" fillId="0" borderId="214" xfId="0" applyNumberFormat="1" applyFont="1" applyFill="1" applyBorder="1" applyAlignment="1" applyProtection="1">
      <alignment horizontal="center" vertical="center" wrapText="1"/>
      <protection locked="0"/>
    </xf>
    <xf numFmtId="1" fontId="0" fillId="0" borderId="209" xfId="0" applyNumberFormat="1" applyFont="1" applyFill="1" applyBorder="1" applyAlignment="1" applyProtection="1">
      <alignment horizontal="center" vertical="center" wrapText="1"/>
      <protection locked="0"/>
    </xf>
    <xf numFmtId="0" fontId="37" fillId="0" borderId="1002" xfId="9" applyFont="1" applyBorder="1" applyAlignment="1">
      <alignment horizontal="center" vertical="center" wrapText="1"/>
    </xf>
    <xf numFmtId="0" fontId="182" fillId="0" borderId="1451" xfId="236" applyFont="1" applyFill="1" applyBorder="1" applyAlignment="1">
      <alignment horizontal="center" vertical="center" wrapText="1"/>
    </xf>
    <xf numFmtId="0" fontId="52" fillId="26" borderId="1453" xfId="236" applyFont="1" applyFill="1" applyBorder="1" applyAlignment="1">
      <alignment horizontal="center" vertical="center"/>
    </xf>
    <xf numFmtId="0" fontId="52" fillId="0" borderId="1454" xfId="236" applyFont="1" applyFill="1" applyBorder="1" applyAlignment="1">
      <alignment horizontal="left" vertical="center" wrapText="1"/>
    </xf>
    <xf numFmtId="0" fontId="52" fillId="0" borderId="1454" xfId="236" applyFont="1" applyFill="1" applyBorder="1" applyAlignment="1">
      <alignment horizontal="left" vertical="top" wrapText="1"/>
    </xf>
    <xf numFmtId="0" fontId="21" fillId="0" borderId="1160" xfId="0" applyFont="1" applyFill="1" applyBorder="1" applyAlignment="1" applyProtection="1">
      <alignment horizontal="center" vertical="center"/>
    </xf>
    <xf numFmtId="0" fontId="21" fillId="0" borderId="504" xfId="0" applyFont="1" applyFill="1" applyBorder="1" applyAlignment="1" applyProtection="1">
      <alignment horizontal="center" vertical="center"/>
    </xf>
    <xf numFmtId="0" fontId="21" fillId="0" borderId="67" xfId="0" applyFont="1" applyFill="1" applyBorder="1" applyAlignment="1" applyProtection="1">
      <alignment horizontal="center" vertical="center"/>
    </xf>
    <xf numFmtId="0" fontId="21" fillId="0" borderId="68" xfId="0" applyFont="1" applyFill="1" applyBorder="1" applyAlignment="1" applyProtection="1">
      <alignment horizontal="center" vertical="center"/>
    </xf>
    <xf numFmtId="0" fontId="2" fillId="0" borderId="16" xfId="0" quotePrefix="1" applyFont="1" applyFill="1" applyBorder="1" applyAlignment="1" applyProtection="1">
      <alignment horizontal="left" vertical="center"/>
      <protection locked="0"/>
    </xf>
    <xf numFmtId="0" fontId="2" fillId="0" borderId="17" xfId="0" quotePrefix="1" applyFont="1" applyFill="1" applyBorder="1" applyAlignment="1" applyProtection="1">
      <alignment horizontal="left" vertical="center"/>
      <protection locked="0"/>
    </xf>
    <xf numFmtId="3" fontId="164" fillId="26" borderId="533" xfId="6" applyNumberFormat="1" applyFont="1" applyFill="1" applyBorder="1" applyAlignment="1" applyProtection="1">
      <alignment horizontal="center" vertical="center"/>
    </xf>
    <xf numFmtId="3" fontId="18" fillId="0" borderId="1516" xfId="6" applyNumberFormat="1" applyFont="1" applyFill="1" applyBorder="1" applyAlignment="1" applyProtection="1">
      <alignment horizontal="center" vertical="center" wrapText="1"/>
    </xf>
    <xf numFmtId="3" fontId="50" fillId="0" borderId="1517" xfId="3" applyNumberFormat="1" applyFont="1" applyFill="1" applyBorder="1" applyAlignment="1" applyProtection="1">
      <alignment horizontal="center" vertical="center"/>
    </xf>
    <xf numFmtId="0" fontId="0" fillId="0" borderId="39" xfId="9" applyFont="1" applyFill="1" applyBorder="1" applyAlignment="1">
      <alignment horizontal="center" vertical="center"/>
    </xf>
    <xf numFmtId="0" fontId="0" fillId="0" borderId="39" xfId="9" applyFont="1" applyBorder="1" applyAlignment="1">
      <alignment horizontal="center" vertical="center"/>
    </xf>
    <xf numFmtId="0" fontId="0" fillId="0" borderId="1513" xfId="9" applyFont="1" applyBorder="1" applyAlignment="1">
      <alignment horizontal="center" vertical="center"/>
    </xf>
    <xf numFmtId="0" fontId="0" fillId="0" borderId="1443" xfId="9" applyFont="1" applyBorder="1" applyAlignment="1">
      <alignment horizontal="center" vertical="center"/>
    </xf>
    <xf numFmtId="0" fontId="2" fillId="0" borderId="16" xfId="0" quotePrefix="1" applyFont="1" applyFill="1" applyBorder="1" applyAlignment="1" applyProtection="1">
      <alignment horizontal="left" vertical="center"/>
      <protection locked="0"/>
    </xf>
    <xf numFmtId="0" fontId="2" fillId="0" borderId="17" xfId="0" quotePrefix="1" applyFont="1" applyFill="1" applyBorder="1" applyAlignment="1" applyProtection="1">
      <alignment horizontal="left" vertical="center"/>
      <protection locked="0"/>
    </xf>
    <xf numFmtId="0" fontId="183" fillId="0" borderId="0" xfId="236" applyFont="1" applyFill="1" applyBorder="1"/>
    <xf numFmtId="0" fontId="31" fillId="0" borderId="1518" xfId="236" applyFont="1" applyBorder="1"/>
    <xf numFmtId="0" fontId="52" fillId="0" borderId="1454" xfId="236" applyFont="1" applyFill="1" applyBorder="1" applyAlignment="1">
      <alignment horizontal="left" wrapText="1"/>
    </xf>
    <xf numFmtId="0" fontId="52" fillId="0" borderId="1454" xfId="236" applyFont="1" applyFill="1" applyBorder="1" applyAlignment="1">
      <alignment horizontal="left" vertical="top"/>
    </xf>
    <xf numFmtId="0" fontId="52" fillId="0" borderId="0" xfId="236" applyFont="1" applyFill="1" applyBorder="1" applyAlignment="1">
      <alignment horizontal="left" vertical="top"/>
    </xf>
    <xf numFmtId="0" fontId="184" fillId="0" borderId="0" xfId="236" applyFont="1" applyFill="1" applyBorder="1" applyAlignment="1">
      <alignment horizontal="left" vertical="top" wrapText="1"/>
    </xf>
    <xf numFmtId="0" fontId="185" fillId="0" borderId="1454" xfId="236" applyFont="1" applyFill="1" applyBorder="1"/>
    <xf numFmtId="0" fontId="6" fillId="26" borderId="1074" xfId="236" applyFill="1" applyBorder="1" applyAlignment="1">
      <alignment horizontal="center"/>
    </xf>
    <xf numFmtId="0" fontId="31" fillId="26" borderId="1454" xfId="236" applyFont="1" applyFill="1" applyBorder="1"/>
    <xf numFmtId="0" fontId="6" fillId="26" borderId="1454" xfId="236" applyFont="1" applyFill="1" applyBorder="1"/>
    <xf numFmtId="0" fontId="6" fillId="26" borderId="1454" xfId="236" applyFont="1" applyFill="1" applyBorder="1" applyAlignment="1">
      <alignment horizontal="left" vertical="top"/>
    </xf>
    <xf numFmtId="0" fontId="26" fillId="9" borderId="1165" xfId="0" applyFont="1" applyFill="1" applyBorder="1" applyAlignment="1" applyProtection="1">
      <alignment horizontal="center" vertical="center" wrapText="1"/>
    </xf>
    <xf numFmtId="0" fontId="21" fillId="24" borderId="1522" xfId="0" quotePrefix="1" applyFont="1" applyFill="1" applyBorder="1" applyAlignment="1" applyProtection="1">
      <alignment vertical="center"/>
    </xf>
    <xf numFmtId="0" fontId="21" fillId="24" borderId="1523" xfId="0" quotePrefix="1" applyFont="1" applyFill="1" applyBorder="1" applyAlignment="1" applyProtection="1">
      <alignment vertical="center"/>
    </xf>
    <xf numFmtId="1" fontId="0" fillId="26" borderId="113" xfId="3" applyNumberFormat="1" applyFont="1" applyFill="1" applyBorder="1" applyAlignment="1" applyProtection="1">
      <alignment horizontal="center" vertical="center" wrapText="1"/>
      <protection locked="0"/>
    </xf>
    <xf numFmtId="1" fontId="0" fillId="26" borderId="114" xfId="3" applyNumberFormat="1" applyFont="1" applyFill="1" applyBorder="1" applyAlignment="1" applyProtection="1">
      <alignment horizontal="center" vertical="center" wrapText="1"/>
      <protection locked="0"/>
    </xf>
    <xf numFmtId="0" fontId="0" fillId="26" borderId="209" xfId="0" applyFont="1" applyFill="1" applyBorder="1" applyAlignment="1" applyProtection="1">
      <alignment horizontal="center" vertical="center" wrapText="1"/>
      <protection locked="0"/>
    </xf>
    <xf numFmtId="0" fontId="0" fillId="26" borderId="216" xfId="0" applyFont="1" applyFill="1" applyBorder="1" applyAlignment="1" applyProtection="1">
      <alignment horizontal="center" vertical="center" wrapText="1"/>
      <protection locked="0"/>
    </xf>
    <xf numFmtId="1" fontId="21" fillId="0" borderId="1527" xfId="0" quotePrefix="1" applyNumberFormat="1" applyFont="1" applyBorder="1" applyAlignment="1" applyProtection="1">
      <alignment horizontal="center" vertical="center"/>
    </xf>
    <xf numFmtId="1" fontId="1" fillId="0" borderId="1528" xfId="0" applyNumberFormat="1" applyFont="1" applyFill="1" applyBorder="1" applyAlignment="1" applyProtection="1">
      <alignment horizontal="center" vertical="center" wrapText="1"/>
      <protection locked="0"/>
    </xf>
    <xf numFmtId="0" fontId="26" fillId="0" borderId="1529" xfId="0" quotePrefix="1" applyFont="1" applyBorder="1" applyAlignment="1" applyProtection="1">
      <alignment horizontal="center" vertical="center" wrapText="1"/>
    </xf>
    <xf numFmtId="0" fontId="0" fillId="25" borderId="204" xfId="0" applyFont="1" applyFill="1" applyBorder="1" applyAlignment="1">
      <alignment horizontal="center" vertical="center"/>
    </xf>
    <xf numFmtId="1" fontId="26" fillId="0" borderId="1530" xfId="0" quotePrefix="1" applyNumberFormat="1" applyFont="1" applyBorder="1" applyAlignment="1" applyProtection="1">
      <alignment horizontal="center" vertical="center" wrapText="1"/>
    </xf>
    <xf numFmtId="1" fontId="0" fillId="25" borderId="406" xfId="0" applyNumberFormat="1" applyFont="1" applyFill="1" applyBorder="1" applyAlignment="1" applyProtection="1">
      <alignment horizontal="center" vertical="center" wrapText="1"/>
      <protection locked="0"/>
    </xf>
    <xf numFmtId="1" fontId="1" fillId="0" borderId="1531" xfId="0" applyNumberFormat="1" applyFont="1" applyFill="1" applyBorder="1" applyAlignment="1" applyProtection="1">
      <alignment horizontal="center" vertical="center" wrapText="1"/>
    </xf>
    <xf numFmtId="1" fontId="1" fillId="0" borderId="1532" xfId="0" applyNumberFormat="1" applyFont="1" applyFill="1" applyBorder="1" applyAlignment="1" applyProtection="1">
      <alignment horizontal="center" vertical="center" wrapText="1"/>
    </xf>
    <xf numFmtId="1" fontId="1" fillId="0" borderId="1533" xfId="0" applyNumberFormat="1" applyFont="1" applyFill="1" applyBorder="1" applyAlignment="1" applyProtection="1">
      <alignment horizontal="center" vertical="center" wrapText="1"/>
    </xf>
    <xf numFmtId="1" fontId="0" fillId="26" borderId="214" xfId="3" applyNumberFormat="1" applyFont="1" applyFill="1" applyBorder="1" applyAlignment="1" applyProtection="1">
      <alignment horizontal="center" vertical="center" wrapText="1"/>
      <protection locked="0"/>
    </xf>
    <xf numFmtId="0" fontId="0" fillId="26" borderId="214" xfId="0" applyFont="1" applyFill="1" applyBorder="1" applyAlignment="1" applyProtection="1">
      <alignment horizontal="center" vertical="center" wrapText="1"/>
      <protection locked="0"/>
    </xf>
    <xf numFmtId="1" fontId="1" fillId="0" borderId="787" xfId="0" applyNumberFormat="1" applyFont="1" applyFill="1" applyBorder="1" applyAlignment="1" applyProtection="1">
      <alignment horizontal="center" vertical="center" wrapText="1"/>
      <protection locked="0"/>
    </xf>
    <xf numFmtId="0" fontId="0" fillId="25" borderId="723" xfId="0" applyFont="1" applyFill="1" applyBorder="1" applyAlignment="1">
      <alignment horizontal="center" vertical="center"/>
    </xf>
    <xf numFmtId="1" fontId="0" fillId="25" borderId="1534" xfId="0" applyNumberFormat="1" applyFont="1" applyFill="1" applyBorder="1" applyAlignment="1" applyProtection="1">
      <alignment horizontal="center" vertical="center" wrapText="1"/>
      <protection locked="0"/>
    </xf>
    <xf numFmtId="1" fontId="1" fillId="0" borderId="1535" xfId="0" applyNumberFormat="1" applyFont="1" applyFill="1" applyBorder="1" applyAlignment="1" applyProtection="1">
      <alignment horizontal="center" vertical="center" wrapText="1"/>
    </xf>
    <xf numFmtId="0" fontId="41" fillId="28" borderId="472" xfId="0" quotePrefix="1" applyFont="1" applyFill="1" applyBorder="1" applyAlignment="1" applyProtection="1">
      <alignment horizontal="center" vertical="center" textRotation="75" wrapText="1"/>
    </xf>
    <xf numFmtId="0" fontId="26" fillId="0" borderId="1537" xfId="0" quotePrefix="1" applyFont="1" applyBorder="1" applyAlignment="1" applyProtection="1">
      <alignment horizontal="center" vertical="center" wrapText="1"/>
    </xf>
    <xf numFmtId="0" fontId="0" fillId="25" borderId="110" xfId="0" applyFont="1" applyFill="1" applyBorder="1" applyAlignment="1">
      <alignment horizontal="center" vertical="center"/>
    </xf>
    <xf numFmtId="0" fontId="0" fillId="25" borderId="111" xfId="0" applyFont="1" applyFill="1" applyBorder="1" applyAlignment="1">
      <alignment horizontal="center" vertical="center"/>
    </xf>
    <xf numFmtId="1" fontId="26" fillId="0" borderId="1538" xfId="0" quotePrefix="1" applyNumberFormat="1" applyFont="1" applyBorder="1" applyAlignment="1" applyProtection="1">
      <alignment horizontal="center" vertical="center" wrapText="1"/>
    </xf>
    <xf numFmtId="1" fontId="0" fillId="25" borderId="1539" xfId="0" applyNumberFormat="1" applyFont="1" applyFill="1" applyBorder="1" applyAlignment="1" applyProtection="1">
      <alignment horizontal="center" vertical="center" wrapText="1"/>
      <protection locked="0"/>
    </xf>
    <xf numFmtId="1" fontId="0" fillId="25" borderId="116" xfId="0" applyNumberFormat="1" applyFont="1" applyFill="1" applyBorder="1" applyAlignment="1" applyProtection="1">
      <alignment horizontal="center" vertical="center" wrapText="1"/>
      <protection locked="0"/>
    </xf>
    <xf numFmtId="1" fontId="0" fillId="25" borderId="117" xfId="0" applyNumberFormat="1" applyFont="1" applyFill="1" applyBorder="1" applyAlignment="1" applyProtection="1">
      <alignment horizontal="center" vertical="center" wrapText="1"/>
      <protection locked="0"/>
    </xf>
    <xf numFmtId="0" fontId="0" fillId="5" borderId="1553" xfId="0" applyFont="1" applyFill="1" applyBorder="1" applyAlignment="1" applyProtection="1">
      <alignment horizontal="left" vertical="center"/>
      <protection locked="0"/>
    </xf>
    <xf numFmtId="0" fontId="194" fillId="3" borderId="39" xfId="1" applyFont="1" applyFill="1" applyBorder="1" applyAlignment="1">
      <alignment horizontal="left" vertical="center"/>
    </xf>
    <xf numFmtId="1" fontId="1" fillId="28" borderId="212" xfId="3" applyNumberFormat="1" applyFont="1" applyFill="1" applyBorder="1" applyAlignment="1" applyProtection="1">
      <alignment horizontal="center" vertical="center" wrapText="1"/>
    </xf>
    <xf numFmtId="1" fontId="1" fillId="28" borderId="206" xfId="3" applyNumberFormat="1" applyFont="1" applyFill="1" applyBorder="1" applyAlignment="1" applyProtection="1">
      <alignment horizontal="center" vertical="center" wrapText="1"/>
    </xf>
    <xf numFmtId="1" fontId="1" fillId="28" borderId="213" xfId="3" applyNumberFormat="1" applyFont="1" applyFill="1" applyBorder="1" applyAlignment="1" applyProtection="1">
      <alignment horizontal="center" vertical="center" wrapText="1"/>
    </xf>
    <xf numFmtId="9" fontId="1" fillId="28" borderId="212" xfId="3" applyFont="1" applyFill="1" applyBorder="1" applyAlignment="1" applyProtection="1">
      <alignment horizontal="center" vertical="center" wrapText="1"/>
    </xf>
    <xf numFmtId="9" fontId="1" fillId="28" borderId="206" xfId="3" applyFont="1" applyFill="1" applyBorder="1" applyAlignment="1" applyProtection="1">
      <alignment horizontal="center" vertical="center" wrapText="1"/>
    </xf>
    <xf numFmtId="9" fontId="1" fillId="28" borderId="213" xfId="3" applyFont="1" applyFill="1" applyBorder="1" applyAlignment="1" applyProtection="1">
      <alignment horizontal="center" vertical="center" wrapText="1"/>
    </xf>
    <xf numFmtId="0" fontId="52" fillId="26" borderId="0" xfId="236" applyFont="1" applyFill="1" applyBorder="1" applyAlignment="1">
      <alignment horizontal="center" vertical="center"/>
    </xf>
    <xf numFmtId="0" fontId="52" fillId="26" borderId="0" xfId="236" applyFont="1" applyFill="1" applyBorder="1" applyAlignment="1">
      <alignment horizontal="center" vertical="center" wrapText="1"/>
    </xf>
    <xf numFmtId="0" fontId="52" fillId="26" borderId="1453" xfId="236" applyFont="1" applyFill="1" applyBorder="1" applyAlignment="1">
      <alignment horizontal="center" vertical="center" wrapText="1"/>
    </xf>
    <xf numFmtId="0" fontId="52" fillId="0" borderId="1568" xfId="236" applyFont="1" applyFill="1" applyBorder="1" applyAlignment="1">
      <alignment horizontal="center" vertical="center"/>
    </xf>
    <xf numFmtId="0" fontId="6" fillId="26" borderId="1569" xfId="236" applyFill="1" applyBorder="1" applyAlignment="1">
      <alignment horizontal="center"/>
    </xf>
    <xf numFmtId="0" fontId="52" fillId="0" borderId="336" xfId="236" applyFont="1" applyFill="1" applyBorder="1" applyAlignment="1">
      <alignment vertical="center"/>
    </xf>
    <xf numFmtId="0" fontId="6" fillId="0" borderId="338" xfId="236" applyFill="1" applyBorder="1"/>
    <xf numFmtId="0" fontId="52" fillId="0" borderId="1454" xfId="236" applyFont="1" applyFill="1" applyBorder="1" applyAlignment="1">
      <alignment vertical="top" wrapText="1"/>
    </xf>
    <xf numFmtId="0" fontId="31" fillId="0" borderId="1570" xfId="236" applyFont="1" applyBorder="1"/>
    <xf numFmtId="0" fontId="37" fillId="0" borderId="333" xfId="9" applyFont="1" applyBorder="1" applyAlignment="1">
      <alignment vertical="center" wrapText="1"/>
    </xf>
    <xf numFmtId="0" fontId="11" fillId="0" borderId="1571" xfId="9" applyFill="1" applyBorder="1" applyAlignment="1">
      <alignment horizontal="center" vertical="center"/>
    </xf>
    <xf numFmtId="0" fontId="5" fillId="8" borderId="1572" xfId="1" applyFill="1" applyBorder="1" applyAlignment="1">
      <alignment horizontal="left" vertical="center"/>
    </xf>
    <xf numFmtId="0" fontId="195" fillId="82" borderId="92" xfId="1" applyFont="1" applyFill="1" applyBorder="1" applyAlignment="1">
      <alignment horizontal="left" vertical="center"/>
    </xf>
    <xf numFmtId="0" fontId="36" fillId="19" borderId="0" xfId="7" applyFont="1" applyFill="1" applyAlignment="1">
      <alignment horizontal="center" vertical="center" wrapText="1"/>
    </xf>
    <xf numFmtId="0" fontId="196" fillId="19" borderId="0" xfId="7" applyFont="1" applyFill="1"/>
    <xf numFmtId="0" fontId="197" fillId="64" borderId="0" xfId="1" applyFont="1" applyFill="1" applyAlignment="1">
      <alignment horizontal="center" vertical="center" wrapText="1"/>
    </xf>
    <xf numFmtId="0" fontId="197" fillId="82" borderId="0" xfId="1" applyFont="1" applyFill="1" applyAlignment="1">
      <alignment horizontal="center" vertical="center" wrapText="1"/>
    </xf>
    <xf numFmtId="0" fontId="197" fillId="18" borderId="0" xfId="1" applyFont="1" applyFill="1" applyAlignment="1">
      <alignment horizontal="center" vertical="center" wrapText="1"/>
    </xf>
    <xf numFmtId="0" fontId="105" fillId="19" borderId="0" xfId="7" applyFont="1" applyFill="1"/>
    <xf numFmtId="0" fontId="198" fillId="4" borderId="0" xfId="1" applyFont="1" applyFill="1" applyAlignment="1">
      <alignment horizontal="center" vertical="center" wrapText="1"/>
    </xf>
    <xf numFmtId="0" fontId="198" fillId="33" borderId="0" xfId="1" applyFont="1" applyFill="1" applyAlignment="1">
      <alignment horizontal="center" vertical="center" wrapText="1"/>
    </xf>
    <xf numFmtId="3" fontId="37" fillId="2" borderId="0" xfId="0" applyNumberFormat="1" applyFont="1" applyFill="1" applyBorder="1" applyAlignment="1" applyProtection="1">
      <alignment horizontal="center" vertical="center"/>
    </xf>
    <xf numFmtId="9" fontId="0" fillId="0" borderId="0" xfId="3" applyFont="1" applyProtection="1"/>
    <xf numFmtId="9" fontId="0" fillId="0" borderId="0" xfId="3" applyFont="1"/>
    <xf numFmtId="3" fontId="38" fillId="0" borderId="0" xfId="0" applyNumberFormat="1" applyFont="1" applyAlignment="1" applyProtection="1">
      <alignment horizontal="center" vertical="center"/>
    </xf>
    <xf numFmtId="3" fontId="2" fillId="0" borderId="0" xfId="0" applyNumberFormat="1" applyFont="1" applyAlignment="1" applyProtection="1">
      <alignment horizontal="center" vertical="center"/>
    </xf>
    <xf numFmtId="0" fontId="0" fillId="0" borderId="0" xfId="0" applyAlignment="1">
      <alignment horizontal="center" vertical="center"/>
    </xf>
    <xf numFmtId="9" fontId="70" fillId="0" borderId="13" xfId="0" applyNumberFormat="1" applyFont="1" applyFill="1" applyBorder="1" applyAlignment="1" applyProtection="1">
      <alignment horizontal="center" vertical="center" wrapText="1"/>
      <protection locked="0"/>
    </xf>
    <xf numFmtId="9" fontId="70" fillId="0" borderId="32" xfId="0" applyNumberFormat="1" applyFont="1" applyFill="1" applyBorder="1" applyAlignment="1" applyProtection="1">
      <alignment horizontal="center" vertical="center" wrapText="1"/>
      <protection locked="0"/>
    </xf>
    <xf numFmtId="0" fontId="0" fillId="0" borderId="56" xfId="0" applyFont="1" applyFill="1" applyBorder="1" applyAlignment="1" applyProtection="1">
      <alignment vertical="center"/>
      <protection locked="0"/>
    </xf>
    <xf numFmtId="0" fontId="0" fillId="0" borderId="57" xfId="0" applyFont="1" applyFill="1" applyBorder="1" applyAlignment="1" applyProtection="1">
      <alignment vertical="center"/>
      <protection locked="0"/>
    </xf>
    <xf numFmtId="9" fontId="0" fillId="0" borderId="56" xfId="3" applyFont="1" applyFill="1" applyBorder="1" applyAlignment="1" applyProtection="1">
      <alignment vertical="center"/>
      <protection locked="0"/>
    </xf>
    <xf numFmtId="9" fontId="70" fillId="0" borderId="29" xfId="0" applyNumberFormat="1" applyFont="1" applyFill="1" applyBorder="1" applyAlignment="1" applyProtection="1">
      <alignment horizontal="center" vertical="center" wrapText="1"/>
      <protection locked="0"/>
    </xf>
    <xf numFmtId="9" fontId="70" fillId="0" borderId="35" xfId="0" applyNumberFormat="1" applyFont="1" applyFill="1" applyBorder="1" applyAlignment="1" applyProtection="1">
      <alignment horizontal="center" vertical="center" wrapText="1"/>
      <protection locked="0"/>
    </xf>
    <xf numFmtId="9" fontId="199" fillId="0" borderId="13" xfId="0" applyNumberFormat="1" applyFont="1" applyFill="1" applyBorder="1" applyAlignment="1" applyProtection="1">
      <alignment horizontal="center" vertical="center" wrapText="1"/>
      <protection locked="0"/>
    </xf>
    <xf numFmtId="9" fontId="70" fillId="0" borderId="77" xfId="0" applyNumberFormat="1" applyFont="1" applyFill="1" applyBorder="1" applyAlignment="1" applyProtection="1">
      <alignment horizontal="center" vertical="center" wrapText="1"/>
      <protection locked="0"/>
    </xf>
    <xf numFmtId="0" fontId="0" fillId="0" borderId="1447" xfId="0" applyBorder="1" applyAlignment="1"/>
    <xf numFmtId="0" fontId="0" fillId="0" borderId="1448" xfId="0" applyBorder="1" applyAlignment="1"/>
    <xf numFmtId="0" fontId="0" fillId="0" borderId="1449" xfId="0" applyBorder="1" applyAlignment="1"/>
    <xf numFmtId="0" fontId="40" fillId="25" borderId="1574" xfId="0" applyFont="1" applyFill="1" applyBorder="1" applyAlignment="1" applyProtection="1">
      <alignment horizontal="center" vertical="center" wrapText="1"/>
    </xf>
    <xf numFmtId="0" fontId="40" fillId="25" borderId="1575" xfId="0" applyFont="1" applyFill="1" applyBorder="1" applyAlignment="1" applyProtection="1">
      <alignment horizontal="center" vertical="center" wrapText="1"/>
    </xf>
    <xf numFmtId="0" fontId="0" fillId="0" borderId="1576" xfId="0" applyBorder="1" applyAlignment="1"/>
    <xf numFmtId="0" fontId="0" fillId="0" borderId="1577" xfId="0" applyBorder="1" applyAlignment="1"/>
    <xf numFmtId="3" fontId="70" fillId="26" borderId="11" xfId="0" applyNumberFormat="1" applyFont="1" applyFill="1" applyBorder="1" applyAlignment="1" applyProtection="1">
      <alignment horizontal="center" vertical="center" wrapText="1"/>
      <protection locked="0"/>
    </xf>
    <xf numFmtId="3" fontId="70" fillId="31" borderId="13" xfId="0" applyNumberFormat="1" applyFont="1" applyFill="1" applyBorder="1" applyAlignment="1" applyProtection="1">
      <alignment horizontal="center" vertical="center" wrapText="1"/>
      <protection locked="0"/>
    </xf>
    <xf numFmtId="3" fontId="70" fillId="0" borderId="769" xfId="0" applyNumberFormat="1" applyFont="1" applyFill="1" applyBorder="1" applyAlignment="1" applyProtection="1">
      <alignment horizontal="center" vertical="center" wrapText="1"/>
      <protection locked="0"/>
    </xf>
    <xf numFmtId="3" fontId="70" fillId="0" borderId="1578" xfId="0" applyNumberFormat="1" applyFont="1" applyFill="1" applyBorder="1" applyAlignment="1" applyProtection="1">
      <alignment horizontal="center" vertical="center" wrapText="1"/>
      <protection locked="0"/>
    </xf>
    <xf numFmtId="3" fontId="199" fillId="0" borderId="11" xfId="0" applyNumberFormat="1" applyFont="1" applyFill="1" applyBorder="1" applyAlignment="1" applyProtection="1">
      <alignment horizontal="center" vertical="center" wrapText="1"/>
      <protection locked="0"/>
    </xf>
    <xf numFmtId="3" fontId="199" fillId="0" borderId="769" xfId="0" applyNumberFormat="1" applyFont="1" applyFill="1" applyBorder="1" applyAlignment="1" applyProtection="1">
      <alignment horizontal="center" vertical="center" wrapText="1"/>
      <protection locked="0"/>
    </xf>
    <xf numFmtId="3" fontId="200" fillId="0" borderId="769" xfId="0" applyNumberFormat="1" applyFont="1" applyFill="1" applyBorder="1" applyAlignment="1" applyProtection="1">
      <alignment horizontal="center" vertical="center" wrapText="1"/>
      <protection locked="0"/>
    </xf>
    <xf numFmtId="3" fontId="146" fillId="31" borderId="1578" xfId="0" applyNumberFormat="1" applyFont="1" applyFill="1" applyBorder="1" applyAlignment="1" applyProtection="1">
      <alignment horizontal="center" vertical="center" wrapText="1"/>
      <protection locked="0"/>
    </xf>
    <xf numFmtId="3" fontId="200" fillId="0" borderId="768" xfId="0" applyNumberFormat="1" applyFont="1" applyFill="1" applyBorder="1" applyAlignment="1" applyProtection="1">
      <alignment horizontal="center" vertical="center" wrapText="1"/>
      <protection locked="0"/>
    </xf>
    <xf numFmtId="3" fontId="146" fillId="31" borderId="1573" xfId="0" applyNumberFormat="1" applyFont="1" applyFill="1" applyBorder="1" applyAlignment="1" applyProtection="1">
      <alignment horizontal="center" vertical="center" wrapText="1"/>
      <protection locked="0"/>
    </xf>
    <xf numFmtId="9" fontId="70" fillId="26" borderId="1580" xfId="3" applyFont="1" applyFill="1" applyBorder="1" applyAlignment="1" applyProtection="1">
      <alignment horizontal="center" vertical="center" wrapText="1"/>
      <protection locked="0"/>
    </xf>
    <xf numFmtId="9" fontId="70" fillId="31" borderId="1579" xfId="3" applyFont="1" applyFill="1" applyBorder="1" applyAlignment="1" applyProtection="1">
      <alignment horizontal="center" vertical="center" wrapText="1"/>
      <protection locked="0"/>
    </xf>
    <xf numFmtId="9" fontId="70" fillId="26" borderId="769" xfId="3" applyFont="1" applyFill="1" applyBorder="1" applyAlignment="1" applyProtection="1">
      <alignment horizontal="center" vertical="center" wrapText="1"/>
      <protection locked="0"/>
    </xf>
    <xf numFmtId="9" fontId="70" fillId="31" borderId="1578" xfId="3" applyFont="1" applyFill="1" applyBorder="1" applyAlignment="1" applyProtection="1">
      <alignment horizontal="center" vertical="center" wrapText="1"/>
      <protection locked="0"/>
    </xf>
    <xf numFmtId="9" fontId="70" fillId="26" borderId="768" xfId="3" applyFont="1" applyFill="1" applyBorder="1" applyAlignment="1" applyProtection="1">
      <alignment horizontal="center" vertical="center" wrapText="1"/>
      <protection locked="0"/>
    </xf>
    <xf numFmtId="9" fontId="70" fillId="31" borderId="1573" xfId="3" applyFont="1" applyFill="1" applyBorder="1" applyAlignment="1" applyProtection="1">
      <alignment horizontal="center" vertical="center" wrapText="1"/>
      <protection locked="0"/>
    </xf>
    <xf numFmtId="9" fontId="70" fillId="26" borderId="1580" xfId="0" applyNumberFormat="1" applyFont="1" applyFill="1" applyBorder="1" applyAlignment="1" applyProtection="1">
      <alignment horizontal="center" vertical="center" wrapText="1"/>
      <protection locked="0"/>
    </xf>
    <xf numFmtId="9" fontId="70" fillId="31" borderId="1579" xfId="0" applyNumberFormat="1" applyFont="1" applyFill="1" applyBorder="1" applyAlignment="1" applyProtection="1">
      <alignment horizontal="center" vertical="center" wrapText="1"/>
      <protection locked="0"/>
    </xf>
    <xf numFmtId="9" fontId="70" fillId="26" borderId="768" xfId="0" applyNumberFormat="1" applyFont="1" applyFill="1" applyBorder="1" applyAlignment="1" applyProtection="1">
      <alignment horizontal="center" vertical="center" wrapText="1"/>
      <protection locked="0"/>
    </xf>
    <xf numFmtId="9" fontId="70" fillId="31" borderId="1573" xfId="0" applyNumberFormat="1" applyFont="1" applyFill="1" applyBorder="1" applyAlignment="1" applyProtection="1">
      <alignment horizontal="center" vertical="center" wrapText="1"/>
      <protection locked="0"/>
    </xf>
    <xf numFmtId="3" fontId="199" fillId="0" borderId="1580" xfId="0" applyNumberFormat="1" applyFont="1" applyFill="1" applyBorder="1" applyAlignment="1" applyProtection="1">
      <alignment horizontal="center" vertical="center" wrapText="1"/>
      <protection locked="0"/>
    </xf>
    <xf numFmtId="3" fontId="199" fillId="0" borderId="768" xfId="0" applyNumberFormat="1" applyFont="1" applyFill="1" applyBorder="1" applyAlignment="1" applyProtection="1">
      <alignment horizontal="center" vertical="center" wrapText="1"/>
      <protection locked="0"/>
    </xf>
    <xf numFmtId="3" fontId="70" fillId="31" borderId="1573" xfId="0" applyNumberFormat="1" applyFont="1" applyFill="1" applyBorder="1" applyAlignment="1" applyProtection="1">
      <alignment horizontal="center" vertical="center" wrapText="1"/>
      <protection locked="0"/>
    </xf>
    <xf numFmtId="178" fontId="70" fillId="26" borderId="1580" xfId="0" applyNumberFormat="1" applyFont="1" applyFill="1" applyBorder="1" applyAlignment="1" applyProtection="1">
      <alignment horizontal="center" vertical="center" wrapText="1"/>
      <protection locked="0"/>
    </xf>
    <xf numFmtId="178" fontId="199" fillId="0" borderId="1579" xfId="0" applyNumberFormat="1" applyFont="1" applyFill="1" applyBorder="1" applyAlignment="1" applyProtection="1">
      <alignment horizontal="center" vertical="center" wrapText="1"/>
      <protection locked="0"/>
    </xf>
    <xf numFmtId="3" fontId="70" fillId="26" borderId="769" xfId="0" applyNumberFormat="1" applyFont="1" applyFill="1" applyBorder="1" applyAlignment="1" applyProtection="1">
      <alignment horizontal="center" vertical="center" wrapText="1"/>
      <protection locked="0"/>
    </xf>
    <xf numFmtId="3" fontId="70" fillId="31" borderId="1578" xfId="0" applyNumberFormat="1" applyFont="1" applyFill="1" applyBorder="1" applyAlignment="1" applyProtection="1">
      <alignment horizontal="center" vertical="center" wrapText="1"/>
      <protection locked="0"/>
    </xf>
    <xf numFmtId="3" fontId="199" fillId="0" borderId="1578" xfId="0" applyNumberFormat="1" applyFont="1" applyFill="1" applyBorder="1" applyAlignment="1" applyProtection="1">
      <alignment horizontal="center" vertical="center" wrapText="1"/>
      <protection locked="0"/>
    </xf>
    <xf numFmtId="3" fontId="70" fillId="26" borderId="1581" xfId="0" applyNumberFormat="1" applyFont="1" applyFill="1" applyBorder="1" applyAlignment="1" applyProtection="1">
      <alignment horizontal="center" vertical="center" wrapText="1"/>
      <protection locked="0"/>
    </xf>
    <xf numFmtId="3" fontId="70" fillId="0" borderId="1415" xfId="0" applyNumberFormat="1" applyFont="1" applyFill="1" applyBorder="1" applyAlignment="1" applyProtection="1">
      <alignment horizontal="center" vertical="center" wrapText="1"/>
      <protection locked="0"/>
    </xf>
    <xf numFmtId="0" fontId="40" fillId="25" borderId="1582" xfId="0" applyFont="1" applyFill="1" applyBorder="1" applyAlignment="1" applyProtection="1">
      <alignment horizontal="center" vertical="center" wrapText="1"/>
    </xf>
    <xf numFmtId="0" fontId="0" fillId="0" borderId="1583" xfId="0" applyBorder="1" applyAlignment="1"/>
    <xf numFmtId="3" fontId="70" fillId="31" borderId="31" xfId="0" applyNumberFormat="1" applyFont="1" applyFill="1" applyBorder="1" applyAlignment="1" applyProtection="1">
      <alignment horizontal="center" vertical="center" wrapText="1"/>
      <protection locked="0"/>
    </xf>
    <xf numFmtId="3" fontId="70" fillId="0" borderId="479" xfId="0" applyNumberFormat="1" applyFont="1" applyFill="1" applyBorder="1" applyAlignment="1" applyProtection="1">
      <alignment horizontal="center" vertical="center" wrapText="1"/>
      <protection locked="0"/>
    </xf>
    <xf numFmtId="3" fontId="146" fillId="31" borderId="479" xfId="0" applyNumberFormat="1" applyFont="1" applyFill="1" applyBorder="1" applyAlignment="1" applyProtection="1">
      <alignment horizontal="center" vertical="center" wrapText="1"/>
      <protection locked="0"/>
    </xf>
    <xf numFmtId="3" fontId="146" fillId="31" borderId="27" xfId="0" applyNumberFormat="1" applyFont="1" applyFill="1" applyBorder="1" applyAlignment="1" applyProtection="1">
      <alignment horizontal="center" vertical="center" wrapText="1"/>
      <protection locked="0"/>
    </xf>
    <xf numFmtId="9" fontId="70" fillId="31" borderId="767" xfId="3" applyFont="1" applyFill="1" applyBorder="1" applyAlignment="1" applyProtection="1">
      <alignment horizontal="center" vertical="center" wrapText="1"/>
      <protection locked="0"/>
    </xf>
    <xf numFmtId="9" fontId="70" fillId="31" borderId="479" xfId="3" applyFont="1" applyFill="1" applyBorder="1" applyAlignment="1" applyProtection="1">
      <alignment horizontal="center" vertical="center" wrapText="1"/>
      <protection locked="0"/>
    </xf>
    <xf numFmtId="9" fontId="70" fillId="31" borderId="27" xfId="3" applyFont="1" applyFill="1" applyBorder="1" applyAlignment="1" applyProtection="1">
      <alignment horizontal="center" vertical="center" wrapText="1"/>
      <protection locked="0"/>
    </xf>
    <xf numFmtId="9" fontId="70" fillId="31" borderId="767" xfId="0" applyNumberFormat="1" applyFont="1" applyFill="1" applyBorder="1" applyAlignment="1" applyProtection="1">
      <alignment horizontal="center" vertical="center" wrapText="1"/>
      <protection locked="0"/>
    </xf>
    <xf numFmtId="9" fontId="70" fillId="31" borderId="27" xfId="0" applyNumberFormat="1" applyFont="1" applyFill="1" applyBorder="1" applyAlignment="1" applyProtection="1">
      <alignment horizontal="center" vertical="center" wrapText="1"/>
      <protection locked="0"/>
    </xf>
    <xf numFmtId="3" fontId="70" fillId="31" borderId="27" xfId="0" applyNumberFormat="1" applyFont="1" applyFill="1" applyBorder="1" applyAlignment="1" applyProtection="1">
      <alignment horizontal="center" vertical="center" wrapText="1"/>
      <protection locked="0"/>
    </xf>
    <xf numFmtId="3" fontId="70" fillId="31" borderId="479" xfId="0" applyNumberFormat="1" applyFont="1" applyFill="1" applyBorder="1" applyAlignment="1" applyProtection="1">
      <alignment horizontal="center" vertical="center" wrapText="1"/>
      <protection locked="0"/>
    </xf>
    <xf numFmtId="3" fontId="70" fillId="0" borderId="1584" xfId="0" applyNumberFormat="1" applyFont="1" applyFill="1" applyBorder="1" applyAlignment="1" applyProtection="1">
      <alignment horizontal="center" vertical="center" wrapText="1"/>
      <protection locked="0"/>
    </xf>
    <xf numFmtId="0" fontId="40" fillId="25" borderId="1602" xfId="0" applyFont="1" applyFill="1" applyBorder="1" applyAlignment="1" applyProtection="1">
      <alignment horizontal="center" vertical="center" wrapText="1"/>
    </xf>
    <xf numFmtId="0" fontId="21" fillId="25" borderId="1603" xfId="0" applyFont="1" applyFill="1" applyBorder="1" applyAlignment="1" applyProtection="1">
      <alignment horizontal="center" vertical="center" wrapText="1"/>
    </xf>
    <xf numFmtId="0" fontId="0" fillId="0" borderId="1604" xfId="0" applyBorder="1" applyAlignment="1"/>
    <xf numFmtId="3" fontId="199" fillId="0" borderId="1605" xfId="0" applyNumberFormat="1" applyFont="1" applyFill="1" applyBorder="1" applyAlignment="1" applyProtection="1">
      <alignment horizontal="center" vertical="center" wrapText="1"/>
      <protection locked="0"/>
    </xf>
    <xf numFmtId="9" fontId="199" fillId="0" borderId="13" xfId="3" applyFont="1" applyFill="1" applyBorder="1" applyAlignment="1" applyProtection="1">
      <alignment horizontal="center" vertical="center" wrapText="1"/>
      <protection locked="0"/>
    </xf>
    <xf numFmtId="3" fontId="199" fillId="0" borderId="1606" xfId="0" applyNumberFormat="1" applyFont="1" applyFill="1" applyBorder="1" applyAlignment="1" applyProtection="1">
      <alignment horizontal="center" vertical="center" wrapText="1"/>
      <protection locked="0"/>
    </xf>
    <xf numFmtId="3" fontId="193" fillId="0" borderId="1605" xfId="0" applyNumberFormat="1" applyFont="1" applyFill="1" applyBorder="1" applyAlignment="1" applyProtection="1">
      <alignment horizontal="center" vertical="center" wrapText="1"/>
      <protection locked="0"/>
    </xf>
    <xf numFmtId="9" fontId="193" fillId="0" borderId="13" xfId="3" applyFont="1" applyFill="1" applyBorder="1" applyAlignment="1" applyProtection="1">
      <alignment horizontal="center" vertical="center" wrapText="1"/>
      <protection locked="0"/>
    </xf>
    <xf numFmtId="3" fontId="70" fillId="0" borderId="1607" xfId="0" applyNumberFormat="1" applyFont="1" applyFill="1" applyBorder="1" applyAlignment="1" applyProtection="1">
      <alignment horizontal="center" vertical="center" wrapText="1"/>
      <protection locked="0"/>
    </xf>
    <xf numFmtId="9" fontId="199" fillId="0" borderId="1578" xfId="3" applyFont="1" applyFill="1" applyBorder="1" applyAlignment="1" applyProtection="1">
      <alignment horizontal="center" vertical="center" wrapText="1"/>
      <protection locked="0"/>
    </xf>
    <xf numFmtId="3" fontId="200" fillId="0" borderId="1606" xfId="0" applyNumberFormat="1" applyFont="1" applyFill="1" applyBorder="1" applyAlignment="1" applyProtection="1">
      <alignment horizontal="center" vertical="center" wrapText="1"/>
      <protection locked="0"/>
    </xf>
    <xf numFmtId="3" fontId="200" fillId="0" borderId="1607" xfId="0" applyNumberFormat="1" applyFont="1" applyFill="1" applyBorder="1" applyAlignment="1" applyProtection="1">
      <alignment horizontal="center" vertical="center" wrapText="1"/>
      <protection locked="0"/>
    </xf>
    <xf numFmtId="9" fontId="200" fillId="0" borderId="1573" xfId="3" applyFont="1" applyFill="1" applyBorder="1" applyAlignment="1" applyProtection="1">
      <alignment horizontal="center" vertical="center" wrapText="1"/>
      <protection locked="0"/>
    </xf>
    <xf numFmtId="3" fontId="70" fillId="0" borderId="1608" xfId="0" applyNumberFormat="1" applyFont="1" applyFill="1" applyBorder="1" applyAlignment="1" applyProtection="1">
      <alignment horizontal="center" vertical="center" wrapText="1"/>
      <protection locked="0"/>
    </xf>
    <xf numFmtId="3" fontId="70" fillId="0" borderId="1605" xfId="0" applyNumberFormat="1" applyFont="1" applyFill="1" applyBorder="1" applyAlignment="1" applyProtection="1">
      <alignment horizontal="center" vertical="center" wrapText="1"/>
      <protection locked="0"/>
    </xf>
    <xf numFmtId="3" fontId="70" fillId="0" borderId="1606" xfId="0" applyNumberFormat="1" applyFont="1" applyFill="1" applyBorder="1" applyAlignment="1" applyProtection="1">
      <alignment horizontal="center" vertical="center" wrapText="1"/>
      <protection locked="0"/>
    </xf>
    <xf numFmtId="3" fontId="199" fillId="0" borderId="1609" xfId="0" applyNumberFormat="1" applyFont="1" applyFill="1" applyBorder="1" applyAlignment="1" applyProtection="1">
      <alignment horizontal="center" vertical="center" wrapText="1"/>
      <protection locked="0"/>
    </xf>
    <xf numFmtId="3" fontId="70" fillId="0" borderId="1609" xfId="0" applyNumberFormat="1" applyFont="1" applyFill="1" applyBorder="1" applyAlignment="1" applyProtection="1">
      <alignment horizontal="center" vertical="center" wrapText="1"/>
      <protection locked="0"/>
    </xf>
    <xf numFmtId="3" fontId="70" fillId="0" borderId="1610" xfId="0" applyNumberFormat="1" applyFont="1" applyFill="1" applyBorder="1" applyAlignment="1" applyProtection="1">
      <alignment horizontal="center" vertical="center" wrapText="1"/>
      <protection locked="0"/>
    </xf>
    <xf numFmtId="178" fontId="70" fillId="31" borderId="1578" xfId="0" applyNumberFormat="1" applyFont="1" applyFill="1" applyBorder="1" applyAlignment="1" applyProtection="1">
      <alignment horizontal="center" vertical="center" wrapText="1"/>
      <protection locked="0"/>
    </xf>
    <xf numFmtId="178" fontId="199" fillId="0" borderId="769" xfId="0" applyNumberFormat="1" applyFont="1" applyFill="1" applyBorder="1" applyAlignment="1" applyProtection="1">
      <alignment horizontal="center" vertical="center" wrapText="1"/>
      <protection locked="0"/>
    </xf>
    <xf numFmtId="178" fontId="70" fillId="31" borderId="479" xfId="0" applyNumberFormat="1" applyFont="1" applyFill="1" applyBorder="1" applyAlignment="1" applyProtection="1">
      <alignment horizontal="center" vertical="center" wrapText="1"/>
      <protection locked="0"/>
    </xf>
    <xf numFmtId="178" fontId="199" fillId="0" borderId="768" xfId="0" applyNumberFormat="1" applyFont="1" applyFill="1" applyBorder="1" applyAlignment="1" applyProtection="1">
      <alignment horizontal="center" vertical="center" wrapText="1"/>
      <protection locked="0"/>
    </xf>
    <xf numFmtId="178" fontId="199" fillId="0" borderId="1573" xfId="0" applyNumberFormat="1" applyFont="1" applyFill="1" applyBorder="1" applyAlignment="1" applyProtection="1">
      <alignment horizontal="center" vertical="center" wrapText="1"/>
      <protection locked="0"/>
    </xf>
    <xf numFmtId="178" fontId="199" fillId="0" borderId="27" xfId="0" applyNumberFormat="1" applyFont="1" applyFill="1" applyBorder="1" applyAlignment="1" applyProtection="1">
      <alignment horizontal="center" vertical="center" wrapText="1"/>
      <protection locked="0"/>
    </xf>
    <xf numFmtId="178" fontId="199" fillId="0" borderId="1578" xfId="0" applyNumberFormat="1" applyFont="1" applyFill="1" applyBorder="1" applyAlignment="1" applyProtection="1">
      <alignment horizontal="center" vertical="center" wrapText="1"/>
      <protection locked="0"/>
    </xf>
    <xf numFmtId="178" fontId="199" fillId="0" borderId="479" xfId="0" applyNumberFormat="1" applyFont="1" applyFill="1" applyBorder="1" applyAlignment="1" applyProtection="1">
      <alignment horizontal="center" vertical="center" wrapText="1"/>
      <protection locked="0"/>
    </xf>
    <xf numFmtId="178" fontId="70" fillId="0" borderId="1578" xfId="0" applyNumberFormat="1" applyFont="1" applyFill="1" applyBorder="1" applyAlignment="1" applyProtection="1">
      <alignment horizontal="center" vertical="center" wrapText="1"/>
      <protection locked="0"/>
    </xf>
    <xf numFmtId="178" fontId="70" fillId="0" borderId="479" xfId="0" applyNumberFormat="1" applyFont="1" applyFill="1" applyBorder="1" applyAlignment="1" applyProtection="1">
      <alignment horizontal="center" vertical="center" wrapText="1"/>
      <protection locked="0"/>
    </xf>
    <xf numFmtId="0" fontId="5" fillId="6" borderId="0" xfId="1" applyFill="1" applyAlignment="1">
      <alignment horizontal="center" vertical="center" wrapText="1"/>
    </xf>
    <xf numFmtId="0" fontId="5" fillId="10" borderId="0" xfId="1" applyFill="1" applyAlignment="1">
      <alignment horizontal="center" vertical="center" wrapText="1"/>
    </xf>
    <xf numFmtId="3" fontId="11" fillId="0" borderId="1611" xfId="6" applyNumberFormat="1" applyFont="1" applyFill="1" applyBorder="1" applyAlignment="1" applyProtection="1">
      <alignment horizontal="center" vertical="center"/>
      <protection locked="0"/>
    </xf>
    <xf numFmtId="3" fontId="157" fillId="0" borderId="1409" xfId="6" applyNumberFormat="1" applyFont="1" applyFill="1" applyBorder="1" applyAlignment="1" applyProtection="1">
      <alignment vertical="center" wrapText="1"/>
    </xf>
    <xf numFmtId="3" fontId="157" fillId="0" borderId="1410" xfId="6" applyNumberFormat="1" applyFont="1" applyFill="1" applyBorder="1" applyAlignment="1" applyProtection="1">
      <alignment horizontal="center" vertical="center" wrapText="1"/>
    </xf>
    <xf numFmtId="3" fontId="157" fillId="0" borderId="1411" xfId="6" applyNumberFormat="1" applyFont="1" applyFill="1" applyBorder="1" applyAlignment="1" applyProtection="1">
      <alignment horizontal="center" vertical="center" wrapText="1"/>
    </xf>
    <xf numFmtId="3" fontId="24" fillId="0" borderId="0" xfId="6" applyNumberFormat="1" applyFont="1" applyFill="1" applyBorder="1" applyAlignment="1" applyProtection="1">
      <alignment horizontal="center" vertical="center" wrapText="1"/>
    </xf>
    <xf numFmtId="3" fontId="11" fillId="0" borderId="1612" xfId="6" applyNumberFormat="1" applyFont="1" applyBorder="1" applyAlignment="1">
      <alignment horizontal="center"/>
    </xf>
    <xf numFmtId="3" fontId="11" fillId="0" borderId="1613" xfId="6" applyNumberFormat="1" applyFont="1" applyBorder="1"/>
    <xf numFmtId="3" fontId="11" fillId="0" borderId="1614" xfId="6" applyNumberFormat="1" applyFont="1" applyBorder="1"/>
    <xf numFmtId="3" fontId="160" fillId="0" borderId="1615" xfId="6" applyNumberFormat="1" applyFont="1" applyBorder="1"/>
    <xf numFmtId="3" fontId="160" fillId="0" borderId="1616" xfId="6" applyNumberFormat="1" applyFont="1" applyBorder="1"/>
    <xf numFmtId="3" fontId="160" fillId="0" borderId="1617" xfId="6" applyNumberFormat="1" applyFont="1" applyBorder="1"/>
    <xf numFmtId="3" fontId="160" fillId="0" borderId="1618" xfId="6" applyNumberFormat="1" applyFont="1" applyBorder="1"/>
    <xf numFmtId="3" fontId="11" fillId="0" borderId="1617" xfId="6" applyNumberFormat="1" applyFont="1" applyBorder="1"/>
    <xf numFmtId="3" fontId="11" fillId="0" borderId="1620" xfId="6" applyNumberFormat="1" applyFont="1" applyBorder="1"/>
    <xf numFmtId="3" fontId="199" fillId="0" borderId="13" xfId="0" applyNumberFormat="1" applyFont="1" applyFill="1" applyBorder="1" applyAlignment="1" applyProtection="1">
      <alignment horizontal="center" vertical="center" wrapText="1"/>
      <protection locked="0"/>
    </xf>
    <xf numFmtId="0" fontId="40" fillId="28" borderId="1587" xfId="0" applyFont="1" applyFill="1" applyBorder="1" applyAlignment="1" applyProtection="1">
      <alignment horizontal="center" vertical="center" wrapText="1"/>
    </xf>
    <xf numFmtId="0" fontId="40" fillId="28" borderId="1588" xfId="0" applyFont="1" applyFill="1" applyBorder="1" applyAlignment="1" applyProtection="1">
      <alignment horizontal="center" vertical="center" wrapText="1"/>
    </xf>
    <xf numFmtId="0" fontId="0" fillId="28" borderId="1589" xfId="0" applyFill="1" applyBorder="1" applyAlignment="1"/>
    <xf numFmtId="0" fontId="0" fillId="28" borderId="1590" xfId="0" applyFill="1" applyBorder="1" applyAlignment="1"/>
    <xf numFmtId="3" fontId="199" fillId="28" borderId="1591" xfId="0" applyNumberFormat="1" applyFont="1" applyFill="1" applyBorder="1" applyAlignment="1" applyProtection="1">
      <alignment horizontal="center" vertical="center" wrapText="1"/>
      <protection locked="0"/>
    </xf>
    <xf numFmtId="3" fontId="199" fillId="28" borderId="1592" xfId="0" applyNumberFormat="1" applyFont="1" applyFill="1" applyBorder="1" applyAlignment="1" applyProtection="1">
      <alignment horizontal="center" vertical="center" wrapText="1"/>
      <protection locked="0"/>
    </xf>
    <xf numFmtId="3" fontId="70" fillId="28" borderId="1593" xfId="0" applyNumberFormat="1" applyFont="1" applyFill="1" applyBorder="1" applyAlignment="1" applyProtection="1">
      <alignment horizontal="center" vertical="center" wrapText="1"/>
      <protection locked="0"/>
    </xf>
    <xf numFmtId="3" fontId="70" fillId="28" borderId="1594" xfId="0" applyNumberFormat="1" applyFont="1" applyFill="1" applyBorder="1" applyAlignment="1" applyProtection="1">
      <alignment horizontal="center" vertical="center" wrapText="1"/>
      <protection locked="0"/>
    </xf>
    <xf numFmtId="3" fontId="70" fillId="28" borderId="1592" xfId="0" applyNumberFormat="1" applyFont="1" applyFill="1" applyBorder="1" applyAlignment="1" applyProtection="1">
      <alignment horizontal="center" vertical="center" wrapText="1"/>
      <protection locked="0"/>
    </xf>
    <xf numFmtId="3" fontId="200" fillId="28" borderId="1593" xfId="0" applyNumberFormat="1" applyFont="1" applyFill="1" applyBorder="1" applyAlignment="1" applyProtection="1">
      <alignment horizontal="center" vertical="center" wrapText="1"/>
      <protection locked="0"/>
    </xf>
    <xf numFmtId="3" fontId="199" fillId="28" borderId="1594" xfId="0" applyNumberFormat="1" applyFont="1" applyFill="1" applyBorder="1" applyAlignment="1" applyProtection="1">
      <alignment horizontal="center" vertical="center" wrapText="1"/>
      <protection locked="0"/>
    </xf>
    <xf numFmtId="3" fontId="200" fillId="28" borderId="1596" xfId="0" applyNumberFormat="1" applyFont="1" applyFill="1" applyBorder="1" applyAlignment="1" applyProtection="1">
      <alignment horizontal="center" vertical="center" wrapText="1"/>
      <protection locked="0"/>
    </xf>
    <xf numFmtId="9" fontId="120" fillId="28" borderId="1597" xfId="3" applyFont="1" applyFill="1" applyBorder="1" applyAlignment="1" applyProtection="1">
      <alignment horizontal="center" vertical="center" wrapText="1"/>
      <protection locked="0"/>
    </xf>
    <xf numFmtId="9" fontId="120" fillId="28" borderId="1598" xfId="3" applyFont="1" applyFill="1" applyBorder="1" applyAlignment="1" applyProtection="1">
      <alignment horizontal="center" vertical="center" wrapText="1"/>
      <protection locked="0"/>
    </xf>
    <xf numFmtId="9" fontId="70" fillId="28" borderId="1597" xfId="3" applyFont="1" applyFill="1" applyBorder="1" applyAlignment="1" applyProtection="1">
      <alignment horizontal="center" vertical="center" wrapText="1"/>
      <protection locked="0"/>
    </xf>
    <xf numFmtId="9" fontId="70" fillId="28" borderId="1598" xfId="3" applyFont="1" applyFill="1" applyBorder="1" applyAlignment="1" applyProtection="1">
      <alignment horizontal="center" vertical="center" wrapText="1"/>
      <protection locked="0"/>
    </xf>
    <xf numFmtId="9" fontId="70" fillId="28" borderId="1595" xfId="3" applyFont="1" applyFill="1" applyBorder="1" applyAlignment="1" applyProtection="1">
      <alignment horizontal="center" vertical="center" wrapText="1"/>
      <protection locked="0"/>
    </xf>
    <xf numFmtId="9" fontId="70" fillId="28" borderId="1596" xfId="3" applyFont="1" applyFill="1" applyBorder="1" applyAlignment="1" applyProtection="1">
      <alignment horizontal="center" vertical="center" wrapText="1"/>
      <protection locked="0"/>
    </xf>
    <xf numFmtId="3" fontId="70" fillId="28" borderId="1597" xfId="0" applyNumberFormat="1" applyFont="1" applyFill="1" applyBorder="1" applyAlignment="1" applyProtection="1">
      <alignment horizontal="center" vertical="center" wrapText="1"/>
      <protection locked="0"/>
    </xf>
    <xf numFmtId="3" fontId="70" fillId="28" borderId="1598" xfId="0" applyNumberFormat="1" applyFont="1" applyFill="1" applyBorder="1" applyAlignment="1" applyProtection="1">
      <alignment horizontal="center" vertical="center" wrapText="1"/>
      <protection locked="0"/>
    </xf>
    <xf numFmtId="3" fontId="70" fillId="28" borderId="1595" xfId="0" applyNumberFormat="1" applyFont="1" applyFill="1" applyBorder="1" applyAlignment="1" applyProtection="1">
      <alignment horizontal="center" vertical="center" wrapText="1"/>
      <protection locked="0"/>
    </xf>
    <xf numFmtId="3" fontId="70" fillId="28" borderId="1596" xfId="0" applyNumberFormat="1" applyFont="1" applyFill="1" applyBorder="1" applyAlignment="1" applyProtection="1">
      <alignment horizontal="center" vertical="center" wrapText="1"/>
      <protection locked="0"/>
    </xf>
    <xf numFmtId="178" fontId="70" fillId="28" borderId="1597" xfId="0" applyNumberFormat="1" applyFont="1" applyFill="1" applyBorder="1" applyAlignment="1" applyProtection="1">
      <alignment horizontal="center" vertical="center" wrapText="1"/>
      <protection locked="0"/>
    </xf>
    <xf numFmtId="178" fontId="70" fillId="28" borderId="1598" xfId="0" applyNumberFormat="1" applyFont="1" applyFill="1" applyBorder="1" applyAlignment="1" applyProtection="1">
      <alignment horizontal="center" vertical="center" wrapText="1"/>
      <protection locked="0"/>
    </xf>
    <xf numFmtId="3" fontId="70" fillId="28" borderId="1599" xfId="0" applyNumberFormat="1" applyFont="1" applyFill="1" applyBorder="1" applyAlignment="1" applyProtection="1">
      <alignment horizontal="center" vertical="center" wrapText="1"/>
      <protection locked="0"/>
    </xf>
    <xf numFmtId="3" fontId="70" fillId="28" borderId="1600" xfId="0" applyNumberFormat="1" applyFont="1" applyFill="1" applyBorder="1" applyAlignment="1" applyProtection="1">
      <alignment horizontal="center" vertical="center" wrapText="1"/>
      <protection locked="0"/>
    </xf>
    <xf numFmtId="3" fontId="1" fillId="0" borderId="1621" xfId="6" applyNumberFormat="1" applyFont="1" applyBorder="1" applyAlignment="1">
      <alignment horizontal="center"/>
    </xf>
    <xf numFmtId="3" fontId="1" fillId="0" borderId="1622" xfId="6" applyNumberFormat="1" applyFont="1" applyBorder="1" applyAlignment="1">
      <alignment horizontal="center"/>
    </xf>
    <xf numFmtId="3" fontId="1" fillId="0" borderId="1623" xfId="6" applyNumberFormat="1" applyFont="1" applyBorder="1" applyAlignment="1">
      <alignment horizontal="center"/>
    </xf>
    <xf numFmtId="3" fontId="199" fillId="28" borderId="1605" xfId="0" applyNumberFormat="1" applyFont="1" applyFill="1" applyBorder="1" applyAlignment="1" applyProtection="1">
      <alignment horizontal="center" vertical="center" wrapText="1"/>
      <protection locked="0"/>
    </xf>
    <xf numFmtId="3" fontId="70" fillId="28" borderId="1606" xfId="0" applyNumberFormat="1" applyFont="1" applyFill="1" applyBorder="1" applyAlignment="1" applyProtection="1">
      <alignment horizontal="center" vertical="center" wrapText="1"/>
      <protection locked="0"/>
    </xf>
    <xf numFmtId="3" fontId="200" fillId="28" borderId="1606" xfId="0" applyNumberFormat="1" applyFont="1" applyFill="1" applyBorder="1" applyAlignment="1" applyProtection="1">
      <alignment horizontal="center" vertical="center" wrapText="1"/>
      <protection locked="0"/>
    </xf>
    <xf numFmtId="3" fontId="200" fillId="28" borderId="1607" xfId="0" applyNumberFormat="1" applyFont="1" applyFill="1" applyBorder="1" applyAlignment="1" applyProtection="1">
      <alignment horizontal="center" vertical="center" wrapText="1"/>
      <protection locked="0"/>
    </xf>
    <xf numFmtId="9" fontId="120" fillId="28" borderId="1608" xfId="3" applyFont="1" applyFill="1" applyBorder="1" applyAlignment="1" applyProtection="1">
      <alignment horizontal="center" vertical="center" wrapText="1"/>
      <protection locked="0"/>
    </xf>
    <xf numFmtId="3" fontId="70" fillId="0" borderId="767" xfId="0" applyNumberFormat="1" applyFont="1" applyFill="1" applyBorder="1" applyAlignment="1" applyProtection="1">
      <alignment horizontal="center" vertical="center" wrapText="1"/>
      <protection locked="0"/>
    </xf>
    <xf numFmtId="3" fontId="199" fillId="28" borderId="1608" xfId="0" applyNumberFormat="1" applyFont="1" applyFill="1" applyBorder="1" applyAlignment="1" applyProtection="1">
      <alignment horizontal="center" vertical="center" wrapText="1"/>
      <protection locked="0"/>
    </xf>
    <xf numFmtId="0" fontId="70" fillId="0" borderId="1578" xfId="0" applyFont="1" applyFill="1" applyBorder="1" applyAlignment="1" applyProtection="1">
      <alignment horizontal="center" vertical="center" wrapText="1"/>
      <protection locked="0"/>
    </xf>
    <xf numFmtId="3" fontId="193" fillId="0" borderId="11" xfId="0" applyNumberFormat="1" applyFont="1" applyFill="1" applyBorder="1" applyAlignment="1" applyProtection="1">
      <alignment horizontal="center" vertical="center" wrapText="1"/>
      <protection locked="0"/>
    </xf>
    <xf numFmtId="3" fontId="193" fillId="0" borderId="13" xfId="0" applyNumberFormat="1" applyFont="1" applyFill="1" applyBorder="1" applyAlignment="1" applyProtection="1">
      <alignment horizontal="center" vertical="center" wrapText="1"/>
      <protection locked="0"/>
    </xf>
    <xf numFmtId="3" fontId="193" fillId="0" borderId="31" xfId="0" applyNumberFormat="1" applyFont="1" applyFill="1" applyBorder="1" applyAlignment="1" applyProtection="1">
      <alignment horizontal="center" vertical="center" wrapText="1"/>
      <protection locked="0"/>
    </xf>
    <xf numFmtId="3" fontId="193" fillId="28" borderId="1605" xfId="0" applyNumberFormat="1" applyFont="1" applyFill="1" applyBorder="1" applyAlignment="1" applyProtection="1">
      <alignment horizontal="center" vertical="center" wrapText="1"/>
      <protection locked="0"/>
    </xf>
    <xf numFmtId="3" fontId="193" fillId="28" borderId="1592" xfId="0" applyNumberFormat="1" applyFont="1" applyFill="1" applyBorder="1" applyAlignment="1" applyProtection="1">
      <alignment horizontal="center" vertical="center" wrapText="1"/>
      <protection locked="0"/>
    </xf>
    <xf numFmtId="3" fontId="200" fillId="0" borderId="1580" xfId="0" applyNumberFormat="1" applyFont="1" applyFill="1" applyBorder="1" applyAlignment="1" applyProtection="1">
      <alignment horizontal="center" vertical="center" wrapText="1"/>
      <protection locked="0"/>
    </xf>
    <xf numFmtId="3" fontId="146" fillId="31" borderId="1579" xfId="0" applyNumberFormat="1" applyFont="1" applyFill="1" applyBorder="1" applyAlignment="1" applyProtection="1">
      <alignment horizontal="center" vertical="center" wrapText="1"/>
      <protection locked="0"/>
    </xf>
    <xf numFmtId="3" fontId="146" fillId="31" borderId="767" xfId="0" applyNumberFormat="1" applyFont="1" applyFill="1" applyBorder="1" applyAlignment="1" applyProtection="1">
      <alignment horizontal="center" vertical="center" wrapText="1"/>
      <protection locked="0"/>
    </xf>
    <xf numFmtId="3" fontId="200" fillId="28" borderId="1608" xfId="0" applyNumberFormat="1" applyFont="1" applyFill="1" applyBorder="1" applyAlignment="1" applyProtection="1">
      <alignment horizontal="center" vertical="center" wrapText="1"/>
      <protection locked="0"/>
    </xf>
    <xf numFmtId="3" fontId="200" fillId="28" borderId="1598" xfId="0" applyNumberFormat="1" applyFont="1" applyFill="1" applyBorder="1" applyAlignment="1" applyProtection="1">
      <alignment horizontal="center" vertical="center" wrapText="1"/>
      <protection locked="0"/>
    </xf>
    <xf numFmtId="3" fontId="200" fillId="0" borderId="1608" xfId="0" applyNumberFormat="1" applyFont="1" applyFill="1" applyBorder="1" applyAlignment="1" applyProtection="1">
      <alignment horizontal="center" vertical="center" wrapText="1"/>
      <protection locked="0"/>
    </xf>
    <xf numFmtId="9" fontId="200" fillId="0" borderId="1579" xfId="3" applyFont="1" applyFill="1" applyBorder="1" applyAlignment="1" applyProtection="1">
      <alignment horizontal="center" vertical="center" wrapText="1"/>
      <protection locked="0"/>
    </xf>
    <xf numFmtId="0" fontId="2" fillId="0" borderId="16" xfId="0" applyFont="1" applyFill="1" applyBorder="1" applyAlignment="1" applyProtection="1">
      <alignment vertical="center"/>
      <protection locked="0"/>
    </xf>
    <xf numFmtId="0" fontId="2" fillId="0" borderId="17" xfId="0" applyFont="1" applyFill="1" applyBorder="1" applyAlignment="1" applyProtection="1">
      <alignment vertical="center"/>
      <protection locked="0"/>
    </xf>
    <xf numFmtId="9" fontId="70" fillId="0" borderId="1605" xfId="3" applyFont="1" applyFill="1" applyBorder="1" applyAlignment="1" applyProtection="1">
      <alignment horizontal="center" vertical="center" wrapText="1"/>
      <protection locked="0"/>
    </xf>
    <xf numFmtId="9" fontId="70" fillId="0" borderId="1608" xfId="3" applyFont="1" applyFill="1" applyBorder="1" applyAlignment="1" applyProtection="1">
      <alignment horizontal="center" vertical="center" wrapText="1"/>
      <protection locked="0"/>
    </xf>
    <xf numFmtId="9" fontId="70" fillId="0" borderId="1607" xfId="3" applyFont="1" applyFill="1" applyBorder="1" applyAlignment="1" applyProtection="1">
      <alignment horizontal="center" vertical="center" wrapText="1"/>
      <protection locked="0"/>
    </xf>
    <xf numFmtId="0" fontId="2" fillId="31" borderId="1624" xfId="0" applyFont="1" applyFill="1" applyBorder="1" applyAlignment="1" applyProtection="1">
      <alignment horizontal="center" vertical="center"/>
      <protection locked="0"/>
    </xf>
    <xf numFmtId="3" fontId="70" fillId="0" borderId="1579" xfId="0" applyNumberFormat="1" applyFont="1" applyFill="1" applyBorder="1" applyAlignment="1" applyProtection="1">
      <alignment horizontal="center" vertical="center" wrapText="1"/>
      <protection locked="0"/>
    </xf>
    <xf numFmtId="178" fontId="70" fillId="28" borderId="1593" xfId="0" applyNumberFormat="1" applyFont="1" applyFill="1" applyBorder="1" applyAlignment="1" applyProtection="1">
      <alignment horizontal="center" vertical="center" wrapText="1"/>
      <protection locked="0"/>
    </xf>
    <xf numFmtId="3" fontId="199" fillId="28" borderId="1597" xfId="0" applyNumberFormat="1" applyFont="1" applyFill="1" applyBorder="1" applyAlignment="1" applyProtection="1">
      <alignment horizontal="center" vertical="center" wrapText="1"/>
      <protection locked="0"/>
    </xf>
    <xf numFmtId="3" fontId="193" fillId="28" borderId="1591" xfId="0" applyNumberFormat="1" applyFont="1" applyFill="1" applyBorder="1" applyAlignment="1" applyProtection="1">
      <alignment horizontal="center" vertical="center" wrapText="1"/>
      <protection locked="0"/>
    </xf>
    <xf numFmtId="3" fontId="199" fillId="0" borderId="1625" xfId="0" applyNumberFormat="1" applyFont="1" applyFill="1" applyBorder="1" applyAlignment="1" applyProtection="1">
      <alignment horizontal="center" vertical="center" wrapText="1"/>
      <protection locked="0"/>
    </xf>
    <xf numFmtId="3" fontId="193" fillId="0" borderId="1609" xfId="0" applyNumberFormat="1" applyFont="1" applyFill="1" applyBorder="1" applyAlignment="1" applyProtection="1">
      <alignment horizontal="center" vertical="center" wrapText="1"/>
      <protection locked="0"/>
    </xf>
    <xf numFmtId="3" fontId="70" fillId="0" borderId="1625" xfId="0" applyNumberFormat="1" applyFont="1" applyFill="1" applyBorder="1" applyAlignment="1" applyProtection="1">
      <alignment horizontal="center" vertical="center" wrapText="1"/>
      <protection locked="0"/>
    </xf>
    <xf numFmtId="3" fontId="200" fillId="0" borderId="1625" xfId="0" applyNumberFormat="1" applyFont="1" applyFill="1" applyBorder="1" applyAlignment="1" applyProtection="1">
      <alignment horizontal="center" vertical="center" wrapText="1"/>
      <protection locked="0"/>
    </xf>
    <xf numFmtId="3" fontId="70" fillId="0" borderId="1627" xfId="0" applyNumberFormat="1" applyFont="1" applyFill="1" applyBorder="1" applyAlignment="1" applyProtection="1">
      <alignment horizontal="center" vertical="center" wrapText="1"/>
      <protection locked="0"/>
    </xf>
    <xf numFmtId="9" fontId="70" fillId="0" borderId="1573" xfId="0" applyNumberFormat="1" applyFont="1" applyFill="1" applyBorder="1" applyAlignment="1" applyProtection="1">
      <alignment horizontal="center" vertical="center" wrapText="1"/>
      <protection locked="0"/>
    </xf>
    <xf numFmtId="3" fontId="70" fillId="0" borderId="1626" xfId="0" applyNumberFormat="1" applyFont="1" applyFill="1" applyBorder="1" applyAlignment="1" applyProtection="1">
      <alignment horizontal="center" vertical="center" wrapText="1"/>
      <protection locked="0"/>
    </xf>
    <xf numFmtId="9" fontId="70" fillId="0" borderId="1579" xfId="0" applyNumberFormat="1" applyFont="1" applyFill="1" applyBorder="1" applyAlignment="1" applyProtection="1">
      <alignment horizontal="center" vertical="center" wrapText="1"/>
      <protection locked="0"/>
    </xf>
    <xf numFmtId="9" fontId="70" fillId="0" borderId="1609" xfId="3" applyFont="1" applyFill="1" applyBorder="1" applyAlignment="1" applyProtection="1">
      <alignment horizontal="center" vertical="center" wrapText="1"/>
      <protection locked="0"/>
    </xf>
    <xf numFmtId="9" fontId="70" fillId="0" borderId="1626" xfId="3" applyFont="1" applyFill="1" applyBorder="1" applyAlignment="1" applyProtection="1">
      <alignment horizontal="center" vertical="center" wrapText="1"/>
      <protection locked="0"/>
    </xf>
    <xf numFmtId="9" fontId="70" fillId="0" borderId="1627" xfId="3" applyFont="1" applyFill="1" applyBorder="1" applyAlignment="1" applyProtection="1">
      <alignment horizontal="center" vertical="center" wrapText="1"/>
      <protection locked="0"/>
    </xf>
    <xf numFmtId="9" fontId="70" fillId="0" borderId="1578" xfId="0" applyNumberFormat="1" applyFont="1" applyFill="1" applyBorder="1" applyAlignment="1" applyProtection="1">
      <alignment horizontal="center" vertical="center" wrapText="1"/>
      <protection locked="0"/>
    </xf>
    <xf numFmtId="3" fontId="70" fillId="0" borderId="1628" xfId="0" applyNumberFormat="1" applyFont="1" applyFill="1" applyBorder="1" applyAlignment="1" applyProtection="1">
      <alignment horizontal="center" vertical="center" wrapText="1"/>
      <protection locked="0"/>
    </xf>
    <xf numFmtId="9" fontId="70" fillId="0" borderId="15" xfId="0" applyNumberFormat="1" applyFont="1" applyFill="1" applyBorder="1" applyAlignment="1" applyProtection="1">
      <alignment horizontal="center" vertical="center" wrapText="1"/>
      <protection locked="0"/>
    </xf>
    <xf numFmtId="3" fontId="201" fillId="0" borderId="1580" xfId="0" applyNumberFormat="1" applyFont="1" applyFill="1" applyBorder="1" applyAlignment="1" applyProtection="1">
      <alignment horizontal="center" vertical="center" wrapText="1"/>
      <protection locked="0"/>
    </xf>
    <xf numFmtId="3" fontId="201" fillId="31" borderId="1579" xfId="0" applyNumberFormat="1" applyFont="1" applyFill="1" applyBorder="1" applyAlignment="1" applyProtection="1">
      <alignment horizontal="center" vertical="center" wrapText="1"/>
      <protection locked="0"/>
    </xf>
    <xf numFmtId="3" fontId="201" fillId="31" borderId="767" xfId="0" applyNumberFormat="1" applyFont="1" applyFill="1" applyBorder="1" applyAlignment="1" applyProtection="1">
      <alignment horizontal="center" vertical="center" wrapText="1"/>
      <protection locked="0"/>
    </xf>
    <xf numFmtId="3" fontId="201" fillId="28" borderId="1597" xfId="0" applyNumberFormat="1" applyFont="1" applyFill="1" applyBorder="1" applyAlignment="1" applyProtection="1">
      <alignment horizontal="center" vertical="center" wrapText="1"/>
      <protection locked="0"/>
    </xf>
    <xf numFmtId="3" fontId="201" fillId="28" borderId="1598" xfId="0" applyNumberFormat="1" applyFont="1" applyFill="1" applyBorder="1" applyAlignment="1" applyProtection="1">
      <alignment horizontal="center" vertical="center" wrapText="1"/>
      <protection locked="0"/>
    </xf>
    <xf numFmtId="3" fontId="201" fillId="0" borderId="1626" xfId="0" applyNumberFormat="1" applyFont="1" applyFill="1" applyBorder="1" applyAlignment="1" applyProtection="1">
      <alignment horizontal="center" vertical="center" wrapText="1"/>
      <protection locked="0"/>
    </xf>
    <xf numFmtId="9" fontId="201" fillId="0" borderId="1579" xfId="3" applyFont="1" applyFill="1" applyBorder="1" applyAlignment="1" applyProtection="1">
      <alignment horizontal="center" vertical="center" wrapText="1"/>
      <protection locked="0"/>
    </xf>
    <xf numFmtId="3" fontId="201" fillId="0" borderId="768" xfId="0" applyNumberFormat="1" applyFont="1" applyFill="1" applyBorder="1" applyAlignment="1" applyProtection="1">
      <alignment horizontal="center" vertical="center" wrapText="1"/>
      <protection locked="0"/>
    </xf>
    <xf numFmtId="3" fontId="201" fillId="31" borderId="1573" xfId="0" applyNumberFormat="1" applyFont="1" applyFill="1" applyBorder="1" applyAlignment="1" applyProtection="1">
      <alignment horizontal="center" vertical="center" wrapText="1"/>
      <protection locked="0"/>
    </xf>
    <xf numFmtId="3" fontId="201" fillId="31" borderId="27" xfId="0" applyNumberFormat="1" applyFont="1" applyFill="1" applyBorder="1" applyAlignment="1" applyProtection="1">
      <alignment horizontal="center" vertical="center" wrapText="1"/>
      <protection locked="0"/>
    </xf>
    <xf numFmtId="3" fontId="201" fillId="28" borderId="1595" xfId="0" applyNumberFormat="1" applyFont="1" applyFill="1" applyBorder="1" applyAlignment="1" applyProtection="1">
      <alignment horizontal="center" vertical="center" wrapText="1"/>
      <protection locked="0"/>
    </xf>
    <xf numFmtId="3" fontId="201" fillId="28" borderId="1596" xfId="0" applyNumberFormat="1" applyFont="1" applyFill="1" applyBorder="1" applyAlignment="1" applyProtection="1">
      <alignment horizontal="center" vertical="center" wrapText="1"/>
      <protection locked="0"/>
    </xf>
    <xf numFmtId="3" fontId="201" fillId="0" borderId="1627" xfId="0" applyNumberFormat="1" applyFont="1" applyFill="1" applyBorder="1" applyAlignment="1" applyProtection="1">
      <alignment horizontal="center" vertical="center" wrapText="1"/>
      <protection locked="0"/>
    </xf>
    <xf numFmtId="9" fontId="201" fillId="0" borderId="1573" xfId="3" applyFont="1" applyFill="1" applyBorder="1" applyAlignment="1" applyProtection="1">
      <alignment horizontal="center" vertical="center" wrapText="1"/>
      <protection locked="0"/>
    </xf>
    <xf numFmtId="3" fontId="199" fillId="0" borderId="11" xfId="0" applyNumberFormat="1" applyFont="1" applyFill="1" applyBorder="1" applyAlignment="1" applyProtection="1">
      <alignment vertical="center" wrapText="1"/>
      <protection locked="0"/>
    </xf>
    <xf numFmtId="3" fontId="70" fillId="0" borderId="13" xfId="0" applyNumberFormat="1" applyFont="1" applyFill="1" applyBorder="1" applyAlignment="1" applyProtection="1">
      <alignment vertical="center" wrapText="1"/>
      <protection locked="0"/>
    </xf>
    <xf numFmtId="3" fontId="70" fillId="0" borderId="31" xfId="0" applyNumberFormat="1" applyFont="1" applyFill="1" applyBorder="1" applyAlignment="1" applyProtection="1">
      <alignment vertical="center" wrapText="1"/>
      <protection locked="0"/>
    </xf>
    <xf numFmtId="3" fontId="70" fillId="28" borderId="1591" xfId="0" applyNumberFormat="1" applyFont="1" applyFill="1" applyBorder="1" applyAlignment="1" applyProtection="1">
      <alignment vertical="center" wrapText="1"/>
      <protection locked="0"/>
    </xf>
    <xf numFmtId="3" fontId="70" fillId="28" borderId="1591" xfId="0" applyNumberFormat="1" applyFont="1" applyFill="1" applyBorder="1" applyAlignment="1" applyProtection="1">
      <alignment horizontal="center" vertical="center" wrapText="1"/>
      <protection locked="0"/>
    </xf>
    <xf numFmtId="0" fontId="2" fillId="31" borderId="1629" xfId="0" applyFont="1" applyFill="1" applyBorder="1" applyAlignment="1" applyProtection="1">
      <alignment horizontal="center" vertical="center"/>
      <protection locked="0"/>
    </xf>
    <xf numFmtId="3" fontId="199" fillId="0" borderId="1630" xfId="0" applyNumberFormat="1" applyFont="1" applyFill="1" applyBorder="1" applyAlignment="1" applyProtection="1">
      <alignment horizontal="center" vertical="center" wrapText="1"/>
      <protection locked="0"/>
    </xf>
    <xf numFmtId="9" fontId="199" fillId="0" borderId="1631" xfId="0" applyNumberFormat="1" applyFont="1" applyFill="1" applyBorder="1" applyAlignment="1" applyProtection="1">
      <alignment horizontal="center" vertical="center" wrapText="1"/>
      <protection locked="0"/>
    </xf>
    <xf numFmtId="178" fontId="70" fillId="0" borderId="1580" xfId="0" applyNumberFormat="1" applyFont="1" applyFill="1" applyBorder="1" applyAlignment="1" applyProtection="1">
      <alignment horizontal="center" vertical="center" wrapText="1"/>
      <protection locked="0"/>
    </xf>
    <xf numFmtId="178" fontId="199" fillId="26" borderId="1579" xfId="0" applyNumberFormat="1" applyFont="1" applyFill="1" applyBorder="1" applyAlignment="1" applyProtection="1">
      <alignment horizontal="center" vertical="center" wrapText="1"/>
      <protection locked="0"/>
    </xf>
    <xf numFmtId="3" fontId="70" fillId="26" borderId="1578" xfId="0" applyNumberFormat="1" applyFont="1" applyFill="1" applyBorder="1" applyAlignment="1" applyProtection="1">
      <alignment horizontal="center" vertical="center" wrapText="1"/>
      <protection locked="0"/>
    </xf>
    <xf numFmtId="3" fontId="70" fillId="26" borderId="479" xfId="0" applyNumberFormat="1" applyFont="1" applyFill="1" applyBorder="1" applyAlignment="1" applyProtection="1">
      <alignment horizontal="center" vertical="center" wrapText="1"/>
      <protection locked="0"/>
    </xf>
    <xf numFmtId="178" fontId="199" fillId="26" borderId="769" xfId="0" applyNumberFormat="1" applyFont="1" applyFill="1" applyBorder="1" applyAlignment="1" applyProtection="1">
      <alignment horizontal="center" vertical="center" wrapText="1"/>
      <protection locked="0"/>
    </xf>
    <xf numFmtId="178" fontId="199" fillId="26" borderId="1578" xfId="0" applyNumberFormat="1" applyFont="1" applyFill="1" applyBorder="1" applyAlignment="1" applyProtection="1">
      <alignment horizontal="center" vertical="center" wrapText="1"/>
      <protection locked="0"/>
    </xf>
    <xf numFmtId="178" fontId="199" fillId="26" borderId="479" xfId="0" applyNumberFormat="1" applyFont="1" applyFill="1" applyBorder="1" applyAlignment="1" applyProtection="1">
      <alignment horizontal="center" vertical="center" wrapText="1"/>
      <protection locked="0"/>
    </xf>
    <xf numFmtId="3" fontId="70" fillId="0" borderId="1581" xfId="0" applyNumberFormat="1" applyFont="1" applyFill="1" applyBorder="1" applyAlignment="1" applyProtection="1">
      <alignment horizontal="center" vertical="center" wrapText="1"/>
      <protection locked="0"/>
    </xf>
    <xf numFmtId="3" fontId="70" fillId="26" borderId="1415" xfId="0" applyNumberFormat="1" applyFont="1" applyFill="1" applyBorder="1" applyAlignment="1" applyProtection="1">
      <alignment horizontal="center" vertical="center" wrapText="1"/>
      <protection locked="0"/>
    </xf>
    <xf numFmtId="3" fontId="70" fillId="26" borderId="1584" xfId="0" applyNumberFormat="1" applyFont="1" applyFill="1" applyBorder="1" applyAlignment="1" applyProtection="1">
      <alignment horizontal="center" vertical="center" wrapText="1"/>
      <protection locked="0"/>
    </xf>
    <xf numFmtId="178" fontId="70" fillId="31" borderId="1580" xfId="0" applyNumberFormat="1" applyFont="1" applyFill="1" applyBorder="1" applyAlignment="1" applyProtection="1">
      <alignment horizontal="center" vertical="center" wrapText="1"/>
      <protection locked="0"/>
    </xf>
    <xf numFmtId="178" fontId="70" fillId="31" borderId="769" xfId="0" applyNumberFormat="1" applyFont="1" applyFill="1" applyBorder="1" applyAlignment="1" applyProtection="1">
      <alignment horizontal="center" vertical="center" wrapText="1"/>
      <protection locked="0"/>
    </xf>
    <xf numFmtId="178" fontId="199" fillId="31" borderId="769" xfId="0" applyNumberFormat="1" applyFont="1" applyFill="1" applyBorder="1" applyAlignment="1" applyProtection="1">
      <alignment horizontal="center" vertical="center" wrapText="1"/>
      <protection locked="0"/>
    </xf>
    <xf numFmtId="0" fontId="1" fillId="26" borderId="709" xfId="0" applyFont="1" applyFill="1" applyBorder="1" applyAlignment="1">
      <alignment horizontal="center" vertical="center"/>
    </xf>
    <xf numFmtId="0" fontId="1" fillId="26" borderId="710" xfId="0" applyFont="1" applyFill="1" applyBorder="1" applyAlignment="1">
      <alignment horizontal="center" vertical="center"/>
    </xf>
    <xf numFmtId="0" fontId="1" fillId="26" borderId="711" xfId="0" applyFont="1" applyFill="1" applyBorder="1" applyAlignment="1">
      <alignment horizontal="center" vertical="center"/>
    </xf>
    <xf numFmtId="0" fontId="1" fillId="26" borderId="691" xfId="0" applyFont="1" applyFill="1" applyBorder="1" applyAlignment="1">
      <alignment horizontal="center" vertical="center"/>
    </xf>
    <xf numFmtId="0" fontId="1" fillId="26" borderId="694" xfId="0" applyFont="1" applyFill="1" applyBorder="1" applyAlignment="1">
      <alignment horizontal="center" vertical="center"/>
    </xf>
    <xf numFmtId="0" fontId="1" fillId="26" borderId="692" xfId="0" applyFont="1" applyFill="1" applyBorder="1" applyAlignment="1">
      <alignment horizontal="center" vertical="center"/>
    </xf>
    <xf numFmtId="0" fontId="1" fillId="25" borderId="709" xfId="0" applyFont="1" applyFill="1" applyBorder="1" applyAlignment="1">
      <alignment horizontal="center" vertical="center" wrapText="1"/>
    </xf>
    <xf numFmtId="0" fontId="1" fillId="25" borderId="710" xfId="0" applyFont="1" applyFill="1" applyBorder="1" applyAlignment="1">
      <alignment horizontal="center" vertical="center" wrapText="1"/>
    </xf>
    <xf numFmtId="0" fontId="1" fillId="25" borderId="711" xfId="0" applyFont="1" applyFill="1" applyBorder="1" applyAlignment="1">
      <alignment horizontal="center" vertical="center" wrapText="1"/>
    </xf>
    <xf numFmtId="0" fontId="1" fillId="25" borderId="689" xfId="0" applyFont="1" applyFill="1" applyBorder="1" applyAlignment="1">
      <alignment horizontal="center" vertical="center" wrapText="1"/>
    </xf>
    <xf numFmtId="0" fontId="1" fillId="25" borderId="0" xfId="0" applyFont="1" applyFill="1" applyBorder="1" applyAlignment="1">
      <alignment horizontal="center" vertical="center" wrapText="1"/>
    </xf>
    <xf numFmtId="0" fontId="1" fillId="25" borderId="690" xfId="0" applyFont="1" applyFill="1" applyBorder="1" applyAlignment="1">
      <alignment horizontal="center" vertical="center" wrapText="1"/>
    </xf>
    <xf numFmtId="0" fontId="1" fillId="25" borderId="691" xfId="0" applyFont="1" applyFill="1" applyBorder="1" applyAlignment="1">
      <alignment horizontal="center" vertical="center" wrapText="1"/>
    </xf>
    <xf numFmtId="0" fontId="1" fillId="25" borderId="694" xfId="0" applyFont="1" applyFill="1" applyBorder="1" applyAlignment="1">
      <alignment horizontal="center" vertical="center" wrapText="1"/>
    </xf>
    <xf numFmtId="0" fontId="1" fillId="25" borderId="692" xfId="0" applyFont="1" applyFill="1" applyBorder="1" applyAlignment="1">
      <alignment horizontal="center" vertical="center" wrapText="1"/>
    </xf>
    <xf numFmtId="0" fontId="1" fillId="26" borderId="689" xfId="0" applyFont="1" applyFill="1" applyBorder="1" applyAlignment="1">
      <alignment horizontal="center" vertical="center"/>
    </xf>
    <xf numFmtId="0" fontId="1" fillId="26" borderId="0" xfId="0" applyFont="1" applyFill="1" applyBorder="1" applyAlignment="1">
      <alignment horizontal="center" vertical="center"/>
    </xf>
    <xf numFmtId="0" fontId="1" fillId="26" borderId="690" xfId="0" applyFont="1" applyFill="1" applyBorder="1" applyAlignment="1">
      <alignment horizontal="center" vertical="center"/>
    </xf>
    <xf numFmtId="0" fontId="14" fillId="27" borderId="332" xfId="0" quotePrefix="1" applyFont="1" applyFill="1" applyBorder="1" applyAlignment="1">
      <alignment horizontal="center"/>
    </xf>
    <xf numFmtId="0" fontId="14" fillId="27" borderId="693" xfId="0" quotePrefix="1" applyFont="1" applyFill="1" applyBorder="1" applyAlignment="1">
      <alignment horizontal="center"/>
    </xf>
    <xf numFmtId="0" fontId="14" fillId="27" borderId="688" xfId="0" quotePrefix="1" applyFont="1" applyFill="1" applyBorder="1" applyAlignment="1">
      <alignment horizontal="center"/>
    </xf>
    <xf numFmtId="0" fontId="37" fillId="2" borderId="0" xfId="0" applyFont="1" applyFill="1" applyBorder="1" applyAlignment="1">
      <alignment horizontal="center" vertical="center"/>
    </xf>
    <xf numFmtId="0" fontId="38" fillId="2" borderId="2"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4" xfId="0" applyFont="1" applyFill="1" applyBorder="1" applyAlignment="1">
      <alignment horizontal="center" vertical="center"/>
    </xf>
    <xf numFmtId="0" fontId="42" fillId="25" borderId="343" xfId="7" applyFont="1" applyFill="1" applyBorder="1" applyAlignment="1">
      <alignment horizontal="center" vertical="center" wrapText="1"/>
    </xf>
    <xf numFmtId="0" fontId="42" fillId="25" borderId="446" xfId="7" applyFont="1" applyFill="1" applyBorder="1" applyAlignment="1">
      <alignment horizontal="center" vertical="center"/>
    </xf>
    <xf numFmtId="0" fontId="42" fillId="25" borderId="341" xfId="7" applyFont="1" applyFill="1" applyBorder="1" applyAlignment="1">
      <alignment horizontal="center" vertical="center"/>
    </xf>
    <xf numFmtId="0" fontId="42" fillId="25" borderId="336" xfId="7" applyFont="1" applyFill="1" applyBorder="1" applyAlignment="1">
      <alignment horizontal="center" vertical="center"/>
    </xf>
    <xf numFmtId="0" fontId="42" fillId="25" borderId="443" xfId="7" applyFont="1" applyFill="1" applyBorder="1" applyAlignment="1">
      <alignment horizontal="center" vertical="center"/>
    </xf>
    <xf numFmtId="0" fontId="42" fillId="25" borderId="444" xfId="7" applyFont="1" applyFill="1" applyBorder="1" applyAlignment="1">
      <alignment horizontal="center" vertical="center"/>
    </xf>
    <xf numFmtId="0" fontId="40" fillId="29" borderId="0" xfId="0" applyFont="1" applyFill="1" applyBorder="1" applyAlignment="1">
      <alignment horizontal="center"/>
    </xf>
    <xf numFmtId="0" fontId="0" fillId="2" borderId="1209" xfId="0" applyFont="1" applyFill="1" applyBorder="1" applyAlignment="1">
      <alignment horizontal="center"/>
    </xf>
    <xf numFmtId="0" fontId="115" fillId="25" borderId="0" xfId="7" applyFont="1" applyFill="1" applyAlignment="1">
      <alignment horizontal="center" vertical="center" wrapText="1"/>
    </xf>
    <xf numFmtId="0" fontId="115" fillId="25" borderId="0" xfId="7" applyFont="1" applyFill="1" applyAlignment="1">
      <alignment horizontal="center" vertical="center"/>
    </xf>
    <xf numFmtId="0" fontId="37" fillId="2" borderId="1209" xfId="0" applyFont="1" applyFill="1" applyBorder="1" applyAlignment="1">
      <alignment horizontal="center" vertical="center"/>
    </xf>
    <xf numFmtId="0" fontId="116" fillId="19" borderId="0" xfId="7" applyFont="1" applyFill="1" applyAlignment="1">
      <alignment horizontal="center" vertical="center" wrapText="1"/>
    </xf>
    <xf numFmtId="0" fontId="41" fillId="0" borderId="0" xfId="7" applyFont="1" applyAlignment="1">
      <alignment horizontal="center" vertical="center"/>
    </xf>
    <xf numFmtId="0" fontId="59" fillId="62" borderId="0" xfId="7" applyFont="1" applyFill="1" applyAlignment="1">
      <alignment horizontal="center" vertical="center" wrapText="1"/>
    </xf>
    <xf numFmtId="0" fontId="1" fillId="0" borderId="0" xfId="0" applyFont="1" applyAlignment="1">
      <alignment horizontal="center" vertical="center" wrapText="1"/>
    </xf>
    <xf numFmtId="0" fontId="0" fillId="0" borderId="39" xfId="9" applyFont="1" applyFill="1" applyBorder="1" applyAlignment="1">
      <alignment horizontal="left" vertical="center"/>
    </xf>
    <xf numFmtId="0" fontId="11" fillId="0" borderId="39" xfId="9" applyFill="1" applyBorder="1" applyAlignment="1">
      <alignment horizontal="left" vertical="center"/>
    </xf>
    <xf numFmtId="0" fontId="11" fillId="0" borderId="45" xfId="9" applyFill="1" applyBorder="1" applyAlignment="1">
      <alignment horizontal="left" vertical="center"/>
    </xf>
    <xf numFmtId="0" fontId="0" fillId="0" borderId="168" xfId="9" applyFont="1" applyFill="1" applyBorder="1" applyAlignment="1">
      <alignment horizontal="center"/>
    </xf>
    <xf numFmtId="0" fontId="11" fillId="0" borderId="0" xfId="9" applyFill="1" applyBorder="1" applyAlignment="1">
      <alignment horizontal="center"/>
    </xf>
    <xf numFmtId="0" fontId="0" fillId="0" borderId="45" xfId="9" applyFont="1" applyBorder="1" applyAlignment="1">
      <alignment horizontal="left" vertical="center"/>
    </xf>
    <xf numFmtId="0" fontId="0" fillId="0" borderId="240" xfId="9" applyFont="1" applyBorder="1" applyAlignment="1">
      <alignment horizontal="left" vertical="center"/>
    </xf>
    <xf numFmtId="0" fontId="0" fillId="0" borderId="1567" xfId="9" applyFont="1" applyBorder="1" applyAlignment="1">
      <alignment horizontal="left" vertical="center"/>
    </xf>
    <xf numFmtId="0" fontId="0" fillId="0" borderId="0" xfId="9" applyFont="1" applyFill="1" applyBorder="1" applyAlignment="1">
      <alignment horizontal="center"/>
    </xf>
    <xf numFmtId="0" fontId="11" fillId="0" borderId="168" xfId="9" applyFill="1" applyBorder="1" applyAlignment="1">
      <alignment horizontal="center"/>
    </xf>
    <xf numFmtId="0" fontId="0" fillId="0" borderId="1444" xfId="9" applyFont="1" applyBorder="1" applyAlignment="1">
      <alignment horizontal="left" vertical="center"/>
    </xf>
    <xf numFmtId="0" fontId="11" fillId="0" borderId="1445" xfId="9" applyBorder="1" applyAlignment="1">
      <alignment horizontal="left" vertical="center"/>
    </xf>
    <xf numFmtId="0" fontId="11" fillId="0" borderId="1446" xfId="9" applyBorder="1" applyAlignment="1">
      <alignment horizontal="left" vertical="center"/>
    </xf>
    <xf numFmtId="0" fontId="0" fillId="0" borderId="1514" xfId="9" applyFont="1" applyBorder="1" applyAlignment="1">
      <alignment horizontal="left" vertical="center"/>
    </xf>
    <xf numFmtId="0" fontId="11" fillId="0" borderId="338" xfId="9" applyBorder="1" applyAlignment="1">
      <alignment horizontal="left" vertical="center"/>
    </xf>
    <xf numFmtId="0" fontId="11" fillId="0" borderId="340" xfId="9" applyBorder="1" applyAlignment="1">
      <alignment horizontal="left" vertical="center"/>
    </xf>
    <xf numFmtId="0" fontId="0" fillId="0" borderId="996" xfId="9" applyFont="1" applyBorder="1" applyAlignment="1">
      <alignment horizontal="left" vertical="center"/>
    </xf>
    <xf numFmtId="0" fontId="11" fillId="0" borderId="0" xfId="9" applyBorder="1" applyAlignment="1">
      <alignment horizontal="left" vertical="center"/>
    </xf>
    <xf numFmtId="0" fontId="11" fillId="0" borderId="1007" xfId="9" applyBorder="1" applyAlignment="1">
      <alignment horizontal="left" vertical="center"/>
    </xf>
    <xf numFmtId="0" fontId="0" fillId="0" borderId="39" xfId="9" applyFont="1" applyBorder="1" applyAlignment="1">
      <alignment horizontal="left" vertical="center"/>
    </xf>
    <xf numFmtId="0" fontId="11" fillId="0" borderId="240" xfId="9" applyBorder="1" applyAlignment="1">
      <alignment horizontal="left" vertical="center"/>
    </xf>
    <xf numFmtId="0" fontId="26" fillId="8" borderId="0" xfId="0" applyFont="1" applyFill="1" applyAlignment="1">
      <alignment horizontal="center" vertical="center"/>
    </xf>
    <xf numFmtId="0" fontId="26" fillId="8" borderId="0" xfId="0" applyFont="1" applyFill="1" applyAlignment="1">
      <alignment horizontal="left" vertical="center"/>
    </xf>
    <xf numFmtId="0" fontId="37" fillId="2" borderId="743" xfId="0" applyFont="1" applyFill="1" applyBorder="1" applyAlignment="1">
      <alignment horizontal="center" vertical="center"/>
    </xf>
    <xf numFmtId="0" fontId="113" fillId="3" borderId="334" xfId="0" applyFont="1" applyFill="1" applyBorder="1" applyAlignment="1">
      <alignment horizontal="right" vertical="center"/>
    </xf>
    <xf numFmtId="0" fontId="113" fillId="3" borderId="335" xfId="0" applyFont="1" applyFill="1" applyBorder="1" applyAlignment="1">
      <alignment horizontal="right" vertical="center"/>
    </xf>
    <xf numFmtId="0" fontId="38" fillId="2" borderId="0" xfId="0" applyFont="1" applyFill="1" applyBorder="1" applyAlignment="1">
      <alignment horizontal="center" vertical="center"/>
    </xf>
    <xf numFmtId="0" fontId="55" fillId="2" borderId="1209" xfId="0" applyFont="1" applyFill="1" applyBorder="1" applyAlignment="1">
      <alignment horizontal="center" vertical="center"/>
    </xf>
    <xf numFmtId="0" fontId="1" fillId="9" borderId="44" xfId="9" applyFont="1" applyFill="1" applyBorder="1" applyAlignment="1">
      <alignment horizontal="center" vertical="center"/>
    </xf>
    <xf numFmtId="0" fontId="1" fillId="9" borderId="85" xfId="9" applyFont="1" applyFill="1" applyBorder="1" applyAlignment="1">
      <alignment horizontal="center" vertical="center"/>
    </xf>
    <xf numFmtId="0" fontId="0" fillId="0" borderId="45" xfId="9" applyFont="1" applyFill="1" applyBorder="1" applyAlignment="1">
      <alignment horizontal="left" vertical="center"/>
    </xf>
    <xf numFmtId="0" fontId="37" fillId="0" borderId="1002" xfId="9" applyFont="1" applyBorder="1" applyAlignment="1">
      <alignment horizontal="center" vertical="center" wrapText="1"/>
    </xf>
    <xf numFmtId="0" fontId="37" fillId="0" borderId="1003" xfId="9" applyFont="1" applyBorder="1" applyAlignment="1">
      <alignment horizontal="center" vertical="center" wrapText="1"/>
    </xf>
    <xf numFmtId="0" fontId="37" fillId="0" borderId="1004" xfId="9" applyFont="1" applyBorder="1" applyAlignment="1">
      <alignment horizontal="center" vertical="center" wrapText="1"/>
    </xf>
    <xf numFmtId="0" fontId="11" fillId="0" borderId="39" xfId="9" applyFont="1" applyFill="1" applyBorder="1" applyAlignment="1">
      <alignment horizontal="left" vertical="center"/>
    </xf>
    <xf numFmtId="0" fontId="11" fillId="0" borderId="45" xfId="9" applyFont="1" applyFill="1" applyBorder="1" applyAlignment="1">
      <alignment horizontal="left" vertical="center"/>
    </xf>
    <xf numFmtId="0" fontId="11" fillId="0" borderId="39" xfId="9" applyBorder="1" applyAlignment="1">
      <alignment horizontal="left" vertical="center"/>
    </xf>
    <xf numFmtId="0" fontId="11" fillId="0" borderId="45" xfId="9" applyBorder="1" applyAlignment="1">
      <alignment horizontal="left" vertical="center"/>
    </xf>
    <xf numFmtId="0" fontId="55" fillId="0" borderId="1002" xfId="9" applyFont="1" applyBorder="1" applyAlignment="1">
      <alignment horizontal="center" vertical="center" wrapText="1"/>
    </xf>
    <xf numFmtId="0" fontId="55" fillId="0" borderId="1004" xfId="9" applyFont="1" applyBorder="1" applyAlignment="1">
      <alignment horizontal="center" vertical="center" wrapText="1"/>
    </xf>
    <xf numFmtId="0" fontId="19" fillId="0" borderId="0" xfId="0" applyFont="1" applyBorder="1" applyAlignment="1">
      <alignment horizontal="center"/>
    </xf>
    <xf numFmtId="0" fontId="0" fillId="0" borderId="689" xfId="0" applyBorder="1" applyAlignment="1">
      <alignment horizontal="center"/>
    </xf>
    <xf numFmtId="0" fontId="0" fillId="0" borderId="0" xfId="0" applyBorder="1" applyAlignment="1">
      <alignment horizontal="center"/>
    </xf>
    <xf numFmtId="0" fontId="19" fillId="0" borderId="689" xfId="0" applyFont="1" applyBorder="1" applyAlignment="1">
      <alignment horizontal="center"/>
    </xf>
    <xf numFmtId="0" fontId="19" fillId="0" borderId="690" xfId="0" applyFont="1" applyBorder="1" applyAlignment="1">
      <alignment horizontal="center"/>
    </xf>
    <xf numFmtId="0" fontId="193" fillId="0" borderId="694" xfId="0" applyFont="1" applyBorder="1" applyAlignment="1">
      <alignment horizontal="center"/>
    </xf>
    <xf numFmtId="0" fontId="19" fillId="0" borderId="691" xfId="0" applyFont="1" applyBorder="1" applyAlignment="1">
      <alignment horizontal="center"/>
    </xf>
    <xf numFmtId="0" fontId="19" fillId="0" borderId="694" xfId="0" applyFont="1" applyBorder="1" applyAlignment="1">
      <alignment horizontal="center"/>
    </xf>
    <xf numFmtId="0" fontId="19" fillId="0" borderId="692" xfId="0" applyFont="1" applyBorder="1" applyAlignment="1">
      <alignment horizontal="center"/>
    </xf>
    <xf numFmtId="0" fontId="0" fillId="0" borderId="689" xfId="0" applyBorder="1" applyAlignment="1">
      <alignment horizontal="center" vertical="center"/>
    </xf>
    <xf numFmtId="0" fontId="0" fillId="0" borderId="0" xfId="0" applyBorder="1" applyAlignment="1">
      <alignment horizontal="center" vertical="center"/>
    </xf>
    <xf numFmtId="0" fontId="55" fillId="2" borderId="1208" xfId="0" applyFont="1" applyFill="1" applyBorder="1" applyAlignment="1" applyProtection="1">
      <alignment horizontal="center" vertical="center"/>
    </xf>
    <xf numFmtId="0" fontId="42" fillId="9" borderId="334" xfId="0" applyFont="1" applyFill="1" applyBorder="1" applyAlignment="1" applyProtection="1">
      <alignment horizontal="center" vertical="center"/>
    </xf>
    <xf numFmtId="0" fontId="42" fillId="9" borderId="335" xfId="0" applyFont="1" applyFill="1" applyBorder="1" applyAlignment="1" applyProtection="1">
      <alignment horizontal="center" vertical="center"/>
    </xf>
    <xf numFmtId="0" fontId="42" fillId="9" borderId="337" xfId="0" applyFont="1" applyFill="1" applyBorder="1" applyAlignment="1" applyProtection="1">
      <alignment horizontal="center" vertical="center"/>
    </xf>
    <xf numFmtId="0" fontId="26" fillId="8" borderId="0" xfId="0" applyFont="1" applyFill="1" applyAlignment="1" applyProtection="1">
      <alignment horizontal="center" vertical="center"/>
    </xf>
    <xf numFmtId="0" fontId="26" fillId="8" borderId="0" xfId="0" applyFont="1" applyFill="1" applyAlignment="1" applyProtection="1">
      <alignment horizontal="left" vertical="center"/>
    </xf>
    <xf numFmtId="0" fontId="0" fillId="8" borderId="62" xfId="0" applyFont="1" applyFill="1" applyBorder="1" applyAlignment="1" applyProtection="1">
      <alignment horizontal="center"/>
    </xf>
    <xf numFmtId="0" fontId="21" fillId="9" borderId="1006" xfId="0" applyFont="1" applyFill="1" applyBorder="1" applyAlignment="1" applyProtection="1">
      <alignment horizontal="center"/>
    </xf>
    <xf numFmtId="0" fontId="21" fillId="9" borderId="62" xfId="0" applyFont="1" applyFill="1" applyBorder="1" applyAlignment="1" applyProtection="1">
      <alignment horizontal="center"/>
    </xf>
    <xf numFmtId="0" fontId="37" fillId="2" borderId="0" xfId="0"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5" borderId="2" xfId="0" applyFont="1" applyFill="1" applyBorder="1" applyAlignment="1" applyProtection="1">
      <alignment horizontal="center" vertical="center" wrapText="1"/>
      <protection locked="0"/>
    </xf>
    <xf numFmtId="0" fontId="38" fillId="5" borderId="4" xfId="0" applyFont="1" applyFill="1" applyBorder="1" applyAlignment="1" applyProtection="1">
      <alignment horizontal="center" vertical="center" wrapText="1"/>
      <protection locked="0"/>
    </xf>
    <xf numFmtId="22" fontId="38" fillId="2" borderId="2" xfId="0" applyNumberFormat="1" applyFont="1" applyFill="1" applyBorder="1" applyAlignment="1" applyProtection="1">
      <alignment horizontal="center" vertical="center" wrapText="1"/>
    </xf>
    <xf numFmtId="22" fontId="38" fillId="2" borderId="4" xfId="0" applyNumberFormat="1" applyFont="1" applyFill="1" applyBorder="1" applyAlignment="1" applyProtection="1">
      <alignment horizontal="center" vertical="center" wrapText="1"/>
    </xf>
    <xf numFmtId="0" fontId="2" fillId="9" borderId="37" xfId="0" applyFont="1" applyFill="1" applyBorder="1" applyAlignment="1" applyProtection="1">
      <alignment horizontal="center"/>
    </xf>
    <xf numFmtId="0" fontId="0" fillId="39" borderId="39" xfId="0" applyFont="1" applyFill="1" applyBorder="1" applyAlignment="1" applyProtection="1">
      <alignment horizontal="center"/>
      <protection locked="0"/>
    </xf>
    <xf numFmtId="0" fontId="5" fillId="39" borderId="39" xfId="1" applyFill="1" applyBorder="1" applyAlignment="1" applyProtection="1">
      <alignment horizontal="center"/>
      <protection locked="0"/>
    </xf>
    <xf numFmtId="181" fontId="0" fillId="39" borderId="39" xfId="0" quotePrefix="1" applyNumberFormat="1" applyFont="1" applyFill="1" applyBorder="1" applyAlignment="1" applyProtection="1">
      <alignment horizontal="center"/>
      <protection locked="0"/>
    </xf>
    <xf numFmtId="181" fontId="0" fillId="39" borderId="39" xfId="0" applyNumberFormat="1" applyFont="1" applyFill="1" applyBorder="1" applyAlignment="1" applyProtection="1">
      <alignment horizontal="center"/>
      <protection locked="0"/>
    </xf>
    <xf numFmtId="0" fontId="26" fillId="5" borderId="39" xfId="0" applyFont="1" applyFill="1" applyBorder="1" applyAlignment="1" applyProtection="1">
      <alignment horizontal="center"/>
      <protection locked="0"/>
    </xf>
    <xf numFmtId="0" fontId="0" fillId="39" borderId="39" xfId="0" applyFont="1" applyFill="1" applyBorder="1" applyAlignment="1" applyProtection="1">
      <alignment horizontal="left"/>
      <protection locked="0"/>
    </xf>
    <xf numFmtId="0" fontId="5" fillId="39" borderId="39" xfId="1" quotePrefix="1" applyFill="1" applyBorder="1" applyAlignment="1" applyProtection="1">
      <alignment horizontal="center"/>
      <protection locked="0"/>
    </xf>
    <xf numFmtId="0" fontId="26" fillId="5" borderId="39" xfId="0" quotePrefix="1" applyFont="1" applyFill="1" applyBorder="1" applyAlignment="1" applyProtection="1">
      <alignment horizontal="center"/>
      <protection locked="0"/>
    </xf>
    <xf numFmtId="0" fontId="26" fillId="5" borderId="42" xfId="0" quotePrefix="1" applyFont="1" applyFill="1" applyBorder="1" applyAlignment="1" applyProtection="1">
      <alignment horizontal="center"/>
      <protection locked="0"/>
    </xf>
    <xf numFmtId="0" fontId="26" fillId="5" borderId="42" xfId="0" applyFont="1" applyFill="1" applyBorder="1" applyAlignment="1" applyProtection="1">
      <alignment horizontal="center"/>
      <protection locked="0"/>
    </xf>
    <xf numFmtId="181" fontId="0" fillId="5" borderId="42" xfId="0" quotePrefix="1" applyNumberFormat="1" applyFont="1" applyFill="1" applyBorder="1" applyAlignment="1" applyProtection="1">
      <alignment horizontal="center"/>
      <protection locked="0"/>
    </xf>
    <xf numFmtId="181" fontId="0" fillId="5" borderId="42" xfId="0" applyNumberFormat="1" applyFont="1" applyFill="1" applyBorder="1" applyAlignment="1" applyProtection="1">
      <alignment horizontal="center"/>
      <protection locked="0"/>
    </xf>
    <xf numFmtId="0" fontId="182" fillId="0" borderId="1451" xfId="236" applyFont="1" applyFill="1" applyBorder="1" applyAlignment="1">
      <alignment horizontal="center" vertical="center" wrapText="1"/>
    </xf>
    <xf numFmtId="0" fontId="41" fillId="25" borderId="0" xfId="236" applyFont="1" applyFill="1" applyAlignment="1">
      <alignment horizontal="center"/>
    </xf>
    <xf numFmtId="0" fontId="182" fillId="0" borderId="1450" xfId="236" applyFont="1" applyFill="1" applyBorder="1" applyAlignment="1">
      <alignment horizontal="center" vertical="center" wrapText="1"/>
    </xf>
    <xf numFmtId="0" fontId="60" fillId="0" borderId="334" xfId="236" applyFont="1" applyFill="1" applyBorder="1" applyAlignment="1">
      <alignment horizontal="center" vertical="top" wrapText="1"/>
    </xf>
    <xf numFmtId="0" fontId="60" fillId="0" borderId="337" xfId="236" applyFont="1" applyFill="1" applyBorder="1" applyAlignment="1">
      <alignment horizontal="center" vertical="top" wrapText="1"/>
    </xf>
    <xf numFmtId="0" fontId="182" fillId="0" borderId="1463" xfId="236" applyFont="1" applyFill="1" applyBorder="1" applyAlignment="1">
      <alignment horizontal="center" vertical="center" wrapText="1"/>
    </xf>
    <xf numFmtId="0" fontId="182" fillId="0" borderId="1452" xfId="236" applyFont="1" applyFill="1" applyBorder="1" applyAlignment="1">
      <alignment horizontal="center" vertical="center" wrapText="1"/>
    </xf>
    <xf numFmtId="0" fontId="6" fillId="26" borderId="1464" xfId="236" applyFill="1" applyBorder="1" applyAlignment="1">
      <alignment horizontal="center" vertical="center"/>
    </xf>
    <xf numFmtId="0" fontId="6" fillId="26" borderId="0" xfId="236" applyFill="1" applyBorder="1" applyAlignment="1">
      <alignment horizontal="center" vertical="center"/>
    </xf>
    <xf numFmtId="0" fontId="6" fillId="26" borderId="1453" xfId="236" applyFill="1" applyBorder="1" applyAlignment="1">
      <alignment horizontal="center" vertical="center"/>
    </xf>
    <xf numFmtId="0" fontId="22" fillId="26" borderId="0" xfId="236" applyFont="1" applyFill="1" applyBorder="1" applyAlignment="1">
      <alignment horizontal="center"/>
    </xf>
    <xf numFmtId="0" fontId="22" fillId="26" borderId="0" xfId="236" applyFont="1" applyFill="1" applyBorder="1" applyAlignment="1">
      <alignment horizontal="center" wrapText="1"/>
    </xf>
    <xf numFmtId="0" fontId="6" fillId="26" borderId="0" xfId="236" applyFill="1" applyBorder="1" applyAlignment="1">
      <alignment horizontal="center"/>
    </xf>
    <xf numFmtId="0" fontId="6" fillId="26" borderId="1453" xfId="236" applyFill="1" applyBorder="1" applyAlignment="1">
      <alignment horizontal="center"/>
    </xf>
    <xf numFmtId="9" fontId="6" fillId="26" borderId="1004" xfId="236" applyNumberFormat="1" applyFill="1" applyBorder="1" applyAlignment="1">
      <alignment horizontal="center" vertical="center"/>
    </xf>
    <xf numFmtId="0" fontId="6" fillId="26" borderId="1004" xfId="236" applyFill="1" applyBorder="1" applyAlignment="1">
      <alignment horizontal="center" vertical="center"/>
    </xf>
    <xf numFmtId="0" fontId="52" fillId="26" borderId="1462" xfId="236" applyFont="1" applyFill="1" applyBorder="1" applyAlignment="1">
      <alignment horizontal="center" vertical="top" wrapText="1"/>
    </xf>
    <xf numFmtId="0" fontId="52" fillId="26" borderId="341" xfId="236" applyFont="1" applyFill="1" applyBorder="1" applyAlignment="1">
      <alignment horizontal="center" vertical="top" wrapText="1"/>
    </xf>
    <xf numFmtId="0" fontId="52" fillId="26" borderId="1455" xfId="236" applyFont="1" applyFill="1" applyBorder="1" applyAlignment="1">
      <alignment horizontal="center" vertical="top" wrapText="1"/>
    </xf>
    <xf numFmtId="0" fontId="52" fillId="26" borderId="1007" xfId="236" applyFont="1" applyFill="1" applyBorder="1" applyAlignment="1">
      <alignment horizontal="center" vertical="top" wrapText="1"/>
    </xf>
    <xf numFmtId="0" fontId="52" fillId="26" borderId="1461" xfId="236" applyFont="1" applyFill="1" applyBorder="1" applyAlignment="1">
      <alignment horizontal="center" vertical="top" wrapText="1"/>
    </xf>
    <xf numFmtId="0" fontId="52" fillId="26" borderId="340" xfId="236" applyFont="1" applyFill="1" applyBorder="1" applyAlignment="1">
      <alignment horizontal="center" vertical="top" wrapText="1"/>
    </xf>
    <xf numFmtId="0" fontId="52" fillId="26" borderId="0" xfId="236" applyFont="1" applyFill="1" applyBorder="1" applyAlignment="1">
      <alignment horizontal="center"/>
    </xf>
    <xf numFmtId="0" fontId="52" fillId="26" borderId="1453" xfId="236" applyFont="1" applyFill="1" applyBorder="1" applyAlignment="1">
      <alignment horizontal="center"/>
    </xf>
    <xf numFmtId="0" fontId="52" fillId="26" borderId="0" xfId="236" applyFont="1" applyFill="1" applyBorder="1" applyAlignment="1">
      <alignment horizontal="center" vertical="center"/>
    </xf>
    <xf numFmtId="0" fontId="52" fillId="26" borderId="1453" xfId="236" applyFont="1" applyFill="1" applyBorder="1" applyAlignment="1">
      <alignment horizontal="center" vertical="center"/>
    </xf>
    <xf numFmtId="0" fontId="52" fillId="0" borderId="1454" xfId="236" applyFont="1" applyFill="1" applyBorder="1" applyAlignment="1">
      <alignment horizontal="left" vertical="center" wrapText="1"/>
    </xf>
    <xf numFmtId="0" fontId="52" fillId="0" borderId="0" xfId="236" applyFont="1" applyFill="1" applyBorder="1" applyAlignment="1">
      <alignment vertical="center"/>
    </xf>
    <xf numFmtId="0" fontId="52" fillId="0" borderId="0" xfId="236" applyFont="1" applyFill="1" applyBorder="1" applyAlignment="1">
      <alignment horizontal="center"/>
    </xf>
    <xf numFmtId="0" fontId="52" fillId="0" borderId="1453" xfId="236" applyFont="1" applyFill="1" applyBorder="1" applyAlignment="1">
      <alignment horizontal="center"/>
    </xf>
    <xf numFmtId="0" fontId="52" fillId="0" borderId="1454" xfId="236" applyFont="1" applyFill="1" applyBorder="1" applyAlignment="1">
      <alignment horizontal="left" vertical="top" wrapText="1"/>
    </xf>
    <xf numFmtId="0" fontId="52" fillId="0" borderId="0" xfId="236" applyFont="1" applyFill="1" applyBorder="1" applyAlignment="1">
      <alignment horizontal="left" vertical="top" wrapText="1"/>
    </xf>
    <xf numFmtId="0" fontId="182" fillId="0" borderId="1451" xfId="236" applyFont="1" applyFill="1" applyBorder="1" applyAlignment="1">
      <alignment horizontal="left" vertical="center"/>
    </xf>
    <xf numFmtId="0" fontId="182" fillId="0" borderId="1451" xfId="236" applyFont="1" applyFill="1" applyBorder="1" applyAlignment="1">
      <alignment horizontal="left" vertical="center" wrapText="1"/>
    </xf>
    <xf numFmtId="0" fontId="6" fillId="0" borderId="1452" xfId="236" applyFill="1" applyBorder="1" applyAlignment="1">
      <alignment horizontal="left"/>
    </xf>
    <xf numFmtId="0" fontId="6" fillId="26" borderId="1454" xfId="236" applyFont="1" applyFill="1" applyBorder="1" applyAlignment="1">
      <alignment horizontal="left" vertical="top" wrapText="1"/>
    </xf>
    <xf numFmtId="0" fontId="6" fillId="26" borderId="0" xfId="236" applyFont="1" applyFill="1" applyBorder="1" applyAlignment="1">
      <alignment horizontal="left" vertical="top" wrapText="1"/>
    </xf>
    <xf numFmtId="0" fontId="6" fillId="26" borderId="1453" xfId="236" applyFont="1" applyFill="1" applyBorder="1" applyAlignment="1">
      <alignment horizontal="left" vertical="top" wrapText="1"/>
    </xf>
    <xf numFmtId="0" fontId="0" fillId="26" borderId="1545" xfId="0" applyFont="1" applyFill="1" applyBorder="1" applyAlignment="1">
      <alignment horizontal="left" vertical="center"/>
    </xf>
    <xf numFmtId="0" fontId="0" fillId="26" borderId="1546" xfId="0" applyFont="1" applyFill="1" applyBorder="1" applyAlignment="1">
      <alignment horizontal="left" vertical="center"/>
    </xf>
    <xf numFmtId="0" fontId="0" fillId="26" borderId="1547" xfId="0" applyFont="1" applyFill="1" applyBorder="1" applyAlignment="1">
      <alignment horizontal="left" vertical="center"/>
    </xf>
    <xf numFmtId="0" fontId="40" fillId="77" borderId="1491" xfId="0" applyFont="1" applyFill="1" applyBorder="1" applyAlignment="1">
      <alignment horizontal="center" vertical="center"/>
    </xf>
    <xf numFmtId="0" fontId="40" fillId="77" borderId="1492" xfId="0" applyFont="1" applyFill="1" applyBorder="1" applyAlignment="1">
      <alignment horizontal="center" vertical="center"/>
    </xf>
    <xf numFmtId="0" fontId="40" fillId="77" borderId="1493" xfId="0" applyFont="1" applyFill="1" applyBorder="1" applyAlignment="1">
      <alignment horizontal="center" vertical="center"/>
    </xf>
    <xf numFmtId="0" fontId="0" fillId="26" borderId="707" xfId="0" applyFont="1" applyFill="1" applyBorder="1" applyAlignment="1">
      <alignment horizontal="center" vertical="center"/>
    </xf>
    <xf numFmtId="0" fontId="0" fillId="26" borderId="708" xfId="0" applyFont="1" applyFill="1" applyBorder="1" applyAlignment="1">
      <alignment horizontal="center" vertical="center"/>
    </xf>
    <xf numFmtId="0" fontId="0" fillId="26" borderId="758" xfId="0" applyFont="1" applyFill="1" applyBorder="1" applyAlignment="1">
      <alignment horizontal="center" vertical="center"/>
    </xf>
    <xf numFmtId="0" fontId="0" fillId="26" borderId="707" xfId="0" quotePrefix="1" applyFont="1" applyFill="1" applyBorder="1" applyAlignment="1">
      <alignment horizontal="left" vertical="center" wrapText="1"/>
    </xf>
    <xf numFmtId="0" fontId="0" fillId="26" borderId="708" xfId="0" applyFont="1" applyFill="1" applyBorder="1" applyAlignment="1">
      <alignment horizontal="left" vertical="center" wrapText="1"/>
    </xf>
    <xf numFmtId="0" fontId="0" fillId="26" borderId="758" xfId="0" applyFont="1" applyFill="1" applyBorder="1" applyAlignment="1">
      <alignment horizontal="left" vertical="center" wrapText="1"/>
    </xf>
    <xf numFmtId="0" fontId="0" fillId="26" borderId="1541" xfId="0" applyFont="1" applyFill="1" applyBorder="1" applyAlignment="1">
      <alignment horizontal="left" vertical="center" wrapText="1"/>
    </xf>
    <xf numFmtId="0" fontId="0" fillId="26" borderId="707" xfId="0" applyFont="1" applyFill="1" applyBorder="1" applyAlignment="1">
      <alignment horizontal="left" vertical="center"/>
    </xf>
    <xf numFmtId="0" fontId="0" fillId="26" borderId="708" xfId="0" applyFont="1" applyFill="1" applyBorder="1" applyAlignment="1">
      <alignment horizontal="left" vertical="center"/>
    </xf>
    <xf numFmtId="0" fontId="0" fillId="26" borderId="758" xfId="0" applyFont="1" applyFill="1" applyBorder="1" applyAlignment="1">
      <alignment horizontal="left" vertical="center"/>
    </xf>
    <xf numFmtId="0" fontId="0" fillId="26" borderId="1541" xfId="0" applyFont="1" applyFill="1" applyBorder="1" applyAlignment="1">
      <alignment horizontal="left" vertical="center"/>
    </xf>
    <xf numFmtId="0" fontId="0" fillId="26" borderId="1562" xfId="0" applyFont="1" applyFill="1" applyBorder="1" applyAlignment="1">
      <alignment horizontal="left" vertical="center"/>
    </xf>
    <xf numFmtId="0" fontId="0" fillId="26" borderId="1563" xfId="0" applyFont="1" applyFill="1" applyBorder="1" applyAlignment="1">
      <alignment horizontal="left" vertical="center"/>
    </xf>
    <xf numFmtId="0" fontId="0" fillId="26" borderId="1564" xfId="0" applyFont="1" applyFill="1" applyBorder="1" applyAlignment="1">
      <alignment horizontal="left" vertical="center"/>
    </xf>
    <xf numFmtId="0" fontId="0" fillId="26" borderId="1565" xfId="0" applyFont="1" applyFill="1" applyBorder="1" applyAlignment="1">
      <alignment horizontal="left" vertical="center"/>
    </xf>
    <xf numFmtId="0" fontId="0" fillId="26" borderId="1566" xfId="0" applyFont="1" applyFill="1" applyBorder="1" applyAlignment="1">
      <alignment horizontal="left" vertical="center"/>
    </xf>
    <xf numFmtId="0" fontId="0" fillId="26" borderId="1402" xfId="0" applyFont="1" applyFill="1" applyBorder="1" applyAlignment="1">
      <alignment horizontal="left" vertical="center"/>
    </xf>
    <xf numFmtId="0" fontId="0" fillId="26" borderId="1403" xfId="0" applyFont="1" applyFill="1" applyBorder="1" applyAlignment="1">
      <alignment horizontal="left" vertical="center"/>
    </xf>
    <xf numFmtId="0" fontId="0" fillId="26" borderId="1404" xfId="0" applyFont="1" applyFill="1" applyBorder="1" applyAlignment="1">
      <alignment horizontal="left" vertical="center"/>
    </xf>
    <xf numFmtId="0" fontId="0" fillId="26" borderId="1405" xfId="0" applyFont="1" applyFill="1" applyBorder="1" applyAlignment="1">
      <alignment horizontal="left" vertical="center"/>
    </xf>
    <xf numFmtId="0" fontId="1" fillId="26" borderId="1560" xfId="0" quotePrefix="1" applyFont="1" applyFill="1" applyBorder="1" applyAlignment="1">
      <alignment horizontal="left" vertical="center" wrapText="1"/>
    </xf>
    <xf numFmtId="0" fontId="1" fillId="26" borderId="707" xfId="0" quotePrefix="1" applyFont="1" applyFill="1" applyBorder="1" applyAlignment="1">
      <alignment horizontal="left" vertical="center" wrapText="1"/>
    </xf>
    <xf numFmtId="0" fontId="0" fillId="26" borderId="1561" xfId="0" applyFont="1" applyFill="1" applyBorder="1" applyAlignment="1">
      <alignment horizontal="left" vertical="center" wrapText="1"/>
    </xf>
    <xf numFmtId="0" fontId="0" fillId="26" borderId="1560" xfId="0" applyFont="1" applyFill="1" applyBorder="1" applyAlignment="1">
      <alignment horizontal="left" vertical="center"/>
    </xf>
    <xf numFmtId="0" fontId="0" fillId="26" borderId="1561" xfId="0" applyFont="1" applyFill="1" applyBorder="1" applyAlignment="1">
      <alignment horizontal="left" vertical="center"/>
    </xf>
    <xf numFmtId="0" fontId="0" fillId="26" borderId="751" xfId="0" applyFont="1" applyFill="1" applyBorder="1" applyAlignment="1">
      <alignment horizontal="left" vertical="center"/>
    </xf>
    <xf numFmtId="0" fontId="41" fillId="26" borderId="335" xfId="0" applyFont="1" applyFill="1" applyBorder="1" applyAlignment="1" applyProtection="1">
      <alignment horizontal="center" vertical="center"/>
    </xf>
    <xf numFmtId="0" fontId="40" fillId="72" borderId="1555" xfId="0" applyFont="1" applyFill="1" applyBorder="1" applyAlignment="1">
      <alignment horizontal="center" vertical="center"/>
    </xf>
    <xf numFmtId="0" fontId="40" fillId="72" borderId="1556" xfId="0" applyFont="1" applyFill="1" applyBorder="1" applyAlignment="1">
      <alignment horizontal="center" vertical="center"/>
    </xf>
    <xf numFmtId="0" fontId="40" fillId="72" borderId="1557" xfId="0" applyFont="1" applyFill="1" applyBorder="1" applyAlignment="1">
      <alignment horizontal="center" vertical="center"/>
    </xf>
    <xf numFmtId="0" fontId="40" fillId="72" borderId="1558" xfId="0" applyFont="1" applyFill="1" applyBorder="1" applyAlignment="1">
      <alignment horizontal="center" vertical="center"/>
    </xf>
    <xf numFmtId="0" fontId="40" fillId="72" borderId="1559" xfId="0" applyFont="1" applyFill="1" applyBorder="1" applyAlignment="1">
      <alignment horizontal="center" vertical="center"/>
    </xf>
    <xf numFmtId="0" fontId="26" fillId="0" borderId="0" xfId="0" applyFont="1" applyAlignment="1" applyProtection="1">
      <alignment horizontal="center" vertical="center"/>
    </xf>
    <xf numFmtId="0" fontId="26" fillId="0" borderId="0" xfId="0" applyFont="1" applyAlignment="1" applyProtection="1">
      <alignment horizontal="left" vertical="center"/>
    </xf>
    <xf numFmtId="0" fontId="0" fillId="26" borderId="1548" xfId="0" applyFont="1" applyFill="1" applyBorder="1" applyAlignment="1">
      <alignment horizontal="left" vertical="center"/>
    </xf>
    <xf numFmtId="0" fontId="40" fillId="33" borderId="577" xfId="0" applyFont="1" applyFill="1" applyBorder="1" applyAlignment="1">
      <alignment horizontal="center" vertical="center"/>
    </xf>
    <xf numFmtId="0" fontId="40" fillId="33" borderId="578" xfId="0" applyFont="1" applyFill="1" applyBorder="1" applyAlignment="1">
      <alignment horizontal="center" vertical="center"/>
    </xf>
    <xf numFmtId="0" fontId="40" fillId="33" borderId="579" xfId="0" applyFont="1" applyFill="1" applyBorder="1" applyAlignment="1">
      <alignment horizontal="center" vertical="center"/>
    </xf>
    <xf numFmtId="0" fontId="40" fillId="32" borderId="580" xfId="0" applyFont="1" applyFill="1" applyBorder="1" applyAlignment="1">
      <alignment horizontal="center" vertical="center"/>
    </xf>
    <xf numFmtId="0" fontId="40" fillId="32" borderId="575" xfId="0" applyFont="1" applyFill="1" applyBorder="1" applyAlignment="1">
      <alignment horizontal="center" vertical="center"/>
    </xf>
    <xf numFmtId="0" fontId="40" fillId="32" borderId="1540" xfId="0" applyFont="1" applyFill="1" applyBorder="1" applyAlignment="1">
      <alignment horizontal="center" vertical="center"/>
    </xf>
    <xf numFmtId="0" fontId="0" fillId="5" borderId="744" xfId="0" quotePrefix="1" applyFont="1" applyFill="1" applyBorder="1" applyAlignment="1" applyProtection="1">
      <alignment horizontal="left" vertical="center"/>
      <protection locked="0"/>
    </xf>
    <xf numFmtId="0" fontId="0" fillId="5" borderId="745" xfId="0" quotePrefix="1" applyFont="1" applyFill="1" applyBorder="1" applyAlignment="1" applyProtection="1">
      <alignment horizontal="left" vertical="center"/>
      <protection locked="0"/>
    </xf>
    <xf numFmtId="0" fontId="0" fillId="5" borderId="746" xfId="0" quotePrefix="1" applyFont="1" applyFill="1" applyBorder="1" applyAlignment="1" applyProtection="1">
      <alignment horizontal="left" vertical="center"/>
      <protection locked="0"/>
    </xf>
    <xf numFmtId="0" fontId="0" fillId="5" borderId="744" xfId="0" applyFont="1" applyFill="1" applyBorder="1" applyAlignment="1" applyProtection="1">
      <alignment horizontal="left" vertical="center"/>
      <protection locked="0"/>
    </xf>
    <xf numFmtId="0" fontId="0" fillId="5" borderId="745" xfId="0" applyFont="1" applyFill="1" applyBorder="1" applyAlignment="1" applyProtection="1">
      <alignment horizontal="left" vertical="center"/>
      <protection locked="0"/>
    </xf>
    <xf numFmtId="0" fontId="0" fillId="5" borderId="746" xfId="0" applyFont="1" applyFill="1" applyBorder="1" applyAlignment="1" applyProtection="1">
      <alignment horizontal="left" vertical="center"/>
      <protection locked="0"/>
    </xf>
    <xf numFmtId="0" fontId="0" fillId="5" borderId="1551" xfId="0" applyFont="1" applyFill="1" applyBorder="1" applyAlignment="1" applyProtection="1">
      <alignment horizontal="left" vertical="center"/>
      <protection locked="0"/>
    </xf>
    <xf numFmtId="0" fontId="0" fillId="5" borderId="1552" xfId="0" applyFont="1" applyFill="1" applyBorder="1" applyAlignment="1" applyProtection="1">
      <alignment horizontal="left" vertical="center"/>
      <protection locked="0"/>
    </xf>
    <xf numFmtId="0" fontId="0" fillId="5" borderId="1554" xfId="0" applyFont="1" applyFill="1" applyBorder="1" applyAlignment="1" applyProtection="1">
      <alignment horizontal="left" vertical="center"/>
      <protection locked="0"/>
    </xf>
    <xf numFmtId="0" fontId="40" fillId="33" borderId="1542" xfId="0" applyFont="1" applyFill="1" applyBorder="1" applyAlignment="1">
      <alignment horizontal="center" vertical="center"/>
    </xf>
    <xf numFmtId="0" fontId="40" fillId="33" borderId="1543" xfId="0" applyFont="1" applyFill="1" applyBorder="1" applyAlignment="1">
      <alignment horizontal="center" vertical="center"/>
    </xf>
    <xf numFmtId="0" fontId="40" fillId="33" borderId="1549" xfId="0" applyFont="1" applyFill="1" applyBorder="1" applyAlignment="1">
      <alignment horizontal="center" vertical="center"/>
    </xf>
    <xf numFmtId="0" fontId="40" fillId="32" borderId="1542" xfId="0" applyFont="1" applyFill="1" applyBorder="1" applyAlignment="1">
      <alignment horizontal="center" vertical="center"/>
    </xf>
    <xf numFmtId="0" fontId="40" fillId="32" borderId="1543" xfId="0" applyFont="1" applyFill="1" applyBorder="1" applyAlignment="1">
      <alignment horizontal="center" vertical="center"/>
    </xf>
    <xf numFmtId="0" fontId="40" fillId="32" borderId="1544" xfId="0" applyFont="1" applyFill="1" applyBorder="1" applyAlignment="1">
      <alignment horizontal="center" vertical="center"/>
    </xf>
    <xf numFmtId="0" fontId="0" fillId="26" borderId="707" xfId="0" quotePrefix="1" applyFont="1" applyFill="1" applyBorder="1" applyAlignment="1">
      <alignment horizontal="left" vertical="center"/>
    </xf>
    <xf numFmtId="0" fontId="0" fillId="26" borderId="707" xfId="0" applyFont="1" applyFill="1" applyBorder="1" applyAlignment="1">
      <alignment horizontal="left" vertical="center" wrapText="1"/>
    </xf>
    <xf numFmtId="0" fontId="40" fillId="25" borderId="571" xfId="0" applyFont="1" applyFill="1" applyBorder="1" applyAlignment="1">
      <alignment horizontal="center" vertical="center"/>
    </xf>
    <xf numFmtId="0" fontId="40" fillId="25" borderId="572" xfId="0" applyFont="1" applyFill="1" applyBorder="1" applyAlignment="1">
      <alignment horizontal="center" vertical="center"/>
    </xf>
    <xf numFmtId="0" fontId="40" fillId="25" borderId="573" xfId="0" applyFont="1" applyFill="1" applyBorder="1" applyAlignment="1">
      <alignment horizontal="center" vertical="center"/>
    </xf>
    <xf numFmtId="0" fontId="40" fillId="28" borderId="1550" xfId="0" applyFont="1" applyFill="1" applyBorder="1" applyAlignment="1">
      <alignment horizontal="center" vertical="center"/>
    </xf>
    <xf numFmtId="0" fontId="40" fillId="28" borderId="572" xfId="0" applyFont="1" applyFill="1" applyBorder="1" applyAlignment="1">
      <alignment horizontal="center" vertical="center"/>
    </xf>
    <xf numFmtId="0" fontId="40" fillId="28" borderId="573" xfId="0" applyFont="1" applyFill="1" applyBorder="1" applyAlignment="1">
      <alignment horizontal="center" vertical="center"/>
    </xf>
    <xf numFmtId="0" fontId="0" fillId="2" borderId="1208" xfId="0" applyFont="1" applyFill="1" applyBorder="1" applyAlignment="1" applyProtection="1">
      <alignment horizontal="center"/>
    </xf>
    <xf numFmtId="0" fontId="1" fillId="26" borderId="394" xfId="0" applyFont="1" applyFill="1" applyBorder="1" applyAlignment="1" applyProtection="1">
      <alignment horizontal="left" vertical="top" wrapText="1"/>
    </xf>
    <xf numFmtId="0" fontId="1" fillId="26" borderId="65" xfId="0" applyFont="1" applyFill="1" applyBorder="1" applyAlignment="1" applyProtection="1">
      <alignment horizontal="left" vertical="top" wrapText="1"/>
    </xf>
    <xf numFmtId="0" fontId="1" fillId="26" borderId="349" xfId="0" applyFont="1" applyFill="1" applyBorder="1" applyAlignment="1" applyProtection="1">
      <alignment horizontal="left" vertical="top" wrapText="1"/>
    </xf>
    <xf numFmtId="0" fontId="1" fillId="37" borderId="55" xfId="0" applyFont="1" applyFill="1" applyBorder="1" applyAlignment="1" applyProtection="1">
      <alignment horizontal="center" vertical="center" wrapText="1"/>
    </xf>
    <xf numFmtId="0" fontId="1" fillId="37" borderId="56" xfId="0" applyFont="1" applyFill="1" applyBorder="1" applyAlignment="1" applyProtection="1">
      <alignment horizontal="center" vertical="center" wrapText="1"/>
    </xf>
    <xf numFmtId="0" fontId="0" fillId="26" borderId="175" xfId="0" applyFont="1" applyFill="1" applyBorder="1" applyAlignment="1" applyProtection="1">
      <alignment horizontal="left" vertical="center" wrapText="1"/>
    </xf>
    <xf numFmtId="0" fontId="0" fillId="26" borderId="68" xfId="0" applyFont="1" applyFill="1" applyBorder="1" applyAlignment="1" applyProtection="1">
      <alignment horizontal="left" vertical="center" wrapText="1"/>
    </xf>
    <xf numFmtId="0" fontId="0" fillId="26" borderId="390" xfId="0" applyFont="1" applyFill="1" applyBorder="1" applyAlignment="1" applyProtection="1">
      <alignment horizontal="left" vertical="center" wrapText="1"/>
    </xf>
    <xf numFmtId="0" fontId="26" fillId="77" borderId="391" xfId="0" applyFont="1" applyFill="1" applyBorder="1" applyAlignment="1" applyProtection="1">
      <alignment horizontal="left" vertical="center" wrapText="1"/>
    </xf>
    <xf numFmtId="0" fontId="26" fillId="77" borderId="392" xfId="0" applyFont="1" applyFill="1" applyBorder="1" applyAlignment="1" applyProtection="1">
      <alignment horizontal="left" vertical="center"/>
    </xf>
    <xf numFmtId="0" fontId="26" fillId="77" borderId="716" xfId="0" applyFont="1" applyFill="1" applyBorder="1" applyAlignment="1" applyProtection="1">
      <alignment horizontal="left" vertical="center"/>
    </xf>
    <xf numFmtId="0" fontId="1" fillId="37" borderId="186" xfId="0" applyFont="1" applyFill="1" applyBorder="1" applyAlignment="1" applyProtection="1">
      <alignment horizontal="center" vertical="center" wrapText="1"/>
    </xf>
    <xf numFmtId="0" fontId="1" fillId="37" borderId="354" xfId="0" applyFont="1" applyFill="1" applyBorder="1" applyAlignment="1" applyProtection="1">
      <alignment horizontal="center" vertical="center" wrapText="1"/>
    </xf>
    <xf numFmtId="0" fontId="1" fillId="37" borderId="104" xfId="0" applyFont="1" applyFill="1" applyBorder="1" applyAlignment="1" applyProtection="1">
      <alignment horizontal="center" vertical="center" wrapText="1"/>
    </xf>
    <xf numFmtId="0" fontId="1" fillId="37" borderId="0" xfId="0" applyFont="1" applyFill="1" applyBorder="1" applyAlignment="1" applyProtection="1">
      <alignment horizontal="center" vertical="center" wrapText="1"/>
    </xf>
    <xf numFmtId="0" fontId="1" fillId="37" borderId="106" xfId="0" applyFont="1" applyFill="1" applyBorder="1" applyAlignment="1" applyProtection="1">
      <alignment horizontal="center" vertical="center" wrapText="1"/>
    </xf>
    <xf numFmtId="0" fontId="1" fillId="37" borderId="107" xfId="0" applyFont="1" applyFill="1" applyBorder="1" applyAlignment="1" applyProtection="1">
      <alignment horizontal="center" vertical="center" wrapText="1"/>
    </xf>
    <xf numFmtId="0" fontId="21" fillId="0" borderId="1160" xfId="0" applyFont="1" applyFill="1" applyBorder="1" applyAlignment="1" applyProtection="1">
      <alignment horizontal="center" vertical="center"/>
    </xf>
    <xf numFmtId="0" fontId="21" fillId="0" borderId="504" xfId="0" applyFont="1" applyFill="1" applyBorder="1" applyAlignment="1" applyProtection="1">
      <alignment horizontal="center" vertical="center"/>
    </xf>
    <xf numFmtId="0" fontId="21" fillId="26" borderId="391" xfId="0" applyFont="1" applyFill="1" applyBorder="1" applyAlignment="1" applyProtection="1">
      <alignment horizontal="left" vertical="top" wrapText="1"/>
    </xf>
    <xf numFmtId="0" fontId="1" fillId="26" borderId="392" xfId="0" applyFont="1" applyFill="1" applyBorder="1" applyAlignment="1" applyProtection="1">
      <alignment horizontal="left" vertical="top"/>
    </xf>
    <xf numFmtId="0" fontId="1" fillId="26" borderId="716" xfId="0" applyFont="1" applyFill="1" applyBorder="1" applyAlignment="1" applyProtection="1">
      <alignment horizontal="left" vertical="top"/>
    </xf>
    <xf numFmtId="0" fontId="1" fillId="26" borderId="391" xfId="0" applyFont="1" applyFill="1" applyBorder="1" applyAlignment="1" applyProtection="1">
      <alignment horizontal="left" vertical="top" wrapText="1"/>
    </xf>
    <xf numFmtId="0" fontId="21" fillId="77" borderId="64" xfId="0" applyFont="1" applyFill="1" applyBorder="1" applyAlignment="1" applyProtection="1">
      <alignment horizontal="center" vertical="center"/>
    </xf>
    <xf numFmtId="0" fontId="21" fillId="77" borderId="65" xfId="0" applyFont="1" applyFill="1" applyBorder="1" applyAlignment="1" applyProtection="1">
      <alignment horizontal="center" vertical="center"/>
    </xf>
    <xf numFmtId="0" fontId="21" fillId="77" borderId="66" xfId="0" applyFont="1" applyFill="1" applyBorder="1" applyAlignment="1" applyProtection="1">
      <alignment horizontal="center" vertical="center"/>
    </xf>
    <xf numFmtId="0" fontId="1" fillId="37" borderId="55" xfId="0" applyFont="1" applyFill="1" applyBorder="1" applyAlignment="1" applyProtection="1">
      <alignment horizontal="center" vertical="center"/>
    </xf>
    <xf numFmtId="0" fontId="1" fillId="37" borderId="56" xfId="0" applyFont="1" applyFill="1" applyBorder="1" applyAlignment="1" applyProtection="1">
      <alignment horizontal="center" vertical="center"/>
    </xf>
    <xf numFmtId="0" fontId="1" fillId="37" borderId="56" xfId="0" applyFont="1" applyFill="1" applyBorder="1" applyAlignment="1" applyProtection="1">
      <alignment horizontal="center" wrapText="1"/>
    </xf>
    <xf numFmtId="0" fontId="1" fillId="37" borderId="56" xfId="0" applyFont="1" applyFill="1" applyBorder="1" applyAlignment="1" applyProtection="1">
      <alignment horizontal="center"/>
    </xf>
    <xf numFmtId="0" fontId="106" fillId="37" borderId="56" xfId="0" applyFont="1" applyFill="1" applyBorder="1" applyAlignment="1" applyProtection="1">
      <alignment horizontal="center" vertical="center" wrapText="1"/>
    </xf>
    <xf numFmtId="0" fontId="1" fillId="26" borderId="175" xfId="0" applyFont="1" applyFill="1" applyBorder="1" applyAlignment="1" applyProtection="1">
      <alignment horizontal="left" vertical="top"/>
    </xf>
    <xf numFmtId="0" fontId="1" fillId="26" borderId="68" xfId="0" applyFont="1" applyFill="1" applyBorder="1" applyAlignment="1" applyProtection="1">
      <alignment horizontal="left" vertical="top"/>
    </xf>
    <xf numFmtId="0" fontId="1" fillId="26" borderId="390" xfId="0" applyFont="1" applyFill="1" applyBorder="1" applyAlignment="1" applyProtection="1">
      <alignment horizontal="left" vertical="top"/>
    </xf>
    <xf numFmtId="0" fontId="41" fillId="36" borderId="335" xfId="0" applyFont="1" applyFill="1" applyBorder="1" applyAlignment="1" applyProtection="1">
      <alignment horizontal="left" vertical="center"/>
    </xf>
    <xf numFmtId="0" fontId="41" fillId="36" borderId="337" xfId="0" applyFont="1" applyFill="1" applyBorder="1" applyAlignment="1" applyProtection="1">
      <alignment horizontal="left" vertical="center"/>
    </xf>
    <xf numFmtId="0" fontId="39" fillId="36" borderId="335" xfId="0" applyFont="1" applyFill="1" applyBorder="1" applyAlignment="1" applyProtection="1">
      <alignment horizontal="right" vertical="center"/>
    </xf>
    <xf numFmtId="0" fontId="26" fillId="0" borderId="0" xfId="0" applyFont="1" applyAlignment="1" applyProtection="1">
      <alignment horizontal="left" vertical="center" wrapText="1"/>
    </xf>
    <xf numFmtId="0" fontId="1" fillId="37" borderId="52" xfId="0" applyFont="1" applyFill="1" applyBorder="1" applyAlignment="1" applyProtection="1">
      <alignment horizontal="center" vertical="center"/>
    </xf>
    <xf numFmtId="0" fontId="1" fillId="37" borderId="53" xfId="0" applyFont="1" applyFill="1" applyBorder="1" applyAlignment="1" applyProtection="1">
      <alignment horizontal="center" vertical="center"/>
    </xf>
    <xf numFmtId="0" fontId="1" fillId="37" borderId="102" xfId="0" applyFont="1" applyFill="1" applyBorder="1" applyAlignment="1" applyProtection="1">
      <alignment horizontal="center" vertical="center" wrapText="1"/>
    </xf>
    <xf numFmtId="0" fontId="1" fillId="37" borderId="397" xfId="0" applyFont="1" applyFill="1" applyBorder="1" applyAlignment="1" applyProtection="1">
      <alignment horizontal="center" vertical="center" wrapText="1"/>
    </xf>
    <xf numFmtId="0" fontId="1" fillId="37" borderId="714" xfId="0" applyFont="1" applyFill="1" applyBorder="1" applyAlignment="1" applyProtection="1">
      <alignment horizontal="center" vertical="center" wrapText="1"/>
    </xf>
    <xf numFmtId="0" fontId="1" fillId="26" borderId="175" xfId="0" applyFont="1" applyFill="1" applyBorder="1" applyAlignment="1" applyProtection="1">
      <alignment horizontal="left" vertical="center" wrapText="1"/>
    </xf>
    <xf numFmtId="0" fontId="1" fillId="26" borderId="68" xfId="0" applyFont="1" applyFill="1" applyBorder="1" applyAlignment="1" applyProtection="1">
      <alignment horizontal="left" vertical="center" wrapText="1"/>
    </xf>
    <xf numFmtId="0" fontId="1" fillId="26" borderId="390" xfId="0" applyFont="1" applyFill="1" applyBorder="1" applyAlignment="1" applyProtection="1">
      <alignment horizontal="left" vertical="center" wrapText="1"/>
    </xf>
    <xf numFmtId="0" fontId="0" fillId="26" borderId="175" xfId="0" applyFont="1" applyFill="1" applyBorder="1" applyAlignment="1" applyProtection="1">
      <alignment horizontal="left" vertical="top" wrapText="1"/>
    </xf>
    <xf numFmtId="0" fontId="0" fillId="26" borderId="68" xfId="0" applyFont="1" applyFill="1" applyBorder="1" applyAlignment="1" applyProtection="1">
      <alignment horizontal="left" vertical="top" wrapText="1"/>
    </xf>
    <xf numFmtId="0" fontId="0" fillId="26" borderId="390" xfId="0" applyFont="1" applyFill="1" applyBorder="1" applyAlignment="1" applyProtection="1">
      <alignment horizontal="left" vertical="top" wrapText="1"/>
    </xf>
    <xf numFmtId="0" fontId="1" fillId="26" borderId="68" xfId="0" applyFont="1" applyFill="1" applyBorder="1" applyAlignment="1" applyProtection="1">
      <alignment horizontal="left" vertical="center"/>
    </xf>
    <xf numFmtId="0" fontId="1" fillId="26" borderId="390" xfId="0" applyFont="1" applyFill="1" applyBorder="1" applyAlignment="1" applyProtection="1">
      <alignment horizontal="left" vertical="center"/>
    </xf>
    <xf numFmtId="0" fontId="47" fillId="37" borderId="68" xfId="4" applyFont="1" applyFill="1" applyBorder="1" applyAlignment="1" applyProtection="1">
      <alignment horizontal="center" vertical="center" wrapText="1" readingOrder="1"/>
    </xf>
    <xf numFmtId="0" fontId="47" fillId="37" borderId="69" xfId="4" applyFont="1" applyFill="1" applyBorder="1" applyAlignment="1" applyProtection="1">
      <alignment horizontal="center" vertical="center" wrapText="1" readingOrder="1"/>
    </xf>
    <xf numFmtId="0" fontId="48" fillId="0" borderId="67" xfId="4" applyFont="1" applyFill="1" applyBorder="1" applyAlignment="1" applyProtection="1">
      <alignment horizontal="right" vertical="center" wrapText="1" readingOrder="1"/>
    </xf>
    <xf numFmtId="0" fontId="48" fillId="0" borderId="68" xfId="4" applyFont="1" applyFill="1" applyBorder="1" applyAlignment="1" applyProtection="1">
      <alignment horizontal="right" vertical="center" wrapText="1" readingOrder="1"/>
    </xf>
    <xf numFmtId="0" fontId="48" fillId="0" borderId="390" xfId="4" applyFont="1" applyFill="1" applyBorder="1" applyAlignment="1" applyProtection="1">
      <alignment horizontal="right" vertical="center" wrapText="1" readingOrder="1"/>
    </xf>
    <xf numFmtId="0" fontId="18" fillId="0" borderId="350" xfId="4" applyFont="1" applyFill="1" applyBorder="1" applyAlignment="1" applyProtection="1">
      <alignment horizontal="center" vertical="center" wrapText="1" readingOrder="1"/>
    </xf>
    <xf numFmtId="0" fontId="18" fillId="0" borderId="184" xfId="4" applyFont="1" applyFill="1" applyBorder="1" applyAlignment="1" applyProtection="1">
      <alignment horizontal="center" vertical="center" wrapText="1" readingOrder="1"/>
    </xf>
    <xf numFmtId="0" fontId="18" fillId="0" borderId="351" xfId="4" applyFont="1" applyFill="1" applyBorder="1" applyAlignment="1" applyProtection="1">
      <alignment horizontal="center" vertical="center" wrapText="1" readingOrder="1"/>
    </xf>
    <xf numFmtId="0" fontId="24" fillId="37" borderId="53" xfId="4" applyFont="1" applyFill="1" applyBorder="1" applyAlignment="1" applyProtection="1">
      <alignment horizontal="center" vertical="center" wrapText="1" readingOrder="1"/>
    </xf>
    <xf numFmtId="0" fontId="24" fillId="37" borderId="74" xfId="4" applyFont="1" applyFill="1" applyBorder="1" applyAlignment="1" applyProtection="1">
      <alignment horizontal="center" vertical="center" wrapText="1" readingOrder="1"/>
    </xf>
    <xf numFmtId="0" fontId="18" fillId="0" borderId="667" xfId="4" applyFont="1" applyFill="1" applyBorder="1" applyAlignment="1" applyProtection="1">
      <alignment horizontal="center" vertical="center" wrapText="1" readingOrder="1"/>
    </xf>
    <xf numFmtId="0" fontId="18" fillId="0" borderId="392" xfId="4" applyFont="1" applyFill="1" applyBorder="1" applyAlignment="1" applyProtection="1">
      <alignment horizontal="center" vertical="center" wrapText="1" readingOrder="1"/>
    </xf>
    <xf numFmtId="0" fontId="18" fillId="0" borderId="716" xfId="4" applyFont="1" applyFill="1" applyBorder="1" applyAlignment="1" applyProtection="1">
      <alignment horizontal="center" vertical="center" wrapText="1" readingOrder="1"/>
    </xf>
    <xf numFmtId="0" fontId="102" fillId="0" borderId="104" xfId="4" applyFont="1" applyFill="1" applyBorder="1" applyAlignment="1" applyProtection="1">
      <alignment horizontal="right" vertical="center" wrapText="1" readingOrder="1"/>
    </xf>
    <xf numFmtId="0" fontId="102" fillId="0" borderId="0" xfId="4" applyFont="1" applyFill="1" applyBorder="1" applyAlignment="1" applyProtection="1">
      <alignment horizontal="right" vertical="center" wrapText="1" readingOrder="1"/>
    </xf>
    <xf numFmtId="0" fontId="102" fillId="0" borderId="714" xfId="4" applyFont="1" applyFill="1" applyBorder="1" applyAlignment="1" applyProtection="1">
      <alignment horizontal="right" vertical="center" wrapText="1" readingOrder="1"/>
    </xf>
    <xf numFmtId="171" fontId="47" fillId="0" borderId="74" xfId="4" applyNumberFormat="1" applyFont="1" applyFill="1" applyBorder="1" applyAlignment="1" applyProtection="1">
      <alignment horizontal="center" vertical="center" wrapText="1" readingOrder="1"/>
    </xf>
    <xf numFmtId="0" fontId="0" fillId="0" borderId="175" xfId="0" applyFont="1" applyFill="1" applyBorder="1" applyAlignment="1" applyProtection="1">
      <alignment vertical="center"/>
      <protection locked="0"/>
    </xf>
    <xf numFmtId="0" fontId="0" fillId="0" borderId="68" xfId="0" applyFont="1" applyFill="1" applyBorder="1" applyAlignment="1" applyProtection="1">
      <alignment vertical="center"/>
      <protection locked="0"/>
    </xf>
    <xf numFmtId="0" fontId="0" fillId="0" borderId="69" xfId="0" applyFont="1" applyFill="1" applyBorder="1" applyAlignment="1" applyProtection="1">
      <alignment vertical="center"/>
      <protection locked="0"/>
    </xf>
    <xf numFmtId="0" fontId="142" fillId="39" borderId="67" xfId="4" applyFont="1" applyFill="1" applyBorder="1" applyAlignment="1" applyProtection="1">
      <alignment horizontal="left" vertical="center" readingOrder="1"/>
      <protection locked="0"/>
    </xf>
    <xf numFmtId="0" fontId="142" fillId="39" borderId="68" xfId="4" applyFont="1" applyFill="1" applyBorder="1" applyAlignment="1" applyProtection="1">
      <alignment horizontal="left" vertical="center" readingOrder="1"/>
      <protection locked="0"/>
    </xf>
    <xf numFmtId="0" fontId="142" fillId="39" borderId="390" xfId="4" applyFont="1" applyFill="1" applyBorder="1" applyAlignment="1" applyProtection="1">
      <alignment horizontal="left" vertical="center" readingOrder="1"/>
      <protection locked="0"/>
    </xf>
    <xf numFmtId="171" fontId="167" fillId="26" borderId="175" xfId="4" applyNumberFormat="1" applyFont="1" applyFill="1" applyBorder="1" applyAlignment="1" applyProtection="1">
      <alignment horizontal="center" vertical="center" wrapText="1" readingOrder="1"/>
      <protection locked="0"/>
    </xf>
    <xf numFmtId="171" fontId="167" fillId="26" borderId="390" xfId="4" applyNumberFormat="1" applyFont="1" applyFill="1" applyBorder="1" applyAlignment="1" applyProtection="1">
      <alignment horizontal="center" vertical="center" wrapText="1" readingOrder="1"/>
      <protection locked="0"/>
    </xf>
    <xf numFmtId="171" fontId="191" fillId="0" borderId="175" xfId="4" applyNumberFormat="1" applyFont="1" applyFill="1" applyBorder="1" applyAlignment="1" applyProtection="1">
      <alignment horizontal="center" vertical="center" wrapText="1" readingOrder="1"/>
      <protection locked="0"/>
    </xf>
    <xf numFmtId="171" fontId="191" fillId="0" borderId="390" xfId="4" applyNumberFormat="1" applyFont="1" applyFill="1" applyBorder="1" applyAlignment="1" applyProtection="1">
      <alignment horizontal="center" vertical="center" wrapText="1" readingOrder="1"/>
      <protection locked="0"/>
    </xf>
    <xf numFmtId="171" fontId="141" fillId="0" borderId="175" xfId="4" applyNumberFormat="1" applyFont="1" applyFill="1" applyBorder="1" applyAlignment="1" applyProtection="1">
      <alignment horizontal="center" vertical="center" wrapText="1" readingOrder="1"/>
    </xf>
    <xf numFmtId="171" fontId="141" fillId="0" borderId="390" xfId="4" applyNumberFormat="1" applyFont="1" applyFill="1" applyBorder="1" applyAlignment="1" applyProtection="1">
      <alignment horizontal="center" vertical="center" wrapText="1" readingOrder="1"/>
    </xf>
    <xf numFmtId="171" fontId="167" fillId="0" borderId="175" xfId="4" applyNumberFormat="1" applyFont="1" applyFill="1" applyBorder="1" applyAlignment="1" applyProtection="1">
      <alignment horizontal="center" vertical="center" wrapText="1" readingOrder="1"/>
      <protection locked="0"/>
    </xf>
    <xf numFmtId="171" fontId="167" fillId="0" borderId="390" xfId="4" applyNumberFormat="1" applyFont="1" applyFill="1" applyBorder="1" applyAlignment="1" applyProtection="1">
      <alignment horizontal="center" vertical="center" wrapText="1" readingOrder="1"/>
      <protection locked="0"/>
    </xf>
    <xf numFmtId="0" fontId="1" fillId="0" borderId="718" xfId="4" applyFont="1" applyBorder="1" applyAlignment="1" applyProtection="1">
      <alignment horizontal="center"/>
    </xf>
    <xf numFmtId="0" fontId="1" fillId="0" borderId="719" xfId="4" applyFont="1" applyBorder="1" applyAlignment="1" applyProtection="1">
      <alignment horizontal="center"/>
    </xf>
    <xf numFmtId="0" fontId="139" fillId="37" borderId="67" xfId="4" applyFont="1" applyFill="1" applyBorder="1" applyAlignment="1" applyProtection="1">
      <alignment horizontal="left" vertical="center" wrapText="1" readingOrder="1"/>
    </xf>
    <xf numFmtId="0" fontId="139" fillId="37" borderId="68" xfId="4" applyFont="1" applyFill="1" applyBorder="1" applyAlignment="1" applyProtection="1">
      <alignment horizontal="left" vertical="center" wrapText="1" readingOrder="1"/>
    </xf>
    <xf numFmtId="0" fontId="73" fillId="37" borderId="334" xfId="4" applyFont="1" applyFill="1" applyBorder="1" applyAlignment="1" applyProtection="1">
      <alignment horizontal="center" vertical="center" wrapText="1" readingOrder="1"/>
    </xf>
    <xf numFmtId="0" fontId="73" fillId="37" borderId="337" xfId="4" applyFont="1" applyFill="1" applyBorder="1" applyAlignment="1" applyProtection="1">
      <alignment horizontal="center" vertical="center" wrapText="1" readingOrder="1"/>
    </xf>
    <xf numFmtId="0" fontId="73" fillId="37" borderId="713" xfId="4" applyFont="1" applyFill="1" applyBorder="1" applyAlignment="1" applyProtection="1">
      <alignment horizontal="center" vertical="center" wrapText="1" readingOrder="1"/>
    </xf>
    <xf numFmtId="0" fontId="73" fillId="37" borderId="68" xfId="4" applyFont="1" applyFill="1" applyBorder="1" applyAlignment="1" applyProtection="1">
      <alignment horizontal="center" vertical="center" wrapText="1" readingOrder="1"/>
    </xf>
    <xf numFmtId="0" fontId="73" fillId="37" borderId="69" xfId="4" applyFont="1" applyFill="1" applyBorder="1" applyAlignment="1" applyProtection="1">
      <alignment horizontal="center" vertical="center" wrapText="1" readingOrder="1"/>
    </xf>
    <xf numFmtId="0" fontId="1" fillId="0" borderId="667" xfId="0" applyFont="1" applyFill="1" applyBorder="1" applyAlignment="1" applyProtection="1">
      <alignment horizontal="center" vertical="center"/>
    </xf>
    <xf numFmtId="0" fontId="1" fillId="0" borderId="392" xfId="0" applyFont="1" applyFill="1" applyBorder="1" applyAlignment="1" applyProtection="1">
      <alignment horizontal="center" vertical="center"/>
    </xf>
    <xf numFmtId="0" fontId="1" fillId="0" borderId="716" xfId="0" applyFont="1" applyFill="1" applyBorder="1" applyAlignment="1" applyProtection="1">
      <alignment horizontal="center" vertical="center"/>
    </xf>
    <xf numFmtId="0" fontId="1" fillId="0" borderId="392" xfId="0" applyFont="1" applyBorder="1" applyAlignment="1" applyProtection="1">
      <alignment horizontal="center" vertical="top"/>
    </xf>
    <xf numFmtId="0" fontId="1" fillId="0" borderId="716" xfId="0" applyFont="1" applyBorder="1" applyAlignment="1" applyProtection="1">
      <alignment horizontal="center" vertical="top"/>
    </xf>
    <xf numFmtId="0" fontId="0" fillId="0" borderId="715" xfId="4" applyFont="1" applyBorder="1" applyAlignment="1" applyProtection="1">
      <alignment horizontal="center" vertical="top"/>
    </xf>
    <xf numFmtId="0" fontId="0" fillId="0" borderId="392" xfId="4" applyFont="1" applyBorder="1" applyAlignment="1" applyProtection="1">
      <alignment horizontal="center" vertical="top"/>
    </xf>
    <xf numFmtId="9" fontId="21" fillId="0" borderId="392" xfId="3" applyFont="1" applyBorder="1" applyAlignment="1" applyProtection="1">
      <alignment horizontal="center" vertical="top"/>
    </xf>
    <xf numFmtId="0" fontId="47" fillId="0" borderId="391" xfId="4" applyFont="1" applyFill="1" applyBorder="1" applyAlignment="1" applyProtection="1">
      <alignment horizontal="center" vertical="center" wrapText="1" readingOrder="1"/>
    </xf>
    <xf numFmtId="0" fontId="47" fillId="0" borderId="392" xfId="4" applyFont="1" applyFill="1" applyBorder="1" applyAlignment="1" applyProtection="1">
      <alignment horizontal="center" vertical="center" wrapText="1" readingOrder="1"/>
    </xf>
    <xf numFmtId="0" fontId="47" fillId="0" borderId="393" xfId="4" applyFont="1" applyFill="1" applyBorder="1" applyAlignment="1" applyProtection="1">
      <alignment horizontal="center" vertical="center" wrapText="1" readingOrder="1"/>
    </xf>
    <xf numFmtId="171" fontId="47" fillId="0" borderId="667" xfId="4" applyNumberFormat="1" applyFont="1" applyFill="1" applyBorder="1" applyAlignment="1" applyProtection="1">
      <alignment horizontal="center" vertical="center" wrapText="1" readingOrder="1"/>
    </xf>
    <xf numFmtId="171" fontId="47" fillId="0" borderId="393" xfId="4" applyNumberFormat="1" applyFont="1" applyFill="1" applyBorder="1" applyAlignment="1" applyProtection="1">
      <alignment horizontal="center" vertical="center" wrapText="1" readingOrder="1"/>
    </xf>
    <xf numFmtId="9" fontId="117" fillId="26" borderId="56" xfId="3" applyFont="1" applyFill="1" applyBorder="1" applyAlignment="1" applyProtection="1">
      <alignment horizontal="center" vertical="center" readingOrder="1"/>
      <protection locked="0"/>
    </xf>
    <xf numFmtId="0" fontId="0" fillId="0" borderId="56" xfId="0" applyFont="1" applyFill="1" applyBorder="1" applyAlignment="1" applyProtection="1">
      <alignment horizontal="center"/>
      <protection locked="0"/>
    </xf>
    <xf numFmtId="0" fontId="0" fillId="0" borderId="57" xfId="0" applyFont="1" applyFill="1" applyBorder="1" applyAlignment="1" applyProtection="1">
      <alignment horizontal="center"/>
      <protection locked="0"/>
    </xf>
    <xf numFmtId="0" fontId="49" fillId="39" borderId="55" xfId="4" applyFont="1" applyFill="1" applyBorder="1" applyAlignment="1" applyProtection="1">
      <alignment horizontal="left" vertical="top" wrapText="1" readingOrder="1"/>
      <protection locked="0"/>
    </xf>
    <xf numFmtId="0" fontId="49" fillId="39" borderId="56" xfId="4" applyFont="1" applyFill="1" applyBorder="1" applyAlignment="1" applyProtection="1">
      <alignment horizontal="left" vertical="top" wrapText="1" readingOrder="1"/>
      <protection locked="0"/>
    </xf>
    <xf numFmtId="9" fontId="117" fillId="26" borderId="56" xfId="3" applyNumberFormat="1" applyFont="1" applyFill="1" applyBorder="1" applyAlignment="1" applyProtection="1">
      <alignment horizontal="center" vertical="center" readingOrder="1"/>
      <protection locked="0"/>
    </xf>
    <xf numFmtId="185" fontId="117" fillId="26" borderId="56" xfId="3" applyNumberFormat="1" applyFont="1" applyFill="1" applyBorder="1" applyAlignment="1" applyProtection="1">
      <alignment horizontal="center" vertical="center"/>
      <protection locked="0"/>
    </xf>
    <xf numFmtId="173" fontId="117" fillId="26" borderId="56" xfId="4" applyNumberFormat="1" applyFont="1" applyFill="1" applyBorder="1" applyAlignment="1" applyProtection="1">
      <alignment horizontal="center" vertical="center" wrapText="1" readingOrder="1"/>
      <protection locked="0"/>
    </xf>
    <xf numFmtId="0" fontId="0" fillId="0" borderId="56" xfId="0" applyFont="1" applyFill="1" applyBorder="1" applyAlignment="1" applyProtection="1">
      <alignment horizontal="left"/>
      <protection locked="0"/>
    </xf>
    <xf numFmtId="0" fontId="0" fillId="0" borderId="57" xfId="0" applyFont="1" applyFill="1" applyBorder="1" applyAlignment="1" applyProtection="1">
      <alignment horizontal="left"/>
      <protection locked="0"/>
    </xf>
    <xf numFmtId="0" fontId="17" fillId="12" borderId="58" xfId="4" applyFont="1" applyFill="1" applyBorder="1" applyAlignment="1" applyProtection="1">
      <alignment horizontal="center" vertical="top" wrapText="1" readingOrder="1"/>
    </xf>
    <xf numFmtId="0" fontId="17" fillId="12" borderId="59" xfId="4" applyFont="1" applyFill="1" applyBorder="1" applyAlignment="1" applyProtection="1">
      <alignment horizontal="center" vertical="top" wrapText="1" readingOrder="1"/>
    </xf>
    <xf numFmtId="0" fontId="17" fillId="12" borderId="60" xfId="4" applyFont="1" applyFill="1" applyBorder="1" applyAlignment="1" applyProtection="1">
      <alignment horizontal="center" vertical="top" wrapText="1" readingOrder="1"/>
    </xf>
    <xf numFmtId="0" fontId="117" fillId="26" borderId="55" xfId="4" applyFont="1" applyFill="1" applyBorder="1" applyAlignment="1" applyProtection="1">
      <alignment horizontal="left" vertical="center" wrapText="1" readingOrder="1"/>
      <protection locked="0"/>
    </xf>
    <xf numFmtId="0" fontId="117" fillId="26" borderId="56" xfId="4" applyFont="1" applyFill="1" applyBorder="1" applyAlignment="1" applyProtection="1">
      <alignment horizontal="left" vertical="center" wrapText="1" readingOrder="1"/>
      <protection locked="0"/>
    </xf>
    <xf numFmtId="173" fontId="17" fillId="0" borderId="56" xfId="4" applyNumberFormat="1" applyFont="1" applyFill="1" applyBorder="1" applyAlignment="1" applyProtection="1">
      <alignment horizontal="center" vertical="center" readingOrder="1"/>
      <protection locked="0"/>
    </xf>
    <xf numFmtId="9" fontId="17" fillId="0" borderId="56" xfId="3" applyFont="1" applyFill="1" applyBorder="1" applyAlignment="1" applyProtection="1">
      <alignment horizontal="center" vertical="center" readingOrder="1"/>
      <protection locked="0"/>
    </xf>
    <xf numFmtId="173" fontId="17" fillId="0" borderId="56" xfId="4" applyNumberFormat="1" applyFont="1" applyFill="1" applyBorder="1" applyAlignment="1" applyProtection="1">
      <alignment horizontal="center" vertical="center" wrapText="1" readingOrder="1"/>
      <protection locked="0"/>
    </xf>
    <xf numFmtId="0" fontId="17" fillId="12" borderId="55" xfId="4" applyFont="1" applyFill="1" applyBorder="1" applyAlignment="1" applyProtection="1">
      <alignment horizontal="center" vertical="top" wrapText="1" readingOrder="1"/>
    </xf>
    <xf numFmtId="0" fontId="17" fillId="12" borderId="56" xfId="4" applyFont="1" applyFill="1" applyBorder="1" applyAlignment="1" applyProtection="1">
      <alignment horizontal="center" vertical="top" wrapText="1" readingOrder="1"/>
    </xf>
    <xf numFmtId="0" fontId="17" fillId="12" borderId="57" xfId="4" applyFont="1" applyFill="1" applyBorder="1" applyAlignment="1" applyProtection="1">
      <alignment horizontal="center" vertical="top" wrapText="1" readingOrder="1"/>
    </xf>
    <xf numFmtId="0" fontId="16" fillId="38" borderId="55" xfId="4" applyFont="1" applyFill="1" applyBorder="1" applyAlignment="1" applyProtection="1">
      <alignment horizontal="left" vertical="center" wrapText="1" readingOrder="1"/>
    </xf>
    <xf numFmtId="0" fontId="16" fillId="38" borderId="56" xfId="4" applyFont="1" applyFill="1" applyBorder="1" applyAlignment="1" applyProtection="1">
      <alignment horizontal="left" vertical="center" wrapText="1" readingOrder="1"/>
    </xf>
    <xf numFmtId="0" fontId="16" fillId="38" borderId="57" xfId="4" applyFont="1" applyFill="1" applyBorder="1" applyAlignment="1" applyProtection="1">
      <alignment horizontal="left" vertical="center" wrapText="1" readingOrder="1"/>
    </xf>
    <xf numFmtId="172" fontId="17" fillId="0" borderId="56" xfId="4" applyNumberFormat="1" applyFont="1" applyFill="1" applyBorder="1" applyAlignment="1" applyProtection="1">
      <alignment horizontal="center" vertical="center" wrapText="1" readingOrder="1"/>
      <protection locked="0"/>
    </xf>
    <xf numFmtId="9" fontId="17" fillId="0" borderId="56" xfId="3" applyFont="1" applyFill="1" applyBorder="1" applyAlignment="1" applyProtection="1">
      <alignment horizontal="center" vertical="center" wrapText="1" readingOrder="1"/>
      <protection locked="0"/>
    </xf>
    <xf numFmtId="9" fontId="17" fillId="0" borderId="56" xfId="4" applyNumberFormat="1" applyFont="1" applyFill="1" applyBorder="1" applyAlignment="1" applyProtection="1">
      <alignment horizontal="center" vertical="center" wrapText="1" readingOrder="1"/>
      <protection locked="0"/>
    </xf>
    <xf numFmtId="0" fontId="24" fillId="12" borderId="55" xfId="4" applyFont="1" applyFill="1" applyBorder="1" applyAlignment="1" applyProtection="1">
      <alignment horizontal="center" vertical="center" wrapText="1"/>
    </xf>
    <xf numFmtId="0" fontId="24" fillId="12" borderId="56" xfId="4" applyFont="1" applyFill="1" applyBorder="1" applyAlignment="1" applyProtection="1">
      <alignment horizontal="center" vertical="center" wrapText="1"/>
    </xf>
    <xf numFmtId="0" fontId="24" fillId="12" borderId="57" xfId="4" applyFont="1" applyFill="1" applyBorder="1" applyAlignment="1" applyProtection="1">
      <alignment horizontal="center" vertical="center" wrapText="1"/>
    </xf>
    <xf numFmtId="0" fontId="49" fillId="0" borderId="357" xfId="4" applyFont="1" applyFill="1" applyBorder="1" applyAlignment="1" applyProtection="1">
      <alignment horizontal="left" vertical="center" wrapText="1"/>
    </xf>
    <xf numFmtId="0" fontId="49" fillId="0" borderId="347" xfId="4" applyFont="1" applyFill="1" applyBorder="1" applyAlignment="1" applyProtection="1">
      <alignment horizontal="left" vertical="center" wrapText="1"/>
    </xf>
    <xf numFmtId="0" fontId="49" fillId="0" borderId="348" xfId="4" applyFont="1" applyFill="1" applyBorder="1" applyAlignment="1" applyProtection="1">
      <alignment horizontal="left" vertical="center" wrapText="1"/>
    </xf>
    <xf numFmtId="9" fontId="71" fillId="26" borderId="59" xfId="3" applyFont="1" applyFill="1" applyBorder="1" applyAlignment="1" applyProtection="1">
      <alignment horizontal="center" vertical="center"/>
    </xf>
    <xf numFmtId="9" fontId="71" fillId="26" borderId="59" xfId="4" applyNumberFormat="1" applyFont="1" applyFill="1" applyBorder="1" applyAlignment="1" applyProtection="1">
      <alignment horizontal="center" vertical="center" wrapText="1"/>
    </xf>
    <xf numFmtId="0" fontId="0" fillId="0" borderId="59" xfId="0" applyFont="1" applyFill="1" applyBorder="1" applyAlignment="1" applyProtection="1">
      <alignment horizontal="center"/>
    </xf>
    <xf numFmtId="0" fontId="0" fillId="0" borderId="60" xfId="0" applyFont="1" applyFill="1" applyBorder="1" applyAlignment="1" applyProtection="1">
      <alignment horizontal="center"/>
    </xf>
    <xf numFmtId="0" fontId="0" fillId="0" borderId="175" xfId="0" applyFont="1" applyFill="1" applyBorder="1" applyAlignment="1" applyProtection="1">
      <alignment horizontal="center" wrapText="1"/>
      <protection locked="0"/>
    </xf>
    <xf numFmtId="0" fontId="0" fillId="0" borderId="68" xfId="0" applyFont="1" applyFill="1" applyBorder="1" applyAlignment="1" applyProtection="1">
      <alignment horizontal="center" wrapText="1"/>
      <protection locked="0"/>
    </xf>
    <xf numFmtId="0" fontId="0" fillId="0" borderId="69" xfId="0" applyFont="1" applyFill="1" applyBorder="1" applyAlignment="1" applyProtection="1">
      <alignment horizontal="center" wrapText="1"/>
      <protection locked="0"/>
    </xf>
    <xf numFmtId="0" fontId="49" fillId="39" borderId="67" xfId="4" applyFont="1" applyFill="1" applyBorder="1" applyAlignment="1" applyProtection="1">
      <alignment horizontal="left" vertical="top" wrapText="1" readingOrder="1"/>
      <protection locked="0"/>
    </xf>
    <xf numFmtId="0" fontId="49" fillId="39" borderId="68" xfId="4" applyFont="1" applyFill="1" applyBorder="1" applyAlignment="1" applyProtection="1">
      <alignment horizontal="left" vertical="top" wrapText="1" readingOrder="1"/>
      <protection locked="0"/>
    </xf>
    <xf numFmtId="0" fontId="49" fillId="39" borderId="390" xfId="4" applyFont="1" applyFill="1" applyBorder="1" applyAlignment="1" applyProtection="1">
      <alignment horizontal="left" vertical="top" wrapText="1" readingOrder="1"/>
      <protection locked="0"/>
    </xf>
    <xf numFmtId="9" fontId="117" fillId="26" borderId="56" xfId="3" applyFont="1" applyFill="1" applyBorder="1" applyAlignment="1" applyProtection="1">
      <alignment horizontal="center" vertical="center"/>
      <protection locked="0"/>
    </xf>
    <xf numFmtId="0" fontId="49" fillId="39" borderId="67" xfId="4" applyFont="1" applyFill="1" applyBorder="1" applyAlignment="1" applyProtection="1">
      <alignment horizontal="left" vertical="center" wrapText="1" readingOrder="1"/>
      <protection locked="0"/>
    </xf>
    <xf numFmtId="0" fontId="49" fillId="39" borderId="68" xfId="4" applyFont="1" applyFill="1" applyBorder="1" applyAlignment="1" applyProtection="1">
      <alignment horizontal="left" vertical="center" wrapText="1" readingOrder="1"/>
      <protection locked="0"/>
    </xf>
    <xf numFmtId="0" fontId="49" fillId="39" borderId="390" xfId="4" applyFont="1" applyFill="1" applyBorder="1" applyAlignment="1" applyProtection="1">
      <alignment horizontal="left" vertical="center" wrapText="1" readingOrder="1"/>
      <protection locked="0"/>
    </xf>
    <xf numFmtId="174" fontId="117" fillId="26" borderId="56" xfId="3" applyNumberFormat="1" applyFont="1" applyFill="1" applyBorder="1" applyAlignment="1" applyProtection="1">
      <alignment horizontal="center" vertical="center" readingOrder="1"/>
      <protection locked="0"/>
    </xf>
    <xf numFmtId="0" fontId="24" fillId="38" borderId="53" xfId="4" applyFont="1" applyFill="1" applyBorder="1" applyAlignment="1" applyProtection="1">
      <alignment horizontal="center" vertical="center" wrapText="1" readingOrder="1"/>
    </xf>
    <xf numFmtId="0" fontId="24" fillId="37" borderId="54" xfId="4" applyFont="1" applyFill="1" applyBorder="1" applyAlignment="1" applyProtection="1">
      <alignment horizontal="center" vertical="center" wrapText="1" readingOrder="1"/>
    </xf>
    <xf numFmtId="0" fontId="49" fillId="39" borderId="55" xfId="4" applyFont="1" applyFill="1" applyBorder="1" applyAlignment="1" applyProtection="1">
      <alignment horizontal="left" vertical="center" wrapText="1"/>
      <protection locked="0"/>
    </xf>
    <xf numFmtId="0" fontId="49" fillId="39" borderId="56" xfId="4" applyFont="1" applyFill="1" applyBorder="1" applyAlignment="1" applyProtection="1">
      <alignment horizontal="left" vertical="center" wrapText="1"/>
      <protection locked="0"/>
    </xf>
    <xf numFmtId="170" fontId="117" fillId="26" borderId="56" xfId="3" applyNumberFormat="1" applyFont="1" applyFill="1" applyBorder="1" applyAlignment="1" applyProtection="1">
      <alignment horizontal="center" vertical="center"/>
      <protection locked="0"/>
    </xf>
    <xf numFmtId="0" fontId="48" fillId="39" borderId="55" xfId="4" applyFont="1" applyFill="1" applyBorder="1" applyAlignment="1" applyProtection="1">
      <alignment horizontal="left" vertical="center" wrapText="1" readingOrder="1"/>
      <protection locked="0"/>
    </xf>
    <xf numFmtId="0" fontId="48" fillId="39" borderId="56" xfId="4" applyFont="1" applyFill="1" applyBorder="1" applyAlignment="1" applyProtection="1">
      <alignment horizontal="left" vertical="center" wrapText="1" readingOrder="1"/>
      <protection locked="0"/>
    </xf>
    <xf numFmtId="171" fontId="19" fillId="26" borderId="56" xfId="4" applyNumberFormat="1" applyFont="1" applyFill="1" applyBorder="1" applyAlignment="1" applyProtection="1">
      <alignment horizontal="center" vertical="center" wrapText="1" readingOrder="1"/>
      <protection locked="0"/>
    </xf>
    <xf numFmtId="171" fontId="22" fillId="0" borderId="175" xfId="0" applyNumberFormat="1" applyFont="1" applyBorder="1" applyAlignment="1" applyProtection="1">
      <alignment horizontal="center" vertical="center"/>
    </xf>
    <xf numFmtId="0" fontId="22" fillId="0" borderId="390" xfId="0" applyFont="1" applyBorder="1" applyAlignment="1" applyProtection="1">
      <alignment horizontal="center" vertical="center"/>
    </xf>
    <xf numFmtId="171" fontId="19" fillId="0" borderId="195" xfId="4" applyNumberFormat="1" applyFont="1" applyFill="1" applyBorder="1" applyAlignment="1" applyProtection="1">
      <alignment horizontal="center" vertical="center" wrapText="1" readingOrder="1"/>
    </xf>
    <xf numFmtId="171" fontId="19" fillId="0" borderId="503" xfId="4" applyNumberFormat="1" applyFont="1" applyFill="1" applyBorder="1" applyAlignment="1" applyProtection="1">
      <alignment horizontal="center" vertical="center" wrapText="1" readingOrder="1"/>
    </xf>
    <xf numFmtId="0" fontId="0" fillId="0" borderId="175" xfId="0" applyFont="1" applyFill="1" applyBorder="1" applyAlignment="1" applyProtection="1">
      <alignment horizontal="left" vertical="center"/>
    </xf>
    <xf numFmtId="0" fontId="0" fillId="0" borderId="68" xfId="0" applyFont="1" applyFill="1" applyBorder="1" applyAlignment="1" applyProtection="1">
      <alignment horizontal="left" vertical="center"/>
    </xf>
    <xf numFmtId="0" fontId="0" fillId="0" borderId="69" xfId="0" applyFont="1" applyFill="1" applyBorder="1" applyAlignment="1" applyProtection="1">
      <alignment horizontal="left" vertical="center"/>
    </xf>
    <xf numFmtId="171" fontId="22" fillId="0" borderId="175" xfId="4" applyNumberFormat="1" applyFont="1" applyFill="1" applyBorder="1" applyAlignment="1" applyProtection="1">
      <alignment horizontal="center" vertical="center" wrapText="1" readingOrder="1"/>
    </xf>
    <xf numFmtId="171" fontId="22" fillId="0" borderId="390" xfId="4" applyNumberFormat="1" applyFont="1" applyFill="1" applyBorder="1" applyAlignment="1" applyProtection="1">
      <alignment horizontal="center" vertical="center" wrapText="1" readingOrder="1"/>
    </xf>
    <xf numFmtId="0" fontId="0" fillId="0" borderId="56" xfId="0" applyFont="1" applyFill="1" applyBorder="1" applyAlignment="1" applyProtection="1">
      <alignment horizontal="center" vertical="center"/>
    </xf>
    <xf numFmtId="0" fontId="0" fillId="0" borderId="57" xfId="0" applyFont="1" applyFill="1" applyBorder="1" applyAlignment="1" applyProtection="1">
      <alignment horizontal="center" vertical="center"/>
    </xf>
    <xf numFmtId="171" fontId="1" fillId="0" borderId="74" xfId="0" applyNumberFormat="1" applyFont="1" applyFill="1" applyBorder="1" applyAlignment="1" applyProtection="1">
      <alignment horizontal="center" vertical="center"/>
    </xf>
    <xf numFmtId="0" fontId="1" fillId="0" borderId="74" xfId="0" applyFont="1" applyFill="1" applyBorder="1" applyAlignment="1" applyProtection="1">
      <alignment horizontal="center" vertical="center"/>
    </xf>
    <xf numFmtId="0" fontId="1" fillId="0" borderId="75" xfId="0" applyFont="1" applyFill="1" applyBorder="1" applyAlignment="1" applyProtection="1">
      <alignment horizontal="center" vertical="center"/>
    </xf>
    <xf numFmtId="172" fontId="117" fillId="26" borderId="56" xfId="4" applyNumberFormat="1" applyFont="1" applyFill="1" applyBorder="1" applyAlignment="1" applyProtection="1">
      <alignment horizontal="center" vertical="center" wrapText="1" readingOrder="1"/>
      <protection locked="0"/>
    </xf>
    <xf numFmtId="0" fontId="0" fillId="0" borderId="175" xfId="0" applyFont="1" applyFill="1" applyBorder="1" applyAlignment="1" applyProtection="1">
      <alignment horizontal="left"/>
      <protection locked="0"/>
    </xf>
    <xf numFmtId="0" fontId="0" fillId="0" borderId="68" xfId="0" applyFont="1" applyFill="1" applyBorder="1" applyAlignment="1" applyProtection="1">
      <alignment horizontal="left"/>
      <protection locked="0"/>
    </xf>
    <xf numFmtId="0" fontId="0" fillId="0" borderId="69" xfId="0" applyFont="1" applyFill="1" applyBorder="1" applyAlignment="1" applyProtection="1">
      <alignment horizontal="left"/>
      <protection locked="0"/>
    </xf>
    <xf numFmtId="0" fontId="0" fillId="0" borderId="0" xfId="4" applyFont="1" applyAlignment="1" applyProtection="1">
      <alignment horizontal="center"/>
    </xf>
    <xf numFmtId="9" fontId="1" fillId="0" borderId="0" xfId="3" applyFont="1" applyAlignment="1" applyProtection="1">
      <alignment horizontal="center" vertical="center"/>
    </xf>
    <xf numFmtId="0" fontId="1" fillId="0" borderId="354" xfId="0" quotePrefix="1" applyFont="1" applyBorder="1" applyAlignment="1" applyProtection="1">
      <alignment horizontal="left" vertical="center"/>
    </xf>
    <xf numFmtId="0" fontId="1" fillId="0" borderId="354" xfId="0" applyFont="1" applyBorder="1" applyAlignment="1" applyProtection="1">
      <alignment horizontal="left" vertical="center"/>
    </xf>
    <xf numFmtId="0" fontId="41" fillId="38" borderId="52" xfId="4" applyFont="1" applyFill="1" applyBorder="1" applyAlignment="1" applyProtection="1">
      <alignment horizontal="center" vertical="center" wrapText="1"/>
    </xf>
    <xf numFmtId="0" fontId="41" fillId="38" borderId="53" xfId="4" applyFont="1" applyFill="1" applyBorder="1" applyAlignment="1" applyProtection="1">
      <alignment horizontal="center" vertical="center" wrapText="1"/>
    </xf>
    <xf numFmtId="173" fontId="17" fillId="0" borderId="56" xfId="4" applyNumberFormat="1" applyFont="1" applyFill="1" applyBorder="1" applyAlignment="1" applyProtection="1">
      <alignment horizontal="center" vertical="center" wrapText="1" readingOrder="1"/>
    </xf>
    <xf numFmtId="171" fontId="192" fillId="0" borderId="56" xfId="4" applyNumberFormat="1" applyFont="1" applyFill="1" applyBorder="1" applyAlignment="1" applyProtection="1">
      <alignment horizontal="center" vertical="center" wrapText="1" readingOrder="1"/>
    </xf>
    <xf numFmtId="0" fontId="0" fillId="0" borderId="56" xfId="0" applyFont="1" applyFill="1" applyBorder="1" applyAlignment="1" applyProtection="1">
      <alignment horizontal="left" vertical="center"/>
      <protection locked="0"/>
    </xf>
    <xf numFmtId="0" fontId="0" fillId="0" borderId="57" xfId="0" applyFont="1" applyFill="1" applyBorder="1" applyAlignment="1" applyProtection="1">
      <alignment horizontal="left" vertical="center"/>
      <protection locked="0"/>
    </xf>
    <xf numFmtId="171" fontId="19" fillId="0" borderId="175" xfId="4" applyNumberFormat="1" applyFont="1" applyFill="1" applyBorder="1" applyAlignment="1" applyProtection="1">
      <alignment horizontal="center" vertical="center" wrapText="1" readingOrder="1"/>
      <protection locked="0"/>
    </xf>
    <xf numFmtId="171" fontId="19" fillId="0" borderId="390" xfId="4" applyNumberFormat="1" applyFont="1" applyFill="1" applyBorder="1" applyAlignment="1" applyProtection="1">
      <alignment horizontal="center" vertical="center" wrapText="1" readingOrder="1"/>
      <protection locked="0"/>
    </xf>
    <xf numFmtId="173" fontId="19" fillId="0" borderId="56" xfId="4" applyNumberFormat="1" applyFont="1" applyFill="1" applyBorder="1" applyAlignment="1" applyProtection="1">
      <alignment horizontal="center" vertical="center" wrapText="1" readingOrder="1"/>
      <protection locked="0"/>
    </xf>
    <xf numFmtId="171" fontId="130" fillId="31" borderId="175" xfId="4" applyNumberFormat="1" applyFont="1" applyFill="1" applyBorder="1" applyAlignment="1" applyProtection="1">
      <alignment horizontal="center" vertical="center" wrapText="1" readingOrder="1"/>
    </xf>
    <xf numFmtId="171" fontId="130" fillId="31" borderId="390" xfId="4" applyNumberFormat="1" applyFont="1" applyFill="1" applyBorder="1" applyAlignment="1" applyProtection="1">
      <alignment horizontal="center" vertical="center" wrapText="1" readingOrder="1"/>
    </xf>
    <xf numFmtId="171" fontId="0" fillId="0" borderId="56" xfId="0" applyNumberFormat="1" applyFont="1" applyFill="1" applyBorder="1" applyAlignment="1" applyProtection="1">
      <alignment horizontal="left" vertical="center"/>
    </xf>
    <xf numFmtId="0" fontId="0" fillId="0" borderId="56" xfId="0" applyFont="1" applyFill="1" applyBorder="1" applyAlignment="1" applyProtection="1">
      <alignment horizontal="left" vertical="center"/>
    </xf>
    <xf numFmtId="0" fontId="0" fillId="0" borderId="57" xfId="0" applyFont="1" applyFill="1" applyBorder="1" applyAlignment="1" applyProtection="1">
      <alignment horizontal="left" vertical="center"/>
    </xf>
    <xf numFmtId="171" fontId="0" fillId="0" borderId="56" xfId="0" applyNumberFormat="1" applyFont="1" applyFill="1" applyBorder="1" applyAlignment="1" applyProtection="1">
      <alignment horizontal="left" vertical="center" wrapText="1"/>
    </xf>
    <xf numFmtId="0" fontId="0" fillId="0" borderId="56" xfId="0" applyFont="1" applyFill="1" applyBorder="1" applyAlignment="1" applyProtection="1">
      <alignment horizontal="left" vertical="center" wrapText="1"/>
    </xf>
    <xf numFmtId="0" fontId="0" fillId="0" borderId="57" xfId="0" applyFont="1" applyFill="1" applyBorder="1" applyAlignment="1" applyProtection="1">
      <alignment horizontal="left" vertical="center" wrapText="1"/>
    </xf>
    <xf numFmtId="171" fontId="19" fillId="31" borderId="175" xfId="4" applyNumberFormat="1" applyFont="1" applyFill="1" applyBorder="1" applyAlignment="1" applyProtection="1">
      <alignment horizontal="center" vertical="center" wrapText="1" readingOrder="1"/>
      <protection locked="0"/>
    </xf>
    <xf numFmtId="171" fontId="19" fillId="31" borderId="390" xfId="4" applyNumberFormat="1" applyFont="1" applyFill="1" applyBorder="1" applyAlignment="1" applyProtection="1">
      <alignment horizontal="center" vertical="center" wrapText="1" readingOrder="1"/>
      <protection locked="0"/>
    </xf>
    <xf numFmtId="187" fontId="19" fillId="31" borderId="56" xfId="4" applyNumberFormat="1" applyFont="1" applyFill="1" applyBorder="1" applyAlignment="1" applyProtection="1">
      <alignment horizontal="center" vertical="center" wrapText="1" readingOrder="1"/>
      <protection locked="0"/>
    </xf>
    <xf numFmtId="171" fontId="130" fillId="0" borderId="175" xfId="4" applyNumberFormat="1" applyFont="1" applyFill="1" applyBorder="1" applyAlignment="1" applyProtection="1">
      <alignment horizontal="center" vertical="center" wrapText="1" readingOrder="1"/>
    </xf>
    <xf numFmtId="171" fontId="130" fillId="0" borderId="390" xfId="4" applyNumberFormat="1" applyFont="1" applyFill="1" applyBorder="1" applyAlignment="1" applyProtection="1">
      <alignment horizontal="center" vertical="center" wrapText="1" readingOrder="1"/>
    </xf>
    <xf numFmtId="0" fontId="0" fillId="0" borderId="175" xfId="0" applyFont="1" applyFill="1" applyBorder="1" applyAlignment="1" applyProtection="1">
      <alignment horizontal="left" vertical="center"/>
      <protection locked="0"/>
    </xf>
    <xf numFmtId="0" fontId="0" fillId="0" borderId="68" xfId="0" applyFont="1" applyFill="1" applyBorder="1" applyAlignment="1" applyProtection="1">
      <alignment horizontal="left" vertical="center"/>
      <protection locked="0"/>
    </xf>
    <xf numFmtId="0" fontId="0" fillId="0" borderId="69" xfId="0" applyFont="1" applyFill="1" applyBorder="1" applyAlignment="1" applyProtection="1">
      <alignment horizontal="left" vertical="center"/>
      <protection locked="0"/>
    </xf>
    <xf numFmtId="0" fontId="0" fillId="28" borderId="67" xfId="0" applyFont="1" applyFill="1" applyBorder="1" applyAlignment="1">
      <alignment horizontal="center" vertical="center"/>
    </xf>
    <xf numFmtId="0" fontId="0" fillId="28" borderId="68" xfId="0" applyFont="1" applyFill="1" applyBorder="1" applyAlignment="1">
      <alignment horizontal="center" vertical="center"/>
    </xf>
    <xf numFmtId="0" fontId="0" fillId="28" borderId="390" xfId="0" applyFont="1" applyFill="1" applyBorder="1" applyAlignment="1">
      <alignment horizontal="center" vertical="center"/>
    </xf>
    <xf numFmtId="0" fontId="142" fillId="39" borderId="55" xfId="4" quotePrefix="1" applyFont="1" applyFill="1" applyBorder="1" applyAlignment="1" applyProtection="1">
      <alignment horizontal="left" vertical="center" wrapText="1" readingOrder="1"/>
      <protection locked="0"/>
    </xf>
    <xf numFmtId="0" fontId="142" fillId="39" borderId="56" xfId="4" applyFont="1" applyFill="1" applyBorder="1" applyAlignment="1" applyProtection="1">
      <alignment horizontal="left" vertical="center" wrapText="1" readingOrder="1"/>
      <protection locked="0"/>
    </xf>
    <xf numFmtId="0" fontId="18" fillId="0" borderId="67" xfId="4" applyFont="1" applyFill="1" applyBorder="1" applyAlignment="1" applyProtection="1">
      <alignment horizontal="right" vertical="center" wrapText="1" readingOrder="1"/>
    </xf>
    <xf numFmtId="0" fontId="18" fillId="0" borderId="68" xfId="4" applyFont="1" applyFill="1" applyBorder="1" applyAlignment="1" applyProtection="1">
      <alignment horizontal="right" vertical="center" wrapText="1" readingOrder="1"/>
    </xf>
    <xf numFmtId="0" fontId="18" fillId="0" borderId="390" xfId="4" applyFont="1" applyFill="1" applyBorder="1" applyAlignment="1" applyProtection="1">
      <alignment horizontal="right" vertical="center" wrapText="1" readingOrder="1"/>
    </xf>
    <xf numFmtId="9" fontId="18" fillId="0" borderId="175" xfId="3" applyFont="1" applyFill="1" applyBorder="1" applyAlignment="1" applyProtection="1">
      <alignment horizontal="center" vertical="center" wrapText="1" readingOrder="1"/>
    </xf>
    <xf numFmtId="9" fontId="18" fillId="0" borderId="390" xfId="3" applyFont="1" applyFill="1" applyBorder="1" applyAlignment="1" applyProtection="1">
      <alignment horizontal="center" vertical="center" wrapText="1" readingOrder="1"/>
    </xf>
    <xf numFmtId="0" fontId="126" fillId="39" borderId="67" xfId="4" applyFont="1" applyFill="1" applyBorder="1" applyAlignment="1" applyProtection="1">
      <alignment horizontal="left" vertical="center" readingOrder="1"/>
      <protection locked="0"/>
    </xf>
    <xf numFmtId="0" fontId="126" fillId="39" borderId="68" xfId="4" applyFont="1" applyFill="1" applyBorder="1" applyAlignment="1" applyProtection="1">
      <alignment horizontal="left" vertical="center" readingOrder="1"/>
      <protection locked="0"/>
    </xf>
    <xf numFmtId="0" fontId="126" fillId="39" borderId="390" xfId="4" applyFont="1" applyFill="1" applyBorder="1" applyAlignment="1" applyProtection="1">
      <alignment horizontal="left" vertical="center" readingOrder="1"/>
      <protection locked="0"/>
    </xf>
    <xf numFmtId="171" fontId="190" fillId="0" borderId="175" xfId="4" applyNumberFormat="1" applyFont="1" applyFill="1" applyBorder="1" applyAlignment="1" applyProtection="1">
      <alignment horizontal="center" vertical="center" wrapText="1" readingOrder="1"/>
      <protection locked="0"/>
    </xf>
    <xf numFmtId="171" fontId="190" fillId="0" borderId="390" xfId="4" applyNumberFormat="1" applyFont="1" applyFill="1" applyBorder="1" applyAlignment="1" applyProtection="1">
      <alignment horizontal="center" vertical="center" wrapText="1" readingOrder="1"/>
      <protection locked="0"/>
    </xf>
    <xf numFmtId="0" fontId="42" fillId="37" borderId="335" xfId="0" applyFont="1" applyFill="1" applyBorder="1" applyAlignment="1" applyProtection="1">
      <alignment horizontal="left" vertical="center"/>
    </xf>
    <xf numFmtId="0" fontId="42" fillId="37" borderId="337" xfId="0" applyFont="1" applyFill="1" applyBorder="1" applyAlignment="1" applyProtection="1">
      <alignment horizontal="left" vertical="center"/>
    </xf>
    <xf numFmtId="0" fontId="113" fillId="37" borderId="335" xfId="0" applyFont="1" applyFill="1" applyBorder="1" applyAlignment="1" applyProtection="1">
      <alignment horizontal="right" vertical="center"/>
    </xf>
    <xf numFmtId="0" fontId="37" fillId="2" borderId="1208" xfId="0" applyFont="1" applyFill="1" applyBorder="1" applyAlignment="1" applyProtection="1">
      <alignment horizontal="center" vertical="center"/>
    </xf>
    <xf numFmtId="0" fontId="0" fillId="0" borderId="0" xfId="0" quotePrefix="1" applyFont="1" applyAlignment="1" applyProtection="1">
      <alignment horizontal="center"/>
    </xf>
    <xf numFmtId="0" fontId="47" fillId="37" borderId="67" xfId="4" applyFont="1" applyFill="1" applyBorder="1" applyAlignment="1" applyProtection="1">
      <alignment horizontal="left" vertical="center" wrapText="1" readingOrder="1"/>
    </xf>
    <xf numFmtId="0" fontId="47" fillId="37" borderId="68" xfId="4" applyFont="1" applyFill="1" applyBorder="1" applyAlignment="1" applyProtection="1">
      <alignment horizontal="left" vertical="center" wrapText="1" readingOrder="1"/>
    </xf>
    <xf numFmtId="0" fontId="45" fillId="0" borderId="102" xfId="4" applyFont="1" applyFill="1" applyBorder="1" applyAlignment="1" applyProtection="1">
      <alignment horizontal="center" vertical="top" wrapText="1" readingOrder="1"/>
    </xf>
    <xf numFmtId="0" fontId="45" fillId="0" borderId="103" xfId="4" applyFont="1" applyFill="1" applyBorder="1" applyAlignment="1" applyProtection="1">
      <alignment horizontal="center" vertical="top" wrapText="1" readingOrder="1"/>
    </xf>
    <xf numFmtId="0" fontId="180" fillId="0" borderId="67" xfId="4" applyFont="1" applyFill="1" applyBorder="1" applyAlignment="1" applyProtection="1">
      <alignment horizontal="right" vertical="top" wrapText="1" readingOrder="1"/>
    </xf>
    <xf numFmtId="0" fontId="180" fillId="0" borderId="68" xfId="4" applyFont="1" applyFill="1" applyBorder="1" applyAlignment="1" applyProtection="1">
      <alignment horizontal="right" vertical="top" wrapText="1" readingOrder="1"/>
    </xf>
    <xf numFmtId="0" fontId="118" fillId="75" borderId="52" xfId="4" applyFont="1" applyFill="1" applyBorder="1" applyAlignment="1" applyProtection="1">
      <alignment horizontal="center" vertical="center" wrapText="1"/>
    </xf>
    <xf numFmtId="0" fontId="118" fillId="75" borderId="53" xfId="4" applyFont="1" applyFill="1" applyBorder="1" applyAlignment="1" applyProtection="1">
      <alignment horizontal="center" vertical="center" wrapText="1"/>
    </xf>
    <xf numFmtId="171" fontId="171" fillId="0" borderId="175" xfId="4" applyNumberFormat="1" applyFont="1" applyFill="1" applyBorder="1" applyAlignment="1" applyProtection="1">
      <alignment horizontal="center" vertical="center" wrapText="1" readingOrder="1"/>
    </xf>
    <xf numFmtId="171" fontId="171" fillId="0" borderId="390" xfId="4" applyNumberFormat="1" applyFont="1" applyFill="1" applyBorder="1" applyAlignment="1" applyProtection="1">
      <alignment horizontal="center" vertical="center" wrapText="1" readingOrder="1"/>
    </xf>
    <xf numFmtId="164" fontId="143" fillId="0" borderId="173" xfId="4" applyNumberFormat="1" applyFont="1" applyFill="1" applyBorder="1" applyAlignment="1" applyProtection="1">
      <alignment horizontal="center" vertical="center" wrapText="1" readingOrder="1"/>
    </xf>
    <xf numFmtId="164" fontId="191" fillId="0" borderId="56" xfId="4" applyNumberFormat="1" applyFont="1" applyFill="1" applyBorder="1" applyAlignment="1" applyProtection="1">
      <alignment horizontal="center" vertical="center" wrapText="1" readingOrder="1"/>
    </xf>
    <xf numFmtId="0" fontId="48" fillId="0" borderId="67" xfId="4" applyFont="1" applyFill="1" applyBorder="1" applyAlignment="1" applyProtection="1">
      <alignment horizontal="center" vertical="center" readingOrder="1"/>
      <protection locked="0"/>
    </xf>
    <xf numFmtId="0" fontId="48" fillId="0" borderId="68" xfId="4" applyFont="1" applyFill="1" applyBorder="1" applyAlignment="1" applyProtection="1">
      <alignment horizontal="center" vertical="center" readingOrder="1"/>
      <protection locked="0"/>
    </xf>
    <xf numFmtId="0" fontId="48" fillId="0" borderId="390" xfId="4" applyFont="1" applyFill="1" applyBorder="1" applyAlignment="1" applyProtection="1">
      <alignment horizontal="center" vertical="center" readingOrder="1"/>
      <protection locked="0"/>
    </xf>
    <xf numFmtId="0" fontId="18" fillId="0" borderId="55" xfId="4" applyFont="1" applyFill="1" applyBorder="1" applyAlignment="1" applyProtection="1">
      <alignment horizontal="center" vertical="center" wrapText="1" readingOrder="1"/>
    </xf>
    <xf numFmtId="0" fontId="18" fillId="0" borderId="56" xfId="4" applyFont="1" applyFill="1" applyBorder="1" applyAlignment="1" applyProtection="1">
      <alignment horizontal="center" vertical="center" wrapText="1" readingOrder="1"/>
    </xf>
    <xf numFmtId="0" fontId="18" fillId="0" borderId="57" xfId="4" applyFont="1" applyFill="1" applyBorder="1" applyAlignment="1" applyProtection="1">
      <alignment horizontal="center" vertical="center" wrapText="1" readingOrder="1"/>
    </xf>
    <xf numFmtId="0" fontId="142" fillId="0" borderId="55" xfId="4" quotePrefix="1" applyFont="1" applyFill="1" applyBorder="1" applyAlignment="1" applyProtection="1">
      <alignment horizontal="left" vertical="center" wrapText="1" readingOrder="1"/>
      <protection locked="0"/>
    </xf>
    <xf numFmtId="0" fontId="142" fillId="0" borderId="56" xfId="4" applyFont="1" applyFill="1" applyBorder="1" applyAlignment="1" applyProtection="1">
      <alignment horizontal="left" vertical="center" wrapText="1" readingOrder="1"/>
      <protection locked="0"/>
    </xf>
    <xf numFmtId="171" fontId="50" fillId="0" borderId="175" xfId="4" applyNumberFormat="1" applyFont="1" applyFill="1" applyBorder="1" applyAlignment="1" applyProtection="1">
      <alignment horizontal="center" vertical="center" wrapText="1" readingOrder="1"/>
      <protection locked="0"/>
    </xf>
    <xf numFmtId="171" fontId="50" fillId="0" borderId="390" xfId="4" applyNumberFormat="1" applyFont="1" applyFill="1" applyBorder="1" applyAlignment="1" applyProtection="1">
      <alignment horizontal="center" vertical="center" wrapText="1" readingOrder="1"/>
      <protection locked="0"/>
    </xf>
    <xf numFmtId="0" fontId="0" fillId="0" borderId="56" xfId="0" applyFont="1" applyFill="1" applyBorder="1" applyAlignment="1" applyProtection="1">
      <alignment horizontal="center" vertical="center"/>
      <protection locked="0"/>
    </xf>
    <xf numFmtId="0" fontId="0" fillId="0" borderId="57" xfId="0" applyFont="1" applyFill="1" applyBorder="1" applyAlignment="1" applyProtection="1">
      <alignment horizontal="center" vertical="center"/>
      <protection locked="0"/>
    </xf>
    <xf numFmtId="171" fontId="127" fillId="0" borderId="56" xfId="4" applyNumberFormat="1" applyFont="1" applyFill="1" applyBorder="1" applyAlignment="1" applyProtection="1">
      <alignment horizontal="center" vertical="center" wrapText="1" readingOrder="1"/>
    </xf>
    <xf numFmtId="0" fontId="24" fillId="0" borderId="264" xfId="2" applyFont="1" applyFill="1" applyBorder="1" applyAlignment="1" applyProtection="1">
      <alignment horizontal="left" vertical="center"/>
    </xf>
    <xf numFmtId="0" fontId="24" fillId="0" borderId="265" xfId="2" applyFont="1" applyFill="1" applyBorder="1" applyAlignment="1" applyProtection="1">
      <alignment horizontal="left" vertical="center"/>
    </xf>
    <xf numFmtId="0" fontId="1" fillId="8" borderId="334" xfId="0" applyFont="1" applyFill="1" applyBorder="1" applyAlignment="1" applyProtection="1">
      <alignment horizontal="center"/>
    </xf>
    <xf numFmtId="0" fontId="1" fillId="8" borderId="335" xfId="0" applyFont="1" applyFill="1" applyBorder="1" applyAlignment="1" applyProtection="1">
      <alignment horizontal="center"/>
    </xf>
    <xf numFmtId="0" fontId="1" fillId="8" borderId="337" xfId="0" applyFont="1" applyFill="1" applyBorder="1" applyAlignment="1" applyProtection="1">
      <alignment horizontal="center"/>
    </xf>
    <xf numFmtId="0" fontId="40" fillId="29" borderId="261" xfId="0" applyFont="1" applyFill="1" applyBorder="1" applyAlignment="1" applyProtection="1">
      <alignment horizontal="left" vertical="center"/>
    </xf>
    <xf numFmtId="0" fontId="40" fillId="29" borderId="262" xfId="0" applyFont="1" applyFill="1" applyBorder="1" applyAlignment="1" applyProtection="1">
      <alignment horizontal="left" vertical="center"/>
    </xf>
    <xf numFmtId="0" fontId="40" fillId="29" borderId="263" xfId="0" applyFont="1" applyFill="1" applyBorder="1" applyAlignment="1" applyProtection="1">
      <alignment horizontal="left" vertical="center"/>
    </xf>
    <xf numFmtId="0" fontId="0" fillId="0" borderId="274" xfId="0" applyFont="1" applyBorder="1" applyAlignment="1" applyProtection="1">
      <alignment horizontal="center" vertical="center"/>
    </xf>
    <xf numFmtId="0" fontId="0" fillId="0" borderId="275" xfId="0" applyFont="1" applyBorder="1" applyAlignment="1" applyProtection="1">
      <alignment horizontal="center" vertical="center"/>
    </xf>
    <xf numFmtId="9" fontId="0" fillId="26" borderId="274" xfId="3" applyFont="1" applyFill="1" applyBorder="1" applyAlignment="1" applyProtection="1">
      <alignment horizontal="center"/>
      <protection locked="0"/>
    </xf>
    <xf numFmtId="9" fontId="0" fillId="26" borderId="275" xfId="3" applyFont="1" applyFill="1" applyBorder="1" applyAlignment="1" applyProtection="1">
      <alignment horizontal="center"/>
      <protection locked="0"/>
    </xf>
    <xf numFmtId="0" fontId="1" fillId="0" borderId="274" xfId="0" applyFont="1" applyBorder="1" applyAlignment="1" applyProtection="1">
      <alignment horizontal="center"/>
    </xf>
    <xf numFmtId="0" fontId="1" fillId="39" borderId="264" xfId="0" applyFont="1" applyFill="1" applyBorder="1" applyAlignment="1" applyProtection="1">
      <alignment horizontal="left" vertical="top" wrapText="1"/>
      <protection locked="0"/>
    </xf>
    <xf numFmtId="0" fontId="1" fillId="39" borderId="265" xfId="0" applyFont="1" applyFill="1" applyBorder="1" applyAlignment="1" applyProtection="1">
      <alignment horizontal="left" vertical="top" wrapText="1"/>
      <protection locked="0"/>
    </xf>
    <xf numFmtId="0" fontId="1" fillId="39" borderId="266" xfId="0" applyFont="1" applyFill="1" applyBorder="1" applyAlignment="1" applyProtection="1">
      <alignment horizontal="left" vertical="top" wrapText="1"/>
      <protection locked="0"/>
    </xf>
    <xf numFmtId="0" fontId="1" fillId="39" borderId="267" xfId="0" applyFont="1" applyFill="1" applyBorder="1" applyAlignment="1" applyProtection="1">
      <alignment horizontal="left" vertical="top" wrapText="1"/>
      <protection locked="0"/>
    </xf>
    <xf numFmtId="0" fontId="1" fillId="39" borderId="268" xfId="0" applyFont="1" applyFill="1" applyBorder="1" applyAlignment="1" applyProtection="1">
      <alignment horizontal="left" vertical="top" wrapText="1"/>
      <protection locked="0"/>
    </xf>
    <xf numFmtId="0" fontId="1" fillId="39" borderId="269" xfId="0" applyFont="1" applyFill="1" applyBorder="1" applyAlignment="1" applyProtection="1">
      <alignment horizontal="left" vertical="top" wrapText="1"/>
      <protection locked="0"/>
    </xf>
    <xf numFmtId="0" fontId="2" fillId="29" borderId="262" xfId="0" applyFont="1" applyFill="1" applyBorder="1" applyAlignment="1" applyProtection="1">
      <alignment horizontal="left" vertical="center"/>
    </xf>
    <xf numFmtId="0" fontId="2" fillId="29" borderId="263" xfId="0" applyFont="1" applyFill="1" applyBorder="1" applyAlignment="1" applyProtection="1">
      <alignment horizontal="left" vertical="center"/>
    </xf>
    <xf numFmtId="0" fontId="0" fillId="39" borderId="265" xfId="0" applyFont="1" applyFill="1" applyBorder="1" applyAlignment="1" applyProtection="1">
      <alignment horizontal="left" vertical="top" wrapText="1"/>
      <protection locked="0"/>
    </xf>
    <xf numFmtId="0" fontId="0" fillId="39" borderId="266" xfId="0" applyFont="1" applyFill="1" applyBorder="1" applyAlignment="1" applyProtection="1">
      <alignment horizontal="left" vertical="top" wrapText="1"/>
      <protection locked="0"/>
    </xf>
    <xf numFmtId="0" fontId="0" fillId="39" borderId="264" xfId="0" applyFont="1" applyFill="1" applyBorder="1" applyAlignment="1" applyProtection="1">
      <alignment horizontal="left" vertical="top" wrapText="1"/>
      <protection locked="0"/>
    </xf>
    <xf numFmtId="0" fontId="0" fillId="39" borderId="267" xfId="0" applyFont="1" applyFill="1" applyBorder="1" applyAlignment="1" applyProtection="1">
      <alignment horizontal="left" vertical="top" wrapText="1"/>
      <protection locked="0"/>
    </xf>
    <xf numFmtId="0" fontId="0" fillId="39" borderId="268" xfId="0" applyFont="1" applyFill="1" applyBorder="1" applyAlignment="1" applyProtection="1">
      <alignment horizontal="left" vertical="top" wrapText="1"/>
      <protection locked="0"/>
    </xf>
    <xf numFmtId="0" fontId="0" fillId="39" borderId="269" xfId="0" applyFont="1" applyFill="1" applyBorder="1" applyAlignment="1" applyProtection="1">
      <alignment horizontal="left" vertical="top" wrapText="1"/>
      <protection locked="0"/>
    </xf>
    <xf numFmtId="0" fontId="69" fillId="8" borderId="343" xfId="0" applyFont="1" applyFill="1" applyBorder="1" applyAlignment="1" applyProtection="1">
      <alignment horizontal="center" vertical="center" wrapText="1"/>
      <protection locked="0"/>
    </xf>
    <xf numFmtId="0" fontId="69" fillId="8" borderId="342" xfId="0" applyFont="1" applyFill="1" applyBorder="1" applyAlignment="1" applyProtection="1">
      <alignment horizontal="center" vertical="center" wrapText="1"/>
      <protection locked="0"/>
    </xf>
    <xf numFmtId="0" fontId="69" fillId="8" borderId="341" xfId="0" applyFont="1" applyFill="1" applyBorder="1" applyAlignment="1" applyProtection="1">
      <alignment horizontal="center" vertical="center" wrapText="1"/>
      <protection locked="0"/>
    </xf>
    <xf numFmtId="0" fontId="69" fillId="8" borderId="168" xfId="0"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wrapText="1"/>
      <protection locked="0"/>
    </xf>
    <xf numFmtId="0" fontId="69" fillId="8" borderId="339" xfId="0" applyFont="1" applyFill="1" applyBorder="1" applyAlignment="1" applyProtection="1">
      <alignment horizontal="center" vertical="center" wrapText="1"/>
      <protection locked="0"/>
    </xf>
    <xf numFmtId="0" fontId="69" fillId="8" borderId="442" xfId="0" applyFont="1" applyFill="1" applyBorder="1" applyAlignment="1" applyProtection="1">
      <alignment horizontal="center" vertical="center" wrapText="1"/>
      <protection locked="0"/>
    </xf>
    <xf numFmtId="0" fontId="69" fillId="8" borderId="443" xfId="0" applyFont="1" applyFill="1" applyBorder="1" applyAlignment="1" applyProtection="1">
      <alignment horizontal="center" vertical="center" wrapText="1"/>
      <protection locked="0"/>
    </xf>
    <xf numFmtId="0" fontId="69" fillId="8" borderId="444" xfId="0" applyFont="1" applyFill="1" applyBorder="1" applyAlignment="1" applyProtection="1">
      <alignment horizontal="center" vertical="center" wrapText="1"/>
      <protection locked="0"/>
    </xf>
    <xf numFmtId="0" fontId="41" fillId="21" borderId="369" xfId="0" applyFont="1" applyFill="1" applyBorder="1" applyAlignment="1" applyProtection="1">
      <alignment horizontal="center"/>
    </xf>
    <xf numFmtId="0" fontId="41" fillId="21" borderId="370" xfId="0" applyFont="1" applyFill="1" applyBorder="1" applyAlignment="1" applyProtection="1">
      <alignment horizontal="center"/>
    </xf>
    <xf numFmtId="0" fontId="0" fillId="0" borderId="273" xfId="0" applyFont="1" applyBorder="1" applyAlignment="1" applyProtection="1">
      <alignment horizontal="center" vertical="center"/>
    </xf>
    <xf numFmtId="0" fontId="0" fillId="26" borderId="274" xfId="0" applyFont="1" applyFill="1" applyBorder="1" applyAlignment="1" applyProtection="1">
      <alignment horizontal="center"/>
      <protection locked="0"/>
    </xf>
    <xf numFmtId="0" fontId="0" fillId="26" borderId="275" xfId="0" applyFont="1" applyFill="1" applyBorder="1" applyAlignment="1" applyProtection="1">
      <alignment horizontal="center"/>
      <protection locked="0"/>
    </xf>
    <xf numFmtId="0" fontId="0" fillId="26" borderId="277" xfId="0" applyFont="1" applyFill="1" applyBorder="1" applyAlignment="1" applyProtection="1">
      <alignment horizontal="center"/>
    </xf>
    <xf numFmtId="0" fontId="0" fillId="26" borderId="278" xfId="0" applyFont="1" applyFill="1" applyBorder="1" applyAlignment="1" applyProtection="1">
      <alignment horizontal="center"/>
    </xf>
    <xf numFmtId="0" fontId="1" fillId="0" borderId="277" xfId="0" applyFont="1" applyBorder="1" applyAlignment="1" applyProtection="1">
      <alignment horizontal="center"/>
    </xf>
    <xf numFmtId="0" fontId="41" fillId="29" borderId="335" xfId="0" applyFont="1" applyFill="1" applyBorder="1" applyAlignment="1" applyProtection="1">
      <alignment horizontal="left" vertical="center"/>
    </xf>
    <xf numFmtId="0" fontId="41" fillId="29" borderId="337" xfId="0" applyFont="1" applyFill="1" applyBorder="1" applyAlignment="1" applyProtection="1">
      <alignment horizontal="left" vertical="center"/>
    </xf>
    <xf numFmtId="0" fontId="39" fillId="29" borderId="335" xfId="0" applyFont="1" applyFill="1" applyBorder="1" applyAlignment="1" applyProtection="1">
      <alignment horizontal="right" vertical="center"/>
    </xf>
    <xf numFmtId="0" fontId="60" fillId="0" borderId="267" xfId="2" applyFont="1" applyFill="1" applyBorder="1" applyAlignment="1" applyProtection="1">
      <alignment horizontal="center" vertical="center"/>
    </xf>
    <xf numFmtId="0" fontId="60" fillId="0" borderId="268" xfId="2" applyFont="1" applyFill="1" applyBorder="1" applyAlignment="1" applyProtection="1">
      <alignment horizontal="center" vertical="center"/>
    </xf>
    <xf numFmtId="0" fontId="60" fillId="0" borderId="269" xfId="2" applyFont="1" applyFill="1" applyBorder="1" applyAlignment="1" applyProtection="1">
      <alignment horizontal="center" vertical="center"/>
    </xf>
    <xf numFmtId="0" fontId="0" fillId="0" borderId="0" xfId="0" applyFont="1" applyAlignment="1" applyProtection="1">
      <alignment horizontal="center"/>
    </xf>
    <xf numFmtId="0" fontId="41" fillId="29" borderId="489" xfId="2" applyFont="1" applyFill="1" applyBorder="1" applyAlignment="1" applyProtection="1">
      <alignment horizontal="center" vertical="center"/>
    </xf>
    <xf numFmtId="0" fontId="41" fillId="29" borderId="490" xfId="2" applyFont="1" applyFill="1" applyBorder="1" applyAlignment="1" applyProtection="1">
      <alignment horizontal="center" vertical="center"/>
    </xf>
    <xf numFmtId="9" fontId="24" fillId="67" borderId="560" xfId="14" applyFont="1" applyFill="1" applyBorder="1" applyAlignment="1" applyProtection="1">
      <alignment horizontal="left" vertical="center" wrapText="1"/>
      <protection locked="0"/>
    </xf>
    <xf numFmtId="9" fontId="24" fillId="67" borderId="553" xfId="14" applyFont="1" applyFill="1" applyBorder="1" applyAlignment="1" applyProtection="1">
      <alignment horizontal="left" vertical="center" wrapText="1"/>
      <protection locked="0"/>
    </xf>
    <xf numFmtId="0" fontId="41" fillId="29" borderId="489" xfId="2" applyFont="1" applyFill="1" applyBorder="1" applyAlignment="1" applyProtection="1">
      <alignment horizontal="center" vertical="center" wrapText="1"/>
    </xf>
    <xf numFmtId="0" fontId="41" fillId="29" borderId="488" xfId="2" applyFont="1" applyFill="1" applyBorder="1" applyAlignment="1" applyProtection="1">
      <alignment horizontal="center" vertical="center"/>
    </xf>
    <xf numFmtId="0" fontId="60" fillId="40" borderId="491" xfId="2" applyFont="1" applyFill="1" applyBorder="1" applyAlignment="1" applyProtection="1">
      <alignment horizontal="center" vertical="center" wrapText="1"/>
    </xf>
    <xf numFmtId="0" fontId="60" fillId="40" borderId="492" xfId="2" applyFont="1" applyFill="1" applyBorder="1" applyAlignment="1" applyProtection="1">
      <alignment horizontal="center" vertical="center" wrapText="1"/>
    </xf>
    <xf numFmtId="0" fontId="123" fillId="40" borderId="208" xfId="0" quotePrefix="1" applyFont="1" applyFill="1" applyBorder="1" applyAlignment="1" applyProtection="1">
      <alignment horizontal="center" vertical="center"/>
    </xf>
    <xf numFmtId="0" fontId="123" fillId="40" borderId="133" xfId="0" quotePrefix="1" applyFont="1" applyFill="1" applyBorder="1" applyAlignment="1" applyProtection="1">
      <alignment horizontal="center" vertical="center"/>
    </xf>
    <xf numFmtId="0" fontId="123" fillId="40" borderId="112" xfId="0" quotePrefix="1" applyFont="1" applyFill="1" applyBorder="1" applyAlignment="1" applyProtection="1">
      <alignment horizontal="center" vertical="center"/>
    </xf>
    <xf numFmtId="0" fontId="123" fillId="40" borderId="129" xfId="0" quotePrefix="1" applyFont="1" applyFill="1" applyBorder="1" applyAlignment="1" applyProtection="1">
      <alignment horizontal="center" vertical="center"/>
    </xf>
    <xf numFmtId="0" fontId="123" fillId="40" borderId="783" xfId="0" quotePrefix="1" applyFont="1" applyFill="1" applyBorder="1" applyAlignment="1" applyProtection="1">
      <alignment horizontal="center" vertical="center" wrapText="1"/>
    </xf>
    <xf numFmtId="0" fontId="123" fillId="40" borderId="784" xfId="0" quotePrefix="1" applyFont="1" applyFill="1" applyBorder="1" applyAlignment="1" applyProtection="1">
      <alignment horizontal="center" vertical="center" wrapText="1"/>
    </xf>
    <xf numFmtId="0" fontId="21" fillId="40" borderId="725" xfId="0" quotePrefix="1" applyFont="1" applyFill="1" applyBorder="1" applyAlignment="1" applyProtection="1">
      <alignment horizontal="center" vertical="center" wrapText="1"/>
    </xf>
    <xf numFmtId="0" fontId="21" fillId="40" borderId="726" xfId="0" quotePrefix="1" applyFont="1" applyFill="1" applyBorder="1" applyAlignment="1" applyProtection="1">
      <alignment horizontal="center" vertical="center" wrapText="1"/>
    </xf>
    <xf numFmtId="0" fontId="153" fillId="7" borderId="0" xfId="0" applyFont="1" applyFill="1" applyBorder="1" applyAlignment="1" applyProtection="1">
      <alignment horizontal="center" vertical="center"/>
    </xf>
    <xf numFmtId="0" fontId="26" fillId="0" borderId="398" xfId="0" quotePrefix="1" applyFont="1" applyBorder="1" applyAlignment="1" applyProtection="1">
      <alignment horizontal="left" vertical="top" wrapText="1"/>
    </xf>
    <xf numFmtId="0" fontId="26" fillId="0" borderId="134" xfId="0" quotePrefix="1" applyFont="1" applyBorder="1" applyAlignment="1" applyProtection="1">
      <alignment horizontal="left" vertical="top" wrapText="1"/>
    </xf>
    <xf numFmtId="0" fontId="26" fillId="0" borderId="399" xfId="0" quotePrefix="1" applyFont="1" applyBorder="1" applyAlignment="1" applyProtection="1">
      <alignment horizontal="left" vertical="top" wrapText="1"/>
    </xf>
    <xf numFmtId="0" fontId="26" fillId="0" borderId="400" xfId="0" quotePrefix="1" applyFont="1" applyBorder="1" applyAlignment="1" applyProtection="1">
      <alignment horizontal="left" vertical="center"/>
    </xf>
    <xf numFmtId="0" fontId="26" fillId="0" borderId="132" xfId="0" quotePrefix="1" applyFont="1" applyBorder="1" applyAlignment="1" applyProtection="1">
      <alignment horizontal="left" vertical="center"/>
    </xf>
    <xf numFmtId="0" fontId="26" fillId="0" borderId="1536" xfId="0" quotePrefix="1" applyFont="1" applyBorder="1" applyAlignment="1" applyProtection="1">
      <alignment horizontal="left" vertical="center"/>
    </xf>
    <xf numFmtId="0" fontId="26" fillId="0" borderId="470" xfId="0" quotePrefix="1" applyFont="1" applyFill="1" applyBorder="1" applyAlignment="1" applyProtection="1">
      <alignment horizontal="center" vertical="center"/>
    </xf>
    <xf numFmtId="0" fontId="26" fillId="0" borderId="404" xfId="0" quotePrefix="1" applyFont="1" applyFill="1" applyBorder="1" applyAlignment="1" applyProtection="1">
      <alignment horizontal="center" vertical="center"/>
    </xf>
    <xf numFmtId="0" fontId="26" fillId="0" borderId="469" xfId="0" quotePrefix="1" applyFont="1" applyFill="1" applyBorder="1" applyAlignment="1" applyProtection="1">
      <alignment horizontal="center" vertical="center"/>
    </xf>
    <xf numFmtId="0" fontId="7" fillId="28" borderId="126" xfId="0" quotePrefix="1" applyFont="1" applyFill="1" applyBorder="1" applyAlignment="1" applyProtection="1">
      <alignment horizontal="center" vertical="center" wrapText="1"/>
    </xf>
    <xf numFmtId="0" fontId="7" fillId="28" borderId="471" xfId="0" quotePrefix="1" applyFont="1" applyFill="1" applyBorder="1" applyAlignment="1" applyProtection="1">
      <alignment horizontal="center" vertical="center" wrapText="1"/>
    </xf>
    <xf numFmtId="0" fontId="39" fillId="28" borderId="126" xfId="0" applyFont="1" applyFill="1" applyBorder="1" applyAlignment="1" applyProtection="1">
      <alignment horizontal="center" vertical="center" wrapText="1"/>
    </xf>
    <xf numFmtId="0" fontId="39" fillId="28" borderId="127" xfId="0" applyFont="1" applyFill="1" applyBorder="1" applyAlignment="1" applyProtection="1">
      <alignment horizontal="center" vertical="center" wrapText="1"/>
    </xf>
    <xf numFmtId="0" fontId="39" fillId="28" borderId="128" xfId="0" applyFont="1" applyFill="1" applyBorder="1" applyAlignment="1" applyProtection="1">
      <alignment horizontal="center" vertical="center" wrapText="1"/>
    </xf>
    <xf numFmtId="0" fontId="123" fillId="40" borderId="1468" xfId="0" quotePrefix="1" applyFont="1" applyFill="1" applyBorder="1" applyAlignment="1" applyProtection="1">
      <alignment horizontal="left" vertical="center"/>
    </xf>
    <xf numFmtId="0" fontId="123" fillId="40" borderId="1474" xfId="0" quotePrefix="1" applyFont="1" applyFill="1" applyBorder="1" applyAlignment="1" applyProtection="1">
      <alignment horizontal="left" vertical="center"/>
    </xf>
    <xf numFmtId="0" fontId="123" fillId="40" borderId="1471" xfId="0" quotePrefix="1" applyFont="1" applyFill="1" applyBorder="1" applyAlignment="1" applyProtection="1">
      <alignment horizontal="left" vertical="center" wrapText="1"/>
    </xf>
    <xf numFmtId="0" fontId="123" fillId="40" borderId="1475" xfId="0" quotePrefix="1" applyFont="1" applyFill="1" applyBorder="1" applyAlignment="1" applyProtection="1">
      <alignment horizontal="left" vertical="center" wrapText="1"/>
    </xf>
    <xf numFmtId="0" fontId="26" fillId="40" borderId="1480" xfId="0" quotePrefix="1" applyFont="1" applyFill="1" applyBorder="1" applyAlignment="1" applyProtection="1">
      <alignment horizontal="left" vertical="center" wrapText="1"/>
    </xf>
    <xf numFmtId="0" fontId="26" fillId="40" borderId="1481" xfId="0" quotePrefix="1" applyFont="1" applyFill="1" applyBorder="1" applyAlignment="1" applyProtection="1">
      <alignment horizontal="left" vertical="center" wrapText="1"/>
    </xf>
    <xf numFmtId="0" fontId="21" fillId="0" borderId="1486" xfId="0" quotePrefix="1" applyFont="1" applyBorder="1" applyAlignment="1" applyProtection="1">
      <alignment horizontal="left" vertical="center" wrapText="1"/>
    </xf>
    <xf numFmtId="0" fontId="21" fillId="0" borderId="1487" xfId="0" quotePrefix="1" applyFont="1" applyBorder="1" applyAlignment="1" applyProtection="1">
      <alignment horizontal="left" vertical="center" wrapText="1"/>
    </xf>
    <xf numFmtId="0" fontId="43" fillId="7" borderId="0" xfId="0" applyFont="1" applyFill="1" applyBorder="1" applyAlignment="1" applyProtection="1">
      <alignment horizontal="center" vertical="center"/>
    </xf>
    <xf numFmtId="0" fontId="7" fillId="3" borderId="126" xfId="0" quotePrefix="1" applyFont="1" applyFill="1" applyBorder="1" applyAlignment="1" applyProtection="1">
      <alignment horizontal="center" vertical="center" wrapText="1"/>
    </xf>
    <xf numFmtId="0" fontId="7" fillId="3" borderId="471" xfId="0" quotePrefix="1" applyFont="1" applyFill="1" applyBorder="1" applyAlignment="1" applyProtection="1">
      <alignment horizontal="center" vertical="center" wrapText="1"/>
    </xf>
    <xf numFmtId="0" fontId="123" fillId="40" borderId="208" xfId="0" quotePrefix="1" applyFont="1" applyFill="1" applyBorder="1" applyAlignment="1" applyProtection="1">
      <alignment horizontal="left" vertical="center"/>
    </xf>
    <xf numFmtId="0" fontId="123" fillId="40" borderId="209" xfId="0" quotePrefix="1" applyFont="1" applyFill="1" applyBorder="1" applyAlignment="1" applyProtection="1">
      <alignment horizontal="left" vertical="center"/>
    </xf>
    <xf numFmtId="0" fontId="39" fillId="27" borderId="126" xfId="0" applyFont="1" applyFill="1" applyBorder="1" applyAlignment="1" applyProtection="1">
      <alignment horizontal="center" vertical="center" wrapText="1"/>
    </xf>
    <xf numFmtId="0" fontId="39" fillId="27" borderId="127" xfId="0" applyFont="1" applyFill="1" applyBorder="1" applyAlignment="1" applyProtection="1">
      <alignment horizontal="center" vertical="center" wrapText="1"/>
    </xf>
    <xf numFmtId="0" fontId="39" fillId="25" borderId="126" xfId="0" applyFont="1" applyFill="1" applyBorder="1" applyAlignment="1" applyProtection="1">
      <alignment horizontal="center" vertical="center" wrapText="1"/>
    </xf>
    <xf numFmtId="0" fontId="39" fillId="25" borderId="127" xfId="0" applyFont="1" applyFill="1" applyBorder="1" applyAlignment="1" applyProtection="1">
      <alignment horizontal="center" vertical="center" wrapText="1"/>
    </xf>
    <xf numFmtId="0" fontId="38" fillId="2" borderId="201" xfId="0" applyFont="1" applyFill="1" applyBorder="1" applyAlignment="1" applyProtection="1">
      <alignment horizontal="center" vertical="center"/>
    </xf>
    <xf numFmtId="0" fontId="38" fillId="2" borderId="202" xfId="0" applyFont="1" applyFill="1" applyBorder="1" applyAlignment="1" applyProtection="1">
      <alignment horizontal="center" vertical="center"/>
    </xf>
    <xf numFmtId="0" fontId="38" fillId="2" borderId="203" xfId="0" applyFont="1" applyFill="1" applyBorder="1" applyAlignment="1" applyProtection="1">
      <alignment horizontal="center" vertical="center"/>
    </xf>
    <xf numFmtId="22" fontId="38" fillId="2" borderId="3" xfId="0" applyNumberFormat="1"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protection locked="0"/>
    </xf>
    <xf numFmtId="0" fontId="69" fillId="75" borderId="0" xfId="0" quotePrefix="1" applyFont="1" applyFill="1" applyAlignment="1" applyProtection="1">
      <alignment horizontal="left" wrapText="1"/>
    </xf>
    <xf numFmtId="0" fontId="0" fillId="0" borderId="222" xfId="0" applyFont="1" applyBorder="1" applyAlignment="1" applyProtection="1">
      <alignment horizontal="center"/>
    </xf>
    <xf numFmtId="0" fontId="26" fillId="0" borderId="222" xfId="0" applyFont="1" applyBorder="1" applyAlignment="1" applyProtection="1">
      <alignment horizontal="center" vertical="center" wrapText="1"/>
    </xf>
    <xf numFmtId="0" fontId="26" fillId="0" borderId="221" xfId="0" applyFont="1" applyBorder="1" applyAlignment="1" applyProtection="1">
      <alignment horizontal="center" vertical="center" wrapText="1"/>
    </xf>
    <xf numFmtId="0" fontId="21" fillId="0" borderId="209" xfId="0" applyFont="1" applyBorder="1" applyAlignment="1" applyProtection="1">
      <alignment horizontal="center" vertical="center" wrapText="1"/>
    </xf>
    <xf numFmtId="0" fontId="1" fillId="0" borderId="209" xfId="0" applyFont="1" applyBorder="1" applyAlignment="1" applyProtection="1">
      <alignment horizontal="center" vertical="center" wrapText="1"/>
    </xf>
    <xf numFmtId="0" fontId="1" fillId="0" borderId="210" xfId="0" applyFont="1" applyBorder="1" applyAlignment="1" applyProtection="1">
      <alignment horizontal="center" vertical="center" wrapText="1"/>
    </xf>
    <xf numFmtId="0" fontId="26" fillId="0" borderId="206" xfId="0" applyFont="1" applyBorder="1" applyAlignment="1" applyProtection="1">
      <alignment horizontal="center" vertical="center" wrapText="1"/>
    </xf>
    <xf numFmtId="0" fontId="37" fillId="2" borderId="443" xfId="0" applyFont="1" applyFill="1" applyBorder="1" applyAlignment="1" applyProtection="1">
      <alignment horizontal="center"/>
    </xf>
    <xf numFmtId="0" fontId="0" fillId="0" borderId="221" xfId="0" applyFont="1" applyBorder="1" applyAlignment="1" applyProtection="1">
      <alignment horizontal="center"/>
    </xf>
    <xf numFmtId="0" fontId="1" fillId="0" borderId="214" xfId="0" applyFont="1" applyBorder="1" applyAlignment="1" applyProtection="1">
      <alignment horizontal="center" vertical="center" wrapText="1"/>
    </xf>
    <xf numFmtId="0" fontId="1" fillId="0" borderId="212" xfId="0" applyFont="1" applyBorder="1" applyAlignment="1" applyProtection="1">
      <alignment horizontal="center" vertical="center" wrapText="1"/>
    </xf>
    <xf numFmtId="0" fontId="1" fillId="0" borderId="206" xfId="0" applyFont="1" applyBorder="1" applyAlignment="1" applyProtection="1">
      <alignment horizontal="center" vertical="center" wrapText="1"/>
    </xf>
    <xf numFmtId="0" fontId="57" fillId="69" borderId="335" xfId="0" applyFont="1" applyFill="1" applyBorder="1" applyAlignment="1" applyProtection="1">
      <alignment horizontal="left" vertical="center"/>
    </xf>
    <xf numFmtId="0" fontId="57" fillId="69" borderId="337" xfId="0" applyFont="1" applyFill="1" applyBorder="1" applyAlignment="1" applyProtection="1">
      <alignment horizontal="left" vertical="center"/>
    </xf>
    <xf numFmtId="0" fontId="56" fillId="69" borderId="335" xfId="0" applyFont="1" applyFill="1" applyBorder="1" applyAlignment="1" applyProtection="1">
      <alignment horizontal="right" vertical="center"/>
    </xf>
    <xf numFmtId="0" fontId="0" fillId="0" borderId="0" xfId="0" applyFont="1" applyAlignment="1" applyProtection="1">
      <alignment horizontal="left" vertical="center" wrapText="1"/>
    </xf>
    <xf numFmtId="0" fontId="26" fillId="0" borderId="207" xfId="0" applyFont="1" applyBorder="1" applyAlignment="1" applyProtection="1">
      <alignment horizontal="center" vertical="center" wrapText="1"/>
    </xf>
    <xf numFmtId="0" fontId="21" fillId="0" borderId="210" xfId="0" applyFont="1" applyBorder="1" applyAlignment="1" applyProtection="1">
      <alignment horizontal="center" vertical="center" wrapText="1"/>
    </xf>
    <xf numFmtId="0" fontId="26" fillId="18" borderId="206" xfId="0" applyFont="1" applyFill="1" applyBorder="1" applyAlignment="1" applyProtection="1">
      <alignment horizontal="center" vertical="center" wrapText="1"/>
    </xf>
    <xf numFmtId="0" fontId="26" fillId="10" borderId="206" xfId="0" applyFont="1" applyFill="1" applyBorder="1" applyAlignment="1" applyProtection="1">
      <alignment horizontal="center" vertical="center" wrapText="1"/>
    </xf>
    <xf numFmtId="0" fontId="26" fillId="4" borderId="206" xfId="0" applyFont="1" applyFill="1" applyBorder="1" applyAlignment="1" applyProtection="1">
      <alignment horizontal="center" vertical="center" wrapText="1"/>
    </xf>
    <xf numFmtId="0" fontId="26" fillId="6" borderId="206" xfId="0" applyFont="1" applyFill="1" applyBorder="1" applyAlignment="1" applyProtection="1">
      <alignment horizontal="center" vertical="center" wrapText="1"/>
    </xf>
    <xf numFmtId="0" fontId="26" fillId="6" borderId="207" xfId="0" applyFont="1" applyFill="1" applyBorder="1" applyAlignment="1" applyProtection="1">
      <alignment horizontal="center" vertical="center" wrapText="1"/>
    </xf>
    <xf numFmtId="0" fontId="0" fillId="37" borderId="55" xfId="0" quotePrefix="1" applyFont="1" applyFill="1" applyBorder="1" applyAlignment="1" applyProtection="1">
      <alignment horizontal="left" vertical="center" wrapText="1"/>
      <protection locked="0"/>
    </xf>
    <xf numFmtId="0" fontId="0" fillId="37" borderId="56" xfId="0" quotePrefix="1" applyFont="1" applyFill="1" applyBorder="1" applyAlignment="1" applyProtection="1">
      <alignment horizontal="left" vertical="center" wrapText="1"/>
      <protection locked="0"/>
    </xf>
    <xf numFmtId="0" fontId="0" fillId="0" borderId="55" xfId="0" quotePrefix="1" applyFont="1" applyFill="1" applyBorder="1" applyAlignment="1" applyProtection="1">
      <alignment horizontal="center" vertical="center" wrapText="1"/>
    </xf>
    <xf numFmtId="0" fontId="0" fillId="0" borderId="56" xfId="0" quotePrefix="1" applyFont="1" applyFill="1" applyBorder="1" applyAlignment="1" applyProtection="1">
      <alignment horizontal="center" vertical="center" wrapText="1"/>
    </xf>
    <xf numFmtId="0" fontId="0" fillId="0" borderId="57" xfId="0" quotePrefix="1"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protection locked="0"/>
    </xf>
    <xf numFmtId="0" fontId="26" fillId="0" borderId="57" xfId="0" applyFont="1" applyFill="1" applyBorder="1" applyAlignment="1" applyProtection="1">
      <alignment horizontal="center" vertical="center" wrapText="1"/>
      <protection locked="0"/>
    </xf>
    <xf numFmtId="10" fontId="0" fillId="0" borderId="56" xfId="0" quotePrefix="1" applyNumberFormat="1" applyFont="1" applyFill="1" applyBorder="1" applyAlignment="1" applyProtection="1">
      <alignment horizontal="center" vertical="center"/>
      <protection locked="0"/>
    </xf>
    <xf numFmtId="10" fontId="0" fillId="0" borderId="177" xfId="0" quotePrefix="1" applyNumberFormat="1" applyFont="1" applyFill="1" applyBorder="1" applyAlignment="1" applyProtection="1">
      <alignment horizontal="center" vertical="center"/>
      <protection locked="0"/>
    </xf>
    <xf numFmtId="0" fontId="26" fillId="0" borderId="55" xfId="0" quotePrefix="1" applyFont="1" applyFill="1" applyBorder="1" applyAlignment="1" applyProtection="1">
      <alignment horizontal="left" vertical="center"/>
      <protection locked="0"/>
    </xf>
    <xf numFmtId="0" fontId="26" fillId="0" borderId="56" xfId="0" quotePrefix="1" applyFont="1" applyFill="1" applyBorder="1" applyAlignment="1" applyProtection="1">
      <alignment horizontal="left" vertical="center"/>
      <protection locked="0"/>
    </xf>
    <xf numFmtId="0" fontId="26" fillId="0" borderId="175" xfId="0" quotePrefix="1" applyFont="1" applyFill="1" applyBorder="1" applyAlignment="1" applyProtection="1">
      <alignment horizontal="left" vertical="center"/>
      <protection locked="0"/>
    </xf>
    <xf numFmtId="10" fontId="0" fillId="0" borderId="176" xfId="0" quotePrefix="1" applyNumberFormat="1" applyFont="1" applyFill="1" applyBorder="1" applyAlignment="1" applyProtection="1">
      <alignment horizontal="center" vertical="center"/>
      <protection locked="0"/>
    </xf>
    <xf numFmtId="3" fontId="0" fillId="0" borderId="56" xfId="0" quotePrefix="1" applyNumberFormat="1" applyFont="1" applyFill="1" applyBorder="1" applyAlignment="1" applyProtection="1">
      <alignment horizontal="center" vertical="center"/>
      <protection locked="0"/>
    </xf>
    <xf numFmtId="0" fontId="21" fillId="36" borderId="53" xfId="0" applyFont="1" applyFill="1" applyBorder="1" applyAlignment="1" applyProtection="1">
      <alignment horizontal="center" vertical="center" wrapText="1"/>
    </xf>
    <xf numFmtId="0" fontId="21" fillId="36" borderId="54" xfId="0" applyFont="1" applyFill="1" applyBorder="1" applyAlignment="1" applyProtection="1">
      <alignment horizontal="center" vertical="center" wrapText="1"/>
    </xf>
    <xf numFmtId="0" fontId="0" fillId="0" borderId="56" xfId="0" quotePrefix="1" applyFont="1" applyFill="1" applyBorder="1" applyAlignment="1" applyProtection="1">
      <alignment horizontal="left" vertical="center" wrapText="1"/>
      <protection locked="0"/>
    </xf>
    <xf numFmtId="0" fontId="21" fillId="36" borderId="52" xfId="0" quotePrefix="1" applyFont="1" applyFill="1" applyBorder="1" applyAlignment="1" applyProtection="1">
      <alignment horizontal="center" vertical="center"/>
    </xf>
    <xf numFmtId="0" fontId="21" fillId="36" borderId="53" xfId="0" quotePrefix="1" applyFont="1" applyFill="1" applyBorder="1" applyAlignment="1" applyProtection="1">
      <alignment horizontal="center" vertical="center"/>
    </xf>
    <xf numFmtId="0" fontId="0" fillId="0" borderId="58" xfId="0" quotePrefix="1" applyFont="1" applyFill="1" applyBorder="1" applyAlignment="1" applyProtection="1">
      <alignment horizontal="center" vertical="center" wrapText="1"/>
    </xf>
    <xf numFmtId="0" fontId="0" fillId="0" borderId="59" xfId="0" quotePrefix="1" applyFont="1" applyFill="1" applyBorder="1" applyAlignment="1" applyProtection="1">
      <alignment horizontal="center" vertical="center" wrapText="1"/>
    </xf>
    <xf numFmtId="0" fontId="0" fillId="0" borderId="60" xfId="0" quotePrefix="1" applyFont="1" applyFill="1" applyBorder="1" applyAlignment="1" applyProtection="1">
      <alignment horizontal="center" vertical="center" wrapText="1"/>
    </xf>
    <xf numFmtId="10" fontId="0" fillId="0" borderId="57" xfId="0" quotePrefix="1" applyNumberFormat="1" applyFont="1" applyFill="1" applyBorder="1" applyAlignment="1" applyProtection="1">
      <alignment horizontal="center" vertical="center"/>
      <protection locked="0"/>
    </xf>
    <xf numFmtId="0" fontId="40" fillId="36" borderId="64" xfId="0" applyFont="1" applyFill="1" applyBorder="1" applyAlignment="1" applyProtection="1">
      <alignment horizontal="left" vertical="center"/>
    </xf>
    <xf numFmtId="0" fontId="40" fillId="36" borderId="65" xfId="0" applyFont="1" applyFill="1" applyBorder="1" applyAlignment="1" applyProtection="1">
      <alignment horizontal="left" vertical="center"/>
    </xf>
    <xf numFmtId="0" fontId="0" fillId="39" borderId="101" xfId="0" applyFont="1" applyFill="1" applyBorder="1" applyAlignment="1" applyProtection="1">
      <alignment horizontal="left" vertical="top" wrapText="1"/>
      <protection locked="0"/>
    </xf>
    <xf numFmtId="0" fontId="0" fillId="39" borderId="102" xfId="0" applyFont="1" applyFill="1" applyBorder="1" applyAlignment="1" applyProtection="1">
      <alignment horizontal="left" vertical="top" wrapText="1"/>
      <protection locked="0"/>
    </xf>
    <xf numFmtId="0" fontId="0" fillId="39" borderId="104" xfId="0" applyFont="1" applyFill="1" applyBorder="1" applyAlignment="1" applyProtection="1">
      <alignment horizontal="left" vertical="top" wrapText="1"/>
      <protection locked="0"/>
    </xf>
    <xf numFmtId="0" fontId="0" fillId="39" borderId="0" xfId="0" applyFont="1" applyFill="1" applyBorder="1" applyAlignment="1" applyProtection="1">
      <alignment horizontal="left" vertical="top" wrapText="1"/>
      <protection locked="0"/>
    </xf>
    <xf numFmtId="0" fontId="0" fillId="39" borderId="106" xfId="0" applyFont="1" applyFill="1" applyBorder="1" applyAlignment="1" applyProtection="1">
      <alignment horizontal="left" vertical="top" wrapText="1"/>
      <protection locked="0"/>
    </xf>
    <xf numFmtId="0" fontId="0" fillId="39" borderId="107" xfId="0" applyFont="1" applyFill="1" applyBorder="1" applyAlignment="1" applyProtection="1">
      <alignment horizontal="left" vertical="top" wrapText="1"/>
      <protection locked="0"/>
    </xf>
    <xf numFmtId="0" fontId="0" fillId="39" borderId="0" xfId="0" applyFont="1" applyFill="1" applyAlignment="1" applyProtection="1">
      <alignment horizontal="left" vertical="top" wrapText="1"/>
      <protection locked="0"/>
    </xf>
    <xf numFmtId="0" fontId="40" fillId="37" borderId="64" xfId="0" applyFont="1" applyFill="1" applyBorder="1" applyAlignment="1" applyProtection="1">
      <alignment horizontal="left" vertical="center"/>
    </xf>
    <xf numFmtId="0" fontId="40" fillId="37" borderId="65" xfId="0" applyFont="1" applyFill="1" applyBorder="1" applyAlignment="1" applyProtection="1">
      <alignment horizontal="left" vertical="center"/>
    </xf>
    <xf numFmtId="10" fontId="0" fillId="0" borderId="59" xfId="0" quotePrefix="1" applyNumberFormat="1" applyFont="1" applyFill="1" applyBorder="1" applyAlignment="1" applyProtection="1">
      <alignment horizontal="center" vertical="center"/>
      <protection locked="0"/>
    </xf>
    <xf numFmtId="10" fontId="0" fillId="0" borderId="60" xfId="0" quotePrefix="1" applyNumberFormat="1" applyFont="1" applyFill="1" applyBorder="1" applyAlignment="1" applyProtection="1">
      <alignment horizontal="center" vertical="center"/>
      <protection locked="0"/>
    </xf>
    <xf numFmtId="0" fontId="26" fillId="0" borderId="56" xfId="0" applyFont="1" applyFill="1" applyBorder="1" applyAlignment="1" applyProtection="1">
      <alignment horizontal="left" vertical="center" wrapText="1"/>
      <protection locked="0"/>
    </xf>
    <xf numFmtId="10" fontId="0" fillId="0" borderId="0" xfId="0" quotePrefix="1" applyNumberFormat="1" applyFont="1" applyAlignment="1">
      <alignment horizontal="center"/>
    </xf>
    <xf numFmtId="0" fontId="21" fillId="0" borderId="186" xfId="0" quotePrefix="1" applyFont="1" applyBorder="1" applyAlignment="1" applyProtection="1">
      <alignment horizontal="center" vertical="center"/>
    </xf>
    <xf numFmtId="0" fontId="21" fillId="0" borderId="187" xfId="0" quotePrefix="1" applyFont="1" applyBorder="1" applyAlignment="1" applyProtection="1">
      <alignment horizontal="center" vertical="center"/>
    </xf>
    <xf numFmtId="0" fontId="21" fillId="0" borderId="106" xfId="0" quotePrefix="1" applyFont="1" applyBorder="1" applyAlignment="1" applyProtection="1">
      <alignment horizontal="center" vertical="center"/>
    </xf>
    <xf numFmtId="0" fontId="21" fillId="0" borderId="183" xfId="0" quotePrefix="1" applyFont="1" applyBorder="1" applyAlignment="1" applyProtection="1">
      <alignment horizontal="center" vertical="center"/>
    </xf>
    <xf numFmtId="9" fontId="21" fillId="0" borderId="0" xfId="3" quotePrefix="1" applyFont="1" applyBorder="1" applyAlignment="1" applyProtection="1">
      <alignment horizontal="center" vertical="center"/>
    </xf>
    <xf numFmtId="9" fontId="21" fillId="0" borderId="0" xfId="3" applyFont="1" applyBorder="1" applyAlignment="1" applyProtection="1">
      <alignment horizontal="center" vertical="center"/>
    </xf>
    <xf numFmtId="9" fontId="21" fillId="0" borderId="107" xfId="3" applyFont="1" applyBorder="1" applyAlignment="1" applyProtection="1">
      <alignment horizontal="center" vertical="center"/>
    </xf>
    <xf numFmtId="3" fontId="21" fillId="0" borderId="0" xfId="0" quotePrefix="1" applyNumberFormat="1" applyFont="1" applyBorder="1" applyAlignment="1" applyProtection="1">
      <alignment horizontal="center" vertical="center"/>
    </xf>
    <xf numFmtId="3" fontId="21" fillId="0" borderId="0" xfId="0" applyNumberFormat="1" applyFont="1" applyBorder="1" applyAlignment="1" applyProtection="1">
      <alignment horizontal="center" vertical="center"/>
    </xf>
    <xf numFmtId="3" fontId="21" fillId="0" borderId="107" xfId="0" applyNumberFormat="1" applyFont="1" applyBorder="1" applyAlignment="1" applyProtection="1">
      <alignment horizontal="center" vertical="center"/>
    </xf>
    <xf numFmtId="9" fontId="21" fillId="0" borderId="181" xfId="3" applyFont="1" applyBorder="1" applyAlignment="1" applyProtection="1">
      <alignment horizontal="center" vertical="center"/>
    </xf>
    <xf numFmtId="9" fontId="21" fillId="0" borderId="183" xfId="3" applyFont="1" applyBorder="1" applyAlignment="1" applyProtection="1">
      <alignment horizontal="center" vertical="center"/>
    </xf>
    <xf numFmtId="9" fontId="21" fillId="0" borderId="180" xfId="3" quotePrefix="1" applyFont="1" applyBorder="1" applyAlignment="1" applyProtection="1">
      <alignment horizontal="center" vertical="center"/>
    </xf>
    <xf numFmtId="9" fontId="21" fillId="0" borderId="182" xfId="3" applyFont="1" applyBorder="1" applyAlignment="1" applyProtection="1">
      <alignment horizontal="center" vertical="center"/>
    </xf>
    <xf numFmtId="3" fontId="21" fillId="0" borderId="0" xfId="0" quotePrefix="1" applyNumberFormat="1" applyFont="1" applyBorder="1" applyAlignment="1" applyProtection="1">
      <alignment horizontal="right" vertical="center"/>
    </xf>
    <xf numFmtId="3" fontId="21" fillId="0" borderId="0" xfId="0" applyNumberFormat="1" applyFont="1" applyBorder="1" applyAlignment="1" applyProtection="1">
      <alignment horizontal="right" vertical="center"/>
    </xf>
    <xf numFmtId="3" fontId="21" fillId="0" borderId="107" xfId="0" applyNumberFormat="1" applyFont="1" applyBorder="1" applyAlignment="1" applyProtection="1">
      <alignment horizontal="right" vertical="center"/>
    </xf>
    <xf numFmtId="9" fontId="21" fillId="0" borderId="105" xfId="3" applyFont="1" applyBorder="1" applyAlignment="1" applyProtection="1">
      <alignment horizontal="center" vertical="center"/>
    </xf>
    <xf numFmtId="9" fontId="21" fillId="0" borderId="108" xfId="3" applyFont="1" applyBorder="1" applyAlignment="1" applyProtection="1">
      <alignment horizontal="center" vertical="center"/>
    </xf>
    <xf numFmtId="0" fontId="26" fillId="0" borderId="58" xfId="0" quotePrefix="1" applyFont="1" applyFill="1" applyBorder="1" applyAlignment="1" applyProtection="1">
      <alignment horizontal="left" vertical="center"/>
      <protection locked="0"/>
    </xf>
    <xf numFmtId="0" fontId="26" fillId="0" borderId="59" xfId="0" quotePrefix="1" applyFont="1" applyFill="1" applyBorder="1" applyAlignment="1" applyProtection="1">
      <alignment horizontal="left" vertical="center"/>
      <protection locked="0"/>
    </xf>
    <xf numFmtId="0" fontId="26" fillId="0" borderId="184" xfId="0" quotePrefix="1" applyFont="1" applyFill="1" applyBorder="1" applyAlignment="1" applyProtection="1">
      <alignment horizontal="left" vertical="center"/>
      <protection locked="0"/>
    </xf>
    <xf numFmtId="0" fontId="26" fillId="0" borderId="185" xfId="0" quotePrefix="1" applyFont="1" applyFill="1" applyBorder="1" applyAlignment="1" applyProtection="1">
      <alignment horizontal="left" vertical="center"/>
      <protection locked="0"/>
    </xf>
    <xf numFmtId="10" fontId="0" fillId="0" borderId="178" xfId="0" quotePrefix="1" applyNumberFormat="1" applyFont="1" applyFill="1" applyBorder="1" applyAlignment="1" applyProtection="1">
      <alignment horizontal="center" vertical="center"/>
      <protection locked="0"/>
    </xf>
    <xf numFmtId="3" fontId="0" fillId="0" borderId="59" xfId="0" quotePrefix="1" applyNumberFormat="1" applyFont="1" applyFill="1" applyBorder="1" applyAlignment="1" applyProtection="1">
      <alignment horizontal="right" vertical="center"/>
      <protection locked="0"/>
    </xf>
    <xf numFmtId="10" fontId="0" fillId="0" borderId="179" xfId="0" quotePrefix="1" applyNumberFormat="1" applyFont="1" applyFill="1" applyBorder="1" applyAlignment="1" applyProtection="1">
      <alignment horizontal="center" vertical="center"/>
      <protection locked="0"/>
    </xf>
    <xf numFmtId="0" fontId="26" fillId="0" borderId="55" xfId="0" quotePrefix="1" applyFont="1" applyFill="1" applyBorder="1" applyAlignment="1" applyProtection="1">
      <alignment vertical="center"/>
      <protection locked="0"/>
    </xf>
    <xf numFmtId="0" fontId="26" fillId="0" borderId="56" xfId="0" quotePrefix="1" applyFont="1" applyFill="1" applyBorder="1" applyAlignment="1" applyProtection="1">
      <alignment vertical="center"/>
      <protection locked="0"/>
    </xf>
    <xf numFmtId="0" fontId="26" fillId="0" borderId="175" xfId="0" quotePrefix="1" applyFont="1" applyFill="1" applyBorder="1" applyAlignment="1" applyProtection="1">
      <alignment vertical="center"/>
      <protection locked="0"/>
    </xf>
    <xf numFmtId="0" fontId="21" fillId="37" borderId="190" xfId="0" quotePrefix="1" applyFont="1" applyFill="1" applyBorder="1" applyAlignment="1" applyProtection="1">
      <alignment horizontal="center" vertical="center"/>
    </xf>
    <xf numFmtId="0" fontId="21" fillId="37" borderId="191" xfId="0" quotePrefix="1" applyFont="1" applyFill="1" applyBorder="1" applyAlignment="1" applyProtection="1">
      <alignment horizontal="center" vertical="center"/>
    </xf>
    <xf numFmtId="0" fontId="21" fillId="37" borderId="194" xfId="0" quotePrefix="1" applyFont="1" applyFill="1" applyBorder="1" applyAlignment="1" applyProtection="1">
      <alignment horizontal="center" vertical="center"/>
    </xf>
    <xf numFmtId="49" fontId="26" fillId="0" borderId="172" xfId="0" quotePrefix="1" applyNumberFormat="1" applyFont="1" applyFill="1" applyBorder="1" applyAlignment="1" applyProtection="1">
      <alignment horizontal="left" vertical="center"/>
      <protection locked="0"/>
    </xf>
    <xf numFmtId="49" fontId="26" fillId="0" borderId="173" xfId="0" quotePrefix="1" applyNumberFormat="1" applyFont="1" applyFill="1" applyBorder="1" applyAlignment="1" applyProtection="1">
      <alignment horizontal="left" vertical="center"/>
      <protection locked="0"/>
    </xf>
    <xf numFmtId="49" fontId="26" fillId="0" borderId="195" xfId="0" quotePrefix="1" applyNumberFormat="1" applyFont="1" applyFill="1" applyBorder="1" applyAlignment="1" applyProtection="1">
      <alignment horizontal="left" vertical="center"/>
      <protection locked="0"/>
    </xf>
    <xf numFmtId="0" fontId="26" fillId="37" borderId="196" xfId="0" quotePrefix="1" applyFont="1" applyFill="1" applyBorder="1" applyAlignment="1" applyProtection="1">
      <alignment horizontal="center" vertical="center" wrapText="1"/>
    </xf>
    <xf numFmtId="0" fontId="26" fillId="37" borderId="197" xfId="0" quotePrefix="1" applyFont="1" applyFill="1" applyBorder="1" applyAlignment="1" applyProtection="1">
      <alignment horizontal="center" vertical="center" wrapText="1"/>
    </xf>
    <xf numFmtId="0" fontId="26" fillId="37" borderId="198" xfId="0" quotePrefix="1" applyFont="1" applyFill="1" applyBorder="1" applyAlignment="1" applyProtection="1">
      <alignment horizontal="center" vertical="center" wrapText="1"/>
    </xf>
    <xf numFmtId="10" fontId="0" fillId="0" borderId="188" xfId="0" quotePrefix="1" applyNumberFormat="1" applyFont="1" applyFill="1" applyBorder="1" applyAlignment="1" applyProtection="1">
      <alignment horizontal="center" vertical="center"/>
      <protection locked="0"/>
    </xf>
    <xf numFmtId="10" fontId="0" fillId="0" borderId="173" xfId="0" quotePrefix="1" applyNumberFormat="1" applyFont="1" applyFill="1" applyBorder="1" applyAlignment="1" applyProtection="1">
      <alignment horizontal="center" vertical="center"/>
      <protection locked="0"/>
    </xf>
    <xf numFmtId="3" fontId="0" fillId="0" borderId="173" xfId="0" quotePrefix="1" applyNumberFormat="1" applyFont="1" applyFill="1" applyBorder="1" applyAlignment="1" applyProtection="1">
      <alignment horizontal="right" vertical="center"/>
      <protection locked="0"/>
    </xf>
    <xf numFmtId="10" fontId="0" fillId="0" borderId="174" xfId="0" quotePrefix="1" applyNumberFormat="1" applyFont="1" applyFill="1" applyBorder="1" applyAlignment="1" applyProtection="1">
      <alignment horizontal="center" vertical="center"/>
      <protection locked="0"/>
    </xf>
    <xf numFmtId="0" fontId="21" fillId="0" borderId="0" xfId="0" quotePrefix="1" applyFont="1" applyAlignment="1" applyProtection="1">
      <alignment horizontal="center" vertical="center"/>
    </xf>
    <xf numFmtId="0" fontId="26" fillId="37" borderId="192" xfId="0" quotePrefix="1" applyFont="1" applyFill="1" applyBorder="1" applyAlignment="1" applyProtection="1">
      <alignment horizontal="center" vertical="center" wrapText="1"/>
    </xf>
    <xf numFmtId="0" fontId="26" fillId="37" borderId="162" xfId="0" quotePrefix="1" applyFont="1" applyFill="1" applyBorder="1" applyAlignment="1" applyProtection="1">
      <alignment horizontal="center" vertical="center" wrapText="1"/>
    </xf>
    <xf numFmtId="0" fontId="26" fillId="37" borderId="163" xfId="0" quotePrefix="1" applyFont="1" applyFill="1" applyBorder="1" applyAlignment="1" applyProtection="1">
      <alignment horizontal="center" vertical="center" wrapText="1"/>
    </xf>
    <xf numFmtId="10" fontId="0" fillId="0" borderId="189" xfId="0" quotePrefix="1" applyNumberFormat="1" applyFont="1" applyFill="1" applyBorder="1" applyAlignment="1" applyProtection="1">
      <alignment horizontal="center" vertical="center"/>
      <protection locked="0"/>
    </xf>
    <xf numFmtId="0" fontId="26" fillId="37" borderId="193" xfId="0" quotePrefix="1" applyFont="1" applyFill="1" applyBorder="1" applyAlignment="1" applyProtection="1">
      <alignment horizontal="center" vertical="center" wrapText="1"/>
    </xf>
    <xf numFmtId="0" fontId="37" fillId="2" borderId="1208" xfId="0" applyFont="1" applyFill="1" applyBorder="1" applyAlignment="1" applyProtection="1">
      <alignment horizontal="center"/>
    </xf>
    <xf numFmtId="1" fontId="70" fillId="31" borderId="387" xfId="0" applyNumberFormat="1" applyFont="1" applyFill="1" applyBorder="1" applyAlignment="1" applyProtection="1">
      <alignment horizontal="center" vertical="center" wrapText="1"/>
      <protection locked="0"/>
    </xf>
    <xf numFmtId="1" fontId="70" fillId="31" borderId="388" xfId="0" applyNumberFormat="1" applyFont="1" applyFill="1" applyBorder="1" applyAlignment="1" applyProtection="1">
      <alignment horizontal="center" vertical="center" wrapText="1"/>
      <protection locked="0"/>
    </xf>
    <xf numFmtId="0" fontId="21" fillId="0" borderId="11" xfId="0" applyFont="1" applyFill="1" applyBorder="1" applyAlignment="1" applyProtection="1">
      <alignment horizontal="left" vertical="center"/>
      <protection locked="0"/>
    </xf>
    <xf numFmtId="0" fontId="21" fillId="0" borderId="12" xfId="0" applyFont="1" applyFill="1" applyBorder="1" applyAlignment="1" applyProtection="1">
      <alignment horizontal="left" vertical="center"/>
      <protection locked="0"/>
    </xf>
    <xf numFmtId="0" fontId="21" fillId="0" borderId="31" xfId="0" applyFont="1" applyFill="1" applyBorder="1" applyAlignment="1" applyProtection="1">
      <alignment horizontal="left" vertical="center"/>
      <protection locked="0"/>
    </xf>
    <xf numFmtId="1" fontId="70" fillId="0" borderId="387" xfId="0" applyNumberFormat="1" applyFont="1" applyFill="1" applyBorder="1" applyAlignment="1" applyProtection="1">
      <alignment horizontal="center" vertical="center" wrapText="1"/>
      <protection locked="0"/>
    </xf>
    <xf numFmtId="1" fontId="70" fillId="0" borderId="388" xfId="0" applyNumberFormat="1" applyFont="1" applyFill="1" applyBorder="1" applyAlignment="1" applyProtection="1">
      <alignment horizontal="center" vertical="center" wrapText="1"/>
      <protection locked="0"/>
    </xf>
    <xf numFmtId="3" fontId="70" fillId="0" borderId="387" xfId="0" applyNumberFormat="1" applyFont="1" applyFill="1" applyBorder="1" applyAlignment="1" applyProtection="1">
      <alignment horizontal="center" vertical="center"/>
      <protection locked="0"/>
    </xf>
    <xf numFmtId="3" fontId="70" fillId="0" borderId="388" xfId="0" applyNumberFormat="1" applyFont="1" applyFill="1" applyBorder="1" applyAlignment="1" applyProtection="1">
      <alignment horizontal="center" vertical="center"/>
      <protection locked="0"/>
    </xf>
    <xf numFmtId="0" fontId="70" fillId="0" borderId="387" xfId="0" applyFont="1" applyFill="1" applyBorder="1" applyAlignment="1" applyProtection="1">
      <alignment horizontal="left" vertical="top" wrapText="1"/>
      <protection locked="0"/>
    </xf>
    <xf numFmtId="0" fontId="70" fillId="0" borderId="17" xfId="0" applyFont="1" applyFill="1" applyBorder="1" applyAlignment="1" applyProtection="1">
      <alignment horizontal="left" vertical="top" wrapText="1"/>
      <protection locked="0"/>
    </xf>
    <xf numFmtId="0" fontId="70" fillId="0" borderId="32" xfId="0" applyFont="1" applyFill="1" applyBorder="1" applyAlignment="1" applyProtection="1">
      <alignment horizontal="left" vertical="top" wrapText="1"/>
      <protection locked="0"/>
    </xf>
    <xf numFmtId="1" fontId="120" fillId="0" borderId="387" xfId="0" applyNumberFormat="1" applyFont="1" applyFill="1" applyBorder="1" applyAlignment="1" applyProtection="1">
      <alignment horizontal="center" vertical="center" wrapText="1"/>
      <protection locked="0"/>
    </xf>
    <xf numFmtId="1" fontId="120" fillId="0" borderId="388" xfId="0" applyNumberFormat="1"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top" wrapText="1"/>
      <protection locked="0"/>
    </xf>
    <xf numFmtId="0" fontId="70" fillId="0" borderId="12" xfId="0" applyFont="1" applyFill="1" applyBorder="1" applyAlignment="1" applyProtection="1">
      <alignment horizontal="center" vertical="top" wrapText="1"/>
      <protection locked="0"/>
    </xf>
    <xf numFmtId="0" fontId="70" fillId="0" borderId="13" xfId="0" applyFont="1" applyFill="1" applyBorder="1" applyAlignment="1" applyProtection="1">
      <alignment horizontal="center" vertical="top" wrapText="1"/>
      <protection locked="0"/>
    </xf>
    <xf numFmtId="0" fontId="2" fillId="0" borderId="16" xfId="0" applyFont="1" applyFill="1" applyBorder="1" applyAlignment="1" applyProtection="1">
      <alignment horizontal="left" vertical="center" wrapText="1"/>
      <protection locked="0"/>
    </xf>
    <xf numFmtId="0" fontId="2" fillId="0" borderId="17" xfId="0" applyFont="1" applyFill="1" applyBorder="1" applyAlignment="1" applyProtection="1">
      <alignment horizontal="left" vertical="center" wrapText="1"/>
      <protection locked="0"/>
    </xf>
    <xf numFmtId="0" fontId="2" fillId="0" borderId="388" xfId="0" applyFont="1" applyFill="1" applyBorder="1" applyAlignment="1" applyProtection="1">
      <alignment horizontal="left" vertical="center" wrapText="1"/>
      <protection locked="0"/>
    </xf>
    <xf numFmtId="0" fontId="2" fillId="0" borderId="16" xfId="0" quotePrefix="1" applyFont="1" applyFill="1" applyBorder="1" applyAlignment="1" applyProtection="1">
      <alignment horizontal="left" vertical="center"/>
      <protection locked="0"/>
    </xf>
    <xf numFmtId="0" fontId="2" fillId="0" borderId="17" xfId="0" quotePrefix="1" applyFont="1" applyFill="1" applyBorder="1" applyAlignment="1" applyProtection="1">
      <alignment horizontal="left" vertical="center"/>
      <protection locked="0"/>
    </xf>
    <xf numFmtId="3" fontId="146" fillId="0" borderId="387" xfId="0" applyNumberFormat="1" applyFont="1" applyFill="1" applyBorder="1" applyAlignment="1" applyProtection="1">
      <alignment horizontal="center" vertical="center" wrapText="1"/>
      <protection locked="0"/>
    </xf>
    <xf numFmtId="3" fontId="146" fillId="0" borderId="388" xfId="0" applyNumberFormat="1" applyFont="1" applyFill="1" applyBorder="1" applyAlignment="1" applyProtection="1">
      <alignment horizontal="center" vertical="center" wrapText="1"/>
      <protection locked="0"/>
    </xf>
    <xf numFmtId="3" fontId="146" fillId="0" borderId="385" xfId="0" applyNumberFormat="1" applyFont="1" applyFill="1" applyBorder="1" applyAlignment="1" applyProtection="1">
      <alignment horizontal="center" vertical="center"/>
      <protection locked="0"/>
    </xf>
    <xf numFmtId="3" fontId="146" fillId="0" borderId="386" xfId="0" applyNumberFormat="1" applyFont="1" applyFill="1" applyBorder="1" applyAlignment="1" applyProtection="1">
      <alignment horizontal="center" vertical="center"/>
      <protection locked="0"/>
    </xf>
    <xf numFmtId="9" fontId="146" fillId="31" borderId="385" xfId="3" applyFont="1" applyFill="1" applyBorder="1" applyAlignment="1" applyProtection="1">
      <alignment horizontal="center" vertical="center"/>
      <protection locked="0"/>
    </xf>
    <xf numFmtId="9" fontId="146" fillId="31" borderId="386" xfId="3" applyFont="1" applyFill="1" applyBorder="1" applyAlignment="1" applyProtection="1">
      <alignment horizontal="center" vertical="center"/>
      <protection locked="0"/>
    </xf>
    <xf numFmtId="0" fontId="21" fillId="0" borderId="16" xfId="0" quotePrefix="1" applyFont="1" applyFill="1" applyBorder="1" applyAlignment="1" applyProtection="1">
      <alignment horizontal="left" vertical="center"/>
      <protection locked="0"/>
    </xf>
    <xf numFmtId="0" fontId="21" fillId="0" borderId="17" xfId="0" quotePrefix="1" applyFont="1" applyFill="1" applyBorder="1" applyAlignment="1" applyProtection="1">
      <alignment horizontal="left" vertical="center"/>
      <protection locked="0"/>
    </xf>
    <xf numFmtId="0" fontId="2" fillId="0" borderId="16"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protection locked="0"/>
    </xf>
    <xf numFmtId="0" fontId="2" fillId="0" borderId="388" xfId="0" applyFont="1" applyFill="1" applyBorder="1" applyAlignment="1" applyProtection="1">
      <alignment horizontal="left" vertical="center"/>
      <protection locked="0"/>
    </xf>
    <xf numFmtId="3" fontId="70" fillId="31" borderId="387" xfId="0" applyNumberFormat="1" applyFont="1" applyFill="1" applyBorder="1" applyAlignment="1" applyProtection="1">
      <alignment horizontal="center" vertical="center"/>
      <protection locked="0"/>
    </xf>
    <xf numFmtId="3" fontId="70" fillId="31" borderId="388" xfId="0" applyNumberFormat="1" applyFont="1" applyFill="1" applyBorder="1" applyAlignment="1" applyProtection="1">
      <alignment horizontal="center" vertical="center"/>
      <protection locked="0"/>
    </xf>
    <xf numFmtId="9" fontId="2" fillId="0" borderId="16" xfId="3" applyFont="1" applyFill="1" applyBorder="1" applyAlignment="1" applyProtection="1">
      <alignment horizontal="left" vertical="center"/>
      <protection locked="0"/>
    </xf>
    <xf numFmtId="9" fontId="2" fillId="0" borderId="17" xfId="3" applyFont="1" applyFill="1" applyBorder="1" applyAlignment="1" applyProtection="1">
      <alignment horizontal="left" vertical="center"/>
      <protection locked="0"/>
    </xf>
    <xf numFmtId="9" fontId="2" fillId="0" borderId="388" xfId="3" applyFont="1" applyFill="1" applyBorder="1" applyAlignment="1" applyProtection="1">
      <alignment horizontal="left" vertical="center"/>
      <protection locked="0"/>
    </xf>
    <xf numFmtId="9" fontId="70" fillId="0" borderId="387" xfId="3" applyFont="1" applyFill="1" applyBorder="1" applyAlignment="1" applyProtection="1">
      <alignment horizontal="left" vertical="top" wrapText="1"/>
      <protection locked="0"/>
    </xf>
    <xf numFmtId="9" fontId="70" fillId="0" borderId="17" xfId="3" applyFont="1" applyFill="1" applyBorder="1" applyAlignment="1" applyProtection="1">
      <alignment horizontal="left" vertical="top" wrapText="1"/>
      <protection locked="0"/>
    </xf>
    <xf numFmtId="9" fontId="70" fillId="0" borderId="32" xfId="3" applyFont="1" applyFill="1" applyBorder="1" applyAlignment="1" applyProtection="1">
      <alignment horizontal="left" vertical="top" wrapText="1"/>
      <protection locked="0"/>
    </xf>
    <xf numFmtId="9" fontId="120" fillId="0" borderId="477" xfId="3" applyFont="1" applyFill="1" applyBorder="1" applyAlignment="1" applyProtection="1">
      <alignment horizontal="center" vertical="center" wrapText="1"/>
      <protection locked="0"/>
    </xf>
    <xf numFmtId="9" fontId="120" fillId="0" borderId="478" xfId="3" applyFont="1" applyFill="1" applyBorder="1" applyAlignment="1" applyProtection="1">
      <alignment horizontal="center" vertical="center" wrapText="1"/>
      <protection locked="0"/>
    </xf>
    <xf numFmtId="0" fontId="40" fillId="0" borderId="16" xfId="0" applyFont="1" applyFill="1" applyBorder="1" applyAlignment="1" applyProtection="1">
      <alignment horizontal="left" vertical="center"/>
      <protection locked="0"/>
    </xf>
    <xf numFmtId="0" fontId="40" fillId="0" borderId="17" xfId="0" applyFont="1" applyFill="1" applyBorder="1" applyAlignment="1" applyProtection="1">
      <alignment horizontal="left" vertical="center"/>
      <protection locked="0"/>
    </xf>
    <xf numFmtId="0" fontId="40" fillId="0" borderId="388" xfId="0" applyFont="1" applyFill="1" applyBorder="1" applyAlignment="1" applyProtection="1">
      <alignment horizontal="left" vertical="center"/>
      <protection locked="0"/>
    </xf>
    <xf numFmtId="1" fontId="120" fillId="0" borderId="477" xfId="0" applyNumberFormat="1" applyFont="1" applyFill="1" applyBorder="1" applyAlignment="1" applyProtection="1">
      <alignment horizontal="center" vertical="center" wrapText="1"/>
      <protection locked="0"/>
    </xf>
    <xf numFmtId="1" fontId="120" fillId="0" borderId="478" xfId="0" applyNumberFormat="1" applyFont="1" applyFill="1" applyBorder="1" applyAlignment="1" applyProtection="1">
      <alignment horizontal="center" vertical="center" wrapText="1"/>
      <protection locked="0"/>
    </xf>
    <xf numFmtId="3" fontId="120" fillId="0" borderId="385" xfId="0" applyNumberFormat="1" applyFont="1" applyFill="1" applyBorder="1" applyAlignment="1" applyProtection="1">
      <alignment horizontal="center" vertical="center"/>
      <protection locked="0"/>
    </xf>
    <xf numFmtId="3" fontId="120" fillId="0" borderId="386" xfId="0" applyNumberFormat="1" applyFont="1" applyFill="1" applyBorder="1" applyAlignment="1" applyProtection="1">
      <alignment horizontal="center" vertical="center"/>
      <protection locked="0"/>
    </xf>
    <xf numFmtId="0" fontId="70" fillId="0" borderId="18" xfId="0" applyFont="1" applyFill="1" applyBorder="1" applyAlignment="1" applyProtection="1">
      <alignment horizontal="left" vertical="top" wrapText="1"/>
      <protection locked="0"/>
    </xf>
    <xf numFmtId="0" fontId="70" fillId="0" borderId="12" xfId="0" applyFont="1" applyFill="1" applyBorder="1" applyAlignment="1" applyProtection="1">
      <alignment horizontal="left" vertical="top" wrapText="1"/>
      <protection locked="0"/>
    </xf>
    <xf numFmtId="0" fontId="70" fillId="0" borderId="13" xfId="0" applyFont="1" applyFill="1" applyBorder="1" applyAlignment="1" applyProtection="1">
      <alignment horizontal="left" vertical="top" wrapText="1"/>
      <protection locked="0"/>
    </xf>
    <xf numFmtId="1" fontId="120" fillId="31" borderId="477" xfId="0" applyNumberFormat="1" applyFont="1" applyFill="1" applyBorder="1" applyAlignment="1" applyProtection="1">
      <alignment horizontal="center" vertical="center" wrapText="1"/>
      <protection locked="0"/>
    </xf>
    <xf numFmtId="1" fontId="120" fillId="31" borderId="478" xfId="0" applyNumberFormat="1" applyFont="1" applyFill="1" applyBorder="1" applyAlignment="1" applyProtection="1">
      <alignment horizontal="center" vertical="center" wrapText="1"/>
      <protection locked="0"/>
    </xf>
    <xf numFmtId="0" fontId="2" fillId="0" borderId="11" xfId="0" quotePrefix="1"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31" xfId="0" applyFont="1" applyFill="1" applyBorder="1" applyAlignment="1" applyProtection="1">
      <alignment horizontal="left" vertical="center"/>
      <protection locked="0"/>
    </xf>
    <xf numFmtId="3" fontId="120" fillId="31" borderId="385" xfId="0" applyNumberFormat="1" applyFont="1" applyFill="1" applyBorder="1" applyAlignment="1" applyProtection="1">
      <alignment horizontal="center" vertical="center"/>
      <protection locked="0"/>
    </xf>
    <xf numFmtId="3" fontId="120" fillId="31" borderId="386" xfId="0" applyNumberFormat="1" applyFont="1" applyFill="1" applyBorder="1" applyAlignment="1" applyProtection="1">
      <alignment horizontal="center" vertical="center"/>
      <protection locked="0"/>
    </xf>
    <xf numFmtId="9" fontId="120" fillId="31" borderId="477" xfId="3" applyFont="1" applyFill="1" applyBorder="1" applyAlignment="1" applyProtection="1">
      <alignment horizontal="center" vertical="center" wrapText="1"/>
      <protection locked="0"/>
    </xf>
    <xf numFmtId="9" fontId="120" fillId="31" borderId="478" xfId="3"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protection locked="0"/>
    </xf>
    <xf numFmtId="0" fontId="70" fillId="0" borderId="387" xfId="0" applyFont="1" applyFill="1" applyBorder="1" applyAlignment="1" applyProtection="1">
      <alignment horizontal="center" vertical="top" wrapText="1"/>
      <protection locked="0"/>
    </xf>
    <xf numFmtId="0" fontId="70" fillId="0" borderId="17" xfId="0" applyFont="1" applyFill="1" applyBorder="1" applyAlignment="1" applyProtection="1">
      <alignment horizontal="center" vertical="top" wrapText="1"/>
      <protection locked="0"/>
    </xf>
    <xf numFmtId="0" fontId="70" fillId="0" borderId="32" xfId="0" applyFont="1" applyFill="1" applyBorder="1" applyAlignment="1" applyProtection="1">
      <alignment horizontal="center" vertical="top" wrapText="1"/>
      <protection locked="0"/>
    </xf>
    <xf numFmtId="9" fontId="120" fillId="31" borderId="385" xfId="3" applyFont="1" applyFill="1" applyBorder="1" applyAlignment="1" applyProtection="1">
      <alignment horizontal="center" vertical="center"/>
      <protection locked="0"/>
    </xf>
    <xf numFmtId="9" fontId="120" fillId="31" borderId="386" xfId="3" applyFont="1" applyFill="1" applyBorder="1" applyAlignment="1" applyProtection="1">
      <alignment horizontal="center" vertical="center"/>
      <protection locked="0"/>
    </xf>
    <xf numFmtId="3" fontId="146" fillId="31" borderId="387" xfId="0" applyNumberFormat="1" applyFont="1" applyFill="1" applyBorder="1" applyAlignment="1" applyProtection="1">
      <alignment horizontal="center" vertical="center" wrapText="1"/>
      <protection locked="0"/>
    </xf>
    <xf numFmtId="3" fontId="146" fillId="31" borderId="388" xfId="0" applyNumberFormat="1" applyFont="1" applyFill="1" applyBorder="1" applyAlignment="1" applyProtection="1">
      <alignment horizontal="center" vertical="center" wrapText="1"/>
      <protection locked="0"/>
    </xf>
    <xf numFmtId="3" fontId="146" fillId="31" borderId="387" xfId="0" applyNumberFormat="1" applyFont="1" applyFill="1" applyBorder="1" applyAlignment="1" applyProtection="1">
      <alignment horizontal="center" vertical="center"/>
      <protection locked="0"/>
    </xf>
    <xf numFmtId="3" fontId="146" fillId="31" borderId="388" xfId="0" applyNumberFormat="1" applyFont="1" applyFill="1" applyBorder="1" applyAlignment="1" applyProtection="1">
      <alignment horizontal="center" vertical="center"/>
      <protection locked="0"/>
    </xf>
    <xf numFmtId="3" fontId="120" fillId="0" borderId="477" xfId="0" applyNumberFormat="1" applyFont="1" applyFill="1" applyBorder="1" applyAlignment="1" applyProtection="1">
      <alignment horizontal="center" vertical="center" wrapText="1"/>
      <protection locked="0"/>
    </xf>
    <xf numFmtId="3" fontId="120" fillId="0" borderId="478" xfId="0" applyNumberFormat="1" applyFont="1" applyFill="1" applyBorder="1" applyAlignment="1" applyProtection="1">
      <alignment horizontal="center" vertical="center" wrapText="1"/>
      <protection locked="0"/>
    </xf>
    <xf numFmtId="3" fontId="70" fillId="31" borderId="387" xfId="0" applyNumberFormat="1" applyFont="1" applyFill="1" applyBorder="1" applyAlignment="1" applyProtection="1">
      <alignment horizontal="center" vertical="center" wrapText="1"/>
      <protection locked="0"/>
    </xf>
    <xf numFmtId="3" fontId="70" fillId="31" borderId="388" xfId="0" applyNumberFormat="1" applyFont="1" applyFill="1" applyBorder="1" applyAlignment="1" applyProtection="1">
      <alignment horizontal="center" vertical="center" wrapText="1"/>
      <protection locked="0"/>
    </xf>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9" xfId="0" applyFont="1" applyFill="1" applyBorder="1" applyAlignment="1" applyProtection="1">
      <alignment horizontal="center" vertical="center"/>
    </xf>
    <xf numFmtId="0" fontId="70" fillId="0" borderId="387" xfId="0" applyFont="1" applyFill="1" applyBorder="1" applyAlignment="1" applyProtection="1">
      <alignment horizontal="center" vertical="top"/>
      <protection locked="0"/>
    </xf>
    <xf numFmtId="0" fontId="70" fillId="0" borderId="17" xfId="0" applyFont="1" applyFill="1" applyBorder="1" applyAlignment="1" applyProtection="1">
      <alignment horizontal="center" vertical="top"/>
      <protection locked="0"/>
    </xf>
    <xf numFmtId="0" fontId="70" fillId="0" borderId="32" xfId="0" applyFont="1" applyFill="1" applyBorder="1" applyAlignment="1" applyProtection="1">
      <alignment horizontal="center" vertical="top"/>
      <protection locked="0"/>
    </xf>
    <xf numFmtId="3" fontId="146" fillId="31" borderId="385" xfId="0" applyNumberFormat="1" applyFont="1" applyFill="1" applyBorder="1" applyAlignment="1" applyProtection="1">
      <alignment horizontal="center" vertical="center"/>
      <protection locked="0"/>
    </xf>
    <xf numFmtId="3" fontId="146" fillId="31" borderId="386" xfId="0" applyNumberFormat="1" applyFont="1" applyFill="1" applyBorder="1" applyAlignment="1" applyProtection="1">
      <alignment horizontal="center" vertical="center"/>
      <protection locked="0"/>
    </xf>
    <xf numFmtId="0" fontId="33" fillId="25" borderId="8" xfId="0" applyFont="1" applyFill="1" applyBorder="1" applyAlignment="1" applyProtection="1">
      <alignment horizontal="center" vertical="center" wrapText="1"/>
    </xf>
    <xf numFmtId="0" fontId="33" fillId="25" borderId="9" xfId="0" applyFont="1" applyFill="1" applyBorder="1" applyAlignment="1" applyProtection="1">
      <alignment horizontal="center" vertical="center" wrapText="1"/>
    </xf>
    <xf numFmtId="0" fontId="33" fillId="25" borderId="83" xfId="0" applyFont="1" applyFill="1" applyBorder="1" applyAlignment="1" applyProtection="1">
      <alignment horizontal="center" vertical="center" wrapText="1"/>
    </xf>
    <xf numFmtId="0" fontId="33" fillId="25" borderId="759" xfId="0" applyFont="1" applyFill="1" applyBorder="1" applyAlignment="1" applyProtection="1">
      <alignment horizontal="center" vertical="center" wrapText="1"/>
    </xf>
    <xf numFmtId="0" fontId="33" fillId="25" borderId="760" xfId="0" applyFont="1" applyFill="1" applyBorder="1" applyAlignment="1" applyProtection="1">
      <alignment horizontal="center" vertical="center" wrapText="1"/>
    </xf>
    <xf numFmtId="0" fontId="33" fillId="25" borderId="761" xfId="0" applyFont="1" applyFill="1" applyBorder="1" applyAlignment="1" applyProtection="1">
      <alignment horizontal="center" vertical="center" wrapText="1"/>
    </xf>
    <xf numFmtId="0" fontId="33" fillId="25" borderId="383" xfId="0" applyFont="1" applyFill="1" applyBorder="1" applyAlignment="1" applyProtection="1">
      <alignment horizontal="center" vertical="center" wrapText="1"/>
    </xf>
    <xf numFmtId="0" fontId="33" fillId="25" borderId="384" xfId="0" applyFont="1" applyFill="1" applyBorder="1" applyAlignment="1" applyProtection="1">
      <alignment horizontal="center" vertical="center" wrapText="1"/>
    </xf>
    <xf numFmtId="0" fontId="33" fillId="25" borderId="762" xfId="0" applyFont="1" applyFill="1" applyBorder="1" applyAlignment="1" applyProtection="1">
      <alignment horizontal="center" vertical="center" wrapText="1"/>
    </xf>
    <xf numFmtId="0" fontId="33" fillId="25" borderId="763" xfId="0" applyFont="1" applyFill="1" applyBorder="1" applyAlignment="1" applyProtection="1">
      <alignment horizontal="center" vertical="center" wrapText="1"/>
    </xf>
    <xf numFmtId="0" fontId="21" fillId="0" borderId="16" xfId="0" applyFont="1" applyFill="1" applyBorder="1" applyAlignment="1" applyProtection="1">
      <alignment horizontal="left" vertical="center"/>
      <protection locked="0"/>
    </xf>
    <xf numFmtId="0" fontId="21" fillId="0" borderId="17" xfId="0" applyFont="1" applyFill="1" applyBorder="1" applyAlignment="1" applyProtection="1">
      <alignment horizontal="left" vertical="center"/>
      <protection locked="0"/>
    </xf>
    <xf numFmtId="3" fontId="120" fillId="0" borderId="387" xfId="0" applyNumberFormat="1" applyFont="1" applyFill="1" applyBorder="1" applyAlignment="1" applyProtection="1">
      <alignment horizontal="center" vertical="center" wrapText="1"/>
      <protection locked="0"/>
    </xf>
    <xf numFmtId="3" fontId="120" fillId="0" borderId="388" xfId="0" applyNumberFormat="1" applyFont="1" applyFill="1" applyBorder="1" applyAlignment="1" applyProtection="1">
      <alignment horizontal="center" vertical="center" wrapText="1"/>
      <protection locked="0"/>
    </xf>
    <xf numFmtId="1" fontId="120" fillId="31" borderId="477" xfId="3" applyNumberFormat="1" applyFont="1" applyFill="1" applyBorder="1" applyAlignment="1" applyProtection="1">
      <alignment horizontal="center" vertical="center" wrapText="1"/>
      <protection locked="0"/>
    </xf>
    <xf numFmtId="1" fontId="120" fillId="31" borderId="478" xfId="3" applyNumberFormat="1" applyFont="1" applyFill="1" applyBorder="1" applyAlignment="1" applyProtection="1">
      <alignment horizontal="center" vertical="center" wrapText="1"/>
      <protection locked="0"/>
    </xf>
    <xf numFmtId="0" fontId="43" fillId="7" borderId="335" xfId="0" applyFont="1" applyFill="1" applyBorder="1" applyAlignment="1" applyProtection="1">
      <alignment horizontal="left" vertical="center"/>
    </xf>
    <xf numFmtId="0" fontId="43" fillId="7" borderId="337" xfId="0" applyFont="1" applyFill="1" applyBorder="1" applyAlignment="1" applyProtection="1">
      <alignment horizontal="left" vertical="center"/>
    </xf>
    <xf numFmtId="0" fontId="39" fillId="7" borderId="335" xfId="0" applyFont="1" applyFill="1" applyBorder="1" applyAlignment="1" applyProtection="1">
      <alignment horizontal="right" vertical="center"/>
    </xf>
    <xf numFmtId="0" fontId="33" fillId="25" borderId="1326" xfId="0" applyFont="1" applyFill="1" applyBorder="1" applyAlignment="1" applyProtection="1">
      <alignment horizontal="center" vertical="center" wrapText="1"/>
    </xf>
    <xf numFmtId="0" fontId="33" fillId="25" borderId="10" xfId="0" applyFont="1" applyFill="1" applyBorder="1" applyAlignment="1" applyProtection="1">
      <alignment horizontal="center" vertical="center" wrapText="1"/>
    </xf>
    <xf numFmtId="0" fontId="33" fillId="25" borderId="1327" xfId="0" applyFont="1" applyFill="1" applyBorder="1" applyAlignment="1" applyProtection="1">
      <alignment horizontal="center" vertical="center" wrapText="1"/>
    </xf>
    <xf numFmtId="0" fontId="33" fillId="25" borderId="764" xfId="0" applyFont="1" applyFill="1" applyBorder="1" applyAlignment="1" applyProtection="1">
      <alignment horizontal="center" vertical="center" wrapText="1"/>
    </xf>
    <xf numFmtId="3" fontId="0" fillId="0" borderId="1613" xfId="6" applyNumberFormat="1" applyFont="1" applyBorder="1" applyAlignment="1">
      <alignment horizontal="right"/>
    </xf>
    <xf numFmtId="3" fontId="11" fillId="0" borderId="1614" xfId="6" applyNumberFormat="1" applyFont="1" applyBorder="1" applyAlignment="1">
      <alignment horizontal="right"/>
    </xf>
    <xf numFmtId="3" fontId="11" fillId="0" borderId="1619" xfId="6" applyNumberFormat="1" applyFont="1" applyBorder="1" applyAlignment="1">
      <alignment horizontal="right"/>
    </xf>
    <xf numFmtId="3" fontId="21" fillId="0" borderId="1614" xfId="6" applyNumberFormat="1" applyFont="1" applyBorder="1" applyAlignment="1">
      <alignment horizontal="center"/>
    </xf>
    <xf numFmtId="3" fontId="21" fillId="0" borderId="1617" xfId="6" applyNumberFormat="1" applyFont="1" applyBorder="1" applyAlignment="1">
      <alignment horizontal="center"/>
    </xf>
    <xf numFmtId="3" fontId="41" fillId="0" borderId="30" xfId="6" applyNumberFormat="1" applyFont="1" applyFill="1" applyBorder="1" applyAlignment="1" applyProtection="1">
      <alignment horizontal="center" vertical="center" wrapText="1"/>
    </xf>
    <xf numFmtId="3" fontId="41" fillId="0" borderId="0" xfId="6" applyNumberFormat="1" applyFont="1" applyFill="1" applyBorder="1" applyAlignment="1" applyProtection="1">
      <alignment horizontal="center" vertical="center" wrapText="1"/>
    </xf>
    <xf numFmtId="3" fontId="35" fillId="0" borderId="1284" xfId="6" applyNumberFormat="1" applyFont="1" applyFill="1" applyBorder="1" applyAlignment="1" applyProtection="1">
      <alignment horizontal="left" vertical="center" wrapText="1"/>
    </xf>
    <xf numFmtId="3" fontId="35" fillId="0" borderId="1285" xfId="6" applyNumberFormat="1" applyFont="1" applyFill="1" applyBorder="1" applyAlignment="1" applyProtection="1">
      <alignment horizontal="left" vertical="center" wrapText="1"/>
    </xf>
    <xf numFmtId="3" fontId="177" fillId="25" borderId="1217" xfId="2" applyNumberFormat="1" applyFont="1" applyFill="1" applyBorder="1" applyAlignment="1" applyProtection="1">
      <alignment horizontal="left" vertical="center" wrapText="1"/>
    </xf>
    <xf numFmtId="3" fontId="177" fillId="25" borderId="553" xfId="2" applyNumberFormat="1" applyFont="1" applyFill="1" applyBorder="1" applyAlignment="1" applyProtection="1">
      <alignment horizontal="left" vertical="center" wrapText="1"/>
    </xf>
    <xf numFmtId="3" fontId="177" fillId="25" borderId="582" xfId="2" applyNumberFormat="1" applyFont="1" applyFill="1" applyBorder="1" applyAlignment="1" applyProtection="1">
      <alignment horizontal="left" vertical="center" wrapText="1"/>
    </xf>
    <xf numFmtId="3" fontId="111" fillId="28" borderId="1401" xfId="2" applyNumberFormat="1" applyFont="1" applyFill="1" applyBorder="1" applyAlignment="1" applyProtection="1">
      <alignment horizontal="center" vertical="center"/>
    </xf>
    <xf numFmtId="3" fontId="111" fillId="28" borderId="1515" xfId="2" applyNumberFormat="1" applyFont="1" applyFill="1" applyBorder="1" applyAlignment="1" applyProtection="1">
      <alignment horizontal="center" vertical="center"/>
    </xf>
    <xf numFmtId="3" fontId="157" fillId="77" borderId="335" xfId="6" applyNumberFormat="1" applyFont="1" applyFill="1" applyBorder="1" applyAlignment="1" applyProtection="1">
      <alignment horizontal="center" vertical="center" wrapText="1"/>
    </xf>
    <xf numFmtId="3" fontId="157" fillId="77" borderId="337" xfId="6" applyNumberFormat="1" applyFont="1" applyFill="1" applyBorder="1" applyAlignment="1" applyProtection="1">
      <alignment horizontal="center" vertical="center" wrapText="1"/>
    </xf>
    <xf numFmtId="3" fontId="24" fillId="25" borderId="1211" xfId="6" applyNumberFormat="1" applyFont="1" applyFill="1" applyBorder="1" applyAlignment="1" applyProtection="1">
      <alignment horizontal="left" vertical="center" wrapText="1"/>
    </xf>
    <xf numFmtId="3" fontId="24" fillId="25" borderId="1212" xfId="6" applyNumberFormat="1" applyFont="1" applyFill="1" applyBorder="1" applyAlignment="1" applyProtection="1">
      <alignment horizontal="left" vertical="center" wrapText="1"/>
    </xf>
    <xf numFmtId="3" fontId="172" fillId="28" borderId="1216" xfId="2" applyNumberFormat="1" applyFont="1" applyFill="1" applyBorder="1" applyAlignment="1" applyProtection="1">
      <alignment horizontal="left" vertical="center" wrapText="1"/>
    </xf>
    <xf numFmtId="3" fontId="172" fillId="28" borderId="533" xfId="2" applyNumberFormat="1" applyFont="1" applyFill="1" applyBorder="1" applyAlignment="1" applyProtection="1">
      <alignment horizontal="left" vertical="center" wrapText="1"/>
    </xf>
    <xf numFmtId="3" fontId="172" fillId="28" borderId="1384" xfId="2" applyNumberFormat="1" applyFont="1" applyFill="1" applyBorder="1" applyAlignment="1" applyProtection="1">
      <alignment horizontal="left" vertical="center"/>
    </xf>
    <xf numFmtId="3" fontId="172" fillId="28" borderId="569" xfId="2" applyNumberFormat="1" applyFont="1" applyFill="1" applyBorder="1" applyAlignment="1" applyProtection="1">
      <alignment horizontal="left" vertical="center"/>
    </xf>
    <xf numFmtId="3" fontId="51" fillId="0" borderId="78" xfId="6" applyNumberFormat="1" applyFont="1" applyFill="1" applyBorder="1" applyAlignment="1" applyProtection="1">
      <alignment horizontal="right" vertical="center" wrapText="1"/>
    </xf>
    <xf numFmtId="3" fontId="51" fillId="0" borderId="19" xfId="6" applyNumberFormat="1" applyFont="1" applyFill="1" applyBorder="1" applyAlignment="1" applyProtection="1">
      <alignment horizontal="right" vertical="center" wrapText="1"/>
    </xf>
    <xf numFmtId="3" fontId="111" fillId="28" borderId="1211" xfId="2" applyNumberFormat="1" applyFont="1" applyFill="1" applyBorder="1" applyAlignment="1" applyProtection="1">
      <alignment horizontal="left" vertical="center"/>
    </xf>
    <xf numFmtId="3" fontId="111" fillId="28" borderId="1212" xfId="2" applyNumberFormat="1" applyFont="1" applyFill="1" applyBorder="1" applyAlignment="1" applyProtection="1">
      <alignment horizontal="left" vertical="center"/>
    </xf>
    <xf numFmtId="3" fontId="111" fillId="28" borderId="1385" xfId="2" applyNumberFormat="1" applyFont="1" applyFill="1" applyBorder="1" applyAlignment="1" applyProtection="1">
      <alignment horizontal="left" vertical="center"/>
    </xf>
    <xf numFmtId="3" fontId="111" fillId="28" borderId="1386" xfId="2" applyNumberFormat="1" applyFont="1" applyFill="1" applyBorder="1" applyAlignment="1" applyProtection="1">
      <alignment horizontal="left" vertical="center"/>
    </xf>
    <xf numFmtId="3" fontId="111" fillId="28" borderId="1401" xfId="2" applyNumberFormat="1" applyFont="1" applyFill="1" applyBorder="1" applyAlignment="1" applyProtection="1">
      <alignment horizontal="left" vertical="center"/>
    </xf>
    <xf numFmtId="3" fontId="111" fillId="28" borderId="1242" xfId="2" applyNumberFormat="1" applyFont="1" applyFill="1" applyBorder="1" applyAlignment="1" applyProtection="1">
      <alignment horizontal="left" vertical="center"/>
      <protection locked="0"/>
    </xf>
    <xf numFmtId="3" fontId="111" fillId="28" borderId="550" xfId="2" applyNumberFormat="1" applyFont="1" applyFill="1" applyBorder="1" applyAlignment="1" applyProtection="1">
      <alignment horizontal="left" vertical="center"/>
      <protection locked="0"/>
    </xf>
    <xf numFmtId="3" fontId="98" fillId="0" borderId="1222" xfId="2" applyNumberFormat="1" applyFont="1" applyFill="1" applyBorder="1" applyAlignment="1" applyProtection="1">
      <alignment horizontal="center" vertical="center" wrapText="1"/>
    </xf>
    <xf numFmtId="3" fontId="98" fillId="0" borderId="570" xfId="2" applyNumberFormat="1" applyFont="1" applyFill="1" applyBorder="1" applyAlignment="1" applyProtection="1">
      <alignment horizontal="center" vertical="center" wrapText="1"/>
    </xf>
    <xf numFmtId="3" fontId="98" fillId="28" borderId="1218" xfId="2" applyNumberFormat="1" applyFont="1" applyFill="1" applyBorder="1" applyAlignment="1" applyProtection="1">
      <alignment horizontal="right" vertical="center" wrapText="1"/>
    </xf>
    <xf numFmtId="3" fontId="98" fillId="28" borderId="536" xfId="2" applyNumberFormat="1" applyFont="1" applyFill="1" applyBorder="1" applyAlignment="1" applyProtection="1">
      <alignment horizontal="right" vertical="center" wrapText="1"/>
    </xf>
    <xf numFmtId="3" fontId="97" fillId="0" borderId="1242" xfId="6" applyNumberFormat="1" applyFont="1" applyBorder="1" applyAlignment="1" applyProtection="1">
      <alignment horizontal="right"/>
    </xf>
    <xf numFmtId="3" fontId="97" fillId="0" borderId="550" xfId="6" applyNumberFormat="1" applyFont="1" applyBorder="1" applyAlignment="1" applyProtection="1">
      <alignment horizontal="right"/>
    </xf>
    <xf numFmtId="3" fontId="98" fillId="0" borderId="1244" xfId="2" applyNumberFormat="1" applyFont="1" applyFill="1" applyBorder="1" applyAlignment="1" applyProtection="1">
      <alignment horizontal="right" vertical="center" wrapText="1"/>
    </xf>
    <xf numFmtId="3" fontId="98" fillId="0" borderId="696" xfId="2" applyNumberFormat="1" applyFont="1" applyFill="1" applyBorder="1" applyAlignment="1" applyProtection="1">
      <alignment horizontal="right" vertical="center" wrapText="1"/>
    </xf>
    <xf numFmtId="3" fontId="0" fillId="0" borderId="30" xfId="6" applyNumberFormat="1" applyFont="1" applyBorder="1" applyAlignment="1">
      <alignment horizontal="right" vertical="center"/>
    </xf>
    <xf numFmtId="3" fontId="11" fillId="0" borderId="0" xfId="6" applyNumberFormat="1" applyFont="1" applyBorder="1" applyAlignment="1">
      <alignment horizontal="right" vertical="center"/>
    </xf>
    <xf numFmtId="3" fontId="0" fillId="0" borderId="1245" xfId="6" applyNumberFormat="1" applyFont="1" applyBorder="1" applyAlignment="1">
      <alignment horizontal="right" vertical="center"/>
    </xf>
    <xf numFmtId="3" fontId="11" fillId="0" borderId="602" xfId="6" applyNumberFormat="1" applyFont="1" applyBorder="1" applyAlignment="1">
      <alignment horizontal="right" vertical="center"/>
    </xf>
    <xf numFmtId="3" fontId="25" fillId="0" borderId="1246" xfId="6" applyNumberFormat="1" applyFont="1" applyBorder="1" applyAlignment="1">
      <alignment horizontal="right" vertical="center"/>
    </xf>
    <xf numFmtId="3" fontId="25" fillId="0" borderId="1247" xfId="6" applyNumberFormat="1" applyFont="1" applyBorder="1" applyAlignment="1">
      <alignment horizontal="right" vertical="center"/>
    </xf>
    <xf numFmtId="3" fontId="164" fillId="0" borderId="1246" xfId="6" applyNumberFormat="1" applyFont="1" applyBorder="1" applyAlignment="1">
      <alignment horizontal="right" vertical="center"/>
    </xf>
    <xf numFmtId="3" fontId="164" fillId="0" borderId="1247" xfId="6" applyNumberFormat="1" applyFont="1" applyBorder="1" applyAlignment="1">
      <alignment horizontal="right" vertical="center"/>
    </xf>
    <xf numFmtId="3" fontId="41" fillId="25" borderId="1211" xfId="6" applyNumberFormat="1" applyFont="1" applyFill="1" applyBorder="1" applyAlignment="1" applyProtection="1">
      <alignment horizontal="center" vertical="center" wrapText="1"/>
    </xf>
    <xf numFmtId="3" fontId="41" fillId="25" borderId="1212" xfId="6" applyNumberFormat="1" applyFont="1" applyFill="1" applyBorder="1" applyAlignment="1" applyProtection="1">
      <alignment horizontal="center" vertical="center" wrapText="1"/>
    </xf>
    <xf numFmtId="3" fontId="41" fillId="0" borderId="1387" xfId="6" applyNumberFormat="1" applyFont="1" applyFill="1" applyBorder="1" applyAlignment="1" applyProtection="1">
      <alignment horizontal="center" vertical="center" wrapText="1"/>
    </xf>
    <xf numFmtId="3" fontId="41" fillId="0" borderId="1305" xfId="6" applyNumberFormat="1" applyFont="1" applyFill="1" applyBorder="1" applyAlignment="1" applyProtection="1">
      <alignment horizontal="center" vertical="center" wrapText="1"/>
    </xf>
    <xf numFmtId="3" fontId="37" fillId="2" borderId="0" xfId="0" applyNumberFormat="1" applyFont="1" applyFill="1" applyBorder="1" applyAlignment="1" applyProtection="1">
      <alignment horizontal="center" vertical="center"/>
    </xf>
    <xf numFmtId="3" fontId="26" fillId="0" borderId="0" xfId="0" applyNumberFormat="1" applyFont="1" applyAlignment="1" applyProtection="1">
      <alignment horizontal="center" vertical="center"/>
    </xf>
    <xf numFmtId="3" fontId="26" fillId="0" borderId="0" xfId="0" applyNumberFormat="1" applyFont="1" applyAlignment="1" applyProtection="1">
      <alignment horizontal="left" vertical="center" wrapText="1"/>
    </xf>
    <xf numFmtId="3" fontId="38" fillId="2" borderId="2" xfId="0" applyNumberFormat="1" applyFont="1" applyFill="1" applyBorder="1" applyAlignment="1" applyProtection="1">
      <alignment horizontal="center" vertical="center"/>
    </xf>
    <xf numFmtId="3" fontId="38" fillId="2" borderId="3" xfId="0" applyNumberFormat="1" applyFont="1" applyFill="1" applyBorder="1" applyAlignment="1" applyProtection="1">
      <alignment horizontal="center" vertical="center"/>
    </xf>
    <xf numFmtId="3" fontId="38" fillId="2" borderId="4" xfId="0" applyNumberFormat="1" applyFont="1" applyFill="1" applyBorder="1" applyAlignment="1" applyProtection="1">
      <alignment horizontal="center" vertical="center"/>
    </xf>
    <xf numFmtId="3" fontId="38" fillId="5" borderId="2" xfId="0" applyNumberFormat="1" applyFont="1" applyFill="1" applyBorder="1" applyAlignment="1" applyProtection="1">
      <alignment horizontal="center" vertical="center" wrapText="1"/>
      <protection locked="0"/>
    </xf>
    <xf numFmtId="3" fontId="38" fillId="5" borderId="4" xfId="0" applyNumberFormat="1" applyFont="1" applyFill="1" applyBorder="1" applyAlignment="1" applyProtection="1">
      <alignment horizontal="center" vertical="center" wrapText="1"/>
      <protection locked="0"/>
    </xf>
    <xf numFmtId="3" fontId="113" fillId="7" borderId="335" xfId="0" applyNumberFormat="1" applyFont="1" applyFill="1" applyBorder="1" applyAlignment="1" applyProtection="1">
      <alignment horizontal="right" vertical="center"/>
    </xf>
    <xf numFmtId="3" fontId="42" fillId="7" borderId="335" xfId="0" applyNumberFormat="1" applyFont="1" applyFill="1" applyBorder="1" applyAlignment="1" applyProtection="1">
      <alignment horizontal="left" vertical="center"/>
    </xf>
    <xf numFmtId="3" fontId="42" fillId="7" borderId="337" xfId="0" applyNumberFormat="1" applyFont="1" applyFill="1" applyBorder="1" applyAlignment="1" applyProtection="1">
      <alignment horizontal="left" vertical="center"/>
    </xf>
    <xf numFmtId="3" fontId="111" fillId="28" borderId="1216" xfId="2" applyNumberFormat="1" applyFont="1" applyFill="1" applyBorder="1" applyAlignment="1" applyProtection="1">
      <alignment horizontal="left" vertical="center"/>
    </xf>
    <xf numFmtId="3" fontId="111" fillId="28" borderId="533" xfId="2" applyNumberFormat="1" applyFont="1" applyFill="1" applyBorder="1" applyAlignment="1" applyProtection="1">
      <alignment horizontal="left" vertical="center"/>
    </xf>
    <xf numFmtId="3" fontId="41" fillId="7" borderId="1234" xfId="6" applyNumberFormat="1" applyFont="1" applyFill="1" applyBorder="1" applyAlignment="1" applyProtection="1">
      <alignment horizontal="center" vertical="center" wrapText="1"/>
    </xf>
    <xf numFmtId="3" fontId="41" fillId="7" borderId="1235" xfId="6" applyNumberFormat="1" applyFont="1" applyFill="1" applyBorder="1" applyAlignment="1" applyProtection="1">
      <alignment horizontal="center" vertical="center" wrapText="1"/>
    </xf>
    <xf numFmtId="3" fontId="41" fillId="7" borderId="1236" xfId="6" applyNumberFormat="1" applyFont="1" applyFill="1" applyBorder="1" applyAlignment="1" applyProtection="1">
      <alignment horizontal="center" vertical="center" wrapText="1"/>
    </xf>
    <xf numFmtId="3" fontId="41" fillId="0" borderId="1224" xfId="6" applyNumberFormat="1" applyFont="1" applyFill="1" applyBorder="1" applyAlignment="1" applyProtection="1">
      <alignment horizontal="center" vertical="center" wrapText="1"/>
    </xf>
    <xf numFmtId="3" fontId="41" fillId="0" borderId="544" xfId="6" applyNumberFormat="1" applyFont="1" applyFill="1" applyBorder="1" applyAlignment="1" applyProtection="1">
      <alignment horizontal="center" vertical="center" wrapText="1"/>
    </xf>
    <xf numFmtId="3" fontId="16" fillId="0" borderId="544" xfId="6" applyNumberFormat="1" applyFont="1" applyFill="1" applyBorder="1" applyAlignment="1" applyProtection="1">
      <alignment horizontal="center" vertical="center"/>
    </xf>
    <xf numFmtId="3" fontId="16" fillId="0" borderId="545" xfId="6" applyNumberFormat="1" applyFont="1" applyFill="1" applyBorder="1" applyAlignment="1" applyProtection="1">
      <alignment horizontal="center" vertical="center"/>
    </xf>
    <xf numFmtId="3" fontId="16" fillId="0" borderId="1158" xfId="6" applyNumberFormat="1" applyFont="1" applyBorder="1" applyAlignment="1" applyProtection="1">
      <alignment horizontal="center" vertical="center"/>
    </xf>
    <xf numFmtId="3" fontId="16" fillId="0" borderId="1159" xfId="6" applyNumberFormat="1" applyFont="1" applyBorder="1" applyAlignment="1" applyProtection="1">
      <alignment horizontal="center" vertical="center"/>
    </xf>
    <xf numFmtId="3" fontId="16" fillId="0" borderId="1239" xfId="6" applyNumberFormat="1" applyFont="1" applyBorder="1" applyAlignment="1" applyProtection="1">
      <alignment horizontal="center" vertical="center"/>
    </xf>
    <xf numFmtId="3" fontId="98" fillId="28" borderId="1216" xfId="2" applyNumberFormat="1" applyFont="1" applyFill="1" applyBorder="1" applyAlignment="1" applyProtection="1">
      <alignment horizontal="right" vertical="center" wrapText="1"/>
    </xf>
    <xf numFmtId="3" fontId="98" fillId="28" borderId="533" xfId="2" applyNumberFormat="1" applyFont="1" applyFill="1" applyBorder="1" applyAlignment="1" applyProtection="1">
      <alignment horizontal="right" vertical="center" wrapText="1"/>
    </xf>
    <xf numFmtId="3" fontId="97" fillId="0" borderId="1217" xfId="6" applyNumberFormat="1" applyFont="1" applyBorder="1" applyAlignment="1" applyProtection="1">
      <alignment horizontal="center"/>
    </xf>
    <xf numFmtId="3" fontId="97" fillId="0" borderId="553" xfId="6" applyNumberFormat="1" applyFont="1" applyBorder="1" applyAlignment="1" applyProtection="1">
      <alignment horizontal="center"/>
    </xf>
    <xf numFmtId="3" fontId="97" fillId="0" borderId="554" xfId="6" applyNumberFormat="1" applyFont="1" applyBorder="1" applyAlignment="1" applyProtection="1">
      <alignment horizontal="center"/>
    </xf>
    <xf numFmtId="3" fontId="157" fillId="75" borderId="1388" xfId="6" applyNumberFormat="1" applyFont="1" applyFill="1" applyBorder="1" applyAlignment="1" applyProtection="1">
      <alignment horizontal="center" vertical="center" wrapText="1"/>
    </xf>
    <xf numFmtId="3" fontId="157" fillId="75" borderId="1389" xfId="6" applyNumberFormat="1" applyFont="1" applyFill="1" applyBorder="1" applyAlignment="1" applyProtection="1">
      <alignment horizontal="center" vertical="center" wrapText="1"/>
    </xf>
    <xf numFmtId="3" fontId="172" fillId="25" borderId="1335" xfId="2" applyNumberFormat="1" applyFont="1" applyFill="1" applyBorder="1" applyAlignment="1" applyProtection="1">
      <alignment horizontal="right" vertical="center"/>
    </xf>
    <xf numFmtId="3" fontId="172" fillId="25" borderId="1254" xfId="2" applyNumberFormat="1" applyFont="1" applyFill="1" applyBorder="1" applyAlignment="1" applyProtection="1">
      <alignment horizontal="right" vertical="center"/>
    </xf>
    <xf numFmtId="3" fontId="172" fillId="25" borderId="1336" xfId="2" applyNumberFormat="1" applyFont="1" applyFill="1" applyBorder="1" applyAlignment="1" applyProtection="1">
      <alignment horizontal="right" vertical="center"/>
    </xf>
    <xf numFmtId="3" fontId="172" fillId="25" borderId="1392" xfId="2" applyNumberFormat="1" applyFont="1" applyFill="1" applyBorder="1" applyAlignment="1" applyProtection="1">
      <alignment horizontal="right" vertical="center"/>
    </xf>
    <xf numFmtId="3" fontId="172" fillId="25" borderId="1393" xfId="2" applyNumberFormat="1" applyFont="1" applyFill="1" applyBorder="1" applyAlignment="1" applyProtection="1">
      <alignment horizontal="right" vertical="center"/>
    </xf>
    <xf numFmtId="3" fontId="172" fillId="25" borderId="1394" xfId="2" applyNumberFormat="1" applyFont="1" applyFill="1" applyBorder="1" applyAlignment="1" applyProtection="1">
      <alignment horizontal="right" vertical="center"/>
    </xf>
    <xf numFmtId="3" fontId="111" fillId="28" borderId="1390" xfId="2" applyNumberFormat="1" applyFont="1" applyFill="1" applyBorder="1" applyAlignment="1" applyProtection="1">
      <alignment horizontal="left" vertical="center" wrapText="1"/>
    </xf>
    <xf numFmtId="3" fontId="111" fillId="28" borderId="1391" xfId="2" applyNumberFormat="1" applyFont="1" applyFill="1" applyBorder="1" applyAlignment="1" applyProtection="1">
      <alignment horizontal="left" vertical="center" wrapText="1"/>
    </xf>
    <xf numFmtId="3" fontId="111" fillId="28" borderId="1407" xfId="2" applyNumberFormat="1" applyFont="1" applyFill="1" applyBorder="1" applyAlignment="1" applyProtection="1">
      <alignment horizontal="left" vertical="center" wrapText="1"/>
    </xf>
    <xf numFmtId="0" fontId="2" fillId="0" borderId="76"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78"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6" fillId="0" borderId="16" xfId="0" applyFont="1" applyFill="1" applyBorder="1" applyAlignment="1" applyProtection="1">
      <alignment horizontal="left" vertical="center" wrapText="1"/>
      <protection locked="0"/>
    </xf>
    <xf numFmtId="0" fontId="26" fillId="0" borderId="17" xfId="0" applyFont="1" applyFill="1" applyBorder="1" applyAlignment="1" applyProtection="1">
      <alignment horizontal="left" vertical="center" wrapText="1"/>
      <protection locked="0"/>
    </xf>
    <xf numFmtId="0" fontId="40" fillId="0" borderId="76" xfId="0" applyFont="1" applyFill="1" applyBorder="1" applyAlignment="1" applyProtection="1">
      <alignment horizontal="left" vertical="center"/>
      <protection locked="0"/>
    </xf>
    <xf numFmtId="0" fontId="40" fillId="0" borderId="20" xfId="0" applyFont="1" applyFill="1" applyBorder="1" applyAlignment="1" applyProtection="1">
      <alignment horizontal="left" vertical="center"/>
      <protection locked="0"/>
    </xf>
    <xf numFmtId="0" fontId="40" fillId="0" borderId="16" xfId="0" applyFont="1" applyFill="1" applyBorder="1" applyAlignment="1" applyProtection="1">
      <alignment horizontal="left" vertical="center" wrapText="1"/>
      <protection locked="0"/>
    </xf>
    <xf numFmtId="0" fontId="40" fillId="0" borderId="17" xfId="0" applyFont="1" applyFill="1" applyBorder="1" applyAlignment="1" applyProtection="1">
      <alignment horizontal="left" vertical="center" wrapText="1"/>
      <protection locked="0"/>
    </xf>
    <xf numFmtId="0" fontId="2" fillId="0" borderId="23" xfId="0" quotePrefix="1" applyFont="1" applyFill="1" applyBorder="1" applyAlignment="1" applyProtection="1">
      <alignment horizontal="left" vertical="center"/>
      <protection locked="0"/>
    </xf>
    <xf numFmtId="0" fontId="2" fillId="0" borderId="24" xfId="0" quotePrefix="1" applyFont="1" applyFill="1" applyBorder="1" applyAlignment="1" applyProtection="1">
      <alignment horizontal="left" vertical="center"/>
      <protection locked="0"/>
    </xf>
    <xf numFmtId="0" fontId="40" fillId="0" borderId="32" xfId="0" applyFont="1" applyFill="1" applyBorder="1" applyAlignment="1" applyProtection="1">
      <alignment horizontal="left" vertical="center"/>
      <protection locked="0"/>
    </xf>
    <xf numFmtId="0" fontId="2" fillId="0" borderId="23" xfId="0" applyFont="1" applyFill="1" applyBorder="1" applyAlignment="1" applyProtection="1">
      <alignment horizontal="left" vertical="center"/>
      <protection locked="0"/>
    </xf>
    <xf numFmtId="0" fontId="2" fillId="0" borderId="24" xfId="0" applyFont="1" applyFill="1" applyBorder="1" applyAlignment="1" applyProtection="1">
      <alignment horizontal="left" vertical="center"/>
      <protection locked="0"/>
    </xf>
    <xf numFmtId="0" fontId="2" fillId="0" borderId="76" xfId="0" quotePrefix="1" applyFont="1" applyFill="1" applyBorder="1" applyAlignment="1" applyProtection="1">
      <alignment horizontal="left" vertical="center"/>
      <protection locked="0"/>
    </xf>
    <xf numFmtId="0" fontId="2" fillId="0" borderId="20" xfId="0" quotePrefix="1" applyFont="1" applyFill="1" applyBorder="1" applyAlignment="1" applyProtection="1">
      <alignment horizontal="left" vertical="center"/>
      <protection locked="0"/>
    </xf>
    <xf numFmtId="0" fontId="33" fillId="25" borderId="5" xfId="0" applyFont="1" applyFill="1" applyBorder="1" applyAlignment="1" applyProtection="1">
      <alignment horizontal="center" vertical="center" wrapText="1"/>
    </xf>
    <xf numFmtId="0" fontId="33" fillId="25" borderId="7" xfId="0" applyFont="1" applyFill="1" applyBorder="1" applyAlignment="1" applyProtection="1">
      <alignment horizontal="center" vertical="center" wrapText="1"/>
    </xf>
    <xf numFmtId="0" fontId="33" fillId="25" borderId="26" xfId="0" applyFont="1" applyFill="1" applyBorder="1" applyAlignment="1" applyProtection="1">
      <alignment horizontal="center" vertical="center" wrapText="1"/>
    </xf>
    <xf numFmtId="0" fontId="33" fillId="28" borderId="1585" xfId="0" applyFont="1" applyFill="1" applyBorder="1" applyAlignment="1" applyProtection="1">
      <alignment horizontal="center" vertical="center" wrapText="1"/>
    </xf>
    <xf numFmtId="0" fontId="33" fillId="28" borderId="1586" xfId="0" applyFont="1" applyFill="1" applyBorder="1" applyAlignment="1" applyProtection="1">
      <alignment horizontal="center" vertical="center" wrapText="1"/>
    </xf>
    <xf numFmtId="0" fontId="33" fillId="25" borderId="1601" xfId="0" applyFont="1" applyFill="1" applyBorder="1" applyAlignment="1" applyProtection="1">
      <alignment horizontal="center" vertical="center" wrapText="1"/>
    </xf>
    <xf numFmtId="0" fontId="33" fillId="25" borderId="28" xfId="0" applyFont="1" applyFill="1" applyBorder="1" applyAlignment="1" applyProtection="1">
      <alignment horizontal="center" vertical="center" wrapText="1"/>
    </xf>
    <xf numFmtId="0" fontId="40" fillId="0" borderId="16" xfId="0" quotePrefix="1" applyFont="1" applyFill="1" applyBorder="1" applyAlignment="1" applyProtection="1">
      <alignment horizontal="left" vertical="center"/>
      <protection locked="0"/>
    </xf>
    <xf numFmtId="0" fontId="40" fillId="0" borderId="17" xfId="0" quotePrefix="1" applyFont="1" applyFill="1" applyBorder="1" applyAlignment="1" applyProtection="1">
      <alignment horizontal="left" vertical="center"/>
      <protection locked="0"/>
    </xf>
    <xf numFmtId="0" fontId="22" fillId="0" borderId="831" xfId="2" applyFont="1" applyFill="1" applyBorder="1" applyAlignment="1" applyProtection="1">
      <alignment horizontal="left" vertical="center"/>
      <protection locked="0"/>
    </xf>
    <xf numFmtId="0" fontId="22" fillId="0" borderId="834" xfId="2" applyFont="1" applyFill="1" applyBorder="1" applyAlignment="1" applyProtection="1">
      <alignment horizontal="left" vertical="center"/>
      <protection locked="0"/>
    </xf>
    <xf numFmtId="0" fontId="2" fillId="0" borderId="16" xfId="0" quotePrefix="1" applyFont="1" applyFill="1" applyBorder="1" applyAlignment="1" applyProtection="1">
      <alignment horizontal="left" vertical="center" wrapText="1"/>
      <protection locked="0"/>
    </xf>
    <xf numFmtId="0" fontId="22" fillId="0" borderId="831" xfId="2" applyFont="1" applyFill="1" applyBorder="1" applyAlignment="1" applyProtection="1">
      <alignment horizontal="left" vertical="center" wrapText="1"/>
      <protection locked="0"/>
    </xf>
    <xf numFmtId="0" fontId="22" fillId="0" borderId="834" xfId="2" applyFont="1" applyFill="1" applyBorder="1" applyAlignment="1" applyProtection="1">
      <alignment horizontal="left" vertical="center" wrapText="1"/>
      <protection locked="0"/>
    </xf>
    <xf numFmtId="0" fontId="40" fillId="0" borderId="32" xfId="0" applyFont="1" applyFill="1" applyBorder="1" applyAlignment="1" applyProtection="1">
      <alignment horizontal="left" vertical="center" wrapText="1"/>
      <protection locked="0"/>
    </xf>
    <xf numFmtId="3" fontId="42" fillId="7" borderId="0" xfId="0" applyNumberFormat="1" applyFont="1" applyFill="1" applyBorder="1" applyAlignment="1" applyProtection="1">
      <alignment horizontal="left" vertical="center"/>
    </xf>
    <xf numFmtId="0" fontId="2" fillId="0" borderId="73" xfId="0" quotePrefix="1" applyFont="1" applyFill="1" applyBorder="1" applyAlignment="1" applyProtection="1">
      <alignment horizontal="left" vertical="center" wrapText="1"/>
      <protection locked="0"/>
    </xf>
    <xf numFmtId="0" fontId="2" fillId="0" borderId="33" xfId="0" applyFont="1" applyFill="1" applyBorder="1" applyAlignment="1" applyProtection="1">
      <alignment horizontal="left" vertical="center" wrapText="1"/>
      <protection locked="0"/>
    </xf>
    <xf numFmtId="0" fontId="22" fillId="0" borderId="1632" xfId="2" applyFont="1" applyFill="1" applyBorder="1" applyAlignment="1" applyProtection="1">
      <alignment horizontal="left" vertical="center"/>
      <protection locked="0"/>
    </xf>
    <xf numFmtId="0" fontId="22" fillId="0" borderId="1632" xfId="2" applyFont="1" applyFill="1" applyBorder="1" applyAlignment="1" applyProtection="1">
      <alignment horizontal="left" vertical="center" wrapText="1"/>
      <protection locked="0"/>
    </xf>
    <xf numFmtId="0" fontId="40" fillId="75" borderId="16" xfId="0" applyFont="1" applyFill="1" applyBorder="1" applyAlignment="1" applyProtection="1">
      <alignment horizontal="center" vertical="center"/>
      <protection locked="0"/>
    </xf>
    <xf numFmtId="0" fontId="40" fillId="75" borderId="17" xfId="0" applyFont="1" applyFill="1" applyBorder="1" applyAlignment="1" applyProtection="1">
      <alignment horizontal="center" vertical="center"/>
      <protection locked="0"/>
    </xf>
    <xf numFmtId="0" fontId="24" fillId="34" borderId="851" xfId="2" applyFont="1" applyFill="1" applyBorder="1" applyAlignment="1" applyProtection="1">
      <alignment horizontal="center" vertical="center" wrapText="1"/>
    </xf>
    <xf numFmtId="0" fontId="24" fillId="34" borderId="852" xfId="2" applyFont="1" applyFill="1" applyBorder="1" applyAlignment="1" applyProtection="1">
      <alignment horizontal="center" vertical="center" wrapText="1"/>
    </xf>
    <xf numFmtId="0" fontId="24" fillId="34" borderId="853" xfId="2" applyFont="1" applyFill="1" applyBorder="1" applyAlignment="1" applyProtection="1">
      <alignment horizontal="center" vertical="center" wrapText="1"/>
    </xf>
    <xf numFmtId="0" fontId="6" fillId="0" borderId="835" xfId="2" applyBorder="1" applyAlignment="1" applyProtection="1">
      <alignment horizontal="center"/>
      <protection locked="0"/>
    </xf>
    <xf numFmtId="0" fontId="6" fillId="0" borderId="831" xfId="2" applyBorder="1" applyAlignment="1" applyProtection="1">
      <alignment horizontal="center"/>
      <protection locked="0"/>
    </xf>
    <xf numFmtId="0" fontId="6" fillId="0" borderId="832" xfId="2" applyBorder="1" applyAlignment="1" applyProtection="1">
      <alignment horizontal="center"/>
      <protection locked="0"/>
    </xf>
    <xf numFmtId="0" fontId="6" fillId="0" borderId="1504" xfId="2" applyBorder="1" applyAlignment="1" applyProtection="1">
      <alignment horizontal="center"/>
      <protection locked="0"/>
    </xf>
    <xf numFmtId="0" fontId="6" fillId="0" borderId="1510" xfId="2" applyBorder="1" applyAlignment="1" applyProtection="1">
      <alignment horizontal="center"/>
      <protection locked="0"/>
    </xf>
    <xf numFmtId="0" fontId="24" fillId="34" borderId="1503" xfId="2" applyFont="1" applyFill="1" applyBorder="1" applyAlignment="1" applyProtection="1">
      <alignment horizontal="center" vertical="center" wrapText="1"/>
    </xf>
    <xf numFmtId="0" fontId="24" fillId="34" borderId="0" xfId="2" applyFont="1" applyFill="1" applyBorder="1" applyAlignment="1" applyProtection="1">
      <alignment horizontal="center" vertical="center" wrapText="1"/>
    </xf>
    <xf numFmtId="0" fontId="24" fillId="27" borderId="843" xfId="2" applyFont="1" applyFill="1" applyBorder="1" applyAlignment="1" applyProtection="1">
      <alignment horizontal="left" vertical="center"/>
    </xf>
    <xf numFmtId="0" fontId="24" fillId="27" borderId="844" xfId="2" applyFont="1" applyFill="1" applyBorder="1" applyAlignment="1" applyProtection="1">
      <alignment horizontal="left" vertical="center"/>
    </xf>
    <xf numFmtId="0" fontId="6" fillId="0" borderId="836" xfId="2" applyBorder="1" applyAlignment="1" applyProtection="1">
      <alignment horizontal="center"/>
      <protection locked="0"/>
    </xf>
    <xf numFmtId="0" fontId="6" fillId="0" borderId="1508" xfId="2" applyBorder="1" applyAlignment="1" applyProtection="1">
      <alignment horizontal="center"/>
      <protection locked="0"/>
    </xf>
    <xf numFmtId="0" fontId="24" fillId="27" borderId="1502" xfId="2" applyFont="1" applyFill="1" applyBorder="1" applyAlignment="1" applyProtection="1">
      <alignment horizontal="left" vertical="center"/>
    </xf>
    <xf numFmtId="0" fontId="24" fillId="27" borderId="833" xfId="2" applyFont="1" applyFill="1" applyBorder="1" applyAlignment="1" applyProtection="1">
      <alignment horizontal="left" vertical="center"/>
    </xf>
    <xf numFmtId="0" fontId="24" fillId="27" borderId="1417" xfId="2" applyFont="1" applyFill="1" applyBorder="1" applyAlignment="1" applyProtection="1">
      <alignment horizontal="left" vertical="center"/>
    </xf>
    <xf numFmtId="0" fontId="24" fillId="27" borderId="288" xfId="2" applyFont="1" applyFill="1" applyBorder="1" applyAlignment="1" applyProtection="1">
      <alignment horizontal="left" vertical="center"/>
    </xf>
    <xf numFmtId="0" fontId="6" fillId="0" borderId="833" xfId="2" applyBorder="1" applyAlignment="1" applyProtection="1">
      <alignment horizontal="center"/>
      <protection locked="0"/>
    </xf>
    <xf numFmtId="0" fontId="22" fillId="0" borderId="833" xfId="2" applyFont="1" applyFill="1" applyBorder="1" applyAlignment="1" applyProtection="1">
      <alignment horizontal="left" vertical="center"/>
      <protection locked="0"/>
    </xf>
    <xf numFmtId="0" fontId="22" fillId="0" borderId="1417" xfId="2" applyFont="1" applyFill="1" applyBorder="1" applyAlignment="1" applyProtection="1">
      <alignment horizontal="left" vertical="center"/>
      <protection locked="0"/>
    </xf>
    <xf numFmtId="0" fontId="6" fillId="0" borderId="831" xfId="2" applyFont="1" applyFill="1" applyBorder="1" applyAlignment="1" applyProtection="1">
      <alignment horizontal="left" vertical="center"/>
      <protection locked="0"/>
    </xf>
    <xf numFmtId="0" fontId="6" fillId="0" borderId="834" xfId="2" applyFont="1" applyFill="1" applyBorder="1" applyAlignment="1" applyProtection="1">
      <alignment horizontal="left" vertical="center"/>
      <protection locked="0"/>
    </xf>
    <xf numFmtId="0" fontId="6" fillId="0" borderId="1433" xfId="2" applyBorder="1" applyAlignment="1" applyProtection="1">
      <alignment horizontal="center"/>
      <protection locked="0"/>
    </xf>
    <xf numFmtId="0" fontId="6" fillId="0" borderId="1425" xfId="2" applyBorder="1" applyAlignment="1" applyProtection="1">
      <alignment horizontal="center"/>
      <protection locked="0"/>
    </xf>
    <xf numFmtId="0" fontId="6" fillId="0" borderId="1427" xfId="2" applyBorder="1" applyAlignment="1" applyProtection="1">
      <alignment horizontal="center"/>
      <protection locked="0"/>
    </xf>
    <xf numFmtId="0" fontId="6" fillId="0" borderId="838" xfId="2" applyFont="1" applyFill="1" applyBorder="1" applyAlignment="1" applyProtection="1">
      <alignment horizontal="left" vertical="center"/>
      <protection locked="0"/>
    </xf>
    <xf numFmtId="0" fontId="6" fillId="0" borderId="518" xfId="2" applyFont="1" applyFill="1" applyBorder="1" applyAlignment="1" applyProtection="1">
      <alignment horizontal="left" vertical="center"/>
      <protection locked="0"/>
    </xf>
    <xf numFmtId="0" fontId="6" fillId="0" borderId="1416" xfId="2" applyFont="1" applyFill="1" applyBorder="1" applyAlignment="1" applyProtection="1">
      <alignment horizontal="left" vertical="center"/>
      <protection locked="0"/>
    </xf>
    <xf numFmtId="0" fontId="39" fillId="22" borderId="335" xfId="0" applyFont="1" applyFill="1" applyBorder="1" applyAlignment="1" applyProtection="1">
      <alignment horizontal="right" vertical="center"/>
    </xf>
    <xf numFmtId="0" fontId="41" fillId="22" borderId="335" xfId="0" applyFont="1" applyFill="1" applyBorder="1" applyAlignment="1" applyProtection="1">
      <alignment horizontal="left" vertical="center"/>
    </xf>
    <xf numFmtId="0" fontId="41" fillId="22" borderId="337" xfId="0" applyFont="1" applyFill="1" applyBorder="1" applyAlignment="1" applyProtection="1">
      <alignment horizontal="left" vertical="center"/>
    </xf>
    <xf numFmtId="0" fontId="31" fillId="0" borderId="843" xfId="2" applyFont="1" applyFill="1" applyBorder="1" applyAlignment="1" applyProtection="1">
      <alignment horizontal="center" vertical="center" wrapText="1"/>
    </xf>
    <xf numFmtId="0" fontId="31" fillId="0" borderId="844" xfId="2" applyFont="1" applyFill="1" applyBorder="1" applyAlignment="1" applyProtection="1">
      <alignment horizontal="center" vertical="center" wrapText="1"/>
    </xf>
    <xf numFmtId="0" fontId="31" fillId="0" borderId="845" xfId="2" applyFont="1" applyFill="1" applyBorder="1" applyAlignment="1" applyProtection="1">
      <alignment horizontal="center" vertical="center" wrapText="1"/>
    </xf>
    <xf numFmtId="0" fontId="153" fillId="34" borderId="846" xfId="2" applyFont="1" applyFill="1" applyBorder="1" applyAlignment="1" applyProtection="1">
      <alignment horizontal="center" vertical="center"/>
    </xf>
    <xf numFmtId="0" fontId="153" fillId="34" borderId="847" xfId="2" applyFont="1" applyFill="1" applyBorder="1" applyAlignment="1" applyProtection="1">
      <alignment horizontal="center" vertical="center"/>
    </xf>
    <xf numFmtId="0" fontId="24" fillId="34" borderId="841" xfId="2" applyFont="1" applyFill="1" applyBorder="1" applyAlignment="1" applyProtection="1">
      <alignment horizontal="center" vertical="center"/>
    </xf>
    <xf numFmtId="0" fontId="24" fillId="34" borderId="842" xfId="2" applyFont="1" applyFill="1" applyBorder="1" applyAlignment="1" applyProtection="1">
      <alignment horizontal="center" vertical="center"/>
    </xf>
    <xf numFmtId="0" fontId="21" fillId="0" borderId="316" xfId="0" quotePrefix="1" applyFont="1" applyFill="1" applyBorder="1" applyAlignment="1" applyProtection="1">
      <alignment vertical="center"/>
    </xf>
    <xf numFmtId="0" fontId="21" fillId="0" borderId="317" xfId="0" quotePrefix="1" applyFont="1" applyFill="1" applyBorder="1" applyAlignment="1" applyProtection="1">
      <alignment vertical="center"/>
    </xf>
    <xf numFmtId="0" fontId="0" fillId="26" borderId="1179" xfId="0" applyFont="1" applyFill="1" applyBorder="1" applyAlignment="1" applyProtection="1">
      <alignment horizontal="center" vertical="center" wrapText="1"/>
      <protection locked="0"/>
    </xf>
    <xf numFmtId="0" fontId="0" fillId="26" borderId="0" xfId="0" applyFont="1" applyFill="1" applyBorder="1" applyAlignment="1" applyProtection="1">
      <alignment horizontal="center" vertical="center" wrapText="1"/>
      <protection locked="0"/>
    </xf>
    <xf numFmtId="0" fontId="0" fillId="26" borderId="1180" xfId="0" applyFont="1" applyFill="1" applyBorder="1" applyAlignment="1" applyProtection="1">
      <alignment horizontal="center" vertical="center" wrapText="1"/>
      <protection locked="0"/>
    </xf>
    <xf numFmtId="0" fontId="24" fillId="0" borderId="316" xfId="10" applyFont="1" applyFill="1" applyBorder="1" applyAlignment="1" applyProtection="1">
      <alignment vertical="center"/>
    </xf>
    <xf numFmtId="0" fontId="1" fillId="0" borderId="317" xfId="0" applyFont="1" applyFill="1" applyBorder="1" applyAlignment="1" applyProtection="1">
      <alignment vertical="center"/>
    </xf>
    <xf numFmtId="0" fontId="0" fillId="26" borderId="1183" xfId="0" applyFont="1" applyFill="1" applyBorder="1" applyAlignment="1" applyProtection="1">
      <alignment horizontal="center" vertical="center" wrapText="1"/>
      <protection locked="0"/>
    </xf>
    <xf numFmtId="0" fontId="0" fillId="26" borderId="1184" xfId="0" applyFont="1" applyFill="1" applyBorder="1" applyAlignment="1" applyProtection="1">
      <alignment horizontal="center" vertical="center" wrapText="1"/>
      <protection locked="0"/>
    </xf>
    <xf numFmtId="0" fontId="0" fillId="26" borderId="1185" xfId="0" applyFont="1" applyFill="1" applyBorder="1" applyAlignment="1" applyProtection="1">
      <alignment horizontal="center" vertical="center" wrapText="1"/>
      <protection locked="0"/>
    </xf>
    <xf numFmtId="0" fontId="0" fillId="0" borderId="1194" xfId="0" quotePrefix="1" applyFont="1" applyFill="1" applyBorder="1" applyAlignment="1" applyProtection="1">
      <alignment horizontal="center" vertical="center"/>
    </xf>
    <xf numFmtId="0" fontId="0" fillId="0" borderId="0" xfId="0" quotePrefix="1" applyFont="1" applyFill="1" applyBorder="1" applyAlignment="1" applyProtection="1">
      <alignment horizontal="center" vertical="center"/>
    </xf>
    <xf numFmtId="0" fontId="21" fillId="24" borderId="1195" xfId="0" quotePrefix="1" applyFont="1" applyFill="1" applyBorder="1" applyAlignment="1" applyProtection="1">
      <alignment horizontal="left" vertical="center"/>
    </xf>
    <xf numFmtId="0" fontId="21" fillId="24" borderId="1196" xfId="0" quotePrefix="1" applyFont="1" applyFill="1" applyBorder="1" applyAlignment="1" applyProtection="1">
      <alignment horizontal="left" vertical="center"/>
    </xf>
    <xf numFmtId="0" fontId="21" fillId="24" borderId="1197" xfId="0" quotePrefix="1" applyFont="1" applyFill="1" applyBorder="1" applyAlignment="1" applyProtection="1">
      <alignment horizontal="left" vertical="center"/>
    </xf>
    <xf numFmtId="0" fontId="21" fillId="0" borderId="317" xfId="0" applyFont="1" applyFill="1" applyBorder="1" applyAlignment="1" applyProtection="1">
      <alignment vertical="center"/>
    </xf>
    <xf numFmtId="0" fontId="0" fillId="26" borderId="1198" xfId="0" applyFont="1" applyFill="1" applyBorder="1" applyAlignment="1" applyProtection="1">
      <alignment horizontal="center" vertical="center" wrapText="1"/>
      <protection locked="0"/>
    </xf>
    <xf numFmtId="0" fontId="21" fillId="0" borderId="1194" xfId="0" quotePrefix="1" applyFont="1" applyFill="1" applyBorder="1" applyAlignment="1" applyProtection="1">
      <alignment horizontal="center" vertical="center"/>
    </xf>
    <xf numFmtId="0" fontId="21" fillId="0" borderId="0" xfId="0" quotePrefix="1" applyFont="1" applyFill="1" applyBorder="1" applyAlignment="1" applyProtection="1">
      <alignment horizontal="center" vertical="center"/>
    </xf>
    <xf numFmtId="0" fontId="24" fillId="0" borderId="1199" xfId="10" applyFont="1" applyFill="1" applyBorder="1" applyAlignment="1" applyProtection="1">
      <alignment vertical="center"/>
    </xf>
    <xf numFmtId="0" fontId="21" fillId="0" borderId="1200" xfId="0" applyFont="1" applyFill="1" applyBorder="1" applyAlignment="1" applyProtection="1">
      <alignment vertical="center"/>
    </xf>
    <xf numFmtId="0" fontId="0" fillId="26" borderId="1201" xfId="0" applyFont="1" applyFill="1" applyBorder="1" applyAlignment="1" applyProtection="1">
      <alignment horizontal="center" vertical="center" wrapText="1"/>
      <protection locked="0"/>
    </xf>
    <xf numFmtId="0" fontId="21" fillId="24" borderId="1192" xfId="0" quotePrefix="1" applyFont="1" applyFill="1" applyBorder="1" applyAlignment="1" applyProtection="1">
      <alignment horizontal="center" vertical="center"/>
    </xf>
    <xf numFmtId="0" fontId="21" fillId="24" borderId="1189" xfId="0" quotePrefix="1" applyFont="1" applyFill="1" applyBorder="1" applyAlignment="1" applyProtection="1">
      <alignment horizontal="center" vertical="center"/>
    </xf>
    <xf numFmtId="0" fontId="21" fillId="24" borderId="1190" xfId="0" quotePrefix="1" applyFont="1" applyFill="1" applyBorder="1" applyAlignment="1" applyProtection="1">
      <alignment horizontal="center" vertical="center"/>
    </xf>
    <xf numFmtId="0" fontId="24" fillId="0" borderId="307" xfId="10" applyFont="1" applyFill="1" applyBorder="1" applyAlignment="1" applyProtection="1">
      <alignment vertical="center"/>
    </xf>
    <xf numFmtId="0" fontId="24" fillId="0" borderId="308" xfId="10" applyFont="1" applyFill="1" applyBorder="1" applyAlignment="1" applyProtection="1">
      <alignment vertical="center"/>
    </xf>
    <xf numFmtId="0" fontId="24" fillId="0" borderId="1193" xfId="10" applyFont="1" applyFill="1" applyBorder="1" applyAlignment="1" applyProtection="1">
      <alignment vertical="center"/>
    </xf>
    <xf numFmtId="0" fontId="24" fillId="0" borderId="325" xfId="10" applyFont="1" applyFill="1" applyBorder="1" applyAlignment="1" applyProtection="1">
      <alignment vertical="center"/>
    </xf>
    <xf numFmtId="0" fontId="24" fillId="0" borderId="326" xfId="10" applyFont="1" applyFill="1" applyBorder="1" applyAlignment="1" applyProtection="1">
      <alignment vertical="center"/>
    </xf>
    <xf numFmtId="0" fontId="21" fillId="23" borderId="322" xfId="0" quotePrefix="1" applyFont="1" applyFill="1" applyBorder="1" applyAlignment="1" applyProtection="1">
      <alignment vertical="center"/>
    </xf>
    <xf numFmtId="0" fontId="21" fillId="23" borderId="323" xfId="0" quotePrefix="1" applyFont="1" applyFill="1" applyBorder="1" applyAlignment="1" applyProtection="1">
      <alignment vertical="center"/>
    </xf>
    <xf numFmtId="0" fontId="21" fillId="0" borderId="1199" xfId="0" quotePrefix="1" applyFont="1" applyFill="1" applyBorder="1" applyAlignment="1" applyProtection="1">
      <alignment vertical="center"/>
    </xf>
    <xf numFmtId="0" fontId="21" fillId="0" borderId="1200" xfId="0" quotePrefix="1" applyFont="1" applyFill="1" applyBorder="1" applyAlignment="1" applyProtection="1">
      <alignment vertical="center"/>
    </xf>
    <xf numFmtId="0" fontId="0" fillId="26" borderId="1205" xfId="0" applyFont="1" applyFill="1" applyBorder="1" applyAlignment="1" applyProtection="1">
      <alignment horizontal="center" vertical="center" wrapText="1"/>
      <protection locked="0"/>
    </xf>
    <xf numFmtId="0" fontId="0" fillId="26" borderId="1187" xfId="0" applyFont="1" applyFill="1" applyBorder="1" applyAlignment="1" applyProtection="1">
      <alignment horizontal="center" vertical="center" wrapText="1"/>
      <protection locked="0"/>
    </xf>
    <xf numFmtId="0" fontId="0" fillId="26" borderId="1206" xfId="0" applyFont="1" applyFill="1" applyBorder="1" applyAlignment="1" applyProtection="1">
      <alignment horizontal="center" vertical="center" wrapText="1"/>
      <protection locked="0"/>
    </xf>
    <xf numFmtId="0" fontId="0" fillId="0" borderId="1186" xfId="0" quotePrefix="1" applyFont="1" applyFill="1" applyBorder="1" applyAlignment="1" applyProtection="1">
      <alignment horizontal="center" vertical="center"/>
    </xf>
    <xf numFmtId="0" fontId="0" fillId="0" borderId="1187" xfId="0" quotePrefix="1" applyFont="1" applyFill="1" applyBorder="1" applyAlignment="1" applyProtection="1">
      <alignment horizontal="center" vertical="center"/>
    </xf>
    <xf numFmtId="0" fontId="21" fillId="24" borderId="1188" xfId="0" quotePrefix="1" applyFont="1" applyFill="1" applyBorder="1" applyAlignment="1" applyProtection="1">
      <alignment horizontal="left" vertical="center"/>
    </xf>
    <xf numFmtId="0" fontId="21" fillId="24" borderId="1189" xfId="0" quotePrefix="1" applyFont="1" applyFill="1" applyBorder="1" applyAlignment="1" applyProtection="1">
      <alignment horizontal="left" vertical="center"/>
    </xf>
    <xf numFmtId="0" fontId="21" fillId="24" borderId="1190" xfId="0" quotePrefix="1" applyFont="1" applyFill="1" applyBorder="1" applyAlignment="1" applyProtection="1">
      <alignment horizontal="left" vertical="center"/>
    </xf>
    <xf numFmtId="0" fontId="0" fillId="0" borderId="1169" xfId="0" quotePrefix="1" applyFont="1" applyFill="1" applyBorder="1" applyAlignment="1" applyProtection="1">
      <alignment vertical="center"/>
    </xf>
    <xf numFmtId="0" fontId="0" fillId="0" borderId="1170" xfId="0" quotePrefix="1" applyFont="1" applyFill="1" applyBorder="1" applyAlignment="1" applyProtection="1">
      <alignment vertical="center"/>
    </xf>
    <xf numFmtId="0" fontId="0" fillId="0" borderId="0" xfId="0" quotePrefix="1" applyFont="1" applyFill="1" applyBorder="1" applyAlignment="1" applyProtection="1">
      <alignment vertical="center"/>
    </xf>
    <xf numFmtId="0" fontId="21" fillId="24" borderId="1519" xfId="0" quotePrefix="1" applyFont="1" applyFill="1" applyBorder="1" applyAlignment="1" applyProtection="1">
      <alignment horizontal="left" vertical="center"/>
    </xf>
    <xf numFmtId="0" fontId="21" fillId="24" borderId="1520" xfId="0" quotePrefix="1" applyFont="1" applyFill="1" applyBorder="1" applyAlignment="1" applyProtection="1">
      <alignment horizontal="left" vertical="center"/>
    </xf>
    <xf numFmtId="0" fontId="21" fillId="24" borderId="1521" xfId="0" quotePrefix="1" applyFont="1" applyFill="1" applyBorder="1" applyAlignment="1" applyProtection="1">
      <alignment horizontal="left" vertical="center"/>
    </xf>
    <xf numFmtId="0" fontId="21" fillId="24" borderId="1524" xfId="0" quotePrefix="1" applyFont="1" applyFill="1" applyBorder="1" applyAlignment="1" applyProtection="1">
      <alignment horizontal="center" vertical="center"/>
    </xf>
    <xf numFmtId="0" fontId="21" fillId="24" borderId="1525" xfId="0" quotePrefix="1" applyFont="1" applyFill="1" applyBorder="1" applyAlignment="1" applyProtection="1">
      <alignment horizontal="center" vertical="center"/>
    </xf>
    <xf numFmtId="0" fontId="21" fillId="24" borderId="1526" xfId="0" quotePrefix="1" applyFont="1" applyFill="1" applyBorder="1" applyAlignment="1" applyProtection="1">
      <alignment horizontal="center" vertical="center"/>
    </xf>
    <xf numFmtId="0" fontId="21" fillId="0" borderId="325" xfId="0" quotePrefix="1" applyFont="1" applyFill="1" applyBorder="1" applyAlignment="1" applyProtection="1">
      <alignment vertical="center"/>
    </xf>
    <xf numFmtId="0" fontId="21" fillId="0" borderId="326" xfId="0" quotePrefix="1" applyFont="1" applyFill="1" applyBorder="1" applyAlignment="1" applyProtection="1">
      <alignment vertical="center"/>
    </xf>
    <xf numFmtId="0" fontId="38" fillId="5" borderId="2" xfId="0" applyFont="1" applyFill="1" applyBorder="1" applyAlignment="1" applyProtection="1">
      <alignment horizontal="center" vertical="center" wrapText="1"/>
    </xf>
    <xf numFmtId="0" fontId="38" fillId="5" borderId="4" xfId="0" applyFont="1" applyFill="1" applyBorder="1" applyAlignment="1" applyProtection="1">
      <alignment horizontal="center" vertical="center" wrapText="1"/>
    </xf>
    <xf numFmtId="0" fontId="0" fillId="31" borderId="334" xfId="0" applyFont="1" applyFill="1" applyBorder="1" applyAlignment="1">
      <alignment horizontal="center"/>
    </xf>
    <xf numFmtId="0" fontId="0" fillId="31" borderId="335" xfId="0" applyFont="1" applyFill="1" applyBorder="1" applyAlignment="1">
      <alignment horizontal="center"/>
    </xf>
    <xf numFmtId="0" fontId="0" fillId="31" borderId="337" xfId="0" applyFont="1" applyFill="1" applyBorder="1" applyAlignment="1">
      <alignment horizontal="center"/>
    </xf>
    <xf numFmtId="0" fontId="21" fillId="23" borderId="1164" xfId="0" quotePrefix="1" applyFont="1" applyFill="1" applyBorder="1" applyAlignment="1" applyProtection="1">
      <alignment vertical="center"/>
    </xf>
    <xf numFmtId="0" fontId="21" fillId="23" borderId="1165" xfId="0" quotePrefix="1" applyFont="1" applyFill="1" applyBorder="1" applyAlignment="1" applyProtection="1">
      <alignment vertical="center"/>
    </xf>
    <xf numFmtId="0" fontId="2" fillId="9" borderId="1166" xfId="0" applyFont="1" applyFill="1" applyBorder="1" applyAlignment="1" applyProtection="1">
      <alignment horizontal="center" vertical="center" wrapText="1"/>
    </xf>
    <xf numFmtId="0" fontId="2" fillId="9" borderId="1167" xfId="0" applyFont="1" applyFill="1" applyBorder="1" applyAlignment="1" applyProtection="1">
      <alignment horizontal="center" vertical="center" wrapText="1"/>
    </xf>
    <xf numFmtId="0" fontId="2" fillId="9" borderId="1168" xfId="0" applyFont="1" applyFill="1" applyBorder="1" applyAlignment="1" applyProtection="1">
      <alignment horizontal="center" vertical="center" wrapText="1"/>
    </xf>
    <xf numFmtId="0" fontId="0" fillId="8" borderId="0" xfId="0" applyFont="1" applyFill="1" applyAlignment="1" applyProtection="1">
      <alignment horizontal="center"/>
    </xf>
    <xf numFmtId="0" fontId="113" fillId="9" borderId="335" xfId="0" applyFont="1" applyFill="1" applyBorder="1" applyAlignment="1" applyProtection="1">
      <alignment horizontal="right" vertical="center"/>
    </xf>
    <xf numFmtId="0" fontId="42" fillId="9" borderId="335" xfId="0" applyFont="1" applyFill="1" applyBorder="1" applyAlignment="1" applyProtection="1">
      <alignment horizontal="left" vertical="center"/>
    </xf>
    <xf numFmtId="0" fontId="42" fillId="9" borderId="337" xfId="0" applyFont="1" applyFill="1" applyBorder="1" applyAlignment="1" applyProtection="1">
      <alignment horizontal="left" vertical="center"/>
    </xf>
    <xf numFmtId="0" fontId="26" fillId="8" borderId="0" xfId="0" applyFont="1" applyFill="1" applyAlignment="1" applyProtection="1">
      <alignment horizontal="center"/>
    </xf>
    <xf numFmtId="0" fontId="26" fillId="8" borderId="0" xfId="0" applyFont="1" applyFill="1" applyAlignment="1" applyProtection="1">
      <alignment horizontal="left"/>
    </xf>
    <xf numFmtId="0" fontId="24" fillId="0" borderId="316" xfId="10" applyFont="1" applyFill="1" applyBorder="1" applyAlignment="1" applyProtection="1"/>
    <xf numFmtId="0" fontId="24" fillId="0" borderId="317" xfId="10" applyFont="1" applyFill="1" applyBorder="1" applyAlignment="1" applyProtection="1"/>
    <xf numFmtId="0" fontId="0" fillId="26" borderId="326" xfId="0" applyFont="1" applyFill="1" applyBorder="1" applyAlignment="1" applyProtection="1">
      <alignment horizontal="center" vertical="center" wrapText="1"/>
      <protection locked="0"/>
    </xf>
    <xf numFmtId="0" fontId="0" fillId="0" borderId="317" xfId="0" applyFont="1" applyFill="1" applyBorder="1" applyAlignment="1" applyProtection="1">
      <alignment horizontal="center" vertical="center" wrapText="1"/>
    </xf>
    <xf numFmtId="0" fontId="0" fillId="0" borderId="317" xfId="0" applyFont="1" applyFill="1" applyBorder="1" applyAlignment="1" applyProtection="1">
      <alignment vertical="top" wrapText="1"/>
      <protection locked="0"/>
    </xf>
    <xf numFmtId="0" fontId="0" fillId="0" borderId="318" xfId="0" applyFont="1" applyFill="1" applyBorder="1" applyAlignment="1" applyProtection="1">
      <alignment vertical="top" wrapText="1"/>
      <protection locked="0"/>
    </xf>
    <xf numFmtId="0" fontId="1" fillId="31" borderId="334" xfId="0" applyFont="1" applyFill="1" applyBorder="1" applyAlignment="1" applyProtection="1">
      <alignment horizontal="center"/>
    </xf>
    <xf numFmtId="0" fontId="1" fillId="31" borderId="335" xfId="0" applyFont="1" applyFill="1" applyBorder="1" applyAlignment="1" applyProtection="1">
      <alignment horizontal="center"/>
    </xf>
    <xf numFmtId="0" fontId="1" fillId="31" borderId="337" xfId="0" applyFont="1" applyFill="1" applyBorder="1" applyAlignment="1" applyProtection="1">
      <alignment horizontal="center"/>
    </xf>
    <xf numFmtId="0" fontId="69" fillId="8" borderId="343" xfId="0" applyFont="1" applyFill="1" applyBorder="1" applyAlignment="1" applyProtection="1">
      <alignment vertical="center" wrapText="1"/>
      <protection locked="0"/>
    </xf>
    <xf numFmtId="0" fontId="69" fillId="8" borderId="342" xfId="0" applyFont="1" applyFill="1" applyBorder="1" applyAlignment="1" applyProtection="1">
      <alignment vertical="center" wrapText="1"/>
      <protection locked="0"/>
    </xf>
    <xf numFmtId="0" fontId="69" fillId="8" borderId="341" xfId="0" applyFont="1" applyFill="1" applyBorder="1" applyAlignment="1" applyProtection="1">
      <alignment vertical="center" wrapText="1"/>
      <protection locked="0"/>
    </xf>
    <xf numFmtId="0" fontId="69" fillId="8" borderId="168" xfId="0" applyFont="1" applyFill="1" applyBorder="1" applyAlignment="1" applyProtection="1">
      <alignment vertical="center" wrapText="1"/>
      <protection locked="0"/>
    </xf>
    <xf numFmtId="0" fontId="69" fillId="8" borderId="0" xfId="0" applyFont="1" applyFill="1" applyBorder="1" applyAlignment="1" applyProtection="1">
      <alignment vertical="center" wrapText="1"/>
      <protection locked="0"/>
    </xf>
    <xf numFmtId="0" fontId="69" fillId="8" borderId="339" xfId="0" applyFont="1" applyFill="1" applyBorder="1" applyAlignment="1" applyProtection="1">
      <alignment vertical="center" wrapText="1"/>
      <protection locked="0"/>
    </xf>
    <xf numFmtId="0" fontId="69" fillId="8" borderId="442" xfId="0" applyFont="1" applyFill="1" applyBorder="1" applyAlignment="1" applyProtection="1">
      <alignment vertical="center" wrapText="1"/>
      <protection locked="0"/>
    </xf>
    <xf numFmtId="0" fontId="69" fillId="8" borderId="443" xfId="0" applyFont="1" applyFill="1" applyBorder="1" applyAlignment="1" applyProtection="1">
      <alignment vertical="center" wrapText="1"/>
      <protection locked="0"/>
    </xf>
    <xf numFmtId="0" fontId="69" fillId="8" borderId="444" xfId="0" applyFont="1" applyFill="1" applyBorder="1" applyAlignment="1" applyProtection="1">
      <alignment vertical="center" wrapText="1"/>
      <protection locked="0"/>
    </xf>
    <xf numFmtId="0" fontId="21" fillId="24" borderId="328" xfId="0" quotePrefix="1" applyFont="1" applyFill="1" applyBorder="1" applyAlignment="1" applyProtection="1">
      <alignment vertical="center"/>
    </xf>
    <xf numFmtId="0" fontId="21" fillId="24" borderId="329" xfId="0" quotePrefix="1" applyFont="1" applyFill="1" applyBorder="1" applyAlignment="1" applyProtection="1">
      <alignment vertical="center"/>
    </xf>
    <xf numFmtId="0" fontId="21" fillId="24" borderId="330" xfId="0" quotePrefix="1" applyFont="1" applyFill="1" applyBorder="1" applyAlignment="1" applyProtection="1">
      <alignment vertical="center"/>
    </xf>
    <xf numFmtId="0" fontId="21" fillId="0" borderId="316" xfId="0" quotePrefix="1" applyFont="1" applyFill="1" applyBorder="1" applyAlignment="1" applyProtection="1"/>
    <xf numFmtId="0" fontId="21" fillId="0" borderId="317" xfId="0" quotePrefix="1" applyFont="1" applyFill="1" applyBorder="1" applyAlignment="1" applyProtection="1"/>
    <xf numFmtId="0" fontId="21" fillId="0" borderId="805" xfId="0" quotePrefix="1" applyFont="1" applyFill="1" applyBorder="1" applyAlignment="1" applyProtection="1">
      <alignment vertical="center"/>
    </xf>
    <xf numFmtId="0" fontId="21" fillId="0" borderId="806" xfId="0" quotePrefix="1" applyFont="1" applyFill="1" applyBorder="1" applyAlignment="1" applyProtection="1">
      <alignment vertical="center"/>
    </xf>
    <xf numFmtId="0" fontId="21" fillId="0" borderId="807" xfId="0" quotePrefix="1" applyFont="1" applyFill="1" applyBorder="1" applyAlignment="1" applyProtection="1">
      <alignment vertical="center"/>
    </xf>
    <xf numFmtId="0" fontId="0" fillId="0" borderId="805" xfId="0" quotePrefix="1" applyFont="1" applyFill="1" applyBorder="1" applyAlignment="1" applyProtection="1">
      <alignment vertical="center"/>
    </xf>
    <xf numFmtId="0" fontId="0" fillId="0" borderId="806" xfId="0" quotePrefix="1" applyFont="1" applyFill="1" applyBorder="1" applyAlignment="1" applyProtection="1">
      <alignment vertical="center"/>
    </xf>
    <xf numFmtId="0" fontId="0" fillId="0" borderId="807" xfId="0" quotePrefix="1" applyFont="1" applyFill="1" applyBorder="1" applyAlignment="1" applyProtection="1">
      <alignment vertical="center"/>
    </xf>
    <xf numFmtId="0" fontId="24" fillId="0" borderId="805" xfId="10" applyFont="1" applyFill="1" applyBorder="1" applyAlignment="1" applyProtection="1">
      <alignment vertical="center"/>
    </xf>
    <xf numFmtId="0" fontId="24" fillId="0" borderId="806" xfId="10" applyFont="1" applyFill="1" applyBorder="1" applyAlignment="1" applyProtection="1">
      <alignment vertical="center"/>
    </xf>
    <xf numFmtId="0" fontId="24" fillId="0" borderId="807" xfId="10" applyFont="1" applyFill="1" applyBorder="1" applyAlignment="1" applyProtection="1">
      <alignment vertical="center"/>
    </xf>
    <xf numFmtId="0" fontId="0" fillId="0" borderId="326" xfId="0" applyFont="1" applyFill="1" applyBorder="1" applyAlignment="1" applyProtection="1">
      <alignment horizontal="center" vertical="center" wrapText="1"/>
    </xf>
    <xf numFmtId="0" fontId="0" fillId="0" borderId="326" xfId="0" applyFont="1" applyFill="1" applyBorder="1" applyAlignment="1" applyProtection="1">
      <alignment vertical="top" wrapText="1"/>
      <protection locked="0"/>
    </xf>
    <xf numFmtId="0" fontId="0" fillId="0" borderId="327" xfId="0" applyFont="1" applyFill="1" applyBorder="1" applyAlignment="1" applyProtection="1">
      <alignment vertical="top" wrapText="1"/>
      <protection locked="0"/>
    </xf>
    <xf numFmtId="0" fontId="26" fillId="0" borderId="342" xfId="0" applyFont="1" applyBorder="1" applyAlignment="1" applyProtection="1">
      <alignment horizontal="left" vertical="center" wrapText="1"/>
    </xf>
    <xf numFmtId="0" fontId="26" fillId="0" borderId="342" xfId="0" applyFont="1" applyBorder="1" applyAlignment="1" applyProtection="1">
      <alignment horizontal="left" vertical="center"/>
    </xf>
    <xf numFmtId="0" fontId="41" fillId="23" borderId="335" xfId="0" applyFont="1" applyFill="1" applyBorder="1" applyAlignment="1" applyProtection="1">
      <alignment horizontal="center" vertical="center"/>
    </xf>
    <xf numFmtId="0" fontId="41" fillId="23" borderId="337" xfId="0" applyFont="1" applyFill="1" applyBorder="1" applyAlignment="1" applyProtection="1">
      <alignment horizontal="center" vertical="center"/>
    </xf>
    <xf numFmtId="0" fontId="21" fillId="23" borderId="323" xfId="0" applyFont="1" applyFill="1" applyBorder="1" applyAlignment="1" applyProtection="1">
      <alignment horizontal="center" vertical="center" wrapText="1"/>
    </xf>
    <xf numFmtId="0" fontId="21" fillId="23" borderId="323" xfId="0" applyFont="1" applyFill="1" applyBorder="1" applyAlignment="1" applyProtection="1">
      <alignment vertical="center" wrapText="1"/>
    </xf>
    <xf numFmtId="0" fontId="21" fillId="23" borderId="324" xfId="0" applyFont="1" applyFill="1" applyBorder="1" applyAlignment="1" applyProtection="1">
      <alignment vertical="center" wrapText="1"/>
    </xf>
    <xf numFmtId="0" fontId="21" fillId="0" borderId="325" xfId="0" quotePrefix="1" applyFont="1" applyFill="1" applyBorder="1" applyAlignment="1" applyProtection="1"/>
    <xf numFmtId="0" fontId="21" fillId="0" borderId="326" xfId="0" quotePrefix="1" applyFont="1" applyFill="1" applyBorder="1" applyAlignment="1" applyProtection="1"/>
    <xf numFmtId="0" fontId="1" fillId="65" borderId="304" xfId="0" applyFont="1" applyFill="1" applyBorder="1" applyAlignment="1" applyProtection="1">
      <alignment vertical="center"/>
    </xf>
    <xf numFmtId="0" fontId="0" fillId="65" borderId="305" xfId="0" applyFont="1" applyFill="1" applyBorder="1" applyAlignment="1" applyProtection="1">
      <alignment vertical="center"/>
    </xf>
    <xf numFmtId="0" fontId="0" fillId="65" borderId="306" xfId="0" applyFont="1" applyFill="1" applyBorder="1" applyAlignment="1" applyProtection="1">
      <alignment vertical="center"/>
    </xf>
    <xf numFmtId="0" fontId="1" fillId="5" borderId="307" xfId="0" applyFont="1" applyFill="1" applyBorder="1" applyAlignment="1" applyProtection="1">
      <alignment vertical="top" wrapText="1"/>
      <protection locked="0"/>
    </xf>
    <xf numFmtId="0" fontId="1" fillId="5" borderId="308" xfId="0" applyFont="1" applyFill="1" applyBorder="1" applyAlignment="1" applyProtection="1">
      <alignment vertical="top" wrapText="1"/>
      <protection locked="0"/>
    </xf>
    <xf numFmtId="0" fontId="1" fillId="5" borderId="309" xfId="0" applyFont="1" applyFill="1" applyBorder="1" applyAlignment="1" applyProtection="1">
      <alignment vertical="top" wrapText="1"/>
      <protection locked="0"/>
    </xf>
    <xf numFmtId="0" fontId="1" fillId="5" borderId="310" xfId="0" applyFont="1" applyFill="1" applyBorder="1" applyAlignment="1" applyProtection="1">
      <alignment vertical="top" wrapText="1"/>
      <protection locked="0"/>
    </xf>
    <xf numFmtId="0" fontId="1" fillId="5" borderId="311" xfId="0" applyFont="1" applyFill="1" applyBorder="1" applyAlignment="1" applyProtection="1">
      <alignment vertical="top" wrapText="1"/>
      <protection locked="0"/>
    </xf>
    <xf numFmtId="0" fontId="1" fillId="5" borderId="312" xfId="0" applyFont="1" applyFill="1" applyBorder="1" applyAlignment="1" applyProtection="1">
      <alignment vertical="top" wrapText="1"/>
      <protection locked="0"/>
    </xf>
    <xf numFmtId="0" fontId="26" fillId="0" borderId="314" xfId="0" applyFont="1" applyFill="1" applyBorder="1" applyAlignment="1" applyProtection="1">
      <alignment horizontal="center" vertical="center" wrapText="1"/>
    </xf>
    <xf numFmtId="0" fontId="26" fillId="0" borderId="315" xfId="0" applyFont="1" applyFill="1" applyBorder="1" applyAlignment="1" applyProtection="1">
      <alignment horizontal="center" vertical="center" wrapText="1"/>
    </xf>
    <xf numFmtId="0" fontId="26" fillId="0" borderId="320" xfId="0" applyFont="1" applyFill="1" applyBorder="1" applyAlignment="1" applyProtection="1">
      <alignment horizontal="center" vertical="center" wrapText="1"/>
    </xf>
    <xf numFmtId="0" fontId="26" fillId="0" borderId="321" xfId="0" applyFont="1" applyFill="1" applyBorder="1" applyAlignment="1" applyProtection="1">
      <alignment horizontal="center" vertical="center" wrapText="1"/>
    </xf>
    <xf numFmtId="0" fontId="21" fillId="0" borderId="314" xfId="0" applyFont="1" applyFill="1" applyBorder="1" applyAlignment="1" applyProtection="1">
      <alignment horizontal="center" vertical="center" wrapText="1"/>
    </xf>
    <xf numFmtId="9" fontId="21" fillId="0" borderId="320" xfId="3" applyFont="1" applyFill="1" applyBorder="1" applyAlignment="1" applyProtection="1">
      <alignment horizontal="center" vertical="center" wrapText="1"/>
    </xf>
    <xf numFmtId="0" fontId="24" fillId="0" borderId="310" xfId="10" applyFont="1" applyFill="1" applyBorder="1" applyAlignment="1" applyProtection="1">
      <alignment vertical="center"/>
    </xf>
    <xf numFmtId="0" fontId="24" fillId="0" borderId="311" xfId="10" applyFont="1" applyFill="1" applyBorder="1" applyAlignment="1" applyProtection="1">
      <alignment vertical="center"/>
    </xf>
    <xf numFmtId="0" fontId="24" fillId="0" borderId="312" xfId="10" applyFont="1" applyFill="1" applyBorder="1" applyAlignment="1" applyProtection="1">
      <alignment vertical="center"/>
    </xf>
    <xf numFmtId="0" fontId="0" fillId="0" borderId="308" xfId="0" applyFont="1" applyBorder="1" applyAlignment="1" applyProtection="1">
      <alignment vertical="top" wrapText="1"/>
      <protection locked="0"/>
    </xf>
    <xf numFmtId="0" fontId="0" fillId="0" borderId="309" xfId="0" applyFont="1" applyBorder="1" applyAlignment="1" applyProtection="1">
      <alignment vertical="top" wrapText="1"/>
      <protection locked="0"/>
    </xf>
    <xf numFmtId="0" fontId="0" fillId="0" borderId="307" xfId="0" applyFont="1" applyBorder="1" applyAlignment="1" applyProtection="1">
      <alignment vertical="top" wrapText="1"/>
      <protection locked="0"/>
    </xf>
    <xf numFmtId="0" fontId="0" fillId="0" borderId="310" xfId="0" applyFont="1" applyBorder="1" applyAlignment="1" applyProtection="1">
      <alignment vertical="top" wrapText="1"/>
      <protection locked="0"/>
    </xf>
    <xf numFmtId="0" fontId="0" fillId="0" borderId="311" xfId="0" applyFont="1" applyBorder="1" applyAlignment="1" applyProtection="1">
      <alignment vertical="top" wrapText="1"/>
      <protection locked="0"/>
    </xf>
    <xf numFmtId="0" fontId="0" fillId="0" borderId="312" xfId="0" applyFont="1" applyBorder="1" applyAlignment="1" applyProtection="1">
      <alignment vertical="top" wrapText="1"/>
      <protection locked="0"/>
    </xf>
    <xf numFmtId="0" fontId="1" fillId="0" borderId="313" xfId="0" applyFont="1" applyFill="1" applyBorder="1" applyAlignment="1" applyProtection="1">
      <alignment vertical="center"/>
    </xf>
    <xf numFmtId="0" fontId="1" fillId="0" borderId="314" xfId="0" applyFont="1" applyFill="1" applyBorder="1" applyAlignment="1" applyProtection="1">
      <alignment vertical="center"/>
    </xf>
    <xf numFmtId="0" fontId="1" fillId="0" borderId="319" xfId="0" applyFont="1" applyFill="1" applyBorder="1" applyAlignment="1" applyProtection="1">
      <alignment vertical="center"/>
    </xf>
    <xf numFmtId="0" fontId="1" fillId="0" borderId="320" xfId="0" applyFont="1" applyFill="1" applyBorder="1" applyAlignment="1" applyProtection="1">
      <alignment vertical="center"/>
    </xf>
    <xf numFmtId="0" fontId="1" fillId="65" borderId="305" xfId="0" applyFont="1" applyFill="1" applyBorder="1" applyAlignment="1" applyProtection="1">
      <alignment vertical="center"/>
    </xf>
    <xf numFmtId="0" fontId="1" fillId="65" borderId="306" xfId="0" applyFont="1" applyFill="1" applyBorder="1" applyAlignment="1" applyProtection="1">
      <alignment vertical="center"/>
    </xf>
    <xf numFmtId="0" fontId="5" fillId="5" borderId="38" xfId="1" quotePrefix="1" applyFill="1" applyBorder="1" applyAlignment="1" applyProtection="1">
      <alignment horizontal="center" vertical="center"/>
      <protection locked="0"/>
    </xf>
    <xf numFmtId="0" fontId="5" fillId="5" borderId="39" xfId="1" applyFill="1" applyBorder="1" applyAlignment="1" applyProtection="1">
      <alignment horizontal="center" vertical="center"/>
      <protection locked="0"/>
    </xf>
    <xf numFmtId="0" fontId="0" fillId="5" borderId="45" xfId="0" applyFont="1" applyFill="1" applyBorder="1" applyAlignment="1" applyProtection="1">
      <alignment vertical="center"/>
      <protection locked="0"/>
    </xf>
    <xf numFmtId="0" fontId="0" fillId="5" borderId="240" xfId="0" applyFont="1" applyFill="1" applyBorder="1" applyAlignment="1" applyProtection="1">
      <alignment vertical="center"/>
      <protection locked="0"/>
    </xf>
    <xf numFmtId="0" fontId="0" fillId="5" borderId="238" xfId="0" applyFont="1" applyFill="1" applyBorder="1" applyAlignment="1" applyProtection="1">
      <alignment vertical="center"/>
      <protection locked="0"/>
    </xf>
    <xf numFmtId="0" fontId="2" fillId="9" borderId="44" xfId="0" applyFont="1" applyFill="1" applyBorder="1" applyAlignment="1" applyProtection="1">
      <alignment horizontal="center" vertical="center"/>
    </xf>
    <xf numFmtId="0" fontId="2" fillId="9" borderId="85" xfId="0" applyFont="1" applyFill="1" applyBorder="1" applyAlignment="1" applyProtection="1">
      <alignment horizontal="center" vertical="center"/>
    </xf>
    <xf numFmtId="0" fontId="2" fillId="9" borderId="239" xfId="0" applyFont="1" applyFill="1" applyBorder="1" applyAlignment="1" applyProtection="1">
      <alignment horizontal="center" vertical="center"/>
    </xf>
    <xf numFmtId="0" fontId="2" fillId="9" borderId="36" xfId="0" applyFont="1" applyFill="1" applyBorder="1" applyAlignment="1" applyProtection="1">
      <alignment horizontal="center" vertical="center"/>
    </xf>
    <xf numFmtId="0" fontId="2" fillId="9" borderId="37" xfId="0" applyFont="1" applyFill="1" applyBorder="1" applyAlignment="1" applyProtection="1">
      <alignment horizontal="center" vertical="center"/>
    </xf>
    <xf numFmtId="0" fontId="2" fillId="9" borderId="892" xfId="0" applyFont="1" applyFill="1" applyBorder="1" applyAlignment="1" applyProtection="1">
      <alignment horizontal="center" vertical="center"/>
    </xf>
    <xf numFmtId="0" fontId="2" fillId="9" borderId="240" xfId="0" applyFont="1" applyFill="1" applyBorder="1" applyAlignment="1" applyProtection="1">
      <alignment horizontal="center" vertical="center"/>
    </xf>
    <xf numFmtId="0" fontId="2" fillId="9" borderId="890" xfId="0" applyFont="1" applyFill="1" applyBorder="1" applyAlignment="1" applyProtection="1">
      <alignment horizontal="center" vertical="center"/>
    </xf>
    <xf numFmtId="0" fontId="0" fillId="9" borderId="47" xfId="0" applyFont="1" applyFill="1" applyBorder="1" applyAlignment="1" applyProtection="1">
      <alignment horizontal="center"/>
    </xf>
    <xf numFmtId="0" fontId="0" fillId="9" borderId="48" xfId="0" applyFont="1" applyFill="1" applyBorder="1" applyAlignment="1" applyProtection="1">
      <alignment horizontal="center"/>
    </xf>
    <xf numFmtId="0" fontId="0" fillId="9" borderId="49" xfId="0" applyFont="1" applyFill="1" applyBorder="1" applyAlignment="1" applyProtection="1">
      <alignment horizontal="center"/>
    </xf>
    <xf numFmtId="166" fontId="0" fillId="5" borderId="45" xfId="0" applyNumberFormat="1" applyFont="1" applyFill="1" applyBorder="1" applyAlignment="1" applyProtection="1">
      <alignment vertical="center"/>
      <protection locked="0"/>
    </xf>
    <xf numFmtId="166" fontId="0" fillId="5" borderId="240" xfId="0" applyNumberFormat="1" applyFont="1" applyFill="1" applyBorder="1" applyAlignment="1" applyProtection="1">
      <alignment vertical="center"/>
      <protection locked="0"/>
    </xf>
    <xf numFmtId="166" fontId="0" fillId="5" borderId="238" xfId="0" applyNumberFormat="1" applyFont="1" applyFill="1" applyBorder="1" applyAlignment="1" applyProtection="1">
      <alignment vertical="center"/>
      <protection locked="0"/>
    </xf>
    <xf numFmtId="0" fontId="0" fillId="5" borderId="38" xfId="0" applyFont="1" applyFill="1" applyBorder="1" applyAlignment="1" applyProtection="1">
      <alignment horizontal="center" vertical="center"/>
    </xf>
    <xf numFmtId="0" fontId="0" fillId="5" borderId="39" xfId="0" applyFont="1" applyFill="1" applyBorder="1" applyAlignment="1" applyProtection="1">
      <alignment horizontal="center" vertical="center"/>
    </xf>
    <xf numFmtId="0" fontId="0" fillId="5" borderId="45" xfId="0" applyFont="1" applyFill="1" applyBorder="1" applyAlignment="1" applyProtection="1">
      <alignment vertical="center"/>
    </xf>
    <xf numFmtId="0" fontId="0" fillId="5" borderId="240" xfId="0" applyFont="1" applyFill="1" applyBorder="1" applyAlignment="1" applyProtection="1">
      <alignment vertical="center"/>
    </xf>
    <xf numFmtId="0" fontId="0" fillId="5" borderId="238" xfId="0" applyFont="1" applyFill="1" applyBorder="1" applyAlignment="1" applyProtection="1">
      <alignment vertical="center"/>
    </xf>
    <xf numFmtId="0" fontId="0" fillId="26" borderId="751" xfId="0" applyFont="1" applyFill="1" applyBorder="1" applyAlignment="1">
      <alignment horizontal="left" vertical="center" wrapText="1"/>
    </xf>
    <xf numFmtId="0" fontId="0" fillId="26" borderId="752" xfId="0" applyFont="1" applyFill="1" applyBorder="1" applyAlignment="1">
      <alignment horizontal="left" vertical="center" wrapText="1"/>
    </xf>
    <xf numFmtId="0" fontId="0" fillId="26" borderId="753" xfId="0" applyFont="1" applyFill="1" applyBorder="1" applyAlignment="1">
      <alignment horizontal="left" vertical="center" wrapText="1"/>
    </xf>
    <xf numFmtId="0" fontId="0" fillId="26" borderId="754" xfId="0" applyFont="1" applyFill="1" applyBorder="1" applyAlignment="1">
      <alignment horizontal="left" vertical="center" wrapText="1"/>
    </xf>
    <xf numFmtId="0" fontId="1" fillId="65" borderId="304" xfId="0" applyFont="1" applyFill="1" applyBorder="1" applyAlignment="1" applyProtection="1">
      <alignment horizontal="left" vertical="center"/>
    </xf>
    <xf numFmtId="0" fontId="1" fillId="65" borderId="305" xfId="0" applyFont="1" applyFill="1" applyBorder="1" applyAlignment="1" applyProtection="1">
      <alignment horizontal="left" vertical="center"/>
    </xf>
    <xf numFmtId="0" fontId="1" fillId="65" borderId="306" xfId="0" applyFont="1" applyFill="1" applyBorder="1" applyAlignment="1" applyProtection="1">
      <alignment horizontal="left" vertical="center"/>
    </xf>
    <xf numFmtId="0" fontId="1" fillId="5" borderId="307" xfId="0" applyFont="1" applyFill="1" applyBorder="1" applyAlignment="1" applyProtection="1">
      <alignment horizontal="left" vertical="top" wrapText="1"/>
      <protection locked="0"/>
    </xf>
    <xf numFmtId="0" fontId="1" fillId="5" borderId="308" xfId="0" applyFont="1" applyFill="1" applyBorder="1" applyAlignment="1" applyProtection="1">
      <alignment horizontal="left" vertical="top" wrapText="1"/>
      <protection locked="0"/>
    </xf>
    <xf numFmtId="0" fontId="1" fillId="5" borderId="309" xfId="0" applyFont="1" applyFill="1" applyBorder="1" applyAlignment="1" applyProtection="1">
      <alignment horizontal="left" vertical="top" wrapText="1"/>
      <protection locked="0"/>
    </xf>
    <xf numFmtId="0" fontId="1" fillId="5" borderId="310" xfId="0" applyFont="1" applyFill="1" applyBorder="1" applyAlignment="1" applyProtection="1">
      <alignment horizontal="left" vertical="top" wrapText="1"/>
      <protection locked="0"/>
    </xf>
    <xf numFmtId="0" fontId="1" fillId="5" borderId="311" xfId="0" applyFont="1" applyFill="1" applyBorder="1" applyAlignment="1" applyProtection="1">
      <alignment horizontal="left" vertical="top" wrapText="1"/>
      <protection locked="0"/>
    </xf>
    <xf numFmtId="0" fontId="1" fillId="5" borderId="312" xfId="0" applyFont="1" applyFill="1" applyBorder="1" applyAlignment="1" applyProtection="1">
      <alignment horizontal="left" vertical="top" wrapText="1"/>
      <protection locked="0"/>
    </xf>
    <xf numFmtId="0" fontId="10" fillId="65" borderId="144" xfId="0" applyFont="1" applyFill="1" applyBorder="1" applyAlignment="1">
      <alignment horizontal="left"/>
    </xf>
    <xf numFmtId="0" fontId="10" fillId="65" borderId="145" xfId="0" applyFont="1" applyFill="1" applyBorder="1" applyAlignment="1">
      <alignment horizontal="left"/>
    </xf>
    <xf numFmtId="0" fontId="10" fillId="65" borderId="146" xfId="0" applyFont="1" applyFill="1" applyBorder="1" applyAlignment="1">
      <alignment horizontal="left"/>
    </xf>
    <xf numFmtId="0" fontId="1" fillId="5" borderId="147" xfId="0" applyFont="1" applyFill="1" applyBorder="1" applyAlignment="1" applyProtection="1">
      <alignment horizontal="left" vertical="top"/>
      <protection locked="0"/>
    </xf>
    <xf numFmtId="0" fontId="1" fillId="5" borderId="148" xfId="0" applyFont="1" applyFill="1" applyBorder="1" applyAlignment="1" applyProtection="1">
      <alignment horizontal="left" vertical="top"/>
      <protection locked="0"/>
    </xf>
    <xf numFmtId="0" fontId="1" fillId="5" borderId="149" xfId="0" applyFont="1" applyFill="1" applyBorder="1" applyAlignment="1" applyProtection="1">
      <alignment horizontal="left" vertical="top"/>
      <protection locked="0"/>
    </xf>
    <xf numFmtId="0" fontId="1" fillId="5" borderId="150" xfId="0" applyFont="1" applyFill="1" applyBorder="1" applyAlignment="1" applyProtection="1">
      <alignment horizontal="left" vertical="top"/>
      <protection locked="0"/>
    </xf>
    <xf numFmtId="0" fontId="1" fillId="5" borderId="151" xfId="0" applyFont="1" applyFill="1" applyBorder="1" applyAlignment="1" applyProtection="1">
      <alignment horizontal="left" vertical="top"/>
      <protection locked="0"/>
    </xf>
    <xf numFmtId="0" fontId="1" fillId="5" borderId="152" xfId="0" applyFont="1" applyFill="1" applyBorder="1" applyAlignment="1" applyProtection="1">
      <alignment horizontal="left" vertical="top"/>
      <protection locked="0"/>
    </xf>
    <xf numFmtId="0" fontId="4" fillId="2" borderId="0" xfId="0" applyFont="1" applyFill="1" applyBorder="1" applyAlignment="1">
      <alignment horizontal="center" vertical="center"/>
    </xf>
    <xf numFmtId="0" fontId="9" fillId="0" borderId="0" xfId="0" applyFont="1" applyAlignment="1">
      <alignment horizontal="center"/>
    </xf>
    <xf numFmtId="0" fontId="26" fillId="0" borderId="0" xfId="0" applyFont="1" applyAlignment="1"/>
    <xf numFmtId="0" fontId="40" fillId="28" borderId="574" xfId="0" applyFont="1" applyFill="1" applyBorder="1" applyAlignment="1">
      <alignment horizontal="center" vertical="center"/>
    </xf>
    <xf numFmtId="0" fontId="40" fillId="28" borderId="575" xfId="0" applyFont="1" applyFill="1" applyBorder="1" applyAlignment="1">
      <alignment horizontal="center" vertical="center"/>
    </xf>
    <xf numFmtId="0" fontId="40" fillId="28" borderId="576" xfId="0" applyFont="1" applyFill="1" applyBorder="1" applyAlignment="1">
      <alignment horizontal="center" vertical="center"/>
    </xf>
    <xf numFmtId="0" fontId="39" fillId="23" borderId="334" xfId="0" applyFont="1" applyFill="1" applyBorder="1" applyAlignment="1">
      <alignment horizontal="right" vertical="center"/>
    </xf>
    <xf numFmtId="0" fontId="39" fillId="23" borderId="335" xfId="0" applyFont="1" applyFill="1" applyBorder="1" applyAlignment="1">
      <alignment horizontal="right" vertical="center"/>
    </xf>
    <xf numFmtId="0" fontId="41" fillId="23" borderId="335" xfId="0" applyFont="1" applyFill="1" applyBorder="1" applyAlignment="1">
      <alignment horizontal="left" vertical="center"/>
    </xf>
    <xf numFmtId="0" fontId="41" fillId="23" borderId="337" xfId="0" applyFont="1" applyFill="1" applyBorder="1" applyAlignment="1">
      <alignment horizontal="left" vertical="center"/>
    </xf>
    <xf numFmtId="0" fontId="0" fillId="5" borderId="744" xfId="0" applyFont="1" applyFill="1" applyBorder="1" applyAlignment="1" applyProtection="1">
      <alignment horizontal="left" vertical="center" wrapText="1"/>
      <protection locked="0"/>
    </xf>
    <xf numFmtId="0" fontId="0" fillId="5" borderId="745" xfId="0" applyFont="1" applyFill="1" applyBorder="1" applyAlignment="1" applyProtection="1">
      <alignment horizontal="left" vertical="center" wrapText="1"/>
      <protection locked="0"/>
    </xf>
    <xf numFmtId="0" fontId="0" fillId="5" borderId="746" xfId="0" applyFont="1" applyFill="1" applyBorder="1" applyAlignment="1" applyProtection="1">
      <alignment horizontal="left" vertical="center" wrapText="1"/>
      <protection locked="0"/>
    </xf>
    <xf numFmtId="0" fontId="0" fillId="5" borderId="706" xfId="0" applyFont="1" applyFill="1" applyBorder="1" applyAlignment="1" applyProtection="1">
      <alignment horizontal="left" vertical="center" wrapText="1"/>
      <protection locked="0"/>
    </xf>
    <xf numFmtId="0" fontId="0" fillId="5" borderId="1322" xfId="0" applyFont="1" applyFill="1" applyBorder="1" applyAlignment="1" applyProtection="1">
      <alignment horizontal="left" vertical="center" wrapText="1"/>
      <protection locked="0"/>
    </xf>
    <xf numFmtId="0" fontId="0" fillId="5" borderId="1323" xfId="0" applyFont="1" applyFill="1" applyBorder="1" applyAlignment="1" applyProtection="1">
      <alignment horizontal="left" vertical="center" wrapText="1"/>
      <protection locked="0"/>
    </xf>
    <xf numFmtId="0" fontId="0" fillId="5" borderId="1325" xfId="0" applyFont="1" applyFill="1" applyBorder="1" applyAlignment="1" applyProtection="1">
      <alignment horizontal="left" vertical="center" wrapText="1"/>
      <protection locked="0"/>
    </xf>
    <xf numFmtId="0" fontId="40" fillId="27" borderId="334" xfId="0" applyFont="1" applyFill="1" applyBorder="1" applyAlignment="1" applyProtection="1">
      <alignment horizontal="center" vertical="center" wrapText="1"/>
      <protection locked="0"/>
    </xf>
    <xf numFmtId="0" fontId="40" fillId="27" borderId="335" xfId="0" applyFont="1" applyFill="1" applyBorder="1" applyAlignment="1" applyProtection="1">
      <alignment horizontal="center" vertical="center" wrapText="1"/>
      <protection locked="0"/>
    </xf>
    <xf numFmtId="0" fontId="40" fillId="27" borderId="337" xfId="0" applyFont="1" applyFill="1" applyBorder="1" applyAlignment="1" applyProtection="1">
      <alignment horizontal="center" vertical="center" wrapText="1"/>
      <protection locked="0"/>
    </xf>
    <xf numFmtId="0" fontId="0" fillId="5" borderId="452"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690" xfId="0" applyFont="1" applyFill="1" applyBorder="1" applyAlignment="1" applyProtection="1">
      <alignment horizontal="left" vertical="center" wrapText="1"/>
      <protection locked="0"/>
    </xf>
    <xf numFmtId="0" fontId="40" fillId="32" borderId="581" xfId="0" applyFont="1" applyFill="1" applyBorder="1" applyAlignment="1">
      <alignment horizontal="center" vertical="center"/>
    </xf>
    <xf numFmtId="0" fontId="0" fillId="26" borderId="755" xfId="0" applyFont="1" applyFill="1" applyBorder="1" applyAlignment="1">
      <alignment horizontal="left" vertical="center"/>
    </xf>
    <xf numFmtId="0" fontId="0" fillId="26" borderId="756" xfId="0" applyFont="1" applyFill="1" applyBorder="1" applyAlignment="1">
      <alignment horizontal="left" vertical="center"/>
    </xf>
    <xf numFmtId="0" fontId="0" fillId="26" borderId="757" xfId="0" applyFont="1" applyFill="1" applyBorder="1" applyAlignment="1">
      <alignment horizontal="left" vertical="center"/>
    </xf>
    <xf numFmtId="0" fontId="0" fillId="5" borderId="1324" xfId="0" applyFont="1" applyFill="1" applyBorder="1" applyAlignment="1" applyProtection="1">
      <alignment horizontal="left" vertical="center" wrapText="1"/>
      <protection locked="0"/>
    </xf>
    <xf numFmtId="0" fontId="0" fillId="5" borderId="706" xfId="0" applyFont="1" applyFill="1" applyBorder="1" applyAlignment="1" applyProtection="1">
      <alignment horizontal="left" vertical="center"/>
      <protection locked="0"/>
    </xf>
    <xf numFmtId="0" fontId="0" fillId="0" borderId="0" xfId="0" quotePrefix="1" applyFont="1" applyBorder="1" applyAlignment="1">
      <alignment horizontal="center"/>
    </xf>
    <xf numFmtId="0" fontId="41" fillId="26" borderId="335" xfId="0" applyFont="1" applyFill="1" applyBorder="1" applyAlignment="1" applyProtection="1">
      <alignment horizontal="left" vertical="center"/>
    </xf>
    <xf numFmtId="0" fontId="41" fillId="26" borderId="337" xfId="0" applyFont="1" applyFill="1" applyBorder="1" applyAlignment="1" applyProtection="1">
      <alignment horizontal="left" vertical="center"/>
    </xf>
    <xf numFmtId="0" fontId="24" fillId="26" borderId="335" xfId="0" applyFont="1" applyFill="1" applyBorder="1" applyAlignment="1" applyProtection="1">
      <alignment horizontal="right" vertical="center"/>
    </xf>
    <xf numFmtId="0" fontId="0" fillId="5" borderId="1129" xfId="0" applyFont="1" applyFill="1" applyBorder="1" applyAlignment="1" applyProtection="1">
      <alignment horizontal="left" vertical="center"/>
      <protection locked="0"/>
    </xf>
    <xf numFmtId="0" fontId="0" fillId="5" borderId="1130" xfId="0" applyFont="1" applyFill="1" applyBorder="1" applyAlignment="1" applyProtection="1">
      <alignment horizontal="left" vertical="center"/>
      <protection locked="0"/>
    </xf>
    <xf numFmtId="0" fontId="0" fillId="5" borderId="1132" xfId="0" applyFont="1" applyFill="1" applyBorder="1" applyAlignment="1" applyProtection="1">
      <alignment horizontal="left" vertical="center"/>
      <protection locked="0"/>
    </xf>
    <xf numFmtId="0" fontId="0" fillId="5" borderId="1133" xfId="0" applyFont="1" applyFill="1" applyBorder="1" applyAlignment="1" applyProtection="1">
      <alignment horizontal="left" vertical="center"/>
      <protection locked="0"/>
    </xf>
    <xf numFmtId="0" fontId="0" fillId="26" borderId="1135" xfId="0" applyFont="1" applyFill="1" applyBorder="1" applyAlignment="1">
      <alignment horizontal="left" vertical="center"/>
    </xf>
    <xf numFmtId="0" fontId="0" fillId="26" borderId="1136" xfId="0" applyFont="1" applyFill="1" applyBorder="1" applyAlignment="1">
      <alignment horizontal="left" vertical="center"/>
    </xf>
    <xf numFmtId="0" fontId="0" fillId="26" borderId="1138" xfId="0" applyFont="1" applyFill="1" applyBorder="1" applyAlignment="1">
      <alignment horizontal="left" vertical="center"/>
    </xf>
    <xf numFmtId="0" fontId="0" fillId="26" borderId="1139" xfId="0" applyFont="1" applyFill="1" applyBorder="1" applyAlignment="1">
      <alignment horizontal="left" vertical="center"/>
    </xf>
    <xf numFmtId="0" fontId="26" fillId="0" borderId="357" xfId="0" quotePrefix="1" applyFont="1" applyBorder="1" applyAlignment="1" applyProtection="1">
      <alignment horizontal="left" vertical="center"/>
    </xf>
    <xf numFmtId="0" fontId="26" fillId="0" borderId="347" xfId="0" quotePrefix="1" applyFont="1" applyBorder="1" applyAlignment="1" applyProtection="1">
      <alignment horizontal="left" vertical="center"/>
    </xf>
    <xf numFmtId="0" fontId="26" fillId="0" borderId="348" xfId="0" quotePrefix="1" applyFont="1" applyBorder="1" applyAlignment="1" applyProtection="1">
      <alignment horizontal="left" vertical="center"/>
    </xf>
    <xf numFmtId="0" fontId="26" fillId="0" borderId="64" xfId="0" quotePrefix="1" applyFont="1" applyBorder="1" applyAlignment="1" applyProtection="1">
      <alignment horizontal="left" vertical="center"/>
    </xf>
    <xf numFmtId="0" fontId="26" fillId="0" borderId="65" xfId="0" quotePrefix="1" applyFont="1" applyBorder="1" applyAlignment="1" applyProtection="1">
      <alignment horizontal="left" vertical="center"/>
    </xf>
    <xf numFmtId="0" fontId="26" fillId="0" borderId="349" xfId="0" quotePrefix="1" applyFont="1" applyBorder="1" applyAlignment="1" applyProtection="1">
      <alignment horizontal="left" vertical="center"/>
    </xf>
    <xf numFmtId="0" fontId="26" fillId="0" borderId="101" xfId="0" quotePrefix="1" applyFont="1" applyBorder="1" applyAlignment="1" applyProtection="1">
      <alignment horizontal="left" vertical="center"/>
    </xf>
    <xf numFmtId="0" fontId="26" fillId="0" borderId="102" xfId="0" quotePrefix="1" applyFont="1" applyBorder="1" applyAlignment="1" applyProtection="1">
      <alignment horizontal="left" vertical="center"/>
    </xf>
    <xf numFmtId="0" fontId="26" fillId="0" borderId="397" xfId="0" quotePrefix="1" applyFont="1" applyBorder="1" applyAlignment="1" applyProtection="1">
      <alignment horizontal="left" vertical="center"/>
    </xf>
    <xf numFmtId="0" fontId="0" fillId="0" borderId="0" xfId="0" applyFont="1" applyBorder="1" applyAlignment="1" applyProtection="1">
      <alignment horizontal="center"/>
    </xf>
    <xf numFmtId="0" fontId="26" fillId="4" borderId="162" xfId="0" applyFont="1" applyFill="1" applyBorder="1" applyAlignment="1" applyProtection="1">
      <alignment horizontal="center" vertical="center" wrapText="1"/>
    </xf>
    <xf numFmtId="0" fontId="21" fillId="0" borderId="160" xfId="0" applyFont="1" applyBorder="1" applyAlignment="1" applyProtection="1">
      <alignment horizontal="center" vertical="center" wrapText="1"/>
    </xf>
    <xf numFmtId="0" fontId="26" fillId="6" borderId="162" xfId="0" applyFont="1" applyFill="1" applyBorder="1" applyAlignment="1" applyProtection="1">
      <alignment horizontal="center" vertical="center" wrapText="1"/>
    </xf>
    <xf numFmtId="0" fontId="26" fillId="6" borderId="193" xfId="0" applyFont="1" applyFill="1" applyBorder="1" applyAlignment="1" applyProtection="1">
      <alignment horizontal="center" vertical="center" wrapText="1"/>
    </xf>
    <xf numFmtId="0" fontId="26" fillId="0" borderId="1160" xfId="0" quotePrefix="1" applyFont="1" applyBorder="1" applyAlignment="1" applyProtection="1">
      <alignment horizontal="left" vertical="center"/>
    </xf>
    <xf numFmtId="0" fontId="26" fillId="0" borderId="504" xfId="0" quotePrefix="1" applyFont="1" applyBorder="1" applyAlignment="1" applyProtection="1">
      <alignment horizontal="left" vertical="center"/>
    </xf>
    <xf numFmtId="0" fontId="26" fillId="0" borderId="503" xfId="0" quotePrefix="1" applyFont="1" applyBorder="1" applyAlignment="1" applyProtection="1">
      <alignment horizontal="left" vertical="center"/>
    </xf>
    <xf numFmtId="0" fontId="26" fillId="0" borderId="101" xfId="0" quotePrefix="1" applyFont="1" applyBorder="1" applyAlignment="1" applyProtection="1">
      <alignment horizontal="center" vertical="center"/>
    </xf>
    <xf numFmtId="0" fontId="26" fillId="0" borderId="102" xfId="0" quotePrefix="1" applyFont="1" applyBorder="1" applyAlignment="1" applyProtection="1">
      <alignment horizontal="center" vertical="center"/>
    </xf>
    <xf numFmtId="0" fontId="26" fillId="0" borderId="103" xfId="0" quotePrefix="1" applyFont="1" applyBorder="1" applyAlignment="1" applyProtection="1">
      <alignment horizontal="center" vertical="center"/>
    </xf>
    <xf numFmtId="0" fontId="41" fillId="8" borderId="64" xfId="0" applyFont="1" applyFill="1" applyBorder="1" applyAlignment="1" applyProtection="1">
      <alignment horizontal="center" vertical="center" wrapText="1"/>
    </xf>
    <xf numFmtId="0" fontId="41" fillId="8" borderId="65" xfId="0" applyFont="1" applyFill="1" applyBorder="1" applyAlignment="1" applyProtection="1">
      <alignment horizontal="center" vertical="center" wrapText="1"/>
    </xf>
    <xf numFmtId="0" fontId="41" fillId="8" borderId="349" xfId="0" applyFont="1" applyFill="1" applyBorder="1" applyAlignment="1" applyProtection="1">
      <alignment horizontal="center" vertical="center" wrapText="1"/>
    </xf>
    <xf numFmtId="0" fontId="21" fillId="0" borderId="67" xfId="0" quotePrefix="1" applyFont="1" applyBorder="1" applyAlignment="1" applyProtection="1">
      <alignment horizontal="center" vertical="center" wrapText="1"/>
    </xf>
    <xf numFmtId="0" fontId="21" fillId="0" borderId="68" xfId="0" quotePrefix="1" applyFont="1" applyBorder="1" applyAlignment="1" applyProtection="1">
      <alignment horizontal="center" vertical="center" wrapText="1"/>
    </xf>
    <xf numFmtId="0" fontId="21" fillId="0" borderId="390" xfId="0" quotePrefix="1" applyFont="1" applyBorder="1" applyAlignment="1" applyProtection="1">
      <alignment horizontal="center" vertical="center" wrapText="1"/>
    </xf>
    <xf numFmtId="0" fontId="26" fillId="0" borderId="55" xfId="0" quotePrefix="1" applyFont="1" applyBorder="1" applyAlignment="1" applyProtection="1">
      <alignment horizontal="center" vertical="center"/>
    </xf>
    <xf numFmtId="0" fontId="26" fillId="0" borderId="56" xfId="0" quotePrefix="1" applyFont="1" applyBorder="1" applyAlignment="1" applyProtection="1">
      <alignment horizontal="center" vertical="center"/>
    </xf>
    <xf numFmtId="0" fontId="26" fillId="0" borderId="57" xfId="0" quotePrefix="1" applyFont="1" applyBorder="1" applyAlignment="1" applyProtection="1">
      <alignment horizontal="center" vertical="center"/>
    </xf>
    <xf numFmtId="0" fontId="26" fillId="10" borderId="344" xfId="0" applyFont="1" applyFill="1" applyBorder="1" applyAlignment="1" applyProtection="1">
      <alignment horizontal="center" vertical="center" wrapText="1"/>
    </xf>
    <xf numFmtId="0" fontId="26" fillId="10" borderId="720" xfId="0" applyFont="1" applyFill="1" applyBorder="1" applyAlignment="1" applyProtection="1">
      <alignment horizontal="center" vertical="center" wrapText="1"/>
    </xf>
    <xf numFmtId="0" fontId="26" fillId="18" borderId="344" xfId="0" applyFont="1" applyFill="1" applyBorder="1" applyAlignment="1" applyProtection="1">
      <alignment horizontal="center" vertical="center" wrapText="1"/>
    </xf>
    <xf numFmtId="0" fontId="26" fillId="18" borderId="720" xfId="0" applyFont="1" applyFill="1" applyBorder="1" applyAlignment="1" applyProtection="1">
      <alignment horizontal="center" vertical="center" wrapText="1"/>
    </xf>
    <xf numFmtId="0" fontId="21"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21" fillId="0" borderId="507" xfId="0" applyFont="1" applyBorder="1" applyAlignment="1" applyProtection="1">
      <alignment horizontal="center" vertical="center" wrapText="1"/>
    </xf>
    <xf numFmtId="0" fontId="21" fillId="0" borderId="500" xfId="0" applyFont="1" applyBorder="1" applyAlignment="1" applyProtection="1">
      <alignment horizontal="center" vertical="center" wrapText="1"/>
    </xf>
    <xf numFmtId="0" fontId="21" fillId="0" borderId="606" xfId="0" applyFont="1" applyBorder="1" applyAlignment="1" applyProtection="1">
      <alignment horizontal="center" vertical="center" wrapText="1"/>
    </xf>
    <xf numFmtId="0" fontId="1" fillId="0" borderId="607" xfId="0" applyFont="1" applyBorder="1" applyAlignment="1" applyProtection="1">
      <alignment horizontal="center" vertical="center" wrapText="1"/>
    </xf>
    <xf numFmtId="0" fontId="1" fillId="0" borderId="608" xfId="0" applyFont="1" applyBorder="1" applyAlignment="1" applyProtection="1">
      <alignment horizontal="center" vertical="center" wrapText="1"/>
    </xf>
    <xf numFmtId="0" fontId="1" fillId="0" borderId="609" xfId="0" applyFont="1" applyBorder="1" applyAlignment="1" applyProtection="1">
      <alignment horizontal="center" vertical="center" wrapText="1"/>
    </xf>
    <xf numFmtId="0" fontId="1" fillId="0" borderId="610" xfId="0" applyFont="1" applyBorder="1" applyAlignment="1" applyProtection="1">
      <alignment horizontal="center" vertical="center" wrapText="1"/>
    </xf>
    <xf numFmtId="0" fontId="1" fillId="0" borderId="611" xfId="0" applyFont="1" applyBorder="1" applyAlignment="1" applyProtection="1">
      <alignment horizontal="center" vertical="center" wrapText="1"/>
    </xf>
    <xf numFmtId="0" fontId="1" fillId="0" borderId="612" xfId="0" applyFont="1" applyBorder="1" applyAlignment="1" applyProtection="1">
      <alignment horizontal="center" vertical="center" wrapText="1"/>
    </xf>
    <xf numFmtId="0" fontId="37" fillId="2" borderId="1210" xfId="0" applyFont="1" applyFill="1" applyBorder="1" applyAlignment="1" applyProtection="1">
      <alignment horizontal="center" vertical="center"/>
    </xf>
    <xf numFmtId="0" fontId="0" fillId="0" borderId="353" xfId="0" applyFont="1" applyFill="1" applyBorder="1" applyAlignment="1" applyProtection="1">
      <alignment horizontal="center" vertical="center"/>
    </xf>
    <xf numFmtId="0" fontId="0" fillId="0" borderId="107" xfId="0" applyFont="1" applyFill="1" applyBorder="1" applyAlignment="1" applyProtection="1">
      <alignment horizontal="center" vertical="center"/>
    </xf>
    <xf numFmtId="0" fontId="0" fillId="0" borderId="108" xfId="0" applyFont="1" applyFill="1" applyBorder="1" applyAlignment="1" applyProtection="1">
      <alignment horizontal="center" vertical="center"/>
    </xf>
    <xf numFmtId="0" fontId="26" fillId="0" borderId="52" xfId="0" applyFont="1" applyBorder="1" applyAlignment="1" applyProtection="1">
      <alignment horizontal="right" vertical="center"/>
    </xf>
    <xf numFmtId="0" fontId="26" fillId="0" borderId="53" xfId="0" applyFont="1" applyBorder="1" applyAlignment="1" applyProtection="1">
      <alignment horizontal="right" vertical="center"/>
    </xf>
    <xf numFmtId="0" fontId="21" fillId="0" borderId="53" xfId="0" applyFont="1" applyBorder="1" applyAlignment="1" applyProtection="1">
      <alignment horizontal="center" vertical="center"/>
    </xf>
    <xf numFmtId="0" fontId="21" fillId="0" borderId="54" xfId="0" applyFont="1" applyBorder="1" applyAlignment="1" applyProtection="1">
      <alignment horizontal="center" vertical="center"/>
    </xf>
    <xf numFmtId="0" fontId="21" fillId="0" borderId="60" xfId="0" applyFont="1" applyBorder="1" applyAlignment="1" applyProtection="1">
      <alignment horizontal="center" vertical="center"/>
    </xf>
    <xf numFmtId="0" fontId="26" fillId="0" borderId="58" xfId="0" applyFont="1" applyBorder="1" applyAlignment="1" applyProtection="1">
      <alignment horizontal="right" vertical="center"/>
    </xf>
    <xf numFmtId="0" fontId="26" fillId="0" borderId="59" xfId="0" applyFont="1" applyBorder="1" applyAlignment="1" applyProtection="1">
      <alignment horizontal="right" vertical="center"/>
    </xf>
    <xf numFmtId="2" fontId="21" fillId="0" borderId="59" xfId="3" applyNumberFormat="1" applyFont="1" applyBorder="1" applyAlignment="1" applyProtection="1">
      <alignment horizontal="center" vertical="center"/>
    </xf>
    <xf numFmtId="9" fontId="21" fillId="0" borderId="59" xfId="3" applyFont="1" applyBorder="1" applyAlignment="1" applyProtection="1">
      <alignment horizontal="center" vertical="center"/>
    </xf>
    <xf numFmtId="0" fontId="35" fillId="0" borderId="56" xfId="10" applyFont="1" applyBorder="1" applyAlignment="1" applyProtection="1">
      <alignment horizontal="left" vertical="center" wrapText="1"/>
    </xf>
    <xf numFmtId="0" fontId="35" fillId="0" borderId="56" xfId="0" applyFont="1" applyBorder="1" applyAlignment="1" applyProtection="1">
      <alignment horizontal="left" vertical="center" wrapText="1"/>
    </xf>
    <xf numFmtId="0" fontId="0" fillId="26" borderId="56" xfId="0" applyFont="1" applyFill="1" applyBorder="1" applyAlignment="1" applyProtection="1">
      <alignment horizontal="center" vertical="center"/>
      <protection locked="0"/>
    </xf>
    <xf numFmtId="0" fontId="0" fillId="0" borderId="56" xfId="0" applyFont="1" applyBorder="1" applyAlignment="1" applyProtection="1">
      <alignment horizontal="center" vertical="center"/>
    </xf>
    <xf numFmtId="0" fontId="0" fillId="0" borderId="56" xfId="0" applyFont="1" applyBorder="1" applyAlignment="1" applyProtection="1">
      <alignment horizontal="left" vertical="top" wrapText="1"/>
      <protection locked="0"/>
    </xf>
    <xf numFmtId="0" fontId="0" fillId="0" borderId="57" xfId="0" applyFont="1" applyBorder="1" applyAlignment="1" applyProtection="1">
      <alignment horizontal="left" vertical="top" wrapText="1"/>
      <protection locked="0"/>
    </xf>
    <xf numFmtId="0" fontId="147" fillId="0" borderId="344" xfId="10" applyFont="1" applyBorder="1" applyAlignment="1" applyProtection="1">
      <alignment horizontal="right" vertical="center" wrapText="1"/>
    </xf>
    <xf numFmtId="0" fontId="147" fillId="0" borderId="345" xfId="0" applyFont="1" applyBorder="1" applyAlignment="1" applyProtection="1">
      <alignment horizontal="right" vertical="center" wrapText="1"/>
    </xf>
    <xf numFmtId="2" fontId="148" fillId="0" borderId="345" xfId="0" applyNumberFormat="1" applyFont="1" applyFill="1" applyBorder="1" applyAlignment="1" applyProtection="1">
      <alignment horizontal="center" vertical="center"/>
    </xf>
    <xf numFmtId="0" fontId="30" fillId="0" borderId="345" xfId="0" applyFont="1" applyBorder="1" applyAlignment="1" applyProtection="1">
      <alignment horizontal="center" vertical="center"/>
    </xf>
    <xf numFmtId="0" fontId="0" fillId="0" borderId="345" xfId="0" applyFont="1" applyBorder="1" applyAlignment="1" applyProtection="1">
      <alignment horizontal="left" vertical="top" wrapText="1"/>
    </xf>
    <xf numFmtId="0" fontId="0" fillId="0" borderId="346" xfId="0" applyFont="1" applyBorder="1" applyAlignment="1" applyProtection="1">
      <alignment horizontal="left" vertical="top" wrapText="1"/>
    </xf>
    <xf numFmtId="0" fontId="35" fillId="0" borderId="56" xfId="2" applyFont="1" applyBorder="1" applyAlignment="1" applyProtection="1">
      <alignment horizontal="left" vertical="center" wrapText="1"/>
    </xf>
    <xf numFmtId="0" fontId="142" fillId="0" borderId="344" xfId="2" applyFont="1" applyBorder="1" applyAlignment="1" applyProtection="1">
      <alignment horizontal="right" vertical="center" wrapText="1"/>
    </xf>
    <xf numFmtId="0" fontId="142" fillId="0" borderId="345" xfId="0" applyFont="1" applyBorder="1" applyAlignment="1" applyProtection="1">
      <alignment horizontal="right" vertical="center" wrapText="1"/>
    </xf>
    <xf numFmtId="0" fontId="40" fillId="25" borderId="501" xfId="0" applyFont="1" applyFill="1" applyBorder="1" applyAlignment="1" applyProtection="1">
      <alignment horizontal="center" vertical="center" textRotation="90"/>
    </xf>
    <xf numFmtId="0" fontId="40" fillId="25" borderId="156" xfId="0" applyFont="1" applyFill="1" applyBorder="1" applyAlignment="1" applyProtection="1">
      <alignment horizontal="center" vertical="center" textRotation="90"/>
    </xf>
    <xf numFmtId="0" fontId="40" fillId="25" borderId="502" xfId="0" applyFont="1" applyFill="1" applyBorder="1" applyAlignment="1" applyProtection="1">
      <alignment horizontal="center" vertical="center" textRotation="90"/>
    </xf>
    <xf numFmtId="0" fontId="0" fillId="0" borderId="500" xfId="0" applyFont="1" applyBorder="1" applyAlignment="1" applyProtection="1">
      <alignment horizontal="center" vertical="center"/>
    </xf>
    <xf numFmtId="0" fontId="0" fillId="0" borderId="199" xfId="0" applyFont="1" applyBorder="1" applyAlignment="1" applyProtection="1">
      <alignment horizontal="center" vertical="center"/>
    </xf>
    <xf numFmtId="0" fontId="0" fillId="0" borderId="200" xfId="0" applyFont="1" applyBorder="1" applyAlignment="1" applyProtection="1">
      <alignment horizontal="center" vertical="center"/>
    </xf>
    <xf numFmtId="2" fontId="148" fillId="0" borderId="345" xfId="0" applyNumberFormat="1" applyFont="1" applyBorder="1" applyAlignment="1" applyProtection="1">
      <alignment horizontal="center"/>
    </xf>
    <xf numFmtId="0" fontId="40" fillId="27" borderId="501" xfId="0" applyFont="1" applyFill="1" applyBorder="1" applyAlignment="1" applyProtection="1">
      <alignment horizontal="center" vertical="center" textRotation="90"/>
    </xf>
    <xf numFmtId="0" fontId="40" fillId="27" borderId="156" xfId="0" applyFont="1" applyFill="1" applyBorder="1" applyAlignment="1" applyProtection="1">
      <alignment horizontal="center" vertical="center" textRotation="90"/>
    </xf>
    <xf numFmtId="1" fontId="142" fillId="0" borderId="344" xfId="2" applyNumberFormat="1" applyFont="1" applyBorder="1" applyAlignment="1" applyProtection="1">
      <alignment horizontal="right" wrapText="1"/>
    </xf>
    <xf numFmtId="1" fontId="142" fillId="0" borderId="345" xfId="0" applyNumberFormat="1" applyFont="1" applyBorder="1" applyAlignment="1" applyProtection="1">
      <alignment horizontal="right" wrapText="1"/>
    </xf>
    <xf numFmtId="0" fontId="0" fillId="0" borderId="56" xfId="0" applyFont="1" applyBorder="1" applyAlignment="1" applyProtection="1">
      <alignment horizontal="center"/>
    </xf>
    <xf numFmtId="0" fontId="0" fillId="0" borderId="344" xfId="0" applyFont="1" applyBorder="1" applyAlignment="1" applyProtection="1">
      <alignment horizontal="center"/>
      <protection locked="0"/>
    </xf>
    <xf numFmtId="0" fontId="0" fillId="0" borderId="345" xfId="0" applyFont="1" applyBorder="1" applyAlignment="1" applyProtection="1">
      <alignment horizontal="center"/>
      <protection locked="0"/>
    </xf>
    <xf numFmtId="0" fontId="0" fillId="0" borderId="346" xfId="0" applyFont="1" applyBorder="1" applyAlignment="1" applyProtection="1">
      <alignment horizontal="center"/>
      <protection locked="0"/>
    </xf>
    <xf numFmtId="0" fontId="40" fillId="26" borderId="501" xfId="0" applyFont="1" applyFill="1" applyBorder="1" applyAlignment="1" applyProtection="1">
      <alignment horizontal="center" vertical="center" textRotation="90"/>
    </xf>
    <xf numFmtId="0" fontId="40" fillId="26" borderId="156" xfId="0" applyFont="1" applyFill="1" applyBorder="1" applyAlignment="1" applyProtection="1">
      <alignment horizontal="center" vertical="center" textRotation="90"/>
    </xf>
    <xf numFmtId="0" fontId="40" fillId="21" borderId="52" xfId="0" applyFont="1" applyFill="1" applyBorder="1" applyAlignment="1" applyProtection="1">
      <alignment horizontal="center" vertical="center" textRotation="90"/>
    </xf>
    <xf numFmtId="0" fontId="40" fillId="21" borderId="55" xfId="0" applyFont="1" applyFill="1" applyBorder="1" applyAlignment="1" applyProtection="1">
      <alignment horizontal="center" vertical="center" textRotation="90"/>
    </xf>
    <xf numFmtId="0" fontId="26" fillId="36" borderId="154" xfId="0" applyFont="1" applyFill="1" applyBorder="1" applyAlignment="1" applyProtection="1">
      <alignment horizontal="center" vertical="center"/>
    </xf>
    <xf numFmtId="0" fontId="21" fillId="36" borderId="153" xfId="0" applyFont="1" applyFill="1" applyBorder="1" applyAlignment="1" applyProtection="1">
      <alignment horizontal="center" vertical="center" wrapText="1"/>
    </xf>
    <xf numFmtId="0" fontId="21" fillId="36" borderId="154" xfId="0" applyFont="1" applyFill="1" applyBorder="1" applyAlignment="1" applyProtection="1">
      <alignment horizontal="center" vertical="center"/>
    </xf>
    <xf numFmtId="0" fontId="21" fillId="36" borderId="156" xfId="0" applyFont="1" applyFill="1" applyBorder="1" applyAlignment="1" applyProtection="1">
      <alignment horizontal="center" vertical="center"/>
    </xf>
    <xf numFmtId="0" fontId="21" fillId="36" borderId="157" xfId="0" applyFont="1" applyFill="1" applyBorder="1" applyAlignment="1" applyProtection="1">
      <alignment horizontal="center" vertical="center"/>
    </xf>
    <xf numFmtId="0" fontId="26" fillId="36" borderId="155" xfId="0" applyFont="1" applyFill="1" applyBorder="1" applyAlignment="1" applyProtection="1">
      <alignment horizontal="center" vertical="center"/>
    </xf>
    <xf numFmtId="0" fontId="26" fillId="36" borderId="157" xfId="0" applyFont="1" applyFill="1" applyBorder="1" applyAlignment="1" applyProtection="1">
      <alignment horizontal="center" vertical="center"/>
    </xf>
    <xf numFmtId="0" fontId="26" fillId="36" borderId="158" xfId="0" applyFont="1" applyFill="1" applyBorder="1" applyAlignment="1" applyProtection="1">
      <alignment horizontal="center" vertical="center"/>
    </xf>
    <xf numFmtId="0" fontId="142" fillId="0" borderId="345" xfId="2" applyFont="1" applyBorder="1" applyAlignment="1" applyProtection="1">
      <alignment horizontal="right" vertical="center" wrapText="1"/>
    </xf>
    <xf numFmtId="0" fontId="0" fillId="36" borderId="157" xfId="0" applyFont="1" applyFill="1" applyBorder="1" applyAlignment="1" applyProtection="1">
      <alignment horizontal="center" vertical="center"/>
    </xf>
    <xf numFmtId="0" fontId="26" fillId="36" borderId="154" xfId="0" applyFont="1" applyFill="1" applyBorder="1" applyAlignment="1" applyProtection="1">
      <alignment horizontal="center" vertical="center" wrapText="1"/>
    </xf>
    <xf numFmtId="0" fontId="26" fillId="36" borderId="157" xfId="0" applyFont="1" applyFill="1" applyBorder="1" applyAlignment="1" applyProtection="1">
      <alignment horizontal="center" vertical="center" wrapText="1"/>
    </xf>
    <xf numFmtId="0" fontId="0" fillId="0" borderId="783" xfId="0" applyFont="1" applyFill="1" applyBorder="1" applyAlignment="1" applyProtection="1">
      <alignment horizontal="center"/>
    </xf>
    <xf numFmtId="0" fontId="0" fillId="0" borderId="784" xfId="0" applyFont="1" applyFill="1" applyBorder="1" applyAlignment="1" applyProtection="1">
      <alignment horizontal="center"/>
    </xf>
    <xf numFmtId="0" fontId="0" fillId="0" borderId="785" xfId="0" applyFont="1" applyFill="1" applyBorder="1" applyAlignment="1" applyProtection="1">
      <alignment horizontal="center"/>
    </xf>
    <xf numFmtId="0" fontId="0" fillId="26" borderId="113" xfId="0" applyFont="1" applyFill="1" applyBorder="1" applyAlignment="1" applyProtection="1">
      <alignment horizontal="center"/>
      <protection locked="0"/>
    </xf>
    <xf numFmtId="9" fontId="0" fillId="26" borderId="113" xfId="3" applyFont="1" applyFill="1" applyBorder="1" applyAlignment="1" applyProtection="1">
      <alignment horizontal="center"/>
      <protection locked="0"/>
    </xf>
    <xf numFmtId="0" fontId="0" fillId="26" borderId="114" xfId="0" applyFont="1" applyFill="1" applyBorder="1" applyAlignment="1" applyProtection="1">
      <alignment horizontal="center"/>
      <protection locked="0"/>
    </xf>
    <xf numFmtId="0" fontId="0" fillId="39" borderId="613" xfId="0" applyFont="1" applyFill="1" applyBorder="1" applyAlignment="1" applyProtection="1">
      <alignment horizontal="center"/>
      <protection locked="0"/>
    </xf>
    <xf numFmtId="0" fontId="0" fillId="39" borderId="218" xfId="0" applyFont="1" applyFill="1" applyBorder="1" applyAlignment="1" applyProtection="1">
      <alignment horizontal="center"/>
      <protection locked="0"/>
    </xf>
    <xf numFmtId="0" fontId="69" fillId="75" borderId="0" xfId="0" quotePrefix="1" applyFont="1" applyFill="1" applyAlignment="1" applyProtection="1">
      <alignment horizontal="center" wrapText="1"/>
    </xf>
    <xf numFmtId="0" fontId="26" fillId="0" borderId="613" xfId="0" quotePrefix="1" applyFont="1" applyBorder="1" applyAlignment="1" applyProtection="1">
      <alignment horizontal="left" vertical="center" wrapText="1"/>
    </xf>
    <xf numFmtId="0" fontId="26" fillId="0" borderId="130" xfId="0" quotePrefix="1" applyFont="1" applyBorder="1" applyAlignment="1" applyProtection="1">
      <alignment horizontal="left" vertical="center" wrapText="1"/>
    </xf>
    <xf numFmtId="0" fontId="26" fillId="0" borderId="618" xfId="0" quotePrefix="1" applyFont="1" applyBorder="1" applyAlignment="1" applyProtection="1">
      <alignment horizontal="left" vertical="center" wrapText="1"/>
    </xf>
    <xf numFmtId="0" fontId="123" fillId="40" borderId="112" xfId="0" quotePrefix="1" applyFont="1" applyFill="1" applyBorder="1" applyAlignment="1" applyProtection="1">
      <alignment horizontal="left" vertical="center"/>
    </xf>
    <xf numFmtId="0" fontId="123" fillId="40" borderId="113" xfId="0" quotePrefix="1" applyFont="1" applyFill="1" applyBorder="1" applyAlignment="1" applyProtection="1">
      <alignment horizontal="left" vertical="center"/>
    </xf>
    <xf numFmtId="0" fontId="123" fillId="40" borderId="118" xfId="0" quotePrefix="1" applyFont="1" applyFill="1" applyBorder="1" applyAlignment="1" applyProtection="1">
      <alignment horizontal="left" vertical="center"/>
    </xf>
    <xf numFmtId="0" fontId="123" fillId="40" borderId="119" xfId="0" quotePrefix="1" applyFont="1" applyFill="1" applyBorder="1" applyAlignment="1" applyProtection="1">
      <alignment horizontal="left" vertical="center"/>
    </xf>
    <xf numFmtId="0" fontId="0" fillId="0" borderId="113" xfId="0" applyFont="1" applyBorder="1" applyAlignment="1" applyProtection="1">
      <alignment horizontal="center" vertical="center"/>
    </xf>
    <xf numFmtId="0" fontId="21" fillId="40" borderId="725" xfId="0" quotePrefix="1" applyFont="1" applyFill="1" applyBorder="1" applyAlignment="1" applyProtection="1">
      <alignment horizontal="left" vertical="center"/>
    </xf>
    <xf numFmtId="0" fontId="21" fillId="40" borderId="726" xfId="0" quotePrefix="1" applyFont="1" applyFill="1" applyBorder="1" applyAlignment="1" applyProtection="1">
      <alignment horizontal="left" vertical="center"/>
    </xf>
    <xf numFmtId="0" fontId="41" fillId="14" borderId="109" xfId="0" applyFont="1" applyFill="1" applyBorder="1" applyAlignment="1" applyProtection="1">
      <alignment horizontal="center"/>
    </xf>
    <xf numFmtId="0" fontId="41" fillId="14" borderId="110" xfId="0" applyFont="1" applyFill="1" applyBorder="1" applyAlignment="1" applyProtection="1">
      <alignment horizontal="center"/>
    </xf>
    <xf numFmtId="0" fontId="41" fillId="14" borderId="111" xfId="0" applyFont="1" applyFill="1" applyBorder="1" applyAlignment="1" applyProtection="1">
      <alignment horizontal="center"/>
    </xf>
    <xf numFmtId="0" fontId="0" fillId="0" borderId="614" xfId="0" applyFont="1" applyBorder="1" applyAlignment="1" applyProtection="1">
      <alignment horizontal="center" vertical="center" wrapText="1"/>
    </xf>
    <xf numFmtId="0" fontId="0" fillId="0" borderId="405" xfId="0" applyFont="1" applyBorder="1" applyAlignment="1" applyProtection="1">
      <alignment horizontal="center" vertical="center" wrapText="1"/>
    </xf>
    <xf numFmtId="0" fontId="0" fillId="0" borderId="615" xfId="0" applyFont="1" applyBorder="1" applyAlignment="1" applyProtection="1">
      <alignment horizontal="center" vertical="center" wrapText="1"/>
    </xf>
    <xf numFmtId="0" fontId="0" fillId="0" borderId="406" xfId="0" applyFont="1" applyBorder="1" applyAlignment="1" applyProtection="1">
      <alignment horizontal="center" vertical="center" wrapText="1"/>
    </xf>
    <xf numFmtId="0" fontId="0" fillId="0" borderId="114" xfId="0" applyFont="1" applyBorder="1" applyAlignment="1" applyProtection="1">
      <alignment horizontal="center" vertical="center"/>
    </xf>
    <xf numFmtId="0" fontId="41" fillId="32" borderId="126" xfId="0" applyFont="1" applyFill="1" applyBorder="1" applyAlignment="1" applyProtection="1">
      <alignment horizontal="left" vertical="center"/>
    </xf>
    <xf numFmtId="0" fontId="41" fillId="32" borderId="127" xfId="0" applyFont="1" applyFill="1" applyBorder="1" applyAlignment="1" applyProtection="1">
      <alignment horizontal="left" vertical="center"/>
    </xf>
    <xf numFmtId="0" fontId="1" fillId="39" borderId="243" xfId="0" applyFont="1" applyFill="1" applyBorder="1" applyAlignment="1" applyProtection="1">
      <alignment horizontal="left" vertical="top" wrapText="1"/>
      <protection locked="0"/>
    </xf>
    <xf numFmtId="0" fontId="1" fillId="39" borderId="244" xfId="0" applyFont="1" applyFill="1" applyBorder="1" applyAlignment="1" applyProtection="1">
      <alignment horizontal="left" vertical="top" wrapText="1"/>
      <protection locked="0"/>
    </xf>
    <xf numFmtId="0" fontId="1" fillId="39" borderId="245" xfId="0" applyFont="1" applyFill="1" applyBorder="1" applyAlignment="1" applyProtection="1">
      <alignment horizontal="left" vertical="top" wrapText="1"/>
      <protection locked="0"/>
    </xf>
    <xf numFmtId="0" fontId="1" fillId="39" borderId="0" xfId="0" applyFont="1" applyFill="1" applyBorder="1" applyAlignment="1" applyProtection="1">
      <alignment horizontal="left" vertical="top" wrapText="1"/>
      <protection locked="0"/>
    </xf>
    <xf numFmtId="0" fontId="1" fillId="39" borderId="246" xfId="0" applyFont="1" applyFill="1" applyBorder="1" applyAlignment="1" applyProtection="1">
      <alignment horizontal="left" vertical="top" wrapText="1"/>
      <protection locked="0"/>
    </xf>
    <xf numFmtId="0" fontId="1" fillId="39" borderId="247" xfId="0" applyFont="1" applyFill="1" applyBorder="1" applyAlignment="1" applyProtection="1">
      <alignment horizontal="left" vertical="top" wrapText="1"/>
      <protection locked="0"/>
    </xf>
    <xf numFmtId="0" fontId="0" fillId="39" borderId="244" xfId="0" applyFont="1" applyFill="1" applyBorder="1" applyAlignment="1" applyProtection="1">
      <alignment horizontal="left" vertical="top" wrapText="1"/>
      <protection locked="0"/>
    </xf>
    <xf numFmtId="0" fontId="0" fillId="39" borderId="245" xfId="0" applyFont="1" applyFill="1" applyBorder="1" applyAlignment="1" applyProtection="1">
      <alignment horizontal="left" vertical="top" wrapText="1"/>
      <protection locked="0"/>
    </xf>
    <xf numFmtId="0" fontId="0" fillId="39" borderId="246" xfId="0" applyFont="1" applyFill="1" applyBorder="1" applyAlignment="1" applyProtection="1">
      <alignment horizontal="left" vertical="top" wrapText="1"/>
      <protection locked="0"/>
    </xf>
    <xf numFmtId="0" fontId="0" fillId="39" borderId="247" xfId="0" applyFont="1" applyFill="1" applyBorder="1" applyAlignment="1" applyProtection="1">
      <alignment horizontal="left" vertical="top" wrapText="1"/>
      <protection locked="0"/>
    </xf>
    <xf numFmtId="0" fontId="26" fillId="0" borderId="401" xfId="0" quotePrefix="1" applyFont="1" applyBorder="1" applyAlignment="1" applyProtection="1">
      <alignment horizontal="left" vertical="center"/>
    </xf>
    <xf numFmtId="0" fontId="123" fillId="0" borderId="208" xfId="0" quotePrefix="1" applyFont="1" applyBorder="1" applyAlignment="1" applyProtection="1">
      <alignment horizontal="left" vertical="center" wrapText="1"/>
    </xf>
    <xf numFmtId="0" fontId="123" fillId="0" borderId="209" xfId="0" quotePrefix="1" applyFont="1" applyBorder="1" applyAlignment="1" applyProtection="1">
      <alignment horizontal="left" vertical="center"/>
    </xf>
    <xf numFmtId="0" fontId="123" fillId="0" borderId="470" xfId="0" quotePrefix="1" applyFont="1" applyBorder="1" applyAlignment="1" applyProtection="1">
      <alignment horizontal="left" vertical="center"/>
    </xf>
    <xf numFmtId="0" fontId="123" fillId="0" borderId="616" xfId="0" quotePrefix="1" applyFont="1" applyBorder="1" applyAlignment="1" applyProtection="1">
      <alignment horizontal="left" vertical="center"/>
    </xf>
    <xf numFmtId="0" fontId="26" fillId="0" borderId="446" xfId="0" applyFont="1" applyBorder="1" applyAlignment="1" applyProtection="1">
      <alignment horizontal="center" vertical="center"/>
    </xf>
    <xf numFmtId="0" fontId="26" fillId="0" borderId="446" xfId="0" applyFont="1" applyBorder="1" applyAlignment="1" applyProtection="1">
      <alignment horizontal="left" vertical="center" wrapText="1"/>
    </xf>
    <xf numFmtId="0" fontId="0" fillId="0" borderId="112" xfId="0" applyFont="1" applyBorder="1" applyAlignment="1" applyProtection="1">
      <alignment horizontal="center" vertical="center"/>
    </xf>
    <xf numFmtId="0" fontId="69" fillId="8" borderId="343" xfId="0" applyFont="1" applyFill="1" applyBorder="1" applyAlignment="1" applyProtection="1">
      <alignment horizontal="center" vertical="center" wrapText="1"/>
    </xf>
    <xf numFmtId="0" fontId="69" fillId="8" borderId="342" xfId="0" applyFont="1" applyFill="1" applyBorder="1" applyAlignment="1" applyProtection="1">
      <alignment horizontal="center" vertical="center" wrapText="1"/>
    </xf>
    <xf numFmtId="0" fontId="69" fillId="8" borderId="341" xfId="0" applyFont="1" applyFill="1" applyBorder="1" applyAlignment="1" applyProtection="1">
      <alignment horizontal="center" vertical="center" wrapText="1"/>
    </xf>
    <xf numFmtId="0" fontId="69" fillId="8" borderId="168" xfId="0" applyFont="1" applyFill="1" applyBorder="1" applyAlignment="1" applyProtection="1">
      <alignment horizontal="center" vertical="center" wrapText="1"/>
    </xf>
    <xf numFmtId="0" fontId="69" fillId="8" borderId="0" xfId="0" applyFont="1" applyFill="1" applyBorder="1" applyAlignment="1" applyProtection="1">
      <alignment horizontal="center" vertical="center" wrapText="1"/>
    </xf>
    <xf numFmtId="0" fontId="69" fillId="8" borderId="339" xfId="0" applyFont="1" applyFill="1" applyBorder="1" applyAlignment="1" applyProtection="1">
      <alignment horizontal="center" vertical="center" wrapText="1"/>
    </xf>
    <xf numFmtId="0" fontId="69" fillId="8" borderId="442" xfId="0" applyFont="1" applyFill="1" applyBorder="1" applyAlignment="1" applyProtection="1">
      <alignment horizontal="center" vertical="center" wrapText="1"/>
    </xf>
    <xf numFmtId="0" fontId="69" fillId="8" borderId="443" xfId="0" applyFont="1" applyFill="1" applyBorder="1" applyAlignment="1" applyProtection="1">
      <alignment horizontal="center" vertical="center" wrapText="1"/>
    </xf>
    <xf numFmtId="0" fontId="69" fillId="8" borderId="444" xfId="0" applyFont="1" applyFill="1" applyBorder="1" applyAlignment="1" applyProtection="1">
      <alignment horizontal="center" vertical="center" wrapText="1"/>
    </xf>
    <xf numFmtId="0" fontId="26" fillId="0" borderId="398" xfId="0" quotePrefix="1" applyFont="1" applyBorder="1" applyAlignment="1" applyProtection="1">
      <alignment horizontal="left" vertical="center" wrapText="1"/>
    </xf>
    <xf numFmtId="0" fontId="26" fillId="0" borderId="134" xfId="0" quotePrefix="1" applyFont="1" applyBorder="1" applyAlignment="1" applyProtection="1">
      <alignment horizontal="left" vertical="center" wrapText="1"/>
    </xf>
    <xf numFmtId="0" fontId="26" fillId="0" borderId="399" xfId="0" quotePrefix="1" applyFont="1" applyBorder="1" applyAlignment="1" applyProtection="1">
      <alignment horizontal="left" vertical="center" wrapText="1"/>
    </xf>
    <xf numFmtId="0" fontId="39" fillId="32" borderId="127" xfId="0" applyFont="1" applyFill="1" applyBorder="1" applyAlignment="1" applyProtection="1">
      <alignment horizontal="left" vertical="center"/>
    </xf>
    <xf numFmtId="0" fontId="21" fillId="0" borderId="725" xfId="0" quotePrefix="1" applyFont="1" applyBorder="1" applyAlignment="1" applyProtection="1">
      <alignment horizontal="left" vertical="center"/>
    </xf>
    <xf numFmtId="0" fontId="21" fillId="0" borderId="726" xfId="0" quotePrefix="1" applyFont="1" applyBorder="1" applyAlignment="1" applyProtection="1">
      <alignment horizontal="left" vertical="center"/>
    </xf>
    <xf numFmtId="0" fontId="26" fillId="0" borderId="121" xfId="0" quotePrefix="1" applyFont="1" applyBorder="1" applyAlignment="1" applyProtection="1">
      <alignment horizontal="center" vertical="center"/>
    </xf>
    <xf numFmtId="0" fontId="26" fillId="0" borderId="122" xfId="0" quotePrefix="1" applyFont="1" applyBorder="1" applyAlignment="1" applyProtection="1">
      <alignment horizontal="center" vertical="center"/>
    </xf>
    <xf numFmtId="0" fontId="22" fillId="39" borderId="279" xfId="2" applyFont="1" applyFill="1" applyBorder="1" applyAlignment="1" applyProtection="1">
      <alignment horizontal="left" vertical="top" wrapText="1"/>
      <protection locked="0"/>
    </xf>
    <xf numFmtId="0" fontId="22" fillId="39" borderId="280" xfId="2" applyFont="1" applyFill="1" applyBorder="1" applyAlignment="1" applyProtection="1">
      <alignment horizontal="left" vertical="top"/>
      <protection locked="0"/>
    </xf>
    <xf numFmtId="0" fontId="22" fillId="39" borderId="412" xfId="2" applyFont="1" applyFill="1" applyBorder="1" applyAlignment="1" applyProtection="1">
      <alignment horizontal="left" vertical="top"/>
      <protection locked="0"/>
    </xf>
    <xf numFmtId="0" fontId="22" fillId="39" borderId="260" xfId="2" applyFont="1" applyFill="1" applyBorder="1" applyAlignment="1" applyProtection="1">
      <alignment horizontal="left" vertical="top"/>
      <protection locked="0"/>
    </xf>
    <xf numFmtId="0" fontId="22" fillId="39" borderId="0" xfId="2" applyFont="1" applyFill="1" applyBorder="1" applyAlignment="1" applyProtection="1">
      <alignment horizontal="left" vertical="top"/>
      <protection locked="0"/>
    </xf>
    <xf numFmtId="0" fontId="22" fillId="39" borderId="380" xfId="2" applyFont="1" applyFill="1" applyBorder="1" applyAlignment="1" applyProtection="1">
      <alignment horizontal="left" vertical="top"/>
      <protection locked="0"/>
    </xf>
    <xf numFmtId="0" fontId="22" fillId="39" borderId="281" xfId="2" applyFont="1" applyFill="1" applyBorder="1" applyAlignment="1" applyProtection="1">
      <alignment horizontal="left" vertical="top"/>
      <protection locked="0"/>
    </xf>
    <xf numFmtId="0" fontId="22" fillId="39" borderId="282" xfId="2" applyFont="1" applyFill="1" applyBorder="1" applyAlignment="1" applyProtection="1">
      <alignment horizontal="left" vertical="top"/>
      <protection locked="0"/>
    </xf>
    <xf numFmtId="0" fontId="22" fillId="39" borderId="413" xfId="2" applyFont="1" applyFill="1" applyBorder="1" applyAlignment="1" applyProtection="1">
      <alignment horizontal="left" vertical="top"/>
      <protection locked="0"/>
    </xf>
    <xf numFmtId="0" fontId="60" fillId="26" borderId="273" xfId="2" applyFont="1" applyFill="1" applyBorder="1" applyAlignment="1" applyProtection="1">
      <alignment horizontal="center" vertical="center" wrapText="1"/>
      <protection locked="0"/>
    </xf>
    <xf numFmtId="0" fontId="60" fillId="26" borderId="274" xfId="2" applyFont="1" applyFill="1" applyBorder="1" applyAlignment="1" applyProtection="1">
      <alignment horizontal="center" vertical="center" wrapText="1"/>
      <protection locked="0"/>
    </xf>
    <xf numFmtId="0" fontId="60" fillId="26" borderId="274" xfId="2" applyFont="1" applyFill="1" applyBorder="1" applyAlignment="1" applyProtection="1">
      <alignment horizontal="center" vertical="center"/>
      <protection locked="0"/>
    </xf>
    <xf numFmtId="0" fontId="52" fillId="26" borderId="274" xfId="2" applyFont="1" applyFill="1" applyBorder="1" applyAlignment="1" applyProtection="1">
      <alignment horizontal="center" vertical="center"/>
      <protection locked="0"/>
    </xf>
    <xf numFmtId="9" fontId="22" fillId="67" borderId="533" xfId="14" applyFont="1" applyFill="1" applyBorder="1" applyAlignment="1" applyProtection="1">
      <alignment horizontal="center" vertical="center" wrapText="1"/>
      <protection locked="0"/>
    </xf>
    <xf numFmtId="0" fontId="52" fillId="26" borderId="275" xfId="2" applyFont="1" applyFill="1" applyBorder="1" applyAlignment="1" applyProtection="1">
      <alignment horizontal="center" vertical="center"/>
      <protection locked="0"/>
    </xf>
    <xf numFmtId="0" fontId="1" fillId="39" borderId="264" xfId="0" applyFont="1" applyFill="1" applyBorder="1" applyAlignment="1" applyProtection="1">
      <alignment vertical="top" wrapText="1"/>
      <protection locked="0"/>
    </xf>
    <xf numFmtId="0" fontId="0" fillId="39" borderId="265" xfId="0" applyFont="1" applyFill="1" applyBorder="1" applyAlignment="1" applyProtection="1">
      <alignment vertical="top" wrapText="1"/>
      <protection locked="0"/>
    </xf>
    <xf numFmtId="0" fontId="0" fillId="39" borderId="266" xfId="0" applyFont="1" applyFill="1" applyBorder="1" applyAlignment="1" applyProtection="1">
      <alignment vertical="top" wrapText="1"/>
      <protection locked="0"/>
    </xf>
    <xf numFmtId="0" fontId="0" fillId="39" borderId="264" xfId="0" applyFont="1" applyFill="1" applyBorder="1" applyAlignment="1" applyProtection="1">
      <alignment vertical="top" wrapText="1"/>
      <protection locked="0"/>
    </xf>
    <xf numFmtId="0" fontId="0" fillId="39" borderId="267" xfId="0" applyFont="1" applyFill="1" applyBorder="1" applyAlignment="1" applyProtection="1">
      <alignment vertical="top" wrapText="1"/>
      <protection locked="0"/>
    </xf>
    <xf numFmtId="0" fontId="0" fillId="39" borderId="268" xfId="0" applyFont="1" applyFill="1" applyBorder="1" applyAlignment="1" applyProtection="1">
      <alignment vertical="top" wrapText="1"/>
      <protection locked="0"/>
    </xf>
    <xf numFmtId="0" fontId="0" fillId="39" borderId="269" xfId="0" applyFont="1" applyFill="1" applyBorder="1" applyAlignment="1" applyProtection="1">
      <alignment vertical="top" wrapText="1"/>
      <protection locked="0"/>
    </xf>
    <xf numFmtId="0" fontId="25" fillId="40" borderId="273" xfId="2" applyFont="1" applyFill="1" applyBorder="1" applyAlignment="1" applyProtection="1">
      <alignment horizontal="center" vertical="center" wrapText="1"/>
    </xf>
    <xf numFmtId="0" fontId="25" fillId="40" borderId="274" xfId="2" applyFont="1" applyFill="1" applyBorder="1" applyAlignment="1" applyProtection="1">
      <alignment horizontal="center" vertical="center" wrapText="1"/>
    </xf>
    <xf numFmtId="0" fontId="60" fillId="40" borderId="274" xfId="2" applyFont="1" applyFill="1" applyBorder="1" applyAlignment="1" applyProtection="1">
      <alignment horizontal="center" vertical="center" wrapText="1"/>
    </xf>
    <xf numFmtId="0" fontId="60" fillId="40" borderId="275" xfId="2" applyFont="1" applyFill="1" applyBorder="1" applyAlignment="1" applyProtection="1">
      <alignment horizontal="center" vertical="center" wrapText="1"/>
    </xf>
    <xf numFmtId="0" fontId="24" fillId="29" borderId="270" xfId="2" applyFont="1" applyFill="1" applyBorder="1" applyAlignment="1" applyProtection="1">
      <alignment horizontal="center" vertical="center"/>
    </xf>
    <xf numFmtId="0" fontId="24" fillId="29" borderId="271" xfId="2" applyFont="1" applyFill="1" applyBorder="1" applyAlignment="1" applyProtection="1">
      <alignment horizontal="center" vertical="center"/>
    </xf>
    <xf numFmtId="0" fontId="24" fillId="29" borderId="272" xfId="2" applyFont="1" applyFill="1" applyBorder="1" applyAlignment="1" applyProtection="1">
      <alignment horizontal="center" vertical="center"/>
    </xf>
    <xf numFmtId="0" fontId="24" fillId="26" borderId="273" xfId="2" applyFont="1" applyFill="1" applyBorder="1" applyAlignment="1" applyProtection="1">
      <alignment horizontal="left" vertical="center" wrapText="1"/>
      <protection locked="0"/>
    </xf>
    <xf numFmtId="0" fontId="24" fillId="26" borderId="274" xfId="2" applyFont="1" applyFill="1" applyBorder="1" applyAlignment="1" applyProtection="1">
      <alignment horizontal="left" vertical="center" wrapText="1"/>
      <protection locked="0"/>
    </xf>
    <xf numFmtId="0" fontId="24" fillId="26" borderId="360" xfId="2" applyFont="1" applyFill="1" applyBorder="1" applyAlignment="1" applyProtection="1">
      <alignment horizontal="left" vertical="center" wrapText="1"/>
      <protection locked="0"/>
    </xf>
    <xf numFmtId="0" fontId="24" fillId="29" borderId="366" xfId="2" applyFont="1" applyFill="1" applyBorder="1" applyAlignment="1" applyProtection="1">
      <alignment horizontal="center" vertical="center" wrapText="1"/>
    </xf>
    <xf numFmtId="0" fontId="24" fillId="29" borderId="271" xfId="2" applyFont="1" applyFill="1" applyBorder="1" applyAlignment="1" applyProtection="1">
      <alignment horizontal="center" vertical="center" wrapText="1"/>
    </xf>
    <xf numFmtId="0" fontId="24" fillId="29" borderId="365" xfId="2" applyFont="1" applyFill="1" applyBorder="1" applyAlignment="1" applyProtection="1">
      <alignment horizontal="center" vertical="center" wrapText="1"/>
    </xf>
    <xf numFmtId="0" fontId="24" fillId="29" borderId="365" xfId="2" applyFont="1" applyFill="1" applyBorder="1" applyAlignment="1" applyProtection="1">
      <alignment horizontal="center" vertical="center"/>
    </xf>
    <xf numFmtId="9" fontId="22" fillId="67" borderId="534" xfId="14" applyFont="1" applyFill="1" applyBorder="1" applyAlignment="1" applyProtection="1">
      <alignment horizontal="center" vertical="center" wrapText="1"/>
      <protection locked="0"/>
    </xf>
    <xf numFmtId="0" fontId="60" fillId="26" borderId="264" xfId="2" applyFont="1" applyFill="1" applyBorder="1" applyAlignment="1" applyProtection="1">
      <alignment horizontal="center" vertical="center"/>
      <protection locked="0"/>
    </xf>
    <xf numFmtId="0" fontId="60" fillId="26" borderId="361" xfId="2" applyFont="1" applyFill="1" applyBorder="1" applyAlignment="1" applyProtection="1">
      <alignment horizontal="center" vertical="center"/>
      <protection locked="0"/>
    </xf>
    <xf numFmtId="0" fontId="52" fillId="40" borderId="273" xfId="2" applyFont="1" applyFill="1" applyBorder="1" applyAlignment="1" applyProtection="1">
      <alignment horizontal="center" vertical="center" wrapText="1"/>
    </xf>
    <xf numFmtId="0" fontId="52" fillId="40" borderId="274" xfId="2" applyFont="1" applyFill="1" applyBorder="1" applyAlignment="1" applyProtection="1">
      <alignment horizontal="center" vertical="center" wrapText="1"/>
    </xf>
    <xf numFmtId="0" fontId="52" fillId="40" borderId="360" xfId="2" applyFont="1" applyFill="1" applyBorder="1" applyAlignment="1" applyProtection="1">
      <alignment horizontal="center" vertical="center" wrapText="1"/>
    </xf>
    <xf numFmtId="0" fontId="67" fillId="75" borderId="264" xfId="2" applyFont="1" applyFill="1" applyBorder="1" applyAlignment="1" applyProtection="1">
      <alignment horizontal="center" vertical="center"/>
    </xf>
    <xf numFmtId="0" fontId="67" fillId="75" borderId="265" xfId="2" applyFont="1" applyFill="1" applyBorder="1" applyAlignment="1" applyProtection="1">
      <alignment horizontal="center" vertical="center"/>
    </xf>
    <xf numFmtId="0" fontId="67" fillId="75" borderId="266" xfId="2" applyFont="1" applyFill="1" applyBorder="1" applyAlignment="1" applyProtection="1">
      <alignment horizontal="center" vertical="center"/>
    </xf>
    <xf numFmtId="0" fontId="24" fillId="26" borderId="273" xfId="2" applyFont="1" applyFill="1" applyBorder="1" applyAlignment="1" applyProtection="1">
      <alignment horizontal="left" vertical="center"/>
      <protection locked="0"/>
    </xf>
    <xf numFmtId="0" fontId="24" fillId="26" borderId="274" xfId="2" applyFont="1" applyFill="1" applyBorder="1" applyAlignment="1" applyProtection="1">
      <alignment horizontal="left" vertical="center"/>
      <protection locked="0"/>
    </xf>
    <xf numFmtId="0" fontId="24" fillId="26" borderId="360" xfId="2" applyFont="1" applyFill="1" applyBorder="1" applyAlignment="1" applyProtection="1">
      <alignment horizontal="left" vertical="center"/>
      <protection locked="0"/>
    </xf>
    <xf numFmtId="9" fontId="22" fillId="67" borderId="582" xfId="14" applyFont="1" applyFill="1" applyBorder="1" applyAlignment="1" applyProtection="1">
      <alignment horizontal="center" vertical="center" wrapText="1"/>
      <protection locked="0"/>
    </xf>
    <xf numFmtId="0" fontId="24" fillId="78" borderId="360" xfId="2" quotePrefix="1" applyFont="1" applyFill="1" applyBorder="1" applyAlignment="1" applyProtection="1">
      <alignment horizontal="center" vertical="center" wrapText="1"/>
      <protection locked="0"/>
    </xf>
    <xf numFmtId="0" fontId="24" fillId="78" borderId="265" xfId="2" quotePrefix="1" applyFont="1" applyFill="1" applyBorder="1" applyAlignment="1" applyProtection="1">
      <alignment horizontal="center" vertical="center" wrapText="1"/>
      <protection locked="0"/>
    </xf>
    <xf numFmtId="0" fontId="24" fillId="78" borderId="279" xfId="2" quotePrefix="1" applyFont="1" applyFill="1" applyBorder="1" applyAlignment="1" applyProtection="1">
      <alignment horizontal="center" vertical="center" wrapText="1"/>
      <protection locked="0"/>
    </xf>
    <xf numFmtId="0" fontId="24" fillId="78" borderId="280" xfId="2" quotePrefix="1" applyFont="1" applyFill="1" applyBorder="1" applyAlignment="1" applyProtection="1">
      <alignment horizontal="center" vertical="center" wrapText="1"/>
      <protection locked="0"/>
    </xf>
    <xf numFmtId="0" fontId="0" fillId="39" borderId="279" xfId="0" applyFont="1" applyFill="1" applyBorder="1" applyAlignment="1" applyProtection="1">
      <alignment horizontal="left" vertical="top" wrapText="1"/>
      <protection locked="0"/>
    </xf>
    <xf numFmtId="0" fontId="0" fillId="39" borderId="280" xfId="0" applyFont="1" applyFill="1" applyBorder="1" applyAlignment="1" applyProtection="1">
      <alignment horizontal="left" vertical="top" wrapText="1"/>
      <protection locked="0"/>
    </xf>
    <xf numFmtId="0" fontId="0" fillId="39" borderId="412" xfId="0" applyFont="1" applyFill="1" applyBorder="1" applyAlignment="1" applyProtection="1">
      <alignment horizontal="left" vertical="top" wrapText="1"/>
      <protection locked="0"/>
    </xf>
    <xf numFmtId="0" fontId="0" fillId="39" borderId="260" xfId="0" applyFont="1" applyFill="1" applyBorder="1" applyAlignment="1" applyProtection="1">
      <alignment horizontal="left" vertical="top" wrapText="1"/>
      <protection locked="0"/>
    </xf>
    <xf numFmtId="0" fontId="0" fillId="39" borderId="380" xfId="0" applyFont="1" applyFill="1" applyBorder="1" applyAlignment="1" applyProtection="1">
      <alignment horizontal="left" vertical="top" wrapText="1"/>
      <protection locked="0"/>
    </xf>
    <xf numFmtId="0" fontId="0" fillId="39" borderId="281" xfId="0" applyFont="1" applyFill="1" applyBorder="1" applyAlignment="1" applyProtection="1">
      <alignment horizontal="left" vertical="top" wrapText="1"/>
      <protection locked="0"/>
    </xf>
    <xf numFmtId="0" fontId="0" fillId="39" borderId="282" xfId="0" applyFont="1" applyFill="1" applyBorder="1" applyAlignment="1" applyProtection="1">
      <alignment horizontal="left" vertical="top" wrapText="1"/>
      <protection locked="0"/>
    </xf>
    <xf numFmtId="0" fontId="0" fillId="39" borderId="413" xfId="0" applyFont="1" applyFill="1" applyBorder="1" applyAlignment="1" applyProtection="1">
      <alignment horizontal="left" vertical="top" wrapText="1"/>
      <protection locked="0"/>
    </xf>
    <xf numFmtId="0" fontId="157" fillId="79" borderId="360" xfId="2" quotePrefix="1" applyFont="1" applyFill="1" applyBorder="1" applyAlignment="1" applyProtection="1">
      <alignment horizontal="center" vertical="center" wrapText="1"/>
      <protection locked="0"/>
    </xf>
    <xf numFmtId="0" fontId="157" fillId="79" borderId="265" xfId="2" quotePrefix="1" applyFont="1" applyFill="1" applyBorder="1" applyAlignment="1" applyProtection="1">
      <alignment horizontal="center" vertical="center" wrapText="1"/>
      <protection locked="0"/>
    </xf>
    <xf numFmtId="0" fontId="157" fillId="79" borderId="1359" xfId="2" quotePrefix="1" applyFont="1" applyFill="1" applyBorder="1" applyAlignment="1" applyProtection="1">
      <alignment horizontal="center" vertical="center" wrapText="1"/>
      <protection locked="0"/>
    </xf>
    <xf numFmtId="0" fontId="157" fillId="79" borderId="1360" xfId="2" quotePrefix="1" applyFont="1" applyFill="1" applyBorder="1" applyAlignment="1" applyProtection="1">
      <alignment horizontal="center" vertical="center" wrapText="1"/>
      <protection locked="0"/>
    </xf>
    <xf numFmtId="0" fontId="157" fillId="79" borderId="1361" xfId="2" quotePrefix="1" applyFont="1" applyFill="1" applyBorder="1" applyAlignment="1" applyProtection="1">
      <alignment horizontal="center" vertical="center" wrapText="1"/>
      <protection locked="0"/>
    </xf>
    <xf numFmtId="0" fontId="35" fillId="26" borderId="264" xfId="2" quotePrefix="1" applyFont="1" applyFill="1" applyBorder="1" applyAlignment="1" applyProtection="1">
      <alignment horizontal="center" vertical="center" wrapText="1"/>
      <protection locked="0"/>
    </xf>
    <xf numFmtId="0" fontId="35" fillId="26" borderId="265" xfId="2" quotePrefix="1" applyFont="1" applyFill="1" applyBorder="1" applyAlignment="1" applyProtection="1">
      <alignment horizontal="center" vertical="center" wrapText="1"/>
      <protection locked="0"/>
    </xf>
    <xf numFmtId="0" fontId="35" fillId="26" borderId="266" xfId="2" quotePrefix="1" applyFont="1" applyFill="1" applyBorder="1" applyAlignment="1" applyProtection="1">
      <alignment horizontal="center" vertical="center" wrapText="1"/>
      <protection locked="0"/>
    </xf>
    <xf numFmtId="0" fontId="35" fillId="26" borderId="267" xfId="2" quotePrefix="1" applyFont="1" applyFill="1" applyBorder="1" applyAlignment="1" applyProtection="1">
      <alignment horizontal="center" vertical="center" wrapText="1"/>
      <protection locked="0"/>
    </xf>
    <xf numFmtId="0" fontId="35" fillId="26" borderId="268" xfId="2" quotePrefix="1" applyFont="1" applyFill="1" applyBorder="1" applyAlignment="1" applyProtection="1">
      <alignment horizontal="center" vertical="center" wrapText="1"/>
      <protection locked="0"/>
    </xf>
    <xf numFmtId="0" fontId="35" fillId="26" borderId="269" xfId="2" quotePrefix="1" applyFont="1" applyFill="1" applyBorder="1" applyAlignment="1" applyProtection="1">
      <alignment horizontal="center" vertical="center" wrapText="1"/>
      <protection locked="0"/>
    </xf>
    <xf numFmtId="0" fontId="35" fillId="26" borderId="1008" xfId="2" quotePrefix="1" applyFont="1" applyFill="1" applyBorder="1" applyAlignment="1" applyProtection="1">
      <alignment horizontal="center" vertical="center" wrapText="1"/>
      <protection locked="0"/>
    </xf>
    <xf numFmtId="0" fontId="35" fillId="26" borderId="866" xfId="2" quotePrefix="1" applyFont="1" applyFill="1" applyBorder="1" applyAlignment="1" applyProtection="1">
      <alignment horizontal="center" vertical="center" wrapText="1"/>
      <protection locked="0"/>
    </xf>
    <xf numFmtId="0" fontId="35" fillId="26" borderId="867" xfId="2" quotePrefix="1" applyFont="1" applyFill="1" applyBorder="1" applyAlignment="1" applyProtection="1">
      <alignment horizontal="center" vertical="center" wrapText="1"/>
      <protection locked="0"/>
    </xf>
    <xf numFmtId="0" fontId="35" fillId="26" borderId="1366" xfId="2" quotePrefix="1" applyFont="1" applyFill="1" applyBorder="1" applyAlignment="1" applyProtection="1">
      <alignment horizontal="center" vertical="center" wrapText="1"/>
      <protection locked="0"/>
    </xf>
    <xf numFmtId="0" fontId="35" fillId="26" borderId="1367" xfId="2" quotePrefix="1" applyFont="1" applyFill="1" applyBorder="1" applyAlignment="1" applyProtection="1">
      <alignment horizontal="center" vertical="center" wrapText="1"/>
      <protection locked="0"/>
    </xf>
    <xf numFmtId="0" fontId="35" fillId="26" borderId="1368" xfId="2" quotePrefix="1" applyFont="1" applyFill="1" applyBorder="1" applyAlignment="1" applyProtection="1">
      <alignment horizontal="center" vertical="center" wrapText="1"/>
      <protection locked="0"/>
    </xf>
    <xf numFmtId="0" fontId="35" fillId="26" borderId="369" xfId="2" quotePrefix="1" applyFont="1" applyFill="1" applyBorder="1" applyAlignment="1" applyProtection="1">
      <alignment horizontal="center" vertical="center" wrapText="1"/>
      <protection locked="0"/>
    </xf>
    <xf numFmtId="0" fontId="35" fillId="26" borderId="370" xfId="2" quotePrefix="1" applyFont="1" applyFill="1" applyBorder="1" applyAlignment="1" applyProtection="1">
      <alignment horizontal="center" vertical="center" wrapText="1"/>
      <protection locked="0"/>
    </xf>
    <xf numFmtId="0" fontId="35" fillId="26" borderId="371" xfId="2" quotePrefix="1" applyFont="1" applyFill="1" applyBorder="1" applyAlignment="1" applyProtection="1">
      <alignment horizontal="center" vertical="center" wrapText="1"/>
      <protection locked="0"/>
    </xf>
    <xf numFmtId="0" fontId="35" fillId="26" borderId="1362" xfId="2" quotePrefix="1" applyFont="1" applyFill="1" applyBorder="1" applyAlignment="1" applyProtection="1">
      <alignment horizontal="center" vertical="center" wrapText="1"/>
      <protection locked="0"/>
    </xf>
    <xf numFmtId="0" fontId="35" fillId="26" borderId="1363" xfId="2" quotePrefix="1" applyFont="1" applyFill="1" applyBorder="1" applyAlignment="1" applyProtection="1">
      <alignment horizontal="center" vertical="center" wrapText="1"/>
      <protection locked="0"/>
    </xf>
    <xf numFmtId="0" fontId="0" fillId="0" borderId="0" xfId="0" applyFont="1" applyAlignment="1" applyProtection="1">
      <alignment horizontal="left" vertical="center"/>
    </xf>
    <xf numFmtId="0" fontId="24" fillId="0" borderId="280" xfId="2" applyFont="1" applyFill="1" applyBorder="1" applyAlignment="1" applyProtection="1">
      <alignment horizontal="center" vertical="center"/>
      <protection locked="0"/>
    </xf>
    <xf numFmtId="0" fontId="41" fillId="29" borderId="641" xfId="2" applyFont="1" applyFill="1" applyBorder="1" applyAlignment="1" applyProtection="1">
      <alignment horizontal="center" vertical="center"/>
    </xf>
    <xf numFmtId="0" fontId="41" fillId="29" borderId="640" xfId="2" applyFont="1" applyFill="1" applyBorder="1" applyAlignment="1" applyProtection="1">
      <alignment horizontal="center" vertical="center"/>
    </xf>
    <xf numFmtId="0" fontId="41" fillId="29" borderId="642" xfId="2" applyFont="1" applyFill="1" applyBorder="1" applyAlignment="1" applyProtection="1">
      <alignment horizontal="center" vertical="center"/>
    </xf>
    <xf numFmtId="0" fontId="1" fillId="8" borderId="334" xfId="0" applyFont="1" applyFill="1" applyBorder="1" applyAlignment="1" applyProtection="1">
      <alignment horizontal="center" vertical="center"/>
    </xf>
    <xf numFmtId="0" fontId="1" fillId="8" borderId="335" xfId="0" applyFont="1" applyFill="1" applyBorder="1" applyAlignment="1" applyProtection="1">
      <alignment horizontal="center" vertical="center"/>
    </xf>
    <xf numFmtId="0" fontId="1" fillId="8" borderId="337" xfId="0" applyFont="1" applyFill="1" applyBorder="1" applyAlignment="1" applyProtection="1">
      <alignment horizontal="center" vertical="center"/>
    </xf>
    <xf numFmtId="0" fontId="24" fillId="29" borderId="639" xfId="2" applyFont="1" applyFill="1" applyBorder="1" applyAlignment="1" applyProtection="1">
      <alignment horizontal="center" vertical="center"/>
    </xf>
    <xf numFmtId="0" fontId="24" fillId="29" borderId="640" xfId="2" applyFont="1" applyFill="1" applyBorder="1" applyAlignment="1" applyProtection="1">
      <alignment horizontal="center" vertical="center"/>
    </xf>
    <xf numFmtId="0" fontId="24" fillId="0" borderId="279" xfId="2" applyFont="1" applyFill="1" applyBorder="1" applyAlignment="1" applyProtection="1">
      <alignment horizontal="left" vertical="center" wrapText="1"/>
    </xf>
    <xf numFmtId="0" fontId="24" fillId="0" borderId="638" xfId="2" applyFont="1" applyFill="1" applyBorder="1" applyAlignment="1" applyProtection="1">
      <alignment horizontal="left" vertical="center" wrapText="1"/>
    </xf>
    <xf numFmtId="0" fontId="35" fillId="0" borderId="1022" xfId="2" quotePrefix="1" applyFont="1" applyFill="1" applyBorder="1" applyAlignment="1" applyProtection="1">
      <alignment horizontal="left" vertical="center" wrapText="1"/>
      <protection locked="0"/>
    </xf>
    <xf numFmtId="0" fontId="35" fillId="0" borderId="268" xfId="2" quotePrefix="1" applyFont="1" applyFill="1" applyBorder="1" applyAlignment="1" applyProtection="1">
      <alignment horizontal="left" vertical="center" wrapText="1"/>
      <protection locked="0"/>
    </xf>
    <xf numFmtId="0" fontId="35" fillId="0" borderId="1023" xfId="2" quotePrefix="1" applyFont="1" applyFill="1" applyBorder="1" applyAlignment="1" applyProtection="1">
      <alignment horizontal="left" vertical="center" wrapText="1"/>
      <protection locked="0"/>
    </xf>
    <xf numFmtId="0" fontId="24" fillId="73" borderId="279" xfId="2" applyFont="1" applyFill="1" applyBorder="1" applyAlignment="1" applyProtection="1">
      <alignment horizontal="center" vertical="center" wrapText="1"/>
    </xf>
    <xf numFmtId="0" fontId="24" fillId="73" borderId="638" xfId="2" applyFont="1" applyFill="1" applyBorder="1" applyAlignment="1" applyProtection="1">
      <alignment horizontal="center" vertical="center" wrapText="1"/>
    </xf>
    <xf numFmtId="0" fontId="24" fillId="73" borderId="260" xfId="2" applyFont="1" applyFill="1" applyBorder="1" applyAlignment="1" applyProtection="1">
      <alignment horizontal="center" vertical="center" wrapText="1"/>
    </xf>
    <xf numFmtId="0" fontId="24" fillId="73" borderId="1012" xfId="2" applyFont="1" applyFill="1" applyBorder="1" applyAlignment="1" applyProtection="1">
      <alignment horizontal="center" vertical="center" wrapText="1"/>
    </xf>
    <xf numFmtId="0" fontId="24" fillId="73" borderId="369" xfId="2" applyFont="1" applyFill="1" applyBorder="1" applyAlignment="1" applyProtection="1">
      <alignment horizontal="center" vertical="center" wrapText="1"/>
    </xf>
    <xf numFmtId="0" fontId="24" fillId="73" borderId="368" xfId="2" applyFont="1" applyFill="1" applyBorder="1" applyAlignment="1" applyProtection="1">
      <alignment horizontal="center" vertical="center" wrapText="1"/>
    </xf>
    <xf numFmtId="0" fontId="52" fillId="0" borderId="1013" xfId="2" applyNumberFormat="1" applyFont="1" applyFill="1" applyBorder="1" applyAlignment="1" applyProtection="1">
      <alignment horizontal="center" vertical="center"/>
    </xf>
    <xf numFmtId="0" fontId="52" fillId="0" borderId="1014" xfId="2" applyNumberFormat="1" applyFont="1" applyFill="1" applyBorder="1" applyAlignment="1" applyProtection="1">
      <alignment horizontal="center" vertical="center"/>
    </xf>
    <xf numFmtId="0" fontId="52" fillId="0" borderId="1015" xfId="2" applyNumberFormat="1" applyFont="1" applyFill="1" applyBorder="1" applyAlignment="1" applyProtection="1">
      <alignment horizontal="center" vertical="center"/>
    </xf>
    <xf numFmtId="0" fontId="24" fillId="74" borderId="376" xfId="2" applyFont="1" applyFill="1" applyBorder="1" applyAlignment="1" applyProtection="1">
      <alignment horizontal="center" vertical="center" wrapText="1"/>
    </xf>
    <xf numFmtId="0" fontId="24" fillId="74" borderId="415" xfId="2" applyFont="1" applyFill="1" applyBorder="1" applyAlignment="1" applyProtection="1">
      <alignment horizontal="center" vertical="center" wrapText="1"/>
    </xf>
    <xf numFmtId="0" fontId="24" fillId="74" borderId="260" xfId="2" applyFont="1" applyFill="1" applyBorder="1" applyAlignment="1" applyProtection="1">
      <alignment horizontal="center" vertical="center" wrapText="1"/>
    </xf>
    <xf numFmtId="0" fontId="24" fillId="74" borderId="1012" xfId="2" applyFont="1" applyFill="1" applyBorder="1" applyAlignment="1" applyProtection="1">
      <alignment horizontal="center" vertical="center" wrapText="1"/>
    </xf>
    <xf numFmtId="0" fontId="52" fillId="0" borderId="1016" xfId="2" applyNumberFormat="1" applyFont="1" applyFill="1" applyBorder="1" applyAlignment="1" applyProtection="1">
      <alignment horizontal="center" vertical="center"/>
    </xf>
    <xf numFmtId="0" fontId="35" fillId="0" borderId="1017" xfId="2" quotePrefix="1" applyFont="1" applyFill="1" applyBorder="1" applyAlignment="1" applyProtection="1">
      <alignment horizontal="left" vertical="center" wrapText="1"/>
      <protection locked="0"/>
    </xf>
    <xf numFmtId="0" fontId="35" fillId="0" borderId="1018" xfId="2" quotePrefix="1" applyFont="1" applyFill="1" applyBorder="1" applyAlignment="1" applyProtection="1">
      <alignment horizontal="left" vertical="center" wrapText="1"/>
      <protection locked="0"/>
    </xf>
    <xf numFmtId="0" fontId="35" fillId="0" borderId="1019" xfId="2" quotePrefix="1" applyFont="1" applyFill="1" applyBorder="1" applyAlignment="1" applyProtection="1">
      <alignment horizontal="left" vertical="center" wrapText="1"/>
      <protection locked="0"/>
    </xf>
    <xf numFmtId="0" fontId="35" fillId="70" borderId="416" xfId="2" quotePrefix="1" applyFont="1" applyFill="1" applyBorder="1" applyAlignment="1" applyProtection="1">
      <alignment horizontal="left" vertical="center" wrapText="1"/>
      <protection locked="0"/>
    </xf>
    <xf numFmtId="0" fontId="35" fillId="70" borderId="280" xfId="2" quotePrefix="1" applyFont="1" applyFill="1" applyBorder="1" applyAlignment="1" applyProtection="1">
      <alignment horizontal="left" vertical="center" wrapText="1"/>
      <protection locked="0"/>
    </xf>
    <xf numFmtId="0" fontId="52" fillId="0" borderId="1021" xfId="2" applyNumberFormat="1" applyFont="1" applyFill="1" applyBorder="1" applyAlignment="1" applyProtection="1">
      <alignment horizontal="center" vertical="center"/>
    </xf>
    <xf numFmtId="0" fontId="35" fillId="0" borderId="1008" xfId="2" quotePrefix="1" applyFont="1" applyFill="1" applyBorder="1" applyAlignment="1" applyProtection="1">
      <alignment horizontal="left" vertical="center" wrapText="1"/>
      <protection locked="0"/>
    </xf>
    <xf numFmtId="0" fontId="35" fillId="0" borderId="265" xfId="2" quotePrefix="1" applyFont="1" applyFill="1" applyBorder="1" applyAlignment="1" applyProtection="1">
      <alignment horizontal="left" vertical="center" wrapText="1"/>
      <protection locked="0"/>
    </xf>
    <xf numFmtId="0" fontId="35" fillId="0" borderId="1009" xfId="2" quotePrefix="1" applyFont="1" applyFill="1" applyBorder="1" applyAlignment="1" applyProtection="1">
      <alignment horizontal="left" vertical="center" wrapText="1"/>
      <protection locked="0"/>
    </xf>
    <xf numFmtId="0" fontId="24" fillId="0" borderId="370" xfId="2" applyFont="1" applyFill="1" applyBorder="1" applyAlignment="1" applyProtection="1">
      <alignment horizontal="center" vertical="center"/>
      <protection locked="0"/>
    </xf>
    <xf numFmtId="0" fontId="24" fillId="0" borderId="0" xfId="2" applyFont="1" applyFill="1" applyBorder="1" applyAlignment="1" applyProtection="1">
      <alignment horizontal="center" vertical="center"/>
      <protection locked="0"/>
    </xf>
    <xf numFmtId="0" fontId="21" fillId="71" borderId="376" xfId="2" applyFont="1" applyFill="1" applyBorder="1" applyAlignment="1" applyProtection="1">
      <alignment horizontal="center" vertical="center" wrapText="1"/>
    </xf>
    <xf numFmtId="0" fontId="21" fillId="71" borderId="415" xfId="2" applyFont="1" applyFill="1" applyBorder="1" applyAlignment="1" applyProtection="1">
      <alignment horizontal="center" vertical="center" wrapText="1"/>
    </xf>
    <xf numFmtId="0" fontId="21" fillId="71" borderId="260" xfId="2" applyFont="1" applyFill="1" applyBorder="1" applyAlignment="1" applyProtection="1">
      <alignment horizontal="center" vertical="center" wrapText="1"/>
    </xf>
    <xf numFmtId="0" fontId="21" fillId="71" borderId="1012" xfId="2" applyFont="1" applyFill="1" applyBorder="1" applyAlignment="1" applyProtection="1">
      <alignment horizontal="center" vertical="center" wrapText="1"/>
    </xf>
    <xf numFmtId="0" fontId="35" fillId="0" borderId="1024" xfId="2" quotePrefix="1" applyFont="1" applyFill="1" applyBorder="1" applyAlignment="1" applyProtection="1">
      <alignment horizontal="left" vertical="center" wrapText="1"/>
      <protection locked="0"/>
    </xf>
    <xf numFmtId="0" fontId="35" fillId="0" borderId="280" xfId="2" quotePrefix="1" applyFont="1" applyFill="1" applyBorder="1" applyAlignment="1" applyProtection="1">
      <alignment horizontal="left" vertical="center" wrapText="1"/>
      <protection locked="0"/>
    </xf>
    <xf numFmtId="0" fontId="35" fillId="0" borderId="1025" xfId="2" quotePrefix="1" applyFont="1" applyFill="1" applyBorder="1" applyAlignment="1" applyProtection="1">
      <alignment horizontal="left" vertical="center" wrapText="1"/>
      <protection locked="0"/>
    </xf>
    <xf numFmtId="0" fontId="35" fillId="0" borderId="1010" xfId="2" quotePrefix="1" applyFont="1" applyFill="1" applyBorder="1" applyAlignment="1" applyProtection="1">
      <alignment horizontal="left" vertical="center" wrapText="1"/>
      <protection locked="0"/>
    </xf>
    <xf numFmtId="0" fontId="35" fillId="0" borderId="370" xfId="2" quotePrefix="1" applyFont="1" applyFill="1" applyBorder="1" applyAlignment="1" applyProtection="1">
      <alignment horizontal="left" vertical="center" wrapText="1"/>
      <protection locked="0"/>
    </xf>
    <xf numFmtId="0" fontId="35" fillId="0" borderId="1011" xfId="2" quotePrefix="1" applyFont="1" applyFill="1" applyBorder="1" applyAlignment="1" applyProtection="1">
      <alignment horizontal="left" vertical="center" wrapText="1"/>
      <protection locked="0"/>
    </xf>
    <xf numFmtId="0" fontId="24" fillId="72" borderId="260" xfId="2" applyFont="1" applyFill="1" applyBorder="1" applyAlignment="1" applyProtection="1">
      <alignment horizontal="center" vertical="center" wrapText="1"/>
    </xf>
    <xf numFmtId="0" fontId="24" fillId="72" borderId="1012" xfId="2" applyFont="1" applyFill="1" applyBorder="1" applyAlignment="1" applyProtection="1">
      <alignment horizontal="center" vertical="center" wrapText="1"/>
    </xf>
    <xf numFmtId="0" fontId="24" fillId="72" borderId="281" xfId="2" applyFont="1" applyFill="1" applyBorder="1" applyAlignment="1" applyProtection="1">
      <alignment horizontal="center" vertical="center" wrapText="1"/>
    </xf>
    <xf numFmtId="0" fontId="24" fillId="72" borderId="1020" xfId="2" applyFont="1" applyFill="1" applyBorder="1" applyAlignment="1" applyProtection="1">
      <alignment horizontal="center" vertical="center" wrapText="1"/>
    </xf>
    <xf numFmtId="0" fontId="35" fillId="0" borderId="336" xfId="2" quotePrefix="1" applyFont="1" applyFill="1" applyBorder="1" applyAlignment="1" applyProtection="1">
      <alignment horizontal="left" vertical="center" wrapText="1"/>
      <protection locked="0"/>
    </xf>
    <xf numFmtId="0" fontId="35" fillId="0" borderId="443" xfId="2" quotePrefix="1" applyFont="1" applyFill="1" applyBorder="1" applyAlignment="1" applyProtection="1">
      <alignment horizontal="left" vertical="center" wrapText="1"/>
      <protection locked="0"/>
    </xf>
    <xf numFmtId="0" fontId="35" fillId="0" borderId="444" xfId="2" quotePrefix="1" applyFont="1" applyFill="1" applyBorder="1" applyAlignment="1" applyProtection="1">
      <alignment horizontal="left" vertical="center" wrapText="1"/>
      <protection locked="0"/>
    </xf>
    <xf numFmtId="0" fontId="24" fillId="3" borderId="260" xfId="2" applyFont="1" applyFill="1" applyBorder="1" applyAlignment="1" applyProtection="1">
      <alignment horizontal="center" vertical="center" wrapText="1"/>
    </xf>
    <xf numFmtId="0" fontId="24" fillId="3" borderId="1012" xfId="2" applyFont="1" applyFill="1" applyBorder="1" applyAlignment="1" applyProtection="1">
      <alignment horizontal="center" vertical="center" wrapText="1"/>
    </xf>
    <xf numFmtId="0" fontId="24" fillId="3" borderId="281" xfId="2" applyFont="1" applyFill="1" applyBorder="1" applyAlignment="1" applyProtection="1">
      <alignment horizontal="center" vertical="center" wrapText="1"/>
    </xf>
    <xf numFmtId="0" fontId="24" fillId="3" borderId="1020" xfId="2" applyFont="1" applyFill="1" applyBorder="1" applyAlignment="1" applyProtection="1">
      <alignment horizontal="center" vertical="center" wrapText="1"/>
    </xf>
    <xf numFmtId="0" fontId="24" fillId="75" borderId="376" xfId="2" applyFont="1" applyFill="1" applyBorder="1" applyAlignment="1" applyProtection="1">
      <alignment horizontal="center" vertical="center" wrapText="1"/>
    </xf>
    <xf numFmtId="0" fontId="24" fillId="75" borderId="415" xfId="2" applyFont="1" applyFill="1" applyBorder="1" applyAlignment="1" applyProtection="1">
      <alignment horizontal="center" vertical="center" wrapText="1"/>
    </xf>
    <xf numFmtId="0" fontId="24" fillId="75" borderId="260" xfId="2" applyFont="1" applyFill="1" applyBorder="1" applyAlignment="1" applyProtection="1">
      <alignment horizontal="center" vertical="center" wrapText="1"/>
    </xf>
    <xf numFmtId="0" fontId="24" fillId="75" borderId="1012" xfId="2" applyFont="1" applyFill="1" applyBorder="1" applyAlignment="1" applyProtection="1">
      <alignment horizontal="center" vertical="center" wrapText="1"/>
    </xf>
    <xf numFmtId="0" fontId="24" fillId="75" borderId="281" xfId="2" applyFont="1" applyFill="1" applyBorder="1" applyAlignment="1" applyProtection="1">
      <alignment horizontal="center" vertical="center" wrapText="1"/>
    </xf>
    <xf numFmtId="0" fontId="24" fillId="75" borderId="1020" xfId="2" applyFont="1" applyFill="1" applyBorder="1" applyAlignment="1" applyProtection="1">
      <alignment horizontal="center" vertical="center" wrapText="1"/>
    </xf>
    <xf numFmtId="0" fontId="24" fillId="35" borderId="279" xfId="2" applyFont="1" applyFill="1" applyBorder="1" applyAlignment="1" applyProtection="1">
      <alignment horizontal="center" vertical="center" wrapText="1"/>
    </xf>
    <xf numFmtId="0" fontId="24" fillId="35" borderId="638" xfId="2" applyFont="1" applyFill="1" applyBorder="1" applyAlignment="1" applyProtection="1">
      <alignment horizontal="center" vertical="center" wrapText="1"/>
    </xf>
    <xf numFmtId="0" fontId="24" fillId="35" borderId="260" xfId="2" applyFont="1" applyFill="1" applyBorder="1" applyAlignment="1" applyProtection="1">
      <alignment horizontal="center" vertical="center" wrapText="1"/>
    </xf>
    <xf numFmtId="0" fontId="24" fillId="35" borderId="1012" xfId="2" applyFont="1" applyFill="1" applyBorder="1" applyAlignment="1" applyProtection="1">
      <alignment horizontal="center" vertical="center" wrapText="1"/>
    </xf>
    <xf numFmtId="0" fontId="24" fillId="35" borderId="369" xfId="2" applyFont="1" applyFill="1" applyBorder="1" applyAlignment="1" applyProtection="1">
      <alignment horizontal="center" vertical="center" wrapText="1"/>
    </xf>
    <xf numFmtId="0" fontId="24" fillId="35" borderId="368" xfId="2" applyFont="1" applyFill="1" applyBorder="1" applyAlignment="1" applyProtection="1">
      <alignment horizontal="center" vertical="center" wrapText="1"/>
    </xf>
    <xf numFmtId="0" fontId="24" fillId="0" borderId="376" xfId="2" applyFont="1" applyFill="1" applyBorder="1" applyAlignment="1" applyProtection="1">
      <alignment horizontal="center" vertical="center" wrapText="1"/>
    </xf>
    <xf numFmtId="0" fontId="24" fillId="0" borderId="415" xfId="2" applyFont="1" applyFill="1" applyBorder="1" applyAlignment="1" applyProtection="1">
      <alignment horizontal="center" vertical="center" wrapText="1"/>
    </xf>
    <xf numFmtId="0" fontId="24" fillId="0" borderId="260" xfId="2" applyFont="1" applyFill="1" applyBorder="1" applyAlignment="1" applyProtection="1">
      <alignment horizontal="center" vertical="center" wrapText="1"/>
    </xf>
    <xf numFmtId="0" fontId="24" fillId="0" borderId="1012" xfId="2" applyFont="1" applyFill="1" applyBorder="1" applyAlignment="1" applyProtection="1">
      <alignment horizontal="center" vertical="center" wrapText="1"/>
    </xf>
    <xf numFmtId="0" fontId="24" fillId="0" borderId="281" xfId="2" applyFont="1" applyFill="1" applyBorder="1" applyAlignment="1" applyProtection="1">
      <alignment horizontal="center" vertical="center" wrapText="1"/>
    </xf>
    <xf numFmtId="0" fontId="24" fillId="0" borderId="1020" xfId="2" applyFont="1" applyFill="1" applyBorder="1" applyAlignment="1" applyProtection="1">
      <alignment horizontal="center" vertical="center" wrapText="1"/>
    </xf>
    <xf numFmtId="0" fontId="24" fillId="28" borderId="279" xfId="2" applyFont="1" applyFill="1" applyBorder="1" applyAlignment="1" applyProtection="1">
      <alignment horizontal="center" vertical="center" wrapText="1"/>
    </xf>
    <xf numFmtId="0" fontId="24" fillId="28" borderId="638" xfId="2" applyFont="1" applyFill="1" applyBorder="1" applyAlignment="1" applyProtection="1">
      <alignment horizontal="center" vertical="center" wrapText="1"/>
    </xf>
    <xf numFmtId="0" fontId="24" fillId="28" borderId="260" xfId="2" applyFont="1" applyFill="1" applyBorder="1" applyAlignment="1" applyProtection="1">
      <alignment horizontal="center" vertical="center" wrapText="1"/>
    </xf>
    <xf numFmtId="0" fontId="24" fillId="28" borderId="1012" xfId="2" applyFont="1" applyFill="1" applyBorder="1" applyAlignment="1" applyProtection="1">
      <alignment horizontal="center" vertical="center" wrapText="1"/>
    </xf>
    <xf numFmtId="0" fontId="24" fillId="28" borderId="369" xfId="2" applyFont="1" applyFill="1" applyBorder="1" applyAlignment="1" applyProtection="1">
      <alignment horizontal="center" vertical="center" wrapText="1"/>
    </xf>
    <xf numFmtId="0" fontId="24" fillId="28" borderId="368" xfId="2" applyFont="1" applyFill="1" applyBorder="1" applyAlignment="1" applyProtection="1">
      <alignment horizontal="center" vertical="center" wrapText="1"/>
    </xf>
    <xf numFmtId="0" fontId="24" fillId="0" borderId="279" xfId="2" applyFont="1" applyFill="1" applyBorder="1" applyAlignment="1" applyProtection="1">
      <alignment horizontal="center" vertical="center" wrapText="1"/>
    </xf>
    <xf numFmtId="0" fontId="24" fillId="0" borderId="638" xfId="2" applyFont="1" applyFill="1" applyBorder="1" applyAlignment="1" applyProtection="1">
      <alignment horizontal="center" vertical="center" wrapText="1"/>
    </xf>
    <xf numFmtId="0" fontId="24" fillId="0" borderId="369" xfId="2" applyFont="1" applyFill="1" applyBorder="1" applyAlignment="1" applyProtection="1">
      <alignment horizontal="center" vertical="center" wrapText="1"/>
    </xf>
    <xf numFmtId="0" fontId="24" fillId="0" borderId="368" xfId="2" applyFont="1" applyFill="1" applyBorder="1" applyAlignment="1" applyProtection="1">
      <alignment horizontal="center" vertical="center" wrapText="1"/>
    </xf>
    <xf numFmtId="4" fontId="31" fillId="0" borderId="650" xfId="2" applyNumberFormat="1" applyFont="1" applyFill="1" applyBorder="1" applyAlignment="1">
      <alignment horizontal="center" vertical="center"/>
    </xf>
    <xf numFmtId="4" fontId="31" fillId="0" borderId="651" xfId="2" applyNumberFormat="1" applyFont="1" applyFill="1" applyBorder="1" applyAlignment="1">
      <alignment horizontal="center" vertical="center"/>
    </xf>
    <xf numFmtId="0" fontId="34" fillId="0" borderId="649" xfId="2" applyFont="1" applyFill="1" applyBorder="1" applyAlignment="1">
      <alignment horizontal="left" vertical="center"/>
    </xf>
    <xf numFmtId="0" fontId="34" fillId="0" borderId="650" xfId="2" applyFont="1" applyFill="1" applyBorder="1" applyAlignment="1">
      <alignment horizontal="left" vertical="center"/>
    </xf>
    <xf numFmtId="0" fontId="31" fillId="0" borderId="649" xfId="2" applyFont="1" applyFill="1" applyBorder="1" applyAlignment="1">
      <alignment horizontal="left" vertical="center"/>
    </xf>
    <xf numFmtId="0" fontId="31" fillId="0" borderId="650" xfId="2" applyFont="1" applyFill="1" applyBorder="1" applyAlignment="1">
      <alignment horizontal="left" vertical="center"/>
    </xf>
    <xf numFmtId="0" fontId="6" fillId="0" borderId="668" xfId="2" applyFont="1" applyFill="1" applyBorder="1" applyAlignment="1">
      <alignment horizontal="left" vertical="center"/>
    </xf>
    <xf numFmtId="0" fontId="6" fillId="0" borderId="661" xfId="2" applyFont="1" applyFill="1" applyBorder="1" applyAlignment="1">
      <alignment horizontal="left" vertical="center"/>
    </xf>
    <xf numFmtId="0" fontId="6" fillId="0" borderId="670" xfId="2" applyFont="1" applyFill="1" applyBorder="1" applyAlignment="1">
      <alignment horizontal="left" vertical="center"/>
    </xf>
    <xf numFmtId="0" fontId="6" fillId="0" borderId="649" xfId="2" applyFont="1" applyFill="1" applyBorder="1" applyAlignment="1">
      <alignment horizontal="left" vertical="center"/>
    </xf>
    <xf numFmtId="0" fontId="6" fillId="0" borderId="650" xfId="2" applyFont="1" applyFill="1" applyBorder="1" applyAlignment="1">
      <alignment horizontal="left" vertical="center"/>
    </xf>
    <xf numFmtId="0" fontId="31" fillId="0" borderId="658" xfId="2" applyFont="1" applyFill="1" applyBorder="1" applyAlignment="1">
      <alignment horizontal="left" vertical="center"/>
    </xf>
    <xf numFmtId="0" fontId="112" fillId="28" borderId="658" xfId="2" applyFont="1" applyFill="1" applyBorder="1" applyAlignment="1">
      <alignment horizontal="left" vertical="center" wrapText="1"/>
    </xf>
    <xf numFmtId="0" fontId="112" fillId="28" borderId="650" xfId="2" applyFont="1" applyFill="1" applyBorder="1" applyAlignment="1">
      <alignment horizontal="left" vertical="center" wrapText="1"/>
    </xf>
    <xf numFmtId="0" fontId="31" fillId="34" borderId="660" xfId="2" applyFont="1" applyFill="1" applyBorder="1" applyAlignment="1">
      <alignment horizontal="center" vertical="center" wrapText="1"/>
    </xf>
    <xf numFmtId="0" fontId="31" fillId="34" borderId="661" xfId="2" applyFont="1" applyFill="1" applyBorder="1" applyAlignment="1">
      <alignment horizontal="center" vertical="center" wrapText="1"/>
    </xf>
    <xf numFmtId="0" fontId="31" fillId="34" borderId="670" xfId="2" applyFont="1" applyFill="1" applyBorder="1" applyAlignment="1">
      <alignment horizontal="center" vertical="center" wrapText="1"/>
    </xf>
    <xf numFmtId="0" fontId="31" fillId="25" borderId="649" xfId="2" applyFont="1" applyFill="1" applyBorder="1" applyAlignment="1">
      <alignment horizontal="left" vertical="center"/>
    </xf>
    <xf numFmtId="0" fontId="31" fillId="25" borderId="650" xfId="2" applyFont="1" applyFill="1" applyBorder="1" applyAlignment="1">
      <alignment horizontal="left" vertical="center"/>
    </xf>
    <xf numFmtId="0" fontId="31" fillId="0" borderId="670" xfId="2" applyFont="1" applyFill="1" applyBorder="1" applyAlignment="1">
      <alignment horizontal="center" vertical="center"/>
    </xf>
    <xf numFmtId="0" fontId="31" fillId="0" borderId="659" xfId="2" applyFont="1" applyFill="1" applyBorder="1" applyAlignment="1">
      <alignment horizontal="center" vertical="center"/>
    </xf>
    <xf numFmtId="4" fontId="23" fillId="34" borderId="1267" xfId="2" applyNumberFormat="1" applyFont="1" applyFill="1" applyBorder="1" applyAlignment="1">
      <alignment horizontal="center" vertical="center"/>
    </xf>
    <xf numFmtId="4" fontId="23" fillId="34" borderId="1266" xfId="2" applyNumberFormat="1" applyFont="1" applyFill="1" applyBorder="1" applyAlignment="1">
      <alignment horizontal="center" vertical="center"/>
    </xf>
    <xf numFmtId="4" fontId="23" fillId="34" borderId="1268" xfId="2" applyNumberFormat="1" applyFont="1" applyFill="1" applyBorder="1" applyAlignment="1">
      <alignment horizontal="center" vertical="center"/>
    </xf>
    <xf numFmtId="4" fontId="6" fillId="0" borderId="0" xfId="2" applyNumberFormat="1" applyBorder="1" applyAlignment="1">
      <alignment horizontal="center"/>
    </xf>
    <xf numFmtId="0" fontId="112" fillId="25" borderId="658" xfId="2" applyFont="1" applyFill="1" applyBorder="1" applyAlignment="1">
      <alignment horizontal="left" vertical="center" wrapText="1"/>
    </xf>
    <xf numFmtId="0" fontId="112" fillId="25" borderId="650" xfId="2" applyFont="1" applyFill="1" applyBorder="1" applyAlignment="1">
      <alignment horizontal="left" vertical="center" wrapText="1"/>
    </xf>
    <xf numFmtId="0" fontId="31" fillId="25" borderId="334" xfId="2" applyFont="1" applyFill="1" applyBorder="1" applyAlignment="1">
      <alignment horizontal="center" vertical="center"/>
    </xf>
    <xf numFmtId="0" fontId="31" fillId="25" borderId="335" xfId="2" applyFont="1" applyFill="1" applyBorder="1" applyAlignment="1">
      <alignment horizontal="center" vertical="center"/>
    </xf>
    <xf numFmtId="0" fontId="31" fillId="25" borderId="337" xfId="2" applyFont="1" applyFill="1" applyBorder="1" applyAlignment="1">
      <alignment horizontal="center" vertical="center"/>
    </xf>
    <xf numFmtId="0" fontId="31" fillId="0" borderId="1269" xfId="2" applyFont="1" applyFill="1" applyBorder="1" applyAlignment="1">
      <alignment horizontal="right" vertical="center"/>
    </xf>
    <xf numFmtId="0" fontId="31" fillId="0" borderId="950" xfId="2" applyFont="1" applyFill="1" applyBorder="1" applyAlignment="1">
      <alignment horizontal="right" vertical="center"/>
    </xf>
    <xf numFmtId="0" fontId="31" fillId="0" borderId="949" xfId="2" applyFont="1" applyFill="1" applyBorder="1" applyAlignment="1">
      <alignment horizontal="right" vertical="center"/>
    </xf>
    <xf numFmtId="0" fontId="0" fillId="26" borderId="288" xfId="0" applyFont="1" applyFill="1" applyBorder="1" applyAlignment="1" applyProtection="1">
      <alignment horizontal="left" vertical="top" wrapText="1"/>
      <protection locked="0"/>
    </xf>
    <xf numFmtId="0" fontId="0" fillId="26" borderId="0" xfId="0" applyFont="1" applyFill="1" applyAlignment="1">
      <alignment horizontal="left" vertical="top" wrapText="1"/>
    </xf>
    <xf numFmtId="0" fontId="0" fillId="26" borderId="0" xfId="0" applyFont="1" applyFill="1" applyBorder="1" applyAlignment="1">
      <alignment horizontal="left" vertical="top" wrapText="1"/>
    </xf>
    <xf numFmtId="0" fontId="0" fillId="26" borderId="288" xfId="0" applyFont="1" applyFill="1" applyBorder="1" applyAlignment="1">
      <alignment horizontal="left" vertical="top" wrapText="1"/>
    </xf>
    <xf numFmtId="0" fontId="0" fillId="26" borderId="292" xfId="0" applyFont="1" applyFill="1" applyBorder="1" applyAlignment="1">
      <alignment horizontal="left" vertical="top" wrapText="1"/>
    </xf>
    <xf numFmtId="0" fontId="0" fillId="26" borderId="303" xfId="0" applyFont="1" applyFill="1" applyBorder="1" applyAlignment="1">
      <alignment horizontal="left" vertical="top" wrapText="1"/>
    </xf>
    <xf numFmtId="0" fontId="40" fillId="34" borderId="287" xfId="0" applyFont="1" applyFill="1" applyBorder="1" applyAlignment="1">
      <alignment horizontal="left" vertical="center"/>
    </xf>
    <xf numFmtId="0" fontId="40" fillId="34" borderId="302" xfId="0" applyFont="1" applyFill="1" applyBorder="1" applyAlignment="1">
      <alignment horizontal="left" vertical="center"/>
    </xf>
    <xf numFmtId="0" fontId="1" fillId="8" borderId="334" xfId="0" applyFont="1" applyFill="1" applyBorder="1" applyAlignment="1">
      <alignment horizontal="center"/>
    </xf>
    <xf numFmtId="0" fontId="1" fillId="8" borderId="335" xfId="0" applyFont="1" applyFill="1" applyBorder="1" applyAlignment="1">
      <alignment horizontal="center"/>
    </xf>
    <xf numFmtId="0" fontId="1" fillId="8" borderId="337" xfId="0" applyFont="1" applyFill="1" applyBorder="1" applyAlignment="1">
      <alignment horizontal="center"/>
    </xf>
    <xf numFmtId="0" fontId="0" fillId="26" borderId="0" xfId="0" applyFont="1" applyFill="1" applyBorder="1" applyAlignment="1" applyProtection="1">
      <alignment horizontal="left" vertical="top" wrapText="1"/>
      <protection locked="0"/>
    </xf>
    <xf numFmtId="0" fontId="0" fillId="26" borderId="292" xfId="0" applyFont="1" applyFill="1" applyBorder="1" applyAlignment="1" applyProtection="1">
      <alignment horizontal="left" vertical="top" wrapText="1"/>
      <protection locked="0"/>
    </xf>
    <xf numFmtId="0" fontId="0" fillId="26" borderId="303" xfId="0" applyFont="1" applyFill="1" applyBorder="1" applyAlignment="1" applyProtection="1">
      <alignment horizontal="left" vertical="top" wrapText="1"/>
      <protection locked="0"/>
    </xf>
    <xf numFmtId="0" fontId="31" fillId="28" borderId="649" xfId="17" applyFont="1" applyFill="1" applyBorder="1" applyAlignment="1">
      <alignment horizontal="left" vertical="center"/>
    </xf>
    <xf numFmtId="0" fontId="31" fillId="28" borderId="650" xfId="17" applyFont="1" applyFill="1" applyBorder="1" applyAlignment="1">
      <alignment horizontal="left" vertical="center"/>
    </xf>
    <xf numFmtId="0" fontId="31" fillId="28" borderId="668" xfId="17" applyFont="1" applyFill="1" applyBorder="1" applyAlignment="1">
      <alignment horizontal="left" vertical="center" wrapText="1"/>
    </xf>
    <xf numFmtId="0" fontId="31" fillId="28" borderId="670" xfId="17" applyFont="1" applyFill="1" applyBorder="1" applyAlignment="1">
      <alignment horizontal="left" vertical="center" wrapText="1"/>
    </xf>
    <xf numFmtId="0" fontId="31" fillId="28" borderId="652" xfId="17" applyFont="1" applyFill="1" applyBorder="1" applyAlignment="1">
      <alignment horizontal="left" vertical="center"/>
    </xf>
    <xf numFmtId="0" fontId="31" fillId="28" borderId="653" xfId="17" applyFont="1" applyFill="1" applyBorder="1" applyAlignment="1">
      <alignment horizontal="left" vertical="center"/>
    </xf>
    <xf numFmtId="0" fontId="28" fillId="25" borderId="646" xfId="17" applyFont="1" applyFill="1" applyBorder="1" applyAlignment="1">
      <alignment horizontal="center"/>
    </xf>
    <xf numFmtId="0" fontId="28" fillId="25" borderId="647" xfId="17" applyFont="1" applyFill="1" applyBorder="1" applyAlignment="1">
      <alignment horizontal="center"/>
    </xf>
    <xf numFmtId="0" fontId="31" fillId="25" borderId="646" xfId="2" applyFont="1" applyFill="1" applyBorder="1" applyAlignment="1">
      <alignment horizontal="center" vertical="center"/>
    </xf>
    <xf numFmtId="0" fontId="31" fillId="25" borderId="647" xfId="2" applyFont="1" applyFill="1" applyBorder="1" applyAlignment="1">
      <alignment horizontal="center" vertical="center"/>
    </xf>
    <xf numFmtId="0" fontId="31" fillId="25" borderId="648" xfId="2" applyFont="1" applyFill="1" applyBorder="1" applyAlignment="1">
      <alignment horizontal="center" vertical="center"/>
    </xf>
    <xf numFmtId="0" fontId="6" fillId="0" borderId="975" xfId="2" applyBorder="1" applyAlignment="1">
      <alignment horizontal="center" vertical="center" wrapText="1"/>
    </xf>
    <xf numFmtId="0" fontId="6" fillId="0" borderId="976" xfId="2" applyBorder="1" applyAlignment="1">
      <alignment horizontal="center" vertical="center" wrapText="1"/>
    </xf>
    <xf numFmtId="0" fontId="6" fillId="0" borderId="668" xfId="2" applyBorder="1" applyAlignment="1">
      <alignment horizontal="center" vertical="center" wrapText="1"/>
    </xf>
    <xf numFmtId="0" fontId="6" fillId="0" borderId="670" xfId="2" applyBorder="1" applyAlignment="1">
      <alignment horizontal="center" vertical="center" wrapText="1"/>
    </xf>
    <xf numFmtId="0" fontId="34" fillId="0" borderId="668" xfId="2" applyFont="1" applyFill="1" applyBorder="1" applyAlignment="1">
      <alignment horizontal="left" vertical="center"/>
    </xf>
    <xf numFmtId="0" fontId="34" fillId="0" borderId="661" xfId="2" applyFont="1" applyFill="1" applyBorder="1" applyAlignment="1">
      <alignment horizontal="left" vertical="center"/>
    </xf>
    <xf numFmtId="0" fontId="34" fillId="0" borderId="670" xfId="2" applyFont="1" applyFill="1" applyBorder="1" applyAlignment="1">
      <alignment horizontal="left" vertical="center"/>
    </xf>
    <xf numFmtId="4" fontId="23" fillId="34" borderId="647" xfId="2" applyNumberFormat="1" applyFont="1" applyFill="1" applyBorder="1" applyAlignment="1">
      <alignment horizontal="center" vertical="center"/>
    </xf>
    <xf numFmtId="4" fontId="23" fillId="34" borderId="648" xfId="2" applyNumberFormat="1" applyFont="1" applyFill="1" applyBorder="1" applyAlignment="1">
      <alignment horizontal="center" vertical="center"/>
    </xf>
    <xf numFmtId="0" fontId="31" fillId="34" borderId="650" xfId="2" applyFont="1" applyFill="1" applyBorder="1" applyAlignment="1">
      <alignment horizontal="center" vertical="center"/>
    </xf>
    <xf numFmtId="0" fontId="31" fillId="34" borderId="651" xfId="2" applyFont="1" applyFill="1" applyBorder="1" applyAlignment="1">
      <alignment horizontal="center" vertical="center"/>
    </xf>
    <xf numFmtId="0" fontId="31" fillId="0" borderId="650" xfId="2" applyFont="1" applyBorder="1" applyAlignment="1">
      <alignment horizontal="center" vertical="center"/>
    </xf>
    <xf numFmtId="0" fontId="31" fillId="0" borderId="651" xfId="2" applyFont="1" applyBorder="1" applyAlignment="1">
      <alignment horizontal="center" vertical="center"/>
    </xf>
    <xf numFmtId="4" fontId="31" fillId="0" borderId="671" xfId="2" applyNumberFormat="1" applyFont="1" applyFill="1" applyBorder="1" applyAlignment="1">
      <alignment horizontal="center" vertical="center"/>
    </xf>
    <xf numFmtId="4" fontId="31" fillId="0" borderId="661" xfId="2" applyNumberFormat="1" applyFont="1" applyFill="1" applyBorder="1" applyAlignment="1">
      <alignment horizontal="center" vertical="center"/>
    </xf>
    <xf numFmtId="4" fontId="31" fillId="0" borderId="669" xfId="2" applyNumberFormat="1" applyFont="1" applyFill="1" applyBorder="1" applyAlignment="1">
      <alignment horizontal="center" vertical="center"/>
    </xf>
    <xf numFmtId="4" fontId="23" fillId="34" borderId="672" xfId="2" applyNumberFormat="1" applyFont="1" applyFill="1" applyBorder="1" applyAlignment="1">
      <alignment horizontal="center" vertical="center"/>
    </xf>
    <xf numFmtId="4" fontId="23" fillId="34" borderId="673" xfId="2" applyNumberFormat="1" applyFont="1" applyFill="1" applyBorder="1" applyAlignment="1">
      <alignment horizontal="center" vertical="center"/>
    </xf>
    <xf numFmtId="4" fontId="23" fillId="34" borderId="674" xfId="2" applyNumberFormat="1" applyFont="1" applyFill="1" applyBorder="1" applyAlignment="1">
      <alignment horizontal="center" vertical="center"/>
    </xf>
    <xf numFmtId="22" fontId="38" fillId="2" borderId="2" xfId="0" applyNumberFormat="1" applyFont="1" applyFill="1" applyBorder="1" applyAlignment="1">
      <alignment horizontal="center" vertical="center" wrapText="1"/>
    </xf>
    <xf numFmtId="22" fontId="38" fillId="2" borderId="3" xfId="0" applyNumberFormat="1" applyFont="1" applyFill="1" applyBorder="1" applyAlignment="1">
      <alignment horizontal="center" vertical="center" wrapText="1"/>
    </xf>
    <xf numFmtId="22" fontId="38" fillId="2" borderId="4" xfId="0" applyNumberFormat="1" applyFont="1" applyFill="1" applyBorder="1" applyAlignment="1">
      <alignment horizontal="center" vertical="center" wrapText="1"/>
    </xf>
    <xf numFmtId="0" fontId="39" fillId="22" borderId="335" xfId="0" applyFont="1" applyFill="1" applyBorder="1" applyAlignment="1">
      <alignment horizontal="right" vertical="center"/>
    </xf>
    <xf numFmtId="0" fontId="41" fillId="22" borderId="335" xfId="0" applyFont="1" applyFill="1" applyBorder="1" applyAlignment="1">
      <alignment horizontal="left" vertical="center"/>
    </xf>
    <xf numFmtId="0" fontId="41" fillId="22" borderId="337" xfId="0" applyFont="1" applyFill="1" applyBorder="1" applyAlignment="1">
      <alignment horizontal="left" vertical="center"/>
    </xf>
    <xf numFmtId="0" fontId="26" fillId="0" borderId="0" xfId="0" applyFont="1" applyAlignment="1">
      <alignment horizontal="center" vertical="center"/>
    </xf>
    <xf numFmtId="4" fontId="31" fillId="0" borderId="650" xfId="2" applyNumberFormat="1" applyFont="1" applyFill="1" applyBorder="1" applyAlignment="1">
      <alignment horizontal="left" vertical="center"/>
    </xf>
    <xf numFmtId="4" fontId="31" fillId="0" borderId="651" xfId="2" applyNumberFormat="1" applyFont="1" applyFill="1" applyBorder="1" applyAlignment="1">
      <alignment horizontal="left" vertical="center"/>
    </xf>
    <xf numFmtId="0" fontId="6" fillId="0" borderId="0" xfId="2" applyBorder="1" applyAlignment="1">
      <alignment horizontal="center"/>
    </xf>
    <xf numFmtId="4" fontId="31" fillId="25" borderId="650" xfId="2" applyNumberFormat="1" applyFont="1" applyFill="1" applyBorder="1" applyAlignment="1">
      <alignment horizontal="center" vertical="center"/>
    </xf>
    <xf numFmtId="4" fontId="31" fillId="25" borderId="651" xfId="2" applyNumberFormat="1" applyFont="1" applyFill="1" applyBorder="1" applyAlignment="1">
      <alignment horizontal="center" vertical="center"/>
    </xf>
    <xf numFmtId="0" fontId="31" fillId="0" borderId="649" xfId="2" applyFont="1" applyFill="1" applyBorder="1" applyAlignment="1">
      <alignment horizontal="center" vertical="center"/>
    </xf>
    <xf numFmtId="0" fontId="31" fillId="0" borderId="671" xfId="2" applyFont="1" applyFill="1" applyBorder="1" applyAlignment="1">
      <alignment horizontal="center" vertical="center"/>
    </xf>
    <xf numFmtId="0" fontId="31" fillId="34" borderId="658" xfId="2" applyFont="1" applyFill="1" applyBorder="1" applyAlignment="1">
      <alignment horizontal="center" vertical="center"/>
    </xf>
    <xf numFmtId="0" fontId="31" fillId="34" borderId="659" xfId="2" applyFont="1" applyFill="1" applyBorder="1" applyAlignment="1">
      <alignment horizontal="center" vertical="center"/>
    </xf>
    <xf numFmtId="0" fontId="26" fillId="0" borderId="0" xfId="0" applyFont="1" applyAlignment="1">
      <alignment horizontal="left" vertical="center" wrapText="1"/>
    </xf>
    <xf numFmtId="0" fontId="23" fillId="34" borderId="646" xfId="2" applyFont="1" applyFill="1" applyBorder="1" applyAlignment="1">
      <alignment horizontal="left" vertical="center"/>
    </xf>
    <xf numFmtId="0" fontId="23" fillId="34" borderId="647" xfId="2" applyFont="1" applyFill="1" applyBorder="1" applyAlignment="1">
      <alignment horizontal="left" vertical="center"/>
    </xf>
    <xf numFmtId="0" fontId="0" fillId="26" borderId="334" xfId="0" applyFill="1" applyBorder="1" applyAlignment="1">
      <alignment horizontal="center"/>
    </xf>
    <xf numFmtId="0" fontId="0" fillId="26" borderId="337" xfId="0" applyFill="1" applyBorder="1" applyAlignment="1">
      <alignment horizontal="center"/>
    </xf>
    <xf numFmtId="0" fontId="1" fillId="75" borderId="334" xfId="0" applyFont="1" applyFill="1" applyBorder="1" applyAlignment="1">
      <alignment horizontal="center" vertical="center"/>
    </xf>
    <xf numFmtId="0" fontId="1" fillId="75" borderId="335" xfId="0" applyFont="1" applyFill="1" applyBorder="1" applyAlignment="1">
      <alignment horizontal="center" vertical="center"/>
    </xf>
    <xf numFmtId="0" fontId="1" fillId="75" borderId="337" xfId="0" applyFont="1" applyFill="1" applyBorder="1" applyAlignment="1">
      <alignment horizontal="center" vertical="center"/>
    </xf>
    <xf numFmtId="0" fontId="1" fillId="26" borderId="343" xfId="0" applyFont="1" applyFill="1" applyBorder="1" applyAlignment="1">
      <alignment horizontal="center" vertical="center"/>
    </xf>
    <xf numFmtId="0" fontId="1" fillId="26" borderId="342" xfId="0" applyFont="1" applyFill="1" applyBorder="1" applyAlignment="1">
      <alignment horizontal="center" vertical="center"/>
    </xf>
    <xf numFmtId="0" fontId="1" fillId="26" borderId="341" xfId="0" applyFont="1" applyFill="1" applyBorder="1" applyAlignment="1">
      <alignment horizontal="center" vertical="center"/>
    </xf>
    <xf numFmtId="0" fontId="1" fillId="26" borderId="336" xfId="0" applyFont="1" applyFill="1" applyBorder="1" applyAlignment="1">
      <alignment horizontal="center" vertical="center"/>
    </xf>
    <xf numFmtId="0" fontId="1" fillId="26" borderId="443" xfId="0" applyFont="1" applyFill="1" applyBorder="1" applyAlignment="1">
      <alignment horizontal="center" vertical="center"/>
    </xf>
    <xf numFmtId="0" fontId="1" fillId="26" borderId="444" xfId="0" applyFont="1" applyFill="1" applyBorder="1" applyAlignment="1">
      <alignment horizontal="center" vertical="center"/>
    </xf>
    <xf numFmtId="0" fontId="0" fillId="26" borderId="335" xfId="0" applyFill="1" applyBorder="1" applyAlignment="1">
      <alignment horizontal="center"/>
    </xf>
    <xf numFmtId="0" fontId="21" fillId="3" borderId="169" xfId="0" applyFont="1" applyFill="1" applyBorder="1" applyAlignment="1" applyProtection="1">
      <alignment horizontal="center"/>
    </xf>
    <xf numFmtId="0" fontId="21" fillId="3" borderId="232" xfId="0" applyFont="1" applyFill="1" applyBorder="1" applyAlignment="1" applyProtection="1">
      <alignment horizontal="center"/>
    </xf>
    <xf numFmtId="0" fontId="0" fillId="31" borderId="1378" xfId="0" applyFont="1" applyFill="1" applyBorder="1" applyAlignment="1">
      <alignment horizontal="center"/>
    </xf>
    <xf numFmtId="0" fontId="0" fillId="0" borderId="1378" xfId="0" applyFont="1" applyBorder="1" applyAlignment="1">
      <alignment horizontal="center"/>
    </xf>
    <xf numFmtId="0" fontId="0" fillId="0" borderId="1379" xfId="0" applyFont="1" applyBorder="1" applyAlignment="1">
      <alignment horizontal="center"/>
    </xf>
    <xf numFmtId="0" fontId="1" fillId="31" borderId="0" xfId="0" applyFont="1" applyFill="1" applyBorder="1" applyAlignment="1">
      <alignment horizontal="center"/>
    </xf>
    <xf numFmtId="0" fontId="0" fillId="8" borderId="0" xfId="0" applyFont="1" applyFill="1" applyBorder="1" applyAlignment="1">
      <alignment horizontal="center"/>
    </xf>
    <xf numFmtId="0" fontId="0" fillId="8" borderId="1380" xfId="0" applyFont="1" applyFill="1" applyBorder="1" applyAlignment="1">
      <alignment horizontal="center"/>
    </xf>
    <xf numFmtId="0" fontId="0" fillId="8" borderId="0" xfId="0" applyFont="1" applyFill="1" applyBorder="1" applyAlignment="1" applyProtection="1">
      <alignment horizontal="center"/>
    </xf>
    <xf numFmtId="0" fontId="0" fillId="8" borderId="1380" xfId="0" applyFont="1" applyFill="1" applyBorder="1" applyAlignment="1" applyProtection="1">
      <alignment horizontal="center"/>
    </xf>
    <xf numFmtId="0" fontId="0" fillId="0" borderId="228" xfId="0" applyFont="1" applyBorder="1" applyAlignment="1" applyProtection="1">
      <alignment horizontal="center"/>
    </xf>
    <xf numFmtId="0" fontId="0" fillId="0" borderId="229" xfId="0" applyFont="1" applyBorder="1" applyAlignment="1" applyProtection="1">
      <alignment horizontal="center"/>
    </xf>
    <xf numFmtId="0" fontId="26" fillId="0" borderId="86" xfId="0" applyFont="1" applyBorder="1" applyAlignment="1" applyProtection="1">
      <alignment horizontal="center"/>
    </xf>
    <xf numFmtId="0" fontId="21" fillId="26" borderId="170" xfId="0" applyFont="1" applyFill="1" applyBorder="1" applyAlignment="1" applyProtection="1">
      <alignment horizontal="center"/>
      <protection locked="0"/>
    </xf>
    <xf numFmtId="0" fontId="21" fillId="26" borderId="169" xfId="0" applyFont="1" applyFill="1" applyBorder="1" applyAlignment="1" applyProtection="1">
      <alignment horizontal="center"/>
      <protection locked="0"/>
    </xf>
    <xf numFmtId="0" fontId="21" fillId="26" borderId="232" xfId="0" applyFont="1" applyFill="1" applyBorder="1" applyAlignment="1" applyProtection="1">
      <alignment horizontal="center"/>
      <protection locked="0"/>
    </xf>
    <xf numFmtId="0" fontId="21" fillId="3" borderId="1374" xfId="0" applyFont="1" applyFill="1" applyBorder="1" applyAlignment="1" applyProtection="1">
      <alignment horizontal="left"/>
    </xf>
    <xf numFmtId="0" fontId="21" fillId="3" borderId="1375" xfId="0" applyFont="1" applyFill="1" applyBorder="1" applyAlignment="1" applyProtection="1">
      <alignment horizontal="left"/>
    </xf>
    <xf numFmtId="0" fontId="21" fillId="3" borderId="1376" xfId="0" applyFont="1" applyFill="1" applyBorder="1" applyAlignment="1" applyProtection="1">
      <alignment horizontal="left"/>
    </xf>
    <xf numFmtId="0" fontId="21" fillId="3" borderId="231" xfId="0" applyFont="1" applyFill="1" applyBorder="1" applyAlignment="1" applyProtection="1">
      <alignment horizontal="left"/>
    </xf>
    <xf numFmtId="0" fontId="21" fillId="3" borderId="169" xfId="0" applyFont="1" applyFill="1" applyBorder="1" applyAlignment="1" applyProtection="1">
      <alignment horizontal="left"/>
    </xf>
    <xf numFmtId="0" fontId="21" fillId="3" borderId="232" xfId="0" applyFont="1" applyFill="1" applyBorder="1" applyAlignment="1" applyProtection="1">
      <alignment horizontal="left"/>
    </xf>
    <xf numFmtId="0" fontId="42" fillId="3" borderId="335" xfId="0" applyFont="1" applyFill="1" applyBorder="1" applyAlignment="1" applyProtection="1">
      <alignment horizontal="left" vertical="center"/>
    </xf>
    <xf numFmtId="0" fontId="42" fillId="3" borderId="337" xfId="0" applyFont="1" applyFill="1" applyBorder="1" applyAlignment="1" applyProtection="1">
      <alignment horizontal="left" vertical="center"/>
    </xf>
    <xf numFmtId="0" fontId="113" fillId="3" borderId="334" xfId="0" applyFont="1" applyFill="1" applyBorder="1" applyAlignment="1" applyProtection="1">
      <alignment horizontal="right" vertical="center"/>
    </xf>
    <xf numFmtId="0" fontId="113" fillId="3" borderId="335" xfId="0" applyFont="1" applyFill="1" applyBorder="1" applyAlignment="1" applyProtection="1">
      <alignment horizontal="right" vertical="center"/>
    </xf>
    <xf numFmtId="0" fontId="0" fillId="31" borderId="1378" xfId="0" applyFont="1" applyFill="1" applyBorder="1" applyAlignment="1">
      <alignment horizontal="center" vertical="center"/>
    </xf>
    <xf numFmtId="0" fontId="0" fillId="0" borderId="1378" xfId="0" applyFont="1" applyBorder="1" applyAlignment="1">
      <alignment horizontal="left" vertical="center" wrapText="1"/>
    </xf>
    <xf numFmtId="0" fontId="0" fillId="0" borderId="1379" xfId="0" applyFont="1" applyBorder="1" applyAlignment="1">
      <alignment horizontal="left" vertical="center" wrapText="1"/>
    </xf>
    <xf numFmtId="0" fontId="21" fillId="3" borderId="226" xfId="0" applyFont="1" applyFill="1" applyBorder="1" applyAlignment="1" applyProtection="1">
      <alignment horizontal="left"/>
    </xf>
    <xf numFmtId="0" fontId="21" fillId="3" borderId="86" xfId="0" applyFont="1" applyFill="1" applyBorder="1" applyAlignment="1" applyProtection="1">
      <alignment horizontal="left"/>
    </xf>
    <xf numFmtId="0" fontId="0" fillId="3" borderId="86" xfId="0" applyFont="1" applyFill="1" applyBorder="1" applyAlignment="1" applyProtection="1">
      <alignment horizontal="left"/>
    </xf>
    <xf numFmtId="0" fontId="0" fillId="3" borderId="227" xfId="0" applyFont="1" applyFill="1" applyBorder="1" applyAlignment="1" applyProtection="1">
      <alignment horizontal="left"/>
    </xf>
    <xf numFmtId="0" fontId="21" fillId="26" borderId="86" xfId="0" applyFont="1" applyFill="1" applyBorder="1" applyAlignment="1" applyProtection="1">
      <alignment horizontal="center"/>
      <protection locked="0"/>
    </xf>
    <xf numFmtId="0" fontId="21" fillId="26" borderId="227" xfId="0" applyFont="1" applyFill="1" applyBorder="1" applyAlignment="1" applyProtection="1">
      <alignment horizontal="center"/>
      <protection locked="0"/>
    </xf>
    <xf numFmtId="0" fontId="0" fillId="9" borderId="224" xfId="0" applyFont="1" applyFill="1" applyBorder="1" applyAlignment="1" applyProtection="1">
      <alignment horizontal="center"/>
    </xf>
    <xf numFmtId="0" fontId="0" fillId="9" borderId="225" xfId="0" applyFont="1" applyFill="1" applyBorder="1" applyAlignment="1" applyProtection="1">
      <alignment horizontal="center"/>
    </xf>
    <xf numFmtId="0" fontId="21" fillId="5" borderId="86" xfId="0" applyFont="1" applyFill="1" applyBorder="1" applyAlignment="1" applyProtection="1">
      <alignment horizontal="center"/>
      <protection locked="0"/>
    </xf>
    <xf numFmtId="0" fontId="21" fillId="5" borderId="227" xfId="0" applyFont="1" applyFill="1" applyBorder="1" applyAlignment="1" applyProtection="1">
      <alignment horizontal="center"/>
      <protection locked="0"/>
    </xf>
    <xf numFmtId="0" fontId="21" fillId="3" borderId="227" xfId="0" applyFont="1" applyFill="1" applyBorder="1" applyAlignment="1" applyProtection="1">
      <alignment horizontal="left"/>
    </xf>
    <xf numFmtId="0" fontId="26" fillId="0" borderId="234" xfId="0" applyFont="1" applyBorder="1" applyAlignment="1" applyProtection="1">
      <alignment horizontal="left"/>
    </xf>
    <xf numFmtId="0" fontId="26" fillId="0" borderId="235" xfId="0" applyFont="1" applyBorder="1" applyAlignment="1" applyProtection="1">
      <alignment horizontal="left"/>
    </xf>
    <xf numFmtId="0" fontId="26" fillId="0" borderId="236" xfId="0" applyFont="1" applyBorder="1" applyAlignment="1" applyProtection="1">
      <alignment horizontal="left"/>
    </xf>
    <xf numFmtId="0" fontId="26" fillId="0" borderId="170" xfId="0" applyFont="1" applyBorder="1" applyAlignment="1" applyProtection="1">
      <alignment horizontal="left"/>
    </xf>
    <xf numFmtId="0" fontId="26" fillId="0" borderId="169" xfId="0" applyFont="1" applyBorder="1" applyAlignment="1" applyProtection="1">
      <alignment horizontal="left"/>
    </xf>
    <xf numFmtId="0" fontId="26" fillId="0" borderId="171" xfId="0" applyFont="1" applyBorder="1" applyAlignment="1" applyProtection="1">
      <alignment horizontal="left"/>
    </xf>
    <xf numFmtId="0" fontId="21" fillId="26" borderId="234" xfId="0" applyFont="1" applyFill="1" applyBorder="1" applyAlignment="1" applyProtection="1">
      <alignment horizontal="center"/>
      <protection locked="0"/>
    </xf>
    <xf numFmtId="0" fontId="21" fillId="26" borderId="235" xfId="0" applyFont="1" applyFill="1" applyBorder="1" applyAlignment="1" applyProtection="1">
      <alignment horizontal="center"/>
      <protection locked="0"/>
    </xf>
    <xf numFmtId="0" fontId="21" fillId="26" borderId="237" xfId="0" applyFont="1" applyFill="1" applyBorder="1" applyAlignment="1" applyProtection="1">
      <alignment horizontal="center"/>
      <protection locked="0"/>
    </xf>
    <xf numFmtId="0" fontId="0" fillId="0" borderId="233" xfId="0" applyFont="1" applyBorder="1" applyAlignment="1" applyProtection="1">
      <alignment horizontal="center"/>
    </xf>
    <xf numFmtId="0" fontId="21" fillId="8" borderId="228" xfId="0" applyFont="1" applyFill="1" applyBorder="1" applyAlignment="1" applyProtection="1">
      <alignment horizontal="center"/>
    </xf>
    <xf numFmtId="0" fontId="21" fillId="8" borderId="230" xfId="0" applyFont="1" applyFill="1" applyBorder="1" applyAlignment="1" applyProtection="1">
      <alignment horizontal="center"/>
    </xf>
    <xf numFmtId="0" fontId="21" fillId="8" borderId="229" xfId="0" applyFont="1" applyFill="1" applyBorder="1" applyAlignment="1" applyProtection="1">
      <alignment horizontal="center"/>
    </xf>
    <xf numFmtId="0" fontId="20" fillId="0" borderId="0" xfId="0" applyFont="1" applyAlignment="1">
      <alignment horizontal="center" vertical="center"/>
    </xf>
    <xf numFmtId="0" fontId="1" fillId="0" borderId="812" xfId="81" applyFont="1" applyFill="1" applyBorder="1" applyAlignment="1" applyProtection="1">
      <alignment horizontal="left" vertical="center"/>
      <protection locked="0"/>
    </xf>
    <xf numFmtId="0" fontId="1" fillId="0" borderId="824" xfId="81" applyFont="1" applyFill="1" applyBorder="1" applyAlignment="1" applyProtection="1">
      <alignment horizontal="left" vertical="center"/>
      <protection locked="0"/>
    </xf>
    <xf numFmtId="0" fontId="31" fillId="0" borderId="812" xfId="81" applyFont="1" applyFill="1" applyBorder="1" applyAlignment="1" applyProtection="1">
      <alignment horizontal="left" vertical="center" wrapText="1"/>
      <protection locked="0"/>
    </xf>
    <xf numFmtId="0" fontId="31" fillId="0" borderId="812" xfId="81" applyFont="1" applyFill="1" applyBorder="1" applyAlignment="1" applyProtection="1">
      <alignment horizontal="left" vertical="center"/>
      <protection locked="0"/>
    </xf>
    <xf numFmtId="0" fontId="31" fillId="0" borderId="824" xfId="81" applyFont="1" applyFill="1" applyBorder="1" applyAlignment="1" applyProtection="1">
      <alignment horizontal="left" vertical="center"/>
      <protection locked="0"/>
    </xf>
    <xf numFmtId="0" fontId="6" fillId="40" borderId="825" xfId="81" applyFont="1" applyFill="1" applyBorder="1" applyAlignment="1" applyProtection="1">
      <alignment horizontal="center" vertical="center"/>
      <protection locked="0"/>
    </xf>
    <xf numFmtId="0" fontId="6" fillId="40" borderId="812" xfId="81" applyFont="1" applyFill="1" applyBorder="1" applyAlignment="1" applyProtection="1">
      <alignment horizontal="center" vertical="center"/>
      <protection locked="0"/>
    </xf>
    <xf numFmtId="0" fontId="6" fillId="40" borderId="813" xfId="81" applyFont="1" applyFill="1" applyBorder="1" applyAlignment="1" applyProtection="1">
      <alignment horizontal="center" vertical="center"/>
      <protection locked="0"/>
    </xf>
    <xf numFmtId="0" fontId="6" fillId="40" borderId="1161" xfId="81" applyFont="1" applyFill="1" applyBorder="1" applyAlignment="1" applyProtection="1">
      <alignment horizontal="center" vertical="center"/>
      <protection locked="0"/>
    </xf>
    <xf numFmtId="0" fontId="6" fillId="40" borderId="818" xfId="81" applyFont="1" applyFill="1" applyBorder="1" applyAlignment="1" applyProtection="1">
      <alignment horizontal="center" vertical="center"/>
      <protection locked="0"/>
    </xf>
    <xf numFmtId="0" fontId="6" fillId="40" borderId="819" xfId="81" applyFont="1" applyFill="1" applyBorder="1" applyAlignment="1" applyProtection="1">
      <alignment horizontal="center" vertical="center"/>
      <protection locked="0"/>
    </xf>
    <xf numFmtId="0" fontId="21" fillId="0" borderId="1434" xfId="81" applyFont="1" applyFill="1" applyBorder="1" applyAlignment="1" applyProtection="1">
      <alignment horizontal="center" vertical="center"/>
    </xf>
    <xf numFmtId="0" fontId="21" fillId="0" borderId="1435" xfId="81" applyFont="1" applyFill="1" applyBorder="1" applyAlignment="1" applyProtection="1">
      <alignment horizontal="center" vertical="center"/>
    </xf>
    <xf numFmtId="0" fontId="21" fillId="0" borderId="1436" xfId="81" applyFont="1" applyFill="1" applyBorder="1" applyAlignment="1" applyProtection="1">
      <alignment horizontal="center" vertical="center"/>
    </xf>
    <xf numFmtId="0" fontId="31" fillId="0" borderId="812" xfId="81" applyFont="1" applyFill="1" applyBorder="1" applyAlignment="1" applyProtection="1">
      <alignment horizontal="center" vertical="center" wrapText="1"/>
      <protection locked="0"/>
    </xf>
    <xf numFmtId="0" fontId="31" fillId="0" borderId="812" xfId="81" applyFont="1" applyFill="1" applyBorder="1" applyAlignment="1" applyProtection="1">
      <alignment horizontal="center" vertical="center"/>
      <protection locked="0"/>
    </xf>
    <xf numFmtId="0" fontId="31" fillId="0" borderId="824" xfId="81" applyFont="1" applyFill="1" applyBorder="1" applyAlignment="1" applyProtection="1">
      <alignment horizontal="center" vertical="center"/>
      <protection locked="0"/>
    </xf>
    <xf numFmtId="16" fontId="6" fillId="40" borderId="825" xfId="81" applyNumberFormat="1" applyFont="1" applyFill="1" applyBorder="1" applyAlignment="1" applyProtection="1">
      <alignment horizontal="center" vertical="center"/>
      <protection locked="0"/>
    </xf>
    <xf numFmtId="16" fontId="6" fillId="40" borderId="812" xfId="81" applyNumberFormat="1" applyFont="1" applyFill="1" applyBorder="1" applyAlignment="1" applyProtection="1">
      <alignment horizontal="center" vertical="center"/>
      <protection locked="0"/>
    </xf>
    <xf numFmtId="16" fontId="6" fillId="40" borderId="813" xfId="81" applyNumberFormat="1" applyFont="1" applyFill="1" applyBorder="1" applyAlignment="1" applyProtection="1">
      <alignment horizontal="center" vertical="center"/>
      <protection locked="0"/>
    </xf>
    <xf numFmtId="0" fontId="31" fillId="0" borderId="818" xfId="81" applyFont="1" applyFill="1" applyBorder="1" applyAlignment="1" applyProtection="1">
      <alignment horizontal="left" vertical="center"/>
      <protection locked="0"/>
    </xf>
    <xf numFmtId="0" fontId="31" fillId="0" borderId="1437" xfId="81" applyFont="1" applyFill="1" applyBorder="1" applyAlignment="1" applyProtection="1">
      <alignment horizontal="left" vertical="center"/>
      <protection locked="0"/>
    </xf>
    <xf numFmtId="0" fontId="1" fillId="0" borderId="818" xfId="81" applyFont="1" applyFill="1" applyBorder="1" applyAlignment="1" applyProtection="1">
      <alignment horizontal="left" vertical="center"/>
      <protection locked="0"/>
    </xf>
    <xf numFmtId="0" fontId="1" fillId="0" borderId="1437" xfId="81" applyFont="1" applyFill="1" applyBorder="1" applyAlignment="1" applyProtection="1">
      <alignment horizontal="left" vertical="center"/>
      <protection locked="0"/>
    </xf>
    <xf numFmtId="0" fontId="0" fillId="40" borderId="1161" xfId="81" applyFont="1" applyFill="1" applyBorder="1" applyAlignment="1" applyProtection="1">
      <alignment horizontal="center" vertical="center"/>
      <protection locked="0"/>
    </xf>
    <xf numFmtId="0" fontId="0" fillId="40" borderId="818" xfId="81" applyFont="1" applyFill="1" applyBorder="1" applyAlignment="1" applyProtection="1">
      <alignment horizontal="center" vertical="center"/>
      <protection locked="0"/>
    </xf>
    <xf numFmtId="0" fontId="0" fillId="40" borderId="819" xfId="81" applyFont="1" applyFill="1" applyBorder="1" applyAlignment="1" applyProtection="1">
      <alignment horizontal="center" vertical="center"/>
      <protection locked="0"/>
    </xf>
    <xf numFmtId="0" fontId="1" fillId="0" borderId="824" xfId="81" applyFont="1" applyFill="1" applyBorder="1" applyAlignment="1" applyProtection="1">
      <alignment horizontal="left" vertical="center" wrapText="1"/>
      <protection locked="0"/>
    </xf>
    <xf numFmtId="0" fontId="1" fillId="0" borderId="818" xfId="81" applyFont="1" applyFill="1" applyBorder="1" applyAlignment="1" applyProtection="1">
      <alignment horizontal="left" vertical="center" wrapText="1"/>
      <protection locked="0"/>
    </xf>
    <xf numFmtId="0" fontId="1" fillId="0" borderId="1437" xfId="81" applyFont="1" applyFill="1" applyBorder="1" applyAlignment="1" applyProtection="1">
      <alignment horizontal="left" vertical="center" wrapText="1"/>
      <protection locked="0"/>
    </xf>
    <xf numFmtId="0" fontId="31" fillId="0" borderId="827" xfId="81" applyFont="1" applyFill="1" applyBorder="1" applyAlignment="1" applyProtection="1">
      <alignment horizontal="left" vertical="center"/>
      <protection locked="0"/>
    </xf>
    <xf numFmtId="0" fontId="11" fillId="40" borderId="828" xfId="81" applyFill="1" applyBorder="1" applyAlignment="1" applyProtection="1">
      <alignment horizontal="center" vertical="center"/>
      <protection locked="0"/>
    </xf>
    <xf numFmtId="0" fontId="11" fillId="40" borderId="815" xfId="81" applyFill="1" applyBorder="1" applyAlignment="1" applyProtection="1">
      <alignment horizontal="center" vertical="center"/>
      <protection locked="0"/>
    </xf>
    <xf numFmtId="0" fontId="11" fillId="40" borderId="816" xfId="81" applyFill="1" applyBorder="1" applyAlignment="1" applyProtection="1">
      <alignment horizontal="center" vertical="center"/>
      <protection locked="0"/>
    </xf>
    <xf numFmtId="0" fontId="31" fillId="0" borderId="1439" xfId="81" applyFont="1" applyFill="1" applyBorder="1" applyAlignment="1" applyProtection="1">
      <alignment horizontal="left" vertical="center"/>
      <protection locked="0"/>
    </xf>
    <xf numFmtId="0" fontId="31" fillId="0" borderId="1440" xfId="81" applyFont="1" applyFill="1" applyBorder="1" applyAlignment="1" applyProtection="1">
      <alignment horizontal="left" vertical="center"/>
      <protection locked="0"/>
    </xf>
    <xf numFmtId="0" fontId="31" fillId="0" borderId="1441" xfId="81" applyFont="1" applyFill="1" applyBorder="1" applyAlignment="1" applyProtection="1">
      <alignment horizontal="left" vertical="center"/>
      <protection locked="0"/>
    </xf>
    <xf numFmtId="0" fontId="11" fillId="8" borderId="1434" xfId="81" applyFill="1" applyBorder="1" applyAlignment="1" applyProtection="1">
      <alignment horizontal="center" vertical="center"/>
    </xf>
    <xf numFmtId="0" fontId="11" fillId="8" borderId="1435" xfId="81" applyFill="1" applyBorder="1" applyAlignment="1" applyProtection="1">
      <alignment horizontal="center" vertical="center"/>
    </xf>
    <xf numFmtId="0" fontId="11" fillId="8" borderId="1438" xfId="81" applyFill="1" applyBorder="1" applyAlignment="1" applyProtection="1">
      <alignment horizontal="center" vertical="center"/>
    </xf>
    <xf numFmtId="0" fontId="0" fillId="40" borderId="825" xfId="81" applyFont="1" applyFill="1" applyBorder="1" applyAlignment="1" applyProtection="1">
      <alignment horizontal="center" vertical="center"/>
      <protection locked="0"/>
    </xf>
    <xf numFmtId="0" fontId="0" fillId="40" borderId="812" xfId="81" applyFont="1" applyFill="1" applyBorder="1" applyAlignment="1" applyProtection="1">
      <alignment horizontal="center" vertical="center"/>
      <protection locked="0"/>
    </xf>
    <xf numFmtId="0" fontId="0" fillId="40" borderId="813" xfId="81" applyFont="1" applyFill="1" applyBorder="1" applyAlignment="1" applyProtection="1">
      <alignment horizontal="center" vertical="center"/>
      <protection locked="0"/>
    </xf>
    <xf numFmtId="0" fontId="21" fillId="34" borderId="808" xfId="81" applyFont="1" applyFill="1" applyBorder="1" applyAlignment="1" applyProtection="1">
      <alignment horizontal="left" vertical="center" wrapText="1"/>
    </xf>
    <xf numFmtId="0" fontId="21" fillId="34" borderId="809" xfId="81" applyFont="1" applyFill="1" applyBorder="1" applyAlignment="1" applyProtection="1">
      <alignment horizontal="left" vertical="center" wrapText="1"/>
    </xf>
    <xf numFmtId="0" fontId="21" fillId="34" borderId="820" xfId="81" applyFont="1" applyFill="1" applyBorder="1" applyAlignment="1" applyProtection="1">
      <alignment horizontal="left" vertical="center" wrapText="1"/>
    </xf>
    <xf numFmtId="0" fontId="11" fillId="8" borderId="811" xfId="81" applyFill="1" applyBorder="1" applyAlignment="1" applyProtection="1">
      <alignment horizontal="center" vertical="center"/>
    </xf>
    <xf numFmtId="0" fontId="11" fillId="40" borderId="825" xfId="81" applyFill="1" applyBorder="1" applyAlignment="1" applyProtection="1">
      <alignment horizontal="center" vertical="center"/>
      <protection locked="0"/>
    </xf>
    <xf numFmtId="0" fontId="11" fillId="40" borderId="812" xfId="81" applyFill="1" applyBorder="1" applyAlignment="1" applyProtection="1">
      <alignment horizontal="center" vertical="center"/>
      <protection locked="0"/>
    </xf>
    <xf numFmtId="0" fontId="11" fillId="40" borderId="813" xfId="81" applyFill="1" applyBorder="1" applyAlignment="1" applyProtection="1">
      <alignment horizontal="center" vertical="center"/>
      <protection locked="0"/>
    </xf>
    <xf numFmtId="0" fontId="23" fillId="34" borderId="821" xfId="81" applyFont="1" applyFill="1" applyBorder="1" applyAlignment="1" applyProtection="1">
      <alignment horizontal="center" vertical="center" wrapText="1"/>
    </xf>
    <xf numFmtId="0" fontId="23" fillId="34" borderId="809" xfId="81" applyFont="1" applyFill="1" applyBorder="1" applyAlignment="1" applyProtection="1">
      <alignment horizontal="center" vertical="center" wrapText="1"/>
    </xf>
    <xf numFmtId="0" fontId="23" fillId="34" borderId="810" xfId="81" applyFont="1" applyFill="1" applyBorder="1" applyAlignment="1" applyProtection="1">
      <alignment horizontal="center" vertical="center" wrapText="1"/>
    </xf>
    <xf numFmtId="0" fontId="11" fillId="0" borderId="811" xfId="81" applyBorder="1" applyAlignment="1" applyProtection="1">
      <alignment horizontal="center" vertical="center"/>
    </xf>
    <xf numFmtId="0" fontId="11" fillId="0" borderId="812" xfId="81" applyBorder="1" applyAlignment="1" applyProtection="1">
      <alignment horizontal="center" vertical="center"/>
    </xf>
    <xf numFmtId="0" fontId="11" fillId="0" borderId="813" xfId="81" applyBorder="1" applyAlignment="1" applyProtection="1">
      <alignment horizontal="center" vertical="center"/>
    </xf>
    <xf numFmtId="0" fontId="21" fillId="34" borderId="822" xfId="81" applyFont="1" applyFill="1" applyBorder="1" applyAlignment="1" applyProtection="1">
      <alignment horizontal="center" vertical="center" wrapText="1"/>
    </xf>
    <xf numFmtId="0" fontId="21" fillId="34" borderId="809" xfId="81" applyFont="1" applyFill="1" applyBorder="1" applyAlignment="1" applyProtection="1">
      <alignment horizontal="center" vertical="center" wrapText="1"/>
    </xf>
    <xf numFmtId="0" fontId="40" fillId="27" borderId="252" xfId="0" applyFont="1" applyFill="1" applyBorder="1" applyAlignment="1" applyProtection="1">
      <alignment horizontal="left" vertical="center"/>
    </xf>
    <xf numFmtId="0" fontId="40" fillId="27" borderId="253" xfId="0" applyFont="1" applyFill="1" applyBorder="1" applyAlignment="1" applyProtection="1">
      <alignment horizontal="left" vertical="center"/>
    </xf>
    <xf numFmtId="0" fontId="1" fillId="39" borderId="254" xfId="0" applyFont="1" applyFill="1" applyBorder="1" applyAlignment="1" applyProtection="1">
      <alignment horizontal="left" vertical="top" wrapText="1"/>
      <protection locked="0"/>
    </xf>
    <xf numFmtId="0" fontId="0" fillId="39" borderId="255" xfId="0" applyFont="1" applyFill="1" applyBorder="1" applyAlignment="1" applyProtection="1">
      <alignment horizontal="left" vertical="top" wrapText="1"/>
      <protection locked="0"/>
    </xf>
    <xf numFmtId="0" fontId="0" fillId="39" borderId="256" xfId="0" applyFont="1" applyFill="1" applyBorder="1" applyAlignment="1" applyProtection="1">
      <alignment horizontal="left" vertical="top" wrapText="1"/>
      <protection locked="0"/>
    </xf>
    <xf numFmtId="0" fontId="0" fillId="39" borderId="257" xfId="0" applyFont="1" applyFill="1" applyBorder="1" applyAlignment="1" applyProtection="1">
      <alignment horizontal="left" vertical="top" wrapText="1"/>
      <protection locked="0"/>
    </xf>
    <xf numFmtId="0" fontId="0" fillId="39" borderId="258" xfId="0" applyFont="1" applyFill="1" applyBorder="1" applyAlignment="1" applyProtection="1">
      <alignment horizontal="left" vertical="top" wrapText="1"/>
      <protection locked="0"/>
    </xf>
    <xf numFmtId="174" fontId="25" fillId="0" borderId="630" xfId="10" applyNumberFormat="1" applyFont="1" applyFill="1" applyBorder="1" applyAlignment="1" applyProtection="1">
      <alignment horizontal="center" vertical="center"/>
    </xf>
    <xf numFmtId="2" fontId="41" fillId="0" borderId="629" xfId="10" applyNumberFormat="1" applyFont="1" applyFill="1" applyBorder="1" applyAlignment="1" applyProtection="1">
      <alignment horizontal="center" vertical="center"/>
    </xf>
    <xf numFmtId="2" fontId="41" fillId="0" borderId="631" xfId="10" applyNumberFormat="1" applyFont="1" applyFill="1" applyBorder="1" applyAlignment="1" applyProtection="1">
      <alignment horizontal="center" vertical="center"/>
    </xf>
    <xf numFmtId="0" fontId="1" fillId="39" borderId="255" xfId="0" applyFont="1" applyFill="1" applyBorder="1" applyAlignment="1" applyProtection="1">
      <alignment horizontal="left" vertical="top" wrapText="1"/>
      <protection locked="0"/>
    </xf>
    <xf numFmtId="0" fontId="1" fillId="39" borderId="256" xfId="0" applyFont="1" applyFill="1" applyBorder="1" applyAlignment="1" applyProtection="1">
      <alignment horizontal="left" vertical="top" wrapText="1"/>
      <protection locked="0"/>
    </xf>
    <xf numFmtId="0" fontId="1" fillId="39" borderId="257" xfId="0" applyFont="1" applyFill="1" applyBorder="1" applyAlignment="1" applyProtection="1">
      <alignment horizontal="left" vertical="top" wrapText="1"/>
      <protection locked="0"/>
    </xf>
    <xf numFmtId="0" fontId="1" fillId="39" borderId="258" xfId="0" applyFont="1" applyFill="1" applyBorder="1" applyAlignment="1" applyProtection="1">
      <alignment horizontal="left" vertical="top" wrapText="1"/>
      <protection locked="0"/>
    </xf>
    <xf numFmtId="0" fontId="24" fillId="40" borderId="629" xfId="10" applyFont="1" applyFill="1" applyBorder="1" applyAlignment="1" applyProtection="1">
      <alignment horizontal="right" vertical="center"/>
    </xf>
    <xf numFmtId="0" fontId="24" fillId="40" borderId="630" xfId="10" applyFont="1" applyFill="1" applyBorder="1" applyAlignment="1" applyProtection="1">
      <alignment horizontal="right" vertical="center"/>
    </xf>
    <xf numFmtId="1" fontId="25" fillId="0" borderId="630" xfId="10" applyNumberFormat="1" applyFont="1" applyFill="1" applyBorder="1" applyAlignment="1" applyProtection="1">
      <alignment horizontal="center" vertical="center"/>
    </xf>
    <xf numFmtId="174" fontId="22" fillId="0" borderId="139" xfId="10" applyNumberFormat="1" applyFont="1" applyFill="1" applyBorder="1" applyAlignment="1" applyProtection="1">
      <alignment horizontal="center" vertical="center"/>
    </xf>
    <xf numFmtId="2" fontId="1" fillId="0" borderId="633" xfId="12" applyNumberFormat="1" applyFont="1" applyFill="1" applyBorder="1" applyAlignment="1" applyProtection="1">
      <alignment horizontal="center" vertical="center"/>
    </xf>
    <xf numFmtId="2" fontId="1" fillId="0" borderId="140" xfId="12" applyNumberFormat="1" applyFont="1" applyFill="1" applyBorder="1" applyAlignment="1" applyProtection="1">
      <alignment horizontal="center" vertical="center"/>
    </xf>
    <xf numFmtId="0" fontId="24" fillId="40" borderId="626" xfId="10" applyFont="1" applyFill="1" applyBorder="1" applyAlignment="1" applyProtection="1">
      <alignment horizontal="left" vertical="center"/>
      <protection locked="0"/>
    </xf>
    <xf numFmtId="0" fontId="24" fillId="40" borderId="627" xfId="10" applyFont="1" applyFill="1" applyBorder="1" applyAlignment="1" applyProtection="1">
      <alignment horizontal="left" vertical="center"/>
      <protection locked="0"/>
    </xf>
    <xf numFmtId="1" fontId="22" fillId="26" borderId="627" xfId="10" applyNumberFormat="1" applyFont="1" applyFill="1" applyBorder="1" applyAlignment="1" applyProtection="1">
      <alignment horizontal="center" vertical="center"/>
      <protection locked="0"/>
    </xf>
    <xf numFmtId="2" fontId="22" fillId="26" borderId="627" xfId="10" applyNumberFormat="1" applyFont="1" applyFill="1" applyBorder="1" applyAlignment="1" applyProtection="1">
      <alignment horizontal="center" vertical="center"/>
      <protection locked="0"/>
    </xf>
    <xf numFmtId="174" fontId="22" fillId="26" borderId="627" xfId="10" applyNumberFormat="1" applyFont="1" applyFill="1" applyBorder="1" applyAlignment="1" applyProtection="1">
      <alignment horizontal="center" vertical="center"/>
      <protection locked="0"/>
    </xf>
    <xf numFmtId="1" fontId="22" fillId="26" borderId="632" xfId="10" applyNumberFormat="1" applyFont="1" applyFill="1" applyBorder="1" applyAlignment="1" applyProtection="1">
      <alignment horizontal="center" vertical="center"/>
      <protection locked="0"/>
    </xf>
    <xf numFmtId="174" fontId="1" fillId="0" borderId="634" xfId="12" applyNumberFormat="1" applyFont="1" applyFill="1" applyBorder="1" applyAlignment="1" applyProtection="1">
      <alignment horizontal="center" vertical="center"/>
    </xf>
    <xf numFmtId="174" fontId="1" fillId="0" borderId="628" xfId="12" applyNumberFormat="1" applyFont="1" applyFill="1" applyBorder="1" applyAlignment="1" applyProtection="1">
      <alignment horizontal="center" vertical="center"/>
    </xf>
    <xf numFmtId="0" fontId="24" fillId="40" borderId="138" xfId="10" applyFont="1" applyFill="1" applyBorder="1" applyAlignment="1" applyProtection="1">
      <alignment horizontal="left" vertical="center"/>
    </xf>
    <xf numFmtId="0" fontId="24" fillId="40" borderId="139" xfId="10" applyFont="1" applyFill="1" applyBorder="1" applyAlignment="1" applyProtection="1">
      <alignment horizontal="left" vertical="center"/>
    </xf>
    <xf numFmtId="1" fontId="22" fillId="0" borderId="139" xfId="10" applyNumberFormat="1" applyFont="1" applyFill="1" applyBorder="1" applyAlignment="1" applyProtection="1">
      <alignment horizontal="center" vertical="center"/>
    </xf>
    <xf numFmtId="1" fontId="1" fillId="0" borderId="633" xfId="12" applyNumberFormat="1" applyFont="1" applyFill="1" applyBorder="1" applyAlignment="1" applyProtection="1">
      <alignment horizontal="center" vertical="center"/>
    </xf>
    <xf numFmtId="1" fontId="1" fillId="0" borderId="140" xfId="12" applyNumberFormat="1" applyFont="1" applyFill="1" applyBorder="1" applyAlignment="1" applyProtection="1">
      <alignment horizontal="center" vertical="center"/>
    </xf>
    <xf numFmtId="0" fontId="24" fillId="40" borderId="138" xfId="10" applyFont="1" applyFill="1" applyBorder="1" applyAlignment="1" applyProtection="1">
      <alignment horizontal="left" vertical="center" wrapText="1"/>
      <protection locked="0"/>
    </xf>
    <xf numFmtId="0" fontId="24" fillId="40" borderId="139" xfId="10" applyFont="1" applyFill="1" applyBorder="1" applyAlignment="1" applyProtection="1">
      <alignment horizontal="left" vertical="center" wrapText="1"/>
      <protection locked="0"/>
    </xf>
    <xf numFmtId="1" fontId="22" fillId="26" borderId="139" xfId="10" applyNumberFormat="1" applyFont="1" applyFill="1" applyBorder="1" applyAlignment="1" applyProtection="1">
      <alignment horizontal="center" vertical="center"/>
      <protection locked="0"/>
    </xf>
    <xf numFmtId="1" fontId="0" fillId="26" borderId="139" xfId="12" applyNumberFormat="1" applyFont="1" applyFill="1" applyBorder="1" applyAlignment="1" applyProtection="1">
      <alignment horizontal="center" vertical="center"/>
      <protection locked="0"/>
    </xf>
    <xf numFmtId="1" fontId="0" fillId="26" borderId="407" xfId="12" applyNumberFormat="1" applyFont="1" applyFill="1" applyBorder="1" applyAlignment="1" applyProtection="1">
      <alignment horizontal="center" vertical="center"/>
      <protection locked="0"/>
    </xf>
    <xf numFmtId="0" fontId="24" fillId="27" borderId="1277" xfId="10" applyFont="1" applyFill="1" applyBorder="1" applyAlignment="1" applyProtection="1">
      <alignment horizontal="center" vertical="center" wrapText="1"/>
    </xf>
    <xf numFmtId="0" fontId="24" fillId="27" borderId="1279" xfId="10" applyFont="1" applyFill="1" applyBorder="1" applyAlignment="1" applyProtection="1">
      <alignment horizontal="center" vertical="center" wrapText="1"/>
    </xf>
    <xf numFmtId="0" fontId="24" fillId="27" borderId="1278" xfId="10" applyFont="1" applyFill="1" applyBorder="1" applyAlignment="1" applyProtection="1">
      <alignment horizontal="center" vertical="center" wrapText="1"/>
    </xf>
    <xf numFmtId="0" fontId="24" fillId="0" borderId="624" xfId="10" applyFont="1" applyFill="1" applyBorder="1" applyAlignment="1" applyProtection="1">
      <alignment horizontal="center" vertical="center" wrapText="1"/>
    </xf>
    <xf numFmtId="0" fontId="24" fillId="0" borderId="625" xfId="10" applyFont="1" applyFill="1" applyBorder="1" applyAlignment="1" applyProtection="1">
      <alignment horizontal="center" vertical="center" wrapText="1"/>
    </xf>
    <xf numFmtId="1" fontId="22" fillId="0" borderId="139" xfId="10" applyNumberFormat="1" applyFont="1" applyFill="1" applyBorder="1" applyAlignment="1" applyProtection="1">
      <alignment horizontal="center" vertical="center"/>
      <protection locked="0"/>
    </xf>
    <xf numFmtId="174" fontId="22" fillId="0" borderId="139" xfId="10" applyNumberFormat="1" applyFont="1" applyFill="1" applyBorder="1" applyAlignment="1" applyProtection="1">
      <alignment horizontal="center" vertical="center"/>
      <protection locked="0"/>
    </xf>
    <xf numFmtId="0" fontId="24" fillId="27" borderId="1280" xfId="10" applyFont="1" applyFill="1" applyBorder="1" applyAlignment="1" applyProtection="1">
      <alignment horizontal="center" vertical="center" wrapText="1"/>
    </xf>
    <xf numFmtId="0" fontId="24" fillId="27" borderId="1281" xfId="10" applyFont="1" applyFill="1" applyBorder="1" applyAlignment="1" applyProtection="1">
      <alignment horizontal="center" vertical="center" wrapText="1"/>
    </xf>
    <xf numFmtId="0" fontId="39" fillId="27" borderId="335" xfId="0" applyFont="1" applyFill="1" applyBorder="1" applyAlignment="1" applyProtection="1">
      <alignment horizontal="right" vertical="center"/>
    </xf>
    <xf numFmtId="0" fontId="41" fillId="27" borderId="335" xfId="0" applyFont="1" applyFill="1" applyBorder="1" applyAlignment="1" applyProtection="1">
      <alignment horizontal="left" vertical="center"/>
    </xf>
    <xf numFmtId="0" fontId="41" fillId="27" borderId="337" xfId="0" applyFont="1" applyFill="1" applyBorder="1" applyAlignment="1" applyProtection="1">
      <alignment horizontal="left" vertical="center"/>
    </xf>
    <xf numFmtId="0" fontId="26" fillId="0" borderId="1282" xfId="0" applyFont="1" applyBorder="1" applyAlignment="1" applyProtection="1">
      <alignment horizontal="center" vertical="center"/>
    </xf>
    <xf numFmtId="0" fontId="26" fillId="0" borderId="1282" xfId="0" applyFont="1" applyBorder="1" applyAlignment="1" applyProtection="1">
      <alignment horizontal="left" vertical="center" wrapText="1"/>
    </xf>
    <xf numFmtId="0" fontId="26" fillId="0" borderId="1282" xfId="0" applyFont="1" applyBorder="1" applyAlignment="1" applyProtection="1">
      <alignment horizontal="left" vertical="center"/>
    </xf>
    <xf numFmtId="0" fontId="6" fillId="0" borderId="168" xfId="2" applyFont="1" applyFill="1" applyBorder="1" applyAlignment="1">
      <alignment horizontal="left"/>
    </xf>
    <xf numFmtId="0" fontId="6" fillId="0" borderId="0" xfId="2" applyFont="1" applyFill="1" applyBorder="1" applyAlignment="1">
      <alignment horizontal="left"/>
    </xf>
    <xf numFmtId="0" fontId="40" fillId="7" borderId="549" xfId="0" applyFont="1" applyFill="1" applyBorder="1" applyAlignment="1">
      <alignment horizontal="left" vertical="center"/>
    </xf>
    <xf numFmtId="0" fontId="40" fillId="7" borderId="550" xfId="0" applyFont="1" applyFill="1" applyBorder="1" applyAlignment="1">
      <alignment horizontal="left" vertical="center"/>
    </xf>
    <xf numFmtId="0" fontId="40" fillId="7" borderId="551" xfId="0" applyFont="1" applyFill="1" applyBorder="1" applyAlignment="1">
      <alignment horizontal="left" vertical="center"/>
    </xf>
    <xf numFmtId="0" fontId="0" fillId="5" borderId="552" xfId="0" applyFont="1" applyFill="1" applyBorder="1" applyAlignment="1" applyProtection="1">
      <alignment horizontal="left" vertical="top" wrapText="1"/>
      <protection locked="0"/>
    </xf>
    <xf numFmtId="0" fontId="0" fillId="5" borderId="553" xfId="0" applyFont="1" applyFill="1" applyBorder="1" applyAlignment="1" applyProtection="1">
      <alignment horizontal="left" vertical="top" wrapText="1"/>
      <protection locked="0"/>
    </xf>
    <xf numFmtId="0" fontId="0" fillId="5" borderId="554" xfId="0" applyFont="1" applyFill="1" applyBorder="1" applyAlignment="1" applyProtection="1">
      <alignment horizontal="left" vertical="top" wrapText="1"/>
      <protection locked="0"/>
    </xf>
    <xf numFmtId="0" fontId="0" fillId="5" borderId="555" xfId="0" applyFont="1" applyFill="1" applyBorder="1" applyAlignment="1" applyProtection="1">
      <alignment horizontal="left" vertical="top" wrapText="1"/>
      <protection locked="0"/>
    </xf>
    <xf numFmtId="0" fontId="0" fillId="5" borderId="556" xfId="0" applyFont="1" applyFill="1" applyBorder="1" applyAlignment="1" applyProtection="1">
      <alignment horizontal="left" vertical="top" wrapText="1"/>
      <protection locked="0"/>
    </xf>
    <xf numFmtId="0" fontId="0" fillId="5" borderId="557" xfId="0" applyFont="1" applyFill="1" applyBorder="1" applyAlignment="1" applyProtection="1">
      <alignment horizontal="left" vertical="top" wrapText="1"/>
      <protection locked="0"/>
    </xf>
    <xf numFmtId="0" fontId="69" fillId="8" borderId="446" xfId="0" applyFont="1" applyFill="1" applyBorder="1" applyAlignment="1" applyProtection="1">
      <alignment horizontal="center" vertical="center" wrapText="1"/>
      <protection locked="0"/>
    </xf>
    <xf numFmtId="0" fontId="69" fillId="8" borderId="1007" xfId="0" applyFont="1" applyFill="1" applyBorder="1" applyAlignment="1" applyProtection="1">
      <alignment horizontal="center" vertical="center" wrapText="1"/>
      <protection locked="0"/>
    </xf>
    <xf numFmtId="0" fontId="2" fillId="7" borderId="550" xfId="0" applyFont="1" applyFill="1" applyBorder="1" applyAlignment="1">
      <alignment horizontal="left" vertical="center"/>
    </xf>
    <xf numFmtId="0" fontId="2" fillId="7" borderId="551" xfId="0" applyFont="1" applyFill="1" applyBorder="1" applyAlignment="1">
      <alignment horizontal="left" vertical="center"/>
    </xf>
    <xf numFmtId="0" fontId="32" fillId="28" borderId="334" xfId="2" applyFont="1" applyFill="1" applyBorder="1" applyAlignment="1">
      <alignment horizontal="center"/>
    </xf>
    <xf numFmtId="0" fontId="32" fillId="28" borderId="335" xfId="2" applyFont="1" applyFill="1" applyBorder="1" applyAlignment="1">
      <alignment horizontal="center"/>
    </xf>
    <xf numFmtId="0" fontId="32" fillId="28" borderId="337" xfId="2" applyFont="1" applyFill="1" applyBorder="1" applyAlignment="1">
      <alignment horizontal="center"/>
    </xf>
    <xf numFmtId="0" fontId="97" fillId="0" borderId="566" xfId="6" applyFont="1" applyBorder="1" applyAlignment="1">
      <alignment horizontal="right"/>
    </xf>
    <xf numFmtId="0" fontId="97" fillId="0" borderId="567" xfId="6" applyFont="1" applyBorder="1" applyAlignment="1">
      <alignment horizontal="right"/>
    </xf>
    <xf numFmtId="0" fontId="97" fillId="0" borderId="568" xfId="6" applyFont="1" applyBorder="1" applyAlignment="1">
      <alignment horizontal="right"/>
    </xf>
    <xf numFmtId="0" fontId="35" fillId="0" borderId="532" xfId="2" applyFont="1" applyBorder="1" applyAlignment="1">
      <alignment horizontal="left"/>
    </xf>
    <xf numFmtId="0" fontId="35" fillId="0" borderId="533" xfId="2" applyFont="1" applyBorder="1" applyAlignment="1">
      <alignment horizontal="left"/>
    </xf>
    <xf numFmtId="0" fontId="96" fillId="26" borderId="533" xfId="2" applyFont="1" applyFill="1" applyBorder="1" applyAlignment="1">
      <alignment horizontal="center" vertical="center" wrapText="1"/>
    </xf>
    <xf numFmtId="0" fontId="52" fillId="0" borderId="535" xfId="2" applyFont="1" applyBorder="1" applyAlignment="1">
      <alignment horizontal="center"/>
    </xf>
    <xf numFmtId="0" fontId="52" fillId="0" borderId="536" xfId="2" applyFont="1" applyBorder="1" applyAlignment="1">
      <alignment horizontal="center"/>
    </xf>
    <xf numFmtId="0" fontId="52" fillId="0" borderId="537" xfId="2" applyFont="1" applyBorder="1" applyAlignment="1">
      <alignment horizontal="center"/>
    </xf>
    <xf numFmtId="182" fontId="96" fillId="26" borderId="533" xfId="2" applyNumberFormat="1" applyFont="1" applyFill="1" applyBorder="1" applyAlignment="1">
      <alignment horizontal="center" vertical="center"/>
    </xf>
    <xf numFmtId="0" fontId="97" fillId="0" borderId="558" xfId="6" applyFont="1" applyBorder="1" applyAlignment="1">
      <alignment horizontal="right"/>
    </xf>
    <xf numFmtId="0" fontId="97" fillId="0" borderId="559" xfId="6" applyFont="1" applyBorder="1" applyAlignment="1">
      <alignment horizontal="right"/>
    </xf>
    <xf numFmtId="0" fontId="25" fillId="7" borderId="529" xfId="6" applyFont="1" applyFill="1" applyBorder="1" applyAlignment="1">
      <alignment horizontal="center" vertical="center" wrapText="1"/>
    </xf>
    <xf numFmtId="0" fontId="25" fillId="7" borderId="530" xfId="6" applyFont="1" applyFill="1" applyBorder="1" applyAlignment="1">
      <alignment horizontal="center" vertical="center" wrapText="1"/>
    </xf>
    <xf numFmtId="1" fontId="96" fillId="26" borderId="533" xfId="2" applyNumberFormat="1" applyFont="1" applyFill="1" applyBorder="1" applyAlignment="1">
      <alignment horizontal="center" vertical="center"/>
    </xf>
    <xf numFmtId="0" fontId="97" fillId="0" borderId="549" xfId="6" applyFont="1" applyBorder="1" applyAlignment="1">
      <alignment horizontal="right"/>
    </xf>
    <xf numFmtId="0" fontId="97" fillId="0" borderId="550" xfId="6" applyFont="1" applyBorder="1" applyAlignment="1">
      <alignment horizontal="right"/>
    </xf>
    <xf numFmtId="0" fontId="97" fillId="0" borderId="564" xfId="6" applyFont="1" applyBorder="1" applyAlignment="1">
      <alignment horizontal="right"/>
    </xf>
    <xf numFmtId="0" fontId="97" fillId="0" borderId="555" xfId="6" applyFont="1" applyFill="1" applyBorder="1" applyAlignment="1">
      <alignment horizontal="right"/>
    </xf>
    <xf numFmtId="0" fontId="97" fillId="0" borderId="556" xfId="6" applyFont="1" applyFill="1" applyBorder="1" applyAlignment="1">
      <alignment horizontal="right"/>
    </xf>
    <xf numFmtId="0" fontId="97" fillId="0" borderId="565" xfId="6" applyFont="1" applyFill="1" applyBorder="1" applyAlignment="1">
      <alignment horizontal="right"/>
    </xf>
    <xf numFmtId="2" fontId="16" fillId="0" borderId="583" xfId="6" applyNumberFormat="1" applyFont="1" applyFill="1" applyBorder="1" applyAlignment="1">
      <alignment horizontal="center"/>
    </xf>
    <xf numFmtId="2" fontId="16" fillId="0" borderId="569" xfId="6" applyNumberFormat="1" applyFont="1" applyFill="1" applyBorder="1" applyAlignment="1">
      <alignment horizontal="center"/>
    </xf>
    <xf numFmtId="2" fontId="16" fillId="0" borderId="584" xfId="6" applyNumberFormat="1" applyFont="1" applyFill="1" applyBorder="1" applyAlignment="1">
      <alignment horizontal="center"/>
    </xf>
    <xf numFmtId="0" fontId="96" fillId="25" borderId="533" xfId="2" applyFont="1" applyFill="1" applyBorder="1" applyAlignment="1">
      <alignment horizontal="center" vertical="center"/>
    </xf>
    <xf numFmtId="0" fontId="17" fillId="0" borderId="535" xfId="6" applyFont="1" applyFill="1" applyBorder="1" applyAlignment="1">
      <alignment horizontal="center"/>
    </xf>
    <xf numFmtId="0" fontId="17" fillId="0" borderId="536" xfId="6" applyFont="1" applyFill="1" applyBorder="1" applyAlignment="1">
      <alignment horizontal="center"/>
    </xf>
    <xf numFmtId="0" fontId="17" fillId="0" borderId="537" xfId="6" applyFont="1" applyFill="1" applyBorder="1" applyAlignment="1">
      <alignment horizontal="center"/>
    </xf>
    <xf numFmtId="0" fontId="113" fillId="7" borderId="335" xfId="0" applyFont="1" applyFill="1" applyBorder="1" applyAlignment="1">
      <alignment horizontal="right" vertical="center"/>
    </xf>
    <xf numFmtId="0" fontId="42" fillId="7" borderId="335" xfId="0" applyFont="1" applyFill="1" applyBorder="1" applyAlignment="1">
      <alignment horizontal="left" vertical="center"/>
    </xf>
    <xf numFmtId="0" fontId="42" fillId="7" borderId="337" xfId="0" applyFont="1" applyFill="1" applyBorder="1" applyAlignment="1">
      <alignment horizontal="left" vertical="center"/>
    </xf>
    <xf numFmtId="0" fontId="22" fillId="7" borderId="530" xfId="2" applyFont="1" applyFill="1" applyBorder="1" applyAlignment="1">
      <alignment horizontal="center" vertical="center"/>
    </xf>
    <xf numFmtId="0" fontId="22" fillId="26" borderId="274" xfId="0" applyFont="1" applyFill="1" applyBorder="1" applyAlignment="1" applyProtection="1">
      <alignment horizontal="center" vertical="center" wrapText="1"/>
      <protection locked="0"/>
    </xf>
    <xf numFmtId="0" fontId="22" fillId="5" borderId="274" xfId="0" applyFont="1" applyFill="1" applyBorder="1" applyAlignment="1" applyProtection="1">
      <alignment horizontal="left" vertical="top" wrapText="1"/>
      <protection locked="0"/>
    </xf>
    <xf numFmtId="0" fontId="22" fillId="5" borderId="275" xfId="0" applyFont="1" applyFill="1" applyBorder="1" applyAlignment="1" applyProtection="1">
      <alignment horizontal="left" vertical="top" wrapText="1"/>
      <protection locked="0"/>
    </xf>
    <xf numFmtId="0" fontId="22" fillId="0" borderId="277" xfId="0" applyFont="1" applyFill="1" applyBorder="1" applyAlignment="1" applyProtection="1">
      <alignment horizontal="left" vertical="top" wrapText="1"/>
    </xf>
    <xf numFmtId="0" fontId="22" fillId="0" borderId="278" xfId="0" applyFont="1" applyFill="1" applyBorder="1" applyAlignment="1" applyProtection="1">
      <alignment horizontal="left" vertical="top" wrapText="1"/>
    </xf>
    <xf numFmtId="0" fontId="35" fillId="5" borderId="273" xfId="10" applyFont="1" applyFill="1" applyBorder="1" applyAlignment="1" applyProtection="1">
      <alignment vertical="center" wrapText="1"/>
      <protection locked="0"/>
    </xf>
    <xf numFmtId="0" fontId="35" fillId="5" borderId="274" xfId="10" applyFont="1" applyFill="1" applyBorder="1" applyAlignment="1" applyProtection="1">
      <alignment vertical="center" wrapText="1"/>
      <protection locked="0"/>
    </xf>
    <xf numFmtId="0" fontId="56" fillId="17" borderId="335" xfId="0" applyFont="1" applyFill="1" applyBorder="1" applyAlignment="1" applyProtection="1">
      <alignment horizontal="right" vertical="center"/>
    </xf>
    <xf numFmtId="0" fontId="22" fillId="0" borderId="274" xfId="0" applyFont="1" applyFill="1" applyBorder="1" applyAlignment="1" applyProtection="1">
      <alignment horizontal="center" vertical="center" wrapText="1"/>
    </xf>
    <xf numFmtId="0" fontId="22" fillId="0" borderId="274" xfId="0" applyFont="1" applyFill="1" applyBorder="1" applyAlignment="1" applyProtection="1">
      <alignment horizontal="left" vertical="top" wrapText="1"/>
    </xf>
    <xf numFmtId="0" fontId="22" fillId="0" borderId="275" xfId="0" applyFont="1" applyFill="1" applyBorder="1" applyAlignment="1" applyProtection="1">
      <alignment horizontal="left" vertical="top" wrapText="1"/>
    </xf>
    <xf numFmtId="0" fontId="24" fillId="0" borderId="273" xfId="10" applyFont="1" applyFill="1" applyBorder="1" applyAlignment="1" applyProtection="1">
      <alignment vertical="center" wrapText="1"/>
    </xf>
    <xf numFmtId="0" fontId="24" fillId="0" borderId="274" xfId="10" applyFont="1" applyFill="1" applyBorder="1" applyAlignment="1" applyProtection="1">
      <alignment vertical="center" wrapText="1"/>
    </xf>
    <xf numFmtId="0" fontId="24" fillId="21" borderId="273" xfId="2" applyFont="1" applyFill="1" applyBorder="1" applyAlignment="1" applyProtection="1">
      <alignment horizontal="left" vertical="center"/>
    </xf>
    <xf numFmtId="0" fontId="24" fillId="21" borderId="274" xfId="0" applyFont="1" applyFill="1" applyBorder="1" applyAlignment="1" applyProtection="1">
      <alignment horizontal="left" vertical="center"/>
    </xf>
    <xf numFmtId="0" fontId="24" fillId="21" borderId="275" xfId="0" applyFont="1" applyFill="1" applyBorder="1" applyAlignment="1" applyProtection="1">
      <alignment horizontal="left" vertical="center"/>
    </xf>
    <xf numFmtId="0" fontId="24" fillId="0" borderId="273" xfId="2" applyFont="1" applyFill="1" applyBorder="1" applyAlignment="1" applyProtection="1">
      <alignment vertical="center"/>
    </xf>
    <xf numFmtId="0" fontId="21" fillId="0" borderId="274" xfId="0" applyFont="1" applyFill="1" applyBorder="1" applyAlignment="1" applyProtection="1">
      <alignment vertical="center"/>
    </xf>
    <xf numFmtId="0" fontId="27" fillId="0" borderId="276" xfId="2" applyFont="1" applyFill="1" applyBorder="1" applyAlignment="1" applyProtection="1">
      <alignment vertical="center" wrapText="1"/>
    </xf>
    <xf numFmtId="0" fontId="21" fillId="0" borderId="277" xfId="0" applyFont="1" applyFill="1" applyBorder="1" applyAlignment="1" applyProtection="1">
      <alignment vertical="center" wrapText="1"/>
    </xf>
    <xf numFmtId="0" fontId="22" fillId="0" borderId="277" xfId="0" applyFont="1" applyFill="1" applyBorder="1" applyAlignment="1" applyProtection="1">
      <alignment horizontal="center" vertical="center" wrapText="1"/>
    </xf>
    <xf numFmtId="0" fontId="21" fillId="0" borderId="274" xfId="0" applyFont="1" applyFill="1" applyBorder="1" applyAlignment="1" applyProtection="1">
      <alignment vertical="center" wrapText="1"/>
    </xf>
    <xf numFmtId="0" fontId="24" fillId="21" borderId="273" xfId="0" quotePrefix="1" applyFont="1" applyFill="1" applyBorder="1" applyAlignment="1" applyProtection="1">
      <alignment horizontal="left" vertical="center"/>
    </xf>
    <xf numFmtId="0" fontId="35" fillId="5" borderId="273" xfId="10" applyFont="1" applyFill="1" applyBorder="1" applyAlignment="1" applyProtection="1">
      <alignment horizontal="left" vertical="center" wrapText="1"/>
      <protection locked="0"/>
    </xf>
    <xf numFmtId="0" fontId="35" fillId="5" borderId="274" xfId="10" applyFont="1" applyFill="1" applyBorder="1" applyAlignment="1" applyProtection="1">
      <alignment horizontal="left" vertical="center" wrapText="1"/>
      <protection locked="0"/>
    </xf>
    <xf numFmtId="0" fontId="35" fillId="0" borderId="273" xfId="2" applyFont="1" applyFill="1" applyBorder="1" applyAlignment="1" applyProtection="1">
      <alignment horizontal="left" vertical="center"/>
    </xf>
    <xf numFmtId="0" fontId="26" fillId="0" borderId="274" xfId="0" applyFont="1" applyFill="1" applyBorder="1" applyAlignment="1" applyProtection="1">
      <alignment horizontal="left" vertical="center"/>
    </xf>
    <xf numFmtId="0" fontId="24" fillId="0" borderId="273" xfId="0" quotePrefix="1" applyFont="1" applyFill="1" applyBorder="1" applyAlignment="1" applyProtection="1">
      <alignment vertical="center" wrapText="1"/>
    </xf>
    <xf numFmtId="0" fontId="24" fillId="0" borderId="274" xfId="0" quotePrefix="1" applyFont="1" applyFill="1" applyBorder="1" applyAlignment="1" applyProtection="1">
      <alignment vertical="center" wrapText="1"/>
    </xf>
    <xf numFmtId="0" fontId="24" fillId="21" borderId="274" xfId="0" quotePrefix="1" applyFont="1" applyFill="1" applyBorder="1" applyAlignment="1" applyProtection="1">
      <alignment horizontal="left" vertical="center"/>
    </xf>
    <xf numFmtId="0" fontId="24" fillId="21" borderId="275" xfId="0" quotePrefix="1" applyFont="1" applyFill="1" applyBorder="1" applyAlignment="1" applyProtection="1">
      <alignment horizontal="left" vertical="center"/>
    </xf>
    <xf numFmtId="0" fontId="57" fillId="20" borderId="270" xfId="0" quotePrefix="1" applyFont="1" applyFill="1" applyBorder="1" applyAlignment="1" applyProtection="1">
      <alignment horizontal="center" vertical="center"/>
    </xf>
    <xf numFmtId="0" fontId="57" fillId="20" borderId="271" xfId="0" quotePrefix="1" applyFont="1" applyFill="1" applyBorder="1" applyAlignment="1" applyProtection="1">
      <alignment horizontal="center" vertical="center"/>
    </xf>
    <xf numFmtId="0" fontId="57" fillId="20" borderId="273" xfId="0" quotePrefix="1" applyFont="1" applyFill="1" applyBorder="1" applyAlignment="1" applyProtection="1">
      <alignment horizontal="center" vertical="center"/>
    </xf>
    <xf numFmtId="0" fontId="57" fillId="20" borderId="274" xfId="0" quotePrefix="1" applyFont="1" applyFill="1" applyBorder="1" applyAlignment="1" applyProtection="1">
      <alignment horizontal="center" vertical="center"/>
    </xf>
    <xf numFmtId="0" fontId="57" fillId="20" borderId="271" xfId="0" applyFont="1" applyFill="1" applyBorder="1" applyAlignment="1" applyProtection="1">
      <alignment horizontal="center" vertical="center" wrapText="1"/>
    </xf>
    <xf numFmtId="0" fontId="57" fillId="20" borderId="272" xfId="0" applyFont="1" applyFill="1" applyBorder="1" applyAlignment="1" applyProtection="1">
      <alignment horizontal="center" vertical="center" wrapText="1"/>
    </xf>
    <xf numFmtId="0" fontId="57" fillId="20" borderId="274" xfId="0" applyFont="1" applyFill="1" applyBorder="1" applyAlignment="1" applyProtection="1">
      <alignment horizontal="center" vertical="center" wrapText="1"/>
    </xf>
    <xf numFmtId="0" fontId="57" fillId="20" borderId="275" xfId="0" applyFont="1" applyFill="1" applyBorder="1" applyAlignment="1" applyProtection="1">
      <alignment horizontal="center" vertical="center" wrapText="1"/>
    </xf>
    <xf numFmtId="0" fontId="57" fillId="20" borderId="335" xfId="0" applyFont="1" applyFill="1" applyBorder="1" applyAlignment="1" applyProtection="1">
      <alignment horizontal="left" vertical="center"/>
    </xf>
    <xf numFmtId="0" fontId="57" fillId="20" borderId="337" xfId="0" applyFont="1" applyFill="1" applyBorder="1" applyAlignment="1" applyProtection="1">
      <alignment horizontal="left" vertical="center"/>
    </xf>
    <xf numFmtId="0" fontId="26" fillId="0" borderId="342" xfId="0" applyFont="1" applyBorder="1" applyAlignment="1" applyProtection="1">
      <alignment horizontal="center" vertical="center"/>
    </xf>
    <xf numFmtId="0" fontId="57" fillId="20" borderId="261" xfId="0" quotePrefix="1" applyFont="1" applyFill="1" applyBorder="1" applyAlignment="1" applyProtection="1">
      <alignment horizontal="left" vertical="center"/>
    </xf>
    <xf numFmtId="0" fontId="57" fillId="20" borderId="262" xfId="0" quotePrefix="1" applyFont="1" applyFill="1" applyBorder="1" applyAlignment="1" applyProtection="1">
      <alignment horizontal="left" vertical="center"/>
    </xf>
    <xf numFmtId="0" fontId="57" fillId="20" borderId="263" xfId="0" quotePrefix="1" applyFont="1" applyFill="1" applyBorder="1" applyAlignment="1" applyProtection="1">
      <alignment horizontal="left" vertical="center"/>
    </xf>
    <xf numFmtId="0" fontId="1" fillId="26" borderId="279" xfId="0" applyFont="1" applyFill="1" applyBorder="1" applyAlignment="1" applyProtection="1">
      <alignment horizontal="left" vertical="top" wrapText="1"/>
      <protection locked="0"/>
    </xf>
    <xf numFmtId="0" fontId="1" fillId="26" borderId="280" xfId="0" applyFont="1" applyFill="1" applyBorder="1" applyAlignment="1" applyProtection="1">
      <alignment horizontal="left" vertical="top" wrapText="1"/>
      <protection locked="0"/>
    </xf>
    <xf numFmtId="0" fontId="1" fillId="26" borderId="260" xfId="0" applyFont="1" applyFill="1" applyBorder="1" applyAlignment="1" applyProtection="1">
      <alignment horizontal="left" vertical="top" wrapText="1"/>
      <protection locked="0"/>
    </xf>
    <xf numFmtId="0" fontId="1" fillId="26" borderId="0" xfId="0" applyFont="1" applyFill="1" applyBorder="1" applyAlignment="1" applyProtection="1">
      <alignment horizontal="left" vertical="top" wrapText="1"/>
      <protection locked="0"/>
    </xf>
    <xf numFmtId="0" fontId="1" fillId="26" borderId="281" xfId="0" applyFont="1" applyFill="1" applyBorder="1" applyAlignment="1" applyProtection="1">
      <alignment horizontal="left" vertical="top" wrapText="1"/>
      <protection locked="0"/>
    </xf>
    <xf numFmtId="0" fontId="1" fillId="26" borderId="282" xfId="0" applyFont="1" applyFill="1" applyBorder="1" applyAlignment="1" applyProtection="1">
      <alignment horizontal="left" vertical="top" wrapText="1"/>
      <protection locked="0"/>
    </xf>
    <xf numFmtId="0" fontId="0" fillId="26" borderId="280" xfId="0" applyFont="1" applyFill="1" applyBorder="1" applyAlignment="1" applyProtection="1">
      <alignment horizontal="left" vertical="top" wrapText="1"/>
      <protection locked="0"/>
    </xf>
    <xf numFmtId="0" fontId="0" fillId="26" borderId="260" xfId="0" applyFont="1" applyFill="1" applyBorder="1" applyAlignment="1" applyProtection="1">
      <alignment horizontal="left" vertical="top" wrapText="1"/>
      <protection locked="0"/>
    </xf>
    <xf numFmtId="0" fontId="0" fillId="26" borderId="0" xfId="0" applyFont="1" applyFill="1" applyAlignment="1" applyProtection="1">
      <alignment horizontal="left" vertical="top" wrapText="1"/>
      <protection locked="0"/>
    </xf>
    <xf numFmtId="0" fontId="0" fillId="26" borderId="281" xfId="0" applyFont="1" applyFill="1" applyBorder="1" applyAlignment="1" applyProtection="1">
      <alignment horizontal="left" vertical="top" wrapText="1"/>
      <protection locked="0"/>
    </xf>
    <xf numFmtId="0" fontId="0" fillId="26" borderId="282" xfId="0" applyFont="1" applyFill="1" applyBorder="1" applyAlignment="1" applyProtection="1">
      <alignment horizontal="left" vertical="top" wrapText="1"/>
      <protection locked="0"/>
    </xf>
    <xf numFmtId="0" fontId="57" fillId="0" borderId="264" xfId="0" quotePrefix="1" applyFont="1" applyFill="1" applyBorder="1" applyAlignment="1" applyProtection="1">
      <alignment horizontal="center" vertical="center"/>
    </xf>
    <xf numFmtId="0" fontId="57" fillId="0" borderId="265" xfId="0" quotePrefix="1" applyFont="1" applyFill="1" applyBorder="1" applyAlignment="1" applyProtection="1">
      <alignment horizontal="center" vertical="center"/>
    </xf>
    <xf numFmtId="0" fontId="57" fillId="0" borderId="266" xfId="0" quotePrefix="1" applyFont="1" applyFill="1" applyBorder="1" applyAlignment="1" applyProtection="1">
      <alignment horizontal="center" vertical="center"/>
    </xf>
    <xf numFmtId="0" fontId="0" fillId="40" borderId="288" xfId="0" applyFont="1" applyFill="1" applyBorder="1" applyAlignment="1" applyProtection="1">
      <alignment horizontal="left" vertical="top" wrapText="1"/>
      <protection locked="0"/>
    </xf>
    <xf numFmtId="0" fontId="0" fillId="40" borderId="0" xfId="0" applyFont="1" applyFill="1" applyAlignment="1" applyProtection="1">
      <alignment horizontal="left" vertical="top" wrapText="1"/>
      <protection locked="0"/>
    </xf>
    <xf numFmtId="0" fontId="0" fillId="40" borderId="0" xfId="0" applyFont="1" applyFill="1" applyBorder="1" applyAlignment="1" applyProtection="1">
      <alignment horizontal="left" vertical="top" wrapText="1"/>
      <protection locked="0"/>
    </xf>
    <xf numFmtId="0" fontId="0" fillId="40" borderId="292" xfId="0" applyFont="1" applyFill="1" applyBorder="1" applyAlignment="1" applyProtection="1">
      <alignment horizontal="left" vertical="top" wrapText="1"/>
      <protection locked="0"/>
    </xf>
    <xf numFmtId="0" fontId="0" fillId="40" borderId="303" xfId="0" applyFont="1" applyFill="1" applyBorder="1" applyAlignment="1" applyProtection="1">
      <alignment horizontal="left" vertical="top" wrapText="1"/>
      <protection locked="0"/>
    </xf>
    <xf numFmtId="0" fontId="40" fillId="34" borderId="287" xfId="0" applyFont="1" applyFill="1" applyBorder="1" applyAlignment="1" applyProtection="1">
      <alignment horizontal="left" vertical="center"/>
    </xf>
    <xf numFmtId="0" fontId="40" fillId="34" borderId="302" xfId="0" applyFont="1" applyFill="1" applyBorder="1" applyAlignment="1" applyProtection="1">
      <alignment horizontal="left" vertical="center"/>
    </xf>
    <xf numFmtId="0" fontId="6" fillId="40" borderId="826" xfId="81" applyFont="1" applyFill="1" applyBorder="1" applyAlignment="1" applyProtection="1">
      <alignment horizontal="center" vertical="center"/>
      <protection locked="0"/>
    </xf>
    <xf numFmtId="0" fontId="31" fillId="40" borderId="812" xfId="81" applyFont="1" applyFill="1" applyBorder="1" applyAlignment="1" applyProtection="1">
      <alignment horizontal="left" vertical="center"/>
      <protection locked="0"/>
    </xf>
    <xf numFmtId="0" fontId="31" fillId="40" borderId="824" xfId="81" applyFont="1" applyFill="1" applyBorder="1" applyAlignment="1" applyProtection="1">
      <alignment horizontal="left" vertical="center"/>
      <protection locked="0"/>
    </xf>
    <xf numFmtId="0" fontId="0" fillId="40" borderId="829" xfId="81" applyFont="1" applyFill="1" applyBorder="1" applyAlignment="1" applyProtection="1">
      <alignment horizontal="center" vertical="center"/>
      <protection locked="0"/>
    </xf>
    <xf numFmtId="0" fontId="1" fillId="40" borderId="812" xfId="81" applyFont="1" applyFill="1" applyBorder="1" applyAlignment="1" applyProtection="1">
      <alignment horizontal="left" vertical="center"/>
      <protection locked="0"/>
    </xf>
    <xf numFmtId="0" fontId="1" fillId="40" borderId="824" xfId="81" applyFont="1" applyFill="1" applyBorder="1" applyAlignment="1" applyProtection="1">
      <alignment horizontal="left" vertical="center"/>
      <protection locked="0"/>
    </xf>
    <xf numFmtId="0" fontId="11" fillId="8" borderId="814" xfId="81" applyFill="1" applyBorder="1" applyAlignment="1" applyProtection="1">
      <alignment horizontal="center" vertical="center"/>
    </xf>
    <xf numFmtId="0" fontId="0" fillId="40" borderId="826" xfId="81" applyFont="1" applyFill="1" applyBorder="1" applyAlignment="1" applyProtection="1">
      <alignment horizontal="center" vertical="center"/>
      <protection locked="0"/>
    </xf>
    <xf numFmtId="0" fontId="11" fillId="0" borderId="817" xfId="81" applyBorder="1" applyAlignment="1" applyProtection="1">
      <alignment horizontal="center" vertical="center"/>
    </xf>
    <xf numFmtId="0" fontId="11" fillId="0" borderId="818" xfId="81" applyBorder="1" applyAlignment="1" applyProtection="1">
      <alignment horizontal="center" vertical="center"/>
    </xf>
    <xf numFmtId="0" fontId="11" fillId="0" borderId="819" xfId="81" applyBorder="1" applyAlignment="1" applyProtection="1">
      <alignment horizontal="center" vertical="center"/>
    </xf>
    <xf numFmtId="0" fontId="21" fillId="27" borderId="811" xfId="81" applyFont="1" applyFill="1" applyBorder="1" applyAlignment="1" applyProtection="1">
      <alignment horizontal="left" vertical="center"/>
    </xf>
    <xf numFmtId="0" fontId="21" fillId="27" borderId="812" xfId="81" applyFont="1" applyFill="1" applyBorder="1" applyAlignment="1" applyProtection="1">
      <alignment horizontal="left" vertical="center"/>
    </xf>
    <xf numFmtId="0" fontId="21" fillId="27" borderId="813" xfId="81" applyFont="1" applyFill="1" applyBorder="1" applyAlignment="1" applyProtection="1">
      <alignment horizontal="left" vertical="center"/>
    </xf>
    <xf numFmtId="0" fontId="31" fillId="40" borderId="812" xfId="81" applyFont="1" applyFill="1" applyBorder="1" applyAlignment="1" applyProtection="1">
      <alignment horizontal="left" vertical="top" wrapText="1"/>
      <protection locked="0"/>
    </xf>
    <xf numFmtId="0" fontId="31" fillId="40" borderId="812" xfId="81" applyFont="1" applyFill="1" applyBorder="1" applyAlignment="1" applyProtection="1">
      <alignment horizontal="left" vertical="top"/>
      <protection locked="0"/>
    </xf>
    <xf numFmtId="0" fontId="31" fillId="40" borderId="824" xfId="81" applyFont="1" applyFill="1" applyBorder="1" applyAlignment="1" applyProtection="1">
      <alignment horizontal="left" vertical="top"/>
      <protection locked="0"/>
    </xf>
    <xf numFmtId="0" fontId="11" fillId="40" borderId="826" xfId="81" applyFill="1" applyBorder="1" applyAlignment="1" applyProtection="1">
      <alignment horizontal="center" vertical="center"/>
      <protection locked="0"/>
    </xf>
    <xf numFmtId="0" fontId="41" fillId="14" borderId="1442" xfId="0" applyFont="1" applyFill="1" applyBorder="1" applyAlignment="1" applyProtection="1">
      <alignment horizontal="center" vertical="center" textRotation="90"/>
    </xf>
    <xf numFmtId="0" fontId="41" fillId="14" borderId="288" xfId="0" applyFont="1" applyFill="1" applyBorder="1" applyAlignment="1" applyProtection="1">
      <alignment horizontal="center" vertical="center" textRotation="90"/>
    </xf>
    <xf numFmtId="0" fontId="41" fillId="14" borderId="292" xfId="0" applyFont="1" applyFill="1" applyBorder="1" applyAlignment="1" applyProtection="1">
      <alignment horizontal="center" vertical="center" textRotation="90"/>
    </xf>
    <xf numFmtId="0" fontId="21" fillId="0" borderId="514" xfId="0" applyFont="1" applyFill="1" applyBorder="1" applyAlignment="1" applyProtection="1">
      <alignment horizontal="center" vertical="center" wrapText="1"/>
    </xf>
    <xf numFmtId="0" fontId="21" fillId="0" borderId="515" xfId="0" applyFont="1" applyFill="1" applyBorder="1" applyAlignment="1" applyProtection="1">
      <alignment horizontal="center" vertical="center" wrapText="1"/>
    </xf>
    <xf numFmtId="0" fontId="21" fillId="0" borderId="516" xfId="0" applyFont="1" applyFill="1" applyBorder="1" applyAlignment="1" applyProtection="1">
      <alignment horizontal="center" vertical="center" wrapText="1"/>
    </xf>
    <xf numFmtId="0" fontId="21" fillId="0" borderId="517" xfId="0" applyFont="1" applyFill="1" applyBorder="1" applyAlignment="1" applyProtection="1">
      <alignment horizontal="center" vertical="center" wrapText="1"/>
    </xf>
    <xf numFmtId="0" fontId="26" fillId="0" borderId="518" xfId="0" applyFont="1" applyFill="1" applyBorder="1" applyAlignment="1" applyProtection="1">
      <alignment horizontal="center" vertical="center" wrapText="1"/>
    </xf>
    <xf numFmtId="0" fontId="26" fillId="0" borderId="519" xfId="0" applyFont="1" applyFill="1" applyBorder="1" applyAlignment="1" applyProtection="1">
      <alignment horizontal="center" vertical="center" wrapText="1"/>
    </xf>
    <xf numFmtId="0" fontId="21" fillId="0" borderId="520" xfId="0" applyFont="1" applyFill="1" applyBorder="1" applyAlignment="1" applyProtection="1">
      <alignment horizontal="center" vertical="center" wrapText="1"/>
    </xf>
    <xf numFmtId="0" fontId="21" fillId="0" borderId="521" xfId="0" applyFont="1" applyFill="1" applyBorder="1" applyAlignment="1" applyProtection="1">
      <alignment horizontal="center" vertical="center" wrapText="1"/>
    </xf>
    <xf numFmtId="0" fontId="26" fillId="0" borderId="514" xfId="0" applyFont="1" applyFill="1" applyBorder="1" applyAlignment="1" applyProtection="1">
      <alignment horizontal="center" vertical="center" wrapText="1"/>
    </xf>
    <xf numFmtId="0" fontId="26" fillId="0" borderId="515" xfId="0" applyFont="1" applyFill="1" applyBorder="1" applyAlignment="1" applyProtection="1">
      <alignment horizontal="center" vertical="center" wrapText="1"/>
    </xf>
    <xf numFmtId="0" fontId="26" fillId="0" borderId="516" xfId="0" applyFont="1" applyFill="1" applyBorder="1" applyAlignment="1" applyProtection="1">
      <alignment horizontal="center" vertical="center" wrapText="1"/>
    </xf>
    <xf numFmtId="0" fontId="26" fillId="0" borderId="517" xfId="0" applyFont="1" applyFill="1" applyBorder="1" applyAlignment="1" applyProtection="1">
      <alignment horizontal="center" vertical="center" wrapText="1"/>
    </xf>
    <xf numFmtId="0" fontId="26" fillId="0" borderId="522" xfId="0" applyFont="1" applyFill="1" applyBorder="1" applyAlignment="1" applyProtection="1">
      <alignment horizontal="center" vertical="center" wrapText="1"/>
    </xf>
    <xf numFmtId="0" fontId="26" fillId="0" borderId="523" xfId="0" applyFont="1" applyFill="1" applyBorder="1" applyAlignment="1" applyProtection="1">
      <alignment horizontal="center" vertical="center" wrapText="1"/>
    </xf>
    <xf numFmtId="0" fontId="35" fillId="26" borderId="289" xfId="0" applyFont="1" applyFill="1" applyBorder="1" applyAlignment="1" applyProtection="1">
      <alignment horizontal="left" vertical="center" wrapText="1"/>
    </xf>
    <xf numFmtId="0" fontId="35" fillId="26" borderId="290" xfId="0" applyFont="1" applyFill="1" applyBorder="1" applyAlignment="1" applyProtection="1">
      <alignment horizontal="left" vertical="center" wrapText="1"/>
    </xf>
    <xf numFmtId="0" fontId="0" fillId="5" borderId="290" xfId="0" applyFont="1" applyFill="1" applyBorder="1" applyAlignment="1" applyProtection="1">
      <alignment horizontal="center" vertical="center" wrapText="1"/>
      <protection locked="0"/>
    </xf>
    <xf numFmtId="0" fontId="0" fillId="5" borderId="290" xfId="0" applyFont="1" applyFill="1" applyBorder="1" applyAlignment="1" applyProtection="1">
      <alignment horizontal="left" vertical="top" wrapText="1"/>
      <protection locked="0"/>
    </xf>
    <xf numFmtId="0" fontId="0" fillId="5" borderId="291" xfId="0" applyFont="1" applyFill="1" applyBorder="1" applyAlignment="1" applyProtection="1">
      <alignment horizontal="left" vertical="top" wrapText="1"/>
      <protection locked="0"/>
    </xf>
    <xf numFmtId="0" fontId="26" fillId="0" borderId="524" xfId="0" applyFont="1" applyFill="1" applyBorder="1" applyAlignment="1" applyProtection="1">
      <alignment horizontal="center" vertical="center" wrapText="1"/>
    </xf>
    <xf numFmtId="0" fontId="26" fillId="0" borderId="525" xfId="0" applyFont="1" applyFill="1" applyBorder="1" applyAlignment="1" applyProtection="1">
      <alignment horizontal="center" vertical="center" wrapText="1"/>
    </xf>
    <xf numFmtId="0" fontId="26" fillId="0" borderId="526" xfId="0" applyFont="1" applyFill="1" applyBorder="1" applyAlignment="1" applyProtection="1">
      <alignment horizontal="center" vertical="center" wrapText="1"/>
    </xf>
    <xf numFmtId="0" fontId="26" fillId="0" borderId="527" xfId="0" applyFont="1" applyFill="1" applyBorder="1" applyAlignment="1" applyProtection="1">
      <alignment horizontal="center" vertical="center" wrapText="1"/>
    </xf>
    <xf numFmtId="0" fontId="26" fillId="28" borderId="293" xfId="0" applyFont="1" applyFill="1" applyBorder="1" applyAlignment="1" applyProtection="1">
      <alignment horizontal="left" vertical="center" wrapText="1"/>
    </xf>
    <xf numFmtId="0" fontId="26" fillId="28" borderId="294" xfId="0" applyFont="1" applyFill="1" applyBorder="1" applyAlignment="1" applyProtection="1">
      <alignment horizontal="left" vertical="center" wrapText="1"/>
    </xf>
    <xf numFmtId="0" fontId="0" fillId="5" borderId="294" xfId="0" applyFont="1" applyFill="1" applyBorder="1" applyAlignment="1" applyProtection="1">
      <alignment horizontal="center" vertical="center" wrapText="1"/>
      <protection locked="0"/>
    </xf>
    <xf numFmtId="0" fontId="35" fillId="28" borderId="293" xfId="0" applyFont="1" applyFill="1" applyBorder="1" applyAlignment="1" applyProtection="1">
      <alignment horizontal="left" vertical="center" wrapText="1"/>
    </xf>
    <xf numFmtId="0" fontId="35" fillId="28" borderId="294" xfId="0" applyFont="1" applyFill="1" applyBorder="1" applyAlignment="1" applyProtection="1">
      <alignment horizontal="left" vertical="center" wrapText="1"/>
    </xf>
    <xf numFmtId="0" fontId="0" fillId="5" borderId="294" xfId="0" applyFont="1" applyFill="1" applyBorder="1" applyAlignment="1" applyProtection="1">
      <alignment horizontal="left" vertical="top" wrapText="1"/>
      <protection locked="0"/>
    </xf>
    <xf numFmtId="0" fontId="0" fillId="5" borderId="295" xfId="0" applyFont="1" applyFill="1" applyBorder="1" applyAlignment="1" applyProtection="1">
      <alignment horizontal="left" vertical="top" wrapText="1"/>
      <protection locked="0"/>
    </xf>
    <xf numFmtId="0" fontId="26" fillId="25" borderId="289" xfId="0" applyFont="1" applyFill="1" applyBorder="1" applyAlignment="1" applyProtection="1">
      <alignment horizontal="left" vertical="center" wrapText="1"/>
    </xf>
    <xf numFmtId="0" fontId="26" fillId="25" borderId="290" xfId="0" applyFont="1" applyFill="1" applyBorder="1" applyAlignment="1" applyProtection="1">
      <alignment horizontal="left" vertical="center" wrapText="1"/>
    </xf>
    <xf numFmtId="0" fontId="35" fillId="25" borderId="289" xfId="0" applyFont="1" applyFill="1" applyBorder="1" applyAlignment="1" applyProtection="1">
      <alignment horizontal="left" vertical="center" wrapText="1"/>
    </xf>
    <xf numFmtId="0" fontId="35" fillId="25" borderId="290" xfId="0" applyFont="1" applyFill="1" applyBorder="1" applyAlignment="1" applyProtection="1">
      <alignment horizontal="left" vertical="center" wrapText="1"/>
    </xf>
    <xf numFmtId="17" fontId="0" fillId="5" borderId="290" xfId="0" applyNumberFormat="1" applyFont="1" applyFill="1" applyBorder="1" applyAlignment="1" applyProtection="1">
      <alignment horizontal="center" vertical="center" wrapText="1"/>
      <protection locked="0"/>
    </xf>
    <xf numFmtId="0" fontId="26" fillId="26" borderId="290" xfId="0" applyFont="1" applyFill="1" applyBorder="1" applyAlignment="1" applyProtection="1">
      <alignment horizontal="left" vertical="center" wrapText="1"/>
    </xf>
    <xf numFmtId="0" fontId="41" fillId="22" borderId="287" xfId="0" applyFont="1" applyFill="1" applyBorder="1" applyAlignment="1" applyProtection="1">
      <alignment horizontal="center" vertical="center" textRotation="90"/>
    </xf>
    <xf numFmtId="0" fontId="41" fillId="22" borderId="288" xfId="0" applyFont="1" applyFill="1" applyBorder="1" applyAlignment="1" applyProtection="1">
      <alignment horizontal="center" vertical="center" textRotation="90"/>
    </xf>
    <xf numFmtId="0" fontId="35" fillId="27" borderId="293" xfId="0" applyFont="1" applyFill="1" applyBorder="1" applyAlignment="1" applyProtection="1">
      <alignment horizontal="left" vertical="center" wrapText="1"/>
    </xf>
    <xf numFmtId="0" fontId="35" fillId="27" borderId="294" xfId="0" applyFont="1" applyFill="1" applyBorder="1" applyAlignment="1" applyProtection="1">
      <alignment horizontal="left" vertical="center" wrapText="1"/>
    </xf>
    <xf numFmtId="0" fontId="26" fillId="27" borderId="294" xfId="0" applyFont="1" applyFill="1" applyBorder="1" applyAlignment="1" applyProtection="1">
      <alignment horizontal="left" vertical="center" wrapText="1"/>
    </xf>
    <xf numFmtId="0" fontId="35" fillId="0" borderId="510" xfId="0" applyFont="1" applyFill="1" applyBorder="1" applyAlignment="1" applyProtection="1">
      <alignment horizontal="center" vertical="center" wrapText="1"/>
    </xf>
    <xf numFmtId="0" fontId="35" fillId="0" borderId="511" xfId="0" applyFont="1" applyFill="1" applyBorder="1" applyAlignment="1" applyProtection="1">
      <alignment horizontal="center" vertical="center" wrapText="1"/>
    </xf>
    <xf numFmtId="0" fontId="26" fillId="0" borderId="512" xfId="0" applyFont="1" applyFill="1" applyBorder="1" applyAlignment="1" applyProtection="1">
      <alignment horizontal="center" vertical="center" wrapText="1"/>
    </xf>
    <xf numFmtId="0" fontId="26" fillId="0" borderId="513" xfId="0" applyFont="1" applyFill="1" applyBorder="1" applyAlignment="1" applyProtection="1">
      <alignment horizontal="center" vertical="center" wrapText="1"/>
    </xf>
    <xf numFmtId="0" fontId="24" fillId="22" borderId="299" xfId="0" applyFont="1" applyFill="1" applyBorder="1" applyAlignment="1" applyProtection="1">
      <alignment horizontal="center" vertical="center" wrapText="1"/>
    </xf>
    <xf numFmtId="0" fontId="21" fillId="0" borderId="508" xfId="0" applyFont="1" applyFill="1" applyBorder="1" applyAlignment="1" applyProtection="1">
      <alignment horizontal="center" vertical="center" wrapText="1"/>
    </xf>
    <xf numFmtId="0" fontId="21" fillId="0" borderId="509" xfId="0" applyFont="1" applyFill="1" applyBorder="1" applyAlignment="1" applyProtection="1">
      <alignment horizontal="center" vertical="center" wrapText="1"/>
    </xf>
    <xf numFmtId="0" fontId="24" fillId="22" borderId="298" xfId="0" applyFont="1" applyFill="1" applyBorder="1" applyAlignment="1" applyProtection="1">
      <alignment horizontal="center" vertical="center" wrapText="1"/>
    </xf>
    <xf numFmtId="0" fontId="35" fillId="22" borderId="299" xfId="0" applyFont="1" applyFill="1" applyBorder="1" applyAlignment="1" applyProtection="1">
      <alignment horizontal="center" vertical="center" wrapText="1"/>
    </xf>
    <xf numFmtId="0" fontId="35" fillId="22" borderId="300" xfId="0" applyFont="1" applyFill="1" applyBorder="1" applyAlignment="1" applyProtection="1">
      <alignment horizontal="center" vertical="center" wrapText="1"/>
    </xf>
    <xf numFmtId="0" fontId="153" fillId="22" borderId="1093" xfId="0" applyFont="1" applyFill="1" applyBorder="1" applyAlignment="1" applyProtection="1">
      <alignment horizontal="center" vertical="center"/>
    </xf>
    <xf numFmtId="0" fontId="153" fillId="22" borderId="1094" xfId="0" applyFont="1" applyFill="1" applyBorder="1" applyAlignment="1" applyProtection="1">
      <alignment horizontal="center" vertical="center"/>
    </xf>
    <xf numFmtId="0" fontId="153" fillId="22" borderId="1095" xfId="0" applyFont="1" applyFill="1" applyBorder="1" applyAlignment="1" applyProtection="1">
      <alignment horizontal="center" vertical="center"/>
    </xf>
    <xf numFmtId="165" fontId="0" fillId="5" borderId="290" xfId="0" applyNumberFormat="1" applyFont="1" applyFill="1" applyBorder="1" applyAlignment="1" applyProtection="1">
      <alignment horizontal="center" vertical="center" wrapText="1"/>
      <protection locked="0"/>
    </xf>
    <xf numFmtId="9" fontId="0" fillId="5" borderId="290" xfId="0" applyNumberFormat="1" applyFont="1" applyFill="1" applyBorder="1" applyAlignment="1" applyProtection="1">
      <alignment horizontal="center" vertical="center" wrapText="1"/>
      <protection locked="0"/>
    </xf>
    <xf numFmtId="0" fontId="41" fillId="32" borderId="296" xfId="0" applyFont="1" applyFill="1" applyBorder="1" applyAlignment="1" applyProtection="1">
      <alignment horizontal="center" vertical="center" textRotation="90"/>
    </xf>
    <xf numFmtId="0" fontId="41" fillId="32" borderId="288" xfId="0" applyFont="1" applyFill="1" applyBorder="1" applyAlignment="1" applyProtection="1">
      <alignment horizontal="center" vertical="center" textRotation="90"/>
    </xf>
    <xf numFmtId="0" fontId="41" fillId="32" borderId="528" xfId="0" applyFont="1" applyFill="1" applyBorder="1" applyAlignment="1" applyProtection="1">
      <alignment horizontal="center" vertical="center" textRotation="90"/>
    </xf>
    <xf numFmtId="0" fontId="41" fillId="31" borderId="296" xfId="0" applyFont="1" applyFill="1" applyBorder="1" applyAlignment="1" applyProtection="1">
      <alignment horizontal="center" vertical="center" textRotation="90"/>
    </xf>
    <xf numFmtId="0" fontId="41" fillId="31" borderId="288" xfId="0" applyFont="1" applyFill="1" applyBorder="1" applyAlignment="1" applyProtection="1">
      <alignment horizontal="center" vertical="center" textRotation="90"/>
    </xf>
    <xf numFmtId="0" fontId="41" fillId="31" borderId="297" xfId="0" applyFont="1" applyFill="1" applyBorder="1" applyAlignment="1" applyProtection="1">
      <alignment horizontal="center" vertical="center" textRotation="90"/>
    </xf>
    <xf numFmtId="0" fontId="41" fillId="7" borderId="288" xfId="0" applyFont="1" applyFill="1" applyBorder="1" applyAlignment="1" applyProtection="1">
      <alignment horizontal="center" vertical="center" textRotation="90"/>
    </xf>
    <xf numFmtId="0" fontId="41" fillId="7" borderId="297" xfId="0" applyFont="1" applyFill="1" applyBorder="1" applyAlignment="1" applyProtection="1">
      <alignment horizontal="center" vertical="center" textRotation="90"/>
    </xf>
    <xf numFmtId="0" fontId="26" fillId="26" borderId="289" xfId="0" applyFont="1" applyFill="1" applyBorder="1" applyAlignment="1" applyProtection="1">
      <alignment horizontal="left" vertical="center" wrapText="1"/>
    </xf>
    <xf numFmtId="0" fontId="26" fillId="5" borderId="289" xfId="0" applyFont="1" applyFill="1" applyBorder="1" applyAlignment="1" applyProtection="1">
      <alignment horizontal="left" vertical="center" wrapText="1"/>
    </xf>
    <xf numFmtId="0" fontId="26" fillId="5" borderId="290" xfId="0" applyFont="1" applyFill="1" applyBorder="1" applyAlignment="1" applyProtection="1">
      <alignment horizontal="left" vertical="center" wrapText="1"/>
    </xf>
    <xf numFmtId="0" fontId="43" fillId="22" borderId="285" xfId="0" applyFont="1" applyFill="1" applyBorder="1" applyAlignment="1" applyProtection="1">
      <alignment horizontal="center" vertical="center"/>
    </xf>
    <xf numFmtId="0" fontId="43" fillId="22" borderId="286" xfId="0" applyFont="1" applyFill="1" applyBorder="1" applyAlignment="1" applyProtection="1">
      <alignment horizontal="center" vertical="center"/>
    </xf>
    <xf numFmtId="0" fontId="35" fillId="5" borderId="289" xfId="0" applyFont="1" applyFill="1" applyBorder="1" applyAlignment="1" applyProtection="1">
      <alignment horizontal="left" vertical="center" wrapText="1"/>
    </xf>
    <xf numFmtId="0" fontId="26" fillId="35" borderId="289" xfId="0" applyFont="1" applyFill="1" applyBorder="1" applyAlignment="1" applyProtection="1">
      <alignment horizontal="left" vertical="center" wrapText="1"/>
    </xf>
    <xf numFmtId="0" fontId="26" fillId="35" borderId="290" xfId="0" applyFont="1" applyFill="1" applyBorder="1" applyAlignment="1" applyProtection="1">
      <alignment horizontal="left" vertical="center" wrapText="1"/>
    </xf>
    <xf numFmtId="0" fontId="35" fillId="35" borderId="289" xfId="0" applyFont="1" applyFill="1" applyBorder="1" applyAlignment="1" applyProtection="1">
      <alignment horizontal="left" vertical="center" wrapText="1"/>
    </xf>
    <xf numFmtId="0" fontId="35" fillId="35" borderId="290" xfId="0" applyFont="1" applyFill="1" applyBorder="1" applyAlignment="1" applyProtection="1">
      <alignment horizontal="left" vertical="center" wrapText="1"/>
    </xf>
    <xf numFmtId="0" fontId="41" fillId="22" borderId="296" xfId="0" applyFont="1" applyFill="1" applyBorder="1" applyAlignment="1" applyProtection="1">
      <alignment horizontal="center" vertical="center" textRotation="90"/>
    </xf>
    <xf numFmtId="0" fontId="41" fillId="16" borderId="296" xfId="0" applyFont="1" applyFill="1" applyBorder="1" applyAlignment="1" applyProtection="1">
      <alignment horizontal="center" vertical="center" textRotation="90"/>
    </xf>
    <xf numFmtId="0" fontId="41" fillId="16" borderId="288" xfId="0" applyFont="1" applyFill="1" applyBorder="1" applyAlignment="1" applyProtection="1">
      <alignment horizontal="center" vertical="center" textRotation="90"/>
    </xf>
    <xf numFmtId="0" fontId="41" fillId="16" borderId="297" xfId="0" applyFont="1" applyFill="1" applyBorder="1" applyAlignment="1" applyProtection="1">
      <alignment horizontal="center" vertical="center" textRotation="90"/>
    </xf>
    <xf numFmtId="177" fontId="31" fillId="0" borderId="1314" xfId="2" applyNumberFormat="1" applyFont="1" applyFill="1" applyBorder="1" applyAlignment="1">
      <alignment horizontal="center" vertical="center"/>
    </xf>
    <xf numFmtId="177" fontId="31" fillId="0" borderId="1315" xfId="2" applyNumberFormat="1" applyFont="1" applyFill="1" applyBorder="1" applyAlignment="1">
      <alignment horizontal="center" vertical="center"/>
    </xf>
    <xf numFmtId="177" fontId="31" fillId="0" borderId="1316" xfId="2" applyNumberFormat="1" applyFont="1" applyFill="1" applyBorder="1" applyAlignment="1">
      <alignment horizontal="center" vertical="center"/>
    </xf>
    <xf numFmtId="177" fontId="31" fillId="0" borderId="660" xfId="2" applyNumberFormat="1" applyFont="1" applyFill="1" applyBorder="1" applyAlignment="1">
      <alignment horizontal="center" vertical="center"/>
    </xf>
    <xf numFmtId="177" fontId="31" fillId="0" borderId="661" xfId="2" applyNumberFormat="1" applyFont="1" applyFill="1" applyBorder="1" applyAlignment="1">
      <alignment horizontal="center" vertical="center"/>
    </xf>
    <xf numFmtId="177" fontId="31" fillId="0" borderId="662" xfId="2" applyNumberFormat="1" applyFont="1" applyFill="1" applyBorder="1" applyAlignment="1">
      <alignment horizontal="center" vertical="center"/>
    </xf>
    <xf numFmtId="177" fontId="6" fillId="26" borderId="660" xfId="2" applyNumberFormat="1" applyFont="1" applyFill="1" applyBorder="1" applyAlignment="1">
      <alignment horizontal="center" vertical="center"/>
    </xf>
    <xf numFmtId="177" fontId="6" fillId="26" borderId="661" xfId="2" applyNumberFormat="1" applyFont="1" applyFill="1" applyBorder="1" applyAlignment="1">
      <alignment horizontal="center" vertical="center"/>
    </xf>
    <xf numFmtId="177" fontId="6" fillId="26" borderId="669" xfId="2" applyNumberFormat="1" applyFont="1" applyFill="1" applyBorder="1" applyAlignment="1">
      <alignment horizontal="center" vertical="center"/>
    </xf>
    <xf numFmtId="177" fontId="31" fillId="0" borderId="1265" xfId="2" applyNumberFormat="1" applyFont="1" applyFill="1" applyBorder="1" applyAlignment="1">
      <alignment horizontal="center" vertical="center"/>
    </xf>
    <xf numFmtId="177" fontId="31" fillId="0" borderId="1266" xfId="2" applyNumberFormat="1" applyFont="1" applyFill="1" applyBorder="1" applyAlignment="1">
      <alignment horizontal="center" vertical="center"/>
    </xf>
    <xf numFmtId="177" fontId="31" fillId="0" borderId="1268" xfId="2" applyNumberFormat="1" applyFont="1" applyFill="1" applyBorder="1" applyAlignment="1">
      <alignment horizontal="center" vertical="center"/>
    </xf>
    <xf numFmtId="4" fontId="31" fillId="25" borderId="670" xfId="2" applyNumberFormat="1" applyFont="1" applyFill="1" applyBorder="1" applyAlignment="1">
      <alignment horizontal="center" vertical="center"/>
    </xf>
    <xf numFmtId="4" fontId="31" fillId="0" borderId="1269" xfId="2" applyNumberFormat="1" applyFont="1" applyFill="1" applyBorder="1" applyAlignment="1">
      <alignment horizontal="center" vertical="center"/>
    </xf>
    <xf numFmtId="4" fontId="31" fillId="0" borderId="950" xfId="2" applyNumberFormat="1" applyFont="1" applyFill="1" applyBorder="1" applyAlignment="1">
      <alignment horizontal="center" vertical="center"/>
    </xf>
    <xf numFmtId="4" fontId="31" fillId="0" borderId="1310" xfId="2" applyNumberFormat="1" applyFont="1" applyFill="1" applyBorder="1" applyAlignment="1">
      <alignment horizontal="center" vertical="center"/>
    </xf>
    <xf numFmtId="4" fontId="31" fillId="0" borderId="1313" xfId="2" applyNumberFormat="1" applyFont="1" applyFill="1" applyBorder="1" applyAlignment="1">
      <alignment horizontal="center" vertical="center"/>
    </xf>
    <xf numFmtId="4" fontId="31" fillId="0" borderId="1309" xfId="2" applyNumberFormat="1" applyFont="1" applyFill="1" applyBorder="1" applyAlignment="1">
      <alignment horizontal="center" vertical="center"/>
    </xf>
    <xf numFmtId="4" fontId="31" fillId="0" borderId="1312" xfId="2" applyNumberFormat="1" applyFont="1" applyFill="1" applyBorder="1" applyAlignment="1">
      <alignment horizontal="center" vertical="center"/>
    </xf>
    <xf numFmtId="0" fontId="23" fillId="34" borderId="1306" xfId="2" applyFont="1" applyFill="1" applyBorder="1" applyAlignment="1">
      <alignment horizontal="center" vertical="center"/>
    </xf>
    <xf numFmtId="0" fontId="23" fillId="34" borderId="1307" xfId="2" applyFont="1" applyFill="1" applyBorder="1" applyAlignment="1">
      <alignment horizontal="center" vertical="center"/>
    </xf>
    <xf numFmtId="0" fontId="23" fillId="34" borderId="1273" xfId="2" applyFont="1" applyFill="1" applyBorder="1" applyAlignment="1">
      <alignment horizontal="center" vertical="center"/>
    </xf>
    <xf numFmtId="0" fontId="23" fillId="34" borderId="1308" xfId="2" applyFont="1" applyFill="1" applyBorder="1" applyAlignment="1">
      <alignment horizontal="center" vertical="center"/>
    </xf>
    <xf numFmtId="0" fontId="23" fillId="34" borderId="1309" xfId="2" applyFont="1" applyFill="1" applyBorder="1" applyAlignment="1">
      <alignment horizontal="center" vertical="center"/>
    </xf>
    <xf numFmtId="0" fontId="34" fillId="75" borderId="649" xfId="2" applyFont="1" applyFill="1" applyBorder="1" applyAlignment="1">
      <alignment horizontal="center" vertical="center"/>
    </xf>
    <xf numFmtId="0" fontId="34" fillId="75" borderId="650" xfId="2" applyFont="1" applyFill="1" applyBorder="1" applyAlignment="1">
      <alignment horizontal="center" vertical="center"/>
    </xf>
    <xf numFmtId="0" fontId="31" fillId="34" borderId="670" xfId="2" applyFont="1" applyFill="1" applyBorder="1" applyAlignment="1">
      <alignment horizontal="center" vertical="center"/>
    </xf>
    <xf numFmtId="0" fontId="31" fillId="0" borderId="668" xfId="2" applyFont="1" applyFill="1" applyBorder="1" applyAlignment="1">
      <alignment horizontal="center" vertical="center"/>
    </xf>
    <xf numFmtId="0" fontId="31" fillId="0" borderId="661" xfId="2" applyFont="1" applyFill="1" applyBorder="1" applyAlignment="1">
      <alignment horizontal="center" vertical="center"/>
    </xf>
    <xf numFmtId="0" fontId="31" fillId="0" borderId="669" xfId="2" applyFont="1" applyFill="1" applyBorder="1" applyAlignment="1">
      <alignment horizontal="center" vertical="center"/>
    </xf>
    <xf numFmtId="0" fontId="31" fillId="0" borderId="950" xfId="2" applyFont="1" applyBorder="1" applyAlignment="1">
      <alignment horizontal="center" vertical="center"/>
    </xf>
    <xf numFmtId="0" fontId="31" fillId="0" borderId="1310" xfId="2" applyFont="1" applyBorder="1" applyAlignment="1">
      <alignment horizontal="center" vertical="center"/>
    </xf>
    <xf numFmtId="0" fontId="31" fillId="0" borderId="0" xfId="2" applyFont="1" applyBorder="1" applyAlignment="1">
      <alignment horizontal="center" vertical="center"/>
    </xf>
    <xf numFmtId="0" fontId="31" fillId="0" borderId="1311" xfId="2" applyFont="1" applyBorder="1" applyAlignment="1">
      <alignment horizontal="center" vertical="center"/>
    </xf>
    <xf numFmtId="0" fontId="31" fillId="0" borderId="1309" xfId="2" applyFont="1" applyBorder="1" applyAlignment="1">
      <alignment horizontal="center" vertical="center"/>
    </xf>
    <xf numFmtId="0" fontId="31" fillId="0" borderId="1312" xfId="2" applyFont="1" applyBorder="1" applyAlignment="1">
      <alignment horizontal="center" vertical="center"/>
    </xf>
    <xf numFmtId="4" fontId="23" fillId="34" borderId="1260" xfId="2" applyNumberFormat="1" applyFont="1" applyFill="1" applyBorder="1" applyAlignment="1">
      <alignment horizontal="center" vertical="center"/>
    </xf>
    <xf numFmtId="4" fontId="23" fillId="34" borderId="1307" xfId="2" applyNumberFormat="1" applyFont="1" applyFill="1" applyBorder="1" applyAlignment="1">
      <alignment horizontal="center" vertical="center"/>
    </xf>
    <xf numFmtId="4" fontId="23" fillId="34" borderId="1273" xfId="2" applyNumberFormat="1" applyFont="1" applyFill="1" applyBorder="1" applyAlignment="1">
      <alignment horizontal="center" vertical="center"/>
    </xf>
    <xf numFmtId="0" fontId="31" fillId="34" borderId="1356" xfId="2" applyFont="1" applyFill="1" applyBorder="1" applyAlignment="1">
      <alignment horizontal="center" vertical="center"/>
    </xf>
    <xf numFmtId="0" fontId="142" fillId="26" borderId="55" xfId="4" quotePrefix="1" applyFont="1" applyFill="1" applyBorder="1" applyAlignment="1" applyProtection="1">
      <alignment horizontal="left" vertical="center" wrapText="1" readingOrder="1"/>
      <protection locked="0"/>
    </xf>
    <xf numFmtId="0" fontId="142" fillId="26" borderId="56" xfId="4" applyFont="1" applyFill="1" applyBorder="1" applyAlignment="1" applyProtection="1">
      <alignment horizontal="left" vertical="center" wrapText="1" readingOrder="1"/>
      <protection locked="0"/>
    </xf>
    <xf numFmtId="171" fontId="50" fillId="26" borderId="175" xfId="4" applyNumberFormat="1" applyFont="1" applyFill="1" applyBorder="1" applyAlignment="1" applyProtection="1">
      <alignment horizontal="center" vertical="center" wrapText="1" readingOrder="1"/>
      <protection locked="0"/>
    </xf>
    <xf numFmtId="171" fontId="50" fillId="26" borderId="390" xfId="4" applyNumberFormat="1" applyFont="1" applyFill="1" applyBorder="1" applyAlignment="1" applyProtection="1">
      <alignment horizontal="center" vertical="center" wrapText="1" readingOrder="1"/>
      <protection locked="0"/>
    </xf>
    <xf numFmtId="164" fontId="144" fillId="0" borderId="56" xfId="4" applyNumberFormat="1" applyFont="1" applyFill="1" applyBorder="1" applyAlignment="1" applyProtection="1">
      <alignment horizontal="center" vertical="center" wrapText="1" readingOrder="1"/>
    </xf>
    <xf numFmtId="164" fontId="143" fillId="0" borderId="175" xfId="4" applyNumberFormat="1" applyFont="1" applyFill="1" applyBorder="1" applyAlignment="1" applyProtection="1">
      <alignment horizontal="center" vertical="center" wrapText="1" readingOrder="1"/>
    </xf>
    <xf numFmtId="164" fontId="143" fillId="0" borderId="390" xfId="4" applyNumberFormat="1" applyFont="1" applyFill="1" applyBorder="1" applyAlignment="1" applyProtection="1">
      <alignment horizontal="center" vertical="center" wrapText="1" readingOrder="1"/>
    </xf>
    <xf numFmtId="171" fontId="135" fillId="0" borderId="175" xfId="4" applyNumberFormat="1" applyFont="1" applyFill="1" applyBorder="1" applyAlignment="1" applyProtection="1">
      <alignment horizontal="center" vertical="center" wrapText="1" readingOrder="1"/>
      <protection locked="0"/>
    </xf>
    <xf numFmtId="171" fontId="135" fillId="0" borderId="390" xfId="4" applyNumberFormat="1" applyFont="1" applyFill="1" applyBorder="1" applyAlignment="1" applyProtection="1">
      <alignment horizontal="center" vertical="center" wrapText="1" readingOrder="1"/>
      <protection locked="0"/>
    </xf>
    <xf numFmtId="164" fontId="163" fillId="0" borderId="56" xfId="4" applyNumberFormat="1" applyFont="1" applyFill="1" applyBorder="1" applyAlignment="1" applyProtection="1">
      <alignment horizontal="center" vertical="center" wrapText="1" readingOrder="1"/>
    </xf>
    <xf numFmtId="171" fontId="141" fillId="0" borderId="175" xfId="4" applyNumberFormat="1" applyFont="1" applyFill="1" applyBorder="1" applyAlignment="1" applyProtection="1">
      <alignment horizontal="center" vertical="center" wrapText="1" readingOrder="1"/>
      <protection locked="0"/>
    </xf>
    <xf numFmtId="171" fontId="141" fillId="0" borderId="390" xfId="4" applyNumberFormat="1" applyFont="1" applyFill="1" applyBorder="1" applyAlignment="1" applyProtection="1">
      <alignment horizontal="center" vertical="center" wrapText="1" readingOrder="1"/>
      <protection locked="0"/>
    </xf>
    <xf numFmtId="0" fontId="0" fillId="0" borderId="175" xfId="0" applyFont="1" applyFill="1" applyBorder="1" applyAlignment="1" applyProtection="1">
      <alignment horizontal="center" vertical="center"/>
      <protection locked="0"/>
    </xf>
    <xf numFmtId="0" fontId="0" fillId="0" borderId="68" xfId="0" applyFont="1" applyFill="1" applyBorder="1" applyAlignment="1" applyProtection="1">
      <alignment horizontal="center" vertical="center"/>
      <protection locked="0"/>
    </xf>
    <xf numFmtId="0" fontId="0" fillId="0" borderId="69" xfId="0" applyFont="1" applyFill="1" applyBorder="1" applyAlignment="1" applyProtection="1">
      <alignment horizontal="center" vertical="center"/>
      <protection locked="0"/>
    </xf>
    <xf numFmtId="0" fontId="71" fillId="39" borderId="186" xfId="0" applyFont="1" applyFill="1" applyBorder="1" applyAlignment="1" applyProtection="1">
      <alignment horizontal="left" vertical="top" wrapText="1"/>
      <protection locked="0"/>
    </xf>
    <xf numFmtId="0" fontId="71" fillId="39" borderId="354" xfId="0" applyFont="1" applyFill="1" applyBorder="1" applyAlignment="1" applyProtection="1">
      <alignment horizontal="left" vertical="top" wrapText="1"/>
      <protection locked="0"/>
    </xf>
    <xf numFmtId="0" fontId="71" fillId="39" borderId="359" xfId="0" applyFont="1" applyFill="1" applyBorder="1" applyAlignment="1" applyProtection="1">
      <alignment horizontal="left" vertical="top" wrapText="1"/>
      <protection locked="0"/>
    </xf>
    <xf numFmtId="0" fontId="71" fillId="39" borderId="104" xfId="0" applyFont="1" applyFill="1" applyBorder="1" applyAlignment="1" applyProtection="1">
      <alignment horizontal="left" vertical="top" wrapText="1"/>
      <protection locked="0"/>
    </xf>
    <xf numFmtId="0" fontId="71" fillId="39" borderId="0" xfId="0" applyFont="1" applyFill="1" applyBorder="1" applyAlignment="1" applyProtection="1">
      <alignment horizontal="left" vertical="top" wrapText="1"/>
      <protection locked="0"/>
    </xf>
    <xf numFmtId="0" fontId="71" fillId="39" borderId="105" xfId="0" applyFont="1" applyFill="1" applyBorder="1" applyAlignment="1" applyProtection="1">
      <alignment horizontal="left" vertical="top" wrapText="1"/>
      <protection locked="0"/>
    </xf>
    <xf numFmtId="0" fontId="71" fillId="39" borderId="106" xfId="0" applyFont="1" applyFill="1" applyBorder="1" applyAlignment="1" applyProtection="1">
      <alignment horizontal="left" vertical="top" wrapText="1"/>
      <protection locked="0"/>
    </xf>
    <xf numFmtId="0" fontId="71" fillId="39" borderId="107" xfId="0" applyFont="1" applyFill="1" applyBorder="1" applyAlignment="1" applyProtection="1">
      <alignment horizontal="left" vertical="top" wrapText="1"/>
      <protection locked="0"/>
    </xf>
    <xf numFmtId="0" fontId="71" fillId="39" borderId="108" xfId="0" applyFont="1" applyFill="1" applyBorder="1" applyAlignment="1" applyProtection="1">
      <alignment horizontal="left" vertical="top" wrapText="1"/>
      <protection locked="0"/>
    </xf>
    <xf numFmtId="0" fontId="69" fillId="8" borderId="336" xfId="0" applyFont="1" applyFill="1" applyBorder="1" applyAlignment="1" applyProtection="1">
      <alignment horizontal="center" vertical="center" wrapText="1"/>
      <protection locked="0"/>
    </xf>
    <xf numFmtId="0" fontId="71" fillId="39" borderId="101" xfId="0" applyFont="1" applyFill="1" applyBorder="1" applyAlignment="1" applyProtection="1">
      <alignment horizontal="left" vertical="top" wrapText="1"/>
      <protection locked="0"/>
    </xf>
    <xf numFmtId="0" fontId="71" fillId="39" borderId="102" xfId="0" applyFont="1" applyFill="1" applyBorder="1" applyAlignment="1" applyProtection="1">
      <alignment horizontal="left" vertical="top" wrapText="1"/>
      <protection locked="0"/>
    </xf>
    <xf numFmtId="0" fontId="71" fillId="39" borderId="103" xfId="0" applyFont="1" applyFill="1" applyBorder="1" applyAlignment="1" applyProtection="1">
      <alignment horizontal="left" vertical="top" wrapText="1"/>
      <protection locked="0"/>
    </xf>
    <xf numFmtId="0" fontId="40" fillId="37" borderId="186" xfId="0" applyFont="1" applyFill="1" applyBorder="1" applyAlignment="1" applyProtection="1">
      <alignment horizontal="left" vertical="center"/>
    </xf>
    <xf numFmtId="0" fontId="2" fillId="37" borderId="354" xfId="0" applyFont="1" applyFill="1" applyBorder="1" applyAlignment="1" applyProtection="1">
      <alignment horizontal="left" vertical="center"/>
    </xf>
    <xf numFmtId="0" fontId="24" fillId="38" borderId="52" xfId="4" applyFont="1" applyFill="1" applyBorder="1" applyAlignment="1" applyProtection="1">
      <alignment horizontal="center" vertical="center" wrapText="1"/>
    </xf>
    <xf numFmtId="0" fontId="24" fillId="38" borderId="53" xfId="4" applyFont="1" applyFill="1" applyBorder="1" applyAlignment="1" applyProtection="1">
      <alignment horizontal="center" vertical="center" wrapText="1"/>
    </xf>
    <xf numFmtId="0" fontId="24" fillId="38" borderId="53" xfId="5" applyFont="1" applyFill="1" applyBorder="1" applyAlignment="1" applyProtection="1">
      <alignment horizontal="center" vertical="center" wrapText="1" readingOrder="1"/>
    </xf>
    <xf numFmtId="0" fontId="49" fillId="39" borderId="67" xfId="4" applyFont="1" applyFill="1" applyBorder="1" applyAlignment="1" applyProtection="1">
      <alignment horizontal="center" vertical="top" wrapText="1" readingOrder="1"/>
      <protection locked="0"/>
    </xf>
    <xf numFmtId="0" fontId="49" fillId="39" borderId="68" xfId="4" applyFont="1" applyFill="1" applyBorder="1" applyAlignment="1" applyProtection="1">
      <alignment horizontal="center" vertical="top" wrapText="1" readingOrder="1"/>
      <protection locked="0"/>
    </xf>
    <xf numFmtId="0" fontId="49" fillId="39" borderId="390" xfId="4" applyFont="1" applyFill="1" applyBorder="1" applyAlignment="1" applyProtection="1">
      <alignment horizontal="center" vertical="top" wrapText="1" readingOrder="1"/>
      <protection locked="0"/>
    </xf>
    <xf numFmtId="9" fontId="117" fillId="26" borderId="56" xfId="3" applyFont="1" applyFill="1" applyBorder="1" applyAlignment="1" applyProtection="1">
      <alignment horizontal="center" vertical="center" wrapText="1" readingOrder="1"/>
      <protection locked="0"/>
    </xf>
    <xf numFmtId="171" fontId="19" fillId="0" borderId="175" xfId="4" applyNumberFormat="1" applyFont="1" applyFill="1" applyBorder="1" applyAlignment="1" applyProtection="1">
      <alignment horizontal="center" vertical="center" wrapText="1" readingOrder="1"/>
    </xf>
    <xf numFmtId="171" fontId="19" fillId="0" borderId="390" xfId="4" applyNumberFormat="1" applyFont="1" applyFill="1" applyBorder="1" applyAlignment="1" applyProtection="1">
      <alignment horizontal="center" vertical="center" wrapText="1" readingOrder="1"/>
    </xf>
    <xf numFmtId="171" fontId="0" fillId="0" borderId="56" xfId="0" applyNumberFormat="1" applyFont="1" applyFill="1" applyBorder="1" applyAlignment="1" applyProtection="1">
      <alignment horizontal="center" vertical="center"/>
    </xf>
    <xf numFmtId="171" fontId="22" fillId="0" borderId="644" xfId="0" applyNumberFormat="1" applyFont="1" applyBorder="1" applyAlignment="1" applyProtection="1">
      <alignment horizontal="center" vertical="center"/>
    </xf>
    <xf numFmtId="0" fontId="22" fillId="0" borderId="645" xfId="0" applyFont="1" applyBorder="1" applyAlignment="1" applyProtection="1">
      <alignment horizontal="center" vertical="center"/>
    </xf>
    <xf numFmtId="0" fontId="1" fillId="0" borderId="392" xfId="0" quotePrefix="1" applyFont="1" applyBorder="1" applyAlignment="1" applyProtection="1">
      <alignment horizontal="left" vertical="top"/>
    </xf>
    <xf numFmtId="0" fontId="1" fillId="0" borderId="392" xfId="0" applyFont="1" applyBorder="1" applyAlignment="1" applyProtection="1">
      <alignment horizontal="left" vertical="top"/>
    </xf>
    <xf numFmtId="0" fontId="1" fillId="0" borderId="716" xfId="0" applyFont="1" applyBorder="1" applyAlignment="1" applyProtection="1">
      <alignment horizontal="left" vertical="top"/>
    </xf>
    <xf numFmtId="171" fontId="22" fillId="26" borderId="175" xfId="4" applyNumberFormat="1" applyFont="1" applyFill="1" applyBorder="1" applyAlignment="1" applyProtection="1">
      <alignment horizontal="center" vertical="center" wrapText="1" readingOrder="1"/>
    </xf>
    <xf numFmtId="171" fontId="22" fillId="26" borderId="390" xfId="4" applyNumberFormat="1" applyFont="1" applyFill="1" applyBorder="1" applyAlignment="1" applyProtection="1">
      <alignment horizontal="center" vertical="center" wrapText="1" readingOrder="1"/>
    </xf>
    <xf numFmtId="171" fontId="50" fillId="0" borderId="56" xfId="4" applyNumberFormat="1" applyFont="1" applyFill="1" applyBorder="1" applyAlignment="1" applyProtection="1">
      <alignment horizontal="center" vertical="center" wrapText="1" readingOrder="1"/>
    </xf>
    <xf numFmtId="171" fontId="125" fillId="0" borderId="56" xfId="4" applyNumberFormat="1" applyFont="1" applyFill="1" applyBorder="1" applyAlignment="1" applyProtection="1">
      <alignment horizontal="center" vertical="center" wrapText="1" readingOrder="1"/>
    </xf>
    <xf numFmtId="171" fontId="19" fillId="26" borderId="175" xfId="4" applyNumberFormat="1" applyFont="1" applyFill="1" applyBorder="1" applyAlignment="1" applyProtection="1">
      <alignment horizontal="center" vertical="center" wrapText="1" readingOrder="1"/>
      <protection locked="0"/>
    </xf>
    <xf numFmtId="171" fontId="19" fillId="26" borderId="390" xfId="4" applyNumberFormat="1" applyFont="1" applyFill="1" applyBorder="1" applyAlignment="1" applyProtection="1">
      <alignment horizontal="center" vertical="center" wrapText="1" readingOrder="1"/>
      <protection locked="0"/>
    </xf>
    <xf numFmtId="187" fontId="19" fillId="26" borderId="56" xfId="4" applyNumberFormat="1" applyFont="1" applyFill="1" applyBorder="1" applyAlignment="1" applyProtection="1">
      <alignment horizontal="center" vertical="center" wrapText="1" readingOrder="1"/>
      <protection locked="0"/>
    </xf>
    <xf numFmtId="173" fontId="19" fillId="26" borderId="56" xfId="4" applyNumberFormat="1" applyFont="1" applyFill="1" applyBorder="1" applyAlignment="1" applyProtection="1">
      <alignment horizontal="center" vertical="center" wrapText="1" readingOrder="1"/>
      <protection locked="0"/>
    </xf>
    <xf numFmtId="0" fontId="45" fillId="0" borderId="67" xfId="4" applyFont="1" applyFill="1" applyBorder="1" applyAlignment="1" applyProtection="1">
      <alignment horizontal="center" vertical="top" wrapText="1" readingOrder="1"/>
    </xf>
    <xf numFmtId="0" fontId="45" fillId="0" borderId="68" xfId="4" applyFont="1" applyFill="1" applyBorder="1" applyAlignment="1" applyProtection="1">
      <alignment horizontal="center" vertical="top" wrapText="1" readingOrder="1"/>
    </xf>
    <xf numFmtId="0" fontId="45" fillId="0" borderId="69" xfId="4" applyFont="1" applyFill="1" applyBorder="1" applyAlignment="1" applyProtection="1">
      <alignment horizontal="center" vertical="top" wrapText="1" readingOrder="1"/>
    </xf>
    <xf numFmtId="164" fontId="139" fillId="0" borderId="173" xfId="4" applyNumberFormat="1" applyFont="1" applyFill="1" applyBorder="1" applyAlignment="1" applyProtection="1">
      <alignment horizontal="center" vertical="center" wrapText="1" readingOrder="1"/>
    </xf>
    <xf numFmtId="164" fontId="140" fillId="0" borderId="56" xfId="4" applyNumberFormat="1" applyFont="1" applyFill="1" applyBorder="1" applyAlignment="1" applyProtection="1">
      <alignment horizontal="center" vertical="center" wrapText="1" readingOrder="1"/>
    </xf>
    <xf numFmtId="0" fontId="24" fillId="37" borderId="52" xfId="4" applyFont="1" applyFill="1" applyBorder="1" applyAlignment="1" applyProtection="1">
      <alignment horizontal="center" vertical="center" wrapText="1"/>
    </xf>
    <xf numFmtId="0" fontId="24" fillId="37" borderId="53" xfId="4" applyFont="1" applyFill="1" applyBorder="1" applyAlignment="1" applyProtection="1">
      <alignment horizontal="center" vertical="center" wrapText="1"/>
    </xf>
    <xf numFmtId="0" fontId="0" fillId="0" borderId="175" xfId="0" applyFont="1" applyBorder="1" applyAlignment="1" applyProtection="1">
      <alignment horizontal="center" vertical="center"/>
      <protection locked="0"/>
    </xf>
    <xf numFmtId="0" fontId="0" fillId="0" borderId="68" xfId="0" applyFont="1" applyBorder="1" applyAlignment="1" applyProtection="1">
      <alignment horizontal="center" vertical="center"/>
      <protection locked="0"/>
    </xf>
    <xf numFmtId="0" fontId="0" fillId="0" borderId="69" xfId="0" applyFont="1" applyBorder="1" applyAlignment="1" applyProtection="1">
      <alignment horizontal="center" vertical="center"/>
      <protection locked="0"/>
    </xf>
    <xf numFmtId="0" fontId="26" fillId="0" borderId="357" xfId="0" applyFont="1" applyBorder="1" applyAlignment="1" applyProtection="1">
      <alignment horizontal="right" vertical="center"/>
    </xf>
    <xf numFmtId="0" fontId="26" fillId="0" borderId="347" xfId="0" applyFont="1" applyBorder="1" applyAlignment="1" applyProtection="1">
      <alignment horizontal="right" vertical="center"/>
    </xf>
    <xf numFmtId="0" fontId="26" fillId="0" borderId="348" xfId="0" applyFont="1" applyBorder="1" applyAlignment="1" applyProtection="1">
      <alignment horizontal="right" vertical="center"/>
    </xf>
    <xf numFmtId="2" fontId="151" fillId="0" borderId="395" xfId="3" applyNumberFormat="1" applyFont="1" applyBorder="1" applyAlignment="1" applyProtection="1">
      <alignment horizontal="center" vertical="center"/>
    </xf>
    <xf numFmtId="2" fontId="151" fillId="0" borderId="347" xfId="3" applyNumberFormat="1" applyFont="1" applyBorder="1" applyAlignment="1" applyProtection="1">
      <alignment horizontal="center" vertical="center"/>
    </xf>
    <xf numFmtId="0" fontId="40" fillId="7" borderId="501" xfId="0" applyFont="1" applyFill="1" applyBorder="1" applyAlignment="1" applyProtection="1">
      <alignment horizontal="center" vertical="center" textRotation="90" wrapText="1"/>
    </xf>
    <xf numFmtId="0" fontId="40" fillId="7" borderId="156" xfId="0" applyFont="1" applyFill="1" applyBorder="1" applyAlignment="1" applyProtection="1">
      <alignment horizontal="center" vertical="center" textRotation="90" wrapText="1"/>
    </xf>
    <xf numFmtId="0" fontId="40" fillId="7" borderId="502" xfId="0" applyFont="1" applyFill="1" applyBorder="1" applyAlignment="1" applyProtection="1">
      <alignment horizontal="center" vertical="center" textRotation="90" wrapText="1"/>
    </xf>
    <xf numFmtId="0" fontId="35" fillId="0" borderId="390" xfId="2" applyFont="1" applyBorder="1" applyAlignment="1" applyProtection="1">
      <alignment horizontal="left" vertical="center"/>
    </xf>
    <xf numFmtId="0" fontId="35" fillId="0" borderId="56" xfId="0" applyFont="1" applyBorder="1" applyAlignment="1" applyProtection="1">
      <alignment horizontal="left" vertical="center"/>
    </xf>
    <xf numFmtId="0" fontId="0" fillId="26" borderId="175" xfId="0" applyFont="1" applyFill="1" applyBorder="1" applyAlignment="1">
      <alignment horizontal="center" vertical="center"/>
    </xf>
    <xf numFmtId="0" fontId="0" fillId="26" borderId="390" xfId="0" applyFont="1" applyFill="1" applyBorder="1" applyAlignment="1">
      <alignment horizontal="center" vertical="center"/>
    </xf>
    <xf numFmtId="0" fontId="0" fillId="26" borderId="185" xfId="0" applyFont="1" applyFill="1" applyBorder="1" applyAlignment="1" applyProtection="1">
      <alignment horizontal="center" vertical="center"/>
      <protection locked="0"/>
    </xf>
    <xf numFmtId="0" fontId="0" fillId="26" borderId="397" xfId="0" applyFont="1" applyFill="1" applyBorder="1" applyAlignment="1" applyProtection="1">
      <alignment horizontal="center" vertical="center"/>
      <protection locked="0"/>
    </xf>
    <xf numFmtId="0" fontId="1" fillId="7" borderId="685" xfId="0" applyFont="1" applyFill="1" applyBorder="1" applyAlignment="1" applyProtection="1">
      <alignment horizontal="left" vertical="center"/>
    </xf>
    <xf numFmtId="0" fontId="1" fillId="7" borderId="686" xfId="0" applyFont="1" applyFill="1" applyBorder="1" applyAlignment="1" applyProtection="1">
      <alignment horizontal="left" vertical="center"/>
    </xf>
    <xf numFmtId="0" fontId="1" fillId="28" borderId="685" xfId="0" applyFont="1" applyFill="1" applyBorder="1" applyAlignment="1" applyProtection="1">
      <alignment horizontal="left" vertical="center"/>
    </xf>
    <xf numFmtId="0" fontId="1" fillId="28" borderId="686" xfId="0" applyFont="1" applyFill="1" applyBorder="1" applyAlignment="1" applyProtection="1">
      <alignment horizontal="left" vertical="center"/>
    </xf>
    <xf numFmtId="0" fontId="40" fillId="28" borderId="159" xfId="0" applyFont="1" applyFill="1" applyBorder="1" applyAlignment="1" applyProtection="1">
      <alignment horizontal="center" vertical="center" textRotation="90"/>
    </xf>
    <xf numFmtId="0" fontId="40" fillId="28" borderId="67" xfId="0" applyFont="1" applyFill="1" applyBorder="1" applyAlignment="1" applyProtection="1">
      <alignment horizontal="center" vertical="center" textRotation="90"/>
    </xf>
    <xf numFmtId="0" fontId="40" fillId="28" borderId="161" xfId="0" applyFont="1" applyFill="1" applyBorder="1" applyAlignment="1" applyProtection="1">
      <alignment horizontal="center" vertical="center" textRotation="90"/>
    </xf>
    <xf numFmtId="0" fontId="1" fillId="8" borderId="772" xfId="0" applyFont="1" applyFill="1" applyBorder="1" applyAlignment="1" applyProtection="1">
      <alignment horizontal="center" vertical="center"/>
    </xf>
    <xf numFmtId="0" fontId="1" fillId="8" borderId="0" xfId="0" applyFont="1" applyFill="1" applyBorder="1" applyAlignment="1" applyProtection="1">
      <alignment horizontal="center" vertical="center"/>
    </xf>
    <xf numFmtId="0" fontId="1" fillId="8" borderId="105" xfId="0" applyFont="1" applyFill="1" applyBorder="1" applyAlignment="1" applyProtection="1">
      <alignment horizontal="center" vertical="center"/>
    </xf>
    <xf numFmtId="0" fontId="35" fillId="0" borderId="56" xfId="2" applyFont="1" applyBorder="1" applyAlignment="1" applyProtection="1">
      <alignment horizontal="left" vertical="center"/>
    </xf>
    <xf numFmtId="0" fontId="0" fillId="39" borderId="103" xfId="0" applyFont="1" applyFill="1" applyBorder="1" applyAlignment="1" applyProtection="1">
      <alignment horizontal="left" vertical="top" wrapText="1"/>
      <protection locked="0"/>
    </xf>
    <xf numFmtId="0" fontId="0" fillId="39" borderId="105" xfId="0" applyFont="1" applyFill="1" applyBorder="1" applyAlignment="1" applyProtection="1">
      <alignment horizontal="left" vertical="top" wrapText="1"/>
      <protection locked="0"/>
    </xf>
    <xf numFmtId="0" fontId="0" fillId="39" borderId="108" xfId="0" applyFont="1" applyFill="1" applyBorder="1" applyAlignment="1" applyProtection="1">
      <alignment horizontal="left" vertical="top" wrapText="1"/>
      <protection locked="0"/>
    </xf>
    <xf numFmtId="0" fontId="69" fillId="8" borderId="447" xfId="0" applyFont="1" applyFill="1" applyBorder="1" applyAlignment="1" applyProtection="1">
      <alignment horizontal="center" vertical="center" wrapText="1"/>
      <protection locked="0"/>
    </xf>
    <xf numFmtId="0" fontId="40" fillId="37" borderId="66" xfId="0" applyFont="1" applyFill="1" applyBorder="1" applyAlignment="1" applyProtection="1">
      <alignment horizontal="left" vertical="center"/>
    </xf>
    <xf numFmtId="0" fontId="0" fillId="26" borderId="175" xfId="0" applyFont="1" applyFill="1" applyBorder="1" applyAlignment="1" applyProtection="1">
      <alignment horizontal="center" vertical="center"/>
      <protection locked="0"/>
    </xf>
    <xf numFmtId="0" fontId="0" fillId="26" borderId="390" xfId="0" applyFont="1" applyFill="1" applyBorder="1" applyAlignment="1" applyProtection="1">
      <alignment horizontal="center" vertical="center"/>
      <protection locked="0"/>
    </xf>
    <xf numFmtId="2" fontId="154" fillId="8" borderId="345" xfId="0" applyNumberFormat="1" applyFont="1" applyFill="1" applyBorder="1" applyAlignment="1" applyProtection="1">
      <alignment horizontal="center" vertical="center"/>
    </xf>
    <xf numFmtId="0" fontId="0" fillId="0" borderId="175" xfId="0" applyFont="1" applyBorder="1" applyAlignment="1">
      <alignment horizontal="center" vertical="center"/>
    </xf>
    <xf numFmtId="0" fontId="0" fillId="0" borderId="68" xfId="0" applyFont="1" applyBorder="1" applyAlignment="1">
      <alignment horizontal="center" vertical="center"/>
    </xf>
    <xf numFmtId="0" fontId="0" fillId="0" borderId="69" xfId="0" applyFont="1" applyBorder="1" applyAlignment="1">
      <alignment horizontal="center" vertical="center"/>
    </xf>
    <xf numFmtId="0" fontId="1" fillId="25" borderId="175" xfId="0" applyFont="1" applyFill="1" applyBorder="1" applyAlignment="1" applyProtection="1">
      <alignment horizontal="left" vertical="center"/>
    </xf>
    <xf numFmtId="0" fontId="1" fillId="25" borderId="390" xfId="0" applyFont="1" applyFill="1" applyBorder="1" applyAlignment="1" applyProtection="1">
      <alignment horizontal="left" vertical="center"/>
    </xf>
    <xf numFmtId="0" fontId="1" fillId="31" borderId="175" xfId="0" applyFont="1" applyFill="1" applyBorder="1" applyAlignment="1">
      <alignment horizontal="left" vertical="center"/>
    </xf>
    <xf numFmtId="0" fontId="1" fillId="31" borderId="390" xfId="0" applyFont="1" applyFill="1" applyBorder="1" applyAlignment="1">
      <alignment horizontal="left" vertical="center"/>
    </xf>
    <xf numFmtId="0" fontId="35" fillId="0" borderId="56" xfId="10" applyFont="1" applyBorder="1" applyAlignment="1">
      <alignment horizontal="left" vertical="center" wrapText="1"/>
    </xf>
    <xf numFmtId="0" fontId="35" fillId="0" borderId="56" xfId="0" applyFont="1" applyBorder="1" applyAlignment="1">
      <alignment horizontal="left" vertical="center" wrapText="1"/>
    </xf>
    <xf numFmtId="0" fontId="39" fillId="37" borderId="335" xfId="0" applyFont="1" applyFill="1" applyBorder="1" applyAlignment="1" applyProtection="1">
      <alignment horizontal="right" vertical="center"/>
    </xf>
    <xf numFmtId="0" fontId="41" fillId="37" borderId="335" xfId="0" applyFont="1" applyFill="1" applyBorder="1" applyAlignment="1" applyProtection="1">
      <alignment horizontal="left" vertical="center"/>
    </xf>
    <xf numFmtId="0" fontId="41" fillId="37" borderId="337" xfId="0" applyFont="1" applyFill="1" applyBorder="1" applyAlignment="1" applyProtection="1">
      <alignment horizontal="left" vertical="center"/>
    </xf>
    <xf numFmtId="0" fontId="26" fillId="0" borderId="778" xfId="0" applyFont="1" applyBorder="1" applyAlignment="1" applyProtection="1">
      <alignment horizontal="left" vertical="center" wrapText="1"/>
    </xf>
    <xf numFmtId="0" fontId="26" fillId="37" borderId="186" xfId="0" applyFont="1" applyFill="1" applyBorder="1" applyAlignment="1" applyProtection="1">
      <alignment horizontal="center" vertical="center" wrapText="1"/>
    </xf>
    <xf numFmtId="0" fontId="26" fillId="37" borderId="354" xfId="0" applyFont="1" applyFill="1" applyBorder="1" applyAlignment="1" applyProtection="1">
      <alignment horizontal="center" vertical="center" wrapText="1"/>
    </xf>
    <xf numFmtId="0" fontId="26" fillId="37" borderId="355" xfId="0" applyFont="1" applyFill="1" applyBorder="1" applyAlignment="1" applyProtection="1">
      <alignment horizontal="center" vertical="center" wrapText="1"/>
    </xf>
    <xf numFmtId="0" fontId="26" fillId="37" borderId="106" xfId="0" applyFont="1" applyFill="1" applyBorder="1" applyAlignment="1" applyProtection="1">
      <alignment horizontal="center" vertical="center" wrapText="1"/>
    </xf>
    <xf numFmtId="0" fontId="26" fillId="37" borderId="107" xfId="0" applyFont="1" applyFill="1" applyBorder="1" applyAlignment="1" applyProtection="1">
      <alignment horizontal="center" vertical="center" wrapText="1"/>
    </xf>
    <xf numFmtId="0" fontId="26" fillId="37" borderId="356" xfId="0" applyFont="1" applyFill="1" applyBorder="1" applyAlignment="1" applyProtection="1">
      <alignment horizontal="center" vertical="center" wrapText="1"/>
    </xf>
    <xf numFmtId="0" fontId="26" fillId="37" borderId="154" xfId="0" applyFont="1" applyFill="1" applyBorder="1" applyAlignment="1" applyProtection="1">
      <alignment horizontal="center" vertical="center"/>
    </xf>
    <xf numFmtId="0" fontId="26" fillId="37" borderId="352" xfId="0" applyFont="1" applyFill="1" applyBorder="1" applyAlignment="1" applyProtection="1">
      <alignment horizontal="center" vertical="center"/>
    </xf>
    <xf numFmtId="0" fontId="26" fillId="37" borderId="154" xfId="0" applyFont="1" applyFill="1" applyBorder="1" applyAlignment="1" applyProtection="1">
      <alignment horizontal="center" vertical="center" wrapText="1"/>
    </xf>
    <xf numFmtId="0" fontId="26" fillId="37" borderId="358" xfId="0" applyFont="1" applyFill="1" applyBorder="1" applyAlignment="1" applyProtection="1">
      <alignment horizontal="center" vertical="center"/>
    </xf>
    <xf numFmtId="0" fontId="26" fillId="37" borderId="354" xfId="0" applyFont="1" applyFill="1" applyBorder="1" applyAlignment="1" applyProtection="1">
      <alignment horizontal="center" vertical="center"/>
    </xf>
    <xf numFmtId="0" fontId="26" fillId="37" borderId="359" xfId="0" applyFont="1" applyFill="1" applyBorder="1" applyAlignment="1" applyProtection="1">
      <alignment horizontal="center" vertical="center"/>
    </xf>
    <xf numFmtId="0" fontId="26" fillId="37" borderId="353" xfId="0" applyFont="1" applyFill="1" applyBorder="1" applyAlignment="1" applyProtection="1">
      <alignment horizontal="center" vertical="center"/>
    </xf>
    <xf numFmtId="0" fontId="26" fillId="37" borderId="107" xfId="0" applyFont="1" applyFill="1" applyBorder="1" applyAlignment="1" applyProtection="1">
      <alignment horizontal="center" vertical="center"/>
    </xf>
    <xf numFmtId="0" fontId="26" fillId="37" borderId="108" xfId="0" applyFont="1" applyFill="1" applyBorder="1" applyAlignment="1" applyProtection="1">
      <alignment horizontal="center" vertical="center"/>
    </xf>
    <xf numFmtId="0" fontId="1" fillId="27" borderId="175" xfId="0" applyFont="1" applyFill="1" applyBorder="1" applyAlignment="1" applyProtection="1">
      <alignment horizontal="left" vertical="center"/>
    </xf>
    <xf numFmtId="0" fontId="1" fillId="27" borderId="390" xfId="0" applyFont="1" applyFill="1" applyBorder="1" applyAlignment="1" applyProtection="1">
      <alignment horizontal="left" vertical="center"/>
    </xf>
    <xf numFmtId="0" fontId="35" fillId="0" borderId="56" xfId="10" applyFont="1" applyBorder="1" applyAlignment="1" applyProtection="1">
      <alignment horizontal="left" vertical="center"/>
    </xf>
    <xf numFmtId="0" fontId="40" fillId="31" borderId="52" xfId="0" applyFont="1" applyFill="1" applyBorder="1" applyAlignment="1">
      <alignment horizontal="center" vertical="center" textRotation="90"/>
    </xf>
    <xf numFmtId="0" fontId="40" fillId="31" borderId="55" xfId="0" applyFont="1" applyFill="1" applyBorder="1" applyAlignment="1">
      <alignment horizontal="center" vertical="center" textRotation="90"/>
    </xf>
    <xf numFmtId="0" fontId="40" fillId="31" borderId="58" xfId="0" applyFont="1" applyFill="1" applyBorder="1" applyAlignment="1">
      <alignment horizontal="center" vertical="center" textRotation="90"/>
    </xf>
    <xf numFmtId="0" fontId="40" fillId="0" borderId="394" xfId="0" applyFont="1" applyFill="1" applyBorder="1" applyAlignment="1">
      <alignment horizontal="center" vertical="center" textRotation="90"/>
    </xf>
    <xf numFmtId="0" fontId="40" fillId="0" borderId="65" xfId="0" applyFont="1" applyFill="1" applyBorder="1" applyAlignment="1">
      <alignment horizontal="center" vertical="center" textRotation="90"/>
    </xf>
    <xf numFmtId="0" fontId="40" fillId="0" borderId="66" xfId="0" applyFont="1" applyFill="1" applyBorder="1" applyAlignment="1">
      <alignment horizontal="center" vertical="center" textRotation="90"/>
    </xf>
    <xf numFmtId="0" fontId="1" fillId="31" borderId="175" xfId="0" applyFont="1" applyFill="1" applyBorder="1" applyAlignment="1">
      <alignment horizontal="left" vertical="center" wrapText="1"/>
    </xf>
    <xf numFmtId="0" fontId="1" fillId="31" borderId="390" xfId="0" applyFont="1" applyFill="1" applyBorder="1" applyAlignment="1">
      <alignment horizontal="left" vertical="center" wrapText="1"/>
    </xf>
    <xf numFmtId="0" fontId="35" fillId="0" borderId="175" xfId="10" applyFont="1" applyBorder="1" applyAlignment="1">
      <alignment horizontal="left" vertical="center"/>
    </xf>
    <xf numFmtId="0" fontId="35" fillId="0" borderId="68" xfId="0" applyFont="1" applyBorder="1" applyAlignment="1">
      <alignment horizontal="left" vertical="center"/>
    </xf>
    <xf numFmtId="0" fontId="35" fillId="0" borderId="390" xfId="0" applyFont="1" applyBorder="1" applyAlignment="1">
      <alignment horizontal="left" vertical="center"/>
    </xf>
    <xf numFmtId="0" fontId="40" fillId="25" borderId="153" xfId="0" applyFont="1" applyFill="1" applyBorder="1" applyAlignment="1" applyProtection="1">
      <alignment horizontal="center" vertical="center" textRotation="90"/>
    </xf>
    <xf numFmtId="0" fontId="40" fillId="8" borderId="394" xfId="0" applyFont="1" applyFill="1" applyBorder="1" applyAlignment="1" applyProtection="1">
      <alignment horizontal="center" vertical="center" textRotation="90"/>
    </xf>
    <xf numFmtId="0" fontId="40" fillId="8" borderId="65" xfId="0" applyFont="1" applyFill="1" applyBorder="1" applyAlignment="1" applyProtection="1">
      <alignment horizontal="center" vertical="center" textRotation="90"/>
    </xf>
    <xf numFmtId="0" fontId="40" fillId="8" borderId="66" xfId="0" applyFont="1" applyFill="1" applyBorder="1" applyAlignment="1" applyProtection="1">
      <alignment horizontal="center" vertical="center" textRotation="90"/>
    </xf>
    <xf numFmtId="0" fontId="40" fillId="27" borderId="172" xfId="0" applyFont="1" applyFill="1" applyBorder="1" applyAlignment="1" applyProtection="1">
      <alignment horizontal="center" vertical="center" textRotation="90"/>
    </xf>
    <xf numFmtId="0" fontId="40" fillId="27" borderId="55" xfId="0" applyFont="1" applyFill="1" applyBorder="1" applyAlignment="1" applyProtection="1">
      <alignment horizontal="center" vertical="center" textRotation="90"/>
    </xf>
    <xf numFmtId="0" fontId="40" fillId="27" borderId="161" xfId="0" applyFont="1" applyFill="1" applyBorder="1" applyAlignment="1" applyProtection="1">
      <alignment horizontal="center" vertical="center" textRotation="90"/>
    </xf>
    <xf numFmtId="0" fontId="40" fillId="8" borderId="195" xfId="0" applyFont="1" applyFill="1" applyBorder="1" applyAlignment="1" applyProtection="1">
      <alignment horizontal="center" vertical="center" textRotation="90"/>
    </xf>
    <xf numFmtId="0" fontId="40" fillId="8" borderId="504" xfId="0" applyFont="1" applyFill="1" applyBorder="1" applyAlignment="1" applyProtection="1">
      <alignment horizontal="center" vertical="center" textRotation="90"/>
    </xf>
    <xf numFmtId="0" fontId="40" fillId="8" borderId="505" xfId="0" applyFont="1" applyFill="1" applyBorder="1" applyAlignment="1" applyProtection="1">
      <alignment horizontal="center" vertical="center" textRotation="90"/>
    </xf>
    <xf numFmtId="0" fontId="26" fillId="0" borderId="64" xfId="0" applyFont="1" applyBorder="1" applyAlignment="1" applyProtection="1">
      <alignment horizontal="right" vertical="center"/>
    </xf>
    <xf numFmtId="0" fontId="26" fillId="0" borderId="65" xfId="0" applyFont="1" applyBorder="1" applyAlignment="1" applyProtection="1">
      <alignment horizontal="right" vertical="center"/>
    </xf>
    <xf numFmtId="0" fontId="26" fillId="0" borderId="349" xfId="0" applyFont="1" applyBorder="1" applyAlignment="1" applyProtection="1">
      <alignment horizontal="right" vertical="center"/>
    </xf>
    <xf numFmtId="2" fontId="0" fillId="0" borderId="394" xfId="0" applyNumberFormat="1" applyFont="1" applyBorder="1" applyAlignment="1" applyProtection="1">
      <alignment horizontal="center" vertical="center"/>
    </xf>
    <xf numFmtId="2" fontId="0" fillId="0" borderId="65" xfId="0" applyNumberFormat="1" applyFont="1" applyBorder="1" applyAlignment="1" applyProtection="1">
      <alignment horizontal="center" vertical="center"/>
    </xf>
    <xf numFmtId="0" fontId="1" fillId="7" borderId="776" xfId="0" applyFont="1" applyFill="1" applyBorder="1" applyAlignment="1" applyProtection="1">
      <alignment horizontal="left" vertical="center"/>
    </xf>
    <xf numFmtId="0" fontId="1" fillId="7" borderId="777" xfId="0" applyFont="1" applyFill="1" applyBorder="1" applyAlignment="1" applyProtection="1">
      <alignment horizontal="left" vertical="center"/>
    </xf>
    <xf numFmtId="0" fontId="40" fillId="8" borderId="772" xfId="0" applyFont="1" applyFill="1" applyBorder="1" applyAlignment="1" applyProtection="1">
      <alignment horizontal="center" vertical="center" textRotation="90" wrapText="1"/>
    </xf>
    <xf numFmtId="0" fontId="40" fillId="8" borderId="0" xfId="0" applyFont="1" applyFill="1" applyBorder="1" applyAlignment="1" applyProtection="1">
      <alignment horizontal="center" vertical="center" textRotation="90" wrapText="1"/>
    </xf>
    <xf numFmtId="0" fontId="40" fillId="8" borderId="105" xfId="0" applyFont="1" applyFill="1" applyBorder="1" applyAlignment="1" applyProtection="1">
      <alignment horizontal="center" vertical="center" textRotation="90" wrapText="1"/>
    </xf>
    <xf numFmtId="0" fontId="69" fillId="8" borderId="338" xfId="0" applyFont="1" applyFill="1" applyBorder="1" applyAlignment="1" applyProtection="1">
      <alignment horizontal="center" vertical="center" wrapText="1"/>
      <protection locked="0"/>
    </xf>
    <xf numFmtId="0" fontId="69" fillId="8" borderId="340" xfId="0" applyFont="1" applyFill="1" applyBorder="1" applyAlignment="1" applyProtection="1">
      <alignment horizontal="center" vertical="center" wrapText="1"/>
      <protection locked="0"/>
    </xf>
    <xf numFmtId="0" fontId="2" fillId="37" borderId="65" xfId="0" applyFont="1" applyFill="1" applyBorder="1" applyAlignment="1" applyProtection="1">
      <alignment horizontal="left" vertical="center"/>
    </xf>
    <xf numFmtId="0" fontId="2" fillId="37" borderId="66" xfId="0" applyFont="1" applyFill="1" applyBorder="1" applyAlignment="1" applyProtection="1">
      <alignment horizontal="left" vertical="center"/>
    </xf>
    <xf numFmtId="0" fontId="35" fillId="0" borderId="357" xfId="10" applyFont="1" applyFill="1" applyBorder="1" applyAlignment="1" applyProtection="1">
      <alignment horizontal="center" vertical="center"/>
    </xf>
    <xf numFmtId="0" fontId="35" fillId="0" borderId="347" xfId="10" applyFont="1" applyFill="1" applyBorder="1" applyAlignment="1" applyProtection="1">
      <alignment horizontal="center" vertical="center"/>
    </xf>
    <xf numFmtId="0" fontId="35" fillId="0" borderId="396" xfId="10" applyFont="1" applyFill="1" applyBorder="1" applyAlignment="1" applyProtection="1">
      <alignment horizontal="center" vertical="center"/>
    </xf>
    <xf numFmtId="0" fontId="1" fillId="25" borderId="56" xfId="0" applyFont="1" applyFill="1" applyBorder="1" applyAlignment="1" applyProtection="1">
      <alignment horizontal="center" vertical="center" wrapText="1"/>
    </xf>
    <xf numFmtId="0" fontId="1" fillId="26" borderId="56" xfId="0" applyFont="1" applyFill="1" applyBorder="1" applyAlignment="1" applyProtection="1">
      <alignment horizontal="center" vertical="center" wrapText="1"/>
      <protection locked="0"/>
    </xf>
    <xf numFmtId="0" fontId="1" fillId="26" borderId="57" xfId="0" applyFont="1" applyFill="1" applyBorder="1" applyAlignment="1" applyProtection="1">
      <alignment horizontal="center" vertical="center" wrapText="1"/>
      <protection locked="0"/>
    </xf>
    <xf numFmtId="0" fontId="21" fillId="0" borderId="67" xfId="0" applyFont="1" applyFill="1" applyBorder="1" applyAlignment="1" applyProtection="1">
      <alignment horizontal="center" vertical="center"/>
    </xf>
    <xf numFmtId="0" fontId="21" fillId="0" borderId="68" xfId="0" applyFont="1" applyFill="1" applyBorder="1" applyAlignment="1" applyProtection="1">
      <alignment horizontal="center" vertical="center"/>
    </xf>
    <xf numFmtId="0" fontId="21" fillId="0" borderId="69" xfId="0" applyFont="1" applyFill="1" applyBorder="1" applyAlignment="1" applyProtection="1">
      <alignment horizontal="center" vertical="center"/>
    </xf>
    <xf numFmtId="0" fontId="35" fillId="0" borderId="67" xfId="10" applyFont="1" applyFill="1" applyBorder="1" applyAlignment="1" applyProtection="1">
      <alignment horizontal="center" vertical="center"/>
    </xf>
    <xf numFmtId="0" fontId="35" fillId="0" borderId="68" xfId="10" applyFont="1" applyFill="1" applyBorder="1" applyAlignment="1" applyProtection="1">
      <alignment horizontal="center" vertical="center"/>
    </xf>
    <xf numFmtId="0" fontId="35" fillId="0" borderId="69" xfId="10" applyFont="1" applyFill="1" applyBorder="1" applyAlignment="1" applyProtection="1">
      <alignment horizontal="center" vertical="center"/>
    </xf>
    <xf numFmtId="0" fontId="1" fillId="26" borderId="53" xfId="0" applyFont="1" applyFill="1" applyBorder="1" applyAlignment="1" applyProtection="1">
      <alignment horizontal="center" vertical="center" wrapText="1"/>
    </xf>
    <xf numFmtId="0" fontId="1" fillId="26" borderId="54"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xf>
    <xf numFmtId="0" fontId="26" fillId="0" borderId="68" xfId="0" applyFont="1" applyFill="1" applyBorder="1" applyAlignment="1" applyProtection="1">
      <alignment horizontal="center" vertical="center"/>
    </xf>
    <xf numFmtId="0" fontId="26" fillId="0" borderId="69" xfId="0" applyFont="1" applyFill="1" applyBorder="1" applyAlignment="1" applyProtection="1">
      <alignment horizontal="center" vertical="center"/>
    </xf>
    <xf numFmtId="0" fontId="1" fillId="25" borderId="53" xfId="0" applyFont="1" applyFill="1" applyBorder="1" applyAlignment="1" applyProtection="1">
      <alignment horizontal="center" vertical="center" wrapText="1"/>
    </xf>
    <xf numFmtId="0" fontId="26" fillId="0" borderId="357" xfId="0" applyFont="1" applyFill="1" applyBorder="1" applyAlignment="1" applyProtection="1">
      <alignment horizontal="center" vertical="center"/>
    </xf>
    <xf numFmtId="0" fontId="26" fillId="0" borderId="348" xfId="0" applyFont="1" applyFill="1" applyBorder="1" applyAlignment="1" applyProtection="1">
      <alignment horizontal="center" vertical="center"/>
    </xf>
    <xf numFmtId="0" fontId="26" fillId="0" borderId="395" xfId="0" applyFont="1" applyFill="1" applyBorder="1" applyAlignment="1" applyProtection="1">
      <alignment horizontal="center" vertical="center"/>
    </xf>
    <xf numFmtId="0" fontId="26" fillId="0" borderId="347" xfId="0" applyFont="1" applyFill="1" applyBorder="1" applyAlignment="1" applyProtection="1">
      <alignment horizontal="center" vertical="center"/>
    </xf>
    <xf numFmtId="0" fontId="0" fillId="40" borderId="59" xfId="0" applyFont="1" applyFill="1" applyBorder="1" applyAlignment="1" applyProtection="1">
      <alignment horizontal="center" vertical="top" wrapText="1"/>
    </xf>
    <xf numFmtId="0" fontId="0" fillId="40" borderId="179" xfId="0" applyFont="1" applyFill="1" applyBorder="1" applyAlignment="1" applyProtection="1">
      <alignment horizontal="center" vertical="top" wrapText="1"/>
    </xf>
    <xf numFmtId="0" fontId="0" fillId="0" borderId="178" xfId="0" applyFont="1" applyFill="1" applyBorder="1" applyAlignment="1" applyProtection="1">
      <alignment horizontal="left" vertical="top" wrapText="1"/>
    </xf>
    <xf numFmtId="0" fontId="0" fillId="0" borderId="59" xfId="0" applyFont="1" applyFill="1" applyBorder="1" applyAlignment="1" applyProtection="1">
      <alignment horizontal="left" vertical="top" wrapText="1"/>
    </xf>
    <xf numFmtId="0" fontId="0" fillId="0" borderId="395" xfId="0" applyFont="1" applyFill="1" applyBorder="1" applyAlignment="1" applyProtection="1">
      <alignment horizontal="left" vertical="top" wrapText="1"/>
    </xf>
    <xf numFmtId="0" fontId="0" fillId="0" borderId="60" xfId="0" applyFont="1" applyFill="1" applyBorder="1" applyAlignment="1" applyProtection="1">
      <alignment horizontal="left" vertical="top" wrapText="1"/>
    </xf>
    <xf numFmtId="0" fontId="35" fillId="0" borderId="67" xfId="10" applyFont="1" applyFill="1" applyBorder="1" applyAlignment="1" applyProtection="1">
      <alignment horizontal="center" vertical="center"/>
      <protection locked="0"/>
    </xf>
    <xf numFmtId="0" fontId="35" fillId="0" borderId="68" xfId="10" applyFont="1" applyFill="1" applyBorder="1" applyAlignment="1" applyProtection="1">
      <alignment horizontal="center" vertical="center"/>
      <protection locked="0"/>
    </xf>
    <xf numFmtId="0" fontId="0" fillId="0" borderId="175" xfId="0" applyFont="1" applyFill="1" applyBorder="1" applyAlignment="1" applyProtection="1">
      <alignment horizontal="center" vertical="center" wrapText="1"/>
      <protection locked="0"/>
    </xf>
    <xf numFmtId="0" fontId="0" fillId="0" borderId="68" xfId="0" applyFont="1" applyFill="1" applyBorder="1" applyAlignment="1" applyProtection="1">
      <alignment horizontal="center" vertical="center" wrapText="1"/>
      <protection locked="0"/>
    </xf>
    <xf numFmtId="0" fontId="0" fillId="0" borderId="390" xfId="0" applyFont="1" applyFill="1" applyBorder="1" applyAlignment="1" applyProtection="1">
      <alignment horizontal="center" vertical="center" wrapText="1"/>
      <protection locked="0"/>
    </xf>
    <xf numFmtId="0" fontId="0" fillId="40" borderId="175" xfId="0" applyFont="1" applyFill="1" applyBorder="1" applyAlignment="1" applyProtection="1">
      <alignment horizontal="left" vertical="center" wrapText="1"/>
      <protection locked="0"/>
    </xf>
    <xf numFmtId="0" fontId="0" fillId="40" borderId="68" xfId="0" applyFont="1" applyFill="1" applyBorder="1" applyAlignment="1" applyProtection="1">
      <alignment horizontal="left" vertical="center" wrapText="1"/>
      <protection locked="0"/>
    </xf>
    <xf numFmtId="0" fontId="0" fillId="40" borderId="782" xfId="0" applyFont="1" applyFill="1" applyBorder="1" applyAlignment="1" applyProtection="1">
      <alignment horizontal="left" vertical="center" wrapText="1"/>
      <protection locked="0"/>
    </xf>
    <xf numFmtId="0" fontId="0" fillId="0" borderId="176"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175" xfId="0" applyFont="1" applyFill="1" applyBorder="1" applyAlignment="1" applyProtection="1">
      <alignment horizontal="left" vertical="top" wrapText="1"/>
      <protection locked="0"/>
    </xf>
    <xf numFmtId="0" fontId="0" fillId="0" borderId="57" xfId="0" applyFont="1" applyFill="1" applyBorder="1" applyAlignment="1" applyProtection="1">
      <alignment horizontal="left" vertical="top" wrapText="1"/>
      <protection locked="0"/>
    </xf>
    <xf numFmtId="0" fontId="0" fillId="0" borderId="176" xfId="0" applyFont="1" applyFill="1" applyBorder="1" applyAlignment="1" applyProtection="1">
      <alignment horizontal="left" vertical="center" wrapText="1"/>
      <protection locked="0"/>
    </xf>
    <xf numFmtId="0" fontId="0" fillId="0" borderId="56" xfId="0" applyFont="1" applyFill="1" applyBorder="1" applyAlignment="1" applyProtection="1">
      <alignment horizontal="left" vertical="center" wrapText="1"/>
      <protection locked="0"/>
    </xf>
    <xf numFmtId="0" fontId="0" fillId="0" borderId="175" xfId="0" applyFont="1" applyFill="1" applyBorder="1" applyAlignment="1" applyProtection="1">
      <alignment horizontal="left" vertical="center" wrapText="1"/>
      <protection locked="0"/>
    </xf>
    <xf numFmtId="0" fontId="0" fillId="0" borderId="57" xfId="0" applyFont="1" applyFill="1" applyBorder="1" applyAlignment="1" applyProtection="1">
      <alignment horizontal="left" vertical="center" wrapText="1"/>
      <protection locked="0"/>
    </xf>
    <xf numFmtId="0" fontId="0" fillId="0" borderId="780" xfId="0" applyFont="1" applyFill="1" applyBorder="1" applyAlignment="1" applyProtection="1">
      <alignment horizontal="center" vertical="top" wrapText="1"/>
      <protection locked="0"/>
    </xf>
    <xf numFmtId="0" fontId="0" fillId="0" borderId="68" xfId="0" applyFont="1" applyFill="1" applyBorder="1" applyAlignment="1" applyProtection="1">
      <alignment horizontal="center" vertical="top" wrapText="1"/>
      <protection locked="0"/>
    </xf>
    <xf numFmtId="0" fontId="0" fillId="0" borderId="69" xfId="0" applyFont="1" applyFill="1" applyBorder="1" applyAlignment="1" applyProtection="1">
      <alignment horizontal="center" vertical="top" wrapText="1"/>
      <protection locked="0"/>
    </xf>
    <xf numFmtId="0" fontId="0" fillId="37" borderId="779" xfId="0" applyFont="1" applyFill="1" applyBorder="1" applyAlignment="1" applyProtection="1">
      <alignment horizontal="center" vertical="center" wrapText="1"/>
    </xf>
    <xf numFmtId="0" fontId="0" fillId="37" borderId="65" xfId="0" applyFont="1" applyFill="1" applyBorder="1" applyAlignment="1" applyProtection="1">
      <alignment horizontal="center" vertical="center" wrapText="1"/>
    </xf>
    <xf numFmtId="0" fontId="0" fillId="37" borderId="66" xfId="0" applyFont="1" applyFill="1" applyBorder="1" applyAlignment="1" applyProtection="1">
      <alignment horizontal="center" vertical="center" wrapText="1"/>
    </xf>
    <xf numFmtId="0" fontId="0" fillId="0" borderId="176" xfId="0" quotePrefix="1" applyFont="1" applyFill="1" applyBorder="1" applyAlignment="1" applyProtection="1">
      <alignment horizontal="left" vertical="top" wrapText="1"/>
      <protection locked="0"/>
    </xf>
    <xf numFmtId="0" fontId="0" fillId="37" borderId="64" xfId="0" applyFont="1" applyFill="1" applyBorder="1" applyAlignment="1" applyProtection="1">
      <alignment horizontal="center" vertical="center"/>
    </xf>
    <xf numFmtId="0" fontId="0" fillId="37" borderId="65" xfId="0" applyFont="1" applyFill="1" applyBorder="1" applyAlignment="1" applyProtection="1">
      <alignment horizontal="center" vertical="center"/>
    </xf>
    <xf numFmtId="0" fontId="0" fillId="37" borderId="394" xfId="0" applyFont="1" applyFill="1" applyBorder="1" applyAlignment="1" applyProtection="1">
      <alignment horizontal="center" vertical="center"/>
    </xf>
    <xf numFmtId="0" fontId="0" fillId="37" borderId="349" xfId="0" applyFont="1" applyFill="1" applyBorder="1" applyAlignment="1" applyProtection="1">
      <alignment horizontal="center" vertical="center"/>
    </xf>
    <xf numFmtId="0" fontId="0" fillId="37" borderId="394" xfId="0" applyFont="1" applyFill="1" applyBorder="1" applyAlignment="1" applyProtection="1">
      <alignment horizontal="center" vertical="center" wrapText="1"/>
    </xf>
    <xf numFmtId="0" fontId="0" fillId="37" borderId="781" xfId="0" applyFont="1" applyFill="1" applyBorder="1" applyAlignment="1" applyProtection="1">
      <alignment horizontal="center" vertical="center" wrapText="1"/>
    </xf>
    <xf numFmtId="3" fontId="0" fillId="0" borderId="56" xfId="0" quotePrefix="1" applyNumberFormat="1" applyFont="1" applyFill="1" applyBorder="1" applyAlignment="1" applyProtection="1">
      <alignment horizontal="right" vertical="center"/>
      <protection locked="0"/>
    </xf>
    <xf numFmtId="0" fontId="0" fillId="0" borderId="55" xfId="0" quotePrefix="1" applyFont="1" applyFill="1" applyBorder="1" applyAlignment="1" applyProtection="1">
      <alignment horizontal="left" vertical="center" wrapText="1"/>
      <protection locked="0"/>
    </xf>
    <xf numFmtId="0" fontId="6" fillId="39" borderId="101" xfId="2" applyFill="1" applyBorder="1" applyAlignment="1" applyProtection="1">
      <alignment horizontal="left" vertical="top" wrapText="1"/>
      <protection locked="0"/>
    </xf>
    <xf numFmtId="0" fontId="6" fillId="39" borderId="102" xfId="2" applyFill="1" applyBorder="1" applyAlignment="1" applyProtection="1">
      <alignment horizontal="left" vertical="top"/>
      <protection locked="0"/>
    </xf>
    <xf numFmtId="0" fontId="6" fillId="39" borderId="103" xfId="2" applyFill="1" applyBorder="1" applyAlignment="1" applyProtection="1">
      <alignment horizontal="left" vertical="top"/>
      <protection locked="0"/>
    </xf>
    <xf numFmtId="0" fontId="6" fillId="39" borderId="104" xfId="2" applyFill="1" applyBorder="1" applyAlignment="1" applyProtection="1">
      <alignment horizontal="left" vertical="top"/>
      <protection locked="0"/>
    </xf>
    <xf numFmtId="0" fontId="6" fillId="39" borderId="0" xfId="2" applyFill="1" applyBorder="1" applyAlignment="1" applyProtection="1">
      <alignment horizontal="left" vertical="top"/>
      <protection locked="0"/>
    </xf>
    <xf numFmtId="0" fontId="6" fillId="39" borderId="105" xfId="2" applyFill="1" applyBorder="1" applyAlignment="1" applyProtection="1">
      <alignment horizontal="left" vertical="top"/>
      <protection locked="0"/>
    </xf>
    <xf numFmtId="0" fontId="6" fillId="39" borderId="106" xfId="2" applyFill="1" applyBorder="1" applyAlignment="1" applyProtection="1">
      <alignment horizontal="left" vertical="top"/>
      <protection locked="0"/>
    </xf>
    <xf numFmtId="0" fontId="6" fillId="39" borderId="107" xfId="2" applyFill="1" applyBorder="1" applyAlignment="1" applyProtection="1">
      <alignment horizontal="left" vertical="top"/>
      <protection locked="0"/>
    </xf>
    <xf numFmtId="0" fontId="6" fillId="39" borderId="108" xfId="2" applyFill="1" applyBorder="1" applyAlignment="1" applyProtection="1">
      <alignment horizontal="left" vertical="top"/>
      <protection locked="0"/>
    </xf>
    <xf numFmtId="0" fontId="41" fillId="32" borderId="128" xfId="0" applyFont="1" applyFill="1" applyBorder="1" applyAlignment="1" applyProtection="1">
      <alignment horizontal="left" vertical="center"/>
    </xf>
    <xf numFmtId="0" fontId="21" fillId="0" borderId="115" xfId="0" quotePrefix="1" applyFont="1" applyBorder="1" applyAlignment="1" applyProtection="1">
      <alignment horizontal="left" vertical="center"/>
    </xf>
    <xf numFmtId="0" fontId="21" fillId="0" borderId="116" xfId="0" quotePrefix="1" applyFont="1" applyBorder="1" applyAlignment="1" applyProtection="1">
      <alignment horizontal="left" vertical="center"/>
    </xf>
    <xf numFmtId="0" fontId="26" fillId="0" borderId="208" xfId="0" quotePrefix="1" applyFont="1" applyBorder="1" applyAlignment="1" applyProtection="1">
      <alignment horizontal="center" vertical="center"/>
    </xf>
    <xf numFmtId="0" fontId="26" fillId="0" borderId="209" xfId="0" quotePrefix="1" applyFont="1" applyBorder="1" applyAlignment="1" applyProtection="1">
      <alignment horizontal="center" vertical="center"/>
    </xf>
    <xf numFmtId="0" fontId="26" fillId="0" borderId="470" xfId="0" quotePrefix="1" applyFont="1" applyBorder="1" applyAlignment="1" applyProtection="1">
      <alignment horizontal="center" vertical="center"/>
    </xf>
    <xf numFmtId="0" fontId="26" fillId="0" borderId="404" xfId="0" quotePrefix="1" applyFont="1" applyBorder="1" applyAlignment="1" applyProtection="1">
      <alignment horizontal="center" vertical="center"/>
    </xf>
    <xf numFmtId="0" fontId="26" fillId="0" borderId="469" xfId="0" quotePrefix="1" applyFont="1" applyBorder="1" applyAlignment="1" applyProtection="1">
      <alignment horizontal="center" vertical="center"/>
    </xf>
    <xf numFmtId="0" fontId="123" fillId="40" borderId="783" xfId="0" quotePrefix="1" applyFont="1" applyFill="1" applyBorder="1" applyAlignment="1" applyProtection="1">
      <alignment horizontal="left" vertical="center" wrapText="1"/>
    </xf>
    <xf numFmtId="0" fontId="123" fillId="40" borderId="219" xfId="0" quotePrefix="1" applyFont="1" applyFill="1" applyBorder="1" applyAlignment="1" applyProtection="1">
      <alignment horizontal="left" vertical="center" wrapText="1"/>
    </xf>
    <xf numFmtId="0" fontId="21" fillId="40" borderId="109" xfId="0" quotePrefix="1" applyFont="1" applyFill="1" applyBorder="1" applyAlignment="1" applyProtection="1">
      <alignment horizontal="left" vertical="center"/>
    </xf>
    <xf numFmtId="0" fontId="21" fillId="40" borderId="110" xfId="0" quotePrefix="1" applyFont="1" applyFill="1" applyBorder="1" applyAlignment="1" applyProtection="1">
      <alignment horizontal="left" vertical="center"/>
    </xf>
    <xf numFmtId="0" fontId="56" fillId="61" borderId="335" xfId="0" applyFont="1" applyFill="1" applyBorder="1" applyAlignment="1" applyProtection="1">
      <alignment horizontal="right" vertical="center"/>
    </xf>
    <xf numFmtId="0" fontId="57" fillId="61" borderId="335" xfId="0" applyFont="1" applyFill="1" applyBorder="1" applyAlignment="1" applyProtection="1">
      <alignment horizontal="left" vertical="center"/>
    </xf>
    <xf numFmtId="0" fontId="57" fillId="61" borderId="337" xfId="0" applyFont="1" applyFill="1" applyBorder="1" applyAlignment="1" applyProtection="1">
      <alignment horizontal="left" vertical="center"/>
    </xf>
    <xf numFmtId="0" fontId="26" fillId="40" borderId="208" xfId="0" quotePrefix="1" applyFont="1" applyFill="1" applyBorder="1" applyAlignment="1" applyProtection="1">
      <alignment horizontal="left" vertical="center"/>
    </xf>
    <xf numFmtId="0" fontId="26" fillId="40" borderId="209" xfId="0" quotePrefix="1" applyFont="1" applyFill="1" applyBorder="1" applyAlignment="1" applyProtection="1">
      <alignment horizontal="left" vertical="center"/>
    </xf>
    <xf numFmtId="0" fontId="26" fillId="40" borderId="112" xfId="0" quotePrefix="1" applyFont="1" applyFill="1" applyBorder="1" applyAlignment="1" applyProtection="1">
      <alignment horizontal="left" vertical="center"/>
    </xf>
    <xf numFmtId="0" fontId="26" fillId="40" borderId="113" xfId="0" quotePrefix="1" applyFont="1" applyFill="1" applyBorder="1" applyAlignment="1" applyProtection="1">
      <alignment horizontal="left" vertical="center"/>
    </xf>
    <xf numFmtId="0" fontId="26" fillId="40" borderId="118" xfId="0" quotePrefix="1" applyFont="1" applyFill="1" applyBorder="1" applyAlignment="1" applyProtection="1">
      <alignment horizontal="left" vertical="center"/>
    </xf>
    <xf numFmtId="0" fontId="26" fillId="40" borderId="119" xfId="0" quotePrefix="1" applyFont="1" applyFill="1" applyBorder="1" applyAlignment="1" applyProtection="1">
      <alignment horizontal="left" vertical="center"/>
    </xf>
    <xf numFmtId="0" fontId="21" fillId="0" borderId="725" xfId="0" quotePrefix="1" applyFont="1" applyFill="1" applyBorder="1" applyAlignment="1" applyProtection="1">
      <alignment horizontal="left" vertical="center"/>
    </xf>
    <xf numFmtId="0" fontId="21" fillId="0" borderId="726" xfId="0" quotePrefix="1" applyFont="1" applyFill="1" applyBorder="1" applyAlignment="1" applyProtection="1">
      <alignment horizontal="left" vertical="center"/>
    </xf>
    <xf numFmtId="0" fontId="22" fillId="39" borderId="279" xfId="2" applyFont="1" applyFill="1" applyBorder="1" applyAlignment="1" applyProtection="1">
      <alignment horizontal="left" vertical="top"/>
      <protection locked="0"/>
    </xf>
    <xf numFmtId="0" fontId="24" fillId="0" borderId="273" xfId="2" applyFont="1" applyFill="1" applyBorder="1" applyAlignment="1" applyProtection="1">
      <alignment horizontal="left" vertical="center" wrapText="1"/>
      <protection locked="0"/>
    </xf>
    <xf numFmtId="0" fontId="24" fillId="0" borderId="274" xfId="2" applyFont="1" applyFill="1" applyBorder="1" applyAlignment="1" applyProtection="1">
      <alignment horizontal="left" vertical="center" wrapText="1"/>
      <protection locked="0"/>
    </xf>
    <xf numFmtId="0" fontId="24" fillId="0" borderId="360" xfId="2" applyFont="1" applyFill="1" applyBorder="1" applyAlignment="1" applyProtection="1">
      <alignment horizontal="left" vertical="center" wrapText="1"/>
      <protection locked="0"/>
    </xf>
    <xf numFmtId="0" fontId="60" fillId="40" borderId="273" xfId="2" applyFont="1" applyFill="1" applyBorder="1" applyAlignment="1" applyProtection="1">
      <alignment horizontal="center" vertical="center" wrapText="1"/>
      <protection locked="0"/>
    </xf>
    <xf numFmtId="0" fontId="60" fillId="40" borderId="274" xfId="2" applyFont="1" applyFill="1" applyBorder="1" applyAlignment="1" applyProtection="1">
      <alignment horizontal="center" vertical="center" wrapText="1"/>
      <protection locked="0"/>
    </xf>
    <xf numFmtId="0" fontId="60" fillId="40" borderId="274" xfId="2" applyFont="1" applyFill="1" applyBorder="1" applyAlignment="1" applyProtection="1">
      <alignment horizontal="center" vertical="center"/>
      <protection locked="0"/>
    </xf>
    <xf numFmtId="0" fontId="52" fillId="40" borderId="274" xfId="2" applyFont="1" applyFill="1" applyBorder="1" applyAlignment="1" applyProtection="1">
      <alignment horizontal="center" vertical="center"/>
      <protection locked="0"/>
    </xf>
    <xf numFmtId="0" fontId="52" fillId="40" borderId="275" xfId="2" applyFont="1" applyFill="1" applyBorder="1" applyAlignment="1" applyProtection="1">
      <alignment horizontal="center" vertical="center"/>
      <protection locked="0"/>
    </xf>
    <xf numFmtId="0" fontId="24" fillId="0" borderId="273" xfId="2" applyFont="1" applyFill="1" applyBorder="1" applyAlignment="1" applyProtection="1">
      <alignment horizontal="left" vertical="center"/>
      <protection locked="0"/>
    </xf>
    <xf numFmtId="0" fontId="24" fillId="0" borderId="274" xfId="2" applyFont="1" applyFill="1" applyBorder="1" applyAlignment="1" applyProtection="1">
      <alignment horizontal="left" vertical="center"/>
      <protection locked="0"/>
    </xf>
    <xf numFmtId="0" fontId="24" fillId="0" borderId="360" xfId="2" applyFont="1" applyFill="1" applyBorder="1" applyAlignment="1" applyProtection="1">
      <alignment horizontal="left" vertical="center"/>
      <protection locked="0"/>
    </xf>
    <xf numFmtId="0" fontId="60" fillId="40" borderId="264" xfId="2" applyFont="1" applyFill="1" applyBorder="1" applyAlignment="1" applyProtection="1">
      <alignment horizontal="center" vertical="center"/>
      <protection locked="0"/>
    </xf>
    <xf numFmtId="0" fontId="60" fillId="40" borderId="361" xfId="2" applyFont="1" applyFill="1" applyBorder="1" applyAlignment="1" applyProtection="1">
      <alignment horizontal="center" vertical="center"/>
      <protection locked="0"/>
    </xf>
    <xf numFmtId="0" fontId="60" fillId="0" borderId="264" xfId="2" applyFont="1" applyFill="1" applyBorder="1" applyAlignment="1" applyProtection="1">
      <alignment horizontal="center" vertical="center"/>
    </xf>
    <xf numFmtId="0" fontId="60" fillId="0" borderId="265" xfId="2" applyFont="1" applyFill="1" applyBorder="1" applyAlignment="1" applyProtection="1">
      <alignment horizontal="center" vertical="center"/>
    </xf>
    <xf numFmtId="0" fontId="60" fillId="0" borderId="266" xfId="2" applyFont="1" applyFill="1" applyBorder="1" applyAlignment="1" applyProtection="1">
      <alignment horizontal="center" vertical="center"/>
    </xf>
    <xf numFmtId="0" fontId="0" fillId="0" borderId="274" xfId="0" applyFont="1" applyBorder="1" applyAlignment="1" applyProtection="1">
      <alignment horizontal="center"/>
      <protection locked="0"/>
    </xf>
    <xf numFmtId="0" fontId="0" fillId="0" borderId="274" xfId="0" applyFont="1" applyBorder="1" applyAlignment="1" applyProtection="1">
      <alignment horizontal="center"/>
    </xf>
    <xf numFmtId="0" fontId="0" fillId="0" borderId="275" xfId="0" applyFont="1" applyBorder="1" applyAlignment="1" applyProtection="1">
      <alignment horizontal="center"/>
      <protection locked="0"/>
    </xf>
    <xf numFmtId="0" fontId="0" fillId="0" borderId="277" xfId="0" applyFont="1" applyBorder="1" applyAlignment="1" applyProtection="1">
      <alignment horizontal="center"/>
    </xf>
    <xf numFmtId="0" fontId="0" fillId="0" borderId="278" xfId="0" applyFont="1" applyBorder="1" applyAlignment="1" applyProtection="1">
      <alignment horizontal="center"/>
    </xf>
    <xf numFmtId="0" fontId="41" fillId="21" borderId="270" xfId="0" applyFont="1" applyFill="1" applyBorder="1" applyAlignment="1" applyProtection="1">
      <alignment horizontal="center"/>
    </xf>
    <xf numFmtId="0" fontId="41" fillId="21" borderId="271" xfId="0" applyFont="1" applyFill="1" applyBorder="1" applyAlignment="1" applyProtection="1">
      <alignment horizontal="center"/>
    </xf>
    <xf numFmtId="0" fontId="41" fillId="21" borderId="272" xfId="0" applyFont="1" applyFill="1" applyBorder="1" applyAlignment="1" applyProtection="1">
      <alignment horizontal="center"/>
    </xf>
    <xf numFmtId="0" fontId="24" fillId="29" borderId="273" xfId="2" applyFont="1" applyFill="1" applyBorder="1" applyAlignment="1" applyProtection="1">
      <alignment horizontal="left" vertical="center"/>
    </xf>
    <xf numFmtId="0" fontId="24" fillId="29" borderId="274" xfId="2" applyFont="1" applyFill="1" applyBorder="1" applyAlignment="1" applyProtection="1">
      <alignment horizontal="left" vertical="center"/>
    </xf>
    <xf numFmtId="0" fontId="24" fillId="29" borderId="360" xfId="2" applyFont="1" applyFill="1" applyBorder="1" applyAlignment="1" applyProtection="1">
      <alignment horizontal="left" vertical="center"/>
    </xf>
    <xf numFmtId="0" fontId="60" fillId="40" borderId="373" xfId="2" applyFont="1" applyFill="1" applyBorder="1" applyAlignment="1" applyProtection="1">
      <alignment horizontal="center" vertical="center" wrapText="1"/>
    </xf>
    <xf numFmtId="0" fontId="60" fillId="0" borderId="369" xfId="2" applyFont="1" applyFill="1" applyBorder="1" applyAlignment="1" applyProtection="1">
      <alignment horizontal="center" vertical="center"/>
    </xf>
    <xf numFmtId="0" fontId="60" fillId="0" borderId="370" xfId="2" applyFont="1" applyFill="1" applyBorder="1" applyAlignment="1" applyProtection="1">
      <alignment horizontal="center" vertical="center"/>
    </xf>
    <xf numFmtId="0" fontId="60" fillId="0" borderId="371" xfId="2" applyFont="1" applyFill="1" applyBorder="1" applyAlignment="1" applyProtection="1">
      <alignment horizontal="center" vertical="center"/>
    </xf>
    <xf numFmtId="0" fontId="35" fillId="26" borderId="1008" xfId="2" quotePrefix="1" applyFont="1" applyFill="1" applyBorder="1" applyAlignment="1" applyProtection="1">
      <alignment horizontal="left" vertical="center" wrapText="1"/>
      <protection locked="0"/>
    </xf>
    <xf numFmtId="0" fontId="35" fillId="26" borderId="265" xfId="2" quotePrefix="1" applyFont="1" applyFill="1" applyBorder="1" applyAlignment="1" applyProtection="1">
      <alignment horizontal="left" vertical="center" wrapText="1"/>
      <protection locked="0"/>
    </xf>
    <xf numFmtId="0" fontId="35" fillId="26" borderId="1009" xfId="2" quotePrefix="1" applyFont="1" applyFill="1" applyBorder="1" applyAlignment="1" applyProtection="1">
      <alignment horizontal="left" vertical="center" wrapText="1"/>
      <protection locked="0"/>
    </xf>
    <xf numFmtId="0" fontId="35" fillId="26" borderId="1022" xfId="2" quotePrefix="1" applyFont="1" applyFill="1" applyBorder="1" applyAlignment="1" applyProtection="1">
      <alignment horizontal="left" vertical="center" wrapText="1"/>
      <protection locked="0"/>
    </xf>
    <xf numFmtId="0" fontId="35" fillId="26" borderId="268" xfId="2" quotePrefix="1" applyFont="1" applyFill="1" applyBorder="1" applyAlignment="1" applyProtection="1">
      <alignment horizontal="left" vertical="center" wrapText="1"/>
      <protection locked="0"/>
    </xf>
    <xf numFmtId="0" fontId="35" fillId="26" borderId="1023" xfId="2" quotePrefix="1" applyFont="1" applyFill="1" applyBorder="1" applyAlignment="1" applyProtection="1">
      <alignment horizontal="left" vertical="center" wrapText="1"/>
      <protection locked="0"/>
    </xf>
    <xf numFmtId="0" fontId="35" fillId="26" borderId="1022" xfId="2" quotePrefix="1" applyFont="1" applyFill="1" applyBorder="1" applyAlignment="1" applyProtection="1">
      <alignment horizontal="center" vertical="center" wrapText="1"/>
      <protection locked="0"/>
    </xf>
    <xf numFmtId="0" fontId="35" fillId="26" borderId="1017" xfId="2" quotePrefix="1" applyFont="1" applyFill="1" applyBorder="1" applyAlignment="1" applyProtection="1">
      <alignment horizontal="left" vertical="center" wrapText="1"/>
      <protection locked="0"/>
    </xf>
    <xf numFmtId="0" fontId="35" fillId="26" borderId="1018" xfId="2" quotePrefix="1" applyFont="1" applyFill="1" applyBorder="1" applyAlignment="1" applyProtection="1">
      <alignment horizontal="left" vertical="center" wrapText="1"/>
      <protection locked="0"/>
    </xf>
    <xf numFmtId="0" fontId="35" fillId="26" borderId="1019" xfId="2" quotePrefix="1" applyFont="1" applyFill="1" applyBorder="1" applyAlignment="1" applyProtection="1">
      <alignment horizontal="left" vertical="center" wrapText="1"/>
      <protection locked="0"/>
    </xf>
    <xf numFmtId="0" fontId="35" fillId="26" borderId="1010" xfId="2" quotePrefix="1" applyFont="1" applyFill="1" applyBorder="1" applyAlignment="1" applyProtection="1">
      <alignment horizontal="left" vertical="center" wrapText="1"/>
      <protection locked="0"/>
    </xf>
    <xf numFmtId="0" fontId="35" fillId="26" borderId="370" xfId="2" quotePrefix="1" applyFont="1" applyFill="1" applyBorder="1" applyAlignment="1" applyProtection="1">
      <alignment horizontal="left" vertical="center" wrapText="1"/>
      <protection locked="0"/>
    </xf>
    <xf numFmtId="0" fontId="35" fillId="26" borderId="1011" xfId="2" quotePrefix="1" applyFont="1" applyFill="1" applyBorder="1" applyAlignment="1" applyProtection="1">
      <alignment horizontal="left" vertical="center" wrapText="1"/>
      <protection locked="0"/>
    </xf>
    <xf numFmtId="0" fontId="35" fillId="26" borderId="336" xfId="2" quotePrefix="1" applyFont="1" applyFill="1" applyBorder="1" applyAlignment="1" applyProtection="1">
      <alignment horizontal="left" vertical="center" wrapText="1"/>
      <protection locked="0"/>
    </xf>
    <xf numFmtId="0" fontId="35" fillId="26" borderId="443" xfId="2" quotePrefix="1" applyFont="1" applyFill="1" applyBorder="1" applyAlignment="1" applyProtection="1">
      <alignment horizontal="left" vertical="center" wrapText="1"/>
      <protection locked="0"/>
    </xf>
    <xf numFmtId="0" fontId="35" fillId="26" borderId="444" xfId="2" quotePrefix="1" applyFont="1" applyFill="1" applyBorder="1" applyAlignment="1" applyProtection="1">
      <alignment horizontal="left" vertical="center" wrapText="1"/>
      <protection locked="0"/>
    </xf>
    <xf numFmtId="0" fontId="35" fillId="26" borderId="1024" xfId="2" quotePrefix="1" applyFont="1" applyFill="1" applyBorder="1" applyAlignment="1" applyProtection="1">
      <alignment horizontal="left" vertical="center" wrapText="1"/>
      <protection locked="0"/>
    </xf>
    <xf numFmtId="0" fontId="35" fillId="26" borderId="280" xfId="2" quotePrefix="1" applyFont="1" applyFill="1" applyBorder="1" applyAlignment="1" applyProtection="1">
      <alignment horizontal="left" vertical="center" wrapText="1"/>
      <protection locked="0"/>
    </xf>
    <xf numFmtId="0" fontId="35" fillId="26" borderId="1025" xfId="2" quotePrefix="1" applyFont="1" applyFill="1" applyBorder="1" applyAlignment="1" applyProtection="1">
      <alignment horizontal="left" vertical="center" wrapText="1"/>
      <protection locked="0"/>
    </xf>
    <xf numFmtId="0" fontId="35" fillId="70" borderId="264" xfId="2" quotePrefix="1" applyFont="1" applyFill="1" applyBorder="1" applyAlignment="1" applyProtection="1">
      <alignment horizontal="center" vertical="center" wrapText="1"/>
      <protection locked="0"/>
    </xf>
    <xf numFmtId="0" fontId="35" fillId="70" borderId="265" xfId="2" quotePrefix="1" applyFont="1" applyFill="1" applyBorder="1" applyAlignment="1" applyProtection="1">
      <alignment horizontal="center" vertical="center" wrapText="1"/>
      <protection locked="0"/>
    </xf>
    <xf numFmtId="0" fontId="35" fillId="70" borderId="360" xfId="2" quotePrefix="1" applyFont="1" applyFill="1" applyBorder="1" applyAlignment="1" applyProtection="1">
      <alignment horizontal="center" vertical="center" wrapText="1"/>
      <protection locked="0"/>
    </xf>
    <xf numFmtId="0" fontId="25" fillId="0" borderId="635" xfId="2" quotePrefix="1" applyFont="1" applyFill="1" applyBorder="1" applyAlignment="1" applyProtection="1">
      <alignment horizontal="left" vertical="center" wrapText="1"/>
    </xf>
    <xf numFmtId="0" fontId="25" fillId="0" borderId="636" xfId="2" quotePrefix="1" applyFont="1" applyFill="1" applyBorder="1" applyAlignment="1" applyProtection="1">
      <alignment horizontal="left" vertical="center" wrapText="1"/>
    </xf>
    <xf numFmtId="0" fontId="25" fillId="0" borderId="730" xfId="2" quotePrefix="1" applyFont="1" applyFill="1" applyBorder="1" applyAlignment="1" applyProtection="1">
      <alignment horizontal="left" vertical="top" wrapText="1"/>
    </xf>
    <xf numFmtId="0" fontId="25" fillId="0" borderId="636" xfId="2" quotePrefix="1" applyFont="1" applyFill="1" applyBorder="1" applyAlignment="1" applyProtection="1">
      <alignment horizontal="left" vertical="top" wrapText="1"/>
    </xf>
    <xf numFmtId="0" fontId="25" fillId="0" borderId="637" xfId="2" quotePrefix="1" applyFont="1" applyFill="1" applyBorder="1" applyAlignment="1" applyProtection="1">
      <alignment horizontal="left" vertical="top" wrapText="1"/>
    </xf>
    <xf numFmtId="0" fontId="60" fillId="0" borderId="485" xfId="2" applyFont="1" applyFill="1" applyBorder="1" applyAlignment="1" applyProtection="1">
      <alignment horizontal="center" vertical="center"/>
    </xf>
    <xf numFmtId="0" fontId="60" fillId="0" borderId="486" xfId="2" applyFont="1" applyFill="1" applyBorder="1" applyAlignment="1" applyProtection="1">
      <alignment horizontal="center" vertical="center"/>
    </xf>
    <xf numFmtId="0" fontId="60" fillId="0" borderId="487" xfId="2" applyFont="1" applyFill="1" applyBorder="1" applyAlignment="1" applyProtection="1">
      <alignment horizontal="center" vertical="center"/>
    </xf>
    <xf numFmtId="0" fontId="57" fillId="20" borderId="376" xfId="0" quotePrefix="1" applyFont="1" applyFill="1" applyBorder="1" applyAlignment="1" applyProtection="1">
      <alignment horizontal="center" vertical="center" wrapText="1"/>
    </xf>
    <xf numFmtId="0" fontId="57" fillId="20" borderId="375" xfId="0" quotePrefix="1" applyFont="1" applyFill="1" applyBorder="1" applyAlignment="1" applyProtection="1">
      <alignment horizontal="center" vertical="center" wrapText="1"/>
    </xf>
    <xf numFmtId="0" fontId="57" fillId="20" borderId="415" xfId="0" quotePrefix="1" applyFont="1" applyFill="1" applyBorder="1" applyAlignment="1" applyProtection="1">
      <alignment horizontal="center" vertical="center" wrapText="1"/>
    </xf>
    <xf numFmtId="0" fontId="57" fillId="20" borderId="369" xfId="0" quotePrefix="1" applyFont="1" applyFill="1" applyBorder="1" applyAlignment="1" applyProtection="1">
      <alignment horizontal="center" vertical="center" wrapText="1"/>
    </xf>
    <xf numFmtId="0" fontId="57" fillId="20" borderId="370" xfId="0" quotePrefix="1" applyFont="1" applyFill="1" applyBorder="1" applyAlignment="1" applyProtection="1">
      <alignment horizontal="center" vertical="center" wrapText="1"/>
    </xf>
    <xf numFmtId="0" fontId="57" fillId="20" borderId="368" xfId="0" quotePrefix="1" applyFont="1" applyFill="1" applyBorder="1" applyAlignment="1" applyProtection="1">
      <alignment horizontal="center" vertical="center" wrapText="1"/>
    </xf>
    <xf numFmtId="0" fontId="41" fillId="26" borderId="365" xfId="0" applyFont="1" applyFill="1" applyBorder="1" applyAlignment="1" applyProtection="1">
      <alignment horizontal="center" vertical="center" wrapText="1"/>
      <protection locked="0"/>
    </xf>
    <xf numFmtId="0" fontId="41" fillId="26" borderId="366" xfId="0" applyFont="1" applyFill="1" applyBorder="1" applyAlignment="1" applyProtection="1">
      <alignment horizontal="center" vertical="center" wrapText="1"/>
      <protection locked="0"/>
    </xf>
    <xf numFmtId="0" fontId="104" fillId="20" borderId="274" xfId="0" applyFont="1" applyFill="1" applyBorder="1" applyAlignment="1" applyProtection="1">
      <alignment horizontal="center" vertical="center" wrapText="1"/>
    </xf>
    <xf numFmtId="0" fontId="57" fillId="0" borderId="264" xfId="0" quotePrefix="1" applyFont="1" applyFill="1" applyBorder="1" applyAlignment="1" applyProtection="1">
      <alignment horizontal="center" vertical="center" wrapText="1"/>
    </xf>
    <xf numFmtId="0" fontId="57" fillId="0" borderId="265" xfId="0" quotePrefix="1" applyFont="1" applyFill="1" applyBorder="1" applyAlignment="1" applyProtection="1">
      <alignment horizontal="center" vertical="center" wrapText="1"/>
    </xf>
    <xf numFmtId="0" fontId="57" fillId="0" borderId="266" xfId="0" quotePrefix="1" applyFont="1" applyFill="1" applyBorder="1" applyAlignment="1" applyProtection="1">
      <alignment horizontal="center" vertical="center" wrapText="1"/>
    </xf>
    <xf numFmtId="0" fontId="35" fillId="0" borderId="273" xfId="2" applyFont="1" applyFill="1" applyBorder="1" applyAlignment="1" applyProtection="1">
      <alignment horizontal="left" vertical="center"/>
      <protection locked="0"/>
    </xf>
    <xf numFmtId="0" fontId="35" fillId="0" borderId="274" xfId="2" applyFont="1" applyFill="1" applyBorder="1" applyAlignment="1" applyProtection="1">
      <alignment horizontal="left" vertical="center"/>
      <protection locked="0"/>
    </xf>
    <xf numFmtId="0" fontId="35" fillId="26" borderId="274" xfId="0" applyFont="1" applyFill="1" applyBorder="1" applyAlignment="1" applyProtection="1">
      <alignment horizontal="center" vertical="center" wrapText="1"/>
      <protection locked="0"/>
    </xf>
    <xf numFmtId="0" fontId="35" fillId="40" borderId="274" xfId="0" applyFont="1" applyFill="1" applyBorder="1" applyAlignment="1" applyProtection="1">
      <alignment horizontal="left" vertical="top" wrapText="1"/>
      <protection locked="0"/>
    </xf>
    <xf numFmtId="0" fontId="35" fillId="40" borderId="275" xfId="0" applyFont="1" applyFill="1" applyBorder="1" applyAlignment="1" applyProtection="1">
      <alignment horizontal="left" vertical="top" wrapText="1"/>
      <protection locked="0"/>
    </xf>
    <xf numFmtId="0" fontId="26" fillId="0" borderId="274" xfId="0" applyFont="1" applyFill="1" applyBorder="1" applyAlignment="1" applyProtection="1">
      <alignment horizontal="left" vertical="center"/>
      <protection locked="0"/>
    </xf>
    <xf numFmtId="0" fontId="58" fillId="8" borderId="265" xfId="0" applyFont="1" applyFill="1" applyBorder="1" applyAlignment="1" applyProtection="1">
      <alignment horizontal="center" vertical="center" wrapText="1"/>
    </xf>
    <xf numFmtId="0" fontId="58" fillId="8" borderId="265" xfId="0" applyFont="1" applyFill="1" applyBorder="1" applyAlignment="1" applyProtection="1">
      <alignment horizontal="left" vertical="top" wrapText="1"/>
    </xf>
    <xf numFmtId="0" fontId="58" fillId="8" borderId="266" xfId="0" applyFont="1" applyFill="1" applyBorder="1" applyAlignment="1" applyProtection="1">
      <alignment horizontal="left" vertical="top" wrapText="1"/>
    </xf>
    <xf numFmtId="0" fontId="35" fillId="0" borderId="273" xfId="0" quotePrefix="1" applyFont="1" applyFill="1" applyBorder="1" applyAlignment="1" applyProtection="1">
      <alignment horizontal="left" vertical="center"/>
      <protection locked="0"/>
    </xf>
    <xf numFmtId="0" fontId="58" fillId="8" borderId="264" xfId="2" applyFont="1" applyFill="1" applyBorder="1" applyAlignment="1" applyProtection="1">
      <alignment horizontal="left" vertical="center"/>
    </xf>
    <xf numFmtId="0" fontId="58" fillId="8" borderId="265" xfId="0" applyFont="1" applyFill="1" applyBorder="1" applyAlignment="1" applyProtection="1">
      <alignment horizontal="left" vertical="center"/>
    </xf>
    <xf numFmtId="0" fontId="35" fillId="0" borderId="273" xfId="2" quotePrefix="1" applyFont="1" applyFill="1" applyBorder="1" applyAlignment="1" applyProtection="1">
      <alignment horizontal="left" vertical="center"/>
      <protection locked="0"/>
    </xf>
    <xf numFmtId="0" fontId="58" fillId="8" borderId="267" xfId="2" quotePrefix="1" applyFont="1" applyFill="1" applyBorder="1" applyAlignment="1" applyProtection="1">
      <alignment horizontal="left" vertical="center"/>
    </xf>
    <xf numFmtId="0" fontId="58" fillId="8" borderId="268" xfId="0" applyFont="1" applyFill="1" applyBorder="1" applyAlignment="1" applyProtection="1">
      <alignment horizontal="left" vertical="center"/>
    </xf>
    <xf numFmtId="0" fontId="58" fillId="8" borderId="268" xfId="0" applyFont="1" applyFill="1" applyBorder="1" applyAlignment="1" applyProtection="1">
      <alignment horizontal="center" vertical="center" wrapText="1"/>
    </xf>
    <xf numFmtId="0" fontId="58" fillId="8" borderId="268" xfId="0" applyFont="1" applyFill="1" applyBorder="1" applyAlignment="1" applyProtection="1">
      <alignment horizontal="left" vertical="top" wrapText="1"/>
    </xf>
    <xf numFmtId="0" fontId="58" fillId="8" borderId="269" xfId="0" applyFont="1" applyFill="1" applyBorder="1" applyAlignment="1" applyProtection="1">
      <alignment horizontal="left" vertical="top" wrapText="1"/>
    </xf>
    <xf numFmtId="0" fontId="35" fillId="40" borderId="416" xfId="0" applyFont="1" applyFill="1" applyBorder="1" applyAlignment="1" applyProtection="1">
      <alignment horizontal="left" vertical="top" wrapText="1"/>
      <protection locked="0"/>
    </xf>
    <xf numFmtId="0" fontId="35" fillId="40" borderId="280" xfId="0" applyFont="1" applyFill="1" applyBorder="1" applyAlignment="1" applyProtection="1">
      <alignment horizontal="left" vertical="top" wrapText="1"/>
      <protection locked="0"/>
    </xf>
    <xf numFmtId="0" fontId="35" fillId="40" borderId="412" xfId="0" applyFont="1" applyFill="1" applyBorder="1" applyAlignment="1" applyProtection="1">
      <alignment horizontal="left" vertical="top" wrapText="1"/>
      <protection locked="0"/>
    </xf>
    <xf numFmtId="0" fontId="35" fillId="40" borderId="417" xfId="0" applyFont="1" applyFill="1" applyBorder="1" applyAlignment="1" applyProtection="1">
      <alignment horizontal="left" vertical="top" wrapText="1"/>
      <protection locked="0"/>
    </xf>
    <xf numFmtId="0" fontId="35" fillId="40" borderId="0" xfId="0" applyFont="1" applyFill="1" applyBorder="1" applyAlignment="1" applyProtection="1">
      <alignment horizontal="left" vertical="top" wrapText="1"/>
      <protection locked="0"/>
    </xf>
    <xf numFmtId="0" fontId="35" fillId="40" borderId="380" xfId="0" applyFont="1" applyFill="1" applyBorder="1" applyAlignment="1" applyProtection="1">
      <alignment horizontal="left" vertical="top" wrapText="1"/>
      <protection locked="0"/>
    </xf>
    <xf numFmtId="0" fontId="35" fillId="40" borderId="367" xfId="0" applyFont="1" applyFill="1" applyBorder="1" applyAlignment="1" applyProtection="1">
      <alignment horizontal="left" vertical="top" wrapText="1"/>
      <protection locked="0"/>
    </xf>
    <xf numFmtId="0" fontId="35" fillId="40" borderId="370" xfId="0" applyFont="1" applyFill="1" applyBorder="1" applyAlignment="1" applyProtection="1">
      <alignment horizontal="left" vertical="top" wrapText="1"/>
      <protection locked="0"/>
    </xf>
    <xf numFmtId="0" fontId="35" fillId="40" borderId="371" xfId="0" applyFont="1" applyFill="1" applyBorder="1" applyAlignment="1" applyProtection="1">
      <alignment horizontal="left" vertical="top" wrapText="1"/>
      <protection locked="0"/>
    </xf>
    <xf numFmtId="0" fontId="57" fillId="20" borderId="370" xfId="0" applyFont="1" applyFill="1" applyBorder="1" applyAlignment="1" applyProtection="1">
      <alignment horizontal="left" vertical="center"/>
    </xf>
    <xf numFmtId="0" fontId="57" fillId="20" borderId="371" xfId="0" applyFont="1" applyFill="1" applyBorder="1" applyAlignment="1" applyProtection="1">
      <alignment horizontal="left" vertical="center"/>
    </xf>
    <xf numFmtId="0" fontId="35" fillId="0" borderId="855" xfId="0" applyFont="1" applyFill="1" applyBorder="1" applyAlignment="1" applyProtection="1">
      <alignment horizontal="center" vertical="center" wrapText="1"/>
    </xf>
    <xf numFmtId="0" fontId="35" fillId="0" borderId="856" xfId="0" applyFont="1" applyFill="1" applyBorder="1" applyAlignment="1" applyProtection="1">
      <alignment horizontal="center" vertical="center" wrapText="1"/>
    </xf>
    <xf numFmtId="0" fontId="35" fillId="0" borderId="857" xfId="0" applyFont="1" applyFill="1" applyBorder="1" applyAlignment="1" applyProtection="1">
      <alignment horizontal="center" vertical="center" wrapText="1"/>
    </xf>
    <xf numFmtId="2" fontId="35" fillId="0" borderId="497" xfId="3" applyNumberFormat="1" applyFont="1" applyFill="1" applyBorder="1" applyAlignment="1" applyProtection="1">
      <alignment horizontal="center" vertical="center" wrapText="1"/>
    </xf>
    <xf numFmtId="2" fontId="35" fillId="0" borderId="498" xfId="3" applyNumberFormat="1" applyFont="1" applyFill="1" applyBorder="1" applyAlignment="1" applyProtection="1">
      <alignment horizontal="center" vertical="center" wrapText="1"/>
    </xf>
    <xf numFmtId="2" fontId="35" fillId="0" borderId="499" xfId="3" applyNumberFormat="1" applyFont="1" applyFill="1" applyBorder="1" applyAlignment="1" applyProtection="1">
      <alignment horizontal="center" vertical="center" wrapText="1"/>
    </xf>
    <xf numFmtId="0" fontId="24" fillId="26" borderId="800" xfId="2" applyFont="1" applyFill="1" applyBorder="1" applyAlignment="1" applyProtection="1">
      <alignment horizontal="center" vertical="center" wrapText="1"/>
      <protection locked="0"/>
    </xf>
    <xf numFmtId="0" fontId="40" fillId="29" borderId="790" xfId="0" applyFont="1" applyFill="1" applyBorder="1" applyAlignment="1" applyProtection="1">
      <alignment horizontal="left" vertical="center"/>
    </xf>
    <xf numFmtId="0" fontId="2" fillId="29" borderId="791" xfId="0" applyFont="1" applyFill="1" applyBorder="1" applyAlignment="1" applyProtection="1">
      <alignment horizontal="left" vertical="center"/>
    </xf>
    <xf numFmtId="0" fontId="2" fillId="29" borderId="792" xfId="0" applyFont="1" applyFill="1" applyBorder="1" applyAlignment="1" applyProtection="1">
      <alignment horizontal="left" vertical="center"/>
    </xf>
    <xf numFmtId="0" fontId="1" fillId="40" borderId="799" xfId="0" applyFont="1" applyFill="1" applyBorder="1" applyAlignment="1" applyProtection="1">
      <alignment horizontal="left" vertical="top" wrapText="1"/>
      <protection locked="0"/>
    </xf>
    <xf numFmtId="0" fontId="0" fillId="40" borderId="800" xfId="0" applyFont="1" applyFill="1" applyBorder="1" applyAlignment="1" applyProtection="1">
      <alignment horizontal="left" vertical="top" wrapText="1"/>
      <protection locked="0"/>
    </xf>
    <xf numFmtId="0" fontId="0" fillId="40" borderId="801" xfId="0" applyFont="1" applyFill="1" applyBorder="1" applyAlignment="1" applyProtection="1">
      <alignment horizontal="left" vertical="top" wrapText="1"/>
      <protection locked="0"/>
    </xf>
    <xf numFmtId="0" fontId="0" fillId="40" borderId="799" xfId="0" applyFont="1" applyFill="1" applyBorder="1" applyAlignment="1" applyProtection="1">
      <alignment horizontal="left" vertical="top" wrapText="1"/>
      <protection locked="0"/>
    </xf>
    <xf numFmtId="0" fontId="0" fillId="40" borderId="793" xfId="0" applyFont="1" applyFill="1" applyBorder="1" applyAlignment="1" applyProtection="1">
      <alignment horizontal="left" vertical="top" wrapText="1"/>
      <protection locked="0"/>
    </xf>
    <xf numFmtId="0" fontId="0" fillId="40" borderId="794" xfId="0" applyFont="1" applyFill="1" applyBorder="1" applyAlignment="1" applyProtection="1">
      <alignment horizontal="left" vertical="top" wrapText="1"/>
      <protection locked="0"/>
    </xf>
    <xf numFmtId="0" fontId="0" fillId="40" borderId="795" xfId="0" applyFont="1" applyFill="1" applyBorder="1" applyAlignment="1" applyProtection="1">
      <alignment horizontal="left" vertical="top" wrapText="1"/>
      <protection locked="0"/>
    </xf>
    <xf numFmtId="0" fontId="35" fillId="0" borderId="802" xfId="2" applyFont="1" applyFill="1" applyBorder="1" applyAlignment="1" applyProtection="1">
      <alignment horizontal="right" vertical="center"/>
    </xf>
    <xf numFmtId="0" fontId="35" fillId="0" borderId="803" xfId="2" applyFont="1" applyFill="1" applyBorder="1" applyAlignment="1" applyProtection="1">
      <alignment horizontal="right" vertical="center"/>
    </xf>
    <xf numFmtId="0" fontId="24" fillId="0" borderId="803" xfId="2" applyFont="1" applyFill="1" applyBorder="1" applyAlignment="1" applyProtection="1">
      <alignment horizontal="center" vertical="center"/>
    </xf>
    <xf numFmtId="0" fontId="40" fillId="29" borderId="791" xfId="0" applyFont="1" applyFill="1" applyBorder="1" applyAlignment="1" applyProtection="1">
      <alignment horizontal="left" vertical="center"/>
    </xf>
    <xf numFmtId="0" fontId="40" fillId="29" borderId="792" xfId="0" applyFont="1" applyFill="1" applyBorder="1" applyAlignment="1" applyProtection="1">
      <alignment horizontal="left" vertical="center"/>
    </xf>
    <xf numFmtId="0" fontId="1" fillId="40" borderId="800" xfId="0" applyFont="1" applyFill="1" applyBorder="1" applyAlignment="1" applyProtection="1">
      <alignment horizontal="left" vertical="top" wrapText="1"/>
      <protection locked="0"/>
    </xf>
    <xf numFmtId="0" fontId="1" fillId="40" borderId="801" xfId="0" applyFont="1" applyFill="1" applyBorder="1" applyAlignment="1" applyProtection="1">
      <alignment horizontal="left" vertical="top" wrapText="1"/>
      <protection locked="0"/>
    </xf>
    <xf numFmtId="0" fontId="1" fillId="40" borderId="793" xfId="0" applyFont="1" applyFill="1" applyBorder="1" applyAlignment="1" applyProtection="1">
      <alignment horizontal="left" vertical="top" wrapText="1"/>
      <protection locked="0"/>
    </xf>
    <xf numFmtId="0" fontId="1" fillId="40" borderId="794" xfId="0" applyFont="1" applyFill="1" applyBorder="1" applyAlignment="1" applyProtection="1">
      <alignment horizontal="left" vertical="top" wrapText="1"/>
      <protection locked="0"/>
    </xf>
    <xf numFmtId="0" fontId="1" fillId="40" borderId="795" xfId="0" applyFont="1" applyFill="1" applyBorder="1" applyAlignment="1" applyProtection="1">
      <alignment horizontal="left" vertical="top" wrapText="1"/>
      <protection locked="0"/>
    </xf>
    <xf numFmtId="0" fontId="24" fillId="0" borderId="799" xfId="2" applyFont="1" applyFill="1" applyBorder="1" applyAlignment="1" applyProtection="1">
      <alignment horizontal="left" vertical="center"/>
    </xf>
    <xf numFmtId="0" fontId="24" fillId="0" borderId="800" xfId="2" applyFont="1" applyFill="1" applyBorder="1" applyAlignment="1" applyProtection="1">
      <alignment horizontal="left" vertical="center"/>
    </xf>
    <xf numFmtId="0" fontId="24" fillId="40" borderId="800" xfId="2" applyFont="1" applyFill="1" applyBorder="1" applyAlignment="1" applyProtection="1">
      <alignment horizontal="center" vertical="center"/>
      <protection locked="0"/>
    </xf>
    <xf numFmtId="0" fontId="24" fillId="26" borderId="800" xfId="2" applyFont="1" applyFill="1" applyBorder="1" applyAlignment="1" applyProtection="1">
      <alignment horizontal="center" vertical="center"/>
      <protection locked="0"/>
    </xf>
    <xf numFmtId="0" fontId="35" fillId="26" borderId="800" xfId="2" applyFont="1" applyFill="1" applyBorder="1" applyAlignment="1" applyProtection="1">
      <alignment horizontal="center" vertical="center"/>
      <protection locked="0"/>
    </xf>
    <xf numFmtId="0" fontId="35" fillId="0" borderId="800" xfId="2" applyFont="1" applyFill="1" applyBorder="1" applyAlignment="1" applyProtection="1">
      <alignment horizontal="center" vertical="center"/>
    </xf>
    <xf numFmtId="0" fontId="60" fillId="0" borderId="793" xfId="2" applyFont="1" applyFill="1" applyBorder="1" applyAlignment="1" applyProtection="1">
      <alignment horizontal="center" vertical="center"/>
    </xf>
    <xf numFmtId="0" fontId="60" fillId="0" borderId="794" xfId="2" applyFont="1" applyFill="1" applyBorder="1" applyAlignment="1" applyProtection="1">
      <alignment horizontal="center" vertical="center"/>
    </xf>
    <xf numFmtId="0" fontId="60" fillId="0" borderId="795" xfId="2" applyFont="1" applyFill="1" applyBorder="1" applyAlignment="1" applyProtection="1">
      <alignment horizontal="center" vertical="center"/>
    </xf>
    <xf numFmtId="0" fontId="60" fillId="0" borderId="790" xfId="2" applyFont="1" applyFill="1" applyBorder="1" applyAlignment="1" applyProtection="1">
      <alignment horizontal="center" vertical="center"/>
    </xf>
    <xf numFmtId="0" fontId="60" fillId="0" borderId="791" xfId="2" applyFont="1" applyFill="1" applyBorder="1" applyAlignment="1" applyProtection="1">
      <alignment horizontal="center" vertical="center"/>
    </xf>
    <xf numFmtId="0" fontId="60" fillId="0" borderId="792" xfId="2" applyFont="1" applyFill="1" applyBorder="1" applyAlignment="1" applyProtection="1">
      <alignment horizontal="center" vertical="center"/>
    </xf>
    <xf numFmtId="0" fontId="63" fillId="40" borderId="793" xfId="2" applyFont="1" applyFill="1" applyBorder="1" applyAlignment="1" applyProtection="1">
      <alignment horizontal="center" vertical="center" wrapText="1"/>
    </xf>
    <xf numFmtId="0" fontId="63" fillId="40" borderId="794" xfId="2" applyFont="1" applyFill="1" applyBorder="1" applyAlignment="1" applyProtection="1">
      <alignment horizontal="center" vertical="center" wrapText="1"/>
    </xf>
    <xf numFmtId="0" fontId="118" fillId="40" borderId="794" xfId="2" applyFont="1" applyFill="1" applyBorder="1" applyAlignment="1" applyProtection="1">
      <alignment horizontal="center" vertical="center" wrapText="1"/>
    </xf>
    <xf numFmtId="0" fontId="41" fillId="29" borderId="790" xfId="2" applyFont="1" applyFill="1" applyBorder="1" applyAlignment="1" applyProtection="1">
      <alignment horizontal="center" vertical="center" wrapText="1"/>
    </xf>
    <xf numFmtId="0" fontId="41" fillId="29" borderId="791" xfId="2" applyFont="1" applyFill="1" applyBorder="1" applyAlignment="1" applyProtection="1">
      <alignment horizontal="center" vertical="center" wrapText="1"/>
    </xf>
    <xf numFmtId="0" fontId="41" fillId="29" borderId="791" xfId="2" applyFont="1" applyFill="1" applyBorder="1" applyAlignment="1" applyProtection="1">
      <alignment horizontal="center" vertical="center"/>
    </xf>
    <xf numFmtId="0" fontId="41" fillId="29" borderId="792" xfId="2" applyFont="1" applyFill="1" applyBorder="1" applyAlignment="1" applyProtection="1">
      <alignment horizontal="center" vertical="center"/>
    </xf>
    <xf numFmtId="0" fontId="40" fillId="7" borderId="549" xfId="0" applyFont="1" applyFill="1" applyBorder="1" applyAlignment="1" applyProtection="1">
      <alignment horizontal="left" vertical="center"/>
    </xf>
    <xf numFmtId="0" fontId="2" fillId="7" borderId="550" xfId="0" applyFont="1" applyFill="1" applyBorder="1" applyAlignment="1" applyProtection="1">
      <alignment horizontal="left" vertical="center"/>
    </xf>
    <xf numFmtId="0" fontId="2" fillId="7" borderId="551" xfId="0" applyFont="1" applyFill="1" applyBorder="1" applyAlignment="1" applyProtection="1">
      <alignment horizontal="left" vertical="center"/>
    </xf>
    <xf numFmtId="0" fontId="1" fillId="0" borderId="529" xfId="6" applyFont="1" applyBorder="1" applyAlignment="1" applyProtection="1">
      <alignment horizontal="center"/>
    </xf>
    <xf numFmtId="0" fontId="1" fillId="0" borderId="530" xfId="6" applyFont="1" applyBorder="1" applyAlignment="1" applyProtection="1">
      <alignment horizontal="center"/>
    </xf>
    <xf numFmtId="0" fontId="11" fillId="0" borderId="535" xfId="6" applyFont="1" applyBorder="1" applyAlignment="1" applyProtection="1">
      <alignment horizontal="center"/>
    </xf>
    <xf numFmtId="0" fontId="11" fillId="0" borderId="536" xfId="6" applyFont="1" applyBorder="1" applyAlignment="1" applyProtection="1">
      <alignment horizontal="center"/>
    </xf>
    <xf numFmtId="0" fontId="40" fillId="7" borderId="550" xfId="0" applyFont="1" applyFill="1" applyBorder="1" applyAlignment="1" applyProtection="1">
      <alignment horizontal="left" vertical="center"/>
    </xf>
    <xf numFmtId="0" fontId="40" fillId="7" borderId="551" xfId="0" applyFont="1" applyFill="1" applyBorder="1" applyAlignment="1" applyProtection="1">
      <alignment horizontal="left" vertical="center"/>
    </xf>
    <xf numFmtId="0" fontId="11" fillId="39" borderId="532" xfId="6" applyFont="1" applyFill="1" applyBorder="1" applyAlignment="1" applyProtection="1">
      <alignment horizontal="center"/>
    </xf>
    <xf numFmtId="0" fontId="11" fillId="39" borderId="533" xfId="6" applyFont="1" applyFill="1" applyBorder="1" applyAlignment="1" applyProtection="1">
      <alignment horizontal="center"/>
    </xf>
    <xf numFmtId="0" fontId="97" fillId="0" borderId="535" xfId="6" applyFont="1" applyBorder="1" applyAlignment="1" applyProtection="1">
      <alignment horizontal="right"/>
    </xf>
    <xf numFmtId="0" fontId="97" fillId="0" borderId="536" xfId="6" applyFont="1" applyBorder="1" applyAlignment="1" applyProtection="1">
      <alignment horizontal="right"/>
    </xf>
    <xf numFmtId="0" fontId="2" fillId="7" borderId="529" xfId="6" applyFont="1" applyFill="1" applyBorder="1" applyAlignment="1" applyProtection="1">
      <alignment horizontal="center"/>
    </xf>
    <xf numFmtId="0" fontId="2" fillId="7" borderId="530" xfId="6" applyFont="1" applyFill="1" applyBorder="1" applyAlignment="1" applyProtection="1">
      <alignment horizontal="center"/>
    </xf>
    <xf numFmtId="0" fontId="2" fillId="7" borderId="531" xfId="6" applyFont="1" applyFill="1" applyBorder="1" applyAlignment="1" applyProtection="1">
      <alignment horizontal="center"/>
    </xf>
    <xf numFmtId="0" fontId="11" fillId="7" borderId="529" xfId="6" applyFont="1" applyFill="1" applyBorder="1" applyAlignment="1" applyProtection="1">
      <alignment horizontal="center"/>
    </xf>
    <xf numFmtId="0" fontId="11" fillId="7" borderId="530" xfId="6" applyFont="1" applyFill="1" applyBorder="1" applyAlignment="1" applyProtection="1">
      <alignment horizontal="center"/>
    </xf>
    <xf numFmtId="0" fontId="11" fillId="7" borderId="531" xfId="6" applyFont="1" applyFill="1" applyBorder="1" applyAlignment="1" applyProtection="1">
      <alignment horizontal="center"/>
    </xf>
    <xf numFmtId="0" fontId="26" fillId="0" borderId="552" xfId="6" applyFont="1" applyBorder="1" applyAlignment="1" applyProtection="1">
      <alignment horizontal="center" wrapText="1"/>
    </xf>
    <xf numFmtId="0" fontId="26" fillId="0" borderId="553" xfId="6" applyFont="1" applyBorder="1" applyAlignment="1" applyProtection="1">
      <alignment horizontal="center" wrapText="1"/>
    </xf>
    <xf numFmtId="0" fontId="26" fillId="0" borderId="582" xfId="6" applyFont="1" applyBorder="1" applyAlignment="1" applyProtection="1">
      <alignment horizontal="center" wrapText="1"/>
    </xf>
    <xf numFmtId="0" fontId="96" fillId="28" borderId="532" xfId="2" applyFont="1" applyFill="1" applyBorder="1" applyAlignment="1" applyProtection="1">
      <alignment horizontal="left" vertical="center"/>
    </xf>
    <xf numFmtId="0" fontId="96" fillId="28" borderId="533" xfId="2" applyFont="1" applyFill="1" applyBorder="1" applyAlignment="1" applyProtection="1">
      <alignment horizontal="left" vertical="center"/>
    </xf>
    <xf numFmtId="0" fontId="11" fillId="0" borderId="552" xfId="6" applyFont="1" applyBorder="1" applyAlignment="1" applyProtection="1">
      <alignment horizontal="center"/>
    </xf>
    <xf numFmtId="0" fontId="11" fillId="0" borderId="553" xfId="6" applyFont="1" applyBorder="1" applyAlignment="1" applyProtection="1">
      <alignment horizontal="center"/>
    </xf>
    <xf numFmtId="0" fontId="11" fillId="0" borderId="554" xfId="6" applyFont="1" applyBorder="1" applyAlignment="1" applyProtection="1">
      <alignment horizontal="center"/>
    </xf>
    <xf numFmtId="9" fontId="11" fillId="0" borderId="552" xfId="6" applyNumberFormat="1" applyFont="1" applyFill="1" applyBorder="1" applyAlignment="1" applyProtection="1">
      <alignment horizontal="center"/>
    </xf>
    <xf numFmtId="9" fontId="11" fillId="0" borderId="553" xfId="6" applyNumberFormat="1" applyFont="1" applyFill="1" applyBorder="1" applyAlignment="1" applyProtection="1">
      <alignment horizontal="center"/>
    </xf>
    <xf numFmtId="9" fontId="11" fillId="0" borderId="554" xfId="6" applyNumberFormat="1" applyFont="1" applyFill="1" applyBorder="1" applyAlignment="1" applyProtection="1">
      <alignment horizontal="center"/>
    </xf>
    <xf numFmtId="0" fontId="99" fillId="0" borderId="532" xfId="6" applyFont="1" applyBorder="1" applyAlignment="1" applyProtection="1">
      <alignment horizontal="right"/>
    </xf>
    <xf numFmtId="0" fontId="99" fillId="0" borderId="533" xfId="6" applyFont="1" applyBorder="1" applyAlignment="1" applyProtection="1">
      <alignment horizontal="right"/>
    </xf>
    <xf numFmtId="0" fontId="41" fillId="25" borderId="529" xfId="6" applyFont="1" applyFill="1" applyBorder="1" applyAlignment="1" applyProtection="1">
      <alignment horizontal="center" vertical="center" wrapText="1"/>
    </xf>
    <xf numFmtId="0" fontId="41" fillId="25" borderId="530" xfId="6" applyFont="1" applyFill="1" applyBorder="1" applyAlignment="1" applyProtection="1">
      <alignment horizontal="center" vertical="center" wrapText="1"/>
    </xf>
    <xf numFmtId="0" fontId="111" fillId="28" borderId="543" xfId="2" applyFont="1" applyFill="1" applyBorder="1" applyAlignment="1" applyProtection="1">
      <alignment horizontal="left" vertical="center"/>
    </xf>
    <xf numFmtId="0" fontId="111" fillId="28" borderId="544" xfId="2" applyFont="1" applyFill="1" applyBorder="1" applyAlignment="1" applyProtection="1">
      <alignment horizontal="left" vertical="center"/>
    </xf>
    <xf numFmtId="0" fontId="111" fillId="28" borderId="1056" xfId="2" applyFont="1" applyFill="1" applyBorder="1" applyAlignment="1" applyProtection="1">
      <alignment horizontal="left" vertical="center"/>
    </xf>
    <xf numFmtId="0" fontId="111" fillId="28" borderId="1057" xfId="2" applyFont="1" applyFill="1" applyBorder="1" applyAlignment="1" applyProtection="1">
      <alignment horizontal="left" vertical="center"/>
    </xf>
    <xf numFmtId="0" fontId="97" fillId="0" borderId="1073" xfId="6" applyFont="1" applyFill="1" applyBorder="1" applyAlignment="1" applyProtection="1">
      <alignment horizontal="center"/>
    </xf>
    <xf numFmtId="0" fontId="97" fillId="0" borderId="1074" xfId="6" applyFont="1" applyFill="1" applyBorder="1" applyAlignment="1" applyProtection="1">
      <alignment horizontal="center"/>
    </xf>
    <xf numFmtId="0" fontId="97" fillId="0" borderId="1075" xfId="6" applyFont="1" applyFill="1" applyBorder="1" applyAlignment="1" applyProtection="1">
      <alignment horizontal="center"/>
    </xf>
    <xf numFmtId="0" fontId="107" fillId="28" borderId="549" xfId="6" applyFont="1" applyFill="1" applyBorder="1" applyAlignment="1" applyProtection="1">
      <alignment horizontal="right"/>
    </xf>
    <xf numFmtId="0" fontId="107" fillId="28" borderId="550" xfId="6" applyFont="1" applyFill="1" applyBorder="1" applyAlignment="1" applyProtection="1">
      <alignment horizontal="right"/>
    </xf>
    <xf numFmtId="0" fontId="107" fillId="28" borderId="1080" xfId="6" applyFont="1" applyFill="1" applyBorder="1" applyAlignment="1" applyProtection="1">
      <alignment horizontal="right"/>
    </xf>
    <xf numFmtId="0" fontId="107" fillId="28" borderId="1081" xfId="6" applyFont="1" applyFill="1" applyBorder="1" applyAlignment="1" applyProtection="1">
      <alignment horizontal="right"/>
    </xf>
    <xf numFmtId="0" fontId="99" fillId="28" borderId="1059" xfId="6" applyFont="1" applyFill="1" applyBorder="1" applyAlignment="1" applyProtection="1">
      <alignment horizontal="right"/>
    </xf>
    <xf numFmtId="0" fontId="99" fillId="28" borderId="1060" xfId="6" applyFont="1" applyFill="1" applyBorder="1" applyAlignment="1" applyProtection="1">
      <alignment horizontal="right"/>
    </xf>
    <xf numFmtId="0" fontId="97" fillId="28" borderId="1063" xfId="6" applyFont="1" applyFill="1" applyBorder="1" applyAlignment="1" applyProtection="1">
      <alignment horizontal="right"/>
    </xf>
    <xf numFmtId="0" fontId="97" fillId="28" borderId="1064" xfId="6" applyFont="1" applyFill="1" applyBorder="1" applyAlignment="1" applyProtection="1">
      <alignment horizontal="right"/>
    </xf>
    <xf numFmtId="0" fontId="97" fillId="0" borderId="1065" xfId="6" applyFont="1" applyFill="1" applyBorder="1" applyAlignment="1" applyProtection="1">
      <alignment horizontal="center"/>
    </xf>
    <xf numFmtId="0" fontId="97" fillId="0" borderId="1066" xfId="6" applyFont="1" applyFill="1" applyBorder="1" applyAlignment="1" applyProtection="1">
      <alignment horizontal="center"/>
    </xf>
    <xf numFmtId="0" fontId="97" fillId="0" borderId="1067" xfId="6" applyFont="1" applyFill="1" applyBorder="1" applyAlignment="1" applyProtection="1">
      <alignment horizontal="center"/>
    </xf>
    <xf numFmtId="0" fontId="97" fillId="28" borderId="1068" xfId="6" applyFont="1" applyFill="1" applyBorder="1" applyAlignment="1" applyProtection="1">
      <alignment horizontal="right"/>
    </xf>
    <xf numFmtId="0" fontId="97" fillId="28" borderId="1069" xfId="6" applyFont="1" applyFill="1" applyBorder="1" applyAlignment="1" applyProtection="1">
      <alignment horizontal="right"/>
    </xf>
    <xf numFmtId="0" fontId="97" fillId="0" borderId="0" xfId="6" applyFont="1" applyFill="1" applyBorder="1" applyAlignment="1" applyProtection="1">
      <alignment horizontal="center"/>
    </xf>
    <xf numFmtId="0" fontId="98" fillId="28" borderId="583" xfId="2" applyFont="1" applyFill="1" applyBorder="1" applyAlignment="1" applyProtection="1">
      <alignment horizontal="right" vertical="center" wrapText="1"/>
    </xf>
    <xf numFmtId="0" fontId="98" fillId="28" borderId="569" xfId="2" applyFont="1" applyFill="1" applyBorder="1" applyAlignment="1" applyProtection="1">
      <alignment horizontal="right" vertical="center" wrapText="1"/>
    </xf>
    <xf numFmtId="0" fontId="97" fillId="0" borderId="1045" xfId="6" applyFont="1" applyBorder="1" applyAlignment="1" applyProtection="1">
      <alignment horizontal="right"/>
    </xf>
    <xf numFmtId="0" fontId="97" fillId="0" borderId="1046" xfId="6" applyFont="1" applyBorder="1" applyAlignment="1" applyProtection="1">
      <alignment horizontal="right"/>
    </xf>
    <xf numFmtId="0" fontId="98" fillId="0" borderId="696" xfId="2" applyFont="1" applyFill="1" applyBorder="1" applyAlignment="1" applyProtection="1">
      <alignment horizontal="right" vertical="center" wrapText="1"/>
    </xf>
    <xf numFmtId="0" fontId="41" fillId="25" borderId="538" xfId="6" applyFont="1" applyFill="1" applyBorder="1" applyAlignment="1" applyProtection="1">
      <alignment horizontal="center" vertical="center" wrapText="1"/>
    </xf>
    <xf numFmtId="0" fontId="41" fillId="25" borderId="539" xfId="6" applyFont="1" applyFill="1" applyBorder="1" applyAlignment="1" applyProtection="1">
      <alignment horizontal="center" vertical="center" wrapText="1"/>
    </xf>
    <xf numFmtId="0" fontId="111" fillId="28" borderId="532" xfId="2" applyFont="1" applyFill="1" applyBorder="1" applyAlignment="1" applyProtection="1">
      <alignment horizontal="left" vertical="center"/>
    </xf>
    <xf numFmtId="0" fontId="111" fillId="28" borderId="533" xfId="2" applyFont="1" applyFill="1" applyBorder="1" applyAlignment="1" applyProtection="1">
      <alignment horizontal="left" vertical="center"/>
    </xf>
    <xf numFmtId="0" fontId="96" fillId="0" borderId="552" xfId="2" applyFont="1" applyFill="1" applyBorder="1" applyAlignment="1" applyProtection="1">
      <alignment horizontal="center" vertical="center" wrapText="1"/>
    </xf>
    <xf numFmtId="0" fontId="96" fillId="0" borderId="553" xfId="2" applyFont="1" applyFill="1" applyBorder="1" applyAlignment="1" applyProtection="1">
      <alignment horizontal="center" vertical="center" wrapText="1"/>
    </xf>
    <xf numFmtId="0" fontId="96" fillId="0" borderId="554" xfId="2" applyFont="1" applyFill="1" applyBorder="1" applyAlignment="1" applyProtection="1">
      <alignment horizontal="center" vertical="center" wrapText="1"/>
    </xf>
    <xf numFmtId="9" fontId="17" fillId="0" borderId="552" xfId="14" applyFont="1" applyFill="1" applyBorder="1" applyAlignment="1" applyProtection="1">
      <alignment horizontal="center"/>
    </xf>
    <xf numFmtId="9" fontId="17" fillId="0" borderId="553" xfId="14" applyFont="1" applyFill="1" applyBorder="1" applyAlignment="1" applyProtection="1">
      <alignment horizontal="center"/>
    </xf>
    <xf numFmtId="9" fontId="17" fillId="0" borderId="554" xfId="14" applyFont="1" applyFill="1" applyBorder="1" applyAlignment="1" applyProtection="1">
      <alignment horizontal="center"/>
    </xf>
    <xf numFmtId="0" fontId="98" fillId="28" borderId="532" xfId="2" applyFont="1" applyFill="1" applyBorder="1" applyAlignment="1" applyProtection="1">
      <alignment horizontal="right" vertical="center" wrapText="1"/>
    </xf>
    <xf numFmtId="0" fontId="98" fillId="28" borderId="533" xfId="2" applyFont="1" applyFill="1" applyBorder="1" applyAlignment="1" applyProtection="1">
      <alignment horizontal="right" vertical="center" wrapText="1"/>
    </xf>
    <xf numFmtId="0" fontId="16" fillId="0" borderId="540" xfId="6" applyFont="1" applyBorder="1" applyAlignment="1" applyProtection="1">
      <alignment horizontal="center" vertical="center"/>
    </xf>
    <xf numFmtId="0" fontId="16" fillId="0" borderId="541" xfId="6" applyFont="1" applyBorder="1" applyAlignment="1" applyProtection="1">
      <alignment horizontal="center" vertical="center"/>
    </xf>
    <xf numFmtId="0" fontId="16" fillId="0" borderId="542" xfId="6" applyFont="1" applyBorder="1" applyAlignment="1" applyProtection="1">
      <alignment horizontal="center" vertical="center"/>
    </xf>
    <xf numFmtId="0" fontId="98" fillId="28" borderId="535" xfId="2" applyFont="1" applyFill="1" applyBorder="1" applyAlignment="1" applyProtection="1">
      <alignment horizontal="right" vertical="center" wrapText="1"/>
    </xf>
    <xf numFmtId="0" fontId="98" fillId="28" borderId="536" xfId="2" applyFont="1" applyFill="1" applyBorder="1" applyAlignment="1" applyProtection="1">
      <alignment horizontal="right" vertical="center" wrapText="1"/>
    </xf>
    <xf numFmtId="0" fontId="97" fillId="0" borderId="549" xfId="6" applyFont="1" applyBorder="1" applyAlignment="1" applyProtection="1">
      <alignment horizontal="right"/>
    </xf>
    <xf numFmtId="0" fontId="97" fillId="0" borderId="550" xfId="6" applyFont="1" applyBorder="1" applyAlignment="1" applyProtection="1">
      <alignment horizontal="right"/>
    </xf>
    <xf numFmtId="0" fontId="41" fillId="7" borderId="701" xfId="6" applyFont="1" applyFill="1" applyBorder="1" applyAlignment="1" applyProtection="1">
      <alignment horizontal="center" vertical="center" wrapText="1"/>
    </xf>
    <xf numFmtId="0" fontId="41" fillId="7" borderId="593" xfId="6" applyFont="1" applyFill="1" applyBorder="1" applyAlignment="1" applyProtection="1">
      <alignment horizontal="center" vertical="center" wrapText="1"/>
    </xf>
    <xf numFmtId="0" fontId="41" fillId="0" borderId="543" xfId="6" applyFont="1" applyFill="1" applyBorder="1" applyAlignment="1" applyProtection="1">
      <alignment horizontal="center" vertical="center" wrapText="1"/>
    </xf>
    <xf numFmtId="0" fontId="41" fillId="0" borderId="544" xfId="6" applyFont="1" applyFill="1" applyBorder="1" applyAlignment="1" applyProtection="1">
      <alignment horizontal="center" vertical="center" wrapText="1"/>
    </xf>
    <xf numFmtId="0" fontId="16" fillId="0" borderId="544" xfId="6" applyFont="1" applyFill="1" applyBorder="1" applyAlignment="1" applyProtection="1">
      <alignment horizontal="center" vertical="center"/>
    </xf>
    <xf numFmtId="0" fontId="16" fillId="0" borderId="545" xfId="6" applyFont="1" applyFill="1" applyBorder="1" applyAlignment="1" applyProtection="1">
      <alignment horizontal="center" vertical="center"/>
    </xf>
    <xf numFmtId="0" fontId="111" fillId="28" borderId="532" xfId="2" applyFont="1" applyFill="1" applyBorder="1" applyAlignment="1" applyProtection="1">
      <alignment horizontal="left" vertical="center"/>
      <protection locked="0"/>
    </xf>
    <xf numFmtId="0" fontId="111" fillId="28" borderId="533" xfId="2" applyFont="1" applyFill="1" applyBorder="1" applyAlignment="1" applyProtection="1">
      <alignment horizontal="left" vertical="center"/>
      <protection locked="0"/>
    </xf>
    <xf numFmtId="3" fontId="97" fillId="0" borderId="552" xfId="6" applyNumberFormat="1" applyFont="1" applyBorder="1" applyAlignment="1" applyProtection="1">
      <alignment horizontal="center"/>
    </xf>
    <xf numFmtId="0" fontId="16" fillId="0" borderId="543" xfId="6" applyFont="1" applyBorder="1" applyAlignment="1" applyProtection="1">
      <alignment horizontal="center" vertical="center"/>
    </xf>
    <xf numFmtId="0" fontId="16" fillId="0" borderId="544" xfId="6" applyFont="1" applyBorder="1" applyAlignment="1" applyProtection="1">
      <alignment horizontal="center" vertical="center"/>
    </xf>
    <xf numFmtId="0" fontId="16" fillId="0" borderId="545" xfId="6" applyFont="1" applyBorder="1" applyAlignment="1" applyProtection="1">
      <alignment horizontal="center" vertical="center"/>
    </xf>
    <xf numFmtId="0" fontId="41" fillId="7" borderId="734" xfId="6" applyFont="1" applyFill="1" applyBorder="1" applyAlignment="1" applyProtection="1">
      <alignment horizontal="center" vertical="center" wrapText="1"/>
    </xf>
    <xf numFmtId="0" fontId="41" fillId="7" borderId="735" xfId="6" applyFont="1" applyFill="1" applyBorder="1" applyAlignment="1" applyProtection="1">
      <alignment horizontal="center" vertical="center" wrapText="1"/>
    </xf>
    <xf numFmtId="0" fontId="41" fillId="7" borderId="736" xfId="6" applyFont="1" applyFill="1" applyBorder="1" applyAlignment="1" applyProtection="1">
      <alignment horizontal="center" vertical="center" wrapText="1"/>
    </xf>
    <xf numFmtId="0" fontId="113" fillId="7" borderId="335" xfId="0" applyFont="1" applyFill="1" applyBorder="1" applyAlignment="1" applyProtection="1">
      <alignment horizontal="right" vertical="center"/>
    </xf>
    <xf numFmtId="0" fontId="42" fillId="7" borderId="335" xfId="0" applyFont="1" applyFill="1" applyBorder="1" applyAlignment="1" applyProtection="1">
      <alignment horizontal="left" vertical="center"/>
    </xf>
    <xf numFmtId="0" fontId="42" fillId="7" borderId="337" xfId="0" applyFont="1" applyFill="1" applyBorder="1" applyAlignment="1" applyProtection="1">
      <alignment horizontal="left" vertical="center"/>
    </xf>
    <xf numFmtId="0" fontId="21" fillId="7" borderId="566" xfId="0" applyFont="1" applyFill="1" applyBorder="1" applyAlignment="1" applyProtection="1">
      <alignment horizontal="center" vertical="center"/>
    </xf>
    <xf numFmtId="0" fontId="21" fillId="7" borderId="567" xfId="0" applyFont="1" applyFill="1" applyBorder="1" applyAlignment="1" applyProtection="1">
      <alignment horizontal="center" vertical="center"/>
    </xf>
    <xf numFmtId="0" fontId="21" fillId="7" borderId="737" xfId="0" applyFont="1" applyFill="1" applyBorder="1" applyAlignment="1" applyProtection="1">
      <alignment horizontal="center" vertical="center"/>
    </xf>
    <xf numFmtId="9" fontId="0" fillId="26" borderId="698" xfId="6" applyNumberFormat="1" applyFont="1" applyFill="1" applyBorder="1" applyAlignment="1" applyProtection="1">
      <alignment horizontal="center" vertical="center"/>
    </xf>
    <xf numFmtId="9" fontId="0" fillId="26" borderId="0" xfId="6" applyNumberFormat="1" applyFont="1" applyFill="1" applyBorder="1" applyAlignment="1" applyProtection="1">
      <alignment horizontal="center" vertical="center"/>
    </xf>
    <xf numFmtId="9" fontId="0" fillId="26" borderId="699" xfId="6" applyNumberFormat="1" applyFont="1" applyFill="1" applyBorder="1" applyAlignment="1" applyProtection="1">
      <alignment horizontal="center" vertical="center"/>
    </xf>
    <xf numFmtId="9" fontId="0" fillId="26" borderId="698" xfId="6" applyNumberFormat="1" applyFont="1" applyFill="1" applyBorder="1" applyAlignment="1" applyProtection="1">
      <alignment horizontal="center"/>
    </xf>
    <xf numFmtId="9" fontId="0" fillId="26" borderId="0" xfId="6" applyNumberFormat="1" applyFont="1" applyFill="1" applyBorder="1" applyAlignment="1" applyProtection="1">
      <alignment horizontal="center"/>
    </xf>
    <xf numFmtId="9" fontId="0" fillId="26" borderId="699" xfId="6" applyNumberFormat="1" applyFont="1" applyFill="1" applyBorder="1" applyAlignment="1" applyProtection="1">
      <alignment horizontal="center"/>
    </xf>
    <xf numFmtId="0" fontId="0" fillId="0" borderId="698" xfId="6" applyFont="1" applyBorder="1" applyAlignment="1" applyProtection="1">
      <alignment horizontal="left" vertical="center" wrapText="1"/>
    </xf>
    <xf numFmtId="0" fontId="0" fillId="0" borderId="0" xfId="6" applyFont="1" applyBorder="1" applyAlignment="1" applyProtection="1">
      <alignment horizontal="left" vertical="center" wrapText="1"/>
    </xf>
    <xf numFmtId="0" fontId="0" fillId="0" borderId="699" xfId="6" applyFont="1" applyBorder="1" applyAlignment="1" applyProtection="1">
      <alignment horizontal="left" vertical="center" wrapText="1"/>
    </xf>
    <xf numFmtId="0" fontId="0" fillId="0" borderId="700" xfId="6" applyFont="1" applyBorder="1" applyAlignment="1" applyProtection="1">
      <alignment horizontal="left" vertical="center" wrapText="1"/>
    </xf>
    <xf numFmtId="0" fontId="0" fillId="0" borderId="570" xfId="6" applyFont="1" applyBorder="1" applyAlignment="1" applyProtection="1">
      <alignment horizontal="left" vertical="center" wrapText="1"/>
    </xf>
    <xf numFmtId="0" fontId="0" fillId="0" borderId="591" xfId="6" applyFont="1" applyBorder="1" applyAlignment="1" applyProtection="1">
      <alignment horizontal="left" vertical="center" wrapText="1"/>
    </xf>
    <xf numFmtId="9" fontId="0" fillId="26" borderId="698" xfId="6" applyNumberFormat="1" applyFont="1" applyFill="1" applyBorder="1" applyAlignment="1" applyProtection="1">
      <alignment horizontal="center" vertical="center" wrapText="1"/>
    </xf>
    <xf numFmtId="9" fontId="0" fillId="26" borderId="0" xfId="6" applyNumberFormat="1" applyFont="1" applyFill="1" applyBorder="1" applyAlignment="1" applyProtection="1">
      <alignment horizontal="center" vertical="center" wrapText="1"/>
    </xf>
    <xf numFmtId="9" fontId="0" fillId="26" borderId="699" xfId="6" applyNumberFormat="1" applyFont="1" applyFill="1" applyBorder="1" applyAlignment="1" applyProtection="1">
      <alignment horizontal="center" vertical="center" wrapText="1"/>
    </xf>
    <xf numFmtId="9" fontId="0" fillId="26" borderId="700" xfId="6" applyNumberFormat="1" applyFont="1" applyFill="1" applyBorder="1" applyAlignment="1" applyProtection="1">
      <alignment horizontal="center" vertical="center" wrapText="1"/>
    </xf>
    <xf numFmtId="9" fontId="0" fillId="26" borderId="570" xfId="6" applyNumberFormat="1" applyFont="1" applyFill="1" applyBorder="1" applyAlignment="1" applyProtection="1">
      <alignment horizontal="center" vertical="center" wrapText="1"/>
    </xf>
    <xf numFmtId="9" fontId="0" fillId="26" borderId="591" xfId="6" applyNumberFormat="1" applyFont="1" applyFill="1" applyBorder="1" applyAlignment="1" applyProtection="1">
      <alignment horizontal="center" vertical="center" wrapText="1"/>
    </xf>
    <xf numFmtId="0" fontId="11" fillId="0" borderId="532" xfId="6" applyFont="1" applyFill="1" applyBorder="1" applyAlignment="1" applyProtection="1">
      <alignment horizontal="left" vertical="center"/>
    </xf>
    <xf numFmtId="0" fontId="11" fillId="0" borderId="533" xfId="6" applyFont="1" applyFill="1" applyBorder="1" applyAlignment="1" applyProtection="1">
      <alignment horizontal="left" vertical="center"/>
    </xf>
    <xf numFmtId="9" fontId="22" fillId="26" borderId="569" xfId="14" applyFont="1" applyFill="1" applyBorder="1" applyAlignment="1" applyProtection="1">
      <alignment horizontal="center" vertical="center"/>
      <protection locked="0"/>
    </xf>
    <xf numFmtId="0" fontId="16" fillId="0" borderId="546" xfId="6" applyFont="1" applyBorder="1" applyAlignment="1" applyProtection="1">
      <alignment horizontal="center" vertical="center"/>
    </xf>
    <xf numFmtId="0" fontId="16" fillId="0" borderId="547" xfId="6" applyFont="1" applyBorder="1" applyAlignment="1" applyProtection="1">
      <alignment horizontal="center" vertical="center"/>
    </xf>
    <xf numFmtId="0" fontId="16" fillId="0" borderId="548" xfId="6" applyFont="1" applyBorder="1" applyAlignment="1" applyProtection="1">
      <alignment horizontal="center" vertical="center"/>
    </xf>
    <xf numFmtId="0" fontId="97" fillId="0" borderId="558" xfId="6" applyFont="1" applyBorder="1" applyAlignment="1" applyProtection="1">
      <alignment horizontal="right" vertical="center"/>
    </xf>
    <xf numFmtId="0" fontId="97" fillId="0" borderId="559" xfId="6" applyFont="1" applyBorder="1" applyAlignment="1" applyProtection="1">
      <alignment horizontal="right" vertical="center"/>
    </xf>
    <xf numFmtId="3" fontId="24" fillId="7" borderId="538" xfId="6" applyNumberFormat="1" applyFont="1" applyFill="1" applyBorder="1" applyAlignment="1" applyProtection="1">
      <alignment horizontal="center" vertical="center" wrapText="1"/>
    </xf>
    <xf numFmtId="3" fontId="24" fillId="7" borderId="539" xfId="6" applyNumberFormat="1" applyFont="1" applyFill="1" applyBorder="1" applyAlignment="1" applyProtection="1">
      <alignment horizontal="center" vertical="center" wrapText="1"/>
    </xf>
    <xf numFmtId="3" fontId="25" fillId="7" borderId="539" xfId="6" applyNumberFormat="1" applyFont="1" applyFill="1" applyBorder="1" applyAlignment="1" applyProtection="1">
      <alignment horizontal="center" vertical="center" wrapText="1"/>
    </xf>
    <xf numFmtId="3" fontId="22" fillId="0" borderId="533" xfId="14" applyNumberFormat="1" applyFont="1" applyFill="1" applyBorder="1" applyAlignment="1" applyProtection="1">
      <alignment horizontal="center" vertical="center" wrapText="1"/>
      <protection locked="0"/>
    </xf>
    <xf numFmtId="3" fontId="1" fillId="25" borderId="543" xfId="6" applyNumberFormat="1" applyFont="1" applyFill="1" applyBorder="1" applyAlignment="1" applyProtection="1">
      <alignment horizontal="left" vertical="center" wrapText="1"/>
    </xf>
    <xf numFmtId="3" fontId="1" fillId="25" borderId="544" xfId="6" applyNumberFormat="1" applyFont="1" applyFill="1" applyBorder="1" applyAlignment="1" applyProtection="1">
      <alignment horizontal="left" vertical="center" wrapText="1"/>
    </xf>
    <xf numFmtId="0" fontId="11" fillId="0" borderId="583" xfId="6" applyFont="1" applyFill="1" applyBorder="1" applyAlignment="1" applyProtection="1">
      <alignment horizontal="left" vertical="center"/>
    </xf>
    <xf numFmtId="0" fontId="11" fillId="0" borderId="569" xfId="6" applyFont="1" applyFill="1" applyBorder="1" applyAlignment="1" applyProtection="1">
      <alignment horizontal="left" vertical="center"/>
    </xf>
    <xf numFmtId="0" fontId="11" fillId="0" borderId="540" xfId="6" applyFont="1" applyFill="1" applyBorder="1" applyAlignment="1" applyProtection="1">
      <alignment horizontal="left" vertical="center"/>
    </xf>
    <xf numFmtId="0" fontId="11" fillId="0" borderId="541" xfId="6" applyFont="1" applyFill="1" applyBorder="1" applyAlignment="1" applyProtection="1">
      <alignment horizontal="left" vertical="center"/>
    </xf>
    <xf numFmtId="0" fontId="35" fillId="0" borderId="546" xfId="6" applyFont="1" applyFill="1" applyBorder="1" applyAlignment="1" applyProtection="1">
      <alignment horizontal="left" vertical="center" wrapText="1"/>
    </xf>
    <xf numFmtId="0" fontId="35" fillId="0" borderId="547" xfId="6" applyFont="1" applyFill="1" applyBorder="1" applyAlignment="1" applyProtection="1">
      <alignment horizontal="left" vertical="center" wrapText="1"/>
    </xf>
    <xf numFmtId="0" fontId="24" fillId="7" borderId="538" xfId="6" applyFont="1" applyFill="1" applyBorder="1" applyAlignment="1" applyProtection="1">
      <alignment horizontal="center" vertical="center" wrapText="1"/>
    </xf>
    <xf numFmtId="0" fontId="24" fillId="7" borderId="539" xfId="6" applyFont="1" applyFill="1" applyBorder="1" applyAlignment="1" applyProtection="1">
      <alignment horizontal="center" vertical="center" wrapText="1"/>
    </xf>
    <xf numFmtId="0" fontId="25" fillId="7" borderId="539" xfId="6" applyFont="1" applyFill="1" applyBorder="1" applyAlignment="1" applyProtection="1">
      <alignment horizontal="center" vertical="center" wrapText="1"/>
    </xf>
    <xf numFmtId="0" fontId="11" fillId="0" borderId="543" xfId="6" applyFont="1" applyFill="1" applyBorder="1" applyAlignment="1" applyProtection="1">
      <alignment horizontal="left" vertical="center"/>
    </xf>
    <xf numFmtId="0" fontId="11" fillId="0" borderId="544" xfId="6" applyFont="1" applyFill="1" applyBorder="1" applyAlignment="1" applyProtection="1">
      <alignment horizontal="left" vertical="center"/>
    </xf>
    <xf numFmtId="0" fontId="16" fillId="7" borderId="550" xfId="6" applyFont="1" applyFill="1" applyBorder="1" applyAlignment="1" applyProtection="1">
      <alignment horizontal="center" vertical="center" wrapText="1"/>
    </xf>
    <xf numFmtId="0" fontId="16" fillId="7" borderId="551" xfId="6" applyFont="1" applyFill="1" applyBorder="1" applyAlignment="1" applyProtection="1">
      <alignment horizontal="center" vertical="center" wrapText="1"/>
    </xf>
    <xf numFmtId="0" fontId="25" fillId="0" borderId="558" xfId="6" applyFont="1" applyFill="1" applyBorder="1" applyAlignment="1" applyProtection="1">
      <alignment horizontal="right" vertical="center"/>
    </xf>
    <xf numFmtId="0" fontId="25" fillId="0" borderId="559" xfId="6" applyFont="1" applyFill="1" applyBorder="1" applyAlignment="1" applyProtection="1">
      <alignment horizontal="right" vertical="center"/>
    </xf>
    <xf numFmtId="0" fontId="22" fillId="0" borderId="532" xfId="2" applyFont="1" applyFill="1" applyBorder="1" applyAlignment="1" applyProtection="1">
      <alignment horizontal="left" vertical="center"/>
    </xf>
    <xf numFmtId="0" fontId="22" fillId="0" borderId="533" xfId="2" applyFont="1" applyFill="1" applyBorder="1" applyAlignment="1" applyProtection="1">
      <alignment horizontal="left" vertical="center"/>
    </xf>
    <xf numFmtId="9" fontId="17" fillId="0" borderId="0" xfId="14" applyFont="1" applyFill="1" applyBorder="1" applyAlignment="1" applyProtection="1">
      <alignment horizontal="center"/>
    </xf>
    <xf numFmtId="0" fontId="22" fillId="0" borderId="552" xfId="2" applyFont="1" applyFill="1" applyBorder="1" applyAlignment="1" applyProtection="1">
      <alignment horizontal="left" vertical="center" wrapText="1"/>
    </xf>
    <xf numFmtId="0" fontId="22" fillId="0" borderId="553" xfId="2" applyFont="1" applyFill="1" applyBorder="1" applyAlignment="1" applyProtection="1">
      <alignment horizontal="left" vertical="center" wrapText="1"/>
    </xf>
    <xf numFmtId="0" fontId="22" fillId="0" borderId="582" xfId="2" applyFont="1" applyFill="1" applyBorder="1" applyAlignment="1" applyProtection="1">
      <alignment horizontal="left" vertical="center" wrapText="1"/>
    </xf>
    <xf numFmtId="0" fontId="22" fillId="0" borderId="546" xfId="2" applyFont="1" applyFill="1" applyBorder="1" applyAlignment="1" applyProtection="1">
      <alignment horizontal="left" vertical="center"/>
    </xf>
    <xf numFmtId="0" fontId="22" fillId="0" borderId="547" xfId="2" applyFont="1" applyFill="1" applyBorder="1" applyAlignment="1" applyProtection="1">
      <alignment horizontal="left" vertical="center"/>
    </xf>
    <xf numFmtId="0" fontId="96" fillId="0" borderId="700" xfId="2" applyFont="1" applyFill="1" applyBorder="1" applyAlignment="1" applyProtection="1">
      <alignment horizontal="center" vertical="center" wrapText="1"/>
    </xf>
    <xf numFmtId="0" fontId="96" fillId="0" borderId="570" xfId="2" applyFont="1" applyFill="1" applyBorder="1" applyAlignment="1" applyProtection="1">
      <alignment horizontal="center" vertical="center" wrapText="1"/>
    </xf>
    <xf numFmtId="0" fontId="96" fillId="0" borderId="591" xfId="2" applyFont="1" applyFill="1" applyBorder="1" applyAlignment="1" applyProtection="1">
      <alignment horizontal="center" vertical="center" wrapText="1"/>
    </xf>
    <xf numFmtId="0" fontId="97" fillId="0" borderId="561" xfId="6" applyFont="1" applyBorder="1" applyAlignment="1" applyProtection="1">
      <alignment horizontal="right" vertical="center"/>
    </xf>
    <xf numFmtId="0" fontId="97" fillId="0" borderId="562" xfId="6" applyFont="1" applyBorder="1" applyAlignment="1" applyProtection="1">
      <alignment horizontal="right" vertical="center"/>
    </xf>
    <xf numFmtId="0" fontId="41" fillId="7" borderId="538" xfId="6" applyFont="1" applyFill="1" applyBorder="1" applyAlignment="1" applyProtection="1">
      <alignment horizontal="center" vertical="center" wrapText="1"/>
    </xf>
    <xf numFmtId="0" fontId="41" fillId="7" borderId="539" xfId="6" applyFont="1" applyFill="1" applyBorder="1" applyAlignment="1" applyProtection="1">
      <alignment horizontal="center" vertical="center" wrapText="1"/>
    </xf>
    <xf numFmtId="0" fontId="35" fillId="0" borderId="543" xfId="6" applyFont="1" applyFill="1" applyBorder="1" applyAlignment="1" applyProtection="1">
      <alignment horizontal="left" vertical="center" wrapText="1"/>
    </xf>
    <xf numFmtId="0" fontId="35" fillId="0" borderId="544" xfId="6" applyFont="1" applyFill="1" applyBorder="1" applyAlignment="1" applyProtection="1">
      <alignment horizontal="left" vertical="center" wrapText="1"/>
    </xf>
    <xf numFmtId="0" fontId="41" fillId="0" borderId="532" xfId="6" applyFont="1" applyFill="1" applyBorder="1" applyAlignment="1" applyProtection="1">
      <alignment horizontal="center" vertical="center" wrapText="1"/>
    </xf>
    <xf numFmtId="0" fontId="41" fillId="0" borderId="533" xfId="6" applyFont="1" applyFill="1" applyBorder="1" applyAlignment="1" applyProtection="1">
      <alignment horizontal="center" vertical="center" wrapText="1"/>
    </xf>
    <xf numFmtId="0" fontId="41" fillId="0" borderId="586" xfId="6" applyFont="1" applyFill="1" applyBorder="1" applyAlignment="1" applyProtection="1">
      <alignment horizontal="center" vertical="center"/>
    </xf>
    <xf numFmtId="0" fontId="41" fillId="0" borderId="602" xfId="6" applyFont="1" applyFill="1" applyBorder="1" applyAlignment="1" applyProtection="1">
      <alignment horizontal="center" vertical="center"/>
    </xf>
    <xf numFmtId="0" fontId="41" fillId="0" borderId="918" xfId="6" applyFont="1" applyFill="1" applyBorder="1" applyAlignment="1" applyProtection="1">
      <alignment horizontal="center" vertical="center"/>
    </xf>
    <xf numFmtId="0" fontId="26" fillId="0" borderId="532" xfId="6" applyFont="1" applyFill="1" applyBorder="1" applyAlignment="1" applyProtection="1">
      <alignment horizontal="left" vertical="center" wrapText="1"/>
    </xf>
    <xf numFmtId="0" fontId="26" fillId="0" borderId="533" xfId="6" applyFont="1" applyFill="1" applyBorder="1" applyAlignment="1" applyProtection="1">
      <alignment horizontal="left" vertical="center" wrapText="1"/>
    </xf>
    <xf numFmtId="9" fontId="22" fillId="26" borderId="533" xfId="14" applyFont="1" applyFill="1" applyBorder="1" applyAlignment="1" applyProtection="1">
      <alignment horizontal="center" vertical="center" wrapText="1"/>
      <protection locked="0"/>
    </xf>
    <xf numFmtId="9" fontId="22" fillId="26" borderId="560" xfId="14" applyFont="1" applyFill="1" applyBorder="1" applyAlignment="1" applyProtection="1">
      <alignment horizontal="center" vertical="center" wrapText="1"/>
      <protection locked="0"/>
    </xf>
    <xf numFmtId="9" fontId="22" fillId="26" borderId="582" xfId="14" applyFont="1" applyFill="1" applyBorder="1" applyAlignment="1" applyProtection="1">
      <alignment horizontal="center" vertical="center" wrapText="1"/>
      <protection locked="0"/>
    </xf>
    <xf numFmtId="0" fontId="16" fillId="0" borderId="552" xfId="6" applyFont="1" applyBorder="1" applyAlignment="1" applyProtection="1">
      <alignment horizontal="center" vertical="center" wrapText="1"/>
    </xf>
    <xf numFmtId="0" fontId="16" fillId="0" borderId="553" xfId="6" applyFont="1" applyBorder="1" applyAlignment="1" applyProtection="1">
      <alignment horizontal="center" vertical="center" wrapText="1"/>
    </xf>
    <xf numFmtId="0" fontId="16" fillId="0" borderId="554" xfId="6" applyFont="1" applyBorder="1" applyAlignment="1" applyProtection="1">
      <alignment horizontal="center" vertical="center" wrapText="1"/>
    </xf>
    <xf numFmtId="0" fontId="97" fillId="0" borderId="535" xfId="6" applyFont="1" applyBorder="1" applyAlignment="1" applyProtection="1">
      <alignment horizontal="right" vertical="center"/>
    </xf>
    <xf numFmtId="0" fontId="97" fillId="0" borderId="536" xfId="6" applyFont="1" applyBorder="1" applyAlignment="1" applyProtection="1">
      <alignment horizontal="right" vertical="center"/>
    </xf>
    <xf numFmtId="0" fontId="41" fillId="7" borderId="529" xfId="6" applyFont="1" applyFill="1" applyBorder="1" applyAlignment="1" applyProtection="1">
      <alignment horizontal="center" vertical="center" wrapText="1"/>
    </xf>
    <xf numFmtId="0" fontId="41" fillId="7" borderId="530" xfId="6" applyFont="1" applyFill="1" applyBorder="1" applyAlignment="1" applyProtection="1">
      <alignment horizontal="center" vertical="center" wrapText="1"/>
    </xf>
    <xf numFmtId="0" fontId="24" fillId="0" borderId="532" xfId="6" applyFont="1" applyFill="1" applyBorder="1" applyAlignment="1" applyProtection="1">
      <alignment horizontal="center" vertical="center" wrapText="1"/>
    </xf>
    <xf numFmtId="0" fontId="24" fillId="0" borderId="533" xfId="6" applyFont="1" applyFill="1" applyBorder="1" applyAlignment="1" applyProtection="1">
      <alignment horizontal="center" vertical="center" wrapText="1"/>
    </xf>
    <xf numFmtId="0" fontId="41" fillId="0" borderId="560" xfId="6" applyFont="1" applyFill="1" applyBorder="1" applyAlignment="1" applyProtection="1">
      <alignment horizontal="center" vertical="center" wrapText="1"/>
    </xf>
    <xf numFmtId="0" fontId="41" fillId="0" borderId="553" xfId="6" applyFont="1" applyFill="1" applyBorder="1" applyAlignment="1" applyProtection="1">
      <alignment horizontal="center" vertical="center" wrapText="1"/>
    </xf>
    <xf numFmtId="0" fontId="41" fillId="0" borderId="554" xfId="6" applyFont="1" applyFill="1" applyBorder="1" applyAlignment="1" applyProtection="1">
      <alignment horizontal="center" vertical="center" wrapText="1"/>
    </xf>
    <xf numFmtId="3" fontId="16" fillId="0" borderId="546" xfId="6" applyNumberFormat="1" applyFont="1" applyBorder="1" applyAlignment="1" applyProtection="1">
      <alignment horizontal="center" vertical="center"/>
    </xf>
    <xf numFmtId="3" fontId="16" fillId="0" borderId="547" xfId="6" applyNumberFormat="1" applyFont="1" applyBorder="1" applyAlignment="1" applyProtection="1">
      <alignment horizontal="center" vertical="center"/>
    </xf>
    <xf numFmtId="3" fontId="16" fillId="0" borderId="548" xfId="6" applyNumberFormat="1" applyFont="1" applyBorder="1" applyAlignment="1" applyProtection="1">
      <alignment horizontal="center" vertical="center"/>
    </xf>
    <xf numFmtId="3" fontId="97" fillId="0" borderId="558" xfId="6" applyNumberFormat="1" applyFont="1" applyBorder="1" applyAlignment="1" applyProtection="1">
      <alignment horizontal="right" vertical="center"/>
    </xf>
    <xf numFmtId="3" fontId="97" fillId="0" borderId="559" xfId="6" applyNumberFormat="1" applyFont="1" applyBorder="1" applyAlignment="1" applyProtection="1">
      <alignment horizontal="right" vertical="center"/>
    </xf>
    <xf numFmtId="9" fontId="22" fillId="0" borderId="569" xfId="3" applyFont="1" applyFill="1" applyBorder="1" applyAlignment="1" applyProtection="1">
      <alignment horizontal="center" vertical="center"/>
      <protection locked="0"/>
    </xf>
    <xf numFmtId="3" fontId="11" fillId="0" borderId="540" xfId="6" applyNumberFormat="1" applyFont="1" applyFill="1" applyBorder="1" applyAlignment="1" applyProtection="1">
      <alignment horizontal="left" vertical="center"/>
    </xf>
    <xf numFmtId="3" fontId="11" fillId="0" borderId="541" xfId="6" applyNumberFormat="1" applyFont="1" applyFill="1" applyBorder="1" applyAlignment="1" applyProtection="1">
      <alignment horizontal="left" vertical="center"/>
    </xf>
    <xf numFmtId="3" fontId="22" fillId="0" borderId="569" xfId="14" applyNumberFormat="1" applyFont="1" applyFill="1" applyBorder="1" applyAlignment="1" applyProtection="1">
      <alignment horizontal="center" vertical="center"/>
      <protection locked="0"/>
    </xf>
    <xf numFmtId="3" fontId="1" fillId="25" borderId="540" xfId="6" applyNumberFormat="1" applyFont="1" applyFill="1" applyBorder="1" applyAlignment="1" applyProtection="1">
      <alignment horizontal="left" vertical="center" wrapText="1"/>
    </xf>
    <xf numFmtId="3" fontId="1" fillId="25" borderId="541" xfId="6" applyNumberFormat="1" applyFont="1" applyFill="1" applyBorder="1" applyAlignment="1" applyProtection="1">
      <alignment horizontal="left" vertical="center" wrapText="1"/>
    </xf>
    <xf numFmtId="0" fontId="96" fillId="0" borderId="168" xfId="2" applyFont="1" applyFill="1" applyBorder="1" applyAlignment="1" applyProtection="1">
      <alignment horizontal="left" vertical="center"/>
    </xf>
    <xf numFmtId="0" fontId="96" fillId="0" borderId="0" xfId="2" applyFont="1" applyFill="1" applyBorder="1" applyAlignment="1" applyProtection="1">
      <alignment horizontal="left" vertical="center"/>
    </xf>
    <xf numFmtId="0" fontId="41" fillId="16" borderId="334" xfId="2" applyFont="1" applyFill="1" applyBorder="1" applyAlignment="1" applyProtection="1">
      <alignment horizontal="center" vertical="center"/>
    </xf>
    <xf numFmtId="0" fontId="41" fillId="16" borderId="335" xfId="2" applyFont="1" applyFill="1" applyBorder="1" applyAlignment="1" applyProtection="1">
      <alignment horizontal="center" vertical="center"/>
    </xf>
    <xf numFmtId="0" fontId="41" fillId="16" borderId="337" xfId="2" applyFont="1" applyFill="1" applyBorder="1" applyAlignment="1" applyProtection="1">
      <alignment horizontal="center" vertical="center"/>
    </xf>
    <xf numFmtId="0" fontId="97" fillId="0" borderId="566" xfId="6" applyFont="1" applyBorder="1" applyAlignment="1" applyProtection="1">
      <alignment horizontal="right"/>
    </xf>
    <xf numFmtId="0" fontId="97" fillId="0" borderId="567" xfId="6" applyFont="1" applyBorder="1" applyAlignment="1" applyProtection="1">
      <alignment horizontal="right"/>
    </xf>
    <xf numFmtId="0" fontId="97" fillId="0" borderId="568" xfId="6" applyFont="1" applyBorder="1" applyAlignment="1" applyProtection="1">
      <alignment horizontal="right"/>
    </xf>
    <xf numFmtId="0" fontId="22" fillId="0" borderId="532" xfId="2" applyFont="1" applyBorder="1" applyAlignment="1" applyProtection="1">
      <alignment horizontal="left"/>
    </xf>
    <xf numFmtId="0" fontId="22" fillId="0" borderId="533" xfId="2" applyFont="1" applyBorder="1" applyAlignment="1" applyProtection="1">
      <alignment horizontal="left"/>
    </xf>
    <xf numFmtId="0" fontId="96" fillId="26" borderId="533" xfId="2" applyFont="1" applyFill="1" applyBorder="1" applyAlignment="1" applyProtection="1">
      <alignment horizontal="center" vertical="center" wrapText="1"/>
      <protection locked="0"/>
    </xf>
    <xf numFmtId="0" fontId="52" fillId="0" borderId="555" xfId="2" applyFont="1" applyBorder="1" applyAlignment="1" applyProtection="1">
      <alignment horizontal="center"/>
    </xf>
    <xf numFmtId="0" fontId="52" fillId="0" borderId="556" xfId="2" applyFont="1" applyBorder="1" applyAlignment="1" applyProtection="1">
      <alignment horizontal="center"/>
    </xf>
    <xf numFmtId="0" fontId="52" fillId="0" borderId="557" xfId="2" applyFont="1" applyBorder="1" applyAlignment="1" applyProtection="1">
      <alignment horizontal="center"/>
    </xf>
    <xf numFmtId="0" fontId="35" fillId="0" borderId="532" xfId="2" applyFont="1" applyBorder="1" applyAlignment="1" applyProtection="1">
      <alignment horizontal="left"/>
    </xf>
    <xf numFmtId="0" fontId="35" fillId="0" borderId="533" xfId="2" applyFont="1" applyBorder="1" applyAlignment="1" applyProtection="1">
      <alignment horizontal="left"/>
    </xf>
    <xf numFmtId="1" fontId="96" fillId="26" borderId="533" xfId="2" applyNumberFormat="1" applyFont="1" applyFill="1" applyBorder="1" applyAlignment="1" applyProtection="1">
      <alignment horizontal="center" vertical="center"/>
      <protection locked="0"/>
    </xf>
    <xf numFmtId="0" fontId="52" fillId="0" borderId="535" xfId="2" applyFont="1" applyBorder="1" applyAlignment="1" applyProtection="1">
      <alignment horizontal="center"/>
    </xf>
    <xf numFmtId="0" fontId="52" fillId="0" borderId="536" xfId="2" applyFont="1" applyBorder="1" applyAlignment="1" applyProtection="1">
      <alignment horizontal="center"/>
    </xf>
    <xf numFmtId="0" fontId="52" fillId="0" borderId="537" xfId="2" applyFont="1" applyBorder="1" applyAlignment="1" applyProtection="1">
      <alignment horizontal="center"/>
    </xf>
    <xf numFmtId="0" fontId="97" fillId="0" borderId="538" xfId="6" applyFont="1" applyBorder="1" applyAlignment="1" applyProtection="1">
      <alignment horizontal="right" vertical="center"/>
    </xf>
    <xf numFmtId="0" fontId="97" fillId="0" borderId="539" xfId="6" applyFont="1" applyBorder="1" applyAlignment="1" applyProtection="1">
      <alignment horizontal="right" vertical="center"/>
    </xf>
    <xf numFmtId="0" fontId="25" fillId="7" borderId="529" xfId="6" applyFont="1" applyFill="1" applyBorder="1" applyAlignment="1" applyProtection="1">
      <alignment horizontal="center" vertical="top" wrapText="1"/>
    </xf>
    <xf numFmtId="0" fontId="25" fillId="7" borderId="530" xfId="6" applyFont="1" applyFill="1" applyBorder="1" applyAlignment="1" applyProtection="1">
      <alignment horizontal="center" vertical="top" wrapText="1"/>
    </xf>
    <xf numFmtId="0" fontId="25" fillId="7" borderId="530" xfId="6" applyFont="1" applyFill="1" applyBorder="1" applyAlignment="1" applyProtection="1">
      <alignment horizontal="center" vertical="center" wrapText="1"/>
    </xf>
    <xf numFmtId="0" fontId="97" fillId="0" borderId="564" xfId="6" applyFont="1" applyBorder="1" applyAlignment="1" applyProtection="1">
      <alignment horizontal="right"/>
    </xf>
    <xf numFmtId="0" fontId="97" fillId="0" borderId="555" xfId="6" applyFont="1" applyFill="1" applyBorder="1" applyAlignment="1" applyProtection="1">
      <alignment horizontal="right"/>
    </xf>
    <xf numFmtId="0" fontId="97" fillId="0" borderId="556" xfId="6" applyFont="1" applyFill="1" applyBorder="1" applyAlignment="1" applyProtection="1">
      <alignment horizontal="right"/>
    </xf>
    <xf numFmtId="0" fontId="97" fillId="0" borderId="565" xfId="6" applyFont="1" applyFill="1" applyBorder="1" applyAlignment="1" applyProtection="1">
      <alignment horizontal="right"/>
    </xf>
    <xf numFmtId="0" fontId="25" fillId="7" borderId="549" xfId="6" applyFont="1" applyFill="1" applyBorder="1" applyAlignment="1" applyProtection="1">
      <alignment horizontal="center" wrapText="1"/>
    </xf>
    <xf numFmtId="0" fontId="25" fillId="7" borderId="550" xfId="6" applyFont="1" applyFill="1" applyBorder="1" applyAlignment="1" applyProtection="1">
      <alignment horizontal="center"/>
    </xf>
    <xf numFmtId="0" fontId="25" fillId="7" borderId="564" xfId="6" applyFont="1" applyFill="1" applyBorder="1" applyAlignment="1" applyProtection="1">
      <alignment horizontal="center"/>
    </xf>
    <xf numFmtId="0" fontId="16" fillId="0" borderId="583" xfId="6" applyFont="1" applyFill="1" applyBorder="1" applyAlignment="1" applyProtection="1">
      <alignment horizontal="center"/>
    </xf>
    <xf numFmtId="0" fontId="16" fillId="0" borderId="569" xfId="6" applyFont="1" applyFill="1" applyBorder="1" applyAlignment="1" applyProtection="1">
      <alignment horizontal="center"/>
    </xf>
    <xf numFmtId="0" fontId="16" fillId="0" borderId="584" xfId="6" applyFont="1" applyFill="1" applyBorder="1" applyAlignment="1" applyProtection="1">
      <alignment horizontal="center"/>
    </xf>
    <xf numFmtId="0" fontId="96" fillId="25" borderId="533" xfId="2" applyFont="1" applyFill="1" applyBorder="1" applyAlignment="1" applyProtection="1">
      <alignment horizontal="center" vertical="center"/>
    </xf>
    <xf numFmtId="0" fontId="17" fillId="0" borderId="535" xfId="6" applyFont="1" applyFill="1" applyBorder="1" applyAlignment="1" applyProtection="1">
      <alignment horizontal="center"/>
    </xf>
    <xf numFmtId="0" fontId="17" fillId="0" borderId="536" xfId="6" applyFont="1" applyFill="1" applyBorder="1" applyAlignment="1" applyProtection="1">
      <alignment horizontal="center"/>
    </xf>
    <xf numFmtId="0" fontId="17" fillId="0" borderId="537" xfId="6" applyFont="1" applyFill="1" applyBorder="1" applyAlignment="1" applyProtection="1">
      <alignment horizontal="center"/>
    </xf>
    <xf numFmtId="0" fontId="96" fillId="25" borderId="560" xfId="2" applyFont="1" applyFill="1" applyBorder="1" applyAlignment="1" applyProtection="1">
      <alignment horizontal="center" vertical="center"/>
    </xf>
    <xf numFmtId="0" fontId="96" fillId="25" borderId="582" xfId="2" applyFont="1" applyFill="1" applyBorder="1" applyAlignment="1" applyProtection="1">
      <alignment horizontal="center" vertical="center"/>
    </xf>
    <xf numFmtId="0" fontId="22" fillId="7" borderId="530" xfId="2" applyFont="1" applyFill="1" applyBorder="1" applyAlignment="1" applyProtection="1">
      <alignment horizontal="center" vertical="center"/>
    </xf>
    <xf numFmtId="0" fontId="24" fillId="21" borderId="1104" xfId="2" applyFont="1" applyFill="1" applyBorder="1" applyAlignment="1" applyProtection="1">
      <alignment horizontal="left" vertical="center"/>
    </xf>
    <xf numFmtId="0" fontId="24" fillId="21" borderId="1105" xfId="2" applyFont="1" applyFill="1" applyBorder="1" applyAlignment="1" applyProtection="1">
      <alignment horizontal="left" vertical="center"/>
    </xf>
    <xf numFmtId="9" fontId="25" fillId="21" borderId="1118" xfId="3" applyFont="1" applyFill="1" applyBorder="1" applyAlignment="1" applyProtection="1">
      <alignment horizontal="center"/>
    </xf>
    <xf numFmtId="0" fontId="24" fillId="21" borderId="879" xfId="2" applyFont="1" applyFill="1" applyBorder="1" applyAlignment="1" applyProtection="1">
      <alignment horizontal="left" vertical="center"/>
    </xf>
    <xf numFmtId="0" fontId="24" fillId="21" borderId="880" xfId="2" applyFont="1" applyFill="1" applyBorder="1" applyAlignment="1" applyProtection="1">
      <alignment horizontal="left" vertical="center"/>
    </xf>
    <xf numFmtId="9" fontId="35" fillId="21" borderId="1091" xfId="14" applyFont="1" applyFill="1" applyBorder="1" applyAlignment="1" applyProtection="1">
      <alignment horizontal="center" vertical="center"/>
    </xf>
    <xf numFmtId="9" fontId="35" fillId="21" borderId="1109" xfId="14" applyFont="1" applyFill="1" applyBorder="1" applyAlignment="1" applyProtection="1">
      <alignment horizontal="center" vertical="center"/>
    </xf>
    <xf numFmtId="9" fontId="35" fillId="21" borderId="1112" xfId="14" applyFont="1" applyFill="1" applyBorder="1" applyAlignment="1" applyProtection="1">
      <alignment horizontal="center" vertical="center"/>
    </xf>
    <xf numFmtId="9" fontId="35" fillId="21" borderId="1125" xfId="14" applyFont="1" applyFill="1" applyBorder="1" applyAlignment="1" applyProtection="1">
      <alignment horizontal="center" vertical="center"/>
    </xf>
    <xf numFmtId="9" fontId="134" fillId="21" borderId="879" xfId="14" applyFont="1" applyFill="1" applyBorder="1" applyAlignment="1" applyProtection="1">
      <alignment horizontal="center" vertical="center"/>
    </xf>
    <xf numFmtId="9" fontId="134" fillId="21" borderId="881" xfId="14" applyFont="1" applyFill="1" applyBorder="1" applyAlignment="1" applyProtection="1">
      <alignment horizontal="center" vertical="center"/>
    </xf>
    <xf numFmtId="0" fontId="158" fillId="21" borderId="1098" xfId="2" applyFont="1" applyFill="1" applyBorder="1" applyAlignment="1" applyProtection="1">
      <alignment horizontal="left" vertical="center"/>
    </xf>
    <xf numFmtId="0" fontId="158" fillId="21" borderId="1099" xfId="2" applyFont="1" applyFill="1" applyBorder="1" applyAlignment="1" applyProtection="1">
      <alignment horizontal="left" vertical="center"/>
    </xf>
    <xf numFmtId="3" fontId="161" fillId="21" borderId="1114" xfId="2" applyNumberFormat="1" applyFont="1" applyFill="1" applyBorder="1" applyAlignment="1" applyProtection="1">
      <alignment horizontal="center"/>
    </xf>
    <xf numFmtId="0" fontId="161" fillId="21" borderId="1114" xfId="2" applyFont="1" applyFill="1" applyBorder="1" applyAlignment="1" applyProtection="1">
      <alignment horizontal="center"/>
    </xf>
    <xf numFmtId="3" fontId="161" fillId="21" borderId="1126" xfId="2" applyNumberFormat="1" applyFont="1" applyFill="1" applyBorder="1" applyAlignment="1" applyProtection="1">
      <alignment horizontal="center"/>
    </xf>
    <xf numFmtId="0" fontId="161" fillId="21" borderId="1115" xfId="2" applyFont="1" applyFill="1" applyBorder="1" applyAlignment="1" applyProtection="1">
      <alignment horizontal="center"/>
    </xf>
    <xf numFmtId="0" fontId="24" fillId="21" borderId="883" xfId="2" quotePrefix="1" applyFont="1" applyFill="1" applyBorder="1" applyAlignment="1" applyProtection="1">
      <alignment horizontal="left" vertical="center"/>
    </xf>
    <xf numFmtId="0" fontId="24" fillId="21" borderId="884" xfId="2" applyFont="1" applyFill="1" applyBorder="1" applyAlignment="1" applyProtection="1">
      <alignment horizontal="left" vertical="center"/>
    </xf>
    <xf numFmtId="9" fontId="24" fillId="21" borderId="884" xfId="3" applyFont="1" applyFill="1" applyBorder="1" applyAlignment="1" applyProtection="1">
      <alignment horizontal="center" vertical="center"/>
    </xf>
    <xf numFmtId="9" fontId="24" fillId="21" borderId="1090" xfId="3" applyFont="1" applyFill="1" applyBorder="1" applyAlignment="1" applyProtection="1">
      <alignment horizontal="center" vertical="center"/>
    </xf>
    <xf numFmtId="0" fontId="24" fillId="0" borderId="1119" xfId="2" quotePrefix="1" applyFont="1" applyFill="1" applyBorder="1" applyAlignment="1" applyProtection="1">
      <alignment horizontal="center" vertical="center"/>
    </xf>
    <xf numFmtId="0" fontId="24" fillId="0" borderId="1102" xfId="2" quotePrefix="1" applyFont="1" applyFill="1" applyBorder="1" applyAlignment="1" applyProtection="1">
      <alignment horizontal="center" vertical="center"/>
    </xf>
    <xf numFmtId="0" fontId="158" fillId="21" borderId="883" xfId="2" applyFont="1" applyFill="1" applyBorder="1" applyAlignment="1" applyProtection="1">
      <alignment horizontal="left" vertical="center"/>
    </xf>
    <xf numFmtId="0" fontId="158" fillId="21" borderId="884" xfId="2" applyFont="1" applyFill="1" applyBorder="1" applyAlignment="1" applyProtection="1">
      <alignment horizontal="left" vertical="center"/>
    </xf>
    <xf numFmtId="3" fontId="158" fillId="21" borderId="884" xfId="2" applyNumberFormat="1" applyFont="1" applyFill="1" applyBorder="1" applyAlignment="1" applyProtection="1">
      <alignment horizontal="center" vertical="center"/>
    </xf>
    <xf numFmtId="3" fontId="158" fillId="21" borderId="1090" xfId="2" applyNumberFormat="1" applyFont="1" applyFill="1" applyBorder="1" applyAlignment="1" applyProtection="1">
      <alignment horizontal="center" vertical="center"/>
    </xf>
    <xf numFmtId="3" fontId="158" fillId="21" borderId="1110" xfId="2" applyNumberFormat="1" applyFont="1" applyFill="1" applyBorder="1" applyAlignment="1" applyProtection="1">
      <alignment horizontal="center" vertical="center"/>
    </xf>
    <xf numFmtId="3" fontId="158" fillId="21" borderId="1124" xfId="2" applyNumberFormat="1" applyFont="1" applyFill="1" applyBorder="1" applyAlignment="1" applyProtection="1">
      <alignment horizontal="center" vertical="center"/>
    </xf>
    <xf numFmtId="3" fontId="159" fillId="21" borderId="883" xfId="2" applyNumberFormat="1" applyFont="1" applyFill="1" applyBorder="1" applyAlignment="1" applyProtection="1">
      <alignment horizontal="center" vertical="center"/>
    </xf>
    <xf numFmtId="3" fontId="159" fillId="21" borderId="885" xfId="2" applyNumberFormat="1" applyFont="1" applyFill="1" applyBorder="1" applyAlignment="1" applyProtection="1">
      <alignment horizontal="center" vertical="center"/>
    </xf>
    <xf numFmtId="0" fontId="35" fillId="21" borderId="883" xfId="2" quotePrefix="1" applyFont="1" applyFill="1" applyBorder="1" applyAlignment="1" applyProtection="1">
      <alignment horizontal="left" vertical="center"/>
    </xf>
    <xf numFmtId="0" fontId="35" fillId="21" borderId="884" xfId="2" applyFont="1" applyFill="1" applyBorder="1" applyAlignment="1" applyProtection="1">
      <alignment horizontal="left" vertical="center"/>
    </xf>
    <xf numFmtId="3" fontId="157" fillId="21" borderId="884" xfId="2" applyNumberFormat="1" applyFont="1" applyFill="1" applyBorder="1" applyAlignment="1" applyProtection="1">
      <alignment horizontal="center" vertical="center"/>
    </xf>
    <xf numFmtId="3" fontId="157" fillId="21" borderId="1090" xfId="2" applyNumberFormat="1" applyFont="1" applyFill="1" applyBorder="1" applyAlignment="1" applyProtection="1">
      <alignment horizontal="center" vertical="center"/>
    </xf>
    <xf numFmtId="3" fontId="158" fillId="21" borderId="883" xfId="2" applyNumberFormat="1" applyFont="1" applyFill="1" applyBorder="1" applyAlignment="1" applyProtection="1">
      <alignment horizontal="center" vertical="center"/>
    </xf>
    <xf numFmtId="3" fontId="158" fillId="21" borderId="885" xfId="2" applyNumberFormat="1" applyFont="1" applyFill="1" applyBorder="1" applyAlignment="1" applyProtection="1">
      <alignment horizontal="center" vertical="center"/>
    </xf>
    <xf numFmtId="0" fontId="52" fillId="0" borderId="877" xfId="2" applyFont="1" applyFill="1" applyBorder="1" applyAlignment="1" applyProtection="1">
      <alignment horizontal="left" vertical="center" wrapText="1"/>
    </xf>
    <xf numFmtId="0" fontId="52" fillId="0" borderId="274" xfId="2" applyFont="1" applyFill="1" applyBorder="1" applyAlignment="1" applyProtection="1">
      <alignment horizontal="left" vertical="center" wrapText="1"/>
    </xf>
    <xf numFmtId="3" fontId="52" fillId="26" borderId="274" xfId="2" applyNumberFormat="1" applyFont="1" applyFill="1" applyBorder="1" applyAlignment="1" applyProtection="1">
      <alignment horizontal="center" vertical="center"/>
      <protection locked="0"/>
    </xf>
    <xf numFmtId="3" fontId="52" fillId="26" borderId="878" xfId="2" applyNumberFormat="1" applyFont="1" applyFill="1" applyBorder="1" applyAlignment="1" applyProtection="1">
      <alignment horizontal="center" vertical="center"/>
      <protection locked="0"/>
    </xf>
    <xf numFmtId="3" fontId="132" fillId="0" borderId="866" xfId="2" applyNumberFormat="1" applyFont="1" applyBorder="1" applyAlignment="1" applyProtection="1">
      <alignment horizontal="center"/>
    </xf>
    <xf numFmtId="0" fontId="132" fillId="0" borderId="867" xfId="2" applyFont="1" applyBorder="1" applyAlignment="1" applyProtection="1">
      <alignment horizontal="center"/>
    </xf>
    <xf numFmtId="0" fontId="60" fillId="0" borderId="882" xfId="2" applyFont="1" applyFill="1" applyBorder="1" applyAlignment="1" applyProtection="1">
      <alignment horizontal="left" vertical="center"/>
    </xf>
    <xf numFmtId="0" fontId="60" fillId="0" borderId="858" xfId="2" applyFont="1" applyFill="1" applyBorder="1" applyAlignment="1" applyProtection="1">
      <alignment horizontal="left" vertical="center"/>
    </xf>
    <xf numFmtId="3" fontId="52" fillId="0" borderId="858" xfId="2" applyNumberFormat="1" applyFont="1" applyFill="1" applyBorder="1" applyAlignment="1" applyProtection="1">
      <alignment horizontal="center" vertical="center"/>
    </xf>
    <xf numFmtId="3" fontId="52" fillId="0" borderId="869" xfId="2" applyNumberFormat="1" applyFont="1" applyFill="1" applyBorder="1" applyAlignment="1" applyProtection="1">
      <alignment horizontal="center" vertical="center"/>
    </xf>
    <xf numFmtId="3" fontId="132" fillId="0" borderId="251" xfId="2" applyNumberFormat="1" applyFont="1" applyBorder="1" applyAlignment="1" applyProtection="1">
      <alignment horizontal="center"/>
    </xf>
    <xf numFmtId="0" fontId="132" fillId="0" borderId="923" xfId="2" applyFont="1" applyBorder="1" applyAlignment="1" applyProtection="1">
      <alignment horizontal="center"/>
    </xf>
    <xf numFmtId="0" fontId="60" fillId="0" borderId="866" xfId="2" applyFont="1" applyFill="1" applyBorder="1" applyAlignment="1" applyProtection="1">
      <alignment horizontal="left" vertical="center"/>
    </xf>
    <xf numFmtId="0" fontId="60" fillId="0" borderId="265" xfId="2" applyFont="1" applyFill="1" applyBorder="1" applyAlignment="1" applyProtection="1">
      <alignment horizontal="left" vertical="center"/>
    </xf>
    <xf numFmtId="0" fontId="60" fillId="0" borderId="361" xfId="2" applyFont="1" applyFill="1" applyBorder="1" applyAlignment="1" applyProtection="1">
      <alignment horizontal="left" vertical="center"/>
    </xf>
    <xf numFmtId="9" fontId="52" fillId="0" borderId="360" xfId="3" applyFont="1" applyFill="1" applyBorder="1" applyAlignment="1" applyProtection="1">
      <alignment horizontal="center" vertical="center"/>
    </xf>
    <xf numFmtId="9" fontId="52" fillId="0" borderId="361" xfId="3" applyFont="1" applyFill="1" applyBorder="1" applyAlignment="1" applyProtection="1">
      <alignment horizontal="center" vertical="center"/>
    </xf>
    <xf numFmtId="9" fontId="52" fillId="0" borderId="265" xfId="3" applyFont="1" applyFill="1" applyBorder="1" applyAlignment="1" applyProtection="1">
      <alignment horizontal="center" vertical="center"/>
    </xf>
    <xf numFmtId="9" fontId="52" fillId="0" borderId="264" xfId="3" applyFont="1" applyFill="1" applyBorder="1" applyAlignment="1" applyProtection="1">
      <alignment horizontal="center" vertical="center"/>
    </xf>
    <xf numFmtId="9" fontId="52" fillId="0" borderId="266" xfId="3" applyFont="1" applyFill="1" applyBorder="1" applyAlignment="1" applyProtection="1">
      <alignment horizontal="center" vertical="center"/>
    </xf>
    <xf numFmtId="0" fontId="52" fillId="0" borderId="877" xfId="2" applyFont="1" applyFill="1" applyBorder="1" applyAlignment="1" applyProtection="1">
      <alignment horizontal="left" vertical="center"/>
    </xf>
    <xf numFmtId="0" fontId="52" fillId="0" borderId="274" xfId="2" applyFont="1" applyFill="1" applyBorder="1" applyAlignment="1" applyProtection="1">
      <alignment horizontal="left" vertical="center"/>
    </xf>
    <xf numFmtId="3" fontId="52" fillId="26" borderId="360" xfId="2" applyNumberFormat="1" applyFont="1" applyFill="1" applyBorder="1" applyAlignment="1" applyProtection="1">
      <alignment horizontal="center" vertical="center"/>
      <protection locked="0"/>
    </xf>
    <xf numFmtId="3" fontId="132" fillId="0" borderId="264" xfId="2" applyNumberFormat="1" applyFont="1" applyBorder="1" applyAlignment="1" applyProtection="1">
      <alignment horizontal="center"/>
    </xf>
    <xf numFmtId="0" fontId="132" fillId="0" borderId="266" xfId="2" applyFont="1" applyBorder="1" applyAlignment="1" applyProtection="1">
      <alignment horizontal="center"/>
    </xf>
    <xf numFmtId="0" fontId="67" fillId="29" borderId="866" xfId="2" applyFont="1" applyFill="1" applyBorder="1" applyAlignment="1" applyProtection="1">
      <alignment horizontal="left" vertical="center"/>
    </xf>
    <xf numFmtId="0" fontId="67" fillId="29" borderId="265" xfId="2" applyFont="1" applyFill="1" applyBorder="1" applyAlignment="1" applyProtection="1">
      <alignment horizontal="left" vertical="center"/>
    </xf>
    <xf numFmtId="0" fontId="67" fillId="29" borderId="361" xfId="2" applyFont="1" applyFill="1" applyBorder="1" applyAlignment="1" applyProtection="1">
      <alignment horizontal="left" vertical="center"/>
    </xf>
    <xf numFmtId="3" fontId="67" fillId="0" borderId="360" xfId="2" applyNumberFormat="1" applyFont="1" applyFill="1" applyBorder="1" applyAlignment="1" applyProtection="1">
      <alignment horizontal="center" vertical="center"/>
    </xf>
    <xf numFmtId="3" fontId="67" fillId="0" borderId="361" xfId="2" applyNumberFormat="1" applyFont="1" applyFill="1" applyBorder="1" applyAlignment="1" applyProtection="1">
      <alignment horizontal="center" vertical="center"/>
    </xf>
    <xf numFmtId="3" fontId="67" fillId="0" borderId="265" xfId="2" applyNumberFormat="1" applyFont="1" applyFill="1" applyBorder="1" applyAlignment="1" applyProtection="1">
      <alignment horizontal="center" vertical="center"/>
    </xf>
    <xf numFmtId="0" fontId="67" fillId="0" borderId="866" xfId="2" applyFont="1" applyFill="1" applyBorder="1" applyAlignment="1" applyProtection="1">
      <alignment horizontal="center" vertical="center"/>
    </xf>
    <xf numFmtId="0" fontId="67" fillId="0" borderId="265" xfId="2" applyFont="1" applyFill="1" applyBorder="1" applyAlignment="1" applyProtection="1">
      <alignment horizontal="center" vertical="center"/>
    </xf>
    <xf numFmtId="3" fontId="132" fillId="0" borderId="260" xfId="2" applyNumberFormat="1" applyFont="1" applyBorder="1" applyAlignment="1" applyProtection="1">
      <alignment horizontal="center"/>
    </xf>
    <xf numFmtId="0" fontId="132" fillId="0" borderId="380" xfId="2" applyFont="1" applyBorder="1" applyAlignment="1" applyProtection="1">
      <alignment horizontal="center"/>
    </xf>
    <xf numFmtId="0" fontId="60" fillId="29" borderId="866" xfId="2" applyFont="1" applyFill="1" applyBorder="1" applyAlignment="1" applyProtection="1">
      <alignment horizontal="left" vertical="center"/>
    </xf>
    <xf numFmtId="0" fontId="60" fillId="29" borderId="265" xfId="2" applyFont="1" applyFill="1" applyBorder="1" applyAlignment="1" applyProtection="1">
      <alignment horizontal="left" vertical="center"/>
    </xf>
    <xf numFmtId="0" fontId="60" fillId="29" borderId="361" xfId="2" applyFont="1" applyFill="1" applyBorder="1" applyAlignment="1" applyProtection="1">
      <alignment horizontal="left" vertical="center"/>
    </xf>
    <xf numFmtId="3" fontId="60" fillId="29" borderId="360" xfId="2" applyNumberFormat="1" applyFont="1" applyFill="1" applyBorder="1" applyAlignment="1" applyProtection="1">
      <alignment horizontal="center" vertical="center"/>
    </xf>
    <xf numFmtId="3" fontId="60" fillId="29" borderId="361" xfId="2" applyNumberFormat="1" applyFont="1" applyFill="1" applyBorder="1" applyAlignment="1" applyProtection="1">
      <alignment horizontal="center" vertical="center"/>
    </xf>
    <xf numFmtId="3" fontId="60" fillId="29" borderId="265" xfId="2" applyNumberFormat="1" applyFont="1" applyFill="1" applyBorder="1" applyAlignment="1" applyProtection="1">
      <alignment horizontal="center" vertical="center"/>
    </xf>
    <xf numFmtId="3" fontId="131" fillId="29" borderId="264" xfId="2" applyNumberFormat="1" applyFont="1" applyFill="1" applyBorder="1" applyAlignment="1" applyProtection="1">
      <alignment horizontal="center" vertical="center"/>
    </xf>
    <xf numFmtId="3" fontId="131" fillId="29" borderId="266" xfId="2" applyNumberFormat="1" applyFont="1" applyFill="1" applyBorder="1" applyAlignment="1" applyProtection="1">
      <alignment horizontal="center" vertical="center"/>
    </xf>
    <xf numFmtId="0" fontId="67" fillId="29" borderId="877" xfId="2" applyFont="1" applyFill="1" applyBorder="1" applyAlignment="1" applyProtection="1">
      <alignment horizontal="left" vertical="center"/>
    </xf>
    <xf numFmtId="0" fontId="67" fillId="29" borderId="274" xfId="2" applyFont="1" applyFill="1" applyBorder="1" applyAlignment="1" applyProtection="1">
      <alignment horizontal="left" vertical="center"/>
    </xf>
    <xf numFmtId="3" fontId="67" fillId="0" borderId="274" xfId="2" applyNumberFormat="1" applyFont="1" applyFill="1" applyBorder="1" applyAlignment="1" applyProtection="1">
      <alignment horizontal="center" vertical="center"/>
    </xf>
    <xf numFmtId="0" fontId="60" fillId="29" borderId="875" xfId="2" applyFont="1" applyFill="1" applyBorder="1" applyAlignment="1" applyProtection="1">
      <alignment horizontal="left" vertical="center"/>
    </xf>
    <xf numFmtId="0" fontId="60" fillId="29" borderId="370" xfId="2" applyFont="1" applyFill="1" applyBorder="1" applyAlignment="1" applyProtection="1">
      <alignment horizontal="left" vertical="center"/>
    </xf>
    <xf numFmtId="0" fontId="60" fillId="29" borderId="368" xfId="2" applyFont="1" applyFill="1" applyBorder="1" applyAlignment="1" applyProtection="1">
      <alignment horizontal="left" vertical="center"/>
    </xf>
    <xf numFmtId="3" fontId="52" fillId="29" borderId="367" xfId="2" applyNumberFormat="1" applyFont="1" applyFill="1" applyBorder="1" applyAlignment="1" applyProtection="1">
      <alignment horizontal="center" vertical="center"/>
    </xf>
    <xf numFmtId="3" fontId="52" fillId="29" borderId="368" xfId="2" applyNumberFormat="1" applyFont="1" applyFill="1" applyBorder="1" applyAlignment="1" applyProtection="1">
      <alignment horizontal="center" vertical="center"/>
    </xf>
    <xf numFmtId="3" fontId="52" fillId="29" borderId="370" xfId="2" applyNumberFormat="1" applyFont="1" applyFill="1" applyBorder="1" applyAlignment="1" applyProtection="1">
      <alignment horizontal="center" vertical="center"/>
    </xf>
    <xf numFmtId="3" fontId="132" fillId="29" borderId="260" xfId="2" applyNumberFormat="1" applyFont="1" applyFill="1" applyBorder="1" applyAlignment="1" applyProtection="1">
      <alignment horizontal="center"/>
    </xf>
    <xf numFmtId="0" fontId="132" fillId="29" borderId="380" xfId="2" applyFont="1" applyFill="1" applyBorder="1" applyAlignment="1" applyProtection="1">
      <alignment horizontal="center"/>
    </xf>
    <xf numFmtId="9" fontId="60" fillId="25" borderId="1127" xfId="3" applyFont="1" applyFill="1" applyBorder="1" applyAlignment="1" applyProtection="1">
      <alignment horizontal="center" vertical="center"/>
    </xf>
    <xf numFmtId="9" fontId="60" fillId="25" borderId="1128" xfId="3" applyFont="1" applyFill="1" applyBorder="1" applyAlignment="1" applyProtection="1">
      <alignment horizontal="center" vertical="center"/>
    </xf>
    <xf numFmtId="0" fontId="60" fillId="0" borderId="1088" xfId="2" applyFont="1" applyFill="1" applyBorder="1" applyAlignment="1" applyProtection="1">
      <alignment horizontal="center" vertical="center"/>
    </xf>
    <xf numFmtId="0" fontId="60" fillId="0" borderId="924" xfId="2" applyFont="1" applyFill="1" applyBorder="1" applyAlignment="1" applyProtection="1">
      <alignment horizontal="center" vertical="center"/>
    </xf>
    <xf numFmtId="0" fontId="60" fillId="0" borderId="1089" xfId="2" applyFont="1" applyFill="1" applyBorder="1" applyAlignment="1" applyProtection="1">
      <alignment horizontal="center" vertical="center"/>
    </xf>
    <xf numFmtId="3" fontId="60" fillId="0" borderId="1090" xfId="2" applyNumberFormat="1" applyFont="1" applyFill="1" applyBorder="1" applyAlignment="1" applyProtection="1">
      <alignment horizontal="center" vertical="center"/>
    </xf>
    <xf numFmtId="3" fontId="60" fillId="0" borderId="1089" xfId="2" applyNumberFormat="1" applyFont="1" applyFill="1" applyBorder="1" applyAlignment="1" applyProtection="1">
      <alignment horizontal="center" vertical="center"/>
    </xf>
    <xf numFmtId="3" fontId="60" fillId="0" borderId="925" xfId="2" applyNumberFormat="1" applyFont="1" applyFill="1" applyBorder="1" applyAlignment="1" applyProtection="1">
      <alignment horizontal="center" vertical="center"/>
    </xf>
    <xf numFmtId="3" fontId="131" fillId="0" borderId="1088" xfId="2" applyNumberFormat="1" applyFont="1" applyFill="1" applyBorder="1" applyAlignment="1" applyProtection="1">
      <alignment horizontal="center" vertical="center"/>
    </xf>
    <xf numFmtId="3" fontId="131" fillId="0" borderId="925" xfId="2" applyNumberFormat="1" applyFont="1" applyFill="1" applyBorder="1" applyAlignment="1" applyProtection="1">
      <alignment horizontal="center" vertical="center"/>
    </xf>
    <xf numFmtId="0" fontId="67" fillId="25" borderId="866" xfId="2" applyFont="1" applyFill="1" applyBorder="1" applyAlignment="1" applyProtection="1">
      <alignment horizontal="left" vertical="center" wrapText="1"/>
    </xf>
    <xf numFmtId="0" fontId="67" fillId="25" borderId="265" xfId="2" applyFont="1" applyFill="1" applyBorder="1" applyAlignment="1" applyProtection="1">
      <alignment horizontal="left" vertical="center" wrapText="1"/>
    </xf>
    <xf numFmtId="0" fontId="67" fillId="25" borderId="361" xfId="2" applyFont="1" applyFill="1" applyBorder="1" applyAlignment="1" applyProtection="1">
      <alignment horizontal="left" vertical="center" wrapText="1"/>
    </xf>
    <xf numFmtId="0" fontId="67" fillId="0" borderId="867" xfId="2" applyFont="1" applyFill="1" applyBorder="1" applyAlignment="1" applyProtection="1">
      <alignment horizontal="center" vertical="center"/>
    </xf>
    <xf numFmtId="0" fontId="60" fillId="25" borderId="874" xfId="2" applyFont="1" applyFill="1" applyBorder="1" applyAlignment="1" applyProtection="1">
      <alignment horizontal="left" vertical="center"/>
    </xf>
    <xf numFmtId="0" fontId="60" fillId="25" borderId="864" xfId="2" applyFont="1" applyFill="1" applyBorder="1" applyAlignment="1" applyProtection="1">
      <alignment horizontal="left" vertical="center"/>
    </xf>
    <xf numFmtId="0" fontId="60" fillId="25" borderId="865" xfId="2" applyFont="1" applyFill="1" applyBorder="1" applyAlignment="1" applyProtection="1">
      <alignment horizontal="left" vertical="center"/>
    </xf>
    <xf numFmtId="3" fontId="60" fillId="25" borderId="863" xfId="2" applyNumberFormat="1" applyFont="1" applyFill="1" applyBorder="1" applyAlignment="1" applyProtection="1">
      <alignment horizontal="center" vertical="center"/>
    </xf>
    <xf numFmtId="3" fontId="60" fillId="25" borderId="865" xfId="2" applyNumberFormat="1" applyFont="1" applyFill="1" applyBorder="1" applyAlignment="1" applyProtection="1">
      <alignment horizontal="center" vertical="center"/>
    </xf>
    <xf numFmtId="3" fontId="60" fillId="25" borderId="873" xfId="2" applyNumberFormat="1" applyFont="1" applyFill="1" applyBorder="1" applyAlignment="1" applyProtection="1">
      <alignment horizontal="center" vertical="center"/>
    </xf>
    <xf numFmtId="3" fontId="131" fillId="25" borderId="863" xfId="2" applyNumberFormat="1" applyFont="1" applyFill="1" applyBorder="1" applyAlignment="1" applyProtection="1">
      <alignment horizontal="center" vertical="center"/>
    </xf>
    <xf numFmtId="3" fontId="131" fillId="25" borderId="873" xfId="2" applyNumberFormat="1" applyFont="1" applyFill="1" applyBorder="1" applyAlignment="1" applyProtection="1">
      <alignment horizontal="center" vertical="center"/>
    </xf>
    <xf numFmtId="3" fontId="67" fillId="0" borderId="867" xfId="2" applyNumberFormat="1" applyFont="1" applyFill="1" applyBorder="1" applyAlignment="1" applyProtection="1">
      <alignment horizontal="center" vertical="center"/>
    </xf>
    <xf numFmtId="0" fontId="67" fillId="0" borderId="866" xfId="2" applyFont="1" applyFill="1" applyBorder="1" applyAlignment="1" applyProtection="1">
      <alignment horizontal="left" vertical="center"/>
    </xf>
    <xf numFmtId="0" fontId="67" fillId="0" borderId="265" xfId="2" applyFont="1" applyFill="1" applyBorder="1" applyAlignment="1" applyProtection="1">
      <alignment horizontal="left" vertical="center"/>
    </xf>
    <xf numFmtId="0" fontId="67" fillId="0" borderId="361" xfId="2" applyFont="1" applyFill="1" applyBorder="1" applyAlignment="1" applyProtection="1">
      <alignment horizontal="left" vertical="center"/>
    </xf>
    <xf numFmtId="3" fontId="132" fillId="0" borderId="251" xfId="2" applyNumberFormat="1" applyFont="1" applyFill="1" applyBorder="1" applyAlignment="1" applyProtection="1">
      <alignment horizontal="center"/>
    </xf>
    <xf numFmtId="0" fontId="132" fillId="0" borderId="923" xfId="2" applyFont="1" applyFill="1" applyBorder="1" applyAlignment="1" applyProtection="1">
      <alignment horizontal="center"/>
    </xf>
    <xf numFmtId="0" fontId="67" fillId="25" borderId="866" xfId="2" applyFont="1" applyFill="1" applyBorder="1" applyAlignment="1" applyProtection="1">
      <alignment horizontal="left" vertical="center"/>
    </xf>
    <xf numFmtId="0" fontId="67" fillId="25" borderId="265" xfId="2" applyFont="1" applyFill="1" applyBorder="1" applyAlignment="1" applyProtection="1">
      <alignment horizontal="left" vertical="center"/>
    </xf>
    <xf numFmtId="0" fontId="67" fillId="25" borderId="361" xfId="2" applyFont="1" applyFill="1" applyBorder="1" applyAlignment="1" applyProtection="1">
      <alignment horizontal="left" vertical="center"/>
    </xf>
    <xf numFmtId="0" fontId="67" fillId="0" borderId="870" xfId="2" applyFont="1" applyFill="1" applyBorder="1" applyAlignment="1" applyProtection="1">
      <alignment horizontal="left" vertical="center"/>
    </xf>
    <xf numFmtId="0" fontId="67" fillId="0" borderId="859" xfId="2" applyFont="1" applyFill="1" applyBorder="1" applyAlignment="1" applyProtection="1">
      <alignment horizontal="left" vertical="center"/>
    </xf>
    <xf numFmtId="0" fontId="67" fillId="0" borderId="860" xfId="2" applyFont="1" applyFill="1" applyBorder="1" applyAlignment="1" applyProtection="1">
      <alignment horizontal="left" vertical="center"/>
    </xf>
    <xf numFmtId="3" fontId="67" fillId="0" borderId="861" xfId="2" applyNumberFormat="1" applyFont="1" applyFill="1" applyBorder="1" applyAlignment="1" applyProtection="1">
      <alignment horizontal="center" vertical="center"/>
    </xf>
    <xf numFmtId="3" fontId="67" fillId="0" borderId="860" xfId="2" applyNumberFormat="1" applyFont="1" applyFill="1" applyBorder="1" applyAlignment="1" applyProtection="1">
      <alignment horizontal="center" vertical="center"/>
    </xf>
    <xf numFmtId="3" fontId="63" fillId="0" borderId="861" xfId="2" applyNumberFormat="1" applyFont="1" applyFill="1" applyBorder="1" applyAlignment="1" applyProtection="1">
      <alignment horizontal="center" vertical="center"/>
    </xf>
    <xf numFmtId="3" fontId="63" fillId="0" borderId="871" xfId="2" applyNumberFormat="1" applyFont="1" applyFill="1" applyBorder="1" applyAlignment="1" applyProtection="1">
      <alignment horizontal="center" vertical="center"/>
    </xf>
    <xf numFmtId="0" fontId="132" fillId="0" borderId="251" xfId="2" applyFont="1" applyBorder="1" applyAlignment="1" applyProtection="1">
      <alignment horizontal="center"/>
    </xf>
    <xf numFmtId="0" fontId="60" fillId="25" borderId="870" xfId="2" applyFont="1" applyFill="1" applyBorder="1" applyAlignment="1" applyProtection="1">
      <alignment horizontal="left" vertical="center"/>
    </xf>
    <xf numFmtId="0" fontId="60" fillId="25" borderId="859" xfId="2" applyFont="1" applyFill="1" applyBorder="1" applyAlignment="1" applyProtection="1">
      <alignment horizontal="left" vertical="center"/>
    </xf>
    <xf numFmtId="0" fontId="60" fillId="25" borderId="860" xfId="2" applyFont="1" applyFill="1" applyBorder="1" applyAlignment="1" applyProtection="1">
      <alignment horizontal="left" vertical="center"/>
    </xf>
    <xf numFmtId="3" fontId="67" fillId="25" borderId="861" xfId="2" applyNumberFormat="1" applyFont="1" applyFill="1" applyBorder="1" applyAlignment="1" applyProtection="1">
      <alignment horizontal="center" vertical="center"/>
    </xf>
    <xf numFmtId="3" fontId="67" fillId="25" borderId="860" xfId="2" applyNumberFormat="1" applyFont="1" applyFill="1" applyBorder="1" applyAlignment="1" applyProtection="1">
      <alignment horizontal="center" vertical="center"/>
    </xf>
    <xf numFmtId="3" fontId="63" fillId="25" borderId="861" xfId="2" applyNumberFormat="1" applyFont="1" applyFill="1" applyBorder="1" applyAlignment="1" applyProtection="1">
      <alignment horizontal="center" vertical="center"/>
    </xf>
    <xf numFmtId="3" fontId="63" fillId="25" borderId="871" xfId="2" applyNumberFormat="1" applyFont="1" applyFill="1" applyBorder="1" applyAlignment="1" applyProtection="1">
      <alignment horizontal="center" vertical="center"/>
    </xf>
    <xf numFmtId="0" fontId="132" fillId="25" borderId="251" xfId="2" applyFont="1" applyFill="1" applyBorder="1" applyAlignment="1" applyProtection="1">
      <alignment horizontal="center"/>
    </xf>
    <xf numFmtId="0" fontId="132" fillId="25" borderId="923" xfId="2" applyFont="1" applyFill="1" applyBorder="1" applyAlignment="1" applyProtection="1">
      <alignment horizontal="center"/>
    </xf>
    <xf numFmtId="0" fontId="67" fillId="68" borderId="866" xfId="2" applyFont="1" applyFill="1" applyBorder="1" applyAlignment="1" applyProtection="1">
      <alignment horizontal="left" vertical="center"/>
    </xf>
    <xf numFmtId="0" fontId="67" fillId="68" borderId="265" xfId="2" applyFont="1" applyFill="1" applyBorder="1" applyAlignment="1" applyProtection="1">
      <alignment horizontal="left" vertical="center"/>
    </xf>
    <xf numFmtId="0" fontId="67" fillId="68" borderId="361" xfId="2" applyFont="1" applyFill="1" applyBorder="1" applyAlignment="1" applyProtection="1">
      <alignment horizontal="left" vertical="center"/>
    </xf>
    <xf numFmtId="3" fontId="132" fillId="0" borderId="867" xfId="2" applyNumberFormat="1" applyFont="1" applyBorder="1" applyAlignment="1" applyProtection="1">
      <alignment horizontal="center"/>
    </xf>
    <xf numFmtId="0" fontId="60" fillId="68" borderId="872" xfId="2" applyFont="1" applyFill="1" applyBorder="1" applyAlignment="1" applyProtection="1">
      <alignment horizontal="left" vertical="center"/>
    </xf>
    <xf numFmtId="0" fontId="60" fillId="68" borderId="862" xfId="2" applyFont="1" applyFill="1" applyBorder="1" applyAlignment="1" applyProtection="1">
      <alignment horizontal="left" vertical="center"/>
    </xf>
    <xf numFmtId="3" fontId="60" fillId="68" borderId="863" xfId="2" applyNumberFormat="1" applyFont="1" applyFill="1" applyBorder="1" applyAlignment="1" applyProtection="1">
      <alignment horizontal="center" vertical="center"/>
    </xf>
    <xf numFmtId="0" fontId="60" fillId="68" borderId="864" xfId="2" applyFont="1" applyFill="1" applyBorder="1" applyAlignment="1" applyProtection="1">
      <alignment horizontal="center" vertical="center"/>
    </xf>
    <xf numFmtId="0" fontId="60" fillId="68" borderId="873" xfId="2" applyFont="1" applyFill="1" applyBorder="1" applyAlignment="1" applyProtection="1">
      <alignment horizontal="center" vertical="center"/>
    </xf>
    <xf numFmtId="3" fontId="131" fillId="68" borderId="863" xfId="2" applyNumberFormat="1" applyFont="1" applyFill="1" applyBorder="1" applyAlignment="1" applyProtection="1">
      <alignment horizontal="center" vertical="center"/>
    </xf>
    <xf numFmtId="0" fontId="131" fillId="68" borderId="873" xfId="2" applyFont="1" applyFill="1" applyBorder="1" applyAlignment="1" applyProtection="1">
      <alignment horizontal="center" vertical="center"/>
    </xf>
    <xf numFmtId="0" fontId="67" fillId="68" borderId="866" xfId="2" applyFont="1" applyFill="1" applyBorder="1" applyAlignment="1" applyProtection="1">
      <alignment horizontal="left" vertical="center" wrapText="1"/>
    </xf>
    <xf numFmtId="0" fontId="67" fillId="68" borderId="265" xfId="2" applyFont="1" applyFill="1" applyBorder="1" applyAlignment="1" applyProtection="1">
      <alignment horizontal="left" vertical="center" wrapText="1"/>
    </xf>
    <xf numFmtId="0" fontId="67" fillId="68" borderId="361" xfId="2" applyFont="1" applyFill="1" applyBorder="1" applyAlignment="1" applyProtection="1">
      <alignment horizontal="left" vertical="center" wrapText="1"/>
    </xf>
    <xf numFmtId="0" fontId="60" fillId="68" borderId="866" xfId="2" applyFont="1" applyFill="1" applyBorder="1" applyAlignment="1" applyProtection="1">
      <alignment horizontal="left" vertical="center"/>
    </xf>
    <xf numFmtId="0" fontId="60" fillId="68" borderId="265" xfId="2" applyFont="1" applyFill="1" applyBorder="1" applyAlignment="1" applyProtection="1">
      <alignment horizontal="left" vertical="center"/>
    </xf>
    <xf numFmtId="0" fontId="60" fillId="68" borderId="361" xfId="2" applyFont="1" applyFill="1" applyBorder="1" applyAlignment="1" applyProtection="1">
      <alignment horizontal="left" vertical="center"/>
    </xf>
    <xf numFmtId="0" fontId="104" fillId="17" borderId="868" xfId="2" applyFont="1" applyFill="1" applyBorder="1" applyAlignment="1" applyProtection="1">
      <alignment horizontal="left" vertical="center"/>
    </xf>
    <xf numFmtId="0" fontId="104" fillId="17" borderId="280" xfId="2" applyFont="1" applyFill="1" applyBorder="1" applyAlignment="1" applyProtection="1">
      <alignment horizontal="left" vertical="center"/>
    </xf>
    <xf numFmtId="0" fontId="104" fillId="17" borderId="638" xfId="2" applyFont="1" applyFill="1" applyBorder="1" applyAlignment="1" applyProtection="1">
      <alignment horizontal="left" vertical="center"/>
    </xf>
    <xf numFmtId="176" fontId="60" fillId="26" borderId="416" xfId="2" applyNumberFormat="1" applyFont="1" applyFill="1" applyBorder="1" applyAlignment="1" applyProtection="1">
      <alignment horizontal="center" vertical="center"/>
      <protection locked="0"/>
    </xf>
    <xf numFmtId="176" fontId="60" fillId="26" borderId="638" xfId="2" applyNumberFormat="1" applyFont="1" applyFill="1" applyBorder="1" applyAlignment="1" applyProtection="1">
      <alignment horizontal="center" vertical="center"/>
      <protection locked="0"/>
    </xf>
    <xf numFmtId="176" fontId="60" fillId="26" borderId="858" xfId="2" applyNumberFormat="1" applyFont="1" applyFill="1" applyBorder="1" applyAlignment="1" applyProtection="1">
      <alignment horizontal="center" vertical="center"/>
      <protection locked="0"/>
    </xf>
    <xf numFmtId="176" fontId="60" fillId="26" borderId="869" xfId="2" applyNumberFormat="1" applyFont="1" applyFill="1" applyBorder="1" applyAlignment="1" applyProtection="1">
      <alignment horizontal="center" vertical="center"/>
      <protection locked="0"/>
    </xf>
    <xf numFmtId="176" fontId="131" fillId="26" borderId="882" xfId="2" applyNumberFormat="1" applyFont="1" applyFill="1" applyBorder="1" applyAlignment="1" applyProtection="1">
      <alignment horizontal="center" vertical="center"/>
      <protection locked="0"/>
    </xf>
    <xf numFmtId="176" fontId="131" fillId="26" borderId="869" xfId="2" applyNumberFormat="1" applyFont="1" applyFill="1" applyBorder="1" applyAlignment="1" applyProtection="1">
      <alignment horizontal="center" vertical="center"/>
      <protection locked="0"/>
    </xf>
    <xf numFmtId="0" fontId="104" fillId="0" borderId="866" xfId="2" applyFont="1" applyFill="1" applyBorder="1" applyAlignment="1" applyProtection="1">
      <alignment horizontal="center" vertical="center"/>
    </xf>
    <xf numFmtId="0" fontId="104" fillId="0" borderId="265" xfId="2" applyFont="1" applyFill="1" applyBorder="1" applyAlignment="1" applyProtection="1">
      <alignment horizontal="center" vertical="center"/>
    </xf>
    <xf numFmtId="0" fontId="104" fillId="0" borderId="361" xfId="2" applyFont="1" applyFill="1" applyBorder="1" applyAlignment="1" applyProtection="1">
      <alignment horizontal="center" vertical="center"/>
    </xf>
    <xf numFmtId="176" fontId="60" fillId="0" borderId="360" xfId="2" applyNumberFormat="1" applyFont="1" applyFill="1" applyBorder="1" applyAlignment="1" applyProtection="1">
      <alignment horizontal="center" vertical="center"/>
      <protection locked="0"/>
    </xf>
    <xf numFmtId="176" fontId="60" fillId="0" borderId="265" xfId="2" applyNumberFormat="1" applyFont="1" applyFill="1" applyBorder="1" applyAlignment="1" applyProtection="1">
      <alignment horizontal="center" vertical="center"/>
      <protection locked="0"/>
    </xf>
    <xf numFmtId="176" fontId="60" fillId="0" borderId="361" xfId="2" applyNumberFormat="1" applyFont="1" applyFill="1" applyBorder="1" applyAlignment="1" applyProtection="1">
      <alignment horizontal="center" vertical="center"/>
      <protection locked="0"/>
    </xf>
    <xf numFmtId="176" fontId="60" fillId="0" borderId="867" xfId="2" applyNumberFormat="1" applyFont="1" applyFill="1" applyBorder="1" applyAlignment="1" applyProtection="1">
      <alignment horizontal="center" vertical="center"/>
      <protection locked="0"/>
    </xf>
    <xf numFmtId="0" fontId="60" fillId="0" borderId="267" xfId="2" applyFont="1" applyBorder="1" applyAlignment="1" applyProtection="1">
      <alignment horizontal="center"/>
    </xf>
    <xf numFmtId="0" fontId="60" fillId="0" borderId="268" xfId="2" applyFont="1" applyBorder="1" applyAlignment="1" applyProtection="1">
      <alignment horizontal="center"/>
    </xf>
    <xf numFmtId="0" fontId="60" fillId="0" borderId="269" xfId="2" applyFont="1" applyBorder="1" applyAlignment="1" applyProtection="1">
      <alignment horizontal="center"/>
    </xf>
    <xf numFmtId="0" fontId="24" fillId="21" borderId="378" xfId="2" applyFont="1" applyFill="1" applyBorder="1" applyAlignment="1" applyProtection="1">
      <alignment horizontal="center" vertical="center"/>
    </xf>
    <xf numFmtId="0" fontId="24" fillId="21" borderId="379" xfId="2" applyFont="1" applyFill="1" applyBorder="1" applyAlignment="1" applyProtection="1">
      <alignment horizontal="center" vertical="center"/>
    </xf>
    <xf numFmtId="171" fontId="41" fillId="21" borderId="381" xfId="2" applyNumberFormat="1" applyFont="1" applyFill="1" applyBorder="1" applyAlignment="1" applyProtection="1">
      <alignment horizontal="center" vertical="center"/>
    </xf>
    <xf numFmtId="171" fontId="41" fillId="21" borderId="382" xfId="2" applyNumberFormat="1" applyFont="1" applyFill="1" applyBorder="1" applyAlignment="1" applyProtection="1">
      <alignment horizontal="center" vertical="center"/>
    </xf>
    <xf numFmtId="0" fontId="57" fillId="66" borderId="261" xfId="2" applyFont="1" applyFill="1" applyBorder="1" applyAlignment="1" applyProtection="1">
      <alignment horizontal="center" vertical="center"/>
    </xf>
    <xf numFmtId="0" fontId="57" fillId="66" borderId="262" xfId="2" applyFont="1" applyFill="1" applyBorder="1" applyAlignment="1" applyProtection="1">
      <alignment horizontal="center" vertical="center"/>
    </xf>
    <xf numFmtId="0" fontId="57" fillId="66" borderId="263" xfId="2" applyFont="1" applyFill="1" applyBorder="1" applyAlignment="1" applyProtection="1">
      <alignment horizontal="center" vertical="center"/>
    </xf>
    <xf numFmtId="0" fontId="52" fillId="8" borderId="264" xfId="2" applyFont="1" applyFill="1" applyBorder="1" applyAlignment="1" applyProtection="1">
      <alignment horizontal="center"/>
    </xf>
    <xf numFmtId="0" fontId="52" fillId="8" borderId="265" xfId="2" applyFont="1" applyFill="1" applyBorder="1" applyAlignment="1" applyProtection="1">
      <alignment horizontal="center"/>
    </xf>
    <xf numFmtId="0" fontId="52" fillId="8" borderId="266" xfId="2" applyFont="1" applyFill="1" applyBorder="1" applyAlignment="1" applyProtection="1">
      <alignment horizontal="center"/>
    </xf>
    <xf numFmtId="3" fontId="52" fillId="8" borderId="360" xfId="2" applyNumberFormat="1" applyFont="1" applyFill="1" applyBorder="1" applyAlignment="1" applyProtection="1">
      <alignment horizontal="center" vertical="center"/>
    </xf>
    <xf numFmtId="3" fontId="52" fillId="8" borderId="266" xfId="2" applyNumberFormat="1" applyFont="1" applyFill="1" applyBorder="1" applyAlignment="1" applyProtection="1">
      <alignment horizontal="center" vertical="center"/>
    </xf>
    <xf numFmtId="0" fontId="52" fillId="0" borderId="264" xfId="2" applyFont="1" applyBorder="1" applyAlignment="1" applyProtection="1">
      <alignment horizontal="center" vertical="center"/>
    </xf>
    <xf numFmtId="0" fontId="52" fillId="0" borderId="265" xfId="2" applyFont="1" applyBorder="1" applyAlignment="1" applyProtection="1">
      <alignment horizontal="center" vertical="center"/>
    </xf>
    <xf numFmtId="0" fontId="52" fillId="0" borderId="266" xfId="2" applyFont="1" applyBorder="1" applyAlignment="1" applyProtection="1">
      <alignment horizontal="center" vertical="center"/>
    </xf>
    <xf numFmtId="0" fontId="60" fillId="0" borderId="264" xfId="2" applyFont="1" applyBorder="1" applyAlignment="1" applyProtection="1">
      <alignment horizontal="left" vertical="center"/>
    </xf>
    <xf numFmtId="0" fontId="60" fillId="0" borderId="265" xfId="2" applyFont="1" applyBorder="1" applyAlignment="1" applyProtection="1">
      <alignment horizontal="left" vertical="center"/>
    </xf>
    <xf numFmtId="0" fontId="60" fillId="0" borderId="361" xfId="2" applyFont="1" applyBorder="1" applyAlignment="1" applyProtection="1">
      <alignment horizontal="left" vertical="center"/>
    </xf>
    <xf numFmtId="3" fontId="52" fillId="0" borderId="360" xfId="2" applyNumberFormat="1" applyFont="1" applyBorder="1" applyAlignment="1" applyProtection="1">
      <alignment horizontal="center" vertical="center"/>
    </xf>
    <xf numFmtId="3" fontId="52" fillId="0" borderId="266" xfId="2" applyNumberFormat="1" applyFont="1" applyBorder="1" applyAlignment="1" applyProtection="1">
      <alignment horizontal="center" vertical="center"/>
    </xf>
    <xf numFmtId="0" fontId="52" fillId="0" borderId="273" xfId="2" applyFont="1" applyFill="1" applyBorder="1" applyAlignment="1" applyProtection="1">
      <alignment horizontal="left" vertical="center"/>
    </xf>
    <xf numFmtId="171" fontId="51" fillId="0" borderId="360" xfId="4" applyNumberFormat="1" applyFont="1" applyFill="1" applyBorder="1" applyAlignment="1" applyProtection="1">
      <alignment horizontal="center" vertical="center" wrapText="1" readingOrder="1"/>
    </xf>
    <xf numFmtId="171" fontId="51" fillId="0" borderId="361" xfId="4" applyNumberFormat="1" applyFont="1" applyFill="1" applyBorder="1" applyAlignment="1" applyProtection="1">
      <alignment horizontal="center" vertical="center" wrapText="1" readingOrder="1"/>
    </xf>
    <xf numFmtId="9" fontId="19" fillId="0" borderId="274" xfId="4" applyNumberFormat="1" applyFont="1" applyFill="1" applyBorder="1" applyAlignment="1" applyProtection="1">
      <alignment horizontal="center" vertical="center" wrapText="1" readingOrder="1"/>
    </xf>
    <xf numFmtId="171" fontId="51" fillId="0" borderId="274" xfId="4" applyNumberFormat="1" applyFont="1" applyFill="1" applyBorder="1" applyAlignment="1" applyProtection="1">
      <alignment horizontal="center" vertical="center" wrapText="1" readingOrder="1"/>
    </xf>
    <xf numFmtId="171" fontId="52" fillId="40" borderId="274" xfId="4" applyNumberFormat="1" applyFont="1" applyFill="1" applyBorder="1" applyAlignment="1" applyProtection="1">
      <alignment horizontal="left" vertical="center" wrapText="1" readingOrder="1"/>
      <protection locked="0"/>
    </xf>
    <xf numFmtId="171" fontId="52" fillId="40" borderId="275" xfId="4" applyNumberFormat="1" applyFont="1" applyFill="1" applyBorder="1" applyAlignment="1" applyProtection="1">
      <alignment horizontal="left" vertical="center" wrapText="1" readingOrder="1"/>
      <protection locked="0"/>
    </xf>
    <xf numFmtId="0" fontId="63" fillId="0" borderId="273" xfId="2" applyFont="1" applyFill="1" applyBorder="1" applyAlignment="1" applyProtection="1">
      <alignment horizontal="left" vertical="center"/>
    </xf>
    <xf numFmtId="0" fontId="63" fillId="0" borderId="274" xfId="2" applyFont="1" applyFill="1" applyBorder="1" applyAlignment="1" applyProtection="1">
      <alignment horizontal="left" vertical="center"/>
    </xf>
    <xf numFmtId="171" fontId="161" fillId="0" borderId="274" xfId="4" applyNumberFormat="1" applyFont="1" applyFill="1" applyBorder="1" applyAlignment="1" applyProtection="1">
      <alignment horizontal="center" vertical="center" wrapText="1" readingOrder="1"/>
    </xf>
    <xf numFmtId="171" fontId="124" fillId="0" borderId="360" xfId="4" applyNumberFormat="1" applyFont="1" applyFill="1" applyBorder="1" applyAlignment="1" applyProtection="1">
      <alignment horizontal="center" vertical="center" wrapText="1" readingOrder="1"/>
    </xf>
    <xf numFmtId="171" fontId="124" fillId="0" borderId="361" xfId="4" applyNumberFormat="1" applyFont="1" applyFill="1" applyBorder="1" applyAlignment="1" applyProtection="1">
      <alignment horizontal="center" vertical="center" wrapText="1" readingOrder="1"/>
    </xf>
    <xf numFmtId="171" fontId="22" fillId="0" borderId="274" xfId="4" applyNumberFormat="1" applyFont="1" applyFill="1" applyBorder="1" applyAlignment="1" applyProtection="1">
      <alignment horizontal="center" vertical="center" wrapText="1" readingOrder="1"/>
    </xf>
    <xf numFmtId="171" fontId="22" fillId="0" borderId="275" xfId="4" applyNumberFormat="1" applyFont="1" applyFill="1" applyBorder="1" applyAlignment="1" applyProtection="1">
      <alignment horizontal="center" vertical="center" wrapText="1" readingOrder="1"/>
    </xf>
    <xf numFmtId="9" fontId="19" fillId="0" borderId="360" xfId="4" applyNumberFormat="1" applyFont="1" applyFill="1" applyBorder="1" applyAlignment="1" applyProtection="1">
      <alignment horizontal="center" vertical="center" wrapText="1" readingOrder="1"/>
    </xf>
    <xf numFmtId="9" fontId="19" fillId="0" borderId="361" xfId="4" applyNumberFormat="1" applyFont="1" applyFill="1" applyBorder="1" applyAlignment="1" applyProtection="1">
      <alignment horizontal="center" vertical="center" wrapText="1" readingOrder="1"/>
    </xf>
    <xf numFmtId="0" fontId="52" fillId="0" borderId="264" xfId="2" applyFont="1" applyFill="1" applyBorder="1" applyAlignment="1" applyProtection="1">
      <alignment horizontal="center" vertical="center"/>
    </xf>
    <xf numFmtId="0" fontId="52" fillId="0" borderId="265" xfId="2" applyFont="1" applyFill="1" applyBorder="1" applyAlignment="1" applyProtection="1">
      <alignment horizontal="center" vertical="center"/>
    </xf>
    <xf numFmtId="0" fontId="52" fillId="0" borderId="361" xfId="2" applyFont="1" applyFill="1" applyBorder="1" applyAlignment="1" applyProtection="1">
      <alignment horizontal="center" vertical="center"/>
    </xf>
    <xf numFmtId="171" fontId="22" fillId="0" borderId="360" xfId="4" applyNumberFormat="1" applyFont="1" applyFill="1" applyBorder="1" applyAlignment="1" applyProtection="1">
      <alignment horizontal="center" vertical="center" wrapText="1" readingOrder="1"/>
    </xf>
    <xf numFmtId="171" fontId="22" fillId="0" borderId="361" xfId="4" applyNumberFormat="1" applyFont="1" applyFill="1" applyBorder="1" applyAlignment="1" applyProtection="1">
      <alignment horizontal="center" vertical="center" wrapText="1" readingOrder="1"/>
    </xf>
    <xf numFmtId="171" fontId="52" fillId="40" borderId="360" xfId="4" applyNumberFormat="1" applyFont="1" applyFill="1" applyBorder="1" applyAlignment="1" applyProtection="1">
      <alignment horizontal="center" vertical="center" wrapText="1" readingOrder="1"/>
      <protection locked="0"/>
    </xf>
    <xf numFmtId="171" fontId="52" fillId="40" borderId="265" xfId="4" applyNumberFormat="1" applyFont="1" applyFill="1" applyBorder="1" applyAlignment="1" applyProtection="1">
      <alignment horizontal="center" vertical="center" wrapText="1" readingOrder="1"/>
      <protection locked="0"/>
    </xf>
    <xf numFmtId="171" fontId="52" fillId="40" borderId="266" xfId="4" applyNumberFormat="1" applyFont="1" applyFill="1" applyBorder="1" applyAlignment="1" applyProtection="1">
      <alignment horizontal="center" vertical="center" wrapText="1" readingOrder="1"/>
      <protection locked="0"/>
    </xf>
    <xf numFmtId="0" fontId="60" fillId="0" borderId="273" xfId="2" applyFont="1" applyFill="1" applyBorder="1" applyAlignment="1" applyProtection="1">
      <alignment horizontal="left" vertical="center"/>
    </xf>
    <xf numFmtId="0" fontId="60" fillId="0" borderId="274" xfId="2" applyFont="1" applyFill="1" applyBorder="1" applyAlignment="1" applyProtection="1">
      <alignment horizontal="left" vertical="center"/>
    </xf>
    <xf numFmtId="171" fontId="25" fillId="0" borderId="274" xfId="4" applyNumberFormat="1" applyFont="1" applyFill="1" applyBorder="1" applyAlignment="1" applyProtection="1">
      <alignment horizontal="center" vertical="center" wrapText="1" readingOrder="1"/>
    </xf>
    <xf numFmtId="171" fontId="67" fillId="0" borderId="274" xfId="4" applyNumberFormat="1" applyFont="1" applyFill="1" applyBorder="1" applyAlignment="1" applyProtection="1">
      <alignment horizontal="center" vertical="center" wrapText="1" readingOrder="1"/>
    </xf>
    <xf numFmtId="0" fontId="1" fillId="40" borderId="279" xfId="0" applyFont="1" applyFill="1" applyBorder="1" applyAlignment="1" applyProtection="1">
      <alignment horizontal="left" vertical="top" wrapText="1"/>
      <protection locked="0"/>
    </xf>
    <xf numFmtId="0" fontId="0" fillId="40" borderId="280" xfId="0" applyFont="1" applyFill="1" applyBorder="1" applyAlignment="1" applyProtection="1">
      <alignment horizontal="left" vertical="top" wrapText="1"/>
      <protection locked="0"/>
    </xf>
    <xf numFmtId="0" fontId="0" fillId="40" borderId="260" xfId="0" applyFont="1" applyFill="1" applyBorder="1" applyAlignment="1" applyProtection="1">
      <alignment horizontal="left" vertical="top" wrapText="1"/>
      <protection locked="0"/>
    </xf>
    <xf numFmtId="0" fontId="0" fillId="40" borderId="281" xfId="0" applyFont="1" applyFill="1" applyBorder="1" applyAlignment="1" applyProtection="1">
      <alignment horizontal="left" vertical="top" wrapText="1"/>
      <protection locked="0"/>
    </xf>
    <xf numFmtId="0" fontId="0" fillId="40" borderId="282" xfId="0" applyFont="1" applyFill="1" applyBorder="1" applyAlignment="1" applyProtection="1">
      <alignment horizontal="left" vertical="top" wrapText="1"/>
      <protection locked="0"/>
    </xf>
    <xf numFmtId="0" fontId="1" fillId="66" borderId="261" xfId="0" applyFont="1" applyFill="1" applyBorder="1" applyAlignment="1" applyProtection="1">
      <alignment horizontal="left" vertical="center"/>
    </xf>
    <xf numFmtId="0" fontId="1" fillId="66" borderId="262" xfId="0" applyFont="1" applyFill="1" applyBorder="1" applyAlignment="1" applyProtection="1">
      <alignment horizontal="left" vertical="center"/>
    </xf>
    <xf numFmtId="0" fontId="1" fillId="40" borderId="280" xfId="0" applyFont="1" applyFill="1" applyBorder="1" applyAlignment="1" applyProtection="1">
      <alignment horizontal="left" vertical="top" wrapText="1"/>
      <protection locked="0"/>
    </xf>
    <xf numFmtId="0" fontId="1" fillId="40" borderId="260" xfId="0" applyFont="1" applyFill="1" applyBorder="1" applyAlignment="1" applyProtection="1">
      <alignment horizontal="left" vertical="top" wrapText="1"/>
      <protection locked="0"/>
    </xf>
    <xf numFmtId="0" fontId="1" fillId="40" borderId="0" xfId="0" applyFont="1" applyFill="1" applyBorder="1" applyAlignment="1" applyProtection="1">
      <alignment horizontal="left" vertical="top" wrapText="1"/>
      <protection locked="0"/>
    </xf>
    <xf numFmtId="0" fontId="1" fillId="40" borderId="281" xfId="0" applyFont="1" applyFill="1" applyBorder="1" applyAlignment="1" applyProtection="1">
      <alignment horizontal="left" vertical="top" wrapText="1"/>
      <protection locked="0"/>
    </xf>
    <xf numFmtId="0" fontId="1" fillId="40" borderId="282" xfId="0" applyFont="1" applyFill="1" applyBorder="1" applyAlignment="1" applyProtection="1">
      <alignment horizontal="left" vertical="top" wrapText="1"/>
      <protection locked="0"/>
    </xf>
    <xf numFmtId="0" fontId="0" fillId="66" borderId="262" xfId="0" applyFont="1" applyFill="1" applyBorder="1" applyAlignment="1" applyProtection="1">
      <alignment horizontal="left" vertical="center"/>
    </xf>
    <xf numFmtId="0" fontId="60" fillId="8" borderId="264" xfId="2" applyFont="1" applyFill="1" applyBorder="1" applyAlignment="1" applyProtection="1">
      <alignment horizontal="center"/>
    </xf>
    <xf numFmtId="0" fontId="60" fillId="8" borderId="265" xfId="2" applyFont="1" applyFill="1" applyBorder="1" applyAlignment="1" applyProtection="1">
      <alignment horizontal="center"/>
    </xf>
    <xf numFmtId="0" fontId="60" fillId="8" borderId="266" xfId="2" applyFont="1" applyFill="1" applyBorder="1" applyAlignment="1" applyProtection="1">
      <alignment horizontal="center"/>
    </xf>
    <xf numFmtId="0" fontId="25" fillId="8" borderId="267" xfId="2" applyFont="1" applyFill="1" applyBorder="1" applyAlignment="1" applyProtection="1">
      <alignment horizontal="right" vertical="center"/>
    </xf>
    <xf numFmtId="0" fontId="25" fillId="8" borderId="268" xfId="2" applyFont="1" applyFill="1" applyBorder="1" applyAlignment="1" applyProtection="1">
      <alignment horizontal="right" vertical="center"/>
    </xf>
    <xf numFmtId="0" fontId="25" fillId="8" borderId="362" xfId="2" applyFont="1" applyFill="1" applyBorder="1" applyAlignment="1" applyProtection="1">
      <alignment horizontal="right" vertical="center"/>
    </xf>
    <xf numFmtId="3" fontId="52" fillId="8" borderId="643" xfId="2" applyNumberFormat="1" applyFont="1" applyFill="1" applyBorder="1" applyAlignment="1" applyProtection="1">
      <alignment horizontal="center" vertical="center"/>
    </xf>
    <xf numFmtId="0" fontId="52" fillId="8" borderId="269" xfId="2" applyFont="1" applyFill="1" applyBorder="1" applyAlignment="1" applyProtection="1">
      <alignment horizontal="center" vertical="center"/>
    </xf>
    <xf numFmtId="2" fontId="41" fillId="21" borderId="381" xfId="2" applyNumberFormat="1" applyFont="1" applyFill="1" applyBorder="1" applyAlignment="1" applyProtection="1">
      <alignment horizontal="center" vertical="center"/>
    </xf>
    <xf numFmtId="2" fontId="41" fillId="21" borderId="382" xfId="2" applyNumberFormat="1" applyFont="1" applyFill="1" applyBorder="1" applyAlignment="1" applyProtection="1">
      <alignment horizontal="center" vertical="center"/>
    </xf>
    <xf numFmtId="0" fontId="57" fillId="66" borderId="251" xfId="2" applyFont="1" applyFill="1" applyBorder="1" applyAlignment="1" applyProtection="1">
      <alignment horizontal="center" vertical="center"/>
    </xf>
    <xf numFmtId="0" fontId="57" fillId="66" borderId="0" xfId="2" applyFont="1" applyFill="1" applyBorder="1" applyAlignment="1" applyProtection="1">
      <alignment horizontal="center" vertical="center"/>
    </xf>
    <xf numFmtId="0" fontId="52" fillId="0" borderId="875" xfId="2" applyFont="1" applyFill="1" applyBorder="1" applyAlignment="1" applyProtection="1">
      <alignment horizontal="left" vertical="center"/>
    </xf>
    <xf numFmtId="0" fontId="52" fillId="0" borderId="370" xfId="2" applyFont="1" applyFill="1" applyBorder="1" applyAlignment="1" applyProtection="1">
      <alignment horizontal="left" vertical="center"/>
    </xf>
    <xf numFmtId="0" fontId="52" fillId="0" borderId="368" xfId="2" applyFont="1" applyFill="1" applyBorder="1" applyAlignment="1" applyProtection="1">
      <alignment horizontal="left" vertical="center"/>
    </xf>
    <xf numFmtId="0" fontId="60" fillId="17" borderId="886" xfId="2" applyFont="1" applyFill="1" applyBorder="1" applyAlignment="1" applyProtection="1">
      <alignment horizontal="center" vertical="center"/>
    </xf>
    <xf numFmtId="0" fontId="60" fillId="17" borderId="887" xfId="2" applyFont="1" applyFill="1" applyBorder="1" applyAlignment="1" applyProtection="1">
      <alignment horizontal="center" vertical="center"/>
    </xf>
    <xf numFmtId="0" fontId="104" fillId="17" borderId="921" xfId="2" applyFont="1" applyFill="1" applyBorder="1" applyAlignment="1" applyProtection="1">
      <alignment horizontal="center" vertical="center"/>
    </xf>
    <xf numFmtId="0" fontId="104" fillId="17" borderId="922" xfId="2" applyFont="1" applyFill="1" applyBorder="1" applyAlignment="1" applyProtection="1">
      <alignment horizontal="center" vertical="center"/>
    </xf>
    <xf numFmtId="0" fontId="104" fillId="17" borderId="866" xfId="2" applyFont="1" applyFill="1" applyBorder="1" applyAlignment="1" applyProtection="1">
      <alignment horizontal="left" vertical="center"/>
    </xf>
    <xf numFmtId="0" fontId="104" fillId="17" borderId="265" xfId="2" applyFont="1" applyFill="1" applyBorder="1" applyAlignment="1" applyProtection="1">
      <alignment horizontal="left" vertical="center"/>
    </xf>
    <xf numFmtId="0" fontId="104" fillId="17" borderId="361" xfId="2" applyFont="1" applyFill="1" applyBorder="1" applyAlignment="1" applyProtection="1">
      <alignment horizontal="left" vertical="center"/>
    </xf>
    <xf numFmtId="9" fontId="60" fillId="26" borderId="360" xfId="3" applyFont="1" applyFill="1" applyBorder="1" applyAlignment="1" applyProtection="1">
      <alignment horizontal="center" vertical="center"/>
      <protection locked="0"/>
    </xf>
    <xf numFmtId="9" fontId="60" fillId="26" borderId="361" xfId="3" applyFont="1" applyFill="1" applyBorder="1" applyAlignment="1" applyProtection="1">
      <alignment horizontal="center" vertical="center"/>
      <protection locked="0"/>
    </xf>
    <xf numFmtId="9" fontId="60" fillId="26" borderId="867" xfId="3" applyFont="1" applyFill="1" applyBorder="1" applyAlignment="1" applyProtection="1">
      <alignment horizontal="center" vertical="center"/>
      <protection locked="0"/>
    </xf>
    <xf numFmtId="0" fontId="52" fillId="0" borderId="267" xfId="2" applyFont="1" applyFill="1" applyBorder="1" applyAlignment="1" applyProtection="1">
      <alignment horizontal="center" vertical="center"/>
    </xf>
    <xf numFmtId="0" fontId="52" fillId="0" borderId="268" xfId="2" applyFont="1" applyFill="1" applyBorder="1" applyAlignment="1" applyProtection="1">
      <alignment horizontal="center" vertical="center"/>
    </xf>
    <xf numFmtId="0" fontId="52" fillId="0" borderId="362" xfId="2" applyFont="1" applyFill="1" applyBorder="1" applyAlignment="1" applyProtection="1">
      <alignment horizontal="center" vertical="center"/>
    </xf>
    <xf numFmtId="9" fontId="52" fillId="26" borderId="643" xfId="2" applyNumberFormat="1" applyFont="1" applyFill="1" applyBorder="1" applyAlignment="1" applyProtection="1">
      <alignment horizontal="center" vertical="center"/>
      <protection locked="0"/>
    </xf>
    <xf numFmtId="9" fontId="52" fillId="26" borderId="362" xfId="2" applyNumberFormat="1" applyFont="1" applyFill="1" applyBorder="1" applyAlignment="1" applyProtection="1">
      <alignment horizontal="center" vertical="center"/>
      <protection locked="0"/>
    </xf>
    <xf numFmtId="0" fontId="52" fillId="0" borderId="643" xfId="2" applyFont="1" applyFill="1" applyBorder="1" applyAlignment="1" applyProtection="1">
      <alignment horizontal="center" vertical="center"/>
    </xf>
    <xf numFmtId="3" fontId="52" fillId="0" borderId="416" xfId="2" applyNumberFormat="1" applyFont="1" applyFill="1" applyBorder="1" applyAlignment="1" applyProtection="1">
      <alignment horizontal="center" vertical="center"/>
    </xf>
    <xf numFmtId="3" fontId="52" fillId="0" borderId="638" xfId="2" applyNumberFormat="1" applyFont="1" applyFill="1" applyBorder="1" applyAlignment="1" applyProtection="1">
      <alignment horizontal="center" vertical="center"/>
    </xf>
    <xf numFmtId="171" fontId="60" fillId="8" borderId="416" xfId="2" applyNumberFormat="1" applyFont="1" applyFill="1" applyBorder="1" applyAlignment="1" applyProtection="1">
      <alignment horizontal="center" vertical="center"/>
    </xf>
    <xf numFmtId="171" fontId="60" fillId="8" borderId="412" xfId="2" applyNumberFormat="1" applyFont="1" applyFill="1" applyBorder="1" applyAlignment="1" applyProtection="1">
      <alignment horizontal="center" vertical="center"/>
    </xf>
    <xf numFmtId="0" fontId="52" fillId="0" borderId="375" xfId="2" applyFont="1" applyBorder="1" applyAlignment="1" applyProtection="1">
      <alignment horizontal="center" vertical="center"/>
    </xf>
    <xf numFmtId="0" fontId="52" fillId="0" borderId="377" xfId="2" applyFont="1" applyBorder="1" applyAlignment="1" applyProtection="1">
      <alignment horizontal="center" vertical="center"/>
    </xf>
    <xf numFmtId="0" fontId="52" fillId="5" borderId="264" xfId="2" applyFont="1" applyFill="1" applyBorder="1" applyAlignment="1" applyProtection="1">
      <alignment horizontal="left" vertical="center"/>
      <protection locked="0"/>
    </xf>
    <xf numFmtId="0" fontId="52" fillId="5" borderId="265" xfId="2" applyFont="1" applyFill="1" applyBorder="1" applyAlignment="1" applyProtection="1">
      <alignment horizontal="left" vertical="center"/>
      <protection locked="0"/>
    </xf>
    <xf numFmtId="0" fontId="52" fillId="5" borderId="361" xfId="2" applyFont="1" applyFill="1" applyBorder="1" applyAlignment="1" applyProtection="1">
      <alignment horizontal="left" vertical="center"/>
      <protection locked="0"/>
    </xf>
    <xf numFmtId="0" fontId="52" fillId="0" borderId="360" xfId="2" applyFont="1" applyFill="1" applyBorder="1" applyAlignment="1" applyProtection="1">
      <alignment horizontal="center" vertical="center"/>
      <protection locked="0"/>
    </xf>
    <xf numFmtId="0" fontId="52" fillId="0" borderId="361" xfId="2" applyFont="1" applyFill="1" applyBorder="1" applyAlignment="1" applyProtection="1">
      <alignment horizontal="center" vertical="center"/>
      <protection locked="0"/>
    </xf>
    <xf numFmtId="171" fontId="22" fillId="0" borderId="360" xfId="2" applyNumberFormat="1" applyFont="1" applyFill="1" applyBorder="1" applyAlignment="1" applyProtection="1">
      <alignment horizontal="center" vertical="center"/>
      <protection locked="0"/>
    </xf>
    <xf numFmtId="171" fontId="22" fillId="0" borderId="361" xfId="2" applyNumberFormat="1" applyFont="1" applyFill="1" applyBorder="1" applyAlignment="1" applyProtection="1">
      <alignment horizontal="center" vertical="center"/>
      <protection locked="0"/>
    </xf>
    <xf numFmtId="171" fontId="22" fillId="26" borderId="360" xfId="2" applyNumberFormat="1" applyFont="1" applyFill="1" applyBorder="1" applyAlignment="1" applyProtection="1">
      <alignment horizontal="center" vertical="center"/>
    </xf>
    <xf numFmtId="171" fontId="22" fillId="26" borderId="266" xfId="2" applyNumberFormat="1" applyFont="1" applyFill="1" applyBorder="1" applyAlignment="1" applyProtection="1">
      <alignment horizontal="center" vertical="center"/>
    </xf>
    <xf numFmtId="0" fontId="60" fillId="8" borderId="264" xfId="2" applyFont="1" applyFill="1" applyBorder="1" applyAlignment="1" applyProtection="1">
      <alignment horizontal="center" vertical="center"/>
    </xf>
    <xf numFmtId="0" fontId="60" fillId="8" borderId="265" xfId="2" applyFont="1" applyFill="1" applyBorder="1" applyAlignment="1" applyProtection="1">
      <alignment horizontal="center" vertical="center"/>
    </xf>
    <xf numFmtId="0" fontId="60" fillId="8" borderId="361" xfId="2" applyFont="1" applyFill="1" applyBorder="1" applyAlignment="1" applyProtection="1">
      <alignment horizontal="center" vertical="center"/>
    </xf>
    <xf numFmtId="0" fontId="60" fillId="8" borderId="360" xfId="2" applyFont="1" applyFill="1" applyBorder="1" applyAlignment="1" applyProtection="1">
      <alignment horizontal="center" vertical="center"/>
    </xf>
    <xf numFmtId="171" fontId="60" fillId="8" borderId="360" xfId="2" applyNumberFormat="1" applyFont="1" applyFill="1" applyBorder="1" applyAlignment="1" applyProtection="1">
      <alignment horizontal="center" vertical="center"/>
    </xf>
    <xf numFmtId="171" fontId="60" fillId="8" borderId="266" xfId="2" applyNumberFormat="1" applyFont="1" applyFill="1" applyBorder="1" applyAlignment="1" applyProtection="1">
      <alignment horizontal="center" vertical="center"/>
    </xf>
    <xf numFmtId="0" fontId="52" fillId="26" borderId="360" xfId="2" applyFont="1" applyFill="1" applyBorder="1" applyAlignment="1" applyProtection="1">
      <alignment horizontal="center" vertical="center"/>
      <protection locked="0"/>
    </xf>
    <xf numFmtId="0" fontId="52" fillId="26" borderId="361" xfId="2" applyFont="1" applyFill="1" applyBorder="1" applyAlignment="1" applyProtection="1">
      <alignment horizontal="center" vertical="center"/>
      <protection locked="0"/>
    </xf>
    <xf numFmtId="171" fontId="22" fillId="0" borderId="360" xfId="2" applyNumberFormat="1" applyFont="1" applyFill="1" applyBorder="1" applyAlignment="1" applyProtection="1">
      <alignment horizontal="center" vertical="center"/>
    </xf>
    <xf numFmtId="171" fontId="22" fillId="0" borderId="266" xfId="2" applyNumberFormat="1" applyFont="1" applyFill="1" applyBorder="1" applyAlignment="1" applyProtection="1">
      <alignment horizontal="center" vertical="center"/>
    </xf>
    <xf numFmtId="0" fontId="52" fillId="0" borderId="360" xfId="2" applyFont="1" applyFill="1" applyBorder="1" applyAlignment="1" applyProtection="1">
      <alignment horizontal="center" vertical="center"/>
    </xf>
    <xf numFmtId="3" fontId="52" fillId="0" borderId="360" xfId="2" applyNumberFormat="1" applyFont="1" applyFill="1" applyBorder="1" applyAlignment="1" applyProtection="1">
      <alignment horizontal="center" vertical="center"/>
    </xf>
    <xf numFmtId="3" fontId="52" fillId="0" borderId="361" xfId="2" applyNumberFormat="1" applyFont="1" applyFill="1" applyBorder="1" applyAlignment="1" applyProtection="1">
      <alignment horizontal="center" vertical="center"/>
    </xf>
    <xf numFmtId="171" fontId="22" fillId="26" borderId="360" xfId="2" applyNumberFormat="1" applyFont="1" applyFill="1" applyBorder="1" applyAlignment="1" applyProtection="1">
      <alignment horizontal="center" vertical="center"/>
      <protection locked="0"/>
    </xf>
    <xf numFmtId="171" fontId="22" fillId="26" borderId="266" xfId="2" applyNumberFormat="1" applyFont="1" applyFill="1" applyBorder="1" applyAlignment="1" applyProtection="1">
      <alignment horizontal="center" vertical="center"/>
      <protection locked="0"/>
    </xf>
    <xf numFmtId="0" fontId="24" fillId="21" borderId="276" xfId="2" applyFont="1" applyFill="1" applyBorder="1" applyAlignment="1" applyProtection="1">
      <alignment horizontal="right" vertical="center"/>
    </xf>
    <xf numFmtId="0" fontId="24" fillId="21" borderId="277" xfId="2" applyFont="1" applyFill="1" applyBorder="1" applyAlignment="1" applyProtection="1">
      <alignment horizontal="right" vertical="center"/>
    </xf>
    <xf numFmtId="3" fontId="151" fillId="21" borderId="643" xfId="2" applyNumberFormat="1" applyFont="1" applyFill="1" applyBorder="1" applyAlignment="1" applyProtection="1">
      <alignment horizontal="center" vertical="center"/>
    </xf>
    <xf numFmtId="3" fontId="151" fillId="21" borderId="362" xfId="2" applyNumberFormat="1" applyFont="1" applyFill="1" applyBorder="1" applyAlignment="1" applyProtection="1">
      <alignment horizontal="center" vertical="center"/>
    </xf>
    <xf numFmtId="0" fontId="52" fillId="21" borderId="643" xfId="2" applyFont="1" applyFill="1" applyBorder="1" applyAlignment="1" applyProtection="1">
      <alignment horizontal="center" vertical="center"/>
    </xf>
    <xf numFmtId="0" fontId="52" fillId="21" borderId="362" xfId="2" applyFont="1" applyFill="1" applyBorder="1" applyAlignment="1" applyProtection="1">
      <alignment horizontal="center" vertical="center"/>
    </xf>
    <xf numFmtId="0" fontId="60" fillId="17" borderId="264" xfId="2" applyFont="1" applyFill="1" applyBorder="1" applyAlignment="1" applyProtection="1">
      <alignment horizontal="center" vertical="center"/>
    </xf>
    <xf numFmtId="0" fontId="60" fillId="17" borderId="265" xfId="2" applyFont="1" applyFill="1" applyBorder="1" applyAlignment="1" applyProtection="1">
      <alignment horizontal="center" vertical="center"/>
    </xf>
    <xf numFmtId="0" fontId="60" fillId="17" borderId="361" xfId="2" applyFont="1" applyFill="1" applyBorder="1" applyAlignment="1" applyProtection="1">
      <alignment horizontal="center" vertical="center"/>
    </xf>
    <xf numFmtId="0" fontId="60" fillId="17" borderId="360" xfId="2" applyFont="1" applyFill="1" applyBorder="1" applyAlignment="1" applyProtection="1">
      <alignment horizontal="center" vertical="center"/>
    </xf>
    <xf numFmtId="0" fontId="60" fillId="17" borderId="266" xfId="2" applyFont="1" applyFill="1" applyBorder="1" applyAlignment="1" applyProtection="1">
      <alignment horizontal="center" vertical="center"/>
    </xf>
    <xf numFmtId="9" fontId="151" fillId="21" borderId="643" xfId="3" applyFont="1" applyFill="1" applyBorder="1" applyAlignment="1" applyProtection="1">
      <alignment horizontal="center" vertical="center"/>
    </xf>
    <xf numFmtId="9" fontId="151" fillId="21" borderId="362" xfId="3" applyFont="1" applyFill="1" applyBorder="1" applyAlignment="1" applyProtection="1">
      <alignment horizontal="center" vertical="center"/>
    </xf>
    <xf numFmtId="9" fontId="67" fillId="0" borderId="274" xfId="14" applyFont="1" applyFill="1" applyBorder="1" applyAlignment="1" applyProtection="1">
      <alignment horizontal="center" vertical="center"/>
    </xf>
    <xf numFmtId="3" fontId="52" fillId="0" borderId="274" xfId="2" applyNumberFormat="1" applyFont="1" applyFill="1" applyBorder="1" applyAlignment="1" applyProtection="1">
      <alignment horizontal="center" vertical="center"/>
    </xf>
    <xf numFmtId="3" fontId="52" fillId="0" borderId="275" xfId="2" applyNumberFormat="1" applyFont="1" applyFill="1" applyBorder="1" applyAlignment="1" applyProtection="1">
      <alignment horizontal="center" vertical="center"/>
    </xf>
    <xf numFmtId="0" fontId="52" fillId="0" borderId="273" xfId="2" applyFont="1" applyFill="1" applyBorder="1" applyAlignment="1" applyProtection="1">
      <alignment horizontal="center" vertical="center"/>
    </xf>
    <xf numFmtId="0" fontId="52" fillId="0" borderId="274" xfId="2" applyFont="1" applyFill="1" applyBorder="1" applyAlignment="1" applyProtection="1">
      <alignment horizontal="center" vertical="center"/>
    </xf>
    <xf numFmtId="0" fontId="52" fillId="0" borderId="275" xfId="2" applyFont="1" applyFill="1" applyBorder="1" applyAlignment="1" applyProtection="1">
      <alignment horizontal="center" vertical="center"/>
    </xf>
    <xf numFmtId="3" fontId="22" fillId="0" borderId="274" xfId="4" applyNumberFormat="1" applyFont="1" applyFill="1" applyBorder="1" applyAlignment="1" applyProtection="1">
      <alignment horizontal="center" vertical="center" wrapText="1" readingOrder="1"/>
    </xf>
    <xf numFmtId="9" fontId="52" fillId="26" borderId="360" xfId="14" applyNumberFormat="1" applyFont="1" applyFill="1" applyBorder="1" applyAlignment="1" applyProtection="1">
      <alignment horizontal="center" vertical="center"/>
      <protection locked="0"/>
    </xf>
    <xf numFmtId="9" fontId="52" fillId="26" borderId="361" xfId="14" applyNumberFormat="1" applyFont="1" applyFill="1" applyBorder="1" applyAlignment="1" applyProtection="1">
      <alignment horizontal="center" vertical="center"/>
      <protection locked="0"/>
    </xf>
    <xf numFmtId="171" fontId="22" fillId="0" borderId="274" xfId="2" applyNumberFormat="1" applyFont="1" applyFill="1" applyBorder="1" applyAlignment="1" applyProtection="1">
      <alignment horizontal="center" vertical="center"/>
    </xf>
    <xf numFmtId="3" fontId="52" fillId="40" borderId="274" xfId="2" applyNumberFormat="1" applyFont="1" applyFill="1" applyBorder="1" applyAlignment="1" applyProtection="1">
      <alignment horizontal="left" vertical="center"/>
      <protection locked="0"/>
    </xf>
    <xf numFmtId="3" fontId="52" fillId="40" borderId="275" xfId="2" applyNumberFormat="1" applyFont="1" applyFill="1" applyBorder="1" applyAlignment="1" applyProtection="1">
      <alignment horizontal="left" vertical="center"/>
      <protection locked="0"/>
    </xf>
    <xf numFmtId="3" fontId="22" fillId="0" borderId="360" xfId="4" applyNumberFormat="1" applyFont="1" applyFill="1" applyBorder="1" applyAlignment="1" applyProtection="1">
      <alignment horizontal="center" vertical="center" wrapText="1" readingOrder="1"/>
    </xf>
    <xf numFmtId="3" fontId="22" fillId="0" borderId="361" xfId="4" applyNumberFormat="1" applyFont="1" applyFill="1" applyBorder="1" applyAlignment="1" applyProtection="1">
      <alignment horizontal="center" vertical="center" wrapText="1" readingOrder="1"/>
    </xf>
    <xf numFmtId="9" fontId="52" fillId="29" borderId="274" xfId="14" applyFont="1" applyFill="1" applyBorder="1" applyAlignment="1" applyProtection="1">
      <alignment horizontal="center" vertical="center"/>
    </xf>
    <xf numFmtId="171" fontId="22" fillId="0" borderId="361" xfId="2" applyNumberFormat="1" applyFont="1" applyFill="1" applyBorder="1" applyAlignment="1" applyProtection="1">
      <alignment horizontal="center" vertical="center"/>
    </xf>
    <xf numFmtId="3" fontId="52" fillId="40" borderId="360" xfId="2" applyNumberFormat="1" applyFont="1" applyFill="1" applyBorder="1" applyAlignment="1" applyProtection="1">
      <alignment horizontal="center" vertical="center"/>
      <protection locked="0"/>
    </xf>
    <xf numFmtId="3" fontId="52" fillId="40" borderId="265" xfId="2" applyNumberFormat="1" applyFont="1" applyFill="1" applyBorder="1" applyAlignment="1" applyProtection="1">
      <alignment horizontal="center" vertical="center"/>
      <protection locked="0"/>
    </xf>
    <xf numFmtId="3" fontId="52" fillId="40" borderId="266" xfId="2" applyNumberFormat="1" applyFont="1" applyFill="1" applyBorder="1" applyAlignment="1" applyProtection="1">
      <alignment horizontal="center" vertical="center"/>
      <protection locked="0"/>
    </xf>
    <xf numFmtId="187" fontId="52" fillId="0" borderId="274" xfId="14" applyNumberFormat="1" applyFont="1" applyFill="1" applyBorder="1" applyAlignment="1" applyProtection="1">
      <alignment horizontal="center" vertical="center"/>
      <protection locked="0"/>
    </xf>
    <xf numFmtId="3" fontId="52" fillId="29" borderId="360" xfId="2" applyNumberFormat="1" applyFont="1" applyFill="1" applyBorder="1" applyAlignment="1" applyProtection="1">
      <alignment horizontal="center" vertical="center"/>
    </xf>
    <xf numFmtId="3" fontId="52" fillId="29" borderId="361" xfId="2" applyNumberFormat="1" applyFont="1" applyFill="1" applyBorder="1" applyAlignment="1" applyProtection="1">
      <alignment horizontal="center" vertical="center"/>
    </xf>
    <xf numFmtId="9" fontId="52" fillId="29" borderId="360" xfId="14" applyFont="1" applyFill="1" applyBorder="1" applyAlignment="1" applyProtection="1">
      <alignment horizontal="center" vertical="center" wrapText="1"/>
    </xf>
    <xf numFmtId="9" fontId="52" fillId="29" borderId="361" xfId="14" applyFont="1" applyFill="1" applyBorder="1" applyAlignment="1" applyProtection="1">
      <alignment horizontal="center" vertical="center" wrapText="1"/>
    </xf>
    <xf numFmtId="3" fontId="52" fillId="29" borderId="274" xfId="2" applyNumberFormat="1" applyFont="1" applyFill="1" applyBorder="1" applyAlignment="1" applyProtection="1">
      <alignment horizontal="center" vertical="center"/>
    </xf>
    <xf numFmtId="3" fontId="52" fillId="29" borderId="275" xfId="2" applyNumberFormat="1" applyFont="1" applyFill="1" applyBorder="1" applyAlignment="1" applyProtection="1">
      <alignment horizontal="center" vertical="center"/>
    </xf>
    <xf numFmtId="0" fontId="22" fillId="0" borderId="273" xfId="0" applyFont="1" applyFill="1" applyBorder="1" applyAlignment="1" applyProtection="1">
      <alignment horizontal="center" vertical="center"/>
    </xf>
    <xf numFmtId="0" fontId="22" fillId="0" borderId="274" xfId="0" applyFont="1" applyFill="1" applyBorder="1" applyAlignment="1" applyProtection="1">
      <alignment horizontal="center" vertical="center"/>
    </xf>
    <xf numFmtId="0" fontId="22" fillId="0" borderId="275" xfId="0" applyFont="1" applyFill="1" applyBorder="1" applyAlignment="1" applyProtection="1">
      <alignment horizontal="center" vertical="center"/>
    </xf>
    <xf numFmtId="0" fontId="24" fillId="17" borderId="270" xfId="2" applyFont="1" applyFill="1" applyBorder="1" applyAlignment="1" applyProtection="1">
      <alignment horizontal="left" vertical="center"/>
    </xf>
    <xf numFmtId="0" fontId="24" fillId="17" borderId="271" xfId="2" applyFont="1" applyFill="1" applyBorder="1" applyAlignment="1" applyProtection="1">
      <alignment horizontal="left" vertical="center"/>
    </xf>
    <xf numFmtId="0" fontId="24" fillId="17" borderId="271" xfId="2" applyFont="1" applyFill="1" applyBorder="1" applyAlignment="1" applyProtection="1">
      <alignment horizontal="center" vertical="center"/>
    </xf>
    <xf numFmtId="0" fontId="24" fillId="17" borderId="271" xfId="2" applyFont="1" applyFill="1" applyBorder="1" applyAlignment="1" applyProtection="1">
      <alignment horizontal="center" vertical="center" wrapText="1"/>
    </xf>
    <xf numFmtId="0" fontId="24" fillId="17" borderId="272" xfId="2" applyFont="1" applyFill="1" applyBorder="1" applyAlignment="1" applyProtection="1">
      <alignment horizontal="center" vertical="center"/>
    </xf>
    <xf numFmtId="9" fontId="52" fillId="29" borderId="360" xfId="14" applyFont="1" applyFill="1" applyBorder="1" applyAlignment="1" applyProtection="1">
      <alignment horizontal="center" vertical="center"/>
    </xf>
    <xf numFmtId="9" fontId="52" fillId="29" borderId="361" xfId="14" applyFont="1" applyFill="1" applyBorder="1" applyAlignment="1" applyProtection="1">
      <alignment horizontal="center" vertical="center"/>
    </xf>
    <xf numFmtId="3" fontId="52" fillId="29" borderId="265" xfId="2" applyNumberFormat="1" applyFont="1" applyFill="1" applyBorder="1" applyAlignment="1" applyProtection="1">
      <alignment horizontal="center" vertical="center"/>
    </xf>
    <xf numFmtId="3" fontId="52" fillId="29" borderId="266" xfId="2" applyNumberFormat="1" applyFont="1" applyFill="1" applyBorder="1" applyAlignment="1" applyProtection="1">
      <alignment horizontal="center" vertical="center"/>
    </xf>
    <xf numFmtId="171" fontId="52" fillId="40" borderId="274" xfId="4" applyNumberFormat="1" applyFont="1" applyFill="1" applyBorder="1" applyAlignment="1" applyProtection="1">
      <alignment horizontal="left" vertical="center"/>
      <protection locked="0"/>
    </xf>
    <xf numFmtId="171" fontId="52" fillId="40" borderId="275" xfId="4" applyNumberFormat="1" applyFont="1" applyFill="1" applyBorder="1" applyAlignment="1" applyProtection="1">
      <alignment horizontal="left" vertical="center"/>
      <protection locked="0"/>
    </xf>
    <xf numFmtId="0" fontId="0" fillId="21" borderId="915" xfId="0" applyFont="1" applyFill="1" applyBorder="1" applyAlignment="1" applyProtection="1">
      <alignment horizontal="center" vertical="center"/>
    </xf>
    <xf numFmtId="0" fontId="0" fillId="21" borderId="916" xfId="0" applyFont="1" applyFill="1" applyBorder="1" applyAlignment="1" applyProtection="1">
      <alignment horizontal="center" vertical="center"/>
    </xf>
    <xf numFmtId="0" fontId="52" fillId="21" borderId="381" xfId="2" applyFont="1" applyFill="1" applyBorder="1" applyAlignment="1" applyProtection="1">
      <alignment horizontal="center" vertical="center"/>
    </xf>
    <xf numFmtId="0" fontId="52" fillId="21" borderId="379" xfId="2" applyFont="1" applyFill="1" applyBorder="1" applyAlignment="1" applyProtection="1">
      <alignment horizontal="center" vertical="center"/>
    </xf>
    <xf numFmtId="171" fontId="41" fillId="21" borderId="916" xfId="2" applyNumberFormat="1" applyFont="1" applyFill="1" applyBorder="1" applyAlignment="1" applyProtection="1">
      <alignment horizontal="center" vertical="center"/>
    </xf>
    <xf numFmtId="171" fontId="41" fillId="21" borderId="917" xfId="2" applyNumberFormat="1" applyFont="1" applyFill="1" applyBorder="1" applyAlignment="1" applyProtection="1">
      <alignment horizontal="center" vertical="center"/>
    </xf>
    <xf numFmtId="0" fontId="108" fillId="66" borderId="376" xfId="2" applyFont="1" applyFill="1" applyBorder="1" applyAlignment="1" applyProtection="1">
      <alignment horizontal="center" vertical="center"/>
    </xf>
    <xf numFmtId="0" fontId="108" fillId="66" borderId="375" xfId="2" applyFont="1" applyFill="1" applyBorder="1" applyAlignment="1" applyProtection="1">
      <alignment horizontal="center" vertical="center"/>
    </xf>
    <xf numFmtId="0" fontId="108" fillId="66" borderId="377" xfId="2" applyFont="1" applyFill="1" applyBorder="1" applyAlignment="1" applyProtection="1">
      <alignment horizontal="center" vertical="center"/>
    </xf>
    <xf numFmtId="171" fontId="52" fillId="0" borderId="360" xfId="2" applyNumberFormat="1" applyFont="1" applyFill="1" applyBorder="1" applyAlignment="1" applyProtection="1">
      <alignment horizontal="center" vertical="center"/>
      <protection locked="0"/>
    </xf>
    <xf numFmtId="3" fontId="52" fillId="26" borderId="367" xfId="2" applyNumberFormat="1" applyFont="1" applyFill="1" applyBorder="1" applyAlignment="1" applyProtection="1">
      <alignment horizontal="center" vertical="center"/>
    </xf>
    <xf numFmtId="3" fontId="52" fillId="26" borderId="371" xfId="2" applyNumberFormat="1" applyFont="1" applyFill="1" applyBorder="1" applyAlignment="1" applyProtection="1">
      <alignment horizontal="center" vertical="center"/>
    </xf>
    <xf numFmtId="3" fontId="52" fillId="0" borderId="367" xfId="2" applyNumberFormat="1" applyFont="1" applyFill="1" applyBorder="1" applyAlignment="1" applyProtection="1">
      <alignment horizontal="center" vertical="center"/>
    </xf>
    <xf numFmtId="3" fontId="52" fillId="0" borderId="371" xfId="2" applyNumberFormat="1" applyFont="1" applyFill="1" applyBorder="1" applyAlignment="1" applyProtection="1">
      <alignment horizontal="center" vertical="center"/>
    </xf>
    <xf numFmtId="0" fontId="52" fillId="5" borderId="369" xfId="2" applyFont="1" applyFill="1" applyBorder="1" applyAlignment="1" applyProtection="1">
      <alignment horizontal="left" vertical="center"/>
      <protection locked="0"/>
    </xf>
    <xf numFmtId="0" fontId="52" fillId="5" borderId="370" xfId="2" applyFont="1" applyFill="1" applyBorder="1" applyAlignment="1" applyProtection="1">
      <alignment horizontal="left" vertical="center"/>
      <protection locked="0"/>
    </xf>
    <xf numFmtId="0" fontId="52" fillId="5" borderId="368" xfId="2" applyFont="1" applyFill="1" applyBorder="1" applyAlignment="1" applyProtection="1">
      <alignment horizontal="left" vertical="center"/>
      <protection locked="0"/>
    </xf>
    <xf numFmtId="0" fontId="52" fillId="26" borderId="367" xfId="2" applyFont="1" applyFill="1" applyBorder="1" applyAlignment="1" applyProtection="1">
      <alignment horizontal="center" vertical="center"/>
      <protection locked="0"/>
    </xf>
    <xf numFmtId="0" fontId="52" fillId="26" borderId="368" xfId="2" applyFont="1" applyFill="1" applyBorder="1" applyAlignment="1" applyProtection="1">
      <alignment horizontal="center" vertical="center"/>
      <protection locked="0"/>
    </xf>
    <xf numFmtId="171" fontId="52" fillId="0" borderId="367" xfId="2" applyNumberFormat="1" applyFont="1" applyFill="1" applyBorder="1" applyAlignment="1" applyProtection="1">
      <alignment horizontal="center" vertical="center"/>
      <protection locked="0"/>
    </xf>
    <xf numFmtId="0" fontId="52" fillId="0" borderId="368" xfId="2" applyFont="1" applyFill="1" applyBorder="1" applyAlignment="1" applyProtection="1">
      <alignment horizontal="center" vertical="center"/>
      <protection locked="0"/>
    </xf>
    <xf numFmtId="0" fontId="52" fillId="5" borderId="968" xfId="2" applyFont="1" applyFill="1" applyBorder="1" applyAlignment="1" applyProtection="1">
      <alignment horizontal="left" vertical="center"/>
      <protection locked="0"/>
    </xf>
    <xf numFmtId="0" fontId="52" fillId="5" borderId="969" xfId="2" applyFont="1" applyFill="1" applyBorder="1" applyAlignment="1" applyProtection="1">
      <alignment horizontal="left" vertical="center"/>
      <protection locked="0"/>
    </xf>
    <xf numFmtId="0" fontId="52" fillId="5" borderId="970" xfId="2" applyFont="1" applyFill="1" applyBorder="1" applyAlignment="1" applyProtection="1">
      <alignment horizontal="left" vertical="center"/>
      <protection locked="0"/>
    </xf>
    <xf numFmtId="3" fontId="60" fillId="26" borderId="971" xfId="2" applyNumberFormat="1" applyFont="1" applyFill="1" applyBorder="1" applyAlignment="1" applyProtection="1">
      <alignment horizontal="center" vertical="center"/>
      <protection locked="0"/>
    </xf>
    <xf numFmtId="3" fontId="60" fillId="26" borderId="972" xfId="2" applyNumberFormat="1" applyFont="1" applyFill="1" applyBorder="1" applyAlignment="1" applyProtection="1">
      <alignment horizontal="center" vertical="center"/>
      <protection locked="0"/>
    </xf>
    <xf numFmtId="3" fontId="52" fillId="0" borderId="266" xfId="2" applyNumberFormat="1" applyFont="1" applyFill="1" applyBorder="1" applyAlignment="1" applyProtection="1">
      <alignment horizontal="center" vertical="center"/>
    </xf>
    <xf numFmtId="12" fontId="21" fillId="0" borderId="959" xfId="0" applyNumberFormat="1" applyFont="1" applyBorder="1" applyAlignment="1" applyProtection="1">
      <alignment horizontal="left" vertical="center"/>
    </xf>
    <xf numFmtId="12" fontId="21" fillId="0" borderId="960" xfId="0" applyNumberFormat="1" applyFont="1" applyBorder="1" applyAlignment="1" applyProtection="1">
      <alignment horizontal="left" vertical="center"/>
    </xf>
    <xf numFmtId="12" fontId="26" fillId="0" borderId="966" xfId="0" applyNumberFormat="1" applyFont="1" applyBorder="1" applyAlignment="1" applyProtection="1">
      <alignment horizontal="center" vertical="center"/>
    </xf>
    <xf numFmtId="12" fontId="26" fillId="0" borderId="967" xfId="0" applyNumberFormat="1" applyFont="1" applyBorder="1" applyAlignment="1" applyProtection="1">
      <alignment horizontal="center" vertical="center"/>
    </xf>
    <xf numFmtId="0" fontId="108" fillId="66" borderId="261" xfId="2" applyFont="1" applyFill="1" applyBorder="1" applyAlignment="1" applyProtection="1">
      <alignment horizontal="center" vertical="center"/>
    </xf>
    <xf numFmtId="0" fontId="108" fillId="66" borderId="262" xfId="2" applyFont="1" applyFill="1" applyBorder="1" applyAlignment="1" applyProtection="1">
      <alignment horizontal="center" vertical="center"/>
    </xf>
    <xf numFmtId="0" fontId="108" fillId="66" borderId="263" xfId="2" applyFont="1" applyFill="1" applyBorder="1" applyAlignment="1" applyProtection="1">
      <alignment horizontal="center" vertical="center"/>
    </xf>
    <xf numFmtId="0" fontId="24" fillId="17" borderId="279" xfId="2" applyFont="1" applyFill="1" applyBorder="1" applyAlignment="1" applyProtection="1">
      <alignment horizontal="center" vertical="center"/>
    </xf>
    <xf numFmtId="0" fontId="24" fillId="17" borderId="280" xfId="2" applyFont="1" applyFill="1" applyBorder="1" applyAlignment="1" applyProtection="1">
      <alignment horizontal="center" vertical="center"/>
    </xf>
    <xf numFmtId="0" fontId="24" fillId="17" borderId="638" xfId="2" applyFont="1" applyFill="1" applyBorder="1" applyAlignment="1" applyProtection="1">
      <alignment horizontal="center" vertical="center"/>
    </xf>
    <xf numFmtId="0" fontId="24" fillId="17" borderId="416" xfId="2" applyFont="1" applyFill="1" applyBorder="1" applyAlignment="1" applyProtection="1">
      <alignment horizontal="center" vertical="center"/>
    </xf>
    <xf numFmtId="0" fontId="24" fillId="17" borderId="412" xfId="2" applyFont="1" applyFill="1" applyBorder="1" applyAlignment="1" applyProtection="1">
      <alignment horizontal="center" vertical="center"/>
    </xf>
    <xf numFmtId="12" fontId="21" fillId="0" borderId="959" xfId="0" applyNumberFormat="1" applyFont="1" applyBorder="1" applyAlignment="1" applyProtection="1">
      <alignment horizontal="center" vertical="center"/>
    </xf>
    <xf numFmtId="12" fontId="21" fillId="0" borderId="960" xfId="0" applyNumberFormat="1" applyFont="1" applyBorder="1" applyAlignment="1" applyProtection="1">
      <alignment horizontal="center" vertical="center"/>
    </xf>
    <xf numFmtId="0" fontId="56" fillId="66" borderId="335" xfId="0" applyFont="1" applyFill="1" applyBorder="1" applyAlignment="1" applyProtection="1">
      <alignment horizontal="right" vertical="center"/>
    </xf>
    <xf numFmtId="0" fontId="57" fillId="66" borderId="335" xfId="0" applyFont="1" applyFill="1" applyBorder="1" applyAlignment="1" applyProtection="1">
      <alignment horizontal="left" vertical="center"/>
    </xf>
    <xf numFmtId="0" fontId="57" fillId="66" borderId="337" xfId="0" applyFont="1" applyFill="1" applyBorder="1" applyAlignment="1" applyProtection="1">
      <alignment horizontal="left" vertical="center"/>
    </xf>
    <xf numFmtId="0" fontId="57" fillId="66" borderId="446" xfId="0" applyFont="1" applyFill="1" applyBorder="1" applyAlignment="1" applyProtection="1">
      <alignment horizontal="center" vertical="center"/>
    </xf>
    <xf numFmtId="0" fontId="26" fillId="0" borderId="0" xfId="0" applyFont="1" applyAlignment="1" applyProtection="1">
      <alignment horizontal="center" vertical="center" wrapText="1"/>
    </xf>
    <xf numFmtId="12" fontId="26" fillId="0" borderId="964" xfId="0" applyNumberFormat="1" applyFont="1" applyBorder="1" applyAlignment="1" applyProtection="1">
      <alignment horizontal="center" vertical="center"/>
    </xf>
    <xf numFmtId="12" fontId="26" fillId="0" borderId="965" xfId="0" applyNumberFormat="1" applyFont="1" applyBorder="1" applyAlignment="1" applyProtection="1">
      <alignment horizontal="center" vertical="center"/>
    </xf>
    <xf numFmtId="0" fontId="11" fillId="40" borderId="658" xfId="15" applyFont="1" applyFill="1" applyBorder="1" applyAlignment="1" applyProtection="1">
      <alignment horizontal="left" vertical="center"/>
      <protection locked="0"/>
    </xf>
    <xf numFmtId="0" fontId="11" fillId="40" borderId="650" xfId="15" applyFont="1" applyFill="1" applyBorder="1" applyAlignment="1" applyProtection="1">
      <alignment horizontal="left" vertical="center"/>
      <protection locked="0"/>
    </xf>
    <xf numFmtId="0" fontId="11" fillId="8" borderId="663" xfId="15" applyFill="1" applyBorder="1" applyAlignment="1" applyProtection="1">
      <alignment horizontal="center" vertical="center"/>
    </xf>
    <xf numFmtId="0" fontId="11" fillId="8" borderId="664" xfId="15" applyFill="1" applyBorder="1" applyAlignment="1" applyProtection="1">
      <alignment horizontal="center" vertical="center"/>
    </xf>
    <xf numFmtId="0" fontId="11" fillId="8" borderId="665" xfId="15" applyFill="1" applyBorder="1" applyAlignment="1" applyProtection="1">
      <alignment horizontal="center" vertical="center"/>
    </xf>
    <xf numFmtId="0" fontId="11" fillId="40" borderId="658" xfId="15" applyFill="1" applyBorder="1" applyAlignment="1" applyProtection="1">
      <alignment horizontal="center" vertical="center"/>
      <protection locked="0"/>
    </xf>
    <xf numFmtId="0" fontId="11" fillId="40" borderId="650" xfId="15" applyFill="1" applyBorder="1" applyAlignment="1" applyProtection="1">
      <alignment horizontal="center" vertical="center"/>
      <protection locked="0"/>
    </xf>
    <xf numFmtId="0" fontId="11" fillId="40" borderId="659" xfId="15" applyFill="1" applyBorder="1" applyAlignment="1" applyProtection="1">
      <alignment horizontal="center" vertical="center"/>
      <protection locked="0"/>
    </xf>
    <xf numFmtId="0" fontId="11" fillId="0" borderId="663" xfId="15" applyBorder="1" applyAlignment="1" applyProtection="1">
      <alignment horizontal="center" vertical="center"/>
    </xf>
    <xf numFmtId="0" fontId="11" fillId="0" borderId="664" xfId="15" applyBorder="1" applyAlignment="1" applyProtection="1">
      <alignment horizontal="center" vertical="center"/>
    </xf>
    <xf numFmtId="0" fontId="11" fillId="0" borderId="665" xfId="15" applyBorder="1" applyAlignment="1" applyProtection="1">
      <alignment horizontal="center" vertical="center"/>
    </xf>
    <xf numFmtId="0" fontId="0" fillId="40" borderId="288" xfId="0" applyFont="1" applyFill="1" applyBorder="1" applyAlignment="1" applyProtection="1">
      <alignment horizontal="left" vertical="top" wrapText="1"/>
    </xf>
    <xf numFmtId="0" fontId="0" fillId="40" borderId="0" xfId="0" applyFont="1" applyFill="1" applyAlignment="1" applyProtection="1">
      <alignment horizontal="left" vertical="top" wrapText="1"/>
    </xf>
    <xf numFmtId="0" fontId="0" fillId="40" borderId="0" xfId="0" applyFont="1" applyFill="1" applyBorder="1" applyAlignment="1" applyProtection="1">
      <alignment horizontal="left" vertical="top" wrapText="1"/>
    </xf>
    <xf numFmtId="0" fontId="0" fillId="40" borderId="292" xfId="0" applyFont="1" applyFill="1" applyBorder="1" applyAlignment="1" applyProtection="1">
      <alignment horizontal="left" vertical="top" wrapText="1"/>
    </xf>
    <xf numFmtId="0" fontId="0" fillId="40" borderId="303" xfId="0" applyFont="1" applyFill="1" applyBorder="1" applyAlignment="1" applyProtection="1">
      <alignment horizontal="left" vertical="top" wrapText="1"/>
    </xf>
    <xf numFmtId="0" fontId="1" fillId="34" borderId="655" xfId="15" applyFont="1" applyFill="1" applyBorder="1" applyAlignment="1" applyProtection="1">
      <alignment horizontal="center" vertical="center"/>
    </xf>
    <xf numFmtId="0" fontId="1" fillId="34" borderId="656" xfId="15" applyFont="1" applyFill="1" applyBorder="1" applyAlignment="1" applyProtection="1">
      <alignment horizontal="center" vertical="center"/>
    </xf>
    <xf numFmtId="0" fontId="0" fillId="40" borderId="660" xfId="15" applyFont="1" applyFill="1" applyBorder="1" applyAlignment="1" applyProtection="1">
      <alignment horizontal="center" vertical="center" wrapText="1"/>
      <protection locked="0"/>
    </xf>
    <xf numFmtId="0" fontId="11" fillId="40" borderId="661" xfId="15" applyFont="1" applyFill="1" applyBorder="1" applyAlignment="1" applyProtection="1">
      <alignment horizontal="center" vertical="center" wrapText="1"/>
      <protection locked="0"/>
    </xf>
    <xf numFmtId="0" fontId="11" fillId="40" borderId="670" xfId="15" applyFont="1" applyFill="1" applyBorder="1" applyAlignment="1" applyProtection="1">
      <alignment horizontal="center" vertical="center" wrapText="1"/>
      <protection locked="0"/>
    </xf>
    <xf numFmtId="0" fontId="0" fillId="40" borderId="658" xfId="15" applyFont="1" applyFill="1" applyBorder="1" applyAlignment="1" applyProtection="1">
      <alignment horizontal="center" vertical="center"/>
      <protection locked="0"/>
    </xf>
    <xf numFmtId="0" fontId="11" fillId="40" borderId="650" xfId="15" applyFont="1" applyFill="1" applyBorder="1" applyAlignment="1" applyProtection="1">
      <alignment horizontal="center" vertical="center"/>
      <protection locked="0"/>
    </xf>
    <xf numFmtId="0" fontId="11" fillId="40" borderId="659" xfId="15" applyFont="1" applyFill="1" applyBorder="1" applyAlignment="1" applyProtection="1">
      <alignment horizontal="center" vertical="center"/>
      <protection locked="0"/>
    </xf>
    <xf numFmtId="0" fontId="11" fillId="40" borderId="661" xfId="15" applyFill="1" applyBorder="1" applyAlignment="1" applyProtection="1">
      <alignment horizontal="center" vertical="center"/>
      <protection locked="0"/>
    </xf>
    <xf numFmtId="0" fontId="11" fillId="40" borderId="670" xfId="15" applyFill="1" applyBorder="1" applyAlignment="1" applyProtection="1">
      <alignment horizontal="center" vertical="center"/>
      <protection locked="0"/>
    </xf>
    <xf numFmtId="0" fontId="1" fillId="0" borderId="687" xfId="15" applyFont="1" applyFill="1" applyBorder="1" applyAlignment="1" applyProtection="1">
      <alignment horizontal="center" vertical="center"/>
    </xf>
    <xf numFmtId="0" fontId="1" fillId="34" borderId="657" xfId="15" applyFont="1" applyFill="1" applyBorder="1" applyAlignment="1" applyProtection="1">
      <alignment horizontal="center" vertical="center"/>
    </xf>
    <xf numFmtId="0" fontId="11" fillId="0" borderId="660" xfId="15" applyBorder="1" applyAlignment="1" applyProtection="1">
      <alignment horizontal="center" vertical="center"/>
    </xf>
    <xf numFmtId="0" fontId="11" fillId="0" borderId="661" xfId="15" applyBorder="1" applyAlignment="1" applyProtection="1">
      <alignment horizontal="center" vertical="center"/>
    </xf>
    <xf numFmtId="0" fontId="11" fillId="0" borderId="662" xfId="15" applyBorder="1" applyAlignment="1" applyProtection="1">
      <alignment horizontal="center" vertical="center"/>
    </xf>
    <xf numFmtId="0" fontId="0" fillId="40" borderId="650" xfId="15" applyFont="1" applyFill="1" applyBorder="1" applyAlignment="1" applyProtection="1">
      <alignment horizontal="center" vertical="center"/>
      <protection locked="0"/>
    </xf>
    <xf numFmtId="176" fontId="19" fillId="26" borderId="175" xfId="4" applyNumberFormat="1" applyFont="1" applyFill="1" applyBorder="1" applyAlignment="1" applyProtection="1">
      <alignment horizontal="center" vertical="center" wrapText="1" readingOrder="1"/>
      <protection locked="0"/>
    </xf>
    <xf numFmtId="176" fontId="19" fillId="26" borderId="390" xfId="4" applyNumberFormat="1" applyFont="1" applyFill="1" applyBorder="1" applyAlignment="1" applyProtection="1">
      <alignment horizontal="center" vertical="center" wrapText="1" readingOrder="1"/>
      <protection locked="0"/>
    </xf>
    <xf numFmtId="0" fontId="0" fillId="0" borderId="68" xfId="0" applyFont="1" applyFill="1" applyBorder="1" applyAlignment="1" applyProtection="1">
      <alignment horizontal="left" vertical="center" wrapText="1"/>
      <protection locked="0"/>
    </xf>
    <xf numFmtId="0" fontId="0" fillId="0" borderId="69" xfId="0" applyFont="1" applyFill="1" applyBorder="1" applyAlignment="1" applyProtection="1">
      <alignment horizontal="left" vertical="center" wrapText="1"/>
      <protection locked="0"/>
    </xf>
    <xf numFmtId="171" fontId="128" fillId="0" borderId="56" xfId="4" applyNumberFormat="1" applyFont="1" applyFill="1" applyBorder="1" applyAlignment="1" applyProtection="1">
      <alignment horizontal="center" vertical="center" wrapText="1" readingOrder="1"/>
    </xf>
    <xf numFmtId="164" fontId="17" fillId="0" borderId="173" xfId="4" applyNumberFormat="1" applyFont="1" applyFill="1" applyBorder="1" applyAlignment="1" applyProtection="1">
      <alignment horizontal="center" vertical="center" wrapText="1" readingOrder="1"/>
    </xf>
    <xf numFmtId="164" fontId="71" fillId="0" borderId="56" xfId="4" applyNumberFormat="1" applyFont="1" applyFill="1" applyBorder="1" applyAlignment="1" applyProtection="1">
      <alignment horizontal="center" vertical="center" wrapText="1" readingOrder="1"/>
    </xf>
    <xf numFmtId="0" fontId="48" fillId="39" borderId="67" xfId="4" applyFont="1" applyFill="1" applyBorder="1" applyAlignment="1" applyProtection="1">
      <alignment horizontal="left" vertical="center" readingOrder="1"/>
      <protection locked="0"/>
    </xf>
    <xf numFmtId="0" fontId="48" fillId="39" borderId="68" xfId="4" applyFont="1" applyFill="1" applyBorder="1" applyAlignment="1" applyProtection="1">
      <alignment horizontal="left" vertical="center" readingOrder="1"/>
      <protection locked="0"/>
    </xf>
    <xf numFmtId="0" fontId="48" fillId="39" borderId="390" xfId="4" applyFont="1" applyFill="1" applyBorder="1" applyAlignment="1" applyProtection="1">
      <alignment horizontal="left" vertical="center" readingOrder="1"/>
      <protection locked="0"/>
    </xf>
    <xf numFmtId="164" fontId="139" fillId="0" borderId="175" xfId="4" applyNumberFormat="1" applyFont="1" applyFill="1" applyBorder="1" applyAlignment="1" applyProtection="1">
      <alignment horizontal="center" vertical="center" wrapText="1" readingOrder="1"/>
    </xf>
    <xf numFmtId="164" fontId="139" fillId="0" borderId="390" xfId="4" applyNumberFormat="1" applyFont="1" applyFill="1" applyBorder="1" applyAlignment="1" applyProtection="1">
      <alignment horizontal="center" vertical="center" wrapText="1" readingOrder="1"/>
    </xf>
    <xf numFmtId="164" fontId="140" fillId="0" borderId="175" xfId="4" applyNumberFormat="1" applyFont="1" applyFill="1" applyBorder="1" applyAlignment="1" applyProtection="1">
      <alignment horizontal="center" vertical="center" wrapText="1" readingOrder="1"/>
    </xf>
    <xf numFmtId="164" fontId="140" fillId="0" borderId="390" xfId="4" applyNumberFormat="1" applyFont="1" applyFill="1" applyBorder="1" applyAlignment="1" applyProtection="1">
      <alignment horizontal="center" vertical="center" wrapText="1" readingOrder="1"/>
    </xf>
    <xf numFmtId="171" fontId="141" fillId="26" borderId="175" xfId="4" applyNumberFormat="1" applyFont="1" applyFill="1" applyBorder="1" applyAlignment="1" applyProtection="1">
      <alignment horizontal="center" vertical="center" wrapText="1" readingOrder="1"/>
      <protection locked="0"/>
    </xf>
    <xf numFmtId="171" fontId="141" fillId="26" borderId="390" xfId="4" applyNumberFormat="1" applyFont="1" applyFill="1" applyBorder="1" applyAlignment="1" applyProtection="1">
      <alignment horizontal="center" vertical="center" wrapText="1" readingOrder="1"/>
      <protection locked="0"/>
    </xf>
    <xf numFmtId="0" fontId="48" fillId="39" borderId="55" xfId="4" quotePrefix="1" applyFont="1" applyFill="1" applyBorder="1" applyAlignment="1" applyProtection="1">
      <alignment horizontal="left" vertical="center" wrapText="1" readingOrder="1"/>
      <protection locked="0"/>
    </xf>
    <xf numFmtId="171" fontId="138" fillId="26" borderId="175" xfId="4" applyNumberFormat="1" applyFont="1" applyFill="1" applyBorder="1" applyAlignment="1" applyProtection="1">
      <alignment horizontal="center" vertical="center" wrapText="1" readingOrder="1"/>
      <protection locked="0"/>
    </xf>
    <xf numFmtId="171" fontId="138" fillId="26" borderId="390" xfId="4" applyNumberFormat="1" applyFont="1" applyFill="1" applyBorder="1" applyAlignment="1" applyProtection="1">
      <alignment horizontal="center" vertical="center" wrapText="1" readingOrder="1"/>
      <protection locked="0"/>
    </xf>
    <xf numFmtId="0" fontId="24" fillId="21" borderId="1100" xfId="2" applyFont="1" applyFill="1" applyBorder="1" applyAlignment="1" applyProtection="1">
      <alignment horizontal="left" vertical="center"/>
    </xf>
    <xf numFmtId="0" fontId="24" fillId="21" borderId="1101" xfId="2" applyFont="1" applyFill="1" applyBorder="1" applyAlignment="1" applyProtection="1">
      <alignment horizontal="left" vertical="center"/>
    </xf>
    <xf numFmtId="9" fontId="25" fillId="21" borderId="1116" xfId="3" applyFont="1" applyFill="1" applyBorder="1" applyAlignment="1" applyProtection="1">
      <alignment horizontal="center"/>
    </xf>
    <xf numFmtId="9" fontId="25" fillId="21" borderId="1117" xfId="3" applyFont="1" applyFill="1" applyBorder="1" applyAlignment="1" applyProtection="1">
      <alignment horizontal="center"/>
    </xf>
    <xf numFmtId="9" fontId="156" fillId="21" borderId="1119" xfId="3" applyFont="1" applyFill="1" applyBorder="1" applyAlignment="1" applyProtection="1">
      <alignment horizontal="center"/>
    </xf>
    <xf numFmtId="9" fontId="156" fillId="21" borderId="1103" xfId="3" applyFont="1" applyFill="1" applyBorder="1" applyAlignment="1" applyProtection="1">
      <alignment horizontal="center"/>
    </xf>
    <xf numFmtId="9" fontId="25" fillId="21" borderId="1108" xfId="3" applyFont="1" applyFill="1" applyBorder="1" applyAlignment="1" applyProtection="1">
      <alignment horizontal="center"/>
    </xf>
    <xf numFmtId="9" fontId="156" fillId="21" borderId="1120" xfId="3" applyFont="1" applyFill="1" applyBorder="1" applyAlignment="1" applyProtection="1">
      <alignment horizontal="center"/>
    </xf>
    <xf numFmtId="9" fontId="156" fillId="21" borderId="1107" xfId="3" applyFont="1" applyFill="1" applyBorder="1" applyAlignment="1" applyProtection="1">
      <alignment horizontal="center"/>
    </xf>
    <xf numFmtId="0" fontId="52" fillId="0" borderId="1207" xfId="2" applyFont="1" applyFill="1" applyBorder="1" applyAlignment="1" applyProtection="1">
      <alignment horizontal="center"/>
    </xf>
    <xf numFmtId="9" fontId="35" fillId="21" borderId="1113" xfId="14" applyFont="1" applyFill="1" applyBorder="1" applyAlignment="1" applyProtection="1">
      <alignment horizontal="center" vertical="center"/>
    </xf>
    <xf numFmtId="9" fontId="134" fillId="21" borderId="1092" xfId="14" applyFont="1" applyFill="1" applyBorder="1" applyAlignment="1" applyProtection="1">
      <alignment horizontal="center" vertical="center"/>
    </xf>
    <xf numFmtId="0" fontId="24" fillId="21" borderId="1098" xfId="2" applyFont="1" applyFill="1" applyBorder="1" applyAlignment="1" applyProtection="1">
      <alignment horizontal="left" vertical="center"/>
    </xf>
    <xf numFmtId="0" fontId="24" fillId="21" borderId="1099" xfId="2" applyFont="1" applyFill="1" applyBorder="1" applyAlignment="1" applyProtection="1">
      <alignment horizontal="left" vertical="center"/>
    </xf>
    <xf numFmtId="0" fontId="60" fillId="21" borderId="888" xfId="2" applyFont="1" applyFill="1" applyBorder="1" applyAlignment="1" applyProtection="1">
      <alignment horizontal="center" wrapText="1"/>
    </xf>
    <xf numFmtId="3" fontId="25" fillId="21" borderId="1114" xfId="2" applyNumberFormat="1" applyFont="1" applyFill="1" applyBorder="1" applyAlignment="1" applyProtection="1">
      <alignment horizontal="center"/>
    </xf>
    <xf numFmtId="0" fontId="25" fillId="21" borderId="1114" xfId="2" applyFont="1" applyFill="1" applyBorder="1" applyAlignment="1" applyProtection="1">
      <alignment horizontal="center"/>
    </xf>
    <xf numFmtId="3" fontId="155" fillId="21" borderId="1114" xfId="2" applyNumberFormat="1" applyFont="1" applyFill="1" applyBorder="1" applyAlignment="1" applyProtection="1">
      <alignment horizontal="center"/>
    </xf>
    <xf numFmtId="0" fontId="155" fillId="21" borderId="1115" xfId="2" applyFont="1" applyFill="1" applyBorder="1" applyAlignment="1" applyProtection="1">
      <alignment horizontal="center"/>
    </xf>
    <xf numFmtId="0" fontId="24" fillId="21" borderId="883" xfId="2" applyFont="1" applyFill="1" applyBorder="1" applyAlignment="1" applyProtection="1">
      <alignment horizontal="left" vertical="center"/>
    </xf>
    <xf numFmtId="3" fontId="24" fillId="21" borderId="884" xfId="2" applyNumberFormat="1" applyFont="1" applyFill="1" applyBorder="1" applyAlignment="1" applyProtection="1">
      <alignment horizontal="center" vertical="center"/>
    </xf>
    <xf numFmtId="3" fontId="24" fillId="21" borderId="1090" xfId="2" applyNumberFormat="1" applyFont="1" applyFill="1" applyBorder="1" applyAlignment="1" applyProtection="1">
      <alignment horizontal="center" vertical="center"/>
    </xf>
    <xf numFmtId="3" fontId="24" fillId="21" borderId="1110" xfId="2" applyNumberFormat="1" applyFont="1" applyFill="1" applyBorder="1" applyAlignment="1" applyProtection="1">
      <alignment horizontal="center" vertical="center"/>
    </xf>
    <xf numFmtId="3" fontId="24" fillId="21" borderId="1111" xfId="2" applyNumberFormat="1" applyFont="1" applyFill="1" applyBorder="1" applyAlignment="1" applyProtection="1">
      <alignment horizontal="center" vertical="center"/>
    </xf>
    <xf numFmtId="3" fontId="133" fillId="21" borderId="1089" xfId="2" applyNumberFormat="1" applyFont="1" applyFill="1" applyBorder="1" applyAlignment="1" applyProtection="1">
      <alignment horizontal="center" vertical="center"/>
    </xf>
    <xf numFmtId="3" fontId="133" fillId="21" borderId="885" xfId="2" applyNumberFormat="1" applyFont="1" applyFill="1" applyBorder="1" applyAlignment="1" applyProtection="1">
      <alignment horizontal="center" vertical="center"/>
    </xf>
    <xf numFmtId="3" fontId="131" fillId="29" borderId="360" xfId="2" applyNumberFormat="1" applyFont="1" applyFill="1" applyBorder="1" applyAlignment="1" applyProtection="1">
      <alignment horizontal="center" vertical="center"/>
    </xf>
    <xf numFmtId="3" fontId="131" fillId="29" borderId="361" xfId="2" applyNumberFormat="1" applyFont="1" applyFill="1" applyBorder="1" applyAlignment="1" applyProtection="1">
      <alignment horizontal="center" vertical="center"/>
    </xf>
    <xf numFmtId="3" fontId="52" fillId="0" borderId="867" xfId="2" applyNumberFormat="1" applyFont="1" applyFill="1" applyBorder="1" applyAlignment="1" applyProtection="1">
      <alignment horizontal="center" vertical="center"/>
    </xf>
    <xf numFmtId="3" fontId="67" fillId="0" borderId="878" xfId="2" applyNumberFormat="1" applyFont="1" applyFill="1" applyBorder="1" applyAlignment="1" applyProtection="1">
      <alignment horizontal="center" vertical="center"/>
    </xf>
    <xf numFmtId="3" fontId="52" fillId="29" borderId="876" xfId="2" applyNumberFormat="1" applyFont="1" applyFill="1" applyBorder="1" applyAlignment="1" applyProtection="1">
      <alignment horizontal="center" vertical="center"/>
    </xf>
    <xf numFmtId="3" fontId="132" fillId="29" borderId="251" xfId="2" applyNumberFormat="1" applyFont="1" applyFill="1" applyBorder="1" applyAlignment="1" applyProtection="1">
      <alignment horizontal="center"/>
    </xf>
    <xf numFmtId="0" fontId="132" fillId="29" borderId="923" xfId="2" applyFont="1" applyFill="1" applyBorder="1" applyAlignment="1" applyProtection="1">
      <alignment horizontal="center"/>
    </xf>
    <xf numFmtId="3" fontId="67" fillId="0" borderId="367" xfId="2" applyNumberFormat="1" applyFont="1" applyFill="1" applyBorder="1" applyAlignment="1" applyProtection="1">
      <alignment horizontal="center" vertical="center"/>
    </xf>
    <xf numFmtId="3" fontId="67" fillId="0" borderId="876" xfId="2" applyNumberFormat="1" applyFont="1" applyFill="1" applyBorder="1" applyAlignment="1" applyProtection="1">
      <alignment horizontal="center" vertical="center"/>
    </xf>
    <xf numFmtId="171" fontId="41" fillId="21" borderId="277" xfId="2" applyNumberFormat="1" applyFont="1" applyFill="1" applyBorder="1" applyAlignment="1" applyProtection="1">
      <alignment horizontal="center" vertical="center"/>
    </xf>
    <xf numFmtId="171" fontId="125" fillId="0" borderId="274" xfId="4" applyNumberFormat="1" applyFont="1" applyFill="1" applyBorder="1" applyAlignment="1" applyProtection="1">
      <alignment horizontal="center" vertical="center" wrapText="1" readingOrder="1"/>
    </xf>
    <xf numFmtId="171" fontId="125" fillId="0" borderId="274" xfId="2" applyNumberFormat="1" applyFont="1" applyFill="1" applyBorder="1" applyAlignment="1" applyProtection="1">
      <alignment horizontal="center" vertical="center"/>
    </xf>
    <xf numFmtId="171" fontId="50" fillId="0" borderId="360" xfId="4" applyNumberFormat="1" applyFont="1" applyFill="1" applyBorder="1" applyAlignment="1" applyProtection="1">
      <alignment horizontal="center" vertical="center" wrapText="1" readingOrder="1"/>
    </xf>
    <xf numFmtId="171" fontId="50" fillId="0" borderId="361" xfId="4" applyNumberFormat="1" applyFont="1" applyFill="1" applyBorder="1" applyAlignment="1" applyProtection="1">
      <alignment horizontal="center" vertical="center" wrapText="1" readingOrder="1"/>
    </xf>
    <xf numFmtId="9" fontId="160" fillId="0" borderId="274" xfId="4" applyNumberFormat="1" applyFont="1" applyFill="1" applyBorder="1" applyAlignment="1" applyProtection="1">
      <alignment horizontal="center" vertical="center" wrapText="1" readingOrder="1"/>
    </xf>
    <xf numFmtId="0" fontId="37" fillId="2" borderId="443" xfId="0" applyFont="1" applyFill="1" applyBorder="1" applyAlignment="1" applyProtection="1">
      <alignment horizontal="center" vertical="center"/>
    </xf>
    <xf numFmtId="0" fontId="0" fillId="40" borderId="274" xfId="0" applyFont="1" applyFill="1" applyBorder="1" applyAlignment="1" applyProtection="1">
      <alignment horizontal="center"/>
      <protection locked="0"/>
    </xf>
    <xf numFmtId="0" fontId="0" fillId="40" borderId="275" xfId="0" applyFont="1" applyFill="1" applyBorder="1" applyAlignment="1" applyProtection="1">
      <alignment horizontal="center"/>
      <protection locked="0"/>
    </xf>
    <xf numFmtId="0" fontId="1" fillId="40" borderId="264" xfId="0" applyFont="1" applyFill="1" applyBorder="1" applyAlignment="1" applyProtection="1">
      <alignment horizontal="left" vertical="top" wrapText="1"/>
      <protection locked="0"/>
    </xf>
    <xf numFmtId="0" fontId="1" fillId="40" borderId="265" xfId="0" applyFont="1" applyFill="1" applyBorder="1" applyAlignment="1" applyProtection="1">
      <alignment horizontal="left" vertical="top" wrapText="1"/>
      <protection locked="0"/>
    </xf>
    <xf numFmtId="0" fontId="1" fillId="40" borderId="266" xfId="0" applyFont="1" applyFill="1" applyBorder="1" applyAlignment="1" applyProtection="1">
      <alignment horizontal="left" vertical="top" wrapText="1"/>
      <protection locked="0"/>
    </xf>
    <xf numFmtId="0" fontId="1" fillId="40" borderId="267" xfId="0" applyFont="1" applyFill="1" applyBorder="1" applyAlignment="1" applyProtection="1">
      <alignment horizontal="left" vertical="top" wrapText="1"/>
      <protection locked="0"/>
    </xf>
    <xf numFmtId="0" fontId="1" fillId="40" borderId="268" xfId="0" applyFont="1" applyFill="1" applyBorder="1" applyAlignment="1" applyProtection="1">
      <alignment horizontal="left" vertical="top" wrapText="1"/>
      <protection locked="0"/>
    </xf>
    <xf numFmtId="0" fontId="1" fillId="40" borderId="269" xfId="0" applyFont="1" applyFill="1" applyBorder="1" applyAlignment="1" applyProtection="1">
      <alignment horizontal="left" vertical="top" wrapText="1"/>
      <protection locked="0"/>
    </xf>
    <xf numFmtId="0" fontId="0" fillId="40" borderId="265" xfId="0" applyFont="1" applyFill="1" applyBorder="1" applyAlignment="1" applyProtection="1">
      <alignment horizontal="left" vertical="top" wrapText="1"/>
      <protection locked="0"/>
    </xf>
    <xf numFmtId="0" fontId="0" fillId="40" borderId="266" xfId="0" applyFont="1" applyFill="1" applyBorder="1" applyAlignment="1" applyProtection="1">
      <alignment horizontal="left" vertical="top" wrapText="1"/>
      <protection locked="0"/>
    </xf>
    <xf numFmtId="0" fontId="0" fillId="40" borderId="264" xfId="0" applyFont="1" applyFill="1" applyBorder="1" applyAlignment="1" applyProtection="1">
      <alignment horizontal="left" vertical="top" wrapText="1"/>
      <protection locked="0"/>
    </xf>
    <xf numFmtId="0" fontId="0" fillId="40" borderId="267" xfId="0" applyFont="1" applyFill="1" applyBorder="1" applyAlignment="1" applyProtection="1">
      <alignment horizontal="left" vertical="top" wrapText="1"/>
      <protection locked="0"/>
    </xf>
    <xf numFmtId="0" fontId="0" fillId="40" borderId="268" xfId="0" applyFont="1" applyFill="1" applyBorder="1" applyAlignment="1" applyProtection="1">
      <alignment horizontal="left" vertical="top" wrapText="1"/>
      <protection locked="0"/>
    </xf>
    <xf numFmtId="0" fontId="0" fillId="40" borderId="269" xfId="0" applyFont="1" applyFill="1" applyBorder="1" applyAlignment="1" applyProtection="1">
      <alignment horizontal="left" vertical="top" wrapText="1"/>
      <protection locked="0"/>
    </xf>
    <xf numFmtId="0" fontId="24" fillId="0" borderId="264" xfId="2" applyFont="1" applyFill="1" applyBorder="1" applyAlignment="1" applyProtection="1">
      <alignment horizontal="left" vertical="center" wrapText="1"/>
    </xf>
    <xf numFmtId="0" fontId="24" fillId="0" borderId="265" xfId="2" applyFont="1" applyFill="1" applyBorder="1" applyAlignment="1" applyProtection="1">
      <alignment horizontal="left" vertical="center" wrapText="1"/>
    </xf>
    <xf numFmtId="0" fontId="24" fillId="26" borderId="360" xfId="2" applyFont="1" applyFill="1" applyBorder="1" applyAlignment="1" applyProtection="1">
      <alignment horizontal="center" vertical="center"/>
      <protection locked="0"/>
    </xf>
    <xf numFmtId="0" fontId="24" fillId="26" borderId="265" xfId="2" applyFont="1" applyFill="1" applyBorder="1" applyAlignment="1" applyProtection="1">
      <alignment horizontal="center" vertical="center"/>
      <protection locked="0"/>
    </xf>
    <xf numFmtId="0" fontId="24" fillId="26" borderId="266" xfId="2" applyFont="1" applyFill="1" applyBorder="1" applyAlignment="1" applyProtection="1">
      <alignment horizontal="center" vertical="center"/>
      <protection locked="0"/>
    </xf>
    <xf numFmtId="0" fontId="24" fillId="0" borderId="361" xfId="2" applyFont="1" applyFill="1" applyBorder="1" applyAlignment="1" applyProtection="1">
      <alignment horizontal="left" vertical="center" wrapText="1"/>
    </xf>
    <xf numFmtId="0" fontId="24" fillId="26" borderId="360" xfId="2" applyFont="1" applyFill="1" applyBorder="1" applyAlignment="1" applyProtection="1">
      <alignment horizontal="center" vertical="center" wrapText="1"/>
      <protection locked="0"/>
    </xf>
    <xf numFmtId="0" fontId="24" fillId="26" borderId="265" xfId="2" applyFont="1" applyFill="1" applyBorder="1" applyAlignment="1" applyProtection="1">
      <alignment horizontal="center" vertical="center" wrapText="1"/>
      <protection locked="0"/>
    </xf>
    <xf numFmtId="0" fontId="24" fillId="26" borderId="266" xfId="2" applyFont="1" applyFill="1" applyBorder="1" applyAlignment="1" applyProtection="1">
      <alignment horizontal="center" vertical="center" wrapText="1"/>
      <protection locked="0"/>
    </xf>
    <xf numFmtId="0" fontId="41" fillId="26" borderId="271" xfId="0" applyFont="1" applyFill="1" applyBorder="1" applyAlignment="1" applyProtection="1">
      <alignment horizontal="center" vertical="center" wrapText="1"/>
      <protection locked="0"/>
    </xf>
    <xf numFmtId="0" fontId="22" fillId="0" borderId="535" xfId="2" applyFont="1" applyFill="1" applyBorder="1" applyAlignment="1" applyProtection="1">
      <alignment horizontal="left" vertical="center"/>
    </xf>
    <xf numFmtId="0" fontId="22" fillId="0" borderId="536" xfId="2" applyFont="1" applyFill="1" applyBorder="1" applyAlignment="1" applyProtection="1">
      <alignment horizontal="left" vertical="center"/>
    </xf>
    <xf numFmtId="182" fontId="96" fillId="26" borderId="533" xfId="2" applyNumberFormat="1" applyFont="1" applyFill="1" applyBorder="1" applyAlignment="1" applyProtection="1">
      <alignment horizontal="center" vertical="center"/>
      <protection locked="0"/>
    </xf>
    <xf numFmtId="0" fontId="41" fillId="16" borderId="334" xfId="2" applyFont="1" applyFill="1" applyBorder="1" applyAlignment="1" applyProtection="1">
      <alignment horizontal="center"/>
    </xf>
    <xf numFmtId="0" fontId="41" fillId="16" borderId="335" xfId="2" applyFont="1" applyFill="1" applyBorder="1" applyAlignment="1" applyProtection="1">
      <alignment horizontal="center"/>
    </xf>
    <xf numFmtId="0" fontId="41" fillId="16" borderId="337" xfId="2" applyFont="1" applyFill="1" applyBorder="1" applyAlignment="1" applyProtection="1">
      <alignment horizontal="center"/>
    </xf>
    <xf numFmtId="0" fontId="26" fillId="8" borderId="16" xfId="0" applyFont="1" applyFill="1" applyBorder="1" applyAlignment="1" applyProtection="1">
      <alignment horizontal="center" vertical="top" wrapText="1"/>
    </xf>
    <xf numFmtId="0" fontId="26" fillId="8" borderId="17" xfId="0" applyFont="1" applyFill="1" applyBorder="1" applyAlignment="1" applyProtection="1">
      <alignment horizontal="center" vertical="top" wrapText="1"/>
    </xf>
    <xf numFmtId="0" fontId="26" fillId="8" borderId="32" xfId="0" applyFont="1" applyFill="1" applyBorder="1" applyAlignment="1" applyProtection="1">
      <alignment horizontal="center" vertical="top" wrapText="1"/>
    </xf>
    <xf numFmtId="0" fontId="71" fillId="26" borderId="31" xfId="0" applyFont="1" applyFill="1" applyBorder="1" applyAlignment="1" applyProtection="1">
      <alignment horizontal="center" vertical="center"/>
      <protection locked="0"/>
    </xf>
    <xf numFmtId="0" fontId="71" fillId="26" borderId="18" xfId="0" applyFont="1" applyFill="1" applyBorder="1" applyAlignment="1" applyProtection="1">
      <alignment horizontal="center" vertical="center"/>
      <protection locked="0"/>
    </xf>
    <xf numFmtId="0" fontId="26" fillId="5" borderId="11" xfId="0" applyFont="1" applyFill="1" applyBorder="1" applyAlignment="1" applyProtection="1">
      <alignment horizontal="left" vertical="center" wrapText="1"/>
      <protection locked="0"/>
    </xf>
    <xf numFmtId="0" fontId="26" fillId="5" borderId="12" xfId="0" applyFont="1" applyFill="1" applyBorder="1" applyAlignment="1" applyProtection="1">
      <alignment horizontal="left" vertical="center" wrapText="1"/>
      <protection locked="0"/>
    </xf>
    <xf numFmtId="0" fontId="71" fillId="26" borderId="12" xfId="0" applyFont="1" applyFill="1" applyBorder="1" applyAlignment="1" applyProtection="1">
      <alignment horizontal="center" vertical="center"/>
      <protection locked="0"/>
    </xf>
    <xf numFmtId="0" fontId="117" fillId="0" borderId="31" xfId="0" applyFont="1" applyFill="1" applyBorder="1" applyAlignment="1" applyProtection="1">
      <alignment horizontal="center" vertical="center" wrapText="1"/>
      <protection locked="0"/>
    </xf>
    <xf numFmtId="0" fontId="117" fillId="0" borderId="17" xfId="0" applyFont="1" applyFill="1" applyBorder="1" applyAlignment="1" applyProtection="1">
      <alignment horizontal="center" vertical="center" wrapText="1"/>
      <protection locked="0"/>
    </xf>
    <xf numFmtId="0" fontId="117" fillId="0" borderId="32" xfId="0" applyFont="1" applyFill="1" applyBorder="1" applyAlignment="1" applyProtection="1">
      <alignment horizontal="center" vertical="center" wrapText="1"/>
      <protection locked="0"/>
    </xf>
    <xf numFmtId="0" fontId="1" fillId="0" borderId="16" xfId="0" applyFont="1" applyFill="1" applyBorder="1" applyAlignment="1" applyProtection="1">
      <alignment horizontal="center" vertical="center" wrapText="1"/>
    </xf>
    <xf numFmtId="0" fontId="1" fillId="0" borderId="17" xfId="0" applyFont="1" applyFill="1" applyBorder="1" applyAlignment="1" applyProtection="1">
      <alignment horizontal="center" vertical="center" wrapText="1"/>
    </xf>
    <xf numFmtId="0" fontId="1" fillId="0" borderId="32" xfId="0" applyFont="1" applyFill="1" applyBorder="1" applyAlignment="1" applyProtection="1">
      <alignment horizontal="center" vertical="center" wrapText="1"/>
    </xf>
    <xf numFmtId="0" fontId="2" fillId="7" borderId="335" xfId="0" applyFont="1" applyFill="1" applyBorder="1" applyAlignment="1" applyProtection="1">
      <alignment horizontal="right" vertical="center"/>
    </xf>
    <xf numFmtId="0" fontId="117" fillId="0" borderId="767" xfId="0" applyFont="1" applyFill="1" applyBorder="1" applyAlignment="1" applyProtection="1">
      <alignment horizontal="center" vertical="center" wrapText="1"/>
      <protection locked="0"/>
    </xf>
    <xf numFmtId="0" fontId="117" fillId="0" borderId="20" xfId="0" applyFont="1" applyFill="1" applyBorder="1" applyAlignment="1" applyProtection="1">
      <alignment horizontal="center" vertical="center" wrapText="1"/>
      <protection locked="0"/>
    </xf>
    <xf numFmtId="0" fontId="117" fillId="0" borderId="35"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left" vertical="center" wrapText="1"/>
      <protection locked="0"/>
    </xf>
    <xf numFmtId="0" fontId="26" fillId="5" borderId="20" xfId="0" applyFont="1" applyFill="1" applyBorder="1" applyAlignment="1" applyProtection="1">
      <alignment horizontal="left" vertical="center" wrapText="1"/>
      <protection locked="0"/>
    </xf>
    <xf numFmtId="0" fontId="26" fillId="5" borderId="765" xfId="0" applyFont="1" applyFill="1" applyBorder="1" applyAlignment="1" applyProtection="1">
      <alignment horizontal="left" vertical="center" wrapText="1"/>
      <protection locked="0"/>
    </xf>
    <xf numFmtId="0" fontId="72" fillId="26" borderId="766" xfId="0" applyFont="1" applyFill="1" applyBorder="1" applyAlignment="1" applyProtection="1">
      <alignment horizontal="center" vertical="center"/>
      <protection locked="0"/>
    </xf>
    <xf numFmtId="0" fontId="26" fillId="25" borderId="479" xfId="0" applyFont="1" applyFill="1" applyBorder="1" applyAlignment="1" applyProtection="1">
      <alignment horizontal="center" vertical="center" wrapText="1"/>
    </xf>
    <xf numFmtId="0" fontId="26" fillId="25" borderId="480" xfId="0" applyFont="1" applyFill="1" applyBorder="1" applyAlignment="1" applyProtection="1">
      <alignment horizontal="center" vertical="center" wrapText="1"/>
    </xf>
    <xf numFmtId="0" fontId="26" fillId="25" borderId="27" xfId="0" applyFont="1" applyFill="1" applyBorder="1" applyAlignment="1" applyProtection="1">
      <alignment horizontal="center" vertical="center" wrapText="1"/>
    </xf>
    <xf numFmtId="0" fontId="26" fillId="25" borderId="25" xfId="0" applyFont="1" applyFill="1" applyBorder="1" applyAlignment="1" applyProtection="1">
      <alignment horizontal="center" vertical="center" wrapText="1"/>
    </xf>
    <xf numFmtId="0" fontId="26" fillId="5" borderId="768" xfId="0" applyFont="1" applyFill="1" applyBorder="1" applyAlignment="1" applyProtection="1">
      <alignment horizontal="left" vertical="center" wrapText="1"/>
      <protection locked="0"/>
    </xf>
    <xf numFmtId="0" fontId="26" fillId="5" borderId="84" xfId="0" applyFont="1" applyFill="1" applyBorder="1" applyAlignment="1" applyProtection="1">
      <alignment horizontal="left" vertical="center" wrapText="1"/>
      <protection locked="0"/>
    </xf>
    <xf numFmtId="0" fontId="72" fillId="26" borderId="84" xfId="0" applyFont="1" applyFill="1" applyBorder="1" applyAlignment="1" applyProtection="1">
      <alignment horizontal="center" vertical="center"/>
      <protection locked="0"/>
    </xf>
    <xf numFmtId="0" fontId="40" fillId="25" borderId="21" xfId="0" applyFont="1" applyFill="1" applyBorder="1" applyAlignment="1" applyProtection="1">
      <alignment horizontal="center" vertical="center" wrapText="1"/>
    </xf>
    <xf numFmtId="0" fontId="40" fillId="25" borderId="0" xfId="0" applyFont="1" applyFill="1" applyBorder="1" applyAlignment="1" applyProtection="1">
      <alignment horizontal="center" vertical="center" wrapText="1"/>
    </xf>
    <xf numFmtId="0" fontId="40" fillId="25" borderId="23" xfId="0" applyFont="1" applyFill="1" applyBorder="1" applyAlignment="1" applyProtection="1">
      <alignment horizontal="center" vertical="center" wrapText="1"/>
    </xf>
    <xf numFmtId="0" fontId="40" fillId="25" borderId="24" xfId="0" applyFont="1" applyFill="1" applyBorder="1" applyAlignment="1" applyProtection="1">
      <alignment horizontal="center" vertical="center" wrapText="1"/>
    </xf>
    <xf numFmtId="0" fontId="72" fillId="26" borderId="12"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wrapText="1"/>
    </xf>
    <xf numFmtId="0" fontId="26" fillId="25" borderId="22" xfId="0" applyFont="1" applyFill="1" applyBorder="1" applyAlignment="1" applyProtection="1">
      <alignment horizontal="center" vertical="center" wrapText="1"/>
    </xf>
    <xf numFmtId="0" fontId="26" fillId="25" borderId="28" xfId="0" applyFont="1" applyFill="1" applyBorder="1" applyAlignment="1" applyProtection="1">
      <alignment horizontal="center" vertical="center" wrapText="1"/>
    </xf>
    <xf numFmtId="0" fontId="26" fillId="25" borderId="24" xfId="0" applyFont="1" applyFill="1" applyBorder="1" applyAlignment="1" applyProtection="1">
      <alignment horizontal="center" vertical="center" wrapText="1"/>
    </xf>
    <xf numFmtId="0" fontId="26" fillId="25" borderId="29" xfId="0" applyFont="1" applyFill="1" applyBorder="1" applyAlignment="1" applyProtection="1">
      <alignment horizontal="center" vertical="center" wrapText="1"/>
    </xf>
    <xf numFmtId="0" fontId="0" fillId="40" borderId="0" xfId="0" applyFont="1" applyFill="1" applyBorder="1" applyAlignment="1" applyProtection="1">
      <alignment horizontal="center"/>
      <protection locked="0"/>
    </xf>
    <xf numFmtId="0" fontId="0" fillId="40" borderId="453" xfId="0" applyFont="1" applyFill="1" applyBorder="1" applyAlignment="1" applyProtection="1">
      <alignment horizontal="center"/>
      <protection locked="0"/>
    </xf>
    <xf numFmtId="0" fontId="0" fillId="40" borderId="455" xfId="0" applyFont="1" applyFill="1" applyBorder="1" applyAlignment="1" applyProtection="1">
      <alignment horizontal="center"/>
      <protection locked="0"/>
    </xf>
    <xf numFmtId="0" fontId="0" fillId="40" borderId="456" xfId="0" applyFont="1" applyFill="1" applyBorder="1" applyAlignment="1" applyProtection="1">
      <alignment horizontal="center"/>
      <protection locked="0"/>
    </xf>
    <xf numFmtId="0" fontId="40" fillId="25" borderId="457" xfId="0" applyFont="1" applyFill="1" applyBorder="1" applyAlignment="1" applyProtection="1">
      <alignment horizontal="center"/>
    </xf>
    <xf numFmtId="0" fontId="40" fillId="25" borderId="458" xfId="0" applyFont="1" applyFill="1" applyBorder="1" applyAlignment="1" applyProtection="1">
      <alignment horizontal="center"/>
    </xf>
    <xf numFmtId="0" fontId="0" fillId="39" borderId="452" xfId="0" applyFont="1" applyFill="1" applyBorder="1" applyAlignment="1" applyProtection="1">
      <alignment horizontal="center"/>
      <protection locked="0"/>
    </xf>
    <xf numFmtId="0" fontId="0" fillId="39" borderId="0" xfId="0" applyFont="1" applyFill="1" applyBorder="1" applyAlignment="1" applyProtection="1">
      <alignment horizontal="center"/>
      <protection locked="0"/>
    </xf>
    <xf numFmtId="0" fontId="0" fillId="40" borderId="460" xfId="0" applyFont="1" applyFill="1" applyBorder="1" applyAlignment="1" applyProtection="1">
      <alignment horizontal="center"/>
      <protection locked="0"/>
    </xf>
    <xf numFmtId="0" fontId="0" fillId="40" borderId="450" xfId="0" applyFont="1" applyFill="1" applyBorder="1" applyAlignment="1" applyProtection="1">
      <alignment horizontal="center"/>
      <protection locked="0"/>
    </xf>
    <xf numFmtId="0" fontId="0" fillId="40" borderId="451" xfId="0" applyFont="1" applyFill="1" applyBorder="1" applyAlignment="1" applyProtection="1">
      <alignment horizontal="center"/>
      <protection locked="0"/>
    </xf>
    <xf numFmtId="0" fontId="0" fillId="40" borderId="461" xfId="0" applyFont="1" applyFill="1" applyBorder="1" applyAlignment="1" applyProtection="1">
      <alignment horizontal="center"/>
      <protection locked="0"/>
    </xf>
    <xf numFmtId="0" fontId="0" fillId="39" borderId="454" xfId="0" applyFont="1" applyFill="1" applyBorder="1" applyAlignment="1" applyProtection="1">
      <alignment horizontal="center"/>
      <protection locked="0"/>
    </xf>
    <xf numFmtId="0" fontId="0" fillId="39" borderId="455" xfId="0" applyFont="1" applyFill="1" applyBorder="1" applyAlignment="1" applyProtection="1">
      <alignment horizontal="center"/>
      <protection locked="0"/>
    </xf>
    <xf numFmtId="0" fontId="0" fillId="39" borderId="771" xfId="0" applyFont="1" applyFill="1" applyBorder="1" applyAlignment="1" applyProtection="1">
      <alignment horizontal="center"/>
      <protection locked="0"/>
    </xf>
    <xf numFmtId="0" fontId="40" fillId="25" borderId="70" xfId="0" applyFont="1" applyFill="1" applyBorder="1" applyAlignment="1" applyProtection="1">
      <alignment horizontal="center" vertical="top"/>
    </xf>
    <xf numFmtId="0" fontId="40" fillId="25" borderId="71" xfId="0" applyFont="1" applyFill="1" applyBorder="1" applyAlignment="1" applyProtection="1">
      <alignment horizontal="center" vertical="top"/>
    </xf>
    <xf numFmtId="0" fontId="40" fillId="25" borderId="72" xfId="0" applyFont="1" applyFill="1" applyBorder="1" applyAlignment="1" applyProtection="1">
      <alignment horizontal="center" vertical="top"/>
    </xf>
    <xf numFmtId="0" fontId="0" fillId="40" borderId="462" xfId="0" applyFont="1" applyFill="1" applyBorder="1" applyAlignment="1" applyProtection="1">
      <alignment horizontal="center"/>
      <protection locked="0"/>
    </xf>
    <xf numFmtId="0" fontId="0" fillId="5" borderId="76" xfId="0" applyFont="1" applyFill="1" applyBorder="1" applyAlignment="1" applyProtection="1">
      <alignment horizontal="left" vertical="top" wrapText="1"/>
      <protection locked="0"/>
    </xf>
    <xf numFmtId="0" fontId="0" fillId="5" borderId="20" xfId="0" applyFont="1" applyFill="1" applyBorder="1" applyAlignment="1" applyProtection="1">
      <alignment horizontal="left" vertical="top" wrapText="1"/>
      <protection locked="0"/>
    </xf>
    <xf numFmtId="0" fontId="0" fillId="5" borderId="35" xfId="0" applyFont="1" applyFill="1" applyBorder="1" applyAlignment="1" applyProtection="1">
      <alignment horizontal="left" vertical="top" wrapText="1"/>
      <protection locked="0"/>
    </xf>
    <xf numFmtId="0" fontId="0" fillId="5" borderId="30" xfId="0" applyFont="1" applyFill="1" applyBorder="1" applyAlignment="1" applyProtection="1">
      <alignment horizontal="left" vertical="top" wrapText="1"/>
      <protection locked="0"/>
    </xf>
    <xf numFmtId="0" fontId="0" fillId="5" borderId="0" xfId="0" applyFont="1" applyFill="1" applyBorder="1" applyAlignment="1" applyProtection="1">
      <alignment horizontal="left" vertical="top" wrapText="1"/>
      <protection locked="0"/>
    </xf>
    <xf numFmtId="0" fontId="0" fillId="5" borderId="77" xfId="0" applyFont="1" applyFill="1" applyBorder="1" applyAlignment="1" applyProtection="1">
      <alignment horizontal="left" vertical="top" wrapText="1"/>
      <protection locked="0"/>
    </xf>
    <xf numFmtId="0" fontId="0" fillId="5" borderId="78" xfId="0" applyFont="1" applyFill="1" applyBorder="1" applyAlignment="1" applyProtection="1">
      <alignment horizontal="left" vertical="top" wrapText="1"/>
      <protection locked="0"/>
    </xf>
    <xf numFmtId="0" fontId="0" fillId="5" borderId="19" xfId="0" applyFont="1" applyFill="1" applyBorder="1" applyAlignment="1" applyProtection="1">
      <alignment horizontal="left" vertical="top" wrapText="1"/>
      <protection locked="0"/>
    </xf>
    <xf numFmtId="0" fontId="0" fillId="5" borderId="79" xfId="0" applyFont="1" applyFill="1" applyBorder="1" applyAlignment="1" applyProtection="1">
      <alignment horizontal="left" vertical="top" wrapText="1"/>
      <protection locked="0"/>
    </xf>
    <xf numFmtId="0" fontId="40" fillId="25" borderId="459" xfId="0" applyFont="1" applyFill="1" applyBorder="1" applyAlignment="1" applyProtection="1">
      <alignment horizontal="center"/>
    </xf>
    <xf numFmtId="0" fontId="0" fillId="5" borderId="21" xfId="0" applyFont="1" applyFill="1" applyBorder="1" applyAlignment="1" applyProtection="1">
      <alignment horizontal="left" vertical="top" wrapText="1"/>
      <protection locked="0"/>
    </xf>
    <xf numFmtId="0" fontId="0" fillId="5" borderId="22" xfId="0" applyFont="1" applyFill="1" applyBorder="1" applyAlignment="1" applyProtection="1">
      <alignment horizontal="left" vertical="top" wrapText="1"/>
      <protection locked="0"/>
    </xf>
    <xf numFmtId="0" fontId="0" fillId="5" borderId="28" xfId="0" applyFont="1" applyFill="1" applyBorder="1" applyAlignment="1" applyProtection="1">
      <alignment horizontal="left" vertical="top" wrapText="1"/>
      <protection locked="0"/>
    </xf>
    <xf numFmtId="0" fontId="40" fillId="25" borderId="80" xfId="0" applyFont="1" applyFill="1" applyBorder="1" applyAlignment="1" applyProtection="1">
      <alignment horizontal="center" vertical="top"/>
    </xf>
    <xf numFmtId="0" fontId="40" fillId="25" borderId="81" xfId="0" applyFont="1" applyFill="1" applyBorder="1" applyAlignment="1" applyProtection="1">
      <alignment horizontal="center" vertical="top"/>
    </xf>
    <xf numFmtId="0" fontId="40" fillId="25" borderId="389" xfId="0" applyFont="1" applyFill="1" applyBorder="1" applyAlignment="1" applyProtection="1">
      <alignment horizontal="center" vertical="top"/>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26" fillId="8" borderId="73" xfId="0" applyFont="1" applyFill="1" applyBorder="1" applyAlignment="1" applyProtection="1">
      <alignment horizontal="center" vertical="top" wrapText="1"/>
    </xf>
    <xf numFmtId="0" fontId="26" fillId="8" borderId="33" xfId="0" applyFont="1" applyFill="1" applyBorder="1" applyAlignment="1" applyProtection="1">
      <alignment horizontal="center" vertical="top" wrapText="1"/>
    </xf>
    <xf numFmtId="0" fontId="26" fillId="8" borderId="34" xfId="0" applyFont="1" applyFill="1" applyBorder="1" applyAlignment="1" applyProtection="1">
      <alignment horizontal="center" vertical="top" wrapText="1"/>
    </xf>
    <xf numFmtId="0" fontId="40" fillId="7" borderId="16" xfId="0" applyFont="1" applyFill="1" applyBorder="1" applyAlignment="1" applyProtection="1">
      <alignment horizontal="left" vertical="center" wrapText="1"/>
    </xf>
    <xf numFmtId="0" fontId="40" fillId="7" borderId="17" xfId="0" applyFont="1" applyFill="1" applyBorder="1" applyAlignment="1" applyProtection="1">
      <alignment horizontal="left" vertical="center" wrapText="1"/>
    </xf>
    <xf numFmtId="0" fontId="40" fillId="7" borderId="32" xfId="0" applyFont="1" applyFill="1" applyBorder="1" applyAlignment="1" applyProtection="1">
      <alignment horizontal="left" vertical="center" wrapText="1"/>
    </xf>
    <xf numFmtId="0" fontId="26" fillId="5" borderId="769" xfId="0" applyFont="1" applyFill="1" applyBorder="1" applyAlignment="1" applyProtection="1">
      <alignment horizontal="left" vertical="center" wrapText="1"/>
      <protection locked="0"/>
    </xf>
    <xf numFmtId="0" fontId="26" fillId="5" borderId="770" xfId="0" applyFont="1" applyFill="1" applyBorder="1" applyAlignment="1" applyProtection="1">
      <alignment horizontal="left" vertical="center" wrapText="1"/>
      <protection locked="0"/>
    </xf>
    <xf numFmtId="0" fontId="72" fillId="26" borderId="770" xfId="0" applyFont="1" applyFill="1" applyBorder="1" applyAlignment="1" applyProtection="1">
      <alignment horizontal="center" vertical="center"/>
      <protection locked="0"/>
    </xf>
    <xf numFmtId="0" fontId="117" fillId="0" borderId="479" xfId="0" applyFont="1" applyFill="1" applyBorder="1" applyAlignment="1" applyProtection="1">
      <alignment horizontal="center" vertical="center" wrapText="1"/>
      <protection locked="0"/>
    </xf>
    <xf numFmtId="0" fontId="117" fillId="0" borderId="0" xfId="0" applyFont="1" applyFill="1" applyBorder="1" applyAlignment="1" applyProtection="1">
      <alignment horizontal="center" vertical="center" wrapText="1"/>
      <protection locked="0"/>
    </xf>
    <xf numFmtId="0" fontId="117" fillId="0" borderId="77" xfId="0" applyFont="1" applyFill="1" applyBorder="1" applyAlignment="1" applyProtection="1">
      <alignment horizontal="center" vertical="center" wrapText="1"/>
      <protection locked="0"/>
    </xf>
    <xf numFmtId="0" fontId="72" fillId="26" borderId="479" xfId="0" applyFont="1" applyFill="1" applyBorder="1" applyAlignment="1" applyProtection="1">
      <alignment horizontal="center" vertical="center"/>
      <protection locked="0"/>
    </xf>
    <xf numFmtId="0" fontId="72" fillId="26" borderId="480" xfId="0" applyFont="1" applyFill="1" applyBorder="1" applyAlignment="1" applyProtection="1">
      <alignment horizontal="center" vertical="center"/>
      <protection locked="0"/>
    </xf>
    <xf numFmtId="0" fontId="117" fillId="0" borderId="27" xfId="0" applyFont="1" applyFill="1" applyBorder="1" applyAlignment="1" applyProtection="1">
      <alignment horizontal="center" vertical="center" wrapText="1"/>
      <protection locked="0"/>
    </xf>
    <xf numFmtId="0" fontId="117" fillId="0" borderId="24" xfId="0" applyFont="1" applyFill="1" applyBorder="1" applyAlignment="1" applyProtection="1">
      <alignment horizontal="center" vertical="center" wrapText="1"/>
      <protection locked="0"/>
    </xf>
    <xf numFmtId="0" fontId="117" fillId="0" borderId="29" xfId="0" applyFont="1" applyFill="1" applyBorder="1" applyAlignment="1" applyProtection="1">
      <alignment horizontal="center" vertical="center" wrapText="1"/>
      <protection locked="0"/>
    </xf>
    <xf numFmtId="0" fontId="26" fillId="0" borderId="30" xfId="0" applyFont="1" applyBorder="1" applyAlignment="1" applyProtection="1">
      <alignment horizontal="center" vertical="center" wrapText="1"/>
    </xf>
    <xf numFmtId="0" fontId="21" fillId="25" borderId="484" xfId="0" applyFont="1" applyFill="1" applyBorder="1" applyAlignment="1" applyProtection="1">
      <alignment horizontal="center" vertical="center" wrapText="1"/>
    </xf>
    <xf numFmtId="0" fontId="21" fillId="25" borderId="483" xfId="0" applyFont="1" applyFill="1" applyBorder="1" applyAlignment="1" applyProtection="1">
      <alignment horizontal="center" vertical="center" wrapText="1"/>
    </xf>
    <xf numFmtId="0" fontId="40" fillId="25" borderId="481" xfId="0" applyFont="1" applyFill="1" applyBorder="1" applyAlignment="1" applyProtection="1">
      <alignment horizontal="center" vertical="center" wrapText="1"/>
    </xf>
    <xf numFmtId="0" fontId="40" fillId="25" borderId="482" xfId="0" applyFont="1" applyFill="1" applyBorder="1" applyAlignment="1" applyProtection="1">
      <alignment horizontal="center" vertical="center" wrapText="1"/>
    </xf>
    <xf numFmtId="0" fontId="40" fillId="25" borderId="483" xfId="0" applyFont="1" applyFill="1" applyBorder="1" applyAlignment="1" applyProtection="1">
      <alignment horizontal="center" vertical="center" wrapText="1"/>
    </xf>
    <xf numFmtId="0" fontId="26" fillId="25" borderId="84" xfId="0" applyFont="1" applyFill="1" applyBorder="1" applyAlignment="1" applyProtection="1">
      <alignment horizontal="center" vertical="center" wrapText="1"/>
    </xf>
    <xf numFmtId="0" fontId="26" fillId="25" borderId="12" xfId="0" applyFont="1" applyFill="1" applyBorder="1" applyAlignment="1" applyProtection="1">
      <alignment horizontal="center" vertical="center" wrapText="1"/>
    </xf>
    <xf numFmtId="0" fontId="21" fillId="25" borderId="475" xfId="0" applyFont="1" applyFill="1" applyBorder="1" applyAlignment="1" applyProtection="1">
      <alignment horizontal="center" vertical="center" wrapText="1"/>
    </xf>
    <xf numFmtId="0" fontId="21" fillId="25" borderId="476" xfId="0" applyFont="1" applyFill="1" applyBorder="1" applyAlignment="1" applyProtection="1">
      <alignment horizontal="center" vertical="center" wrapText="1"/>
    </xf>
    <xf numFmtId="0" fontId="26" fillId="5" borderId="769" xfId="0" applyFont="1" applyFill="1" applyBorder="1" applyAlignment="1" applyProtection="1">
      <alignment horizontal="left" wrapText="1"/>
      <protection locked="0"/>
    </xf>
    <xf numFmtId="0" fontId="26" fillId="5" borderId="770" xfId="0" applyFont="1" applyFill="1" applyBorder="1" applyAlignment="1" applyProtection="1">
      <alignment horizontal="left" wrapText="1"/>
      <protection locked="0"/>
    </xf>
    <xf numFmtId="0" fontId="26" fillId="37" borderId="157" xfId="0" applyFont="1" applyFill="1" applyBorder="1" applyAlignment="1" applyProtection="1">
      <alignment horizontal="center" vertical="center"/>
    </xf>
    <xf numFmtId="0" fontId="26" fillId="37" borderId="772" xfId="0" applyFont="1" applyFill="1" applyBorder="1" applyAlignment="1" applyProtection="1">
      <alignment horizontal="center" vertical="center"/>
    </xf>
    <xf numFmtId="0" fontId="26" fillId="37" borderId="0" xfId="0" applyFont="1" applyFill="1" applyBorder="1" applyAlignment="1" applyProtection="1">
      <alignment horizontal="center" vertical="center"/>
    </xf>
    <xf numFmtId="0" fontId="26" fillId="37" borderId="105" xfId="0" applyFont="1" applyFill="1" applyBorder="1" applyAlignment="1" applyProtection="1">
      <alignment horizontal="center" vertical="center"/>
    </xf>
    <xf numFmtId="0" fontId="26" fillId="37" borderId="104" xfId="0" applyFont="1" applyFill="1" applyBorder="1" applyAlignment="1" applyProtection="1">
      <alignment horizontal="center" vertical="center" wrapText="1"/>
    </xf>
    <xf numFmtId="0" fontId="26" fillId="37" borderId="0" xfId="0" applyFont="1" applyFill="1" applyBorder="1" applyAlignment="1" applyProtection="1">
      <alignment horizontal="center" vertical="center" wrapText="1"/>
    </xf>
    <xf numFmtId="0" fontId="26" fillId="37" borderId="714" xfId="0" applyFont="1" applyFill="1" applyBorder="1" applyAlignment="1" applyProtection="1">
      <alignment horizontal="center" vertical="center" wrapText="1"/>
    </xf>
    <xf numFmtId="3" fontId="1" fillId="75" borderId="334" xfId="0" applyNumberFormat="1" applyFont="1" applyFill="1" applyBorder="1" applyAlignment="1" applyProtection="1">
      <alignment horizontal="center"/>
    </xf>
    <xf numFmtId="3" fontId="1" fillId="75" borderId="335" xfId="0" applyNumberFormat="1" applyFont="1" applyFill="1" applyBorder="1" applyAlignment="1" applyProtection="1">
      <alignment horizontal="center"/>
    </xf>
    <xf numFmtId="3" fontId="1" fillId="75" borderId="337" xfId="0" applyNumberFormat="1" applyFont="1" applyFill="1" applyBorder="1" applyAlignment="1" applyProtection="1">
      <alignment horizontal="center"/>
    </xf>
    <xf numFmtId="3" fontId="69" fillId="8" borderId="343" xfId="0" applyNumberFormat="1" applyFont="1" applyFill="1" applyBorder="1" applyAlignment="1" applyProtection="1">
      <alignment horizontal="center" vertical="center" wrapText="1"/>
      <protection locked="0"/>
    </xf>
    <xf numFmtId="3" fontId="69" fillId="8" borderId="342" xfId="0" applyNumberFormat="1" applyFont="1" applyFill="1" applyBorder="1" applyAlignment="1" applyProtection="1">
      <alignment horizontal="center" vertical="center" wrapText="1"/>
      <protection locked="0"/>
    </xf>
    <xf numFmtId="3" fontId="69" fillId="8" borderId="341" xfId="0" applyNumberFormat="1" applyFont="1" applyFill="1" applyBorder="1" applyAlignment="1" applyProtection="1">
      <alignment horizontal="center" vertical="center" wrapText="1"/>
      <protection locked="0"/>
    </xf>
    <xf numFmtId="3" fontId="69" fillId="8" borderId="168" xfId="0" applyNumberFormat="1" applyFont="1" applyFill="1" applyBorder="1" applyAlignment="1" applyProtection="1">
      <alignment horizontal="center" vertical="center" wrapText="1"/>
      <protection locked="0"/>
    </xf>
    <xf numFmtId="3" fontId="69" fillId="8" borderId="0" xfId="0" applyNumberFormat="1" applyFont="1" applyFill="1" applyBorder="1" applyAlignment="1" applyProtection="1">
      <alignment horizontal="center" vertical="center" wrapText="1"/>
      <protection locked="0"/>
    </xf>
    <xf numFmtId="3" fontId="69" fillId="8" borderId="1007" xfId="0" applyNumberFormat="1" applyFont="1" applyFill="1" applyBorder="1" applyAlignment="1" applyProtection="1">
      <alignment horizontal="center" vertical="center" wrapText="1"/>
      <protection locked="0"/>
    </xf>
    <xf numFmtId="3" fontId="69" fillId="8" borderId="336" xfId="0" applyNumberFormat="1" applyFont="1" applyFill="1" applyBorder="1" applyAlignment="1" applyProtection="1">
      <alignment horizontal="center" vertical="center" wrapText="1"/>
      <protection locked="0"/>
    </xf>
    <xf numFmtId="3" fontId="69" fillId="8" borderId="443" xfId="0" applyNumberFormat="1" applyFont="1" applyFill="1" applyBorder="1" applyAlignment="1" applyProtection="1">
      <alignment horizontal="center" vertical="center" wrapText="1"/>
      <protection locked="0"/>
    </xf>
    <xf numFmtId="3" fontId="69" fillId="8" borderId="444" xfId="0" applyNumberFormat="1" applyFont="1" applyFill="1" applyBorder="1" applyAlignment="1" applyProtection="1">
      <alignment horizontal="center" vertical="center" wrapText="1"/>
      <protection locked="0"/>
    </xf>
    <xf numFmtId="3" fontId="35" fillId="0" borderId="532" xfId="2" applyNumberFormat="1" applyFont="1" applyBorder="1" applyAlignment="1" applyProtection="1">
      <alignment horizontal="left"/>
    </xf>
    <xf numFmtId="3" fontId="35" fillId="0" borderId="533" xfId="2" applyNumberFormat="1" applyFont="1" applyBorder="1" applyAlignment="1" applyProtection="1">
      <alignment horizontal="left"/>
    </xf>
    <xf numFmtId="178" fontId="96" fillId="26" borderId="533" xfId="2" applyNumberFormat="1" applyFont="1" applyFill="1" applyBorder="1" applyAlignment="1" applyProtection="1">
      <alignment horizontal="center" vertical="center"/>
      <protection locked="0"/>
    </xf>
    <xf numFmtId="3" fontId="96" fillId="26" borderId="533" xfId="2" applyNumberFormat="1" applyFont="1" applyFill="1" applyBorder="1" applyAlignment="1" applyProtection="1">
      <alignment horizontal="center" vertical="center"/>
      <protection locked="0"/>
    </xf>
    <xf numFmtId="3" fontId="97" fillId="0" borderId="549" xfId="6" applyNumberFormat="1" applyFont="1" applyBorder="1" applyAlignment="1" applyProtection="1">
      <alignment horizontal="right"/>
    </xf>
    <xf numFmtId="3" fontId="97" fillId="0" borderId="564" xfId="6" applyNumberFormat="1" applyFont="1" applyBorder="1" applyAlignment="1" applyProtection="1">
      <alignment horizontal="right"/>
    </xf>
    <xf numFmtId="3" fontId="17" fillId="0" borderId="535" xfId="6" applyNumberFormat="1" applyFont="1" applyFill="1" applyBorder="1" applyAlignment="1" applyProtection="1">
      <alignment horizontal="center"/>
    </xf>
    <xf numFmtId="3" fontId="17" fillId="0" borderId="536" xfId="6" applyNumberFormat="1" applyFont="1" applyFill="1" applyBorder="1" applyAlignment="1" applyProtection="1">
      <alignment horizontal="center"/>
    </xf>
    <xf numFmtId="3" fontId="17" fillId="0" borderId="1258" xfId="6" applyNumberFormat="1" applyFont="1" applyFill="1" applyBorder="1" applyAlignment="1" applyProtection="1">
      <alignment horizontal="center"/>
    </xf>
    <xf numFmtId="3" fontId="96" fillId="25" borderId="533" xfId="2" applyNumberFormat="1" applyFont="1" applyFill="1" applyBorder="1" applyAlignment="1" applyProtection="1">
      <alignment horizontal="center" vertical="center"/>
    </xf>
    <xf numFmtId="4" fontId="96" fillId="0" borderId="560" xfId="2" applyNumberFormat="1" applyFont="1" applyFill="1" applyBorder="1" applyAlignment="1" applyProtection="1">
      <alignment horizontal="center" vertical="center" wrapText="1"/>
      <protection locked="0"/>
    </xf>
    <xf numFmtId="4" fontId="96" fillId="0" borderId="553" xfId="2" applyNumberFormat="1" applyFont="1" applyFill="1" applyBorder="1" applyAlignment="1" applyProtection="1">
      <alignment horizontal="center" vertical="center" wrapText="1"/>
      <protection locked="0"/>
    </xf>
    <xf numFmtId="3" fontId="22" fillId="0" borderId="532" xfId="2" quotePrefix="1" applyNumberFormat="1" applyFont="1" applyFill="1" applyBorder="1" applyAlignment="1" applyProtection="1">
      <alignment horizontal="left"/>
    </xf>
    <xf numFmtId="3" fontId="22" fillId="0" borderId="533" xfId="2" applyNumberFormat="1" applyFont="1" applyFill="1" applyBorder="1" applyAlignment="1" applyProtection="1">
      <alignment horizontal="left"/>
    </xf>
    <xf numFmtId="3" fontId="25" fillId="0" borderId="532" xfId="2" applyNumberFormat="1" applyFont="1" applyFill="1" applyBorder="1" applyAlignment="1" applyProtection="1">
      <alignment horizontal="left"/>
    </xf>
    <xf numFmtId="3" fontId="25" fillId="0" borderId="533" xfId="2" applyNumberFormat="1" applyFont="1" applyFill="1" applyBorder="1" applyAlignment="1" applyProtection="1">
      <alignment horizontal="left"/>
    </xf>
    <xf numFmtId="9" fontId="17" fillId="25" borderId="552" xfId="3" applyFont="1" applyFill="1" applyBorder="1" applyAlignment="1" applyProtection="1">
      <alignment horizontal="center"/>
    </xf>
    <xf numFmtId="9" fontId="17" fillId="25" borderId="553" xfId="3" applyFont="1" applyFill="1" applyBorder="1" applyAlignment="1" applyProtection="1">
      <alignment horizontal="center"/>
    </xf>
    <xf numFmtId="9" fontId="17" fillId="25" borderId="554" xfId="3" applyFont="1" applyFill="1" applyBorder="1" applyAlignment="1" applyProtection="1">
      <alignment horizontal="center"/>
    </xf>
    <xf numFmtId="9" fontId="17" fillId="25" borderId="532" xfId="3" applyFont="1" applyFill="1" applyBorder="1" applyAlignment="1" applyProtection="1">
      <alignment horizontal="center"/>
    </xf>
    <xf numFmtId="9" fontId="17" fillId="25" borderId="533" xfId="3" applyFont="1" applyFill="1" applyBorder="1" applyAlignment="1" applyProtection="1">
      <alignment horizontal="center"/>
    </xf>
    <xf numFmtId="9" fontId="17" fillId="25" borderId="534" xfId="3" applyFont="1" applyFill="1" applyBorder="1" applyAlignment="1" applyProtection="1">
      <alignment horizontal="center"/>
    </xf>
    <xf numFmtId="3" fontId="22" fillId="0" borderId="552" xfId="2" quotePrefix="1" applyNumberFormat="1" applyFont="1" applyFill="1" applyBorder="1" applyAlignment="1" applyProtection="1">
      <alignment horizontal="center"/>
    </xf>
    <xf numFmtId="3" fontId="22" fillId="0" borderId="553" xfId="2" quotePrefix="1" applyNumberFormat="1" applyFont="1" applyFill="1" applyBorder="1" applyAlignment="1" applyProtection="1">
      <alignment horizontal="center"/>
    </xf>
    <xf numFmtId="3" fontId="22" fillId="0" borderId="582" xfId="2" quotePrefix="1" applyNumberFormat="1" applyFont="1" applyFill="1" applyBorder="1" applyAlignment="1" applyProtection="1">
      <alignment horizontal="center"/>
    </xf>
    <xf numFmtId="3" fontId="96" fillId="0" borderId="691" xfId="2" applyNumberFormat="1" applyFont="1" applyFill="1" applyBorder="1" applyAlignment="1" applyProtection="1">
      <alignment horizontal="left" vertical="center"/>
    </xf>
    <xf numFmtId="3" fontId="96" fillId="0" borderId="694" xfId="2" applyNumberFormat="1" applyFont="1" applyFill="1" applyBorder="1" applyAlignment="1" applyProtection="1">
      <alignment horizontal="left" vertical="center"/>
    </xf>
    <xf numFmtId="3" fontId="41" fillId="16" borderId="343" xfId="2" applyNumberFormat="1" applyFont="1" applyFill="1" applyBorder="1" applyAlignment="1" applyProtection="1">
      <alignment horizontal="center" vertical="center"/>
    </xf>
    <xf numFmtId="3" fontId="41" fillId="16" borderId="446" xfId="2" applyNumberFormat="1" applyFont="1" applyFill="1" applyBorder="1" applyAlignment="1" applyProtection="1">
      <alignment horizontal="center" vertical="center"/>
    </xf>
    <xf numFmtId="3" fontId="41" fillId="16" borderId="341" xfId="2" applyNumberFormat="1" applyFont="1" applyFill="1" applyBorder="1" applyAlignment="1" applyProtection="1">
      <alignment horizontal="center" vertical="center"/>
    </xf>
    <xf numFmtId="3" fontId="96" fillId="0" borderId="689" xfId="2" applyNumberFormat="1" applyFont="1" applyFill="1" applyBorder="1" applyAlignment="1" applyProtection="1">
      <alignment horizontal="left" vertical="center"/>
    </xf>
    <xf numFmtId="3" fontId="96" fillId="0" borderId="0" xfId="2" applyNumberFormat="1" applyFont="1" applyFill="1" applyBorder="1" applyAlignment="1" applyProtection="1">
      <alignment horizontal="left" vertical="center"/>
    </xf>
    <xf numFmtId="3" fontId="69" fillId="8" borderId="446" xfId="0" applyNumberFormat="1" applyFont="1" applyFill="1" applyBorder="1" applyAlignment="1" applyProtection="1">
      <alignment horizontal="center" vertical="center" wrapText="1"/>
      <protection locked="0"/>
    </xf>
    <xf numFmtId="3" fontId="69" fillId="8" borderId="442" xfId="0" applyNumberFormat="1" applyFont="1" applyFill="1" applyBorder="1" applyAlignment="1" applyProtection="1">
      <alignment horizontal="center" vertical="center" wrapText="1"/>
      <protection locked="0"/>
    </xf>
    <xf numFmtId="3" fontId="52" fillId="0" borderId="555" xfId="2" applyNumberFormat="1" applyFont="1" applyBorder="1" applyAlignment="1" applyProtection="1">
      <alignment horizontal="center"/>
    </xf>
    <xf numFmtId="3" fontId="52" fillId="0" borderId="556" xfId="2" applyNumberFormat="1" applyFont="1" applyBorder="1" applyAlignment="1" applyProtection="1">
      <alignment horizontal="center"/>
    </xf>
    <xf numFmtId="3" fontId="52" fillId="0" borderId="602" xfId="2" applyNumberFormat="1" applyFont="1" applyBorder="1" applyAlignment="1" applyProtection="1">
      <alignment horizontal="center"/>
    </xf>
    <xf numFmtId="3" fontId="0" fillId="5" borderId="552" xfId="0" applyNumberFormat="1" applyFont="1" applyFill="1" applyBorder="1" applyAlignment="1" applyProtection="1">
      <alignment horizontal="left" vertical="top" wrapText="1"/>
      <protection locked="0"/>
    </xf>
    <xf numFmtId="3" fontId="0" fillId="5" borderId="553" xfId="0" applyNumberFormat="1" applyFont="1" applyFill="1" applyBorder="1" applyAlignment="1" applyProtection="1">
      <alignment horizontal="left" vertical="top" wrapText="1"/>
      <protection locked="0"/>
    </xf>
    <xf numFmtId="3" fontId="0" fillId="5" borderId="554" xfId="0" applyNumberFormat="1" applyFont="1" applyFill="1" applyBorder="1" applyAlignment="1" applyProtection="1">
      <alignment horizontal="left" vertical="top" wrapText="1"/>
      <protection locked="0"/>
    </xf>
    <xf numFmtId="3" fontId="0" fillId="5" borderId="555" xfId="0" applyNumberFormat="1" applyFont="1" applyFill="1" applyBorder="1" applyAlignment="1" applyProtection="1">
      <alignment horizontal="left" vertical="top" wrapText="1"/>
      <protection locked="0"/>
    </xf>
    <xf numFmtId="3" fontId="0" fillId="5" borderId="556" xfId="0" applyNumberFormat="1" applyFont="1" applyFill="1" applyBorder="1" applyAlignment="1" applyProtection="1">
      <alignment horizontal="left" vertical="top" wrapText="1"/>
      <protection locked="0"/>
    </xf>
    <xf numFmtId="3" fontId="0" fillId="5" borderId="557" xfId="0" applyNumberFormat="1" applyFont="1" applyFill="1" applyBorder="1" applyAlignment="1" applyProtection="1">
      <alignment horizontal="left" vertical="top" wrapText="1"/>
      <protection locked="0"/>
    </xf>
    <xf numFmtId="3" fontId="40" fillId="7" borderId="549" xfId="0" applyNumberFormat="1" applyFont="1" applyFill="1" applyBorder="1" applyAlignment="1" applyProtection="1">
      <alignment horizontal="left" vertical="center"/>
    </xf>
    <xf numFmtId="3" fontId="2" fillId="7" borderId="550" xfId="0" applyNumberFormat="1" applyFont="1" applyFill="1" applyBorder="1" applyAlignment="1" applyProtection="1">
      <alignment horizontal="left" vertical="center"/>
    </xf>
    <xf numFmtId="3" fontId="2" fillId="7" borderId="551" xfId="0" applyNumberFormat="1" applyFont="1" applyFill="1" applyBorder="1" applyAlignment="1" applyProtection="1">
      <alignment horizontal="left" vertical="center"/>
    </xf>
    <xf numFmtId="3" fontId="171" fillId="25" borderId="695" xfId="2" applyNumberFormat="1" applyFont="1" applyFill="1" applyBorder="1" applyAlignment="1" applyProtection="1">
      <alignment horizontal="right" vertical="center"/>
    </xf>
    <xf numFmtId="3" fontId="171" fillId="25" borderId="696" xfId="2" applyNumberFormat="1" applyFont="1" applyFill="1" applyBorder="1" applyAlignment="1" applyProtection="1">
      <alignment horizontal="right" vertical="center"/>
    </xf>
    <xf numFmtId="3" fontId="171" fillId="25" borderId="1287" xfId="2" applyNumberFormat="1" applyFont="1" applyFill="1" applyBorder="1" applyAlignment="1" applyProtection="1">
      <alignment horizontal="right" vertical="center"/>
    </xf>
    <xf numFmtId="3" fontId="171" fillId="25" borderId="1288" xfId="2" applyNumberFormat="1" applyFont="1" applyFill="1" applyBorder="1" applyAlignment="1" applyProtection="1">
      <alignment horizontal="right" vertical="center"/>
    </xf>
    <xf numFmtId="3" fontId="171" fillId="25" borderId="1289" xfId="2" applyNumberFormat="1" applyFont="1" applyFill="1" applyBorder="1" applyAlignment="1" applyProtection="1">
      <alignment horizontal="right" vertical="center"/>
    </xf>
    <xf numFmtId="3" fontId="97" fillId="0" borderId="696" xfId="6" applyNumberFormat="1" applyFont="1" applyBorder="1" applyAlignment="1" applyProtection="1">
      <alignment horizontal="right"/>
    </xf>
    <xf numFmtId="3" fontId="171" fillId="0" borderId="698" xfId="2" applyNumberFormat="1" applyFont="1" applyBorder="1" applyAlignment="1" applyProtection="1">
      <alignment horizontal="right"/>
    </xf>
    <xf numFmtId="3" fontId="171" fillId="0" borderId="0" xfId="2" applyNumberFormat="1" applyFont="1" applyBorder="1" applyAlignment="1" applyProtection="1">
      <alignment horizontal="right"/>
    </xf>
    <xf numFmtId="3" fontId="171" fillId="0" borderId="1096" xfId="2" applyNumberFormat="1" applyFont="1" applyBorder="1" applyAlignment="1" applyProtection="1">
      <alignment horizontal="right"/>
    </xf>
    <xf numFmtId="3" fontId="1" fillId="8" borderId="334" xfId="0" applyNumberFormat="1" applyFont="1" applyFill="1" applyBorder="1" applyAlignment="1" applyProtection="1">
      <alignment horizontal="center"/>
    </xf>
    <xf numFmtId="3" fontId="1" fillId="8" borderId="335" xfId="0" applyNumberFormat="1" applyFont="1" applyFill="1" applyBorder="1" applyAlignment="1" applyProtection="1">
      <alignment horizontal="center"/>
    </xf>
    <xf numFmtId="3" fontId="1" fillId="8" borderId="337" xfId="0" applyNumberFormat="1" applyFont="1" applyFill="1" applyBorder="1" applyAlignment="1" applyProtection="1">
      <alignment horizontal="center"/>
    </xf>
    <xf numFmtId="3" fontId="22" fillId="0" borderId="552" xfId="2" applyNumberFormat="1" applyFont="1" applyBorder="1" applyAlignment="1" applyProtection="1">
      <alignment horizontal="center"/>
    </xf>
    <xf numFmtId="3" fontId="22" fillId="0" borderId="553" xfId="2" applyNumberFormat="1" applyFont="1" applyBorder="1" applyAlignment="1" applyProtection="1">
      <alignment horizontal="center"/>
    </xf>
    <xf numFmtId="3" fontId="41" fillId="7" borderId="549" xfId="6" applyNumberFormat="1" applyFont="1" applyFill="1" applyBorder="1" applyAlignment="1" applyProtection="1">
      <alignment horizontal="center" vertical="top" wrapText="1"/>
    </xf>
    <xf numFmtId="3" fontId="41" fillId="7" borderId="550" xfId="6" applyNumberFormat="1" applyFont="1" applyFill="1" applyBorder="1" applyAlignment="1" applyProtection="1">
      <alignment horizontal="center" vertical="top" wrapText="1"/>
    </xf>
    <xf numFmtId="3" fontId="41" fillId="7" borderId="564" xfId="6" applyNumberFormat="1" applyFont="1" applyFill="1" applyBorder="1" applyAlignment="1" applyProtection="1">
      <alignment horizontal="center" vertical="top" wrapText="1"/>
    </xf>
    <xf numFmtId="3" fontId="143" fillId="75" borderId="560" xfId="3" applyNumberFormat="1" applyFont="1" applyFill="1" applyBorder="1" applyAlignment="1" applyProtection="1">
      <alignment horizontal="center" vertical="center" wrapText="1"/>
    </xf>
    <xf numFmtId="3" fontId="143" fillId="75" borderId="553" xfId="3" applyNumberFormat="1" applyFont="1" applyFill="1" applyBorder="1" applyAlignment="1" applyProtection="1">
      <alignment horizontal="center" vertical="center" wrapText="1"/>
    </xf>
    <xf numFmtId="3" fontId="143" fillId="75" borderId="554" xfId="3" applyNumberFormat="1" applyFont="1" applyFill="1" applyBorder="1" applyAlignment="1" applyProtection="1">
      <alignment horizontal="center" vertical="center" wrapText="1"/>
    </xf>
    <xf numFmtId="3" fontId="35" fillId="25" borderId="532" xfId="2" applyNumberFormat="1" applyFont="1" applyFill="1" applyBorder="1" applyAlignment="1" applyProtection="1">
      <alignment horizontal="left"/>
    </xf>
    <xf numFmtId="3" fontId="35" fillId="25" borderId="533" xfId="2" applyNumberFormat="1" applyFont="1" applyFill="1" applyBorder="1" applyAlignment="1" applyProtection="1">
      <alignment horizontal="left"/>
    </xf>
    <xf numFmtId="3" fontId="18" fillId="0" borderId="586" xfId="3" applyNumberFormat="1" applyFont="1" applyFill="1" applyBorder="1" applyAlignment="1" applyProtection="1">
      <alignment horizontal="center" wrapText="1"/>
    </xf>
    <xf numFmtId="3" fontId="18" fillId="0" borderId="1357" xfId="3" applyNumberFormat="1" applyFont="1" applyFill="1" applyBorder="1" applyAlignment="1" applyProtection="1">
      <alignment horizontal="center" wrapText="1"/>
    </xf>
    <xf numFmtId="3" fontId="18" fillId="0" borderId="712" xfId="3" applyNumberFormat="1" applyFont="1" applyFill="1" applyBorder="1" applyAlignment="1" applyProtection="1">
      <alignment horizontal="center" wrapText="1"/>
    </xf>
    <xf numFmtId="3" fontId="18" fillId="0" borderId="1358" xfId="3" applyNumberFormat="1" applyFont="1" applyFill="1" applyBorder="1" applyAlignment="1" applyProtection="1">
      <alignment horizontal="center" wrapText="1"/>
    </xf>
    <xf numFmtId="3" fontId="96" fillId="25" borderId="560" xfId="2" applyNumberFormat="1" applyFont="1" applyFill="1" applyBorder="1" applyAlignment="1" applyProtection="1">
      <alignment horizontal="center" vertical="center"/>
    </xf>
    <xf numFmtId="3" fontId="96" fillId="25" borderId="582" xfId="2" applyNumberFormat="1" applyFont="1" applyFill="1" applyBorder="1" applyAlignment="1" applyProtection="1">
      <alignment horizontal="center" vertical="center"/>
    </xf>
    <xf numFmtId="3" fontId="35" fillId="0" borderId="552" xfId="2" applyNumberFormat="1" applyFont="1" applyBorder="1" applyAlignment="1" applyProtection="1">
      <alignment horizontal="center"/>
    </xf>
    <xf numFmtId="3" fontId="35" fillId="0" borderId="553" xfId="2" applyNumberFormat="1" applyFont="1" applyBorder="1" applyAlignment="1" applyProtection="1">
      <alignment horizontal="center"/>
    </xf>
    <xf numFmtId="3" fontId="35" fillId="0" borderId="582" xfId="2" applyNumberFormat="1" applyFont="1" applyBorder="1" applyAlignment="1" applyProtection="1">
      <alignment horizontal="center"/>
    </xf>
    <xf numFmtId="3" fontId="18" fillId="75" borderId="560" xfId="6" applyNumberFormat="1" applyFont="1" applyFill="1" applyBorder="1" applyAlignment="1" applyProtection="1">
      <alignment horizontal="center" vertical="center" wrapText="1"/>
    </xf>
    <xf numFmtId="3" fontId="18" fillId="75" borderId="553" xfId="6" applyNumberFormat="1" applyFont="1" applyFill="1" applyBorder="1" applyAlignment="1" applyProtection="1">
      <alignment horizontal="center" vertical="center" wrapText="1"/>
    </xf>
    <xf numFmtId="3" fontId="18" fillId="75" borderId="582" xfId="6" applyNumberFormat="1" applyFont="1" applyFill="1" applyBorder="1" applyAlignment="1" applyProtection="1">
      <alignment horizontal="center" vertical="center" wrapText="1"/>
    </xf>
    <xf numFmtId="3" fontId="52" fillId="0" borderId="565" xfId="2" applyNumberFormat="1" applyFont="1" applyBorder="1" applyAlignment="1" applyProtection="1">
      <alignment horizontal="center"/>
    </xf>
    <xf numFmtId="3" fontId="52" fillId="0" borderId="588" xfId="2" applyNumberFormat="1" applyFont="1" applyBorder="1" applyAlignment="1" applyProtection="1">
      <alignment horizontal="center"/>
    </xf>
    <xf numFmtId="3" fontId="41" fillId="0" borderId="552" xfId="6" applyNumberFormat="1" applyFont="1" applyFill="1" applyBorder="1" applyAlignment="1" applyProtection="1">
      <alignment horizontal="center" vertical="center" wrapText="1"/>
    </xf>
    <xf numFmtId="3" fontId="41" fillId="0" borderId="553" xfId="6" applyNumberFormat="1" applyFont="1" applyFill="1" applyBorder="1" applyAlignment="1" applyProtection="1">
      <alignment horizontal="center" vertical="center" wrapText="1"/>
    </xf>
    <xf numFmtId="3" fontId="41" fillId="0" borderId="582" xfId="6" applyNumberFormat="1" applyFont="1" applyFill="1" applyBorder="1" applyAlignment="1" applyProtection="1">
      <alignment horizontal="center" vertical="center" wrapText="1"/>
    </xf>
    <xf numFmtId="3" fontId="174" fillId="0" borderId="560" xfId="2" applyNumberFormat="1" applyFont="1" applyBorder="1" applyAlignment="1" applyProtection="1">
      <alignment horizontal="center" vertical="center" wrapText="1"/>
    </xf>
    <xf numFmtId="3" fontId="174" fillId="0" borderId="553" xfId="2" applyNumberFormat="1" applyFont="1" applyBorder="1" applyAlignment="1" applyProtection="1">
      <alignment horizontal="center" vertical="center" wrapText="1"/>
    </xf>
    <xf numFmtId="3" fontId="51" fillId="75" borderId="530" xfId="6" applyNumberFormat="1" applyFont="1" applyFill="1" applyBorder="1" applyAlignment="1" applyProtection="1">
      <alignment horizontal="center" vertical="center" wrapText="1"/>
    </xf>
    <xf numFmtId="3" fontId="97" fillId="0" borderId="555" xfId="6" applyNumberFormat="1" applyFont="1" applyFill="1" applyBorder="1" applyAlignment="1" applyProtection="1">
      <alignment horizontal="right"/>
    </xf>
    <xf numFmtId="3" fontId="97" fillId="0" borderId="556" xfId="6" applyNumberFormat="1" applyFont="1" applyFill="1" applyBorder="1" applyAlignment="1" applyProtection="1">
      <alignment horizontal="right"/>
    </xf>
    <xf numFmtId="3" fontId="97" fillId="0" borderId="565" xfId="6" applyNumberFormat="1" applyFont="1" applyFill="1" applyBorder="1" applyAlignment="1" applyProtection="1">
      <alignment horizontal="right"/>
    </xf>
    <xf numFmtId="3" fontId="41" fillId="7" borderId="549" xfId="6" applyNumberFormat="1" applyFont="1" applyFill="1" applyBorder="1" applyAlignment="1" applyProtection="1">
      <alignment horizontal="center" vertical="center" wrapText="1"/>
    </xf>
    <xf numFmtId="3" fontId="25" fillId="7" borderId="550" xfId="6" applyNumberFormat="1" applyFont="1" applyFill="1" applyBorder="1" applyAlignment="1" applyProtection="1">
      <alignment horizontal="center" vertical="center"/>
    </xf>
    <xf numFmtId="3" fontId="25" fillId="7" borderId="564" xfId="6" applyNumberFormat="1" applyFont="1" applyFill="1" applyBorder="1" applyAlignment="1" applyProtection="1">
      <alignment horizontal="center" vertical="center"/>
    </xf>
    <xf numFmtId="3" fontId="22" fillId="0" borderId="532" xfId="2" applyNumberFormat="1" applyFont="1" applyBorder="1" applyAlignment="1" applyProtection="1">
      <alignment horizontal="left"/>
    </xf>
    <xf numFmtId="3" fontId="22" fillId="0" borderId="533" xfId="2" applyNumberFormat="1" applyFont="1" applyBorder="1" applyAlignment="1" applyProtection="1">
      <alignment horizontal="left"/>
    </xf>
    <xf numFmtId="3" fontId="97" fillId="0" borderId="538" xfId="6" applyNumberFormat="1" applyFont="1" applyBorder="1" applyAlignment="1" applyProtection="1">
      <alignment horizontal="right" vertical="center"/>
    </xf>
    <xf numFmtId="3" fontId="97" fillId="0" borderId="597" xfId="6" applyNumberFormat="1" applyFont="1" applyBorder="1" applyAlignment="1" applyProtection="1">
      <alignment horizontal="right" vertical="center"/>
    </xf>
    <xf numFmtId="3" fontId="25" fillId="7" borderId="529" xfId="6" applyNumberFormat="1" applyFont="1" applyFill="1" applyBorder="1" applyAlignment="1" applyProtection="1">
      <alignment horizontal="center" vertical="top" wrapText="1"/>
    </xf>
    <xf numFmtId="3" fontId="25" fillId="7" borderId="530" xfId="6" applyNumberFormat="1" applyFont="1" applyFill="1" applyBorder="1" applyAlignment="1" applyProtection="1">
      <alignment horizontal="center" vertical="top" wrapText="1"/>
    </xf>
    <xf numFmtId="3" fontId="22" fillId="0" borderId="1216" xfId="2" applyNumberFormat="1" applyFont="1" applyFill="1" applyBorder="1" applyAlignment="1" applyProtection="1">
      <alignment horizontal="left" vertical="center"/>
    </xf>
    <xf numFmtId="3" fontId="22" fillId="0" borderId="1256" xfId="2" applyNumberFormat="1" applyFont="1" applyFill="1" applyBorder="1" applyAlignment="1" applyProtection="1">
      <alignment horizontal="left" vertical="center"/>
    </xf>
    <xf numFmtId="0" fontId="22" fillId="0" borderId="1253" xfId="2" applyFont="1" applyFill="1" applyBorder="1" applyAlignment="1" applyProtection="1">
      <alignment horizontal="left" vertical="center"/>
    </xf>
    <xf numFmtId="0" fontId="24" fillId="0" borderId="586" xfId="6" applyFont="1" applyFill="1" applyBorder="1" applyAlignment="1" applyProtection="1">
      <alignment horizontal="center" vertical="center" wrapText="1"/>
    </xf>
    <xf numFmtId="0" fontId="24" fillId="0" borderId="602" xfId="6" applyFont="1" applyFill="1" applyBorder="1" applyAlignment="1" applyProtection="1">
      <alignment horizontal="center" vertical="center" wrapText="1"/>
    </xf>
    <xf numFmtId="0" fontId="24" fillId="0" borderId="1219" xfId="6" applyFont="1" applyFill="1" applyBorder="1" applyAlignment="1" applyProtection="1">
      <alignment horizontal="center" vertical="center" wrapText="1"/>
    </xf>
    <xf numFmtId="0" fontId="24" fillId="0" borderId="712" xfId="6" applyFont="1" applyFill="1" applyBorder="1" applyAlignment="1" applyProtection="1">
      <alignment horizontal="center" vertical="center" wrapText="1"/>
    </xf>
    <xf numFmtId="0" fontId="24" fillId="0" borderId="919" xfId="6" applyFont="1" applyFill="1" applyBorder="1" applyAlignment="1" applyProtection="1">
      <alignment horizontal="center" vertical="center" wrapText="1"/>
    </xf>
    <xf numFmtId="0" fontId="24" fillId="0" borderId="1328" xfId="6" applyFont="1" applyFill="1" applyBorder="1" applyAlignment="1" applyProtection="1">
      <alignment horizontal="center" vertical="center" wrapText="1"/>
    </xf>
    <xf numFmtId="3" fontId="26" fillId="0" borderId="1216" xfId="6" applyNumberFormat="1" applyFont="1" applyFill="1" applyBorder="1" applyAlignment="1" applyProtection="1">
      <alignment horizontal="left" vertical="center" wrapText="1"/>
    </xf>
    <xf numFmtId="0" fontId="16" fillId="0" borderId="1217" xfId="6" applyFont="1" applyBorder="1" applyAlignment="1" applyProtection="1">
      <alignment horizontal="center" vertical="center" wrapText="1"/>
    </xf>
    <xf numFmtId="0" fontId="97" fillId="0" borderId="1218" xfId="6" applyFont="1" applyBorder="1" applyAlignment="1" applyProtection="1">
      <alignment horizontal="right" vertical="center"/>
    </xf>
    <xf numFmtId="0" fontId="25" fillId="0" borderId="1216" xfId="6" applyFont="1" applyFill="1" applyBorder="1" applyAlignment="1" applyProtection="1">
      <alignment horizontal="center" vertical="center" wrapText="1"/>
    </xf>
    <xf numFmtId="0" fontId="25" fillId="0" borderId="533" xfId="6" applyFont="1" applyFill="1" applyBorder="1" applyAlignment="1" applyProtection="1">
      <alignment horizontal="center" vertical="center" wrapText="1"/>
    </xf>
    <xf numFmtId="0" fontId="41" fillId="7" borderId="1211" xfId="6" applyFont="1" applyFill="1" applyBorder="1" applyAlignment="1" applyProtection="1">
      <alignment horizontal="center" vertical="center" wrapText="1"/>
    </xf>
    <xf numFmtId="0" fontId="41" fillId="7" borderId="1212" xfId="6" applyFont="1" applyFill="1" applyBorder="1" applyAlignment="1" applyProtection="1">
      <alignment horizontal="center" vertical="center" wrapText="1"/>
    </xf>
    <xf numFmtId="0" fontId="24" fillId="7" borderId="1212" xfId="6" applyFont="1" applyFill="1" applyBorder="1" applyAlignment="1" applyProtection="1">
      <alignment horizontal="center" vertical="center" wrapText="1"/>
    </xf>
    <xf numFmtId="0" fontId="16" fillId="7" borderId="1225" xfId="6" applyFont="1" applyFill="1" applyBorder="1" applyAlignment="1" applyProtection="1">
      <alignment horizontal="center" vertical="center" wrapText="1"/>
    </xf>
    <xf numFmtId="0" fontId="16" fillId="7" borderId="1226" xfId="6" applyFont="1" applyFill="1" applyBorder="1" applyAlignment="1" applyProtection="1">
      <alignment horizontal="center" vertical="center" wrapText="1"/>
    </xf>
    <xf numFmtId="0" fontId="67" fillId="71" borderId="560" xfId="6" applyFont="1" applyFill="1" applyBorder="1" applyAlignment="1" applyProtection="1">
      <alignment horizontal="center" vertical="center" wrapText="1"/>
    </xf>
    <xf numFmtId="0" fontId="67" fillId="71" borderId="553" xfId="6" applyFont="1" applyFill="1" applyBorder="1" applyAlignment="1" applyProtection="1">
      <alignment horizontal="center" vertical="center" wrapText="1"/>
    </xf>
    <xf numFmtId="3" fontId="69" fillId="8" borderId="339" xfId="0" applyNumberFormat="1" applyFont="1" applyFill="1" applyBorder="1" applyAlignment="1" applyProtection="1">
      <alignment horizontal="center" vertical="center" wrapText="1"/>
      <protection locked="0"/>
    </xf>
    <xf numFmtId="3" fontId="69" fillId="8" borderId="338" xfId="0" applyNumberFormat="1" applyFont="1" applyFill="1" applyBorder="1" applyAlignment="1" applyProtection="1">
      <alignment horizontal="center" vertical="center" wrapText="1"/>
      <protection locked="0"/>
    </xf>
    <xf numFmtId="3" fontId="69" fillId="8" borderId="340" xfId="0" applyNumberFormat="1" applyFont="1" applyFill="1" applyBorder="1" applyAlignment="1" applyProtection="1">
      <alignment horizontal="center" vertical="center" wrapText="1"/>
      <protection locked="0"/>
    </xf>
    <xf numFmtId="3" fontId="51" fillId="71" borderId="539" xfId="6" applyNumberFormat="1" applyFont="1" applyFill="1" applyBorder="1" applyAlignment="1" applyProtection="1">
      <alignment horizontal="center" vertical="center" wrapText="1"/>
    </xf>
    <xf numFmtId="3" fontId="11" fillId="0" borderId="532" xfId="6" applyNumberFormat="1" applyFont="1" applyFill="1" applyBorder="1" applyAlignment="1" applyProtection="1">
      <alignment horizontal="left" vertical="center"/>
    </xf>
    <xf numFmtId="3" fontId="11" fillId="0" borderId="533" xfId="6" applyNumberFormat="1" applyFont="1" applyFill="1" applyBorder="1" applyAlignment="1" applyProtection="1">
      <alignment horizontal="left" vertical="center"/>
    </xf>
    <xf numFmtId="3" fontId="51" fillId="71" borderId="533" xfId="14" applyNumberFormat="1" applyFont="1" applyFill="1" applyBorder="1" applyAlignment="1" applyProtection="1">
      <alignment horizontal="center" vertical="center" wrapText="1"/>
      <protection locked="0"/>
    </xf>
    <xf numFmtId="3" fontId="40" fillId="7" borderId="550" xfId="0" applyNumberFormat="1" applyFont="1" applyFill="1" applyBorder="1" applyAlignment="1" applyProtection="1">
      <alignment horizontal="left" vertical="center"/>
    </xf>
    <xf numFmtId="3" fontId="40" fillId="7" borderId="551" xfId="0" applyNumberFormat="1" applyFont="1" applyFill="1" applyBorder="1" applyAlignment="1" applyProtection="1">
      <alignment horizontal="left" vertical="center"/>
    </xf>
    <xf numFmtId="9" fontId="22" fillId="26" borderId="569" xfId="3" applyFont="1" applyFill="1" applyBorder="1" applyAlignment="1" applyProtection="1">
      <alignment horizontal="center" vertical="center"/>
      <protection locked="0"/>
    </xf>
    <xf numFmtId="0" fontId="16" fillId="7" borderId="1291" xfId="6" applyFont="1" applyFill="1" applyBorder="1" applyAlignment="1" applyProtection="1">
      <alignment horizontal="center" vertical="center" wrapText="1"/>
    </xf>
    <xf numFmtId="0" fontId="16" fillId="7" borderId="1292" xfId="6" applyFont="1" applyFill="1" applyBorder="1" applyAlignment="1" applyProtection="1">
      <alignment horizontal="center" vertical="center" wrapText="1"/>
    </xf>
    <xf numFmtId="0" fontId="16" fillId="7" borderId="1293" xfId="6" applyFont="1" applyFill="1" applyBorder="1" applyAlignment="1" applyProtection="1">
      <alignment horizontal="center" vertical="center" wrapText="1"/>
    </xf>
    <xf numFmtId="0" fontId="0" fillId="0" borderId="22" xfId="6" applyFont="1" applyBorder="1" applyAlignment="1">
      <alignment horizontal="center" wrapText="1"/>
    </xf>
    <xf numFmtId="0" fontId="0" fillId="0" borderId="0" xfId="6" applyFont="1" applyBorder="1" applyAlignment="1">
      <alignment horizontal="center" wrapText="1"/>
    </xf>
    <xf numFmtId="0" fontId="96" fillId="0" borderId="1222" xfId="2" applyFont="1" applyFill="1" applyBorder="1" applyAlignment="1" applyProtection="1">
      <alignment horizontal="center" vertical="center" wrapText="1"/>
    </xf>
    <xf numFmtId="0" fontId="96" fillId="0" borderId="0" xfId="2" applyFont="1" applyFill="1" applyBorder="1" applyAlignment="1" applyProtection="1">
      <alignment horizontal="center" vertical="center" wrapText="1"/>
    </xf>
    <xf numFmtId="0" fontId="96" fillId="0" borderId="77" xfId="2" applyFont="1" applyFill="1" applyBorder="1" applyAlignment="1" applyProtection="1">
      <alignment horizontal="center" vertical="center" wrapText="1"/>
    </xf>
    <xf numFmtId="0" fontId="97" fillId="0" borderId="1223" xfId="6" applyFont="1" applyBorder="1" applyAlignment="1" applyProtection="1">
      <alignment horizontal="right" vertical="center"/>
    </xf>
    <xf numFmtId="0" fontId="67" fillId="71" borderId="1212" xfId="6" applyFont="1" applyFill="1" applyBorder="1" applyAlignment="1" applyProtection="1">
      <alignment horizontal="center" vertical="center" wrapText="1"/>
    </xf>
    <xf numFmtId="0" fontId="41" fillId="0" borderId="1216" xfId="6" applyFont="1" applyFill="1" applyBorder="1" applyAlignment="1" applyProtection="1">
      <alignment horizontal="center" vertical="center" wrapText="1"/>
    </xf>
    <xf numFmtId="0" fontId="1" fillId="0" borderId="570" xfId="6" applyFont="1" applyBorder="1" applyAlignment="1" applyProtection="1">
      <alignment horizontal="center"/>
    </xf>
    <xf numFmtId="0" fontId="24" fillId="31" borderId="1035" xfId="2" applyFont="1" applyFill="1" applyBorder="1" applyAlignment="1" applyProtection="1">
      <alignment horizontal="center" vertical="center"/>
      <protection locked="0"/>
    </xf>
    <xf numFmtId="0" fontId="24" fillId="31" borderId="800" xfId="2" applyFont="1" applyFill="1" applyBorder="1" applyAlignment="1" applyProtection="1">
      <alignment horizontal="center" vertical="center"/>
      <protection locked="0"/>
    </xf>
    <xf numFmtId="0" fontId="24" fillId="31" borderId="1036" xfId="2" applyFont="1" applyFill="1" applyBorder="1" applyAlignment="1" applyProtection="1">
      <alignment horizontal="center" vertical="center"/>
      <protection locked="0"/>
    </xf>
    <xf numFmtId="3" fontId="35" fillId="0" borderId="1035" xfId="2" applyNumberFormat="1" applyFont="1" applyFill="1" applyBorder="1" applyAlignment="1" applyProtection="1">
      <alignment horizontal="center" vertical="center"/>
      <protection locked="0"/>
    </xf>
    <xf numFmtId="0" fontId="35" fillId="0" borderId="800" xfId="2" applyFont="1" applyFill="1" applyBorder="1" applyAlignment="1" applyProtection="1">
      <alignment horizontal="center" vertical="center"/>
      <protection locked="0"/>
    </xf>
    <xf numFmtId="0" fontId="35" fillId="0" borderId="1035" xfId="2" applyFont="1" applyFill="1" applyBorder="1" applyAlignment="1" applyProtection="1">
      <alignment horizontal="center" vertical="center"/>
      <protection locked="0"/>
    </xf>
    <xf numFmtId="0" fontId="24" fillId="0" borderId="800" xfId="2" applyFont="1" applyFill="1" applyBorder="1" applyAlignment="1" applyProtection="1">
      <alignment horizontal="center" vertical="center"/>
    </xf>
    <xf numFmtId="0" fontId="24" fillId="0" borderId="1036" xfId="2" applyFont="1" applyFill="1" applyBorder="1" applyAlignment="1" applyProtection="1">
      <alignment horizontal="center" vertical="center"/>
    </xf>
    <xf numFmtId="3" fontId="35" fillId="0" borderId="800" xfId="2" applyNumberFormat="1" applyFont="1" applyFill="1" applyBorder="1" applyAlignment="1" applyProtection="1">
      <alignment horizontal="center" vertical="center"/>
      <protection locked="0"/>
    </xf>
    <xf numFmtId="3" fontId="24" fillId="0" borderId="800" xfId="2" applyNumberFormat="1" applyFont="1" applyFill="1" applyBorder="1" applyAlignment="1" applyProtection="1">
      <alignment horizontal="center" vertical="center"/>
    </xf>
    <xf numFmtId="1" fontId="24" fillId="0" borderId="803" xfId="2" applyNumberFormat="1" applyFont="1" applyFill="1" applyBorder="1" applyAlignment="1" applyProtection="1">
      <alignment horizontal="center" vertical="center"/>
    </xf>
    <xf numFmtId="1" fontId="24" fillId="0" borderId="1037" xfId="2" applyNumberFormat="1" applyFont="1" applyFill="1" applyBorder="1" applyAlignment="1" applyProtection="1">
      <alignment horizontal="center" vertical="center"/>
    </xf>
    <xf numFmtId="1" fontId="24" fillId="0" borderId="1039" xfId="2" applyNumberFormat="1" applyFont="1" applyFill="1" applyBorder="1" applyAlignment="1" applyProtection="1">
      <alignment horizontal="center" vertical="center"/>
    </xf>
    <xf numFmtId="1" fontId="24" fillId="0" borderId="1040" xfId="2" applyNumberFormat="1" applyFont="1" applyFill="1" applyBorder="1" applyAlignment="1" applyProtection="1">
      <alignment horizontal="center" vertical="center"/>
    </xf>
    <xf numFmtId="0" fontId="67" fillId="40" borderId="793" xfId="2" applyFont="1" applyFill="1" applyBorder="1" applyAlignment="1" applyProtection="1">
      <alignment horizontal="center" vertical="center" wrapText="1"/>
    </xf>
    <xf numFmtId="0" fontId="67" fillId="40" borderId="794" xfId="2" applyFont="1" applyFill="1" applyBorder="1" applyAlignment="1" applyProtection="1">
      <alignment horizontal="center" vertical="center" wrapText="1"/>
    </xf>
    <xf numFmtId="0" fontId="157" fillId="40" borderId="794" xfId="2" applyFont="1" applyFill="1" applyBorder="1" applyAlignment="1" applyProtection="1">
      <alignment horizontal="center" vertical="center" wrapText="1"/>
    </xf>
    <xf numFmtId="0" fontId="157" fillId="40" borderId="1030" xfId="2" applyFont="1" applyFill="1" applyBorder="1" applyAlignment="1" applyProtection="1">
      <alignment horizontal="center" vertical="center" wrapText="1"/>
    </xf>
    <xf numFmtId="0" fontId="41" fillId="29" borderId="1027" xfId="2" applyFont="1" applyFill="1" applyBorder="1" applyAlignment="1" applyProtection="1">
      <alignment horizontal="center" vertical="center" wrapText="1"/>
    </xf>
    <xf numFmtId="0" fontId="52" fillId="71" borderId="1041" xfId="2" applyFont="1" applyFill="1" applyBorder="1" applyAlignment="1" applyProtection="1">
      <alignment horizontal="center" vertical="center" wrapText="1"/>
      <protection locked="0"/>
    </xf>
    <xf numFmtId="0" fontId="52" fillId="71" borderId="927" xfId="2" applyFont="1" applyFill="1" applyBorder="1" applyAlignment="1" applyProtection="1">
      <alignment horizontal="center" vertical="center" wrapText="1"/>
      <protection locked="0"/>
    </xf>
    <xf numFmtId="0" fontId="52" fillId="71" borderId="1042" xfId="2" applyFont="1" applyFill="1" applyBorder="1" applyAlignment="1" applyProtection="1">
      <alignment horizontal="center" vertical="center" wrapText="1"/>
      <protection locked="0"/>
    </xf>
    <xf numFmtId="0" fontId="51" fillId="0" borderId="1041" xfId="2" applyFont="1" applyFill="1" applyBorder="1" applyAlignment="1" applyProtection="1">
      <alignment horizontal="center" vertical="center" wrapText="1"/>
      <protection locked="0"/>
    </xf>
    <xf numFmtId="0" fontId="51" fillId="0" borderId="927" xfId="2" applyFont="1" applyFill="1" applyBorder="1" applyAlignment="1" applyProtection="1">
      <alignment horizontal="center" vertical="center" wrapText="1"/>
      <protection locked="0"/>
    </xf>
    <xf numFmtId="0" fontId="51" fillId="0" borderId="1042" xfId="2" applyFont="1" applyFill="1" applyBorder="1" applyAlignment="1" applyProtection="1">
      <alignment horizontal="center" vertical="center" wrapText="1"/>
      <protection locked="0"/>
    </xf>
    <xf numFmtId="0" fontId="178" fillId="0" borderId="1041" xfId="2" applyFont="1" applyFill="1" applyBorder="1" applyAlignment="1" applyProtection="1">
      <alignment horizontal="center" vertical="center"/>
      <protection locked="0"/>
    </xf>
    <xf numFmtId="0" fontId="178" fillId="0" borderId="927" xfId="2" applyFont="1" applyFill="1" applyBorder="1" applyAlignment="1" applyProtection="1">
      <alignment horizontal="center" vertical="center"/>
      <protection locked="0"/>
    </xf>
    <xf numFmtId="0" fontId="178" fillId="0" borderId="1373" xfId="2" applyFont="1" applyFill="1" applyBorder="1" applyAlignment="1" applyProtection="1">
      <alignment horizontal="center" vertical="center"/>
      <protection locked="0"/>
    </xf>
    <xf numFmtId="0" fontId="1" fillId="3" borderId="332" xfId="0" applyFont="1" applyFill="1" applyBorder="1" applyAlignment="1">
      <alignment horizontal="center" vertical="center"/>
    </xf>
    <xf numFmtId="0" fontId="1" fillId="3" borderId="693" xfId="0" applyFont="1" applyFill="1" applyBorder="1" applyAlignment="1">
      <alignment horizontal="center" vertical="center"/>
    </xf>
    <xf numFmtId="0" fontId="41" fillId="29" borderId="1031" xfId="2" applyFont="1" applyFill="1" applyBorder="1" applyAlignment="1" applyProtection="1">
      <alignment horizontal="center" vertical="center" wrapText="1"/>
    </xf>
    <xf numFmtId="0" fontId="41" fillId="29" borderId="1028" xfId="2" applyFont="1" applyFill="1" applyBorder="1" applyAlignment="1" applyProtection="1">
      <alignment horizontal="center" vertical="center" wrapText="1"/>
    </xf>
    <xf numFmtId="0" fontId="41" fillId="29" borderId="1033" xfId="2" applyFont="1" applyFill="1" applyBorder="1" applyAlignment="1" applyProtection="1">
      <alignment horizontal="center" vertical="center" wrapText="1"/>
    </xf>
    <xf numFmtId="0" fontId="41" fillId="29" borderId="1031" xfId="2" applyFont="1" applyFill="1" applyBorder="1" applyAlignment="1" applyProtection="1">
      <alignment horizontal="center" vertical="center"/>
    </xf>
    <xf numFmtId="0" fontId="41" fillId="29" borderId="1028" xfId="2" applyFont="1" applyFill="1" applyBorder="1" applyAlignment="1" applyProtection="1">
      <alignment horizontal="center" vertical="center"/>
    </xf>
    <xf numFmtId="0" fontId="41" fillId="29" borderId="1029" xfId="2" applyFont="1" applyFill="1" applyBorder="1" applyAlignment="1" applyProtection="1">
      <alignment horizontal="center" vertical="center"/>
    </xf>
    <xf numFmtId="0" fontId="157" fillId="40" borderId="1034" xfId="2" applyFont="1" applyFill="1" applyBorder="1" applyAlignment="1" applyProtection="1">
      <alignment horizontal="center" vertical="center" wrapText="1"/>
    </xf>
    <xf numFmtId="0" fontId="157" fillId="40" borderId="1032" xfId="2" applyFont="1" applyFill="1" applyBorder="1" applyAlignment="1" applyProtection="1">
      <alignment horizontal="center" vertical="center" wrapText="1"/>
    </xf>
    <xf numFmtId="0" fontId="35" fillId="31" borderId="1035" xfId="2" applyFont="1" applyFill="1" applyBorder="1" applyAlignment="1" applyProtection="1">
      <alignment horizontal="center" vertical="center" wrapText="1"/>
      <protection locked="0"/>
    </xf>
    <xf numFmtId="0" fontId="35" fillId="31" borderId="800" xfId="2" applyFont="1" applyFill="1" applyBorder="1" applyAlignment="1" applyProtection="1">
      <alignment horizontal="center" vertical="center" wrapText="1"/>
      <protection locked="0"/>
    </xf>
    <xf numFmtId="0" fontId="35" fillId="31" borderId="1036" xfId="2" applyFont="1" applyFill="1" applyBorder="1" applyAlignment="1" applyProtection="1">
      <alignment horizontal="center" vertical="center" wrapText="1"/>
      <protection locked="0"/>
    </xf>
    <xf numFmtId="0" fontId="24" fillId="31" borderId="800" xfId="2" applyFont="1" applyFill="1" applyBorder="1" applyAlignment="1" applyProtection="1">
      <alignment horizontal="center" vertical="center" wrapText="1"/>
      <protection locked="0"/>
    </xf>
    <xf numFmtId="0" fontId="24" fillId="31" borderId="1036" xfId="2" applyFont="1" applyFill="1" applyBorder="1" applyAlignment="1" applyProtection="1">
      <alignment horizontal="center" vertical="center" wrapText="1"/>
      <protection locked="0"/>
    </xf>
    <xf numFmtId="0" fontId="35" fillId="31" borderId="1041" xfId="2" applyFont="1" applyFill="1" applyBorder="1" applyAlignment="1" applyProtection="1">
      <alignment horizontal="center" vertical="center" wrapText="1"/>
      <protection locked="0"/>
    </xf>
    <xf numFmtId="0" fontId="35" fillId="31" borderId="927" xfId="2" applyFont="1" applyFill="1" applyBorder="1" applyAlignment="1" applyProtection="1">
      <alignment horizontal="center" vertical="center" wrapText="1"/>
      <protection locked="0"/>
    </xf>
    <xf numFmtId="0" fontId="35" fillId="31" borderId="1042" xfId="2" applyFont="1" applyFill="1" applyBorder="1" applyAlignment="1" applyProtection="1">
      <alignment horizontal="center" vertical="center" wrapText="1"/>
      <protection locked="0"/>
    </xf>
    <xf numFmtId="16" fontId="52" fillId="26" borderId="139" xfId="10" applyNumberFormat="1" applyFont="1" applyFill="1" applyBorder="1" applyAlignment="1" applyProtection="1">
      <alignment horizontal="center" vertical="center"/>
      <protection locked="0"/>
    </xf>
    <xf numFmtId="9" fontId="52" fillId="26" borderId="139" xfId="10" applyNumberFormat="1" applyFont="1" applyFill="1" applyBorder="1" applyAlignment="1" applyProtection="1">
      <alignment horizontal="center" vertical="center"/>
      <protection locked="0"/>
    </xf>
    <xf numFmtId="0" fontId="52" fillId="26" borderId="139" xfId="10" applyFont="1" applyFill="1" applyBorder="1" applyAlignment="1" applyProtection="1">
      <alignment horizontal="center" vertical="center"/>
      <protection locked="0"/>
    </xf>
    <xf numFmtId="175" fontId="0" fillId="26" borderId="627" xfId="12" applyNumberFormat="1" applyFont="1" applyFill="1" applyBorder="1" applyAlignment="1" applyProtection="1">
      <alignment horizontal="center" vertical="center"/>
      <protection locked="0"/>
    </xf>
    <xf numFmtId="175" fontId="0" fillId="26" borderId="1344" xfId="12" applyNumberFormat="1" applyFont="1" applyFill="1" applyBorder="1" applyAlignment="1" applyProtection="1">
      <alignment horizontal="center" vertical="center"/>
      <protection locked="0"/>
    </xf>
    <xf numFmtId="3" fontId="24" fillId="40" borderId="1345" xfId="10" applyNumberFormat="1" applyFont="1" applyFill="1" applyBorder="1" applyAlignment="1" applyProtection="1">
      <alignment horizontal="left" vertical="center" wrapText="1"/>
      <protection locked="0"/>
    </xf>
    <xf numFmtId="0" fontId="24" fillId="40" borderId="1346" xfId="10" applyFont="1" applyFill="1" applyBorder="1" applyAlignment="1" applyProtection="1">
      <alignment horizontal="left" vertical="center" wrapText="1"/>
      <protection locked="0"/>
    </xf>
    <xf numFmtId="0" fontId="52" fillId="26" borderId="1347" xfId="10" applyFont="1" applyFill="1" applyBorder="1" applyAlignment="1" applyProtection="1">
      <alignment horizontal="center" vertical="center"/>
      <protection locked="0"/>
    </xf>
    <xf numFmtId="0" fontId="52" fillId="26" borderId="1348" xfId="10" applyFont="1" applyFill="1" applyBorder="1" applyAlignment="1" applyProtection="1">
      <alignment horizontal="center" vertical="center"/>
      <protection locked="0"/>
    </xf>
    <xf numFmtId="175" fontId="0" fillId="26" borderId="1347" xfId="12" applyNumberFormat="1" applyFont="1" applyFill="1" applyBorder="1" applyAlignment="1" applyProtection="1">
      <alignment horizontal="center" vertical="center"/>
      <protection locked="0"/>
    </xf>
    <xf numFmtId="175" fontId="0" fillId="26" borderId="1349" xfId="12" applyNumberFormat="1" applyFont="1" applyFill="1" applyBorder="1" applyAlignment="1" applyProtection="1">
      <alignment horizontal="center" vertical="center"/>
      <protection locked="0"/>
    </xf>
    <xf numFmtId="0" fontId="24" fillId="40" borderId="0" xfId="10" applyFont="1" applyFill="1" applyBorder="1" applyAlignment="1" applyProtection="1">
      <alignment horizontal="center" vertical="center" wrapText="1"/>
      <protection locked="0"/>
    </xf>
    <xf numFmtId="0" fontId="52" fillId="26" borderId="1339" xfId="10" applyFont="1" applyFill="1" applyBorder="1" applyAlignment="1" applyProtection="1">
      <alignment horizontal="left" vertical="center"/>
      <protection locked="0"/>
    </xf>
    <xf numFmtId="0" fontId="52" fillId="26" borderId="1340" xfId="10" applyFont="1" applyFill="1" applyBorder="1" applyAlignment="1" applyProtection="1">
      <alignment horizontal="left" vertical="center"/>
      <protection locked="0"/>
    </xf>
    <xf numFmtId="0" fontId="24" fillId="40" borderId="1337" xfId="10" applyFont="1" applyFill="1" applyBorder="1" applyAlignment="1" applyProtection="1">
      <alignment horizontal="left" vertical="center" wrapText="1"/>
      <protection locked="0"/>
    </xf>
    <xf numFmtId="0" fontId="24" fillId="40" borderId="1338" xfId="10" applyFont="1" applyFill="1" applyBorder="1" applyAlignment="1" applyProtection="1">
      <alignment horizontal="left" vertical="center" wrapText="1"/>
      <protection locked="0"/>
    </xf>
    <xf numFmtId="0" fontId="24" fillId="27" borderId="622" xfId="10" applyFont="1" applyFill="1" applyBorder="1" applyAlignment="1" applyProtection="1">
      <alignment horizontal="center" vertical="center" wrapText="1"/>
    </xf>
    <xf numFmtId="175" fontId="0" fillId="26" borderId="139" xfId="12" applyNumberFormat="1" applyFont="1" applyFill="1" applyBorder="1" applyAlignment="1" applyProtection="1">
      <alignment horizontal="center" vertical="center"/>
      <protection locked="0"/>
    </xf>
    <xf numFmtId="175" fontId="0" fillId="26" borderId="140" xfId="12" applyNumberFormat="1" applyFont="1" applyFill="1" applyBorder="1" applyAlignment="1" applyProtection="1">
      <alignment horizontal="center" vertical="center"/>
      <protection locked="0"/>
    </xf>
    <xf numFmtId="0" fontId="52" fillId="26" borderId="1339" xfId="10" applyFont="1" applyFill="1" applyBorder="1" applyAlignment="1" applyProtection="1">
      <alignment horizontal="center" vertical="center"/>
      <protection locked="0"/>
    </xf>
    <xf numFmtId="0" fontId="52" fillId="26" borderId="1340" xfId="10" applyFont="1" applyFill="1" applyBorder="1" applyAlignment="1" applyProtection="1">
      <alignment horizontal="center" vertical="center"/>
      <protection locked="0"/>
    </xf>
    <xf numFmtId="0" fontId="52" fillId="26" borderId="1341" xfId="10" applyFont="1" applyFill="1" applyBorder="1" applyAlignment="1" applyProtection="1">
      <alignment horizontal="center" vertical="center"/>
      <protection locked="0"/>
    </xf>
    <xf numFmtId="175" fontId="0" fillId="26" borderId="1338" xfId="12" applyNumberFormat="1" applyFont="1" applyFill="1" applyBorder="1" applyAlignment="1" applyProtection="1">
      <alignment horizontal="center" vertical="center"/>
      <protection locked="0"/>
    </xf>
    <xf numFmtId="175" fontId="0" fillId="26" borderId="628" xfId="12" applyNumberFormat="1" applyFont="1" applyFill="1" applyBorder="1" applyAlignment="1" applyProtection="1">
      <alignment horizontal="center" vertical="center"/>
      <protection locked="0"/>
    </xf>
    <xf numFmtId="175" fontId="0" fillId="26" borderId="1342" xfId="12" applyNumberFormat="1" applyFont="1" applyFill="1" applyBorder="1" applyAlignment="1" applyProtection="1">
      <alignment horizontal="center" vertical="center"/>
      <protection locked="0"/>
    </xf>
    <xf numFmtId="0" fontId="24" fillId="40" borderId="619" xfId="10" applyFont="1" applyFill="1" applyBorder="1" applyAlignment="1" applyProtection="1">
      <alignment horizontal="left" vertical="center" wrapText="1"/>
      <protection locked="0"/>
    </xf>
    <xf numFmtId="0" fontId="24" fillId="40" borderId="620" xfId="10" applyFont="1" applyFill="1" applyBorder="1" applyAlignment="1" applyProtection="1">
      <alignment horizontal="left" vertical="center" wrapText="1"/>
      <protection locked="0"/>
    </xf>
    <xf numFmtId="0" fontId="52" fillId="26" borderId="407" xfId="10" applyFont="1" applyFill="1" applyBorder="1" applyAlignment="1" applyProtection="1">
      <alignment horizontal="center" vertical="center"/>
      <protection locked="0"/>
    </xf>
    <xf numFmtId="0" fontId="52" fillId="26" borderId="408" xfId="10" applyFont="1" applyFill="1" applyBorder="1" applyAlignment="1" applyProtection="1">
      <alignment horizontal="center" vertical="center"/>
      <protection locked="0"/>
    </xf>
    <xf numFmtId="0" fontId="52" fillId="26" borderId="409" xfId="10" applyFont="1" applyFill="1" applyBorder="1" applyAlignment="1" applyProtection="1">
      <alignment horizontal="center" vertical="center"/>
      <protection locked="0"/>
    </xf>
    <xf numFmtId="0" fontId="52" fillId="26" borderId="407" xfId="10" applyFont="1" applyFill="1" applyBorder="1" applyAlignment="1" applyProtection="1">
      <alignment horizontal="left" vertical="center"/>
      <protection locked="0"/>
    </xf>
    <xf numFmtId="0" fontId="52" fillId="26" borderId="409" xfId="10" applyFont="1" applyFill="1" applyBorder="1" applyAlignment="1" applyProtection="1">
      <alignment horizontal="left" vertical="center"/>
      <protection locked="0"/>
    </xf>
    <xf numFmtId="0" fontId="24" fillId="27" borderId="621" xfId="10" applyFont="1" applyFill="1" applyBorder="1" applyAlignment="1" applyProtection="1">
      <alignment horizontal="center" vertical="center" wrapText="1"/>
    </xf>
    <xf numFmtId="0" fontId="157" fillId="75" borderId="624" xfId="10" applyFont="1" applyFill="1" applyBorder="1" applyAlignment="1" applyProtection="1">
      <alignment horizontal="center" vertical="center" wrapText="1"/>
    </xf>
    <xf numFmtId="0" fontId="157" fillId="75" borderId="625" xfId="10" applyFont="1" applyFill="1" applyBorder="1" applyAlignment="1" applyProtection="1">
      <alignment horizontal="center" vertical="center" wrapText="1"/>
    </xf>
    <xf numFmtId="175" fontId="0" fillId="26" borderId="704" xfId="12" applyNumberFormat="1" applyFont="1" applyFill="1" applyBorder="1" applyAlignment="1" applyProtection="1">
      <alignment horizontal="center" vertical="center" wrapText="1"/>
      <protection locked="0"/>
    </xf>
    <xf numFmtId="175" fontId="0" fillId="26" borderId="705" xfId="12" applyNumberFormat="1" applyFont="1" applyFill="1" applyBorder="1" applyAlignment="1" applyProtection="1">
      <alignment horizontal="center" vertical="center" wrapText="1"/>
      <protection locked="0"/>
    </xf>
    <xf numFmtId="0" fontId="24" fillId="27" borderId="623" xfId="10" applyFont="1" applyFill="1" applyBorder="1" applyAlignment="1" applyProtection="1">
      <alignment horizontal="center" vertical="center" wrapText="1"/>
    </xf>
    <xf numFmtId="175" fontId="1" fillId="27" borderId="1354" xfId="12" applyNumberFormat="1" applyFont="1" applyFill="1" applyBorder="1" applyAlignment="1" applyProtection="1">
      <alignment horizontal="center" vertical="center" wrapText="1"/>
      <protection locked="0"/>
    </xf>
    <xf numFmtId="0" fontId="60" fillId="27" borderId="1354" xfId="10" applyFont="1" applyFill="1" applyBorder="1" applyAlignment="1" applyProtection="1">
      <alignment horizontal="center" vertical="center" wrapText="1"/>
      <protection locked="0"/>
    </xf>
    <xf numFmtId="0" fontId="24" fillId="27" borderId="1353" xfId="10" applyFont="1" applyFill="1" applyBorder="1" applyAlignment="1" applyProtection="1">
      <alignment horizontal="center" vertical="center" wrapText="1"/>
    </xf>
    <xf numFmtId="0" fontId="24" fillId="27" borderId="1354" xfId="10" applyFont="1" applyFill="1" applyBorder="1" applyAlignment="1" applyProtection="1">
      <alignment horizontal="center" vertical="center" wrapText="1"/>
    </xf>
    <xf numFmtId="3" fontId="24" fillId="40" borderId="1343" xfId="10" applyNumberFormat="1" applyFont="1" applyFill="1" applyBorder="1" applyAlignment="1" applyProtection="1">
      <alignment horizontal="left" vertical="center" wrapText="1"/>
      <protection locked="0"/>
    </xf>
    <xf numFmtId="16" fontId="52" fillId="26" borderId="620" xfId="10" applyNumberFormat="1" applyFont="1" applyFill="1" applyBorder="1" applyAlignment="1" applyProtection="1">
      <alignment horizontal="center" vertical="center"/>
      <protection locked="0"/>
    </xf>
    <xf numFmtId="9" fontId="52" fillId="26" borderId="620" xfId="10" applyNumberFormat="1" applyFont="1" applyFill="1" applyBorder="1" applyAlignment="1" applyProtection="1">
      <alignment horizontal="center" vertical="center"/>
      <protection locked="0"/>
    </xf>
    <xf numFmtId="0" fontId="52" fillId="26" borderId="620" xfId="10" applyFont="1" applyFill="1" applyBorder="1" applyAlignment="1" applyProtection="1">
      <alignment horizontal="center" vertical="center"/>
      <protection locked="0"/>
    </xf>
    <xf numFmtId="175" fontId="0" fillId="26" borderId="620" xfId="12" applyNumberFormat="1" applyFont="1" applyFill="1" applyBorder="1" applyAlignment="1" applyProtection="1">
      <alignment horizontal="center" vertical="center"/>
      <protection locked="0"/>
    </xf>
    <xf numFmtId="175" fontId="0" fillId="26" borderId="1355" xfId="12" applyNumberFormat="1" applyFont="1" applyFill="1" applyBorder="1" applyAlignment="1" applyProtection="1">
      <alignment horizontal="center" vertical="center"/>
      <protection locked="0"/>
    </xf>
    <xf numFmtId="0" fontId="1" fillId="39" borderId="1350" xfId="0" applyFont="1" applyFill="1" applyBorder="1" applyAlignment="1" applyProtection="1">
      <alignment horizontal="left" vertical="top" wrapText="1"/>
      <protection locked="0"/>
    </xf>
    <xf numFmtId="0" fontId="1" fillId="39" borderId="1351" xfId="0" applyFont="1" applyFill="1" applyBorder="1" applyAlignment="1" applyProtection="1">
      <alignment horizontal="left" vertical="top" wrapText="1"/>
      <protection locked="0"/>
    </xf>
    <xf numFmtId="0" fontId="1" fillId="39" borderId="1352" xfId="0" applyFont="1" applyFill="1" applyBorder="1" applyAlignment="1" applyProtection="1">
      <alignment horizontal="left" vertical="top" wrapText="1"/>
      <protection locked="0"/>
    </xf>
    <xf numFmtId="174" fontId="22" fillId="0" borderId="407" xfId="10" applyNumberFormat="1" applyFont="1" applyFill="1" applyBorder="1" applyAlignment="1" applyProtection="1">
      <alignment horizontal="center" vertical="center"/>
    </xf>
    <xf numFmtId="174" fontId="11" fillId="26" borderId="634" xfId="12" applyNumberFormat="1" applyFont="1" applyFill="1" applyBorder="1" applyAlignment="1" applyProtection="1">
      <alignment horizontal="center" vertical="center"/>
    </xf>
    <xf numFmtId="174" fontId="11" fillId="26" borderId="632" xfId="12" applyNumberFormat="1" applyFont="1" applyFill="1" applyBorder="1" applyAlignment="1" applyProtection="1">
      <alignment horizontal="center" vertical="center"/>
    </xf>
    <xf numFmtId="1" fontId="22" fillId="0" borderId="407" xfId="10" applyNumberFormat="1" applyFont="1" applyFill="1" applyBorder="1" applyAlignment="1" applyProtection="1">
      <alignment horizontal="center" vertical="center"/>
      <protection locked="0"/>
    </xf>
    <xf numFmtId="0" fontId="67" fillId="75" borderId="624" xfId="10" applyFont="1" applyFill="1" applyBorder="1" applyAlignment="1" applyProtection="1">
      <alignment horizontal="center" vertical="center" wrapText="1"/>
    </xf>
    <xf numFmtId="0" fontId="67" fillId="75" borderId="625" xfId="10" applyFont="1" applyFill="1" applyBorder="1" applyAlignment="1" applyProtection="1">
      <alignment horizontal="center" vertical="center" wrapText="1"/>
    </xf>
    <xf numFmtId="0" fontId="35" fillId="0" borderId="1084" xfId="0" applyFont="1" applyFill="1" applyBorder="1" applyAlignment="1" applyProtection="1">
      <alignment horizontal="center" vertical="center" wrapText="1"/>
    </xf>
    <xf numFmtId="0" fontId="35" fillId="0" borderId="1085" xfId="0" applyFont="1" applyFill="1" applyBorder="1" applyAlignment="1" applyProtection="1">
      <alignment horizontal="center" vertical="center" wrapText="1"/>
    </xf>
    <xf numFmtId="2" fontId="151" fillId="0" borderId="1086" xfId="0" applyNumberFormat="1" applyFont="1" applyFill="1" applyBorder="1" applyAlignment="1" applyProtection="1">
      <alignment horizontal="center" vertical="center" wrapText="1"/>
    </xf>
    <xf numFmtId="2" fontId="151" fillId="0" borderId="1087" xfId="0" applyNumberFormat="1" applyFont="1" applyFill="1" applyBorder="1" applyAlignment="1" applyProtection="1">
      <alignment horizontal="center" vertical="center" wrapText="1"/>
    </xf>
    <xf numFmtId="2" fontId="150" fillId="8" borderId="265" xfId="0" applyNumberFormat="1" applyFont="1" applyFill="1" applyBorder="1" applyAlignment="1" applyProtection="1">
      <alignment horizontal="center" vertical="center" wrapText="1"/>
    </xf>
    <xf numFmtId="2" fontId="150" fillId="8" borderId="280" xfId="0" applyNumberFormat="1" applyFont="1" applyFill="1" applyBorder="1" applyAlignment="1" applyProtection="1">
      <alignment horizontal="center" vertical="center" wrapText="1"/>
    </xf>
    <xf numFmtId="0" fontId="148" fillId="8" borderId="265" xfId="0" applyFont="1" applyFill="1" applyBorder="1" applyAlignment="1" applyProtection="1">
      <alignment horizontal="right"/>
    </xf>
    <xf numFmtId="0" fontId="35" fillId="40" borderId="360" xfId="0" applyFont="1" applyFill="1" applyBorder="1" applyAlignment="1" applyProtection="1">
      <alignment horizontal="left" vertical="top" wrapText="1"/>
      <protection locked="0"/>
    </xf>
    <xf numFmtId="0" fontId="35" fillId="40" borderId="265" xfId="0" applyFont="1" applyFill="1" applyBorder="1" applyAlignment="1" applyProtection="1">
      <alignment horizontal="left" vertical="top" wrapText="1"/>
      <protection locked="0"/>
    </xf>
    <xf numFmtId="0" fontId="35" fillId="40" borderId="266" xfId="0" applyFont="1" applyFill="1" applyBorder="1" applyAlignment="1" applyProtection="1">
      <alignment horizontal="left" vertical="top" wrapText="1"/>
      <protection locked="0"/>
    </xf>
    <xf numFmtId="3" fontId="52" fillId="40" borderId="360" xfId="2" applyNumberFormat="1" applyFont="1" applyFill="1" applyBorder="1" applyAlignment="1" applyProtection="1">
      <alignment horizontal="left" vertical="center"/>
      <protection locked="0"/>
    </xf>
    <xf numFmtId="3" fontId="52" fillId="40" borderId="265" xfId="2" applyNumberFormat="1" applyFont="1" applyFill="1" applyBorder="1" applyAlignment="1" applyProtection="1">
      <alignment horizontal="left" vertical="center"/>
      <protection locked="0"/>
    </xf>
    <xf numFmtId="3" fontId="52" fillId="40" borderId="266" xfId="2" applyNumberFormat="1" applyFont="1" applyFill="1" applyBorder="1" applyAlignment="1" applyProtection="1">
      <alignment horizontal="left" vertical="center"/>
      <protection locked="0"/>
    </xf>
    <xf numFmtId="164" fontId="67" fillId="0" borderId="360" xfId="2" applyNumberFormat="1" applyFont="1" applyFill="1" applyBorder="1" applyAlignment="1" applyProtection="1">
      <alignment horizontal="center" vertical="center"/>
    </xf>
    <xf numFmtId="173" fontId="52" fillId="0" borderId="274" xfId="14" applyNumberFormat="1" applyFont="1" applyFill="1" applyBorder="1" applyAlignment="1" applyProtection="1">
      <alignment horizontal="center" vertical="center"/>
      <protection locked="0"/>
    </xf>
    <xf numFmtId="171" fontId="161" fillId="0" borderId="274" xfId="2" applyNumberFormat="1" applyFont="1" applyFill="1" applyBorder="1" applyAlignment="1" applyProtection="1">
      <alignment horizontal="center" vertical="center"/>
    </xf>
    <xf numFmtId="0" fontId="0" fillId="40" borderId="658" xfId="15" applyFont="1" applyFill="1" applyBorder="1" applyAlignment="1" applyProtection="1">
      <alignment horizontal="left" vertical="center"/>
      <protection locked="0"/>
    </xf>
    <xf numFmtId="0" fontId="11" fillId="40" borderId="650" xfId="15" applyFill="1" applyBorder="1" applyAlignment="1" applyProtection="1">
      <alignment horizontal="left" vertical="center"/>
      <protection locked="0"/>
    </xf>
    <xf numFmtId="0" fontId="0" fillId="40" borderId="660" xfId="15" applyFont="1" applyFill="1" applyBorder="1" applyAlignment="1" applyProtection="1">
      <alignment horizontal="left" vertical="center" wrapText="1"/>
      <protection locked="0"/>
    </xf>
    <xf numFmtId="0" fontId="11" fillId="40" borderId="661" xfId="15" applyFont="1" applyFill="1" applyBorder="1" applyAlignment="1" applyProtection="1">
      <alignment horizontal="left" vertical="center" wrapText="1"/>
      <protection locked="0"/>
    </xf>
    <xf numFmtId="0" fontId="11" fillId="40" borderId="670" xfId="15" applyFont="1" applyFill="1" applyBorder="1" applyAlignment="1" applyProtection="1">
      <alignment horizontal="left" vertical="center" wrapText="1"/>
      <protection locked="0"/>
    </xf>
    <xf numFmtId="0" fontId="11" fillId="40" borderId="661" xfId="15" applyFill="1" applyBorder="1" applyAlignment="1" applyProtection="1">
      <alignment horizontal="left" vertical="center"/>
      <protection locked="0"/>
    </xf>
    <xf numFmtId="0" fontId="11" fillId="40" borderId="670" xfId="15" applyFill="1" applyBorder="1" applyAlignment="1" applyProtection="1">
      <alignment horizontal="left" vertical="center"/>
      <protection locked="0"/>
    </xf>
    <xf numFmtId="0" fontId="57" fillId="20" borderId="0" xfId="0" applyFont="1" applyFill="1" applyAlignment="1" applyProtection="1">
      <alignment horizontal="center" vertical="center"/>
    </xf>
    <xf numFmtId="9" fontId="22" fillId="26" borderId="274" xfId="3" applyFont="1" applyFill="1" applyBorder="1" applyAlignment="1" applyProtection="1">
      <alignment horizontal="center" vertical="center" wrapText="1"/>
      <protection locked="0"/>
    </xf>
    <xf numFmtId="9" fontId="22" fillId="5" borderId="274" xfId="0" applyNumberFormat="1" applyFont="1" applyFill="1" applyBorder="1" applyAlignment="1" applyProtection="1">
      <alignment horizontal="left" vertical="top" wrapText="1"/>
      <protection locked="0"/>
    </xf>
    <xf numFmtId="0" fontId="108" fillId="20" borderId="365" xfId="0" applyFont="1" applyFill="1" applyBorder="1" applyAlignment="1" applyProtection="1">
      <alignment horizontal="center" vertical="center" wrapText="1"/>
    </xf>
    <xf numFmtId="0" fontId="108" fillId="20" borderId="366" xfId="0" applyFont="1" applyFill="1" applyBorder="1" applyAlignment="1" applyProtection="1">
      <alignment horizontal="center" vertical="center" wrapText="1"/>
    </xf>
    <xf numFmtId="0" fontId="56" fillId="20" borderId="335" xfId="0" applyFont="1" applyFill="1" applyBorder="1" applyAlignment="1" applyProtection="1">
      <alignment horizontal="right" vertical="center"/>
    </xf>
    <xf numFmtId="9" fontId="22" fillId="26" borderId="274" xfId="3" quotePrefix="1" applyFont="1" applyFill="1" applyBorder="1" applyAlignment="1" applyProtection="1">
      <alignment horizontal="center" vertical="center" wrapText="1"/>
      <protection locked="0"/>
    </xf>
    <xf numFmtId="0" fontId="22" fillId="40" borderId="139" xfId="2" applyFont="1" applyFill="1" applyBorder="1" applyAlignment="1" applyProtection="1">
      <alignment horizontal="center" vertical="center"/>
      <protection locked="0"/>
    </xf>
    <xf numFmtId="0" fontId="22" fillId="0" borderId="139" xfId="10" applyFont="1" applyFill="1" applyBorder="1" applyAlignment="1" applyProtection="1">
      <alignment horizontal="left" vertical="center" wrapText="1"/>
      <protection locked="0"/>
    </xf>
    <xf numFmtId="0" fontId="22" fillId="0" borderId="407" xfId="10" applyFont="1" applyFill="1" applyBorder="1" applyAlignment="1" applyProtection="1">
      <alignment horizontal="left" vertical="center" wrapText="1"/>
      <protection locked="0"/>
    </xf>
    <xf numFmtId="0" fontId="22" fillId="0" borderId="408" xfId="10" applyFont="1" applyFill="1" applyBorder="1" applyAlignment="1" applyProtection="1">
      <alignment horizontal="left" vertical="center" wrapText="1"/>
      <protection locked="0"/>
    </xf>
    <xf numFmtId="0" fontId="22" fillId="0" borderId="409" xfId="10" applyFont="1" applyFill="1" applyBorder="1" applyAlignment="1" applyProtection="1">
      <alignment horizontal="left" vertical="center" wrapText="1"/>
      <protection locked="0"/>
    </xf>
    <xf numFmtId="0" fontId="22" fillId="0" borderId="139" xfId="10" applyFont="1" applyFill="1" applyBorder="1" applyAlignment="1" applyProtection="1">
      <alignment horizontal="left" vertical="center"/>
      <protection locked="0"/>
    </xf>
    <xf numFmtId="0" fontId="24" fillId="40" borderId="138" xfId="2" applyFont="1" applyFill="1" applyBorder="1" applyAlignment="1" applyProtection="1">
      <alignment horizontal="left" vertical="center" wrapText="1"/>
      <protection locked="0"/>
    </xf>
    <xf numFmtId="0" fontId="24" fillId="40" borderId="139" xfId="2" applyFont="1" applyFill="1" applyBorder="1" applyAlignment="1" applyProtection="1">
      <alignment horizontal="left" vertical="center" wrapText="1"/>
      <protection locked="0"/>
    </xf>
    <xf numFmtId="0" fontId="24" fillId="0" borderId="141" xfId="2" applyFont="1" applyBorder="1" applyAlignment="1" applyProtection="1">
      <alignment horizontal="center" vertical="center"/>
    </xf>
    <xf numFmtId="0" fontId="24" fillId="0" borderId="142" xfId="2" applyFont="1" applyBorder="1" applyAlignment="1" applyProtection="1">
      <alignment horizontal="center" vertical="center"/>
    </xf>
    <xf numFmtId="0" fontId="52" fillId="0" borderId="142" xfId="2" applyFont="1" applyFill="1" applyBorder="1" applyAlignment="1" applyProtection="1">
      <alignment horizontal="left"/>
    </xf>
    <xf numFmtId="0" fontId="24" fillId="0" borderId="135" xfId="2" applyFont="1" applyBorder="1" applyAlignment="1" applyProtection="1">
      <alignment horizontal="center" vertical="center"/>
    </xf>
    <xf numFmtId="0" fontId="24" fillId="0" borderId="136" xfId="2" applyFont="1" applyBorder="1" applyAlignment="1" applyProtection="1">
      <alignment horizontal="center" vertical="center"/>
    </xf>
    <xf numFmtId="0" fontId="24" fillId="0" borderId="141" xfId="2" applyFont="1" applyFill="1" applyBorder="1" applyAlignment="1" applyProtection="1">
      <alignment horizontal="left" vertical="center" wrapText="1"/>
    </xf>
    <xf numFmtId="0" fontId="24" fillId="0" borderId="142" xfId="2" applyFont="1" applyFill="1" applyBorder="1" applyAlignment="1" applyProtection="1">
      <alignment horizontal="left" vertical="center" wrapText="1"/>
    </xf>
    <xf numFmtId="0" fontId="22" fillId="0" borderId="139" xfId="10" applyFont="1" applyFill="1" applyBorder="1" applyAlignment="1" applyProtection="1">
      <alignment horizontal="center"/>
    </xf>
    <xf numFmtId="0" fontId="22" fillId="40" borderId="139" xfId="2" quotePrefix="1" applyFont="1" applyFill="1" applyBorder="1" applyAlignment="1" applyProtection="1">
      <alignment horizontal="center" vertical="center"/>
      <protection locked="0"/>
    </xf>
    <xf numFmtId="0" fontId="24" fillId="0" borderId="138" xfId="10" applyFont="1" applyFill="1" applyBorder="1" applyAlignment="1" applyProtection="1">
      <alignment horizontal="left" vertical="center" wrapText="1"/>
    </xf>
    <xf numFmtId="0" fontId="24" fillId="0" borderId="139" xfId="10" applyFont="1" applyFill="1" applyBorder="1" applyAlignment="1" applyProtection="1">
      <alignment horizontal="left" vertical="center" wrapText="1"/>
    </xf>
    <xf numFmtId="0" fontId="24" fillId="27" borderId="136" xfId="2" applyFont="1" applyFill="1" applyBorder="1" applyAlignment="1" applyProtection="1">
      <alignment horizontal="center" vertical="center"/>
    </xf>
    <xf numFmtId="0" fontId="24" fillId="27" borderId="135" xfId="2" applyFont="1" applyFill="1" applyBorder="1" applyAlignment="1" applyProtection="1">
      <alignment horizontal="center" vertical="center" wrapText="1"/>
    </xf>
    <xf numFmtId="0" fontId="24" fillId="27" borderId="136" xfId="2" applyFont="1" applyFill="1" applyBorder="1" applyAlignment="1" applyProtection="1">
      <alignment horizontal="center" vertical="center" wrapText="1"/>
    </xf>
    <xf numFmtId="0" fontId="24" fillId="27" borderId="137" xfId="2" applyFont="1" applyFill="1" applyBorder="1" applyAlignment="1" applyProtection="1">
      <alignment horizontal="center" vertical="center"/>
    </xf>
    <xf numFmtId="0" fontId="22" fillId="0" borderId="140" xfId="10" applyFont="1" applyFill="1" applyBorder="1" applyAlignment="1" applyProtection="1">
      <alignment horizontal="center"/>
    </xf>
    <xf numFmtId="0" fontId="22" fillId="0" borderId="139" xfId="10" applyFont="1" applyFill="1" applyBorder="1" applyAlignment="1" applyProtection="1">
      <alignment horizontal="center" vertical="center"/>
    </xf>
    <xf numFmtId="0" fontId="22" fillId="0" borderId="140" xfId="10" applyFont="1" applyFill="1" applyBorder="1" applyAlignment="1" applyProtection="1">
      <alignment horizontal="center" vertical="center"/>
    </xf>
    <xf numFmtId="0" fontId="22" fillId="0" borderId="139" xfId="10" applyFont="1" applyFill="1" applyBorder="1" applyAlignment="1" applyProtection="1">
      <alignment horizontal="left"/>
    </xf>
    <xf numFmtId="0" fontId="2" fillId="27" borderId="253" xfId="0" applyFont="1" applyFill="1" applyBorder="1" applyAlignment="1" applyProtection="1">
      <alignment horizontal="left" vertical="center"/>
    </xf>
    <xf numFmtId="0" fontId="52" fillId="0" borderId="142" xfId="2" applyFont="1" applyFill="1" applyBorder="1" applyAlignment="1" applyProtection="1">
      <alignment horizontal="center"/>
    </xf>
    <xf numFmtId="0" fontId="52" fillId="0" borderId="143" xfId="2" applyFont="1" applyFill="1" applyBorder="1" applyAlignment="1" applyProtection="1">
      <alignment horizontal="center"/>
    </xf>
    <xf numFmtId="9" fontId="24" fillId="0" borderId="142" xfId="3" applyFont="1" applyBorder="1" applyAlignment="1" applyProtection="1">
      <alignment horizontal="center" vertical="center"/>
    </xf>
    <xf numFmtId="0" fontId="24" fillId="0" borderId="164" xfId="2" applyFont="1" applyBorder="1" applyAlignment="1" applyProtection="1">
      <alignment horizontal="center" vertical="center"/>
    </xf>
    <xf numFmtId="0" fontId="24" fillId="0" borderId="165" xfId="2" applyFont="1" applyBorder="1" applyAlignment="1" applyProtection="1">
      <alignment horizontal="center" vertical="center"/>
    </xf>
    <xf numFmtId="0" fontId="24" fillId="0" borderId="166" xfId="2" applyFont="1" applyBorder="1" applyAlignment="1" applyProtection="1">
      <alignment horizontal="center" vertical="center"/>
    </xf>
    <xf numFmtId="0" fontId="24" fillId="0" borderId="167" xfId="2" applyFont="1" applyBorder="1" applyAlignment="1" applyProtection="1">
      <alignment horizontal="center" vertical="center"/>
    </xf>
    <xf numFmtId="0" fontId="24" fillId="0" borderId="325" xfId="10" applyFont="1" applyFill="1" applyBorder="1" applyAlignment="1" applyProtection="1">
      <alignment vertical="center" wrapText="1"/>
    </xf>
    <xf numFmtId="0" fontId="24" fillId="0" borderId="326" xfId="10" applyFont="1" applyFill="1" applyBorder="1" applyAlignment="1" applyProtection="1">
      <alignment vertical="center" wrapText="1"/>
    </xf>
    <xf numFmtId="0" fontId="24" fillId="0" borderId="316" xfId="10" applyFont="1" applyFill="1" applyBorder="1" applyAlignment="1" applyProtection="1">
      <alignment vertical="center" wrapText="1"/>
    </xf>
    <xf numFmtId="0" fontId="1" fillId="0" borderId="317" xfId="0" applyFont="1" applyFill="1" applyBorder="1" applyAlignment="1" applyProtection="1">
      <alignment vertical="center" wrapText="1"/>
    </xf>
    <xf numFmtId="0" fontId="21" fillId="24" borderId="1171" xfId="0" quotePrefix="1" applyFont="1" applyFill="1" applyBorder="1" applyAlignment="1" applyProtection="1">
      <alignment horizontal="left" vertical="center"/>
    </xf>
    <xf numFmtId="0" fontId="21" fillId="24" borderId="1172" xfId="0" quotePrefix="1" applyFont="1" applyFill="1" applyBorder="1" applyAlignment="1" applyProtection="1">
      <alignment horizontal="left" vertical="center"/>
    </xf>
    <xf numFmtId="0" fontId="21" fillId="24" borderId="1173" xfId="0" quotePrefix="1" applyFont="1" applyFill="1" applyBorder="1" applyAlignment="1" applyProtection="1">
      <alignment horizontal="left" vertical="center"/>
    </xf>
    <xf numFmtId="0" fontId="21" fillId="24" borderId="1175" xfId="0" quotePrefix="1" applyFont="1" applyFill="1" applyBorder="1" applyAlignment="1" applyProtection="1">
      <alignment horizontal="center" vertical="center"/>
    </xf>
    <xf numFmtId="0" fontId="21" fillId="24" borderId="1176" xfId="0" quotePrefix="1" applyFont="1" applyFill="1" applyBorder="1" applyAlignment="1" applyProtection="1">
      <alignment horizontal="center" vertical="center"/>
    </xf>
    <xf numFmtId="0" fontId="21" fillId="24" borderId="1177" xfId="0" quotePrefix="1" applyFont="1" applyFill="1" applyBorder="1" applyAlignment="1" applyProtection="1">
      <alignment horizontal="center" vertical="center"/>
    </xf>
    <xf numFmtId="0" fontId="21" fillId="0" borderId="325" xfId="0" quotePrefix="1" applyFont="1" applyFill="1" applyBorder="1" applyAlignment="1" applyProtection="1">
      <alignment vertical="center" wrapText="1"/>
    </xf>
    <xf numFmtId="0" fontId="21" fillId="0" borderId="326" xfId="0" quotePrefix="1" applyFont="1" applyFill="1" applyBorder="1" applyAlignment="1" applyProtection="1">
      <alignment vertical="center" wrapText="1"/>
    </xf>
    <xf numFmtId="0" fontId="21" fillId="0" borderId="1203" xfId="0" quotePrefix="1" applyFont="1" applyFill="1" applyBorder="1" applyAlignment="1" applyProtection="1">
      <alignment vertical="center"/>
    </xf>
    <xf numFmtId="0" fontId="21" fillId="0" borderId="1204" xfId="0" quotePrefix="1" applyFont="1" applyFill="1" applyBorder="1" applyAlignment="1" applyProtection="1">
      <alignment vertical="center"/>
    </xf>
    <xf numFmtId="0" fontId="39" fillId="23" borderId="335" xfId="0" applyFont="1" applyFill="1" applyBorder="1" applyAlignment="1" applyProtection="1">
      <alignment horizontal="right" vertical="center"/>
    </xf>
    <xf numFmtId="0" fontId="41" fillId="23" borderId="335" xfId="0" applyFont="1" applyFill="1" applyBorder="1" applyAlignment="1" applyProtection="1">
      <alignment horizontal="left" vertical="center"/>
    </xf>
    <xf numFmtId="0" fontId="41" fillId="23" borderId="337" xfId="0" applyFont="1" applyFill="1" applyBorder="1" applyAlignment="1" applyProtection="1">
      <alignment horizontal="left" vertical="center"/>
    </xf>
    <xf numFmtId="0" fontId="26" fillId="0" borderId="342" xfId="0" applyFont="1" applyBorder="1" applyAlignment="1" applyProtection="1">
      <alignment horizontal="left" vertical="top" wrapText="1"/>
    </xf>
    <xf numFmtId="0" fontId="26" fillId="0" borderId="342" xfId="0" applyFont="1" applyBorder="1" applyAlignment="1" applyProtection="1">
      <alignment horizontal="left" vertical="top"/>
    </xf>
    <xf numFmtId="0" fontId="2" fillId="9" borderId="1179" xfId="0" applyFont="1" applyFill="1" applyBorder="1" applyAlignment="1" applyProtection="1">
      <alignment horizontal="center" vertical="center" wrapText="1"/>
    </xf>
    <xf numFmtId="0" fontId="2" fillId="9" borderId="0" xfId="0" applyFont="1" applyFill="1" applyBorder="1" applyAlignment="1" applyProtection="1">
      <alignment horizontal="center" vertical="center" wrapText="1"/>
    </xf>
    <xf numFmtId="0" fontId="2" fillId="9" borderId="1005" xfId="0" applyFont="1" applyFill="1" applyBorder="1" applyAlignment="1" applyProtection="1">
      <alignment horizontal="center" vertical="center" wrapText="1"/>
    </xf>
    <xf numFmtId="0" fontId="22" fillId="0" borderId="50" xfId="8" applyFont="1" applyBorder="1" applyAlignment="1" applyProtection="1">
      <alignment horizontal="left" vertical="center" wrapText="1"/>
    </xf>
    <xf numFmtId="0" fontId="22" fillId="0" borderId="39" xfId="8" applyFont="1" applyBorder="1" applyAlignment="1" applyProtection="1">
      <alignment horizontal="left" vertical="center" wrapText="1"/>
    </xf>
    <xf numFmtId="0" fontId="22" fillId="0" borderId="983" xfId="8" applyFont="1" applyBorder="1" applyAlignment="1" applyProtection="1">
      <alignment horizontal="left" vertical="center" wrapText="1"/>
    </xf>
    <xf numFmtId="0" fontId="22" fillId="0" borderId="984" xfId="8" applyFont="1" applyBorder="1" applyAlignment="1" applyProtection="1">
      <alignment horizontal="left" vertical="center" wrapText="1"/>
    </xf>
    <xf numFmtId="0" fontId="22" fillId="0" borderId="985" xfId="8" applyFont="1" applyBorder="1" applyAlignment="1" applyProtection="1">
      <alignment horizontal="left" vertical="center" wrapText="1"/>
    </xf>
    <xf numFmtId="0" fontId="22" fillId="0" borderId="50" xfId="8" applyFont="1" applyBorder="1" applyAlignment="1" applyProtection="1">
      <alignment horizontal="left" vertical="center"/>
    </xf>
    <xf numFmtId="0" fontId="22" fillId="0" borderId="39" xfId="8" applyFont="1" applyBorder="1" applyAlignment="1" applyProtection="1">
      <alignment horizontal="left" vertical="center"/>
    </xf>
    <xf numFmtId="0" fontId="22" fillId="0" borderId="95" xfId="8" applyFont="1" applyBorder="1" applyAlignment="1" applyProtection="1">
      <alignment horizontal="left" vertical="center" wrapText="1"/>
    </xf>
    <xf numFmtId="0" fontId="22" fillId="0" borderId="96" xfId="8" applyFont="1" applyBorder="1" applyAlignment="1" applyProtection="1">
      <alignment horizontal="left" vertical="center" wrapText="1"/>
    </xf>
    <xf numFmtId="0" fontId="25" fillId="3" borderId="88" xfId="7" applyFont="1" applyFill="1" applyBorder="1" applyAlignment="1" applyProtection="1">
      <alignment horizontal="left" vertical="center"/>
    </xf>
    <xf numFmtId="0" fontId="25" fillId="3" borderId="89" xfId="7" applyFont="1" applyFill="1" applyBorder="1" applyAlignment="1" applyProtection="1">
      <alignment horizontal="left" vertical="center"/>
    </xf>
    <xf numFmtId="0" fontId="25" fillId="3" borderId="90" xfId="7" applyFont="1" applyFill="1" applyBorder="1" applyAlignment="1" applyProtection="1">
      <alignment horizontal="left" vertical="center"/>
    </xf>
    <xf numFmtId="0" fontId="22" fillId="0" borderId="93" xfId="8" applyFont="1" applyBorder="1" applyAlignment="1" applyProtection="1">
      <alignment horizontal="left" vertical="center" wrapText="1"/>
    </xf>
    <xf numFmtId="0" fontId="22" fillId="0" borderId="94" xfId="8" applyFont="1" applyBorder="1" applyAlignment="1" applyProtection="1">
      <alignment horizontal="left" vertical="center" wrapText="1"/>
    </xf>
    <xf numFmtId="0" fontId="22" fillId="0" borderId="986" xfId="8" applyFont="1" applyBorder="1" applyAlignment="1" applyProtection="1">
      <alignment horizontal="left" vertical="center" wrapText="1"/>
    </xf>
    <xf numFmtId="0" fontId="22" fillId="0" borderId="987" xfId="8" applyFont="1" applyBorder="1" applyAlignment="1" applyProtection="1">
      <alignment horizontal="left" vertical="center" wrapText="1"/>
    </xf>
    <xf numFmtId="0" fontId="22" fillId="0" borderId="988" xfId="8" applyFont="1" applyBorder="1" applyAlignment="1" applyProtection="1">
      <alignment horizontal="left" vertical="center" wrapText="1"/>
    </xf>
    <xf numFmtId="0" fontId="5" fillId="0" borderId="39" xfId="1" applyBorder="1" applyAlignment="1" applyProtection="1">
      <alignment horizontal="left" vertical="center"/>
    </xf>
    <xf numFmtId="0" fontId="0" fillId="0" borderId="97" xfId="0" applyFont="1" applyBorder="1" applyAlignment="1" applyProtection="1">
      <alignment horizontal="center"/>
    </xf>
    <xf numFmtId="0" fontId="0" fillId="0" borderId="98" xfId="0" applyFont="1" applyBorder="1" applyAlignment="1" applyProtection="1">
      <alignment horizontal="center"/>
    </xf>
    <xf numFmtId="0" fontId="22" fillId="0" borderId="46" xfId="7" applyFont="1" applyBorder="1" applyAlignment="1" applyProtection="1">
      <alignment horizontal="left" vertical="center"/>
    </xf>
    <xf numFmtId="0" fontId="22" fillId="0" borderId="241" xfId="7" applyFont="1" applyBorder="1" applyAlignment="1" applyProtection="1">
      <alignment horizontal="left" vertical="center"/>
    </xf>
    <xf numFmtId="0" fontId="22" fillId="0" borderId="1000" xfId="7" applyFont="1" applyBorder="1" applyAlignment="1" applyProtection="1">
      <alignment horizontal="left" vertical="center"/>
    </xf>
    <xf numFmtId="0" fontId="22" fillId="0" borderId="911" xfId="1" applyFont="1" applyBorder="1" applyAlignment="1" applyProtection="1">
      <alignment horizontal="left" vertical="center"/>
    </xf>
    <xf numFmtId="0" fontId="5" fillId="0" borderId="912" xfId="1" applyBorder="1" applyAlignment="1" applyProtection="1">
      <alignment horizontal="left" vertical="center"/>
    </xf>
    <xf numFmtId="0" fontId="5" fillId="0" borderId="911" xfId="1" applyFont="1" applyBorder="1" applyAlignment="1" applyProtection="1">
      <alignment horizontal="left" vertical="center"/>
    </xf>
    <xf numFmtId="0" fontId="22" fillId="0" borderId="93" xfId="8" applyFont="1" applyBorder="1" applyAlignment="1" applyProtection="1">
      <alignment horizontal="left" vertical="center"/>
    </xf>
    <xf numFmtId="0" fontId="22" fillId="0" borderId="94" xfId="8" applyFont="1" applyBorder="1" applyAlignment="1" applyProtection="1">
      <alignment horizontal="left" vertical="center"/>
    </xf>
    <xf numFmtId="0" fontId="1" fillId="9" borderId="99" xfId="0" applyFont="1" applyFill="1" applyBorder="1" applyAlignment="1" applyProtection="1">
      <alignment horizontal="center" vertical="center"/>
    </xf>
    <xf numFmtId="0" fontId="41" fillId="9" borderId="335" xfId="0" applyFont="1" applyFill="1" applyBorder="1" applyAlignment="1" applyProtection="1">
      <alignment horizontal="left" vertical="center"/>
    </xf>
    <xf numFmtId="0" fontId="41" fillId="9" borderId="337" xfId="0" applyFont="1" applyFill="1" applyBorder="1" applyAlignment="1" applyProtection="1">
      <alignment horizontal="left" vertical="center"/>
    </xf>
    <xf numFmtId="0" fontId="39" fillId="9" borderId="334" xfId="0" applyFont="1" applyFill="1" applyBorder="1" applyAlignment="1" applyProtection="1">
      <alignment horizontal="right" vertical="center"/>
    </xf>
    <xf numFmtId="0" fontId="39" fillId="9" borderId="335" xfId="0" applyFont="1" applyFill="1" applyBorder="1" applyAlignment="1" applyProtection="1">
      <alignment horizontal="right" vertical="center"/>
    </xf>
    <xf numFmtId="0" fontId="25" fillId="9" borderId="907" xfId="7" applyFont="1" applyFill="1" applyBorder="1" applyAlignment="1" applyProtection="1">
      <alignment horizontal="left" vertical="center" wrapText="1"/>
    </xf>
    <xf numFmtId="0" fontId="25" fillId="9" borderId="908" xfId="7" applyFont="1" applyFill="1" applyBorder="1" applyAlignment="1" applyProtection="1">
      <alignment horizontal="left" vertical="center" wrapText="1"/>
    </xf>
    <xf numFmtId="0" fontId="25" fillId="9" borderId="909" xfId="7" applyFont="1" applyFill="1" applyBorder="1" applyAlignment="1" applyProtection="1">
      <alignment horizontal="left" vertical="center" wrapText="1"/>
    </xf>
    <xf numFmtId="0" fontId="22" fillId="0" borderId="91" xfId="8" applyFont="1" applyBorder="1" applyAlignment="1" applyProtection="1">
      <alignment horizontal="left" vertical="center" wrapText="1"/>
    </xf>
    <xf numFmtId="0" fontId="22" fillId="0" borderId="92" xfId="8" applyFont="1" applyBorder="1" applyAlignment="1" applyProtection="1">
      <alignment horizontal="left" vertical="center" wrapText="1"/>
    </xf>
    <xf numFmtId="0" fontId="2" fillId="5" borderId="0" xfId="0" applyFont="1" applyFill="1" applyAlignment="1" applyProtection="1">
      <alignment horizontal="left" vertical="center"/>
      <protection locked="0"/>
    </xf>
    <xf numFmtId="0" fontId="5" fillId="0" borderId="0" xfId="1" applyFont="1" applyBorder="1" applyAlignment="1" applyProtection="1">
      <alignment vertical="center"/>
    </xf>
    <xf numFmtId="0" fontId="39" fillId="30" borderId="374" xfId="0" applyFont="1" applyFill="1" applyBorder="1" applyAlignment="1" applyProtection="1">
      <alignment horizontal="left" vertical="center"/>
    </xf>
    <xf numFmtId="0" fontId="39" fillId="30" borderId="0" xfId="0" applyFont="1" applyFill="1" applyBorder="1" applyAlignment="1" applyProtection="1">
      <alignment horizontal="left" vertical="center"/>
    </xf>
    <xf numFmtId="0" fontId="5" fillId="0" borderId="0" xfId="1" applyFont="1" applyFill="1" applyBorder="1" applyAlignment="1" applyProtection="1">
      <alignment horizontal="left" vertical="center"/>
    </xf>
    <xf numFmtId="0" fontId="56" fillId="20" borderId="251" xfId="0" applyFont="1" applyFill="1" applyBorder="1" applyAlignment="1" applyProtection="1">
      <alignment horizontal="left" vertical="center"/>
    </xf>
    <xf numFmtId="0" fontId="56" fillId="20" borderId="0" xfId="0" applyFont="1" applyFill="1" applyBorder="1" applyAlignment="1" applyProtection="1">
      <alignment horizontal="left" vertical="center"/>
    </xf>
    <xf numFmtId="0" fontId="5" fillId="0" borderId="0" xfId="1" applyFont="1" applyAlignment="1" applyProtection="1">
      <alignment vertical="center"/>
    </xf>
    <xf numFmtId="0" fontId="5" fillId="0" borderId="0" xfId="1" applyBorder="1" applyAlignment="1" applyProtection="1">
      <alignment vertical="center"/>
    </xf>
    <xf numFmtId="0" fontId="5" fillId="0" borderId="0" xfId="1" applyFill="1" applyBorder="1" applyAlignment="1" applyProtection="1">
      <alignment horizontal="left" vertical="center"/>
    </xf>
    <xf numFmtId="0" fontId="2" fillId="5" borderId="0" xfId="0" applyFont="1" applyFill="1" applyAlignment="1" applyProtection="1">
      <alignment vertical="center"/>
      <protection locked="0"/>
    </xf>
    <xf numFmtId="0" fontId="56" fillId="64" borderId="250" xfId="0" applyFont="1" applyFill="1" applyBorder="1" applyAlignment="1" applyProtection="1">
      <alignment horizontal="left" vertical="center"/>
    </xf>
    <xf numFmtId="0" fontId="56" fillId="64" borderId="0" xfId="0" applyFont="1" applyFill="1" applyBorder="1" applyAlignment="1" applyProtection="1">
      <alignment horizontal="left" vertical="center"/>
    </xf>
    <xf numFmtId="0" fontId="56" fillId="17" borderId="251" xfId="0" applyFont="1" applyFill="1" applyBorder="1" applyAlignment="1" applyProtection="1">
      <alignment horizontal="left" vertical="center"/>
    </xf>
    <xf numFmtId="0" fontId="56" fillId="17" borderId="0" xfId="0" applyFont="1" applyFill="1" applyBorder="1" applyAlignment="1" applyProtection="1">
      <alignment horizontal="left" vertical="center"/>
    </xf>
    <xf numFmtId="0" fontId="54" fillId="0" borderId="0" xfId="0" applyFont="1" applyAlignment="1">
      <alignment horizontal="center" vertical="center" wrapText="1"/>
    </xf>
    <xf numFmtId="0" fontId="33" fillId="0" borderId="0" xfId="0" applyFont="1" applyAlignment="1">
      <alignment horizontal="center" vertical="center"/>
    </xf>
    <xf numFmtId="0" fontId="5" fillId="0" borderId="0" xfId="1" applyFont="1" applyFill="1" applyAlignment="1" applyProtection="1">
      <alignment horizontal="left" vertical="center"/>
    </xf>
    <xf numFmtId="0" fontId="2" fillId="9" borderId="249" xfId="0" applyFont="1" applyFill="1" applyBorder="1" applyAlignment="1" applyProtection="1">
      <alignment horizontal="left" vertical="center"/>
    </xf>
    <xf numFmtId="0" fontId="2" fillId="9" borderId="0" xfId="0" applyFont="1" applyFill="1" applyBorder="1" applyAlignment="1" applyProtection="1">
      <alignment horizontal="left" vertical="center"/>
    </xf>
    <xf numFmtId="0" fontId="54" fillId="0" borderId="0" xfId="0" applyFont="1" applyAlignment="1">
      <alignment horizontal="center" vertical="center"/>
    </xf>
    <xf numFmtId="0" fontId="39" fillId="6" borderId="30" xfId="0" applyFont="1" applyFill="1" applyBorder="1" applyAlignment="1" applyProtection="1">
      <alignment horizontal="left" vertical="center"/>
    </xf>
    <xf numFmtId="0" fontId="39" fillId="6" borderId="0" xfId="0" applyFont="1" applyFill="1" applyBorder="1" applyAlignment="1" applyProtection="1">
      <alignment horizontal="left" vertical="center"/>
    </xf>
    <xf numFmtId="0" fontId="2" fillId="4" borderId="242"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0" fillId="0" borderId="0" xfId="0" applyFont="1" applyAlignment="1">
      <alignment horizontal="right" vertical="center"/>
    </xf>
    <xf numFmtId="0" fontId="39" fillId="18" borderId="891" xfId="0" applyFont="1" applyFill="1" applyBorder="1" applyAlignment="1" applyProtection="1">
      <alignment horizontal="left" vertical="center"/>
    </xf>
    <xf numFmtId="0" fontId="39" fillId="18" borderId="0" xfId="0" applyFont="1" applyFill="1" applyBorder="1" applyAlignment="1" applyProtection="1">
      <alignment horizontal="left" vertical="center"/>
    </xf>
    <xf numFmtId="0" fontId="56" fillId="19" borderId="854" xfId="0" applyFont="1" applyFill="1" applyBorder="1" applyAlignment="1" applyProtection="1">
      <alignment horizontal="left" vertical="center"/>
    </xf>
    <xf numFmtId="0" fontId="56" fillId="19" borderId="0" xfId="0" applyFont="1" applyFill="1" applyBorder="1" applyAlignment="1" applyProtection="1">
      <alignment horizontal="left" vertical="center"/>
    </xf>
    <xf numFmtId="0" fontId="39" fillId="34" borderId="283" xfId="0" applyFont="1" applyFill="1" applyBorder="1" applyAlignment="1" applyProtection="1">
      <alignment horizontal="left" vertical="center"/>
    </xf>
    <xf numFmtId="0" fontId="39" fillId="34" borderId="0" xfId="0" applyFont="1" applyFill="1" applyBorder="1" applyAlignment="1" applyProtection="1">
      <alignment horizontal="left" vertical="center"/>
    </xf>
    <xf numFmtId="0" fontId="39" fillId="23" borderId="889" xfId="0" applyFont="1" applyFill="1" applyBorder="1" applyAlignment="1" applyProtection="1">
      <alignment horizontal="left" vertical="center"/>
    </xf>
    <xf numFmtId="0" fontId="39" fillId="23" borderId="0" xfId="0" applyFont="1" applyFill="1" applyBorder="1" applyAlignment="1" applyProtection="1">
      <alignment horizontal="left" vertical="center"/>
    </xf>
    <xf numFmtId="0" fontId="39" fillId="10" borderId="104" xfId="0" applyFont="1" applyFill="1" applyBorder="1" applyAlignment="1" applyProtection="1">
      <alignment horizontal="left" vertical="center"/>
    </xf>
    <xf numFmtId="0" fontId="39" fillId="10" borderId="0" xfId="0" applyFont="1" applyFill="1" applyBorder="1" applyAlignment="1" applyProtection="1">
      <alignment horizontal="left" vertical="center"/>
    </xf>
    <xf numFmtId="0" fontId="56" fillId="13" borderId="245" xfId="0" applyFont="1" applyFill="1" applyBorder="1" applyAlignment="1" applyProtection="1">
      <alignment horizontal="left" vertical="center"/>
    </xf>
    <xf numFmtId="0" fontId="56" fillId="13" borderId="0" xfId="0" applyFont="1" applyFill="1" applyBorder="1" applyAlignment="1" applyProtection="1">
      <alignment horizontal="left" vertical="center"/>
    </xf>
    <xf numFmtId="0" fontId="41" fillId="7" borderId="335" xfId="0" applyFont="1" applyFill="1" applyBorder="1" applyAlignment="1" applyProtection="1">
      <alignment horizontal="center" vertical="center"/>
    </xf>
    <xf numFmtId="0" fontId="41" fillId="7" borderId="337" xfId="0" applyFont="1" applyFill="1" applyBorder="1" applyAlignment="1" applyProtection="1">
      <alignment horizontal="center" vertical="center"/>
    </xf>
    <xf numFmtId="0" fontId="187" fillId="0" borderId="1451" xfId="236" applyFont="1" applyFill="1" applyBorder="1" applyAlignment="1">
      <alignment horizontal="center" vertical="center" wrapText="1"/>
    </xf>
    <xf numFmtId="0" fontId="22" fillId="26" borderId="0" xfId="236" applyFont="1" applyFill="1" applyBorder="1" applyAlignment="1">
      <alignment horizontal="center" vertical="center"/>
    </xf>
    <xf numFmtId="0" fontId="22" fillId="26" borderId="1453" xfId="236" applyFont="1" applyFill="1" applyBorder="1" applyAlignment="1">
      <alignment horizontal="center" vertical="center"/>
    </xf>
    <xf numFmtId="0" fontId="22" fillId="26" borderId="0" xfId="236" applyFont="1" applyFill="1" applyBorder="1" applyAlignment="1">
      <alignment horizontal="center" vertical="top" wrapText="1"/>
    </xf>
    <xf numFmtId="0" fontId="22" fillId="26" borderId="1453" xfId="236" applyFont="1" applyFill="1" applyBorder="1" applyAlignment="1">
      <alignment horizontal="center" vertical="top" wrapText="1"/>
    </xf>
    <xf numFmtId="0" fontId="52" fillId="0" borderId="0" xfId="236" applyFont="1" applyFill="1" applyBorder="1" applyAlignment="1">
      <alignment vertical="center" wrapText="1"/>
    </xf>
    <xf numFmtId="0" fontId="22" fillId="26" borderId="1453" xfId="236" applyFont="1" applyFill="1" applyBorder="1" applyAlignment="1">
      <alignment horizontal="center"/>
    </xf>
    <xf numFmtId="0" fontId="186" fillId="26" borderId="0" xfId="2" applyFont="1" applyFill="1" applyAlignment="1">
      <alignment horizontal="center"/>
    </xf>
    <xf numFmtId="0" fontId="186" fillId="26" borderId="1453" xfId="2" applyFont="1" applyFill="1" applyBorder="1" applyAlignment="1">
      <alignment horizontal="center"/>
    </xf>
    <xf numFmtId="0" fontId="22" fillId="0" borderId="1454" xfId="236" applyFont="1" applyFill="1" applyBorder="1" applyAlignment="1">
      <alignment horizontal="left" vertical="center" wrapText="1"/>
    </xf>
    <xf numFmtId="0" fontId="22" fillId="0" borderId="0" xfId="236" applyFont="1" applyFill="1" applyBorder="1" applyAlignment="1">
      <alignment horizontal="left" vertical="center" wrapText="1"/>
    </xf>
    <xf numFmtId="0" fontId="186" fillId="26" borderId="0" xfId="236" applyFont="1" applyFill="1" applyBorder="1" applyAlignment="1">
      <alignment horizontal="center"/>
    </xf>
    <xf numFmtId="0" fontId="186" fillId="26" borderId="1453" xfId="236" applyFont="1" applyFill="1" applyBorder="1" applyAlignment="1">
      <alignment horizontal="center"/>
    </xf>
    <xf numFmtId="0" fontId="22" fillId="26" borderId="0" xfId="236" applyFont="1" applyFill="1" applyAlignment="1">
      <alignment horizontal="center" vertical="center" wrapText="1"/>
    </xf>
    <xf numFmtId="0" fontId="22" fillId="26" borderId="1453" xfId="236" applyFont="1" applyFill="1" applyBorder="1" applyAlignment="1">
      <alignment horizontal="center" vertical="center" wrapText="1"/>
    </xf>
    <xf numFmtId="0" fontId="186" fillId="26" borderId="0" xfId="236" applyFont="1" applyFill="1" applyBorder="1" applyAlignment="1">
      <alignment horizontal="left"/>
    </xf>
    <xf numFmtId="0" fontId="186" fillId="26" borderId="1453" xfId="236" applyFont="1" applyFill="1" applyBorder="1" applyAlignment="1">
      <alignment horizontal="left"/>
    </xf>
    <xf numFmtId="0" fontId="183" fillId="26" borderId="0" xfId="236" applyFont="1" applyFill="1" applyAlignment="1">
      <alignment horizontal="center" vertical="top" wrapText="1"/>
    </xf>
    <xf numFmtId="0" fontId="183" fillId="26" borderId="1453" xfId="236" applyFont="1" applyFill="1" applyBorder="1" applyAlignment="1">
      <alignment horizontal="center" vertical="top" wrapText="1"/>
    </xf>
    <xf numFmtId="0" fontId="22" fillId="0" borderId="0" xfId="236" applyFont="1" applyFill="1" applyAlignment="1">
      <alignment vertical="center" wrapText="1"/>
    </xf>
    <xf numFmtId="0" fontId="22" fillId="0" borderId="1453" xfId="236" applyFont="1" applyFill="1" applyBorder="1" applyAlignment="1">
      <alignment vertical="center" wrapText="1"/>
    </xf>
    <xf numFmtId="0" fontId="22" fillId="0" borderId="0" xfId="236" applyFont="1" applyFill="1" applyAlignment="1">
      <alignment horizontal="left" vertical="center" wrapText="1"/>
    </xf>
    <xf numFmtId="0" fontId="22" fillId="0" borderId="0" xfId="236" applyFont="1" applyFill="1" applyBorder="1" applyAlignment="1">
      <alignment horizontal="left" vertical="top" wrapText="1"/>
    </xf>
    <xf numFmtId="0" fontId="22" fillId="0" borderId="1454" xfId="236" applyFont="1" applyFill="1" applyBorder="1" applyAlignment="1">
      <alignment vertical="center" wrapText="1"/>
    </xf>
    <xf numFmtId="0" fontId="22" fillId="0" borderId="0" xfId="236" applyFont="1" applyFill="1" applyAlignment="1">
      <alignment vertical="center"/>
    </xf>
    <xf numFmtId="0" fontId="182" fillId="0" borderId="0" xfId="236" applyFont="1" applyFill="1" applyBorder="1" applyAlignment="1">
      <alignment horizontal="center" vertical="center" wrapText="1"/>
    </xf>
    <xf numFmtId="0" fontId="52" fillId="0" borderId="0" xfId="236" applyFont="1" applyFill="1" applyBorder="1" applyAlignment="1">
      <alignment horizontal="left" vertical="center" wrapText="1"/>
    </xf>
    <xf numFmtId="0" fontId="22" fillId="0" borderId="0" xfId="236" applyFont="1" applyFill="1" applyBorder="1" applyAlignment="1">
      <alignment vertical="center" wrapText="1"/>
    </xf>
    <xf numFmtId="0" fontId="26" fillId="0" borderId="0" xfId="0" quotePrefix="1" applyFont="1" applyBorder="1" applyAlignment="1">
      <alignment horizontal="center" wrapText="1"/>
    </xf>
    <xf numFmtId="0" fontId="26" fillId="0" borderId="0" xfId="0" quotePrefix="1" applyFont="1" applyBorder="1" applyAlignment="1">
      <alignment horizontal="center"/>
    </xf>
    <xf numFmtId="0" fontId="24" fillId="26" borderId="335" xfId="0" applyFont="1" applyFill="1" applyBorder="1" applyAlignment="1" applyProtection="1">
      <alignment horizontal="center" vertical="center"/>
    </xf>
    <xf numFmtId="0" fontId="24" fillId="26" borderId="337" xfId="0" applyFont="1" applyFill="1" applyBorder="1" applyAlignment="1" applyProtection="1">
      <alignment horizontal="center" vertical="center"/>
    </xf>
    <xf numFmtId="0" fontId="0" fillId="5" borderId="12"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71" fillId="31" borderId="12" xfId="0" applyFont="1" applyFill="1" applyBorder="1" applyAlignment="1" applyProtection="1">
      <alignment horizontal="center" vertical="center"/>
      <protection locked="0"/>
    </xf>
    <xf numFmtId="0" fontId="71" fillId="8" borderId="12" xfId="0" applyFont="1" applyFill="1" applyBorder="1" applyAlignment="1" applyProtection="1">
      <alignment horizontal="center" vertical="center"/>
      <protection locked="0"/>
    </xf>
    <xf numFmtId="0" fontId="35" fillId="0" borderId="16" xfId="0" applyFont="1" applyFill="1" applyBorder="1" applyAlignment="1" applyProtection="1">
      <alignment horizontal="left" vertical="center" wrapText="1"/>
      <protection locked="0"/>
    </xf>
    <xf numFmtId="0" fontId="35" fillId="0" borderId="17" xfId="0" applyFont="1" applyFill="1" applyBorder="1" applyAlignment="1" applyProtection="1">
      <alignment horizontal="left" vertical="center" wrapText="1"/>
      <protection locked="0"/>
    </xf>
    <xf numFmtId="0" fontId="35" fillId="0" borderId="18" xfId="0" applyFont="1" applyFill="1" applyBorder="1" applyAlignment="1" applyProtection="1">
      <alignment horizontal="left" vertical="center" wrapText="1"/>
      <protection locked="0"/>
    </xf>
    <xf numFmtId="0" fontId="26" fillId="0" borderId="16" xfId="0" applyFont="1" applyFill="1" applyBorder="1" applyAlignment="1" applyProtection="1">
      <alignment horizontal="center" vertical="center" wrapText="1"/>
    </xf>
    <xf numFmtId="0" fontId="26" fillId="0" borderId="17" xfId="0" applyFont="1" applyFill="1" applyBorder="1" applyAlignment="1" applyProtection="1">
      <alignment horizontal="center" vertical="center" wrapText="1"/>
    </xf>
    <xf numFmtId="0" fontId="26" fillId="0" borderId="32" xfId="0" applyFont="1" applyFill="1" applyBorder="1" applyAlignment="1" applyProtection="1">
      <alignment horizontal="center" vertical="center" wrapText="1"/>
    </xf>
    <xf numFmtId="0" fontId="71" fillId="31" borderId="14" xfId="0" applyFont="1" applyFill="1" applyBorder="1" applyAlignment="1" applyProtection="1">
      <alignment horizontal="center" vertical="center"/>
      <protection locked="0"/>
    </xf>
    <xf numFmtId="0" fontId="35" fillId="0" borderId="16" xfId="0" applyFont="1" applyFill="1" applyBorder="1" applyAlignment="1" applyProtection="1">
      <alignment horizontal="left" vertical="center"/>
      <protection locked="0"/>
    </xf>
    <xf numFmtId="0" fontId="35" fillId="0" borderId="17" xfId="0" applyFont="1" applyFill="1" applyBorder="1" applyAlignment="1" applyProtection="1">
      <alignment horizontal="left" vertical="center"/>
      <protection locked="0"/>
    </xf>
    <xf numFmtId="0" fontId="35" fillId="0" borderId="18" xfId="0" applyFont="1" applyFill="1" applyBorder="1" applyAlignment="1" applyProtection="1">
      <alignment horizontal="left" vertical="center"/>
      <protection locked="0"/>
    </xf>
    <xf numFmtId="0" fontId="71" fillId="26" borderId="14"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wrapText="1"/>
      <protection locked="0"/>
    </xf>
    <xf numFmtId="0" fontId="0" fillId="5" borderId="15" xfId="0" applyFont="1" applyFill="1" applyBorder="1" applyAlignment="1" applyProtection="1">
      <alignment horizontal="center" vertical="center" wrapText="1"/>
      <protection locked="0"/>
    </xf>
    <xf numFmtId="0" fontId="24" fillId="0" borderId="73" xfId="0" applyFont="1" applyFill="1" applyBorder="1" applyAlignment="1" applyProtection="1">
      <alignment horizontal="left" vertical="center"/>
      <protection locked="0"/>
    </xf>
    <xf numFmtId="0" fontId="24" fillId="0" borderId="33" xfId="0" applyFont="1" applyFill="1" applyBorder="1" applyAlignment="1" applyProtection="1">
      <alignment horizontal="left" vertical="center"/>
      <protection locked="0"/>
    </xf>
    <xf numFmtId="0" fontId="24" fillId="0" borderId="82"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wrapText="1"/>
    </xf>
    <xf numFmtId="0" fontId="21" fillId="7" borderId="17" xfId="0" applyFont="1" applyFill="1" applyBorder="1" applyAlignment="1" applyProtection="1">
      <alignment horizontal="left" vertical="center" wrapText="1"/>
    </xf>
    <xf numFmtId="0" fontId="21" fillId="7" borderId="32" xfId="0" applyFont="1" applyFill="1" applyBorder="1" applyAlignment="1" applyProtection="1">
      <alignment horizontal="left" vertical="center" wrapText="1"/>
    </xf>
    <xf numFmtId="0" fontId="0" fillId="5" borderId="31"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32"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24" fillId="0" borderId="17" xfId="0" applyFont="1" applyFill="1" applyBorder="1" applyAlignment="1" applyProtection="1">
      <alignment horizontal="left" vertical="center" wrapText="1"/>
      <protection locked="0"/>
    </xf>
    <xf numFmtId="0" fontId="24" fillId="0" borderId="18" xfId="0" applyFont="1" applyFill="1" applyBorder="1" applyAlignment="1" applyProtection="1">
      <alignment horizontal="left" vertical="center" wrapText="1"/>
      <protection locked="0"/>
    </xf>
    <xf numFmtId="0" fontId="24" fillId="0" borderId="16" xfId="0" applyFont="1" applyFill="1" applyBorder="1" applyAlignment="1" applyProtection="1">
      <alignment horizontal="left" vertical="center"/>
      <protection locked="0"/>
    </xf>
    <xf numFmtId="0" fontId="24" fillId="0" borderId="17" xfId="0" applyFont="1" applyFill="1" applyBorder="1" applyAlignment="1" applyProtection="1">
      <alignment horizontal="left" vertical="center"/>
      <protection locked="0"/>
    </xf>
    <xf numFmtId="0" fontId="24" fillId="0" borderId="18" xfId="0" applyFont="1" applyFill="1" applyBorder="1" applyAlignment="1" applyProtection="1">
      <alignment horizontal="left" vertical="center"/>
      <protection locked="0"/>
    </xf>
    <xf numFmtId="0" fontId="26" fillId="7" borderId="5" xfId="0" applyFont="1" applyFill="1" applyBorder="1" applyAlignment="1" applyProtection="1">
      <alignment horizontal="center" vertical="center" wrapText="1"/>
    </xf>
    <xf numFmtId="0" fontId="26" fillId="7" borderId="6" xfId="0" applyFont="1" applyFill="1" applyBorder="1" applyAlignment="1" applyProtection="1">
      <alignment horizontal="center" vertical="center" wrapText="1"/>
    </xf>
    <xf numFmtId="0" fontId="21" fillId="7" borderId="6" xfId="0" applyFont="1" applyFill="1" applyBorder="1" applyAlignment="1" applyProtection="1">
      <alignment horizontal="center" vertical="center" wrapText="1"/>
    </xf>
    <xf numFmtId="0" fontId="21" fillId="7" borderId="7" xfId="0" applyFont="1" applyFill="1" applyBorder="1" applyAlignment="1" applyProtection="1">
      <alignment horizontal="center" vertical="center" wrapText="1"/>
    </xf>
    <xf numFmtId="0" fontId="26" fillId="25" borderId="9" xfId="0" applyFont="1" applyFill="1" applyBorder="1" applyAlignment="1" applyProtection="1">
      <alignment horizontal="center" vertical="center" wrapText="1"/>
    </xf>
    <xf numFmtId="0" fontId="26" fillId="25" borderId="10" xfId="0" applyFont="1" applyFill="1" applyBorder="1" applyAlignment="1" applyProtection="1">
      <alignment horizontal="center" vertical="center" wrapText="1"/>
    </xf>
    <xf numFmtId="0" fontId="26" fillId="25" borderId="13" xfId="0" applyFont="1" applyFill="1" applyBorder="1" applyAlignment="1" applyProtection="1">
      <alignment horizontal="center" vertical="center" wrapText="1"/>
    </xf>
    <xf numFmtId="0" fontId="40" fillId="25" borderId="8" xfId="0" applyFont="1" applyFill="1" applyBorder="1" applyAlignment="1" applyProtection="1">
      <alignment horizontal="center" vertical="center" wrapText="1"/>
    </xf>
    <xf numFmtId="0" fontId="40" fillId="25" borderId="9" xfId="0" applyFont="1" applyFill="1" applyBorder="1" applyAlignment="1" applyProtection="1">
      <alignment horizontal="center" vertical="center" wrapText="1"/>
    </xf>
    <xf numFmtId="0" fontId="40" fillId="25" borderId="11" xfId="0" applyFont="1" applyFill="1" applyBorder="1" applyAlignment="1" applyProtection="1">
      <alignment horizontal="center" vertical="center" wrapText="1"/>
    </xf>
    <xf numFmtId="0" fontId="40" fillId="25" borderId="12" xfId="0" applyFont="1" applyFill="1" applyBorder="1" applyAlignment="1" applyProtection="1">
      <alignment horizontal="center" vertical="center" wrapText="1"/>
    </xf>
    <xf numFmtId="0" fontId="0" fillId="5" borderId="12" xfId="0" applyFont="1" applyFill="1" applyBorder="1" applyAlignment="1" applyProtection="1">
      <alignment horizontal="center" wrapText="1"/>
      <protection locked="0"/>
    </xf>
    <xf numFmtId="0" fontId="0" fillId="5" borderId="13" xfId="0" applyFont="1" applyFill="1" applyBorder="1" applyAlignment="1" applyProtection="1">
      <alignment horizontal="center" wrapText="1"/>
      <protection locked="0"/>
    </xf>
    <xf numFmtId="0" fontId="0" fillId="5" borderId="31"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2" xfId="0" applyFont="1" applyFill="1" applyBorder="1" applyAlignment="1" applyProtection="1">
      <alignment horizontal="left" vertical="center" wrapText="1"/>
      <protection locked="0"/>
    </xf>
    <xf numFmtId="9" fontId="0" fillId="5" borderId="12" xfId="0" applyNumberFormat="1" applyFont="1" applyFill="1" applyBorder="1" applyAlignment="1" applyProtection="1">
      <alignment horizontal="left" vertical="center" wrapText="1"/>
      <protection locked="0"/>
    </xf>
    <xf numFmtId="0" fontId="1" fillId="0" borderId="178" xfId="0" applyFont="1" applyFill="1" applyBorder="1" applyAlignment="1" applyProtection="1">
      <alignment horizontal="left" vertical="top" wrapText="1"/>
    </xf>
    <xf numFmtId="0" fontId="1" fillId="0" borderId="59" xfId="0" applyFont="1" applyFill="1" applyBorder="1" applyAlignment="1" applyProtection="1">
      <alignment horizontal="left" vertical="top" wrapText="1"/>
    </xf>
    <xf numFmtId="0" fontId="1" fillId="0" borderId="395" xfId="0" applyFont="1" applyFill="1" applyBorder="1" applyAlignment="1" applyProtection="1">
      <alignment horizontal="left" vertical="top" wrapText="1"/>
    </xf>
    <xf numFmtId="0" fontId="1" fillId="0" borderId="60" xfId="0" applyFont="1" applyFill="1" applyBorder="1" applyAlignment="1" applyProtection="1">
      <alignment horizontal="left" vertical="top" wrapText="1"/>
    </xf>
    <xf numFmtId="0" fontId="1" fillId="39" borderId="101" xfId="0" applyFont="1" applyFill="1" applyBorder="1" applyAlignment="1" applyProtection="1">
      <alignment horizontal="left" vertical="top" wrapText="1"/>
      <protection locked="0"/>
    </xf>
    <xf numFmtId="0" fontId="1" fillId="39" borderId="102" xfId="0" applyFont="1" applyFill="1" applyBorder="1" applyAlignment="1" applyProtection="1">
      <alignment horizontal="left" vertical="top" wrapText="1"/>
      <protection locked="0"/>
    </xf>
    <xf numFmtId="0" fontId="1" fillId="39" borderId="103" xfId="0" applyFont="1" applyFill="1" applyBorder="1" applyAlignment="1" applyProtection="1">
      <alignment horizontal="left" vertical="top" wrapText="1"/>
      <protection locked="0"/>
    </xf>
    <xf numFmtId="0" fontId="1" fillId="39" borderId="104" xfId="0" applyFont="1" applyFill="1" applyBorder="1" applyAlignment="1" applyProtection="1">
      <alignment horizontal="left" vertical="top" wrapText="1"/>
      <protection locked="0"/>
    </xf>
    <xf numFmtId="0" fontId="1" fillId="39" borderId="105" xfId="0" applyFont="1" applyFill="1" applyBorder="1" applyAlignment="1" applyProtection="1">
      <alignment horizontal="left" vertical="top" wrapText="1"/>
      <protection locked="0"/>
    </xf>
    <xf numFmtId="0" fontId="1" fillId="39" borderId="106" xfId="0" applyFont="1" applyFill="1" applyBorder="1" applyAlignment="1" applyProtection="1">
      <alignment horizontal="left" vertical="top" wrapText="1"/>
      <protection locked="0"/>
    </xf>
    <xf numFmtId="0" fontId="1" fillId="39" borderId="107" xfId="0" applyFont="1" applyFill="1" applyBorder="1" applyAlignment="1" applyProtection="1">
      <alignment horizontal="left" vertical="top" wrapText="1"/>
      <protection locked="0"/>
    </xf>
    <xf numFmtId="0" fontId="1" fillId="39" borderId="108" xfId="0" applyFont="1" applyFill="1" applyBorder="1" applyAlignment="1" applyProtection="1">
      <alignment horizontal="left" vertical="top" wrapText="1"/>
      <protection locked="0"/>
    </xf>
    <xf numFmtId="0" fontId="106" fillId="8" borderId="343" xfId="0" applyFont="1" applyFill="1" applyBorder="1" applyAlignment="1" applyProtection="1">
      <alignment horizontal="center" vertical="center" wrapText="1"/>
      <protection locked="0"/>
    </xf>
    <xf numFmtId="0" fontId="106" fillId="8" borderId="342" xfId="0" applyFont="1" applyFill="1" applyBorder="1" applyAlignment="1" applyProtection="1">
      <alignment horizontal="center" vertical="center" wrapText="1"/>
      <protection locked="0"/>
    </xf>
    <xf numFmtId="0" fontId="106" fillId="8" borderId="341" xfId="0" applyFont="1" applyFill="1" applyBorder="1" applyAlignment="1" applyProtection="1">
      <alignment horizontal="center" vertical="center" wrapText="1"/>
      <protection locked="0"/>
    </xf>
    <xf numFmtId="0" fontId="106" fillId="8" borderId="168" xfId="0" applyFont="1" applyFill="1" applyBorder="1" applyAlignment="1" applyProtection="1">
      <alignment horizontal="center" vertical="center" wrapText="1"/>
      <protection locked="0"/>
    </xf>
    <xf numFmtId="0" fontId="106" fillId="8" borderId="0" xfId="0" applyFont="1" applyFill="1" applyBorder="1" applyAlignment="1" applyProtection="1">
      <alignment horizontal="center" vertical="center" wrapText="1"/>
      <protection locked="0"/>
    </xf>
    <xf numFmtId="0" fontId="106" fillId="8" borderId="339" xfId="0" applyFont="1" applyFill="1" applyBorder="1" applyAlignment="1" applyProtection="1">
      <alignment horizontal="center" vertical="center" wrapText="1"/>
      <protection locked="0"/>
    </xf>
    <xf numFmtId="0" fontId="106" fillId="8" borderId="336" xfId="0" applyFont="1" applyFill="1" applyBorder="1" applyAlignment="1" applyProtection="1">
      <alignment horizontal="center" vertical="center" wrapText="1"/>
      <protection locked="0"/>
    </xf>
    <xf numFmtId="0" fontId="106" fillId="8" borderId="338" xfId="0" applyFont="1" applyFill="1" applyBorder="1" applyAlignment="1" applyProtection="1">
      <alignment horizontal="center" vertical="center" wrapText="1"/>
      <protection locked="0"/>
    </xf>
    <xf numFmtId="0" fontId="106" fillId="8" borderId="340" xfId="0" applyFont="1" applyFill="1" applyBorder="1" applyAlignment="1" applyProtection="1">
      <alignment horizontal="center" vertical="center" wrapText="1"/>
      <protection locked="0"/>
    </xf>
    <xf numFmtId="0" fontId="1" fillId="0" borderId="176" xfId="0" applyFont="1" applyFill="1" applyBorder="1" applyAlignment="1" applyProtection="1">
      <alignment horizontal="left" vertical="center" wrapText="1"/>
      <protection locked="0"/>
    </xf>
    <xf numFmtId="0" fontId="1" fillId="0" borderId="56" xfId="0" applyFont="1" applyFill="1" applyBorder="1" applyAlignment="1" applyProtection="1">
      <alignment horizontal="left" vertical="center" wrapText="1"/>
      <protection locked="0"/>
    </xf>
    <xf numFmtId="0" fontId="1" fillId="0" borderId="175" xfId="0" applyFont="1" applyFill="1" applyBorder="1" applyAlignment="1" applyProtection="1">
      <alignment horizontal="left" vertical="center" wrapText="1"/>
      <protection locked="0"/>
    </xf>
    <xf numFmtId="0" fontId="1" fillId="0" borderId="57" xfId="0" applyFont="1" applyFill="1" applyBorder="1" applyAlignment="1" applyProtection="1">
      <alignment horizontal="left" vertical="center" wrapText="1"/>
      <protection locked="0"/>
    </xf>
    <xf numFmtId="0" fontId="1" fillId="0" borderId="176" xfId="0" applyFont="1" applyFill="1" applyBorder="1" applyAlignment="1" applyProtection="1">
      <alignment horizontal="left" vertical="top" wrapText="1"/>
      <protection locked="0"/>
    </xf>
    <xf numFmtId="0" fontId="1" fillId="0" borderId="56" xfId="0" applyFont="1" applyFill="1" applyBorder="1" applyAlignment="1" applyProtection="1">
      <alignment horizontal="left" vertical="top" wrapText="1"/>
      <protection locked="0"/>
    </xf>
    <xf numFmtId="0" fontId="1" fillId="0" borderId="175" xfId="0" applyFont="1" applyFill="1" applyBorder="1" applyAlignment="1" applyProtection="1">
      <alignment horizontal="left" vertical="top" wrapText="1"/>
      <protection locked="0"/>
    </xf>
    <xf numFmtId="0" fontId="1" fillId="0" borderId="57" xfId="0" applyFont="1" applyFill="1" applyBorder="1" applyAlignment="1" applyProtection="1">
      <alignment horizontal="left" vertical="top" wrapText="1"/>
      <protection locked="0"/>
    </xf>
    <xf numFmtId="0" fontId="1" fillId="40" borderId="175" xfId="0" applyFont="1" applyFill="1" applyBorder="1" applyAlignment="1" applyProtection="1">
      <alignment horizontal="left" vertical="center" wrapText="1"/>
      <protection locked="0"/>
    </xf>
    <xf numFmtId="0" fontId="1" fillId="40" borderId="68" xfId="0" applyFont="1" applyFill="1" applyBorder="1" applyAlignment="1" applyProtection="1">
      <alignment horizontal="left" vertical="center" wrapText="1"/>
      <protection locked="0"/>
    </xf>
    <xf numFmtId="0" fontId="1" fillId="40" borderId="782" xfId="0" applyFont="1" applyFill="1" applyBorder="1" applyAlignment="1" applyProtection="1">
      <alignment horizontal="left" vertical="center" wrapText="1"/>
      <protection locked="0"/>
    </xf>
    <xf numFmtId="0" fontId="24" fillId="37" borderId="67" xfId="10" applyFont="1" applyFill="1" applyBorder="1" applyAlignment="1" applyProtection="1">
      <alignment horizontal="center" vertical="center"/>
      <protection locked="0"/>
    </xf>
    <xf numFmtId="0" fontId="24" fillId="37" borderId="68" xfId="10" applyFont="1" applyFill="1" applyBorder="1" applyAlignment="1" applyProtection="1">
      <alignment horizontal="center" vertical="center"/>
      <protection locked="0"/>
    </xf>
    <xf numFmtId="0" fontId="1" fillId="37" borderId="394" xfId="0" applyFont="1" applyFill="1" applyBorder="1" applyAlignment="1" applyProtection="1">
      <alignment horizontal="center" vertical="center" wrapText="1"/>
    </xf>
    <xf numFmtId="0" fontId="1" fillId="37" borderId="65" xfId="0" applyFont="1" applyFill="1" applyBorder="1" applyAlignment="1" applyProtection="1">
      <alignment horizontal="center" vertical="center" wrapText="1"/>
    </xf>
    <xf numFmtId="0" fontId="1" fillId="37" borderId="781" xfId="0" applyFont="1" applyFill="1" applyBorder="1" applyAlignment="1" applyProtection="1">
      <alignment horizontal="center" vertical="center" wrapText="1"/>
    </xf>
    <xf numFmtId="0" fontId="1" fillId="37" borderId="64" xfId="0" applyFont="1" applyFill="1" applyBorder="1" applyAlignment="1" applyProtection="1">
      <alignment horizontal="center" vertical="center"/>
    </xf>
    <xf numFmtId="0" fontId="1" fillId="37" borderId="65" xfId="0" applyFont="1" applyFill="1" applyBorder="1" applyAlignment="1" applyProtection="1">
      <alignment horizontal="center" vertical="center"/>
    </xf>
    <xf numFmtId="0" fontId="1" fillId="0" borderId="175" xfId="0" applyFont="1" applyFill="1" applyBorder="1" applyAlignment="1" applyProtection="1">
      <alignment horizontal="center" vertical="center" wrapText="1"/>
      <protection locked="0"/>
    </xf>
    <xf numFmtId="0" fontId="1" fillId="0" borderId="68" xfId="0" applyFont="1" applyFill="1" applyBorder="1" applyAlignment="1" applyProtection="1">
      <alignment horizontal="center" vertical="center" wrapText="1"/>
      <protection locked="0"/>
    </xf>
    <xf numFmtId="0" fontId="1" fillId="0" borderId="390" xfId="0" applyFont="1" applyFill="1" applyBorder="1" applyAlignment="1" applyProtection="1">
      <alignment horizontal="center" vertical="center" wrapText="1"/>
      <protection locked="0"/>
    </xf>
    <xf numFmtId="0" fontId="1" fillId="40" borderId="59" xfId="0" applyFont="1" applyFill="1" applyBorder="1" applyAlignment="1" applyProtection="1">
      <alignment horizontal="center" vertical="top" wrapText="1"/>
    </xf>
    <xf numFmtId="0" fontId="1" fillId="40" borderId="179" xfId="0" applyFont="1" applyFill="1" applyBorder="1" applyAlignment="1" applyProtection="1">
      <alignment horizontal="center" vertical="top" wrapText="1"/>
    </xf>
    <xf numFmtId="0" fontId="21" fillId="0" borderId="357" xfId="0" applyFont="1" applyFill="1" applyBorder="1" applyAlignment="1" applyProtection="1">
      <alignment horizontal="center" vertical="center"/>
    </xf>
    <xf numFmtId="0" fontId="21" fillId="0" borderId="348" xfId="0" applyFont="1" applyFill="1" applyBorder="1" applyAlignment="1" applyProtection="1">
      <alignment horizontal="center" vertical="center"/>
    </xf>
    <xf numFmtId="0" fontId="21" fillId="0" borderId="395" xfId="0" applyFont="1" applyFill="1" applyBorder="1" applyAlignment="1" applyProtection="1">
      <alignment horizontal="center" vertical="center"/>
    </xf>
    <xf numFmtId="0" fontId="21" fillId="0" borderId="347" xfId="0" applyFont="1" applyFill="1" applyBorder="1" applyAlignment="1" applyProtection="1">
      <alignment horizontal="center" vertical="center"/>
    </xf>
    <xf numFmtId="0" fontId="1" fillId="37" borderId="394" xfId="0" applyFont="1" applyFill="1" applyBorder="1" applyAlignment="1" applyProtection="1">
      <alignment horizontal="center" vertical="center"/>
    </xf>
    <xf numFmtId="0" fontId="1" fillId="37" borderId="349" xfId="0" applyFont="1" applyFill="1" applyBorder="1" applyAlignment="1" applyProtection="1">
      <alignment horizontal="center" vertical="center"/>
    </xf>
    <xf numFmtId="0" fontId="1" fillId="37" borderId="779" xfId="0" applyFont="1" applyFill="1" applyBorder="1" applyAlignment="1" applyProtection="1">
      <alignment horizontal="center" vertical="center" wrapText="1"/>
    </xf>
    <xf numFmtId="0" fontId="1" fillId="37" borderId="66" xfId="0" applyFont="1" applyFill="1" applyBorder="1" applyAlignment="1" applyProtection="1">
      <alignment horizontal="center" vertical="center" wrapText="1"/>
    </xf>
    <xf numFmtId="0" fontId="24" fillId="37" borderId="67" xfId="10" applyFont="1" applyFill="1" applyBorder="1" applyAlignment="1" applyProtection="1">
      <alignment horizontal="center" vertical="center" wrapText="1"/>
      <protection locked="0"/>
    </xf>
    <xf numFmtId="0" fontId="24" fillId="37" borderId="68" xfId="10" applyFont="1" applyFill="1" applyBorder="1" applyAlignment="1" applyProtection="1">
      <alignment horizontal="center" vertical="center" wrapText="1"/>
      <protection locked="0"/>
    </xf>
    <xf numFmtId="0" fontId="0" fillId="0" borderId="116" xfId="0" applyFont="1" applyFill="1" applyBorder="1" applyAlignment="1" applyProtection="1">
      <alignment horizontal="center" vertical="center"/>
      <protection locked="0"/>
    </xf>
    <xf numFmtId="0" fontId="0" fillId="0" borderId="116" xfId="0" applyFont="1" applyFill="1" applyBorder="1" applyAlignment="1" applyProtection="1">
      <alignment horizontal="center" vertical="top" wrapText="1"/>
      <protection locked="0"/>
    </xf>
    <xf numFmtId="0" fontId="0" fillId="0" borderId="117" xfId="0" applyFont="1" applyFill="1" applyBorder="1" applyAlignment="1" applyProtection="1">
      <alignment horizontal="center" vertical="top" wrapText="1"/>
      <protection locked="0"/>
    </xf>
    <xf numFmtId="0" fontId="35" fillId="26" borderId="121" xfId="2" applyFont="1" applyFill="1" applyBorder="1" applyAlignment="1" applyProtection="1">
      <alignment horizontal="left" vertical="center"/>
      <protection locked="0"/>
    </xf>
    <xf numFmtId="0" fontId="35" fillId="26" borderId="122" xfId="2" applyFont="1" applyFill="1" applyBorder="1" applyAlignment="1" applyProtection="1">
      <alignment horizontal="left" vertical="center"/>
      <protection locked="0"/>
    </xf>
    <xf numFmtId="0" fontId="0" fillId="0" borderId="122" xfId="0" applyFont="1" applyFill="1" applyBorder="1" applyAlignment="1" applyProtection="1">
      <alignment horizontal="center" vertical="center"/>
      <protection locked="0"/>
    </xf>
    <xf numFmtId="3" fontId="0" fillId="31" borderId="122" xfId="0" applyNumberFormat="1" applyFont="1" applyFill="1" applyBorder="1" applyAlignment="1" applyProtection="1">
      <alignment horizontal="center" vertical="center"/>
      <protection locked="0"/>
    </xf>
    <xf numFmtId="0" fontId="0" fillId="0" borderId="122" xfId="0" applyFont="1" applyFill="1" applyBorder="1" applyAlignment="1" applyProtection="1">
      <alignment horizontal="center" vertical="top" wrapText="1"/>
      <protection locked="0"/>
    </xf>
    <xf numFmtId="0" fontId="0" fillId="0" borderId="123" xfId="0" applyFont="1" applyFill="1" applyBorder="1" applyAlignment="1" applyProtection="1">
      <alignment horizontal="center" vertical="top" wrapText="1"/>
      <protection locked="0"/>
    </xf>
    <xf numFmtId="0" fontId="35" fillId="26" borderId="112" xfId="2" applyFont="1" applyFill="1" applyBorder="1" applyAlignment="1" applyProtection="1">
      <alignment horizontal="left" vertical="center"/>
      <protection locked="0"/>
    </xf>
    <xf numFmtId="0" fontId="26" fillId="26" borderId="113" xfId="0" applyFont="1" applyFill="1" applyBorder="1" applyAlignment="1" applyProtection="1">
      <alignment horizontal="left" vertical="center"/>
      <protection locked="0"/>
    </xf>
    <xf numFmtId="9" fontId="0" fillId="77" borderId="129" xfId="3" applyFont="1" applyFill="1" applyBorder="1" applyAlignment="1" applyProtection="1">
      <alignment horizontal="center" vertical="center"/>
      <protection locked="0"/>
    </xf>
    <xf numFmtId="9" fontId="0" fillId="77" borderId="218" xfId="3" applyFont="1" applyFill="1" applyBorder="1" applyAlignment="1" applyProtection="1">
      <alignment horizontal="center" vertical="center"/>
      <protection locked="0"/>
    </xf>
    <xf numFmtId="3" fontId="0" fillId="0" borderId="113" xfId="0" applyNumberFormat="1" applyFont="1" applyFill="1" applyBorder="1" applyAlignment="1" applyProtection="1">
      <alignment horizontal="center" vertical="center"/>
      <protection locked="0"/>
    </xf>
    <xf numFmtId="0" fontId="0" fillId="0" borderId="113" xfId="0" applyFont="1" applyFill="1" applyBorder="1" applyAlignment="1" applyProtection="1">
      <alignment horizontal="center" vertical="center"/>
      <protection locked="0"/>
    </xf>
    <xf numFmtId="0" fontId="0" fillId="0" borderId="113" xfId="0" applyFont="1" applyFill="1" applyBorder="1" applyAlignment="1" applyProtection="1">
      <alignment horizontal="center" vertical="top" wrapText="1"/>
      <protection locked="0"/>
    </xf>
    <xf numFmtId="0" fontId="0" fillId="0" borderId="114" xfId="0" applyFont="1" applyFill="1" applyBorder="1" applyAlignment="1" applyProtection="1">
      <alignment horizontal="center" vertical="top" wrapText="1"/>
      <protection locked="0"/>
    </xf>
    <xf numFmtId="0" fontId="25" fillId="14" borderId="126" xfId="0" applyFont="1" applyFill="1" applyBorder="1" applyAlignment="1" applyProtection="1">
      <alignment horizontal="left" vertical="center" wrapText="1"/>
    </xf>
    <xf numFmtId="0" fontId="25" fillId="14" borderId="127" xfId="0" applyFont="1" applyFill="1" applyBorder="1" applyAlignment="1" applyProtection="1">
      <alignment horizontal="left" vertical="center" wrapText="1"/>
    </xf>
    <xf numFmtId="0" fontId="25" fillId="14" borderId="127" xfId="0" applyFont="1" applyFill="1" applyBorder="1" applyAlignment="1" applyProtection="1">
      <alignment horizontal="center" vertical="center" wrapText="1"/>
    </xf>
    <xf numFmtId="9" fontId="0" fillId="0" borderId="129" xfId="3" applyFont="1" applyFill="1" applyBorder="1" applyAlignment="1" applyProtection="1">
      <alignment horizontal="center" vertical="center"/>
      <protection locked="0"/>
    </xf>
    <xf numFmtId="9" fontId="0" fillId="0" borderId="218" xfId="3" applyFont="1" applyFill="1" applyBorder="1" applyAlignment="1" applyProtection="1">
      <alignment horizontal="center" vertical="center"/>
      <protection locked="0"/>
    </xf>
    <xf numFmtId="3" fontId="21" fillId="0" borderId="113" xfId="0" applyNumberFormat="1" applyFont="1" applyFill="1" applyBorder="1" applyAlignment="1" applyProtection="1">
      <alignment horizontal="center" vertical="center"/>
      <protection locked="0"/>
    </xf>
    <xf numFmtId="9" fontId="0" fillId="31" borderId="129" xfId="3" applyFont="1" applyFill="1" applyBorder="1" applyAlignment="1" applyProtection="1">
      <alignment horizontal="center" vertical="center"/>
      <protection locked="0"/>
    </xf>
    <xf numFmtId="9" fontId="0" fillId="31" borderId="218" xfId="3" applyFont="1" applyFill="1" applyBorder="1" applyAlignment="1" applyProtection="1">
      <alignment horizontal="center" vertical="center"/>
      <protection locked="0"/>
    </xf>
    <xf numFmtId="0" fontId="26" fillId="0" borderId="115" xfId="0" applyFont="1" applyFill="1" applyBorder="1" applyAlignment="1" applyProtection="1">
      <alignment horizontal="left" vertical="center" wrapText="1"/>
      <protection locked="0"/>
    </xf>
    <xf numFmtId="0" fontId="26" fillId="0" borderId="116" xfId="0" applyFont="1" applyFill="1" applyBorder="1" applyAlignment="1" applyProtection="1">
      <alignment horizontal="left" vertical="center" wrapText="1"/>
      <protection locked="0"/>
    </xf>
    <xf numFmtId="3" fontId="0" fillId="0" borderId="129" xfId="0" applyNumberFormat="1" applyFont="1" applyFill="1" applyBorder="1" applyAlignment="1" applyProtection="1">
      <alignment horizontal="center" vertical="center"/>
      <protection locked="0"/>
    </xf>
    <xf numFmtId="3" fontId="0" fillId="0" borderId="218" xfId="0" applyNumberFormat="1" applyFont="1" applyFill="1" applyBorder="1" applyAlignment="1" applyProtection="1">
      <alignment horizontal="center" vertical="center"/>
      <protection locked="0"/>
    </xf>
    <xf numFmtId="0" fontId="108" fillId="69" borderId="335" xfId="0" applyFont="1" applyFill="1" applyBorder="1" applyAlignment="1" applyProtection="1">
      <alignment horizontal="left" vertical="center"/>
    </xf>
    <xf numFmtId="0" fontId="108" fillId="69" borderId="337" xfId="0" applyFont="1" applyFill="1" applyBorder="1" applyAlignment="1" applyProtection="1">
      <alignment horizontal="left" vertical="center"/>
    </xf>
    <xf numFmtId="0" fontId="114" fillId="69" borderId="335" xfId="0" applyFont="1" applyFill="1" applyBorder="1" applyAlignment="1" applyProtection="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top" wrapText="1"/>
      <protection locked="0"/>
    </xf>
    <xf numFmtId="0" fontId="35" fillId="26" borderId="218" xfId="2" applyFont="1" applyFill="1" applyBorder="1" applyAlignment="1" applyProtection="1">
      <alignment horizontal="left" vertical="center"/>
      <protection locked="0"/>
    </xf>
    <xf numFmtId="0" fontId="0" fillId="0" borderId="245"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35" fillId="0" borderId="0" xfId="2" applyFont="1" applyFill="1" applyBorder="1" applyAlignment="1" applyProtection="1">
      <alignment horizontal="left" vertical="center"/>
      <protection locked="0"/>
    </xf>
    <xf numFmtId="0" fontId="26" fillId="0" borderId="0" xfId="0" applyFont="1" applyFill="1" applyBorder="1" applyAlignment="1" applyProtection="1">
      <alignment horizontal="left" vertical="center"/>
      <protection locked="0"/>
    </xf>
    <xf numFmtId="9" fontId="0" fillId="0" borderId="0" xfId="3" applyFont="1" applyFill="1" applyBorder="1" applyAlignment="1" applyProtection="1">
      <alignment horizontal="center" vertical="center"/>
      <protection locked="0"/>
    </xf>
    <xf numFmtId="3" fontId="141" fillId="0" borderId="113" xfId="0" applyNumberFormat="1" applyFont="1" applyFill="1" applyBorder="1" applyAlignment="1" applyProtection="1">
      <alignment horizontal="center" vertical="center"/>
      <protection locked="0"/>
    </xf>
    <xf numFmtId="0" fontId="35" fillId="26" borderId="613" xfId="2" applyFont="1" applyFill="1" applyBorder="1" applyAlignment="1" applyProtection="1">
      <alignment horizontal="left" vertical="center" wrapText="1"/>
      <protection locked="0"/>
    </xf>
    <xf numFmtId="0" fontId="26" fillId="26" borderId="130" xfId="0" applyFont="1" applyFill="1" applyBorder="1" applyAlignment="1" applyProtection="1">
      <alignment horizontal="left" vertical="center" wrapText="1"/>
      <protection locked="0"/>
    </xf>
    <xf numFmtId="0" fontId="26" fillId="26" borderId="218" xfId="0" applyFont="1" applyFill="1" applyBorder="1" applyAlignment="1" applyProtection="1">
      <alignment horizontal="left" vertical="center" wrapText="1"/>
      <protection locked="0"/>
    </xf>
    <xf numFmtId="0" fontId="0" fillId="0" borderId="129" xfId="0" applyFont="1" applyFill="1" applyBorder="1" applyAlignment="1" applyProtection="1">
      <alignment horizontal="center" vertical="center" wrapText="1"/>
      <protection locked="0"/>
    </xf>
    <xf numFmtId="0" fontId="0" fillId="0" borderId="130" xfId="0" applyFont="1" applyFill="1" applyBorder="1" applyAlignment="1" applyProtection="1">
      <alignment horizontal="center" vertical="center" wrapText="1"/>
      <protection locked="0"/>
    </xf>
    <xf numFmtId="0" fontId="0" fillId="0" borderId="131" xfId="0" applyFont="1" applyFill="1" applyBorder="1" applyAlignment="1" applyProtection="1">
      <alignment horizontal="center" vertical="center" wrapText="1"/>
      <protection locked="0"/>
    </xf>
  </cellXfs>
  <cellStyles count="414">
    <cellStyle name="20% - Accent1" xfId="18" xr:uid="{00000000-0005-0000-0000-000000000000}"/>
    <cellStyle name="20% - Accent1 2" xfId="19" xr:uid="{00000000-0005-0000-0000-000001000000}"/>
    <cellStyle name="20% - Accent2" xfId="20" xr:uid="{00000000-0005-0000-0000-000002000000}"/>
    <cellStyle name="20% - Accent2 2" xfId="21" xr:uid="{00000000-0005-0000-0000-000003000000}"/>
    <cellStyle name="20% - Accent3" xfId="22" xr:uid="{00000000-0005-0000-0000-000004000000}"/>
    <cellStyle name="20% - Accent3 2" xfId="23" xr:uid="{00000000-0005-0000-0000-000005000000}"/>
    <cellStyle name="20% - Accent4" xfId="24" xr:uid="{00000000-0005-0000-0000-000006000000}"/>
    <cellStyle name="20% - Accent4 2" xfId="25" xr:uid="{00000000-0005-0000-0000-000007000000}"/>
    <cellStyle name="20% - Accent5" xfId="26" xr:uid="{00000000-0005-0000-0000-000008000000}"/>
    <cellStyle name="20% - Accent5 2" xfId="27" xr:uid="{00000000-0005-0000-0000-000009000000}"/>
    <cellStyle name="20% - Accent6" xfId="28" xr:uid="{00000000-0005-0000-0000-00000A000000}"/>
    <cellStyle name="20% - Accent6 2" xfId="29" xr:uid="{00000000-0005-0000-0000-00000B000000}"/>
    <cellStyle name="40% - Accent1" xfId="30" xr:uid="{00000000-0005-0000-0000-00000C000000}"/>
    <cellStyle name="40% - Accent1 2" xfId="31" xr:uid="{00000000-0005-0000-0000-00000D000000}"/>
    <cellStyle name="40% - Accent2" xfId="32" xr:uid="{00000000-0005-0000-0000-00000E000000}"/>
    <cellStyle name="40% - Accent2 2" xfId="33" xr:uid="{00000000-0005-0000-0000-00000F000000}"/>
    <cellStyle name="40% - Accent3" xfId="34" xr:uid="{00000000-0005-0000-0000-000010000000}"/>
    <cellStyle name="40% - Accent3 2" xfId="35" xr:uid="{00000000-0005-0000-0000-000011000000}"/>
    <cellStyle name="40% - Accent4" xfId="36" xr:uid="{00000000-0005-0000-0000-000012000000}"/>
    <cellStyle name="40% - Accent4 2" xfId="37" xr:uid="{00000000-0005-0000-0000-000013000000}"/>
    <cellStyle name="40% - Accent5" xfId="38" xr:uid="{00000000-0005-0000-0000-000014000000}"/>
    <cellStyle name="40% - Accent5 2" xfId="39" xr:uid="{00000000-0005-0000-0000-000015000000}"/>
    <cellStyle name="40% - Accent6" xfId="40" xr:uid="{00000000-0005-0000-0000-000016000000}"/>
    <cellStyle name="40% - Accent6 2" xfId="41" xr:uid="{00000000-0005-0000-0000-000017000000}"/>
    <cellStyle name="60% - Accent1" xfId="42" xr:uid="{00000000-0005-0000-0000-000018000000}"/>
    <cellStyle name="60% - Accent2" xfId="43" xr:uid="{00000000-0005-0000-0000-000019000000}"/>
    <cellStyle name="60% - Accent3" xfId="44" xr:uid="{00000000-0005-0000-0000-00001A000000}"/>
    <cellStyle name="60% - Accent4" xfId="45" xr:uid="{00000000-0005-0000-0000-00001B000000}"/>
    <cellStyle name="60% - Accent5" xfId="46" xr:uid="{00000000-0005-0000-0000-00001C000000}"/>
    <cellStyle name="60% - Accent6" xfId="47" xr:uid="{00000000-0005-0000-0000-00001D000000}"/>
    <cellStyle name="Bad" xfId="48" xr:uid="{00000000-0005-0000-0000-00001E000000}"/>
    <cellStyle name="Calculation" xfId="49" xr:uid="{00000000-0005-0000-0000-00001F000000}"/>
    <cellStyle name="Check Cell" xfId="50" xr:uid="{00000000-0005-0000-0000-000020000000}"/>
    <cellStyle name="Euro" xfId="51" xr:uid="{00000000-0005-0000-0000-000021000000}"/>
    <cellStyle name="Euro 2" xfId="52" xr:uid="{00000000-0005-0000-0000-000022000000}"/>
    <cellStyle name="Euro 3" xfId="53" xr:uid="{00000000-0005-0000-0000-000023000000}"/>
    <cellStyle name="Euro 4" xfId="54" xr:uid="{00000000-0005-0000-0000-000024000000}"/>
    <cellStyle name="Explanatory Text" xfId="55" xr:uid="{00000000-0005-0000-0000-000025000000}"/>
    <cellStyle name="Good" xfId="56" xr:uid="{00000000-0005-0000-0000-000026000000}"/>
    <cellStyle name="Heading 1" xfId="57" xr:uid="{00000000-0005-0000-0000-000027000000}"/>
    <cellStyle name="Heading 2" xfId="58" xr:uid="{00000000-0005-0000-0000-000028000000}"/>
    <cellStyle name="Heading 3" xfId="59" xr:uid="{00000000-0005-0000-0000-000029000000}"/>
    <cellStyle name="Heading 4" xfId="60" xr:uid="{00000000-0005-0000-0000-00002A000000}"/>
    <cellStyle name="Input" xfId="61" xr:uid="{00000000-0005-0000-0000-00002B000000}"/>
    <cellStyle name="Lien hypertexte" xfId="1" builtinId="8"/>
    <cellStyle name="Lien hypertexte 2" xfId="62" xr:uid="{00000000-0005-0000-0000-00002D000000}"/>
    <cellStyle name="Lien hypertexte 3" xfId="63" xr:uid="{00000000-0005-0000-0000-00002E000000}"/>
    <cellStyle name="Lien hypertexte 4" xfId="64" xr:uid="{00000000-0005-0000-0000-00002F000000}"/>
    <cellStyle name="Linked Cell" xfId="65" xr:uid="{00000000-0005-0000-0000-000030000000}"/>
    <cellStyle name="Milliers 2" xfId="66" xr:uid="{00000000-0005-0000-0000-000031000000}"/>
    <cellStyle name="Milliers 3" xfId="12" xr:uid="{00000000-0005-0000-0000-000032000000}"/>
    <cellStyle name="Milliers 4" xfId="67" xr:uid="{00000000-0005-0000-0000-000033000000}"/>
    <cellStyle name="Monétaire 2" xfId="68" xr:uid="{00000000-0005-0000-0000-000034000000}"/>
    <cellStyle name="Neutral" xfId="69" xr:uid="{00000000-0005-0000-0000-000035000000}"/>
    <cellStyle name="Normal" xfId="0" builtinId="0"/>
    <cellStyle name="Normal 10" xfId="70" xr:uid="{00000000-0005-0000-0000-000037000000}"/>
    <cellStyle name="Normal 10 2" xfId="71" xr:uid="{00000000-0005-0000-0000-000038000000}"/>
    <cellStyle name="Normal 10 2 2" xfId="72" xr:uid="{00000000-0005-0000-0000-000039000000}"/>
    <cellStyle name="Normal 10 3" xfId="73" xr:uid="{00000000-0005-0000-0000-00003A000000}"/>
    <cellStyle name="Normal 10 3 2" xfId="74" xr:uid="{00000000-0005-0000-0000-00003B000000}"/>
    <cellStyle name="Normal 10 3 2 2" xfId="75" xr:uid="{00000000-0005-0000-0000-00003C000000}"/>
    <cellStyle name="Normal 10 3 2 3" xfId="76" xr:uid="{00000000-0005-0000-0000-00003D000000}"/>
    <cellStyle name="Normal 10 3 2 4" xfId="77" xr:uid="{00000000-0005-0000-0000-00003E000000}"/>
    <cellStyle name="Normal 10 3 2 5" xfId="78" xr:uid="{00000000-0005-0000-0000-00003F000000}"/>
    <cellStyle name="Normal 10 3 3" xfId="79" xr:uid="{00000000-0005-0000-0000-000040000000}"/>
    <cellStyle name="Normal 10 3 3 2" xfId="80" xr:uid="{00000000-0005-0000-0000-000041000000}"/>
    <cellStyle name="Normal 10 3 3 2 2" xfId="81" xr:uid="{00000000-0005-0000-0000-000042000000}"/>
    <cellStyle name="Normal 10 3 3 2 3" xfId="82" xr:uid="{00000000-0005-0000-0000-000043000000}"/>
    <cellStyle name="Normal 10 3 3 2 4" xfId="83" xr:uid="{00000000-0005-0000-0000-000044000000}"/>
    <cellStyle name="Normal 10 3 3 3" xfId="84" xr:uid="{00000000-0005-0000-0000-000045000000}"/>
    <cellStyle name="Normal 10 3 3 4" xfId="85" xr:uid="{00000000-0005-0000-0000-000046000000}"/>
    <cellStyle name="Normal 10 3 4" xfId="86" xr:uid="{00000000-0005-0000-0000-000047000000}"/>
    <cellStyle name="Normal 10 4" xfId="87" xr:uid="{00000000-0005-0000-0000-000048000000}"/>
    <cellStyle name="Normal 11" xfId="2" xr:uid="{00000000-0005-0000-0000-000049000000}"/>
    <cellStyle name="Normal 12" xfId="88" xr:uid="{00000000-0005-0000-0000-00004A000000}"/>
    <cellStyle name="Normal 12 2" xfId="89" xr:uid="{00000000-0005-0000-0000-00004B000000}"/>
    <cellStyle name="Normal 12 2 2" xfId="90" xr:uid="{00000000-0005-0000-0000-00004C000000}"/>
    <cellStyle name="Normal 13" xfId="91" xr:uid="{00000000-0005-0000-0000-00004D000000}"/>
    <cellStyle name="Normal 14" xfId="92" xr:uid="{00000000-0005-0000-0000-00004E000000}"/>
    <cellStyle name="Normal 15" xfId="93" xr:uid="{00000000-0005-0000-0000-00004F000000}"/>
    <cellStyle name="Normal 15 2" xfId="94" xr:uid="{00000000-0005-0000-0000-000050000000}"/>
    <cellStyle name="Normal 16" xfId="95" xr:uid="{00000000-0005-0000-0000-000051000000}"/>
    <cellStyle name="Normal 16 2" xfId="96" xr:uid="{00000000-0005-0000-0000-000052000000}"/>
    <cellStyle name="Normal 17" xfId="97" xr:uid="{00000000-0005-0000-0000-000053000000}"/>
    <cellStyle name="Normal 17 2" xfId="98" xr:uid="{00000000-0005-0000-0000-000054000000}"/>
    <cellStyle name="Normal 18" xfId="99" xr:uid="{00000000-0005-0000-0000-000055000000}"/>
    <cellStyle name="Normal 18 2" xfId="100" xr:uid="{00000000-0005-0000-0000-000056000000}"/>
    <cellStyle name="Normal 18 3" xfId="412" xr:uid="{00000000-0005-0000-0000-000057000000}"/>
    <cellStyle name="Normal 19" xfId="101" xr:uid="{00000000-0005-0000-0000-000058000000}"/>
    <cellStyle name="Normal 19 2" xfId="102" xr:uid="{00000000-0005-0000-0000-000059000000}"/>
    <cellStyle name="Normal 19 2 2" xfId="103" xr:uid="{00000000-0005-0000-0000-00005A000000}"/>
    <cellStyle name="Normal 2" xfId="104" xr:uid="{00000000-0005-0000-0000-00005B000000}"/>
    <cellStyle name="Normal 2 10" xfId="8" xr:uid="{00000000-0005-0000-0000-00005C000000}"/>
    <cellStyle name="Normal 2 11" xfId="7" xr:uid="{00000000-0005-0000-0000-00005D000000}"/>
    <cellStyle name="Normal 2 2" xfId="10" xr:uid="{00000000-0005-0000-0000-00005E000000}"/>
    <cellStyle name="Normal 2 3" xfId="105" xr:uid="{00000000-0005-0000-0000-00005F000000}"/>
    <cellStyle name="Normal 2 4" xfId="106" xr:uid="{00000000-0005-0000-0000-000060000000}"/>
    <cellStyle name="Normal 2 5" xfId="107" xr:uid="{00000000-0005-0000-0000-000061000000}"/>
    <cellStyle name="Normal 2 6" xfId="108" xr:uid="{00000000-0005-0000-0000-000062000000}"/>
    <cellStyle name="Normal 2 7" xfId="109" xr:uid="{00000000-0005-0000-0000-000063000000}"/>
    <cellStyle name="Normal 2 8" xfId="110" xr:uid="{00000000-0005-0000-0000-000064000000}"/>
    <cellStyle name="Normal 2 9" xfId="111" xr:uid="{00000000-0005-0000-0000-000065000000}"/>
    <cellStyle name="Normal 20" xfId="112" xr:uid="{00000000-0005-0000-0000-000066000000}"/>
    <cellStyle name="Normal 20 2" xfId="113" xr:uid="{00000000-0005-0000-0000-000067000000}"/>
    <cellStyle name="Normal 20 2 2" xfId="114" xr:uid="{00000000-0005-0000-0000-000068000000}"/>
    <cellStyle name="Normal 20 2 2 2" xfId="413" xr:uid="{00000000-0005-0000-0000-000069000000}"/>
    <cellStyle name="Normal 20 3" xfId="115" xr:uid="{00000000-0005-0000-0000-00006A000000}"/>
    <cellStyle name="Normal 21" xfId="116" xr:uid="{00000000-0005-0000-0000-00006B000000}"/>
    <cellStyle name="Normal 21 2" xfId="117" xr:uid="{00000000-0005-0000-0000-00006C000000}"/>
    <cellStyle name="Normal 22" xfId="9" xr:uid="{00000000-0005-0000-0000-00006D000000}"/>
    <cellStyle name="Normal 22 2" xfId="118" xr:uid="{00000000-0005-0000-0000-00006E000000}"/>
    <cellStyle name="Normal 23" xfId="119" xr:uid="{00000000-0005-0000-0000-00006F000000}"/>
    <cellStyle name="Normal 24" xfId="120" xr:uid="{00000000-0005-0000-0000-000070000000}"/>
    <cellStyle name="Normal 25" xfId="121" xr:uid="{00000000-0005-0000-0000-000071000000}"/>
    <cellStyle name="Normal 25 2" xfId="122" xr:uid="{00000000-0005-0000-0000-000072000000}"/>
    <cellStyle name="Normal 26" xfId="15" xr:uid="{00000000-0005-0000-0000-000073000000}"/>
    <cellStyle name="Normal 3" xfId="4" xr:uid="{00000000-0005-0000-0000-000074000000}"/>
    <cellStyle name="Normal 3 10" xfId="123" xr:uid="{00000000-0005-0000-0000-000075000000}"/>
    <cellStyle name="Normal 3 10 2" xfId="124" xr:uid="{00000000-0005-0000-0000-000076000000}"/>
    <cellStyle name="Normal 3 10 2 2" xfId="125" xr:uid="{00000000-0005-0000-0000-000077000000}"/>
    <cellStyle name="Normal 3 10 2 2 2" xfId="126" xr:uid="{00000000-0005-0000-0000-000078000000}"/>
    <cellStyle name="Normal 3 10 2 3" xfId="127" xr:uid="{00000000-0005-0000-0000-000079000000}"/>
    <cellStyle name="Normal 3 10 2 3 2" xfId="128" xr:uid="{00000000-0005-0000-0000-00007A000000}"/>
    <cellStyle name="Normal 3 10 2 4" xfId="129" xr:uid="{00000000-0005-0000-0000-00007B000000}"/>
    <cellStyle name="Normal 3 10 3" xfId="130" xr:uid="{00000000-0005-0000-0000-00007C000000}"/>
    <cellStyle name="Normal 3 10 3 2" xfId="131" xr:uid="{00000000-0005-0000-0000-00007D000000}"/>
    <cellStyle name="Normal 3 10 4" xfId="132" xr:uid="{00000000-0005-0000-0000-00007E000000}"/>
    <cellStyle name="Normal 3 11" xfId="133" xr:uid="{00000000-0005-0000-0000-00007F000000}"/>
    <cellStyle name="Normal 3 11 2" xfId="134" xr:uid="{00000000-0005-0000-0000-000080000000}"/>
    <cellStyle name="Normal 3 11 2 2" xfId="135" xr:uid="{00000000-0005-0000-0000-000081000000}"/>
    <cellStyle name="Normal 3 11 2 2 2" xfId="136" xr:uid="{00000000-0005-0000-0000-000082000000}"/>
    <cellStyle name="Normal 3 11 2 3" xfId="137" xr:uid="{00000000-0005-0000-0000-000083000000}"/>
    <cellStyle name="Normal 3 11 3" xfId="138" xr:uid="{00000000-0005-0000-0000-000084000000}"/>
    <cellStyle name="Normal 3 11 3 2" xfId="139" xr:uid="{00000000-0005-0000-0000-000085000000}"/>
    <cellStyle name="Normal 3 11 4" xfId="140" xr:uid="{00000000-0005-0000-0000-000086000000}"/>
    <cellStyle name="Normal 3 12" xfId="141" xr:uid="{00000000-0005-0000-0000-000087000000}"/>
    <cellStyle name="Normal 3 12 2" xfId="142" xr:uid="{00000000-0005-0000-0000-000088000000}"/>
    <cellStyle name="Normal 3 12 2 2" xfId="143" xr:uid="{00000000-0005-0000-0000-000089000000}"/>
    <cellStyle name="Normal 3 12 3" xfId="144" xr:uid="{00000000-0005-0000-0000-00008A000000}"/>
    <cellStyle name="Normal 3 13" xfId="145" xr:uid="{00000000-0005-0000-0000-00008B000000}"/>
    <cellStyle name="Normal 3 13 2" xfId="146" xr:uid="{00000000-0005-0000-0000-00008C000000}"/>
    <cellStyle name="Normal 3 14" xfId="147" xr:uid="{00000000-0005-0000-0000-00008D000000}"/>
    <cellStyle name="Normal 3 15" xfId="148" xr:uid="{00000000-0005-0000-0000-00008E000000}"/>
    <cellStyle name="Normal 3 16" xfId="6" xr:uid="{00000000-0005-0000-0000-00008F000000}"/>
    <cellStyle name="Normal 3 16 2" xfId="149" xr:uid="{00000000-0005-0000-0000-000090000000}"/>
    <cellStyle name="Normal 3 16 3" xfId="150" xr:uid="{00000000-0005-0000-0000-000091000000}"/>
    <cellStyle name="Normal 3 16 4" xfId="151" xr:uid="{00000000-0005-0000-0000-000092000000}"/>
    <cellStyle name="Normal 3 16 5" xfId="152" xr:uid="{00000000-0005-0000-0000-000093000000}"/>
    <cellStyle name="Normal 3 17" xfId="5" xr:uid="{00000000-0005-0000-0000-000094000000}"/>
    <cellStyle name="Normal 3 18" xfId="153" xr:uid="{00000000-0005-0000-0000-000095000000}"/>
    <cellStyle name="Normal 3 2" xfId="154" xr:uid="{00000000-0005-0000-0000-000096000000}"/>
    <cellStyle name="Normal 3 2 10" xfId="155" xr:uid="{00000000-0005-0000-0000-000097000000}"/>
    <cellStyle name="Normal 3 2 10 2" xfId="156" xr:uid="{00000000-0005-0000-0000-000098000000}"/>
    <cellStyle name="Normal 3 2 11" xfId="157" xr:uid="{00000000-0005-0000-0000-000099000000}"/>
    <cellStyle name="Normal 3 2 11 2" xfId="158" xr:uid="{00000000-0005-0000-0000-00009A000000}"/>
    <cellStyle name="Normal 3 2 12" xfId="159" xr:uid="{00000000-0005-0000-0000-00009B000000}"/>
    <cellStyle name="Normal 3 2 2" xfId="160" xr:uid="{00000000-0005-0000-0000-00009C000000}"/>
    <cellStyle name="Normal 3 2 2 2" xfId="161" xr:uid="{00000000-0005-0000-0000-00009D000000}"/>
    <cellStyle name="Normal 3 2 2 2 2" xfId="162" xr:uid="{00000000-0005-0000-0000-00009E000000}"/>
    <cellStyle name="Normal 3 2 2 2 2 2" xfId="163" xr:uid="{00000000-0005-0000-0000-00009F000000}"/>
    <cellStyle name="Normal 3 2 2 2 3" xfId="164" xr:uid="{00000000-0005-0000-0000-0000A0000000}"/>
    <cellStyle name="Normal 3 2 2 3" xfId="165" xr:uid="{00000000-0005-0000-0000-0000A1000000}"/>
    <cellStyle name="Normal 3 2 2 3 2" xfId="166" xr:uid="{00000000-0005-0000-0000-0000A2000000}"/>
    <cellStyle name="Normal 3 2 2 3 2 2" xfId="167" xr:uid="{00000000-0005-0000-0000-0000A3000000}"/>
    <cellStyle name="Normal 3 2 2 3 3" xfId="168" xr:uid="{00000000-0005-0000-0000-0000A4000000}"/>
    <cellStyle name="Normal 3 2 2 4" xfId="169" xr:uid="{00000000-0005-0000-0000-0000A5000000}"/>
    <cellStyle name="Normal 3 2 2 4 2" xfId="170" xr:uid="{00000000-0005-0000-0000-0000A6000000}"/>
    <cellStyle name="Normal 3 2 2 4 2 2" xfId="171" xr:uid="{00000000-0005-0000-0000-0000A7000000}"/>
    <cellStyle name="Normal 3 2 2 4 3" xfId="172" xr:uid="{00000000-0005-0000-0000-0000A8000000}"/>
    <cellStyle name="Normal 3 2 2 5" xfId="173" xr:uid="{00000000-0005-0000-0000-0000A9000000}"/>
    <cellStyle name="Normal 3 2 2 5 2" xfId="174" xr:uid="{00000000-0005-0000-0000-0000AA000000}"/>
    <cellStyle name="Normal 3 2 2 6" xfId="175" xr:uid="{00000000-0005-0000-0000-0000AB000000}"/>
    <cellStyle name="Normal 3 2 2 6 2" xfId="176" xr:uid="{00000000-0005-0000-0000-0000AC000000}"/>
    <cellStyle name="Normal 3 2 2 7" xfId="177" xr:uid="{00000000-0005-0000-0000-0000AD000000}"/>
    <cellStyle name="Normal 3 2 2 7 2" xfId="178" xr:uid="{00000000-0005-0000-0000-0000AE000000}"/>
    <cellStyle name="Normal 3 2 2 8" xfId="179" xr:uid="{00000000-0005-0000-0000-0000AF000000}"/>
    <cellStyle name="Normal 3 2 2 8 2" xfId="180" xr:uid="{00000000-0005-0000-0000-0000B0000000}"/>
    <cellStyle name="Normal 3 2 2 9" xfId="181" xr:uid="{00000000-0005-0000-0000-0000B1000000}"/>
    <cellStyle name="Normal 3 2 3" xfId="182" xr:uid="{00000000-0005-0000-0000-0000B2000000}"/>
    <cellStyle name="Normal 3 2 3 2" xfId="183" xr:uid="{00000000-0005-0000-0000-0000B3000000}"/>
    <cellStyle name="Normal 3 2 3 2 2" xfId="184" xr:uid="{00000000-0005-0000-0000-0000B4000000}"/>
    <cellStyle name="Normal 3 2 3 2 2 2" xfId="185" xr:uid="{00000000-0005-0000-0000-0000B5000000}"/>
    <cellStyle name="Normal 3 2 3 2 3" xfId="186" xr:uid="{00000000-0005-0000-0000-0000B6000000}"/>
    <cellStyle name="Normal 3 2 3 3" xfId="187" xr:uid="{00000000-0005-0000-0000-0000B7000000}"/>
    <cellStyle name="Normal 3 2 3 3 2" xfId="188" xr:uid="{00000000-0005-0000-0000-0000B8000000}"/>
    <cellStyle name="Normal 3 2 3 3 2 2" xfId="189" xr:uid="{00000000-0005-0000-0000-0000B9000000}"/>
    <cellStyle name="Normal 3 2 3 3 3" xfId="190" xr:uid="{00000000-0005-0000-0000-0000BA000000}"/>
    <cellStyle name="Normal 3 2 3 4" xfId="191" xr:uid="{00000000-0005-0000-0000-0000BB000000}"/>
    <cellStyle name="Normal 3 2 3 4 2" xfId="192" xr:uid="{00000000-0005-0000-0000-0000BC000000}"/>
    <cellStyle name="Normal 3 2 3 4 2 2" xfId="193" xr:uid="{00000000-0005-0000-0000-0000BD000000}"/>
    <cellStyle name="Normal 3 2 3 4 3" xfId="194" xr:uid="{00000000-0005-0000-0000-0000BE000000}"/>
    <cellStyle name="Normal 3 2 3 5" xfId="195" xr:uid="{00000000-0005-0000-0000-0000BF000000}"/>
    <cellStyle name="Normal 3 2 3 5 2" xfId="196" xr:uid="{00000000-0005-0000-0000-0000C0000000}"/>
    <cellStyle name="Normal 3 2 3 6" xfId="197" xr:uid="{00000000-0005-0000-0000-0000C1000000}"/>
    <cellStyle name="Normal 3 2 3 6 2" xfId="198" xr:uid="{00000000-0005-0000-0000-0000C2000000}"/>
    <cellStyle name="Normal 3 2 3 7" xfId="199" xr:uid="{00000000-0005-0000-0000-0000C3000000}"/>
    <cellStyle name="Normal 3 2 3 7 2" xfId="200" xr:uid="{00000000-0005-0000-0000-0000C4000000}"/>
    <cellStyle name="Normal 3 2 3 8" xfId="201" xr:uid="{00000000-0005-0000-0000-0000C5000000}"/>
    <cellStyle name="Normal 3 2 3 8 2" xfId="202" xr:uid="{00000000-0005-0000-0000-0000C6000000}"/>
    <cellStyle name="Normal 3 2 3 9" xfId="203" xr:uid="{00000000-0005-0000-0000-0000C7000000}"/>
    <cellStyle name="Normal 3 2 4" xfId="204" xr:uid="{00000000-0005-0000-0000-0000C8000000}"/>
    <cellStyle name="Normal 3 2 4 2" xfId="205" xr:uid="{00000000-0005-0000-0000-0000C9000000}"/>
    <cellStyle name="Normal 3 2 4 2 2" xfId="206" xr:uid="{00000000-0005-0000-0000-0000CA000000}"/>
    <cellStyle name="Normal 3 2 4 2 2 2" xfId="207" xr:uid="{00000000-0005-0000-0000-0000CB000000}"/>
    <cellStyle name="Normal 3 2 4 2 3" xfId="208" xr:uid="{00000000-0005-0000-0000-0000CC000000}"/>
    <cellStyle name="Normal 3 2 4 3" xfId="209" xr:uid="{00000000-0005-0000-0000-0000CD000000}"/>
    <cellStyle name="Normal 3 2 4 3 2" xfId="210" xr:uid="{00000000-0005-0000-0000-0000CE000000}"/>
    <cellStyle name="Normal 3 2 4 3 2 2" xfId="211" xr:uid="{00000000-0005-0000-0000-0000CF000000}"/>
    <cellStyle name="Normal 3 2 4 3 2 2 2" xfId="212" xr:uid="{00000000-0005-0000-0000-0000D0000000}"/>
    <cellStyle name="Normal 3 2 4 3 2 3" xfId="213" xr:uid="{00000000-0005-0000-0000-0000D1000000}"/>
    <cellStyle name="Normal 3 2 4 3 2 3 2" xfId="214" xr:uid="{00000000-0005-0000-0000-0000D2000000}"/>
    <cellStyle name="Normal 3 2 4 3 2 3 2 2" xfId="215" xr:uid="{00000000-0005-0000-0000-0000D3000000}"/>
    <cellStyle name="Normal 3 2 4 3 2 3 3" xfId="216" xr:uid="{00000000-0005-0000-0000-0000D4000000}"/>
    <cellStyle name="Normal 3 2 4 3 2 4" xfId="217" xr:uid="{00000000-0005-0000-0000-0000D5000000}"/>
    <cellStyle name="Normal 3 2 4 3 3" xfId="218" xr:uid="{00000000-0005-0000-0000-0000D6000000}"/>
    <cellStyle name="Normal 3 2 4 4" xfId="219" xr:uid="{00000000-0005-0000-0000-0000D7000000}"/>
    <cellStyle name="Normal 3 2 5" xfId="220" xr:uid="{00000000-0005-0000-0000-0000D8000000}"/>
    <cellStyle name="Normal 3 2 5 2" xfId="221" xr:uid="{00000000-0005-0000-0000-0000D9000000}"/>
    <cellStyle name="Normal 3 2 5 2 2" xfId="222" xr:uid="{00000000-0005-0000-0000-0000DA000000}"/>
    <cellStyle name="Normal 3 2 5 3" xfId="223" xr:uid="{00000000-0005-0000-0000-0000DB000000}"/>
    <cellStyle name="Normal 3 2 6" xfId="224" xr:uid="{00000000-0005-0000-0000-0000DC000000}"/>
    <cellStyle name="Normal 3 2 6 2" xfId="225" xr:uid="{00000000-0005-0000-0000-0000DD000000}"/>
    <cellStyle name="Normal 3 2 6 2 2" xfId="226" xr:uid="{00000000-0005-0000-0000-0000DE000000}"/>
    <cellStyle name="Normal 3 2 6 3" xfId="227" xr:uid="{00000000-0005-0000-0000-0000DF000000}"/>
    <cellStyle name="Normal 3 2 7" xfId="228" xr:uid="{00000000-0005-0000-0000-0000E0000000}"/>
    <cellStyle name="Normal 3 2 7 2" xfId="229" xr:uid="{00000000-0005-0000-0000-0000E1000000}"/>
    <cellStyle name="Normal 3 2 7 2 2" xfId="230" xr:uid="{00000000-0005-0000-0000-0000E2000000}"/>
    <cellStyle name="Normal 3 2 7 3" xfId="231" xr:uid="{00000000-0005-0000-0000-0000E3000000}"/>
    <cellStyle name="Normal 3 2 8" xfId="232" xr:uid="{00000000-0005-0000-0000-0000E4000000}"/>
    <cellStyle name="Normal 3 2 8 2" xfId="233" xr:uid="{00000000-0005-0000-0000-0000E5000000}"/>
    <cellStyle name="Normal 3 2 9" xfId="234" xr:uid="{00000000-0005-0000-0000-0000E6000000}"/>
    <cellStyle name="Normal 3 2 9 2" xfId="235" xr:uid="{00000000-0005-0000-0000-0000E7000000}"/>
    <cellStyle name="Normal 3 3" xfId="236" xr:uid="{00000000-0005-0000-0000-0000E8000000}"/>
    <cellStyle name="Normal 3 4" xfId="237" xr:uid="{00000000-0005-0000-0000-0000E9000000}"/>
    <cellStyle name="Normal 3 4 2" xfId="238" xr:uid="{00000000-0005-0000-0000-0000EA000000}"/>
    <cellStyle name="Normal 3 4 2 2" xfId="239" xr:uid="{00000000-0005-0000-0000-0000EB000000}"/>
    <cellStyle name="Normal 3 4 2 2 2" xfId="240" xr:uid="{00000000-0005-0000-0000-0000EC000000}"/>
    <cellStyle name="Normal 3 4 2 3" xfId="241" xr:uid="{00000000-0005-0000-0000-0000ED000000}"/>
    <cellStyle name="Normal 3 4 3" xfId="242" xr:uid="{00000000-0005-0000-0000-0000EE000000}"/>
    <cellStyle name="Normal 3 4 3 2" xfId="243" xr:uid="{00000000-0005-0000-0000-0000EF000000}"/>
    <cellStyle name="Normal 3 4 3 2 2" xfId="244" xr:uid="{00000000-0005-0000-0000-0000F0000000}"/>
    <cellStyle name="Normal 3 4 3 3" xfId="245" xr:uid="{00000000-0005-0000-0000-0000F1000000}"/>
    <cellStyle name="Normal 3 4 4" xfId="246" xr:uid="{00000000-0005-0000-0000-0000F2000000}"/>
    <cellStyle name="Normal 3 4 4 2" xfId="247" xr:uid="{00000000-0005-0000-0000-0000F3000000}"/>
    <cellStyle name="Normal 3 4 4 2 2" xfId="248" xr:uid="{00000000-0005-0000-0000-0000F4000000}"/>
    <cellStyle name="Normal 3 4 4 3" xfId="249" xr:uid="{00000000-0005-0000-0000-0000F5000000}"/>
    <cellStyle name="Normal 3 4 5" xfId="250" xr:uid="{00000000-0005-0000-0000-0000F6000000}"/>
    <cellStyle name="Normal 3 4 5 2" xfId="251" xr:uid="{00000000-0005-0000-0000-0000F7000000}"/>
    <cellStyle name="Normal 3 4 6" xfId="252" xr:uid="{00000000-0005-0000-0000-0000F8000000}"/>
    <cellStyle name="Normal 3 4 6 2" xfId="253" xr:uid="{00000000-0005-0000-0000-0000F9000000}"/>
    <cellStyle name="Normal 3 4 7" xfId="254" xr:uid="{00000000-0005-0000-0000-0000FA000000}"/>
    <cellStyle name="Normal 3 4 7 2" xfId="255" xr:uid="{00000000-0005-0000-0000-0000FB000000}"/>
    <cellStyle name="Normal 3 4 8" xfId="256" xr:uid="{00000000-0005-0000-0000-0000FC000000}"/>
    <cellStyle name="Normal 3 4 8 2" xfId="257" xr:uid="{00000000-0005-0000-0000-0000FD000000}"/>
    <cellStyle name="Normal 3 4 9" xfId="258" xr:uid="{00000000-0005-0000-0000-0000FE000000}"/>
    <cellStyle name="Normal 3 5" xfId="259" xr:uid="{00000000-0005-0000-0000-0000FF000000}"/>
    <cellStyle name="Normal 3 5 2" xfId="260" xr:uid="{00000000-0005-0000-0000-000000010000}"/>
    <cellStyle name="Normal 3 5 2 2" xfId="261" xr:uid="{00000000-0005-0000-0000-000001010000}"/>
    <cellStyle name="Normal 3 5 2 2 2" xfId="262" xr:uid="{00000000-0005-0000-0000-000002010000}"/>
    <cellStyle name="Normal 3 5 2 3" xfId="263" xr:uid="{00000000-0005-0000-0000-000003010000}"/>
    <cellStyle name="Normal 3 5 3" xfId="264" xr:uid="{00000000-0005-0000-0000-000004010000}"/>
    <cellStyle name="Normal 3 5 3 2" xfId="265" xr:uid="{00000000-0005-0000-0000-000005010000}"/>
    <cellStyle name="Normal 3 5 3 2 2" xfId="266" xr:uid="{00000000-0005-0000-0000-000006010000}"/>
    <cellStyle name="Normal 3 5 3 3" xfId="267" xr:uid="{00000000-0005-0000-0000-000007010000}"/>
    <cellStyle name="Normal 3 5 4" xfId="268" xr:uid="{00000000-0005-0000-0000-000008010000}"/>
    <cellStyle name="Normal 3 5 4 2" xfId="269" xr:uid="{00000000-0005-0000-0000-000009010000}"/>
    <cellStyle name="Normal 3 5 4 2 2" xfId="270" xr:uid="{00000000-0005-0000-0000-00000A010000}"/>
    <cellStyle name="Normal 3 5 4 3" xfId="271" xr:uid="{00000000-0005-0000-0000-00000B010000}"/>
    <cellStyle name="Normal 3 5 5" xfId="272" xr:uid="{00000000-0005-0000-0000-00000C010000}"/>
    <cellStyle name="Normal 3 5 5 2" xfId="273" xr:uid="{00000000-0005-0000-0000-00000D010000}"/>
    <cellStyle name="Normal 3 5 6" xfId="274" xr:uid="{00000000-0005-0000-0000-00000E010000}"/>
    <cellStyle name="Normal 3 5 6 2" xfId="275" xr:uid="{00000000-0005-0000-0000-00000F010000}"/>
    <cellStyle name="Normal 3 5 7" xfId="276" xr:uid="{00000000-0005-0000-0000-000010010000}"/>
    <cellStyle name="Normal 3 5 7 2" xfId="277" xr:uid="{00000000-0005-0000-0000-000011010000}"/>
    <cellStyle name="Normal 3 5 8" xfId="278" xr:uid="{00000000-0005-0000-0000-000012010000}"/>
    <cellStyle name="Normal 3 5 8 2" xfId="279" xr:uid="{00000000-0005-0000-0000-000013010000}"/>
    <cellStyle name="Normal 3 5 9" xfId="280" xr:uid="{00000000-0005-0000-0000-000014010000}"/>
    <cellStyle name="Normal 3 6" xfId="281" xr:uid="{00000000-0005-0000-0000-000015010000}"/>
    <cellStyle name="Normal 3 6 2" xfId="282" xr:uid="{00000000-0005-0000-0000-000016010000}"/>
    <cellStyle name="Normal 3 6 2 2" xfId="283" xr:uid="{00000000-0005-0000-0000-000017010000}"/>
    <cellStyle name="Normal 3 6 2 2 2" xfId="284" xr:uid="{00000000-0005-0000-0000-000018010000}"/>
    <cellStyle name="Normal 3 6 2 3" xfId="285" xr:uid="{00000000-0005-0000-0000-000019010000}"/>
    <cellStyle name="Normal 3 6 3" xfId="286" xr:uid="{00000000-0005-0000-0000-00001A010000}"/>
    <cellStyle name="Normal 3 6 3 2" xfId="287" xr:uid="{00000000-0005-0000-0000-00001B010000}"/>
    <cellStyle name="Normal 3 6 3 2 2" xfId="288" xr:uid="{00000000-0005-0000-0000-00001C010000}"/>
    <cellStyle name="Normal 3 6 3 3" xfId="289" xr:uid="{00000000-0005-0000-0000-00001D010000}"/>
    <cellStyle name="Normal 3 6 4" xfId="290" xr:uid="{00000000-0005-0000-0000-00001E010000}"/>
    <cellStyle name="Normal 3 6 4 2" xfId="291" xr:uid="{00000000-0005-0000-0000-00001F010000}"/>
    <cellStyle name="Normal 3 6 4 2 2" xfId="292" xr:uid="{00000000-0005-0000-0000-000020010000}"/>
    <cellStyle name="Normal 3 6 4 3" xfId="293" xr:uid="{00000000-0005-0000-0000-000021010000}"/>
    <cellStyle name="Normal 3 6 5" xfId="294" xr:uid="{00000000-0005-0000-0000-000022010000}"/>
    <cellStyle name="Normal 3 6 5 2" xfId="295" xr:uid="{00000000-0005-0000-0000-000023010000}"/>
    <cellStyle name="Normal 3 6 6" xfId="296" xr:uid="{00000000-0005-0000-0000-000024010000}"/>
    <cellStyle name="Normal 3 6 6 2" xfId="297" xr:uid="{00000000-0005-0000-0000-000025010000}"/>
    <cellStyle name="Normal 3 6 7" xfId="298" xr:uid="{00000000-0005-0000-0000-000026010000}"/>
    <cellStyle name="Normal 3 6 7 2" xfId="299" xr:uid="{00000000-0005-0000-0000-000027010000}"/>
    <cellStyle name="Normal 3 6 8" xfId="300" xr:uid="{00000000-0005-0000-0000-000028010000}"/>
    <cellStyle name="Normal 3 6 8 2" xfId="301" xr:uid="{00000000-0005-0000-0000-000029010000}"/>
    <cellStyle name="Normal 3 6 9" xfId="302" xr:uid="{00000000-0005-0000-0000-00002A010000}"/>
    <cellStyle name="Normal 3 7" xfId="303" xr:uid="{00000000-0005-0000-0000-00002B010000}"/>
    <cellStyle name="Normal 3 7 2" xfId="304" xr:uid="{00000000-0005-0000-0000-00002C010000}"/>
    <cellStyle name="Normal 3 7 2 2" xfId="305" xr:uid="{00000000-0005-0000-0000-00002D010000}"/>
    <cellStyle name="Normal 3 7 2 2 2" xfId="306" xr:uid="{00000000-0005-0000-0000-00002E010000}"/>
    <cellStyle name="Normal 3 7 2 3" xfId="307" xr:uid="{00000000-0005-0000-0000-00002F010000}"/>
    <cellStyle name="Normal 3 7 3" xfId="308" xr:uid="{00000000-0005-0000-0000-000030010000}"/>
    <cellStyle name="Normal 3 7 3 2" xfId="309" xr:uid="{00000000-0005-0000-0000-000031010000}"/>
    <cellStyle name="Normal 3 7 4" xfId="310" xr:uid="{00000000-0005-0000-0000-000032010000}"/>
    <cellStyle name="Normal 3 8" xfId="311" xr:uid="{00000000-0005-0000-0000-000033010000}"/>
    <cellStyle name="Normal 3 8 2" xfId="312" xr:uid="{00000000-0005-0000-0000-000034010000}"/>
    <cellStyle name="Normal 3 8 2 2" xfId="313" xr:uid="{00000000-0005-0000-0000-000035010000}"/>
    <cellStyle name="Normal 3 8 3" xfId="314" xr:uid="{00000000-0005-0000-0000-000036010000}"/>
    <cellStyle name="Normal 3 9" xfId="315" xr:uid="{00000000-0005-0000-0000-000037010000}"/>
    <cellStyle name="Normal 3 9 2" xfId="316" xr:uid="{00000000-0005-0000-0000-000038010000}"/>
    <cellStyle name="Normal 3 9 2 2" xfId="317" xr:uid="{00000000-0005-0000-0000-000039010000}"/>
    <cellStyle name="Normal 3 9 3" xfId="318" xr:uid="{00000000-0005-0000-0000-00003A010000}"/>
    <cellStyle name="Normal 4" xfId="17" xr:uid="{00000000-0005-0000-0000-00003B010000}"/>
    <cellStyle name="Normal 5" xfId="319" xr:uid="{00000000-0005-0000-0000-00003C010000}"/>
    <cellStyle name="Normal 5 10" xfId="320" xr:uid="{00000000-0005-0000-0000-00003D010000}"/>
    <cellStyle name="Normal 5 10 2" xfId="321" xr:uid="{00000000-0005-0000-0000-00003E010000}"/>
    <cellStyle name="Normal 5 11" xfId="322" xr:uid="{00000000-0005-0000-0000-00003F010000}"/>
    <cellStyle name="Normal 5 2" xfId="323" xr:uid="{00000000-0005-0000-0000-000040010000}"/>
    <cellStyle name="Normal 5 2 2" xfId="324" xr:uid="{00000000-0005-0000-0000-000041010000}"/>
    <cellStyle name="Normal 5 2 2 2" xfId="325" xr:uid="{00000000-0005-0000-0000-000042010000}"/>
    <cellStyle name="Normal 5 2 3" xfId="326" xr:uid="{00000000-0005-0000-0000-000043010000}"/>
    <cellStyle name="Normal 5 3" xfId="327" xr:uid="{00000000-0005-0000-0000-000044010000}"/>
    <cellStyle name="Normal 5 3 2" xfId="328" xr:uid="{00000000-0005-0000-0000-000045010000}"/>
    <cellStyle name="Normal 5 3 2 2" xfId="329" xr:uid="{00000000-0005-0000-0000-000046010000}"/>
    <cellStyle name="Normal 5 3 3" xfId="330" xr:uid="{00000000-0005-0000-0000-000047010000}"/>
    <cellStyle name="Normal 5 4" xfId="331" xr:uid="{00000000-0005-0000-0000-000048010000}"/>
    <cellStyle name="Normal 5 4 2" xfId="332" xr:uid="{00000000-0005-0000-0000-000049010000}"/>
    <cellStyle name="Normal 5 4 2 2" xfId="333" xr:uid="{00000000-0005-0000-0000-00004A010000}"/>
    <cellStyle name="Normal 5 4 3" xfId="334" xr:uid="{00000000-0005-0000-0000-00004B010000}"/>
    <cellStyle name="Normal 5 5" xfId="335" xr:uid="{00000000-0005-0000-0000-00004C010000}"/>
    <cellStyle name="Normal 5 5 2" xfId="336" xr:uid="{00000000-0005-0000-0000-00004D010000}"/>
    <cellStyle name="Normal 5 5 2 2" xfId="337" xr:uid="{00000000-0005-0000-0000-00004E010000}"/>
    <cellStyle name="Normal 5 5 3" xfId="338" xr:uid="{00000000-0005-0000-0000-00004F010000}"/>
    <cellStyle name="Normal 5 6" xfId="339" xr:uid="{00000000-0005-0000-0000-000050010000}"/>
    <cellStyle name="Normal 5 6 2" xfId="340" xr:uid="{00000000-0005-0000-0000-000051010000}"/>
    <cellStyle name="Normal 5 7" xfId="341" xr:uid="{00000000-0005-0000-0000-000052010000}"/>
    <cellStyle name="Normal 5 7 2" xfId="342" xr:uid="{00000000-0005-0000-0000-000053010000}"/>
    <cellStyle name="Normal 5 8" xfId="343" xr:uid="{00000000-0005-0000-0000-000054010000}"/>
    <cellStyle name="Normal 5 8 2" xfId="344" xr:uid="{00000000-0005-0000-0000-000055010000}"/>
    <cellStyle name="Normal 5 9" xfId="345" xr:uid="{00000000-0005-0000-0000-000056010000}"/>
    <cellStyle name="Normal 5 9 2" xfId="346" xr:uid="{00000000-0005-0000-0000-000057010000}"/>
    <cellStyle name="Normal 6" xfId="347" xr:uid="{00000000-0005-0000-0000-000058010000}"/>
    <cellStyle name="Normal 6 10" xfId="348" xr:uid="{00000000-0005-0000-0000-000059010000}"/>
    <cellStyle name="Normal 6 10 2" xfId="349" xr:uid="{00000000-0005-0000-0000-00005A010000}"/>
    <cellStyle name="Normal 6 11" xfId="350" xr:uid="{00000000-0005-0000-0000-00005B010000}"/>
    <cellStyle name="Normal 6 11 2" xfId="351" xr:uid="{00000000-0005-0000-0000-00005C010000}"/>
    <cellStyle name="Normal 6 11 2 2" xfId="352" xr:uid="{00000000-0005-0000-0000-00005D010000}"/>
    <cellStyle name="Normal 6 11 2 2 2" xfId="13" xr:uid="{00000000-0005-0000-0000-00005E010000}"/>
    <cellStyle name="Normal 6 11 2 3" xfId="353" xr:uid="{00000000-0005-0000-0000-00005F010000}"/>
    <cellStyle name="Normal 6 11 3" xfId="354" xr:uid="{00000000-0005-0000-0000-000060010000}"/>
    <cellStyle name="Normal 6 11 4" xfId="355" xr:uid="{00000000-0005-0000-0000-000061010000}"/>
    <cellStyle name="Normal 6 11 4 2" xfId="11" xr:uid="{00000000-0005-0000-0000-000062010000}"/>
    <cellStyle name="Normal 6 12" xfId="356" xr:uid="{00000000-0005-0000-0000-000063010000}"/>
    <cellStyle name="Normal 6 2" xfId="357" xr:uid="{00000000-0005-0000-0000-000064010000}"/>
    <cellStyle name="Normal 6 2 2" xfId="358" xr:uid="{00000000-0005-0000-0000-000065010000}"/>
    <cellStyle name="Normal 6 2 2 2" xfId="359" xr:uid="{00000000-0005-0000-0000-000066010000}"/>
    <cellStyle name="Normal 6 2 3" xfId="360" xr:uid="{00000000-0005-0000-0000-000067010000}"/>
    <cellStyle name="Normal 6 3" xfId="361" xr:uid="{00000000-0005-0000-0000-000068010000}"/>
    <cellStyle name="Normal 6 3 2" xfId="362" xr:uid="{00000000-0005-0000-0000-000069010000}"/>
    <cellStyle name="Normal 6 3 2 2" xfId="363" xr:uid="{00000000-0005-0000-0000-00006A010000}"/>
    <cellStyle name="Normal 6 3 3" xfId="364" xr:uid="{00000000-0005-0000-0000-00006B010000}"/>
    <cellStyle name="Normal 6 4" xfId="365" xr:uid="{00000000-0005-0000-0000-00006C010000}"/>
    <cellStyle name="Normal 6 4 2" xfId="366" xr:uid="{00000000-0005-0000-0000-00006D010000}"/>
    <cellStyle name="Normal 6 4 2 2" xfId="367" xr:uid="{00000000-0005-0000-0000-00006E010000}"/>
    <cellStyle name="Normal 6 4 3" xfId="368" xr:uid="{00000000-0005-0000-0000-00006F010000}"/>
    <cellStyle name="Normal 6 5" xfId="369" xr:uid="{00000000-0005-0000-0000-000070010000}"/>
    <cellStyle name="Normal 6 5 2" xfId="370" xr:uid="{00000000-0005-0000-0000-000071010000}"/>
    <cellStyle name="Normal 6 5 2 2" xfId="371" xr:uid="{00000000-0005-0000-0000-000072010000}"/>
    <cellStyle name="Normal 6 5 3" xfId="372" xr:uid="{00000000-0005-0000-0000-000073010000}"/>
    <cellStyle name="Normal 6 6" xfId="373" xr:uid="{00000000-0005-0000-0000-000074010000}"/>
    <cellStyle name="Normal 6 6 2" xfId="374" xr:uid="{00000000-0005-0000-0000-000075010000}"/>
    <cellStyle name="Normal 6 7" xfId="375" xr:uid="{00000000-0005-0000-0000-000076010000}"/>
    <cellStyle name="Normal 6 7 2" xfId="376" xr:uid="{00000000-0005-0000-0000-000077010000}"/>
    <cellStyle name="Normal 6 8" xfId="377" xr:uid="{00000000-0005-0000-0000-000078010000}"/>
    <cellStyle name="Normal 6 8 2" xfId="378" xr:uid="{00000000-0005-0000-0000-000079010000}"/>
    <cellStyle name="Normal 6 9" xfId="379" xr:uid="{00000000-0005-0000-0000-00007A010000}"/>
    <cellStyle name="Normal 6 9 2" xfId="380" xr:uid="{00000000-0005-0000-0000-00007B010000}"/>
    <cellStyle name="Normal 7" xfId="381" xr:uid="{00000000-0005-0000-0000-00007C010000}"/>
    <cellStyle name="Normal 8" xfId="382" xr:uid="{00000000-0005-0000-0000-00007D010000}"/>
    <cellStyle name="Normal 8 2" xfId="383" xr:uid="{00000000-0005-0000-0000-00007E010000}"/>
    <cellStyle name="Normal 8 2 2" xfId="384" xr:uid="{00000000-0005-0000-0000-00007F010000}"/>
    <cellStyle name="Normal 8 2 2 2" xfId="385" xr:uid="{00000000-0005-0000-0000-000080010000}"/>
    <cellStyle name="Normal 8 2 3" xfId="386" xr:uid="{00000000-0005-0000-0000-000081010000}"/>
    <cellStyle name="Normal 8 2 3 2" xfId="387" xr:uid="{00000000-0005-0000-0000-000082010000}"/>
    <cellStyle name="Normal 8 2 4" xfId="388" xr:uid="{00000000-0005-0000-0000-000083010000}"/>
    <cellStyle name="Normal 8 3" xfId="389" xr:uid="{00000000-0005-0000-0000-000084010000}"/>
    <cellStyle name="Normal 8 3 2" xfId="390" xr:uid="{00000000-0005-0000-0000-000085010000}"/>
    <cellStyle name="Normal 8 4" xfId="391" xr:uid="{00000000-0005-0000-0000-000086010000}"/>
    <cellStyle name="Normal 8 4 2" xfId="392" xr:uid="{00000000-0005-0000-0000-000087010000}"/>
    <cellStyle name="Normal 8 5" xfId="393" xr:uid="{00000000-0005-0000-0000-000088010000}"/>
    <cellStyle name="Normal 8 5 2" xfId="394" xr:uid="{00000000-0005-0000-0000-000089010000}"/>
    <cellStyle name="Normal 8 6" xfId="395" xr:uid="{00000000-0005-0000-0000-00008A010000}"/>
    <cellStyle name="Normal 8 7" xfId="396" xr:uid="{00000000-0005-0000-0000-00008B010000}"/>
    <cellStyle name="Normal 8 7 2" xfId="397" xr:uid="{00000000-0005-0000-0000-00008C010000}"/>
    <cellStyle name="Normal 8 8" xfId="398" xr:uid="{00000000-0005-0000-0000-00008D010000}"/>
    <cellStyle name="Normal 9" xfId="399" xr:uid="{00000000-0005-0000-0000-00008E010000}"/>
    <cellStyle name="Normal 9 2" xfId="400" xr:uid="{00000000-0005-0000-0000-00008F010000}"/>
    <cellStyle name="Normal 9 2 2" xfId="401" xr:uid="{00000000-0005-0000-0000-000090010000}"/>
    <cellStyle name="Normal 9 3" xfId="402" xr:uid="{00000000-0005-0000-0000-000091010000}"/>
    <cellStyle name="Note" xfId="403" xr:uid="{00000000-0005-0000-0000-000092010000}"/>
    <cellStyle name="Note 2" xfId="404" xr:uid="{00000000-0005-0000-0000-000093010000}"/>
    <cellStyle name="Output" xfId="405" xr:uid="{00000000-0005-0000-0000-000094010000}"/>
    <cellStyle name="Pourcentage" xfId="3" builtinId="5"/>
    <cellStyle name="Pourcentage 2" xfId="14" xr:uid="{00000000-0005-0000-0000-000096010000}"/>
    <cellStyle name="Pourcentage 2 2" xfId="406" xr:uid="{00000000-0005-0000-0000-000097010000}"/>
    <cellStyle name="Pourcentage 2 2 2" xfId="407" xr:uid="{00000000-0005-0000-0000-000098010000}"/>
    <cellStyle name="Pourcentage 2 3" xfId="408" xr:uid="{00000000-0005-0000-0000-000099010000}"/>
    <cellStyle name="Pourcentage 3" xfId="409" xr:uid="{00000000-0005-0000-0000-00009A010000}"/>
    <cellStyle name="Pourcentage 4" xfId="16" xr:uid="{00000000-0005-0000-0000-00009B010000}"/>
    <cellStyle name="Title" xfId="410" xr:uid="{00000000-0005-0000-0000-00009C010000}"/>
    <cellStyle name="Warning Text" xfId="411" xr:uid="{00000000-0005-0000-0000-00009D010000}"/>
  </cellStyles>
  <dxfs count="420">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theme="0" tint="-0.34998626667073579"/>
        </patternFill>
      </fill>
    </dxf>
    <dxf>
      <fill>
        <patternFill>
          <bgColor rgb="FFFFFF00"/>
        </patternFill>
      </fill>
    </dxf>
  </dxfs>
  <tableStyles count="0" defaultTableStyle="TableStyleMedium2" defaultPivotStyle="PivotStyleLight16"/>
  <colors>
    <mruColors>
      <color rgb="FFFFFF99"/>
      <color rgb="FFB6FC9A"/>
      <color rgb="FFFFFFCC"/>
      <color rgb="FF6AE838"/>
      <color rgb="FFFF6699"/>
      <color rgb="FFFFEFFF"/>
      <color rgb="FFF3FEFF"/>
      <color rgb="FFF47E66"/>
      <color rgb="FFEEFFE1"/>
      <color rgb="FFFED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3.xml"/><Relationship Id="rId117" Type="http://schemas.openxmlformats.org/officeDocument/2006/relationships/worksheet" Target="worksheets/sheet99.xml"/><Relationship Id="rId21" Type="http://schemas.openxmlformats.org/officeDocument/2006/relationships/worksheet" Target="worksheets/sheet19.xml"/><Relationship Id="rId42" Type="http://schemas.openxmlformats.org/officeDocument/2006/relationships/worksheet" Target="worksheets/sheet35.xml"/><Relationship Id="rId47" Type="http://schemas.openxmlformats.org/officeDocument/2006/relationships/worksheet" Target="worksheets/sheet40.xml"/><Relationship Id="rId63" Type="http://schemas.openxmlformats.org/officeDocument/2006/relationships/worksheet" Target="worksheets/sheet55.xml"/><Relationship Id="rId68" Type="http://schemas.openxmlformats.org/officeDocument/2006/relationships/worksheet" Target="worksheets/sheet60.xml"/><Relationship Id="rId84" Type="http://schemas.openxmlformats.org/officeDocument/2006/relationships/worksheet" Target="worksheets/sheet76.xml"/><Relationship Id="rId89" Type="http://schemas.openxmlformats.org/officeDocument/2006/relationships/worksheet" Target="worksheets/sheet81.xml"/><Relationship Id="rId112" Type="http://schemas.openxmlformats.org/officeDocument/2006/relationships/worksheet" Target="worksheets/sheet94.xml"/><Relationship Id="rId16" Type="http://schemas.openxmlformats.org/officeDocument/2006/relationships/worksheet" Target="worksheets/sheet14.xml"/><Relationship Id="rId107" Type="http://schemas.openxmlformats.org/officeDocument/2006/relationships/chartsheet" Target="chartsheets/sheet17.xml"/><Relationship Id="rId11" Type="http://schemas.openxmlformats.org/officeDocument/2006/relationships/worksheet" Target="worksheets/sheet10.xml"/><Relationship Id="rId32" Type="http://schemas.openxmlformats.org/officeDocument/2006/relationships/worksheet" Target="worksheets/sheet28.xml"/><Relationship Id="rId37" Type="http://schemas.openxmlformats.org/officeDocument/2006/relationships/worksheet" Target="worksheets/sheet30.xml"/><Relationship Id="rId53" Type="http://schemas.openxmlformats.org/officeDocument/2006/relationships/worksheet" Target="worksheets/sheet45.xml"/><Relationship Id="rId58" Type="http://schemas.openxmlformats.org/officeDocument/2006/relationships/worksheet" Target="worksheets/sheet50.xml"/><Relationship Id="rId74" Type="http://schemas.openxmlformats.org/officeDocument/2006/relationships/worksheet" Target="worksheets/sheet66.xml"/><Relationship Id="rId79" Type="http://schemas.openxmlformats.org/officeDocument/2006/relationships/worksheet" Target="worksheets/sheet71.xml"/><Relationship Id="rId102" Type="http://schemas.openxmlformats.org/officeDocument/2006/relationships/worksheet" Target="worksheets/sheet89.xml"/><Relationship Id="rId123"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82.xml"/><Relationship Id="rId95" Type="http://schemas.openxmlformats.org/officeDocument/2006/relationships/worksheet" Target="worksheets/sheet86.xml"/><Relationship Id="rId22" Type="http://schemas.openxmlformats.org/officeDocument/2006/relationships/chartsheet" Target="chartsheets/sheet3.xml"/><Relationship Id="rId27" Type="http://schemas.openxmlformats.org/officeDocument/2006/relationships/worksheet" Target="worksheets/sheet24.xml"/><Relationship Id="rId43" Type="http://schemas.openxmlformats.org/officeDocument/2006/relationships/worksheet" Target="worksheets/sheet36.xml"/><Relationship Id="rId48" Type="http://schemas.openxmlformats.org/officeDocument/2006/relationships/worksheet" Target="worksheets/sheet41.xml"/><Relationship Id="rId64" Type="http://schemas.openxmlformats.org/officeDocument/2006/relationships/worksheet" Target="worksheets/sheet56.xml"/><Relationship Id="rId69" Type="http://schemas.openxmlformats.org/officeDocument/2006/relationships/worksheet" Target="worksheets/sheet61.xml"/><Relationship Id="rId113" Type="http://schemas.openxmlformats.org/officeDocument/2006/relationships/worksheet" Target="worksheets/sheet95.xml"/><Relationship Id="rId118" Type="http://schemas.openxmlformats.org/officeDocument/2006/relationships/chartsheet" Target="chartsheets/sheet19.xml"/><Relationship Id="rId80" Type="http://schemas.openxmlformats.org/officeDocument/2006/relationships/worksheet" Target="worksheets/sheet72.xml"/><Relationship Id="rId85" Type="http://schemas.openxmlformats.org/officeDocument/2006/relationships/worksheet" Target="worksheets/sheet77.xml"/><Relationship Id="rId12" Type="http://schemas.openxmlformats.org/officeDocument/2006/relationships/worksheet" Target="worksheets/sheet11.xml"/><Relationship Id="rId17" Type="http://schemas.openxmlformats.org/officeDocument/2006/relationships/worksheet" Target="worksheets/sheet15.xml"/><Relationship Id="rId33" Type="http://schemas.openxmlformats.org/officeDocument/2006/relationships/chartsheet" Target="chartsheets/sheet5.xml"/><Relationship Id="rId38" Type="http://schemas.openxmlformats.org/officeDocument/2006/relationships/worksheet" Target="worksheets/sheet31.xml"/><Relationship Id="rId59" Type="http://schemas.openxmlformats.org/officeDocument/2006/relationships/worksheet" Target="worksheets/sheet51.xml"/><Relationship Id="rId103" Type="http://schemas.openxmlformats.org/officeDocument/2006/relationships/chartsheet" Target="chartsheets/sheet14.xml"/><Relationship Id="rId108" Type="http://schemas.openxmlformats.org/officeDocument/2006/relationships/worksheet" Target="worksheets/sheet91.xml"/><Relationship Id="rId124" Type="http://schemas.openxmlformats.org/officeDocument/2006/relationships/theme" Target="theme/theme1.xml"/><Relationship Id="rId54" Type="http://schemas.openxmlformats.org/officeDocument/2006/relationships/worksheet" Target="worksheets/sheet46.xml"/><Relationship Id="rId70" Type="http://schemas.openxmlformats.org/officeDocument/2006/relationships/worksheet" Target="worksheets/sheet62.xml"/><Relationship Id="rId75" Type="http://schemas.openxmlformats.org/officeDocument/2006/relationships/worksheet" Target="worksheets/sheet67.xml"/><Relationship Id="rId91" Type="http://schemas.openxmlformats.org/officeDocument/2006/relationships/worksheet" Target="worksheets/sheet83.xml"/><Relationship Id="rId96" Type="http://schemas.openxmlformats.org/officeDocument/2006/relationships/chartsheet" Target="chartsheets/sheet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0.xml"/><Relationship Id="rId28" Type="http://schemas.openxmlformats.org/officeDocument/2006/relationships/chartsheet" Target="chartsheets/sheet4.xml"/><Relationship Id="rId49" Type="http://schemas.openxmlformats.org/officeDocument/2006/relationships/chartsheet" Target="chartsheets/sheet8.xml"/><Relationship Id="rId114" Type="http://schemas.openxmlformats.org/officeDocument/2006/relationships/worksheet" Target="worksheets/sheet96.xml"/><Relationship Id="rId119" Type="http://schemas.openxmlformats.org/officeDocument/2006/relationships/worksheet" Target="worksheets/sheet100.xml"/><Relationship Id="rId44" Type="http://schemas.openxmlformats.org/officeDocument/2006/relationships/worksheet" Target="worksheets/sheet37.xml"/><Relationship Id="rId60" Type="http://schemas.openxmlformats.org/officeDocument/2006/relationships/worksheet" Target="worksheets/sheet52.xml"/><Relationship Id="rId65" Type="http://schemas.openxmlformats.org/officeDocument/2006/relationships/worksheet" Target="worksheets/sheet57.xml"/><Relationship Id="rId81" Type="http://schemas.openxmlformats.org/officeDocument/2006/relationships/worksheet" Target="worksheets/sheet73.xml"/><Relationship Id="rId86" Type="http://schemas.openxmlformats.org/officeDocument/2006/relationships/worksheet" Target="worksheets/sheet78.xml"/><Relationship Id="rId13" Type="http://schemas.openxmlformats.org/officeDocument/2006/relationships/worksheet" Target="worksheets/sheet12.xml"/><Relationship Id="rId18" Type="http://schemas.openxmlformats.org/officeDocument/2006/relationships/worksheet" Target="worksheets/sheet16.xml"/><Relationship Id="rId39" Type="http://schemas.openxmlformats.org/officeDocument/2006/relationships/worksheet" Target="worksheets/sheet32.xml"/><Relationship Id="rId109" Type="http://schemas.openxmlformats.org/officeDocument/2006/relationships/worksheet" Target="worksheets/sheet92.xml"/><Relationship Id="rId34" Type="http://schemas.openxmlformats.org/officeDocument/2006/relationships/chartsheet" Target="chartsheets/sheet6.xml"/><Relationship Id="rId50" Type="http://schemas.openxmlformats.org/officeDocument/2006/relationships/worksheet" Target="worksheets/sheet42.xml"/><Relationship Id="rId55" Type="http://schemas.openxmlformats.org/officeDocument/2006/relationships/worksheet" Target="worksheets/sheet47.xml"/><Relationship Id="rId76" Type="http://schemas.openxmlformats.org/officeDocument/2006/relationships/worksheet" Target="worksheets/sheet68.xml"/><Relationship Id="rId97" Type="http://schemas.openxmlformats.org/officeDocument/2006/relationships/chartsheet" Target="chartsheets/sheet11.xml"/><Relationship Id="rId104" Type="http://schemas.openxmlformats.org/officeDocument/2006/relationships/chartsheet" Target="chartsheets/sheet15.xml"/><Relationship Id="rId120" Type="http://schemas.openxmlformats.org/officeDocument/2006/relationships/worksheet" Target="worksheets/sheet101.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63.xml"/><Relationship Id="rId92" Type="http://schemas.openxmlformats.org/officeDocument/2006/relationships/chartsheet" Target="chartsheets/sheet9.xml"/><Relationship Id="rId2" Type="http://schemas.openxmlformats.org/officeDocument/2006/relationships/worksheet" Target="worksheets/sheet2.xml"/><Relationship Id="rId29" Type="http://schemas.openxmlformats.org/officeDocument/2006/relationships/worksheet" Target="worksheets/sheet25.xml"/><Relationship Id="rId24" Type="http://schemas.openxmlformats.org/officeDocument/2006/relationships/worksheet" Target="worksheets/sheet21.xml"/><Relationship Id="rId40" Type="http://schemas.openxmlformats.org/officeDocument/2006/relationships/worksheet" Target="worksheets/sheet33.xml"/><Relationship Id="rId45" Type="http://schemas.openxmlformats.org/officeDocument/2006/relationships/worksheet" Target="worksheets/sheet38.xml"/><Relationship Id="rId66" Type="http://schemas.openxmlformats.org/officeDocument/2006/relationships/worksheet" Target="worksheets/sheet58.xml"/><Relationship Id="rId87" Type="http://schemas.openxmlformats.org/officeDocument/2006/relationships/worksheet" Target="worksheets/sheet79.xml"/><Relationship Id="rId110" Type="http://schemas.openxmlformats.org/officeDocument/2006/relationships/worksheet" Target="worksheets/sheet93.xml"/><Relationship Id="rId115" Type="http://schemas.openxmlformats.org/officeDocument/2006/relationships/worksheet" Target="worksheets/sheet97.xml"/><Relationship Id="rId61" Type="http://schemas.openxmlformats.org/officeDocument/2006/relationships/worksheet" Target="worksheets/sheet53.xml"/><Relationship Id="rId82" Type="http://schemas.openxmlformats.org/officeDocument/2006/relationships/worksheet" Target="worksheets/sheet74.xml"/><Relationship Id="rId19" Type="http://schemas.openxmlformats.org/officeDocument/2006/relationships/worksheet" Target="worksheets/sheet17.xml"/><Relationship Id="rId14" Type="http://schemas.openxmlformats.org/officeDocument/2006/relationships/worksheet" Target="worksheets/sheet13.xml"/><Relationship Id="rId30" Type="http://schemas.openxmlformats.org/officeDocument/2006/relationships/worksheet" Target="worksheets/sheet26.xml"/><Relationship Id="rId35" Type="http://schemas.openxmlformats.org/officeDocument/2006/relationships/chartsheet" Target="chartsheets/sheet7.xml"/><Relationship Id="rId56" Type="http://schemas.openxmlformats.org/officeDocument/2006/relationships/worksheet" Target="worksheets/sheet48.xml"/><Relationship Id="rId77" Type="http://schemas.openxmlformats.org/officeDocument/2006/relationships/worksheet" Target="worksheets/sheet69.xml"/><Relationship Id="rId100" Type="http://schemas.openxmlformats.org/officeDocument/2006/relationships/worksheet" Target="worksheets/sheet87.xml"/><Relationship Id="rId105" Type="http://schemas.openxmlformats.org/officeDocument/2006/relationships/chartsheet" Target="chartsheets/sheet16.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43.xml"/><Relationship Id="rId72" Type="http://schemas.openxmlformats.org/officeDocument/2006/relationships/worksheet" Target="worksheets/sheet64.xml"/><Relationship Id="rId93" Type="http://schemas.openxmlformats.org/officeDocument/2006/relationships/worksheet" Target="worksheets/sheet84.xml"/><Relationship Id="rId98" Type="http://schemas.openxmlformats.org/officeDocument/2006/relationships/chartsheet" Target="chartsheets/sheet12.xml"/><Relationship Id="rId121"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2.xml"/><Relationship Id="rId46" Type="http://schemas.openxmlformats.org/officeDocument/2006/relationships/worksheet" Target="worksheets/sheet39.xml"/><Relationship Id="rId67" Type="http://schemas.openxmlformats.org/officeDocument/2006/relationships/worksheet" Target="worksheets/sheet59.xml"/><Relationship Id="rId116" Type="http://schemas.openxmlformats.org/officeDocument/2006/relationships/worksheet" Target="worksheets/sheet98.xml"/><Relationship Id="rId20" Type="http://schemas.openxmlformats.org/officeDocument/2006/relationships/worksheet" Target="worksheets/sheet18.xml"/><Relationship Id="rId41" Type="http://schemas.openxmlformats.org/officeDocument/2006/relationships/worksheet" Target="worksheets/sheet34.xml"/><Relationship Id="rId62" Type="http://schemas.openxmlformats.org/officeDocument/2006/relationships/worksheet" Target="worksheets/sheet54.xml"/><Relationship Id="rId83" Type="http://schemas.openxmlformats.org/officeDocument/2006/relationships/worksheet" Target="worksheets/sheet75.xml"/><Relationship Id="rId88" Type="http://schemas.openxmlformats.org/officeDocument/2006/relationships/worksheet" Target="worksheets/sheet80.xml"/><Relationship Id="rId111" Type="http://schemas.openxmlformats.org/officeDocument/2006/relationships/chartsheet" Target="chartsheets/sheet18.xml"/><Relationship Id="rId15" Type="http://schemas.openxmlformats.org/officeDocument/2006/relationships/chartsheet" Target="chartsheets/sheet2.xml"/><Relationship Id="rId36" Type="http://schemas.openxmlformats.org/officeDocument/2006/relationships/worksheet" Target="worksheets/sheet29.xml"/><Relationship Id="rId57" Type="http://schemas.openxmlformats.org/officeDocument/2006/relationships/worksheet" Target="worksheets/sheet49.xml"/><Relationship Id="rId106" Type="http://schemas.openxmlformats.org/officeDocument/2006/relationships/worksheet" Target="worksheets/sheet90.xml"/><Relationship Id="rId127" Type="http://schemas.openxmlformats.org/officeDocument/2006/relationships/calcChain" Target="calcChain.xml"/><Relationship Id="rId10" Type="http://schemas.openxmlformats.org/officeDocument/2006/relationships/worksheet" Target="worksheets/sheet9.xml"/><Relationship Id="rId31" Type="http://schemas.openxmlformats.org/officeDocument/2006/relationships/worksheet" Target="worksheets/sheet27.xml"/><Relationship Id="rId52" Type="http://schemas.openxmlformats.org/officeDocument/2006/relationships/worksheet" Target="worksheets/sheet44.xml"/><Relationship Id="rId73" Type="http://schemas.openxmlformats.org/officeDocument/2006/relationships/worksheet" Target="worksheets/sheet65.xml"/><Relationship Id="rId78" Type="http://schemas.openxmlformats.org/officeDocument/2006/relationships/worksheet" Target="worksheets/sheet70.xml"/><Relationship Id="rId94" Type="http://schemas.openxmlformats.org/officeDocument/2006/relationships/worksheet" Target="worksheets/sheet85.xml"/><Relationship Id="rId99" Type="http://schemas.openxmlformats.org/officeDocument/2006/relationships/chartsheet" Target="chartsheets/sheet13.xml"/><Relationship Id="rId101" Type="http://schemas.openxmlformats.org/officeDocument/2006/relationships/worksheet" Target="worksheets/sheet88.xml"/><Relationship Id="rId12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chartsheet" Target="chart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CA Fournisseur: Facturation "one charge" versus "souscription"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4"/>
          <c:order val="4"/>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(BUSINESSCARD!$B$10,BUSINESSCARD!$B$19)</c:f>
              <c:strCache>
                <c:ptCount val="1"/>
                <c:pt idx="0">
                  <c:v>CA annuel récurrent issu de la souscription / abonnement </c:v>
                </c:pt>
              </c:strCache>
            </c:strRef>
          </c:cat>
          <c:val>
            <c:numRef>
              <c:f>(BUSINESSCARD!$G$10,BUSINESSCARD!$G$19)</c:f>
              <c:numCache>
                <c:formatCode>#\ ##0\ "€"</c:formatCode>
                <c:ptCount val="1"/>
                <c:pt idx="0">
                  <c:v>92760</c:v>
                </c:pt>
              </c:numCache>
            </c:numRef>
          </c:val>
          <c:extLst>
            <c:ext xmlns:c16="http://schemas.microsoft.com/office/drawing/2014/chart" uri="{C3380CC4-5D6E-409C-BE32-E72D297353CC}">
              <c16:uniqueId val="{00000000-B301-4389-87F2-D6931C69B102}"/>
            </c:ext>
          </c:extLst>
        </c:ser>
        <c:dLbls>
          <c:dLblPos val="outEnd"/>
          <c:showLegendKey val="0"/>
          <c:showVal val="1"/>
          <c:showCatName val="0"/>
          <c:showSerName val="0"/>
          <c:showPercent val="0"/>
          <c:showBubbleSize val="0"/>
        </c:dLbls>
        <c:gapWidth val="150"/>
        <c:axId val="724033296"/>
        <c:axId val="724019152"/>
        <c:extLst>
          <c:ext xmlns:c15="http://schemas.microsoft.com/office/drawing/2012/chart" uri="{02D57815-91ED-43cb-92C2-25804820EDAC}">
            <c15:filteredBarSeries>
              <c15: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(BUSINESSCARD!$B$10,BUSINESSCARD!$B$19)</c15:sqref>
                        </c15:formulaRef>
                      </c:ext>
                    </c:extLst>
                    <c:strCache>
                      <c:ptCount val="1"/>
                      <c:pt idx="0">
                        <c:v>CA annuel récurrent issu de la souscription / abonnement </c:v>
                      </c:pt>
                    </c:strCache>
                  </c:strRef>
                </c:cat>
                <c:val>
                  <c:numRef>
                    <c:extLst>
                      <c:ext uri="{02D57815-91ED-43cb-92C2-25804820EDAC}">
                        <c15:formulaRef>
                          <c15:sqref>(BUSINESSCARD!$C$10,BUSINESSCARD!$C$19)</c15:sqref>
                        </c15:formulaRef>
                      </c:ext>
                    </c:extLst>
                    <c:numCache>
                      <c:formatCode>General</c:formatCode>
                      <c:ptCount val="1"/>
                    </c:numCache>
                  </c:numRef>
                </c:val>
                <c:extLst>
                  <c:ext xmlns:c16="http://schemas.microsoft.com/office/drawing/2014/chart" uri="{C3380CC4-5D6E-409C-BE32-E72D297353CC}">
                    <c16:uniqueId val="{00000001-B301-4389-87F2-D6931C69B102}"/>
                  </c:ext>
                </c:extLst>
              </c15:ser>
            </c15:filteredBarSeries>
            <c15:filteredBarSeries>
              <c15:ser>
                <c:idx val="1"/>
                <c:order val="1"/>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(BUSINESSCARD!$B$10,BUSINESSCARD!$B$19)</c15:sqref>
                        </c15:formulaRef>
                      </c:ext>
                    </c:extLst>
                    <c:strCache>
                      <c:ptCount val="1"/>
                      <c:pt idx="0">
                        <c:v>CA annuel récurrent issu de la souscription / abonnement </c:v>
                      </c:pt>
                    </c:strCache>
                  </c:strRef>
                </c:cat>
                <c:val>
                  <c:numRef>
                    <c:extLst xmlns:c15="http://schemas.microsoft.com/office/drawing/2012/chart">
                      <c:ext xmlns:c15="http://schemas.microsoft.com/office/drawing/2012/chart" uri="{02D57815-91ED-43cb-92C2-25804820EDAC}">
                        <c15:formulaRef>
                          <c15:sqref>(BUSINESSCARD!$D$10,BUSINESSCARD!$D$19)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2-B301-4389-87F2-D6931C69B102}"/>
                  </c:ext>
                </c:extLst>
              </c15:ser>
            </c15:filteredBarSeries>
            <c15:filteredBarSeries>
              <c15:ser>
                <c:idx val="2"/>
                <c:order val="2"/>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(BUSINESSCARD!$B$10,BUSINESSCARD!$B$19)</c15:sqref>
                        </c15:formulaRef>
                      </c:ext>
                    </c:extLst>
                    <c:strCache>
                      <c:ptCount val="1"/>
                      <c:pt idx="0">
                        <c:v>CA annuel récurrent issu de la souscription / abonnement </c:v>
                      </c:pt>
                    </c:strCache>
                  </c:strRef>
                </c:cat>
                <c:val>
                  <c:numRef>
                    <c:extLst xmlns:c15="http://schemas.microsoft.com/office/drawing/2012/chart">
                      <c:ext xmlns:c15="http://schemas.microsoft.com/office/drawing/2012/chart" uri="{02D57815-91ED-43cb-92C2-25804820EDAC}">
                        <c15:formulaRef>
                          <c15:sqref>(BUSINESSCARD!$E$10,BUSINESSCARD!$E$19)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3-B301-4389-87F2-D6931C69B102}"/>
                  </c:ext>
                </c:extLst>
              </c15:ser>
            </c15:filteredBarSeries>
            <c15:filteredBarSeries>
              <c15:ser>
                <c:idx val="3"/>
                <c:order val="3"/>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(BUSINESSCARD!$B$10,BUSINESSCARD!$B$19)</c15:sqref>
                        </c15:formulaRef>
                      </c:ext>
                    </c:extLst>
                    <c:strCache>
                      <c:ptCount val="1"/>
                      <c:pt idx="0">
                        <c:v>CA annuel récurrent issu de la souscription / abonnement </c:v>
                      </c:pt>
                    </c:strCache>
                  </c:strRef>
                </c:cat>
                <c:val>
                  <c:numRef>
                    <c:extLst xmlns:c15="http://schemas.microsoft.com/office/drawing/2012/chart">
                      <c:ext xmlns:c15="http://schemas.microsoft.com/office/drawing/2012/chart" uri="{02D57815-91ED-43cb-92C2-25804820EDAC}">
                        <c15:formulaRef>
                          <c15:sqref>(BUSINESSCARD!$F$10,BUSINESSCARD!$F$19)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B301-4389-87F2-D6931C69B102}"/>
                  </c:ext>
                </c:extLst>
              </c15:ser>
            </c15:filteredBarSeries>
            <c15:filteredBarSeries>
              <c15:ser>
                <c:idx val="5"/>
                <c:order val="5"/>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(BUSINESSCARD!$B$10,BUSINESSCARD!$B$19)</c15:sqref>
                        </c15:formulaRef>
                      </c:ext>
                    </c:extLst>
                    <c:strCache>
                      <c:ptCount val="1"/>
                      <c:pt idx="0">
                        <c:v>CA annuel récurrent issu de la souscription / abonnement </c:v>
                      </c:pt>
                    </c:strCache>
                  </c:strRef>
                </c:cat>
                <c:val>
                  <c:numRef>
                    <c:extLst xmlns:c15="http://schemas.microsoft.com/office/drawing/2012/chart">
                      <c:ext xmlns:c15="http://schemas.microsoft.com/office/drawing/2012/chart" uri="{02D57815-91ED-43cb-92C2-25804820EDAC}">
                        <c15:formulaRef>
                          <c15:sqref>(BUSINESSCARD!$H$10,BUSINESSCARD!$H$19)</c15:sqref>
                        </c15:formulaRef>
                      </c:ext>
                    </c:extLst>
                    <c:numCache>
                      <c:formatCode>#\ ##0\ "€"</c:formatCode>
                      <c:ptCount val="1"/>
                    </c:numCache>
                  </c:numRef>
                </c:val>
                <c:extLst xmlns:c15="http://schemas.microsoft.com/office/drawing/2012/chart">
                  <c:ext xmlns:c16="http://schemas.microsoft.com/office/drawing/2014/chart" uri="{C3380CC4-5D6E-409C-BE32-E72D297353CC}">
                    <c16:uniqueId val="{00000005-B301-4389-87F2-D6931C69B102}"/>
                  </c:ext>
                </c:extLst>
              </c15:ser>
            </c15:filteredBarSeries>
          </c:ext>
        </c:extLst>
      </c:barChart>
      <c:valAx>
        <c:axId val="724019152"/>
        <c:scaling>
          <c:orientation val="minMax"/>
        </c:scaling>
        <c:delete val="0"/>
        <c:axPos val="b"/>
        <c:numFmt formatCode="#\ ##0\ &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33296"/>
        <c:crosses val="autoZero"/>
        <c:crossBetween val="between"/>
      </c:valAx>
      <c:catAx>
        <c:axId val="72403329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19152"/>
        <c:crosses val="autoZero"/>
        <c:auto val="1"/>
        <c:lblAlgn val="ctr"/>
        <c:lblOffset val="100"/>
        <c:noMultiLvlLbl val="0"/>
      </c:catAx>
      <c:spPr>
        <a:noFill/>
        <a:ln>
          <a:noFill/>
        </a:ln>
        <a:effectLst/>
      </c:spPr>
    </c:plotArea>
    <c:plotVisOnly val="1"/>
    <c:dispBlanksAs val="gap"/>
    <c:showDLblsOverMax val="0"/>
  </c:chart>
  <c:spPr>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w="38100" cap="flat" cmpd="sng" algn="ctr">
      <a:solidFill>
        <a:srgbClr val="C00000"/>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r-FR"/>
              <a:t>BUDGET 3 ANS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r-FR"/>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strRef>
              <c:f>BUDGETPROGRAM!$G$37</c:f>
              <c:strCache>
                <c:ptCount val="1"/>
                <c:pt idx="0">
                  <c:v>CA NET </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BUDGETPROGRAM!$D$52:$G$52</c:f>
              <c:numCache>
                <c:formatCode>General</c:formatCode>
                <c:ptCount val="4"/>
                <c:pt idx="0">
                  <c:v>2018</c:v>
                </c:pt>
                <c:pt idx="1">
                  <c:v>2019</c:v>
                </c:pt>
                <c:pt idx="2">
                  <c:v>2020</c:v>
                </c:pt>
                <c:pt idx="3">
                  <c:v>2021</c:v>
                </c:pt>
              </c:numCache>
            </c:numRef>
          </c:cat>
          <c:val>
            <c:numRef>
              <c:f>(BUDGETPROGRAM!$J$37,BUDGETPROGRAM!$L$37,BUDGETPROGRAM!$N$37,BUDGETPROGRAM!$P$37)</c:f>
              <c:numCache>
                <c:formatCode>#,##0</c:formatCode>
                <c:ptCount val="4"/>
                <c:pt idx="0">
                  <c:v>1419930</c:v>
                </c:pt>
                <c:pt idx="1">
                  <c:v>4068762</c:v>
                </c:pt>
                <c:pt idx="2">
                  <c:v>8028810</c:v>
                </c:pt>
                <c:pt idx="3">
                  <c:v>13845369</c:v>
                </c:pt>
              </c:numCache>
            </c:numRef>
          </c:val>
          <c:extLst>
            <c:ext xmlns:c16="http://schemas.microsoft.com/office/drawing/2014/chart" uri="{C3380CC4-5D6E-409C-BE32-E72D297353CC}">
              <c16:uniqueId val="{00000000-F6DE-49A1-A4FF-2A3057E3D70C}"/>
            </c:ext>
          </c:extLst>
        </c:ser>
        <c:ser>
          <c:idx val="0"/>
          <c:order val="1"/>
          <c:tx>
            <c:strRef>
              <c:f>BUDGETPROGRAM!$G$35</c:f>
              <c:strCache>
                <c:ptCount val="1"/>
                <c:pt idx="0">
                  <c:v>Investissement</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BUDGETPROGRAM!$D$52:$G$52</c:f>
              <c:numCache>
                <c:formatCode>General</c:formatCode>
                <c:ptCount val="4"/>
                <c:pt idx="0">
                  <c:v>2018</c:v>
                </c:pt>
                <c:pt idx="1">
                  <c:v>2019</c:v>
                </c:pt>
                <c:pt idx="2">
                  <c:v>2020</c:v>
                </c:pt>
                <c:pt idx="3">
                  <c:v>2021</c:v>
                </c:pt>
              </c:numCache>
            </c:numRef>
          </c:cat>
          <c:val>
            <c:numRef>
              <c:f>(BUDGETPROGRAM!$J$35,BUDGETPROGRAM!$L$35,BUDGETPROGRAM!$N$35,BUDGETPROGRAM!$P$35)</c:f>
              <c:numCache>
                <c:formatCode>#,##0</c:formatCode>
                <c:ptCount val="4"/>
                <c:pt idx="0">
                  <c:v>330</c:v>
                </c:pt>
                <c:pt idx="1">
                  <c:v>495</c:v>
                </c:pt>
                <c:pt idx="2">
                  <c:v>750</c:v>
                </c:pt>
                <c:pt idx="3">
                  <c:v>1010</c:v>
                </c:pt>
              </c:numCache>
            </c:numRef>
          </c:val>
          <c:extLst>
            <c:ext xmlns:c16="http://schemas.microsoft.com/office/drawing/2014/chart" uri="{C3380CC4-5D6E-409C-BE32-E72D297353CC}">
              <c16:uniqueId val="{00000001-F6DE-49A1-A4FF-2A3057E3D70C}"/>
            </c:ext>
          </c:extLst>
        </c:ser>
        <c:ser>
          <c:idx val="2"/>
          <c:order val="2"/>
          <c:tx>
            <c:strRef>
              <c:f>BUDGETPROGRAM!$G$38</c:f>
              <c:strCache>
                <c:ptCount val="1"/>
                <c:pt idx="0">
                  <c:v>Perte/gain</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BUDGETPROGRAM!$D$52:$G$52</c:f>
              <c:numCache>
                <c:formatCode>General</c:formatCode>
                <c:ptCount val="4"/>
                <c:pt idx="0">
                  <c:v>2018</c:v>
                </c:pt>
                <c:pt idx="1">
                  <c:v>2019</c:v>
                </c:pt>
                <c:pt idx="2">
                  <c:v>2020</c:v>
                </c:pt>
                <c:pt idx="3">
                  <c:v>2021</c:v>
                </c:pt>
              </c:numCache>
            </c:numRef>
          </c:cat>
          <c:val>
            <c:numRef>
              <c:f>(BUDGETPROGRAM!$J$38,BUDGETPROGRAM!$L$38,BUDGETPROGRAM!$N$38,BUDGETPROGRAM!$P$38)</c:f>
              <c:numCache>
                <c:formatCode>#,##0</c:formatCode>
                <c:ptCount val="4"/>
                <c:pt idx="0">
                  <c:v>1419600</c:v>
                </c:pt>
                <c:pt idx="1">
                  <c:v>4068267</c:v>
                </c:pt>
                <c:pt idx="2">
                  <c:v>8028060</c:v>
                </c:pt>
                <c:pt idx="3">
                  <c:v>13844359</c:v>
                </c:pt>
              </c:numCache>
            </c:numRef>
          </c:val>
          <c:extLst>
            <c:ext xmlns:c16="http://schemas.microsoft.com/office/drawing/2014/chart" uri="{C3380CC4-5D6E-409C-BE32-E72D297353CC}">
              <c16:uniqueId val="{00000002-F6DE-49A1-A4FF-2A3057E3D70C}"/>
            </c:ext>
          </c:extLst>
        </c:ser>
        <c:dLbls>
          <c:showLegendKey val="0"/>
          <c:showVal val="1"/>
          <c:showCatName val="0"/>
          <c:showSerName val="0"/>
          <c:showPercent val="0"/>
          <c:showBubbleSize val="0"/>
        </c:dLbls>
        <c:gapWidth val="65"/>
        <c:shape val="box"/>
        <c:axId val="724040368"/>
        <c:axId val="724025136"/>
        <c:axId val="0"/>
      </c:bar3DChart>
      <c:catAx>
        <c:axId val="7240403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chemeClr val="dk1">
                    <a:lumMod val="75000"/>
                    <a:lumOff val="25000"/>
                  </a:schemeClr>
                </a:solidFill>
                <a:latin typeface="+mn-lt"/>
                <a:ea typeface="+mn-ea"/>
                <a:cs typeface="+mn-cs"/>
              </a:defRPr>
            </a:pPr>
            <a:endParaRPr lang="fr-FR"/>
          </a:p>
        </c:txPr>
        <c:crossAx val="724025136"/>
        <c:crosses val="autoZero"/>
        <c:auto val="1"/>
        <c:lblAlgn val="ctr"/>
        <c:lblOffset val="100"/>
        <c:noMultiLvlLbl val="0"/>
      </c:catAx>
      <c:valAx>
        <c:axId val="72402513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r-FR"/>
          </a:p>
        </c:txPr>
        <c:crossAx val="72404036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600" b="1" i="0" u="none" strike="noStrike" kern="1200" baseline="0">
              <a:solidFill>
                <a:schemeClr val="dk1">
                  <a:lumMod val="75000"/>
                  <a:lumOff val="25000"/>
                </a:schemeClr>
              </a:solidFill>
              <a:latin typeface="+mn-lt"/>
              <a:ea typeface="+mn-ea"/>
              <a:cs typeface="+mn-cs"/>
            </a:defRPr>
          </a:pPr>
          <a:endParaRPr lang="fr-F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38100" cap="flat" cmpd="sng" algn="ctr">
      <a:solidFill>
        <a:srgbClr val="C00000"/>
      </a:solidFill>
      <a:round/>
    </a:ln>
    <a:effectLst/>
  </c:spPr>
  <c:txPr>
    <a:bodyPr/>
    <a:lstStyle/>
    <a:p>
      <a:pPr>
        <a:defRPr/>
      </a:pPr>
      <a:endParaRPr lang="fr-FR"/>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du CA par</a:t>
            </a:r>
            <a:r>
              <a:rPr lang="fr-FR" baseline="0"/>
              <a:t> affaire </a:t>
            </a:r>
            <a:endParaRPr lang="fr-FR"/>
          </a:p>
        </c:rich>
      </c:tx>
      <c:overlay val="0"/>
    </c:title>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v>CA net pour iAdvize 0</c:v>
          </c:tx>
          <c:invertIfNegative val="0"/>
          <c:cat>
            <c:strLit>
              <c:ptCount val="4"/>
              <c:pt idx="0">
                <c:v>Année 1</c:v>
              </c:pt>
              <c:pt idx="1">
                <c:v>0</c:v>
              </c:pt>
              <c:pt idx="2">
                <c:v>Années 2 + 3</c:v>
              </c:pt>
              <c:pt idx="3">
                <c:v>0</c:v>
              </c:pt>
            </c:strLit>
          </c:cat>
          <c:val>
            <c:numLit>
              <c:formatCode>General</c:formatCode>
              <c:ptCount val="4"/>
              <c:pt idx="0">
                <c:v>28000</c:v>
              </c:pt>
              <c:pt idx="1">
                <c:v>0</c:v>
              </c:pt>
              <c:pt idx="2">
                <c:v>2400</c:v>
              </c:pt>
              <c:pt idx="3">
                <c:v>0</c:v>
              </c:pt>
            </c:numLit>
          </c:val>
          <c:extLst>
            <c:ext xmlns:c16="http://schemas.microsoft.com/office/drawing/2014/chart" uri="{C3380CC4-5D6E-409C-BE32-E72D297353CC}">
              <c16:uniqueId val="{00000000-6DAD-4893-B44C-268B06B1CC0C}"/>
            </c:ext>
          </c:extLst>
        </c:ser>
        <c:ser>
          <c:idx val="1"/>
          <c:order val="1"/>
          <c:tx>
            <c:v>CA partenaire 0</c:v>
          </c:tx>
          <c:invertIfNegative val="0"/>
          <c:cat>
            <c:strLit>
              <c:ptCount val="4"/>
              <c:pt idx="0">
                <c:v>Année 1</c:v>
              </c:pt>
              <c:pt idx="1">
                <c:v>0</c:v>
              </c:pt>
              <c:pt idx="2">
                <c:v>Années 2 + 3</c:v>
              </c:pt>
              <c:pt idx="3">
                <c:v>0</c:v>
              </c:pt>
            </c:strLit>
          </c:cat>
          <c:val>
            <c:numLit>
              <c:formatCode>General</c:formatCode>
              <c:ptCount val="4"/>
              <c:pt idx="0">
                <c:v>13250</c:v>
              </c:pt>
              <c:pt idx="1">
                <c:v>0</c:v>
              </c:pt>
              <c:pt idx="2">
                <c:v>3600</c:v>
              </c:pt>
              <c:pt idx="3">
                <c:v>0</c:v>
              </c:pt>
            </c:numLit>
          </c:val>
          <c:extLst>
            <c:ext xmlns:c16="http://schemas.microsoft.com/office/drawing/2014/chart" uri="{C3380CC4-5D6E-409C-BE32-E72D297353CC}">
              <c16:uniqueId val="{00000001-6DAD-4893-B44C-268B06B1CC0C}"/>
            </c:ext>
          </c:extLst>
        </c:ser>
        <c:dLbls>
          <c:showLegendKey val="0"/>
          <c:showVal val="0"/>
          <c:showCatName val="0"/>
          <c:showSerName val="0"/>
          <c:showPercent val="0"/>
          <c:showBubbleSize val="0"/>
        </c:dLbls>
        <c:gapWidth val="95"/>
        <c:gapDepth val="95"/>
        <c:shape val="cylinder"/>
        <c:axId val="724028400"/>
        <c:axId val="724043632"/>
        <c:axId val="0"/>
      </c:bar3DChart>
      <c:catAx>
        <c:axId val="724028400"/>
        <c:scaling>
          <c:orientation val="minMax"/>
        </c:scaling>
        <c:delete val="0"/>
        <c:axPos val="b"/>
        <c:numFmt formatCode="General" sourceLinked="0"/>
        <c:majorTickMark val="none"/>
        <c:minorTickMark val="none"/>
        <c:tickLblPos val="nextTo"/>
        <c:crossAx val="724043632"/>
        <c:crosses val="autoZero"/>
        <c:auto val="1"/>
        <c:lblAlgn val="ctr"/>
        <c:lblOffset val="100"/>
        <c:noMultiLvlLbl val="0"/>
      </c:catAx>
      <c:valAx>
        <c:axId val="724043632"/>
        <c:scaling>
          <c:orientation val="minMax"/>
        </c:scaling>
        <c:delete val="0"/>
        <c:axPos val="l"/>
        <c:majorGridlines/>
        <c:numFmt formatCode="General" sourceLinked="1"/>
        <c:majorTickMark val="none"/>
        <c:minorTickMark val="none"/>
        <c:tickLblPos val="nextTo"/>
        <c:crossAx val="724028400"/>
        <c:crosses val="autoZero"/>
        <c:crossBetween val="between"/>
      </c:valAx>
      <c:dTable>
        <c:showHorzBorder val="1"/>
        <c:showVertBorder val="1"/>
        <c:showOutline val="1"/>
        <c:showKeys val="1"/>
      </c:dTable>
    </c:plotArea>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Marketing ready ?</a:t>
            </a:r>
          </a:p>
          <a:p>
            <a:pPr>
              <a:defRPr/>
            </a:pPr>
            <a:r>
              <a:rPr lang="fr-FR"/>
              <a:t>1° source </a:t>
            </a:r>
          </a:p>
        </c:rich>
      </c:tx>
      <c:overlay val="0"/>
    </c:title>
    <c:autoTitleDeleted val="0"/>
    <c:plotArea>
      <c:layout/>
      <c:radarChart>
        <c:radarStyle val="marker"/>
        <c:varyColors val="0"/>
        <c:ser>
          <c:idx val="0"/>
          <c:order val="0"/>
          <c:marker>
            <c:symbol val="none"/>
          </c:marker>
          <c:cat>
            <c:strLit>
              <c:ptCount val="80"/>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0</c:v>
              </c:pt>
              <c:pt idx="9">
                <c:v>Maîtrise du Besoin critique</c:v>
              </c:pt>
              <c:pt idx="10">
                <c:v>Pour qui ?</c:v>
              </c:pt>
              <c:pt idx="11">
                <c:v>Peines</c:v>
              </c:pt>
              <c:pt idx="12">
                <c:v>Conséqces business</c:v>
              </c:pt>
              <c:pt idx="13">
                <c:v>Conséqces perso</c:v>
              </c:pt>
              <c:pt idx="14">
                <c:v>Attentes clients</c:v>
              </c:pt>
              <c:pt idx="15">
                <c:v>Couverture besoins</c:v>
              </c:pt>
              <c:pt idx="16">
                <c:v>0</c:v>
              </c:pt>
              <c:pt idx="17">
                <c:v>Motivations achat</c:v>
              </c:pt>
              <c:pt idx="18">
                <c:v>Process achat</c:v>
              </c:pt>
              <c:pt idx="19">
                <c:v>Mapping des acteurs</c:v>
              </c:pt>
              <c:pt idx="20">
                <c:v>Messages ciblés</c:v>
              </c:pt>
              <c:pt idx="21">
                <c:v>Déclencheurs</c:v>
              </c:pt>
              <c:pt idx="22">
                <c:v>Concurrence</c:v>
              </c:pt>
              <c:pt idx="23">
                <c:v>Source contact</c:v>
              </c:pt>
              <c:pt idx="24">
                <c:v>Satisfaction</c:v>
              </c:pt>
              <c:pt idx="25">
                <c:v>0</c:v>
              </c:pt>
              <c:pt idx="26">
                <c:v>Utilsateurs</c:v>
              </c:pt>
              <c:pt idx="27">
                <c:v>Organisation</c:v>
              </c:pt>
              <c:pt idx="28">
                <c:v>Mesure</c:v>
              </c:pt>
              <c:pt idx="29">
                <c:v>Top fonctionnalités</c:v>
              </c:pt>
              <c:pt idx="30">
                <c:v>Durée utilisation</c:v>
              </c:pt>
              <c:pt idx="31">
                <c:v>Moment</c:v>
              </c:pt>
              <c:pt idx="32">
                <c:v>Relation autres produits</c:v>
              </c:pt>
              <c:pt idx="33">
                <c:v>Intégré ou autonome</c:v>
              </c:pt>
              <c:pt idx="34">
                <c:v>Process</c:v>
              </c:pt>
              <c:pt idx="35">
                <c:v>Indicateurs</c:v>
              </c:pt>
              <c:pt idx="36">
                <c:v>Points forts</c:v>
              </c:pt>
              <c:pt idx="37">
                <c:v>Points faibles</c:v>
              </c:pt>
              <c:pt idx="38">
                <c:v>Attentes</c:v>
              </c:pt>
              <c:pt idx="39">
                <c:v>Satisfaction</c:v>
              </c:pt>
              <c:pt idx="40">
                <c:v>Niveau d'écoute</c:v>
              </c:pt>
              <c:pt idx="41">
                <c:v>Utilsateurs</c:v>
              </c:pt>
              <c:pt idx="42">
                <c:v>Organisation</c:v>
              </c:pt>
              <c:pt idx="43">
                <c:v>Mesure</c:v>
              </c:pt>
              <c:pt idx="44">
                <c:v>Top fonctionnalités</c:v>
              </c:pt>
              <c:pt idx="45">
                <c:v>Durée utilisation</c:v>
              </c:pt>
              <c:pt idx="46">
                <c:v>Moment</c:v>
              </c:pt>
              <c:pt idx="47">
                <c:v>Relation autres produits</c:v>
              </c:pt>
              <c:pt idx="48">
                <c:v>Intégré ou autonome</c:v>
              </c:pt>
              <c:pt idx="49">
                <c:v>Process</c:v>
              </c:pt>
              <c:pt idx="50">
                <c:v>Indicateurs</c:v>
              </c:pt>
              <c:pt idx="51">
                <c:v>Points forts</c:v>
              </c:pt>
              <c:pt idx="52">
                <c:v>Points faibles</c:v>
              </c:pt>
              <c:pt idx="53">
                <c:v>Attentes</c:v>
              </c:pt>
              <c:pt idx="54">
                <c:v>Satisfaction</c:v>
              </c:pt>
              <c:pt idx="55">
                <c:v>Niveau d'écoute</c:v>
              </c:pt>
              <c:pt idx="56">
                <c:v>0</c:v>
              </c:pt>
              <c:pt idx="57">
                <c:v>Utilsateurs</c:v>
              </c:pt>
              <c:pt idx="58">
                <c:v>Organisation</c:v>
              </c:pt>
              <c:pt idx="59">
                <c:v>Mesure</c:v>
              </c:pt>
              <c:pt idx="60">
                <c:v>Top fonctionnalités</c:v>
              </c:pt>
              <c:pt idx="61">
                <c:v>Durée utilisation</c:v>
              </c:pt>
              <c:pt idx="62">
                <c:v>Moment</c:v>
              </c:pt>
              <c:pt idx="63">
                <c:v>Relation autres produits</c:v>
              </c:pt>
              <c:pt idx="64">
                <c:v>Intégré ou autonome</c:v>
              </c:pt>
              <c:pt idx="65">
                <c:v>Process</c:v>
              </c:pt>
              <c:pt idx="66">
                <c:v>Indicateurs</c:v>
              </c:pt>
              <c:pt idx="67">
                <c:v>Points forts</c:v>
              </c:pt>
              <c:pt idx="68">
                <c:v>Points faibles</c:v>
              </c:pt>
              <c:pt idx="69">
                <c:v>Attentes</c:v>
              </c:pt>
              <c:pt idx="70">
                <c:v>Satisfaction</c:v>
              </c:pt>
              <c:pt idx="71">
                <c:v>Niveau d'écoute</c:v>
              </c:pt>
              <c:pt idx="72">
                <c:v>Profil clients</c:v>
              </c:pt>
              <c:pt idx="73">
                <c:v>Pitch société</c:v>
              </c:pt>
              <c:pt idx="74">
                <c:v>Pitch produit</c:v>
              </c:pt>
              <c:pt idx="75">
                <c:v>Différenciateurs</c:v>
              </c:pt>
              <c:pt idx="76">
                <c:v>Singularités</c:v>
              </c:pt>
              <c:pt idx="77">
                <c:v>ROI / TCO</c:v>
              </c:pt>
              <c:pt idx="78">
                <c:v>Biz case client</c:v>
              </c:pt>
              <c:pt idx="79">
                <c:v>0</c:v>
              </c:pt>
            </c:strLit>
          </c:cat>
          <c:val>
            <c:numLit>
              <c:formatCode>General</c:formatCode>
              <c:ptCount val="50"/>
              <c:pt idx="0">
                <c:v>9</c:v>
              </c:pt>
              <c:pt idx="1">
                <c:v>7</c:v>
              </c:pt>
              <c:pt idx="2">
                <c:v>6</c:v>
              </c:pt>
              <c:pt idx="3">
                <c:v>10</c:v>
              </c:pt>
              <c:pt idx="4">
                <c:v>8</c:v>
              </c:pt>
              <c:pt idx="5">
                <c:v>6</c:v>
              </c:pt>
              <c:pt idx="6">
                <c:v>6</c:v>
              </c:pt>
              <c:pt idx="7">
                <c:v>7</c:v>
              </c:pt>
              <c:pt idx="8">
                <c:v>7.375</c:v>
              </c:pt>
              <c:pt idx="9">
                <c:v>8</c:v>
              </c:pt>
              <c:pt idx="10">
                <c:v>10</c:v>
              </c:pt>
              <c:pt idx="11">
                <c:v>9</c:v>
              </c:pt>
              <c:pt idx="12">
                <c:v>7</c:v>
              </c:pt>
              <c:pt idx="13">
                <c:v>8</c:v>
              </c:pt>
              <c:pt idx="14">
                <c:v>8</c:v>
              </c:pt>
              <c:pt idx="15">
                <c:v>8</c:v>
              </c:pt>
              <c:pt idx="16">
                <c:v>8.2857142857142865</c:v>
              </c:pt>
              <c:pt idx="17">
                <c:v>9</c:v>
              </c:pt>
              <c:pt idx="18">
                <c:v>8</c:v>
              </c:pt>
              <c:pt idx="19">
                <c:v>10</c:v>
              </c:pt>
              <c:pt idx="20">
                <c:v>7</c:v>
              </c:pt>
              <c:pt idx="21">
                <c:v>9</c:v>
              </c:pt>
              <c:pt idx="22">
                <c:v>9</c:v>
              </c:pt>
              <c:pt idx="23">
                <c:v>9</c:v>
              </c:pt>
              <c:pt idx="24">
                <c:v>9</c:v>
              </c:pt>
              <c:pt idx="25">
                <c:v>8.75</c:v>
              </c:pt>
              <c:pt idx="26">
                <c:v>10</c:v>
              </c:pt>
              <c:pt idx="27">
                <c:v>10</c:v>
              </c:pt>
              <c:pt idx="28">
                <c:v>10</c:v>
              </c:pt>
              <c:pt idx="29">
                <c:v>9</c:v>
              </c:pt>
              <c:pt idx="30">
                <c:v>9</c:v>
              </c:pt>
              <c:pt idx="31">
                <c:v>9</c:v>
              </c:pt>
              <c:pt idx="32">
                <c:v>3</c:v>
              </c:pt>
              <c:pt idx="33">
                <c:v>9</c:v>
              </c:pt>
              <c:pt idx="34">
                <c:v>9</c:v>
              </c:pt>
              <c:pt idx="35">
                <c:v>10</c:v>
              </c:pt>
              <c:pt idx="36">
                <c:v>6</c:v>
              </c:pt>
              <c:pt idx="37">
                <c:v>6</c:v>
              </c:pt>
              <c:pt idx="38">
                <c:v>6</c:v>
              </c:pt>
              <c:pt idx="39">
                <c:v>10</c:v>
              </c:pt>
              <c:pt idx="40">
                <c:v>10</c:v>
              </c:pt>
              <c:pt idx="41">
                <c:v>8.4</c:v>
              </c:pt>
              <c:pt idx="42">
                <c:v>9</c:v>
              </c:pt>
              <c:pt idx="43">
                <c:v>7</c:v>
              </c:pt>
              <c:pt idx="44">
                <c:v>4</c:v>
              </c:pt>
              <c:pt idx="45">
                <c:v>7</c:v>
              </c:pt>
              <c:pt idx="46">
                <c:v>8</c:v>
              </c:pt>
              <c:pt idx="47">
                <c:v>6</c:v>
              </c:pt>
              <c:pt idx="48">
                <c:v>9</c:v>
              </c:pt>
              <c:pt idx="49">
                <c:v>7.1428571428571432</c:v>
              </c:pt>
            </c:numLit>
          </c:val>
          <c:extLst>
            <c:ext xmlns:c16="http://schemas.microsoft.com/office/drawing/2014/chart" uri="{C3380CC4-5D6E-409C-BE32-E72D297353CC}">
              <c16:uniqueId val="{00000000-C17F-4627-8277-46F1C27EBEA6}"/>
            </c:ext>
          </c:extLst>
        </c:ser>
        <c:dLbls>
          <c:showLegendKey val="0"/>
          <c:showVal val="0"/>
          <c:showCatName val="0"/>
          <c:showSerName val="0"/>
          <c:showPercent val="0"/>
          <c:showBubbleSize val="0"/>
        </c:dLbls>
        <c:axId val="724028944"/>
        <c:axId val="724029488"/>
      </c:radarChart>
      <c:catAx>
        <c:axId val="724028944"/>
        <c:scaling>
          <c:orientation val="minMax"/>
        </c:scaling>
        <c:delete val="0"/>
        <c:axPos val="b"/>
        <c:majorGridlines/>
        <c:numFmt formatCode="General" sourceLinked="0"/>
        <c:majorTickMark val="none"/>
        <c:minorTickMark val="none"/>
        <c:tickLblPos val="nextTo"/>
        <c:spPr>
          <a:ln w="9525">
            <a:noFill/>
          </a:ln>
        </c:spPr>
        <c:crossAx val="724029488"/>
        <c:crosses val="autoZero"/>
        <c:auto val="1"/>
        <c:lblAlgn val="ctr"/>
        <c:lblOffset val="100"/>
        <c:noMultiLvlLbl val="0"/>
      </c:catAx>
      <c:valAx>
        <c:axId val="724029488"/>
        <c:scaling>
          <c:orientation val="minMax"/>
        </c:scaling>
        <c:delete val="0"/>
        <c:axPos val="l"/>
        <c:majorGridlines/>
        <c:numFmt formatCode="General" sourceLinked="1"/>
        <c:majorTickMark val="none"/>
        <c:minorTickMark val="none"/>
        <c:tickLblPos val="nextTo"/>
        <c:crossAx val="724028944"/>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Marketing ready ?  </a:t>
            </a:r>
          </a:p>
          <a:p>
            <a:pPr>
              <a:defRPr/>
            </a:pPr>
            <a:r>
              <a:rPr lang="fr-FR"/>
              <a:t>2° source</a:t>
            </a:r>
          </a:p>
        </c:rich>
      </c:tx>
      <c:overlay val="0"/>
    </c:title>
    <c:autoTitleDeleted val="0"/>
    <c:plotArea>
      <c:layout>
        <c:manualLayout>
          <c:layoutTarget val="inner"/>
          <c:xMode val="edge"/>
          <c:yMode val="edge"/>
          <c:x val="0.19594943058787401"/>
          <c:y val="0.24377628823409001"/>
          <c:w val="0.58264743914636297"/>
          <c:h val="0.54775729248731198"/>
        </c:manualLayout>
      </c:layout>
      <c:radarChart>
        <c:radarStyle val="marker"/>
        <c:varyColors val="0"/>
        <c:ser>
          <c:idx val="0"/>
          <c:order val="0"/>
          <c:marker>
            <c:symbol val="none"/>
          </c:marker>
          <c:cat>
            <c:strLit>
              <c:ptCount val="50"/>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0</c:v>
              </c:pt>
              <c:pt idx="9">
                <c:v>Maîtrise du Besoin critique</c:v>
              </c:pt>
              <c:pt idx="10">
                <c:v>Pour qui ?</c:v>
              </c:pt>
              <c:pt idx="11">
                <c:v>Peines</c:v>
              </c:pt>
              <c:pt idx="12">
                <c:v>Conséqces business</c:v>
              </c:pt>
              <c:pt idx="13">
                <c:v>Conséqces perso</c:v>
              </c:pt>
              <c:pt idx="14">
                <c:v>Attentes clients</c:v>
              </c:pt>
              <c:pt idx="15">
                <c:v>Couverture besoins</c:v>
              </c:pt>
              <c:pt idx="16">
                <c:v>0</c:v>
              </c:pt>
              <c:pt idx="17">
                <c:v>Motivations achat</c:v>
              </c:pt>
              <c:pt idx="18">
                <c:v>Process achat</c:v>
              </c:pt>
              <c:pt idx="19">
                <c:v>Mapping des acteurs</c:v>
              </c:pt>
              <c:pt idx="20">
                <c:v>Messages ciblés</c:v>
              </c:pt>
              <c:pt idx="21">
                <c:v>Déclencheurs</c:v>
              </c:pt>
              <c:pt idx="22">
                <c:v>Concurrence</c:v>
              </c:pt>
              <c:pt idx="23">
                <c:v>Source contact</c:v>
              </c:pt>
              <c:pt idx="24">
                <c:v>Satisfaction</c:v>
              </c:pt>
              <c:pt idx="25">
                <c:v>0</c:v>
              </c:pt>
              <c:pt idx="26">
                <c:v>Utilsateurs</c:v>
              </c:pt>
              <c:pt idx="27">
                <c:v>Organisation</c:v>
              </c:pt>
              <c:pt idx="28">
                <c:v>Mesure</c:v>
              </c:pt>
              <c:pt idx="29">
                <c:v>Top fonctionnalités</c:v>
              </c:pt>
              <c:pt idx="30">
                <c:v>Durée utilisation</c:v>
              </c:pt>
              <c:pt idx="31">
                <c:v>Moment</c:v>
              </c:pt>
              <c:pt idx="32">
                <c:v>Relation autres produits</c:v>
              </c:pt>
              <c:pt idx="33">
                <c:v>Intégré ou autonome</c:v>
              </c:pt>
              <c:pt idx="34">
                <c:v>Process</c:v>
              </c:pt>
              <c:pt idx="35">
                <c:v>Indicateurs</c:v>
              </c:pt>
              <c:pt idx="36">
                <c:v>Points forts</c:v>
              </c:pt>
              <c:pt idx="37">
                <c:v>Points faibles</c:v>
              </c:pt>
              <c:pt idx="38">
                <c:v>Attentes</c:v>
              </c:pt>
              <c:pt idx="39">
                <c:v>Satisfaction</c:v>
              </c:pt>
              <c:pt idx="40">
                <c:v>Niveau d'écoute</c:v>
              </c:pt>
              <c:pt idx="41">
                <c:v>0</c:v>
              </c:pt>
              <c:pt idx="42">
                <c:v>Profil clients</c:v>
              </c:pt>
              <c:pt idx="43">
                <c:v>Pitch société</c:v>
              </c:pt>
              <c:pt idx="44">
                <c:v>Pitch produit</c:v>
              </c:pt>
              <c:pt idx="45">
                <c:v>Différenciateurs</c:v>
              </c:pt>
              <c:pt idx="46">
                <c:v>Singularités</c:v>
              </c:pt>
              <c:pt idx="47">
                <c:v>ROI / TCO</c:v>
              </c:pt>
              <c:pt idx="48">
                <c:v>Biz case client</c:v>
              </c:pt>
              <c:pt idx="49">
                <c:v>0</c:v>
              </c:pt>
            </c:strLit>
          </c:cat>
          <c:val>
            <c:numLit>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Lit>
          </c:val>
          <c:extLst>
            <c:ext xmlns:c16="http://schemas.microsoft.com/office/drawing/2014/chart" uri="{C3380CC4-5D6E-409C-BE32-E72D297353CC}">
              <c16:uniqueId val="{00000000-3B13-46BF-A206-D990197DDF7C}"/>
            </c:ext>
          </c:extLst>
        </c:ser>
        <c:ser>
          <c:idx val="1"/>
          <c:order val="1"/>
          <c:marker>
            <c:symbol val="none"/>
          </c:marker>
          <c:cat>
            <c:strLit>
              <c:ptCount val="50"/>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0</c:v>
              </c:pt>
              <c:pt idx="9">
                <c:v>Maîtrise du Besoin critique</c:v>
              </c:pt>
              <c:pt idx="10">
                <c:v>Pour qui ?</c:v>
              </c:pt>
              <c:pt idx="11">
                <c:v>Peines</c:v>
              </c:pt>
              <c:pt idx="12">
                <c:v>Conséqces business</c:v>
              </c:pt>
              <c:pt idx="13">
                <c:v>Conséqces perso</c:v>
              </c:pt>
              <c:pt idx="14">
                <c:v>Attentes clients</c:v>
              </c:pt>
              <c:pt idx="15">
                <c:v>Couverture besoins</c:v>
              </c:pt>
              <c:pt idx="16">
                <c:v>0</c:v>
              </c:pt>
              <c:pt idx="17">
                <c:v>Motivations achat</c:v>
              </c:pt>
              <c:pt idx="18">
                <c:v>Process achat</c:v>
              </c:pt>
              <c:pt idx="19">
                <c:v>Mapping des acteurs</c:v>
              </c:pt>
              <c:pt idx="20">
                <c:v>Messages ciblés</c:v>
              </c:pt>
              <c:pt idx="21">
                <c:v>Déclencheurs</c:v>
              </c:pt>
              <c:pt idx="22">
                <c:v>Concurrence</c:v>
              </c:pt>
              <c:pt idx="23">
                <c:v>Source contact</c:v>
              </c:pt>
              <c:pt idx="24">
                <c:v>Satisfaction</c:v>
              </c:pt>
              <c:pt idx="25">
                <c:v>0</c:v>
              </c:pt>
              <c:pt idx="26">
                <c:v>Utilsateurs</c:v>
              </c:pt>
              <c:pt idx="27">
                <c:v>Organisation</c:v>
              </c:pt>
              <c:pt idx="28">
                <c:v>Mesure</c:v>
              </c:pt>
              <c:pt idx="29">
                <c:v>Top fonctionnalités</c:v>
              </c:pt>
              <c:pt idx="30">
                <c:v>Durée utilisation</c:v>
              </c:pt>
              <c:pt idx="31">
                <c:v>Moment</c:v>
              </c:pt>
              <c:pt idx="32">
                <c:v>Relation autres produits</c:v>
              </c:pt>
              <c:pt idx="33">
                <c:v>Intégré ou autonome</c:v>
              </c:pt>
              <c:pt idx="34">
                <c:v>Process</c:v>
              </c:pt>
              <c:pt idx="35">
                <c:v>Indicateurs</c:v>
              </c:pt>
              <c:pt idx="36">
                <c:v>Points forts</c:v>
              </c:pt>
              <c:pt idx="37">
                <c:v>Points faibles</c:v>
              </c:pt>
              <c:pt idx="38">
                <c:v>Attentes</c:v>
              </c:pt>
              <c:pt idx="39">
                <c:v>Satisfaction</c:v>
              </c:pt>
              <c:pt idx="40">
                <c:v>Niveau d'écoute</c:v>
              </c:pt>
              <c:pt idx="41">
                <c:v>0</c:v>
              </c:pt>
              <c:pt idx="42">
                <c:v>Profil clients</c:v>
              </c:pt>
              <c:pt idx="43">
                <c:v>Pitch société</c:v>
              </c:pt>
              <c:pt idx="44">
                <c:v>Pitch produit</c:v>
              </c:pt>
              <c:pt idx="45">
                <c:v>Différenciateurs</c:v>
              </c:pt>
              <c:pt idx="46">
                <c:v>Singularités</c:v>
              </c:pt>
              <c:pt idx="47">
                <c:v>ROI / TCO</c:v>
              </c:pt>
              <c:pt idx="48">
                <c:v>Biz case client</c:v>
              </c:pt>
              <c:pt idx="49">
                <c:v>0</c:v>
              </c:pt>
            </c:strLit>
          </c:cat>
          <c:val>
            <c:numLit>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Lit>
          </c:val>
          <c:extLst>
            <c:ext xmlns:c16="http://schemas.microsoft.com/office/drawing/2014/chart" uri="{C3380CC4-5D6E-409C-BE32-E72D297353CC}">
              <c16:uniqueId val="{00000001-3B13-46BF-A206-D990197DDF7C}"/>
            </c:ext>
          </c:extLst>
        </c:ser>
        <c:ser>
          <c:idx val="2"/>
          <c:order val="2"/>
          <c:marker>
            <c:symbol val="none"/>
          </c:marker>
          <c:cat>
            <c:strLit>
              <c:ptCount val="50"/>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0</c:v>
              </c:pt>
              <c:pt idx="9">
                <c:v>Maîtrise du Besoin critique</c:v>
              </c:pt>
              <c:pt idx="10">
                <c:v>Pour qui ?</c:v>
              </c:pt>
              <c:pt idx="11">
                <c:v>Peines</c:v>
              </c:pt>
              <c:pt idx="12">
                <c:v>Conséqces business</c:v>
              </c:pt>
              <c:pt idx="13">
                <c:v>Conséqces perso</c:v>
              </c:pt>
              <c:pt idx="14">
                <c:v>Attentes clients</c:v>
              </c:pt>
              <c:pt idx="15">
                <c:v>Couverture besoins</c:v>
              </c:pt>
              <c:pt idx="16">
                <c:v>0</c:v>
              </c:pt>
              <c:pt idx="17">
                <c:v>Motivations achat</c:v>
              </c:pt>
              <c:pt idx="18">
                <c:v>Process achat</c:v>
              </c:pt>
              <c:pt idx="19">
                <c:v>Mapping des acteurs</c:v>
              </c:pt>
              <c:pt idx="20">
                <c:v>Messages ciblés</c:v>
              </c:pt>
              <c:pt idx="21">
                <c:v>Déclencheurs</c:v>
              </c:pt>
              <c:pt idx="22">
                <c:v>Concurrence</c:v>
              </c:pt>
              <c:pt idx="23">
                <c:v>Source contact</c:v>
              </c:pt>
              <c:pt idx="24">
                <c:v>Satisfaction</c:v>
              </c:pt>
              <c:pt idx="25">
                <c:v>0</c:v>
              </c:pt>
              <c:pt idx="26">
                <c:v>Utilsateurs</c:v>
              </c:pt>
              <c:pt idx="27">
                <c:v>Organisation</c:v>
              </c:pt>
              <c:pt idx="28">
                <c:v>Mesure</c:v>
              </c:pt>
              <c:pt idx="29">
                <c:v>Top fonctionnalités</c:v>
              </c:pt>
              <c:pt idx="30">
                <c:v>Durée utilisation</c:v>
              </c:pt>
              <c:pt idx="31">
                <c:v>Moment</c:v>
              </c:pt>
              <c:pt idx="32">
                <c:v>Relation autres produits</c:v>
              </c:pt>
              <c:pt idx="33">
                <c:v>Intégré ou autonome</c:v>
              </c:pt>
              <c:pt idx="34">
                <c:v>Process</c:v>
              </c:pt>
              <c:pt idx="35">
                <c:v>Indicateurs</c:v>
              </c:pt>
              <c:pt idx="36">
                <c:v>Points forts</c:v>
              </c:pt>
              <c:pt idx="37">
                <c:v>Points faibles</c:v>
              </c:pt>
              <c:pt idx="38">
                <c:v>Attentes</c:v>
              </c:pt>
              <c:pt idx="39">
                <c:v>Satisfaction</c:v>
              </c:pt>
              <c:pt idx="40">
                <c:v>Niveau d'écoute</c:v>
              </c:pt>
              <c:pt idx="41">
                <c:v>0</c:v>
              </c:pt>
              <c:pt idx="42">
                <c:v>Profil clients</c:v>
              </c:pt>
              <c:pt idx="43">
                <c:v>Pitch société</c:v>
              </c:pt>
              <c:pt idx="44">
                <c:v>Pitch produit</c:v>
              </c:pt>
              <c:pt idx="45">
                <c:v>Différenciateurs</c:v>
              </c:pt>
              <c:pt idx="46">
                <c:v>Singularités</c:v>
              </c:pt>
              <c:pt idx="47">
                <c:v>ROI / TCO</c:v>
              </c:pt>
              <c:pt idx="48">
                <c:v>Biz case client</c:v>
              </c:pt>
              <c:pt idx="49">
                <c:v>0</c:v>
              </c:pt>
            </c:strLit>
          </c:cat>
          <c:val>
            <c:numLit>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Lit>
          </c:val>
          <c:extLst>
            <c:ext xmlns:c16="http://schemas.microsoft.com/office/drawing/2014/chart" uri="{C3380CC4-5D6E-409C-BE32-E72D297353CC}">
              <c16:uniqueId val="{00000002-3B13-46BF-A206-D990197DDF7C}"/>
            </c:ext>
          </c:extLst>
        </c:ser>
        <c:dLbls>
          <c:showLegendKey val="0"/>
          <c:showVal val="0"/>
          <c:showCatName val="0"/>
          <c:showSerName val="0"/>
          <c:showPercent val="0"/>
          <c:showBubbleSize val="0"/>
        </c:dLbls>
        <c:axId val="724031664"/>
        <c:axId val="724026768"/>
      </c:radarChart>
      <c:catAx>
        <c:axId val="724031664"/>
        <c:scaling>
          <c:orientation val="minMax"/>
        </c:scaling>
        <c:delete val="0"/>
        <c:axPos val="b"/>
        <c:majorGridlines/>
        <c:numFmt formatCode="General" sourceLinked="0"/>
        <c:majorTickMark val="none"/>
        <c:minorTickMark val="none"/>
        <c:tickLblPos val="nextTo"/>
        <c:spPr>
          <a:ln w="9525">
            <a:noFill/>
          </a:ln>
        </c:spPr>
        <c:crossAx val="724026768"/>
        <c:crosses val="autoZero"/>
        <c:auto val="1"/>
        <c:lblAlgn val="ctr"/>
        <c:lblOffset val="100"/>
        <c:noMultiLvlLbl val="0"/>
      </c:catAx>
      <c:valAx>
        <c:axId val="724026768"/>
        <c:scaling>
          <c:orientation val="minMax"/>
        </c:scaling>
        <c:delete val="0"/>
        <c:axPos val="l"/>
        <c:majorGridlines/>
        <c:numFmt formatCode="General" sourceLinked="1"/>
        <c:majorTickMark val="none"/>
        <c:minorTickMark val="none"/>
        <c:tickLblPos val="nextTo"/>
        <c:crossAx val="724031664"/>
        <c:crosses val="autoZero"/>
        <c:crossBetween val="between"/>
      </c:valAx>
    </c:plotArea>
    <c:plotVisOnly val="1"/>
    <c:dispBlanksAs val="gap"/>
    <c:showDLblsOverMax val="0"/>
  </c:chart>
  <c:spPr>
    <a:gradFill>
      <a:gsLst>
        <a:gs pos="3000">
          <a:srgbClr val="DDEBCF"/>
        </a:gs>
        <a:gs pos="100000">
          <a:srgbClr val="9CB86E"/>
        </a:gs>
        <a:gs pos="100000">
          <a:srgbClr val="156B13"/>
        </a:gs>
      </a:gsLst>
      <a:lin ang="5400000" scaled="0"/>
    </a:gradFill>
    <a:ln w="25400">
      <a:solidFill>
        <a:srgbClr val="C0000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Channel ready ? </a:t>
            </a:r>
          </a:p>
        </c:rich>
      </c:tx>
      <c:overlay val="0"/>
    </c:title>
    <c:autoTitleDeleted val="0"/>
    <c:plotArea>
      <c:layout/>
      <c:radarChart>
        <c:radarStyle val="marker"/>
        <c:varyColors val="0"/>
        <c:ser>
          <c:idx val="0"/>
          <c:order val="0"/>
          <c:marker>
            <c:symbol val="none"/>
          </c:marker>
          <c:cat>
            <c:strRef>
              <c:f>('03-CHANNELREADY-OFR2'!$B$9:$B$20,'03-CHANNELREADY-OFR2'!$B$23:$B$32,'03-CHANNELREADY-OFR2'!$B$35:$B$42,'03-CHANNELREADY-OFR2'!$B$45:$B$51)</c:f>
              <c:strCache>
                <c:ptCount val="37"/>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Facilité de MAJ des nouvelles versions</c:v>
                </c:pt>
                <c:pt idx="13">
                  <c:v>Facilité de support effectué par le partenaire</c:v>
                </c:pt>
                <c:pt idx="14">
                  <c:v>Facilité de déployement en multisites</c:v>
                </c:pt>
                <c:pt idx="15">
                  <c:v>Facilité d'Installation du logiciel</c:v>
                </c:pt>
                <c:pt idx="16">
                  <c:v>Facilité de démarrage pour un client</c:v>
                </c:pt>
                <c:pt idx="17">
                  <c:v>Facilité de formation d'un client</c:v>
                </c:pt>
                <c:pt idx="18">
                  <c:v>Facilité de personnalisation / paramétrage d'un client</c:v>
                </c:pt>
                <c:pt idx="19">
                  <c:v>Facilité d'apprentissage pour un commercial </c:v>
                </c:pt>
                <c:pt idx="20">
                  <c:v>Efficacité de la formation pour les commerciaux des partenaires</c:v>
                </c:pt>
                <c:pt idx="21">
                  <c:v>Facilité d'intégration avec le SI des clients</c:v>
                </c:pt>
                <c:pt idx="22">
                  <c:v>Documentation ( tech  ) pour les partenaires</c:v>
                </c:pt>
                <c:pt idx="23">
                  <c:v>Niveau d'assistance sur les 1° affaires</c:v>
                </c:pt>
                <c:pt idx="24">
                  <c:v>Besoin d'assistance sur les 3 premières affaires</c:v>
                </c:pt>
                <c:pt idx="25">
                  <c:v>Facilité de localisation de la solution</c:v>
                </c:pt>
                <c:pt idx="26">
                  <c:v>Multilangues</c:v>
                </c:pt>
                <c:pt idx="27">
                  <c:v>Documentation en langues étrangères</c:v>
                </c:pt>
                <c:pt idx="28">
                  <c:v>Qualité et réactivité du support envers les partenaires </c:v>
                </c:pt>
                <c:pt idx="29">
                  <c:v>Escalades process</c:v>
                </c:pt>
                <c:pt idx="30">
                  <c:v>Références clients visitables</c:v>
                </c:pt>
                <c:pt idx="31">
                  <c:v>Positionnement du prix liste officielle</c:v>
                </c:pt>
                <c:pt idx="32">
                  <c:v>Souplesse adaptation du pricing</c:v>
                </c:pt>
                <c:pt idx="33">
                  <c:v>Niveau de Commission aux partenaires</c:v>
                </c:pt>
                <c:pt idx="34">
                  <c:v>Opportunités de Revenu additionnel pour les partenaires</c:v>
                </c:pt>
                <c:pt idx="35">
                  <c:v>Acceptation du canal Partenaire par les clients</c:v>
                </c:pt>
                <c:pt idx="36">
                  <c:v>Niveau de notoriété du produit</c:v>
                </c:pt>
              </c:strCache>
            </c:strRef>
          </c:cat>
          <c:val>
            <c:numRef>
              <c:f>('03-CHANNELREADY-OFR2'!$C$9:$C$20,'03-CHANNELREADY-OFR2'!$C$23:$C$32,'03-CHANNELREADY-OFR2'!$C$35:$C$42,'03-CHANNELREADY-OFR2'!$C$45:$C$51)</c:f>
              <c:numCache>
                <c:formatCode>General</c:formatCode>
                <c:ptCount val="37"/>
              </c:numCache>
            </c:numRef>
          </c:val>
          <c:extLst>
            <c:ext xmlns:c16="http://schemas.microsoft.com/office/drawing/2014/chart" uri="{C3380CC4-5D6E-409C-BE32-E72D297353CC}">
              <c16:uniqueId val="{00000000-B3D7-41E2-8225-905CDEC8C4F7}"/>
            </c:ext>
          </c:extLst>
        </c:ser>
        <c:ser>
          <c:idx val="1"/>
          <c:order val="1"/>
          <c:marker>
            <c:symbol val="none"/>
          </c:marker>
          <c:cat>
            <c:strRef>
              <c:f>('03-CHANNELREADY-OFR2'!$B$9:$B$20,'03-CHANNELREADY-OFR2'!$B$23:$B$32,'03-CHANNELREADY-OFR2'!$B$35:$B$42,'03-CHANNELREADY-OFR2'!$B$45:$B$51)</c:f>
              <c:strCache>
                <c:ptCount val="37"/>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Facilité de MAJ des nouvelles versions</c:v>
                </c:pt>
                <c:pt idx="13">
                  <c:v>Facilité de support effectué par le partenaire</c:v>
                </c:pt>
                <c:pt idx="14">
                  <c:v>Facilité de déployement en multisites</c:v>
                </c:pt>
                <c:pt idx="15">
                  <c:v>Facilité d'Installation du logiciel</c:v>
                </c:pt>
                <c:pt idx="16">
                  <c:v>Facilité de démarrage pour un client</c:v>
                </c:pt>
                <c:pt idx="17">
                  <c:v>Facilité de formation d'un client</c:v>
                </c:pt>
                <c:pt idx="18">
                  <c:v>Facilité de personnalisation / paramétrage d'un client</c:v>
                </c:pt>
                <c:pt idx="19">
                  <c:v>Facilité d'apprentissage pour un commercial </c:v>
                </c:pt>
                <c:pt idx="20">
                  <c:v>Efficacité de la formation pour les commerciaux des partenaires</c:v>
                </c:pt>
                <c:pt idx="21">
                  <c:v>Facilité d'intégration avec le SI des clients</c:v>
                </c:pt>
                <c:pt idx="22">
                  <c:v>Documentation ( tech  ) pour les partenaires</c:v>
                </c:pt>
                <c:pt idx="23">
                  <c:v>Niveau d'assistance sur les 1° affaires</c:v>
                </c:pt>
                <c:pt idx="24">
                  <c:v>Besoin d'assistance sur les 3 premières affaires</c:v>
                </c:pt>
                <c:pt idx="25">
                  <c:v>Facilité de localisation de la solution</c:v>
                </c:pt>
                <c:pt idx="26">
                  <c:v>Multilangues</c:v>
                </c:pt>
                <c:pt idx="27">
                  <c:v>Documentation en langues étrangères</c:v>
                </c:pt>
                <c:pt idx="28">
                  <c:v>Qualité et réactivité du support envers les partenaires </c:v>
                </c:pt>
                <c:pt idx="29">
                  <c:v>Escalades process</c:v>
                </c:pt>
                <c:pt idx="30">
                  <c:v>Références clients visitables</c:v>
                </c:pt>
                <c:pt idx="31">
                  <c:v>Positionnement du prix liste officielle</c:v>
                </c:pt>
                <c:pt idx="32">
                  <c:v>Souplesse adaptation du pricing</c:v>
                </c:pt>
                <c:pt idx="33">
                  <c:v>Niveau de Commission aux partenaires</c:v>
                </c:pt>
                <c:pt idx="34">
                  <c:v>Opportunités de Revenu additionnel pour les partenaires</c:v>
                </c:pt>
                <c:pt idx="35">
                  <c:v>Acceptation du canal Partenaire par les clients</c:v>
                </c:pt>
                <c:pt idx="36">
                  <c:v>Niveau de notoriété du produit</c:v>
                </c:pt>
              </c:strCache>
            </c:strRef>
          </c:cat>
          <c:val>
            <c:numRef>
              <c:f>('03-CHANNELREADY-OFR2'!$D$9:$D$20,'03-CHANNELREADY-OFR2'!$D$23:$D$32,'03-CHANNELREADY-OFR2'!$D$35:$D$42,'03-CHANNELREADY-OFR2'!$D$45:$D$51)</c:f>
              <c:numCache>
                <c:formatCode>General</c:formatCode>
                <c:ptCount val="37"/>
              </c:numCache>
            </c:numRef>
          </c:val>
          <c:extLst>
            <c:ext xmlns:c16="http://schemas.microsoft.com/office/drawing/2014/chart" uri="{C3380CC4-5D6E-409C-BE32-E72D297353CC}">
              <c16:uniqueId val="{00000001-B3D7-41E2-8225-905CDEC8C4F7}"/>
            </c:ext>
          </c:extLst>
        </c:ser>
        <c:ser>
          <c:idx val="2"/>
          <c:order val="2"/>
          <c:marker>
            <c:symbol val="none"/>
          </c:marker>
          <c:cat>
            <c:strRef>
              <c:f>('03-CHANNELREADY-OFR2'!$B$9:$B$20,'03-CHANNELREADY-OFR2'!$B$23:$B$32,'03-CHANNELREADY-OFR2'!$B$35:$B$42,'03-CHANNELREADY-OFR2'!$B$45:$B$51)</c:f>
              <c:strCache>
                <c:ptCount val="37"/>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Facilité de MAJ des nouvelles versions</c:v>
                </c:pt>
                <c:pt idx="13">
                  <c:v>Facilité de support effectué par le partenaire</c:v>
                </c:pt>
                <c:pt idx="14">
                  <c:v>Facilité de déployement en multisites</c:v>
                </c:pt>
                <c:pt idx="15">
                  <c:v>Facilité d'Installation du logiciel</c:v>
                </c:pt>
                <c:pt idx="16">
                  <c:v>Facilité de démarrage pour un client</c:v>
                </c:pt>
                <c:pt idx="17">
                  <c:v>Facilité de formation d'un client</c:v>
                </c:pt>
                <c:pt idx="18">
                  <c:v>Facilité de personnalisation / paramétrage d'un client</c:v>
                </c:pt>
                <c:pt idx="19">
                  <c:v>Facilité d'apprentissage pour un commercial </c:v>
                </c:pt>
                <c:pt idx="20">
                  <c:v>Efficacité de la formation pour les commerciaux des partenaires</c:v>
                </c:pt>
                <c:pt idx="21">
                  <c:v>Facilité d'intégration avec le SI des clients</c:v>
                </c:pt>
                <c:pt idx="22">
                  <c:v>Documentation ( tech  ) pour les partenaires</c:v>
                </c:pt>
                <c:pt idx="23">
                  <c:v>Niveau d'assistance sur les 1° affaires</c:v>
                </c:pt>
                <c:pt idx="24">
                  <c:v>Besoin d'assistance sur les 3 premières affaires</c:v>
                </c:pt>
                <c:pt idx="25">
                  <c:v>Facilité de localisation de la solution</c:v>
                </c:pt>
                <c:pt idx="26">
                  <c:v>Multilangues</c:v>
                </c:pt>
                <c:pt idx="27">
                  <c:v>Documentation en langues étrangères</c:v>
                </c:pt>
                <c:pt idx="28">
                  <c:v>Qualité et réactivité du support envers les partenaires </c:v>
                </c:pt>
                <c:pt idx="29">
                  <c:v>Escalades process</c:v>
                </c:pt>
                <c:pt idx="30">
                  <c:v>Références clients visitables</c:v>
                </c:pt>
                <c:pt idx="31">
                  <c:v>Positionnement du prix liste officielle</c:v>
                </c:pt>
                <c:pt idx="32">
                  <c:v>Souplesse adaptation du pricing</c:v>
                </c:pt>
                <c:pt idx="33">
                  <c:v>Niveau de Commission aux partenaires</c:v>
                </c:pt>
                <c:pt idx="34">
                  <c:v>Opportunités de Revenu additionnel pour les partenaires</c:v>
                </c:pt>
                <c:pt idx="35">
                  <c:v>Acceptation du canal Partenaire par les clients</c:v>
                </c:pt>
                <c:pt idx="36">
                  <c:v>Niveau de notoriété du produit</c:v>
                </c:pt>
              </c:strCache>
            </c:strRef>
          </c:cat>
          <c:val>
            <c:numRef>
              <c:f>('03-CHANNELREADY-OFR2'!$E$9:$E$20,'03-CHANNELREADY-OFR2'!$E$23:$E$32,'03-CHANNELREADY-OFR2'!$E$35:$E$42,'03-CHANNELREADY-OFR2'!$E$45:$E$51)</c:f>
              <c:numCache>
                <c:formatCode>General</c:formatCode>
                <c:ptCount val="37"/>
              </c:numCache>
            </c:numRef>
          </c:val>
          <c:extLst>
            <c:ext xmlns:c16="http://schemas.microsoft.com/office/drawing/2014/chart" uri="{C3380CC4-5D6E-409C-BE32-E72D297353CC}">
              <c16:uniqueId val="{00000002-B3D7-41E2-8225-905CDEC8C4F7}"/>
            </c:ext>
          </c:extLst>
        </c:ser>
        <c:ser>
          <c:idx val="3"/>
          <c:order val="3"/>
          <c:marker>
            <c:symbol val="none"/>
          </c:marker>
          <c:cat>
            <c:strRef>
              <c:f>('03-CHANNELREADY-OFR2'!$B$9:$B$20,'03-CHANNELREADY-OFR2'!$B$23:$B$32,'03-CHANNELREADY-OFR2'!$B$35:$B$42,'03-CHANNELREADY-OFR2'!$B$45:$B$51)</c:f>
              <c:strCache>
                <c:ptCount val="37"/>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Facilité de MAJ des nouvelles versions</c:v>
                </c:pt>
                <c:pt idx="13">
                  <c:v>Facilité de support effectué par le partenaire</c:v>
                </c:pt>
                <c:pt idx="14">
                  <c:v>Facilité de déployement en multisites</c:v>
                </c:pt>
                <c:pt idx="15">
                  <c:v>Facilité d'Installation du logiciel</c:v>
                </c:pt>
                <c:pt idx="16">
                  <c:v>Facilité de démarrage pour un client</c:v>
                </c:pt>
                <c:pt idx="17">
                  <c:v>Facilité de formation d'un client</c:v>
                </c:pt>
                <c:pt idx="18">
                  <c:v>Facilité de personnalisation / paramétrage d'un client</c:v>
                </c:pt>
                <c:pt idx="19">
                  <c:v>Facilité d'apprentissage pour un commercial </c:v>
                </c:pt>
                <c:pt idx="20">
                  <c:v>Efficacité de la formation pour les commerciaux des partenaires</c:v>
                </c:pt>
                <c:pt idx="21">
                  <c:v>Facilité d'intégration avec le SI des clients</c:v>
                </c:pt>
                <c:pt idx="22">
                  <c:v>Documentation ( tech  ) pour les partenaires</c:v>
                </c:pt>
                <c:pt idx="23">
                  <c:v>Niveau d'assistance sur les 1° affaires</c:v>
                </c:pt>
                <c:pt idx="24">
                  <c:v>Besoin d'assistance sur les 3 premières affaires</c:v>
                </c:pt>
                <c:pt idx="25">
                  <c:v>Facilité de localisation de la solution</c:v>
                </c:pt>
                <c:pt idx="26">
                  <c:v>Multilangues</c:v>
                </c:pt>
                <c:pt idx="27">
                  <c:v>Documentation en langues étrangères</c:v>
                </c:pt>
                <c:pt idx="28">
                  <c:v>Qualité et réactivité du support envers les partenaires </c:v>
                </c:pt>
                <c:pt idx="29">
                  <c:v>Escalades process</c:v>
                </c:pt>
                <c:pt idx="30">
                  <c:v>Références clients visitables</c:v>
                </c:pt>
                <c:pt idx="31">
                  <c:v>Positionnement du prix liste officielle</c:v>
                </c:pt>
                <c:pt idx="32">
                  <c:v>Souplesse adaptation du pricing</c:v>
                </c:pt>
                <c:pt idx="33">
                  <c:v>Niveau de Commission aux partenaires</c:v>
                </c:pt>
                <c:pt idx="34">
                  <c:v>Opportunités de Revenu additionnel pour les partenaires</c:v>
                </c:pt>
                <c:pt idx="35">
                  <c:v>Acceptation du canal Partenaire par les clients</c:v>
                </c:pt>
                <c:pt idx="36">
                  <c:v>Niveau de notoriété du produit</c:v>
                </c:pt>
              </c:strCache>
            </c:strRef>
          </c:cat>
          <c:val>
            <c:numRef>
              <c:f>('03-CHANNELREADY-OFR2'!$F$9:$F$20,'03-CHANNELREADY-OFR2'!$F$23:$F$32,'03-CHANNELREADY-OFR2'!$F$35:$F$42,'03-CHANNELREADY-OFR2'!$F$45:$F$51)</c:f>
              <c:numCache>
                <c:formatCode>General</c:formatCode>
                <c:ptCount val="37"/>
                <c:pt idx="22">
                  <c:v>0</c:v>
                </c:pt>
              </c:numCache>
            </c:numRef>
          </c:val>
          <c:extLst>
            <c:ext xmlns:c16="http://schemas.microsoft.com/office/drawing/2014/chart" uri="{C3380CC4-5D6E-409C-BE32-E72D297353CC}">
              <c16:uniqueId val="{00000003-B3D7-41E2-8225-905CDEC8C4F7}"/>
            </c:ext>
          </c:extLst>
        </c:ser>
        <c:ser>
          <c:idx val="4"/>
          <c:order val="4"/>
          <c:marker>
            <c:symbol val="none"/>
          </c:marker>
          <c:cat>
            <c:strRef>
              <c:f>('03-CHANNELREADY-OFR2'!$B$9:$B$20,'03-CHANNELREADY-OFR2'!$B$23:$B$32,'03-CHANNELREADY-OFR2'!$B$35:$B$42,'03-CHANNELREADY-OFR2'!$B$45:$B$51)</c:f>
              <c:strCache>
                <c:ptCount val="37"/>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Facilité de MAJ des nouvelles versions</c:v>
                </c:pt>
                <c:pt idx="13">
                  <c:v>Facilité de support effectué par le partenaire</c:v>
                </c:pt>
                <c:pt idx="14">
                  <c:v>Facilité de déployement en multisites</c:v>
                </c:pt>
                <c:pt idx="15">
                  <c:v>Facilité d'Installation du logiciel</c:v>
                </c:pt>
                <c:pt idx="16">
                  <c:v>Facilité de démarrage pour un client</c:v>
                </c:pt>
                <c:pt idx="17">
                  <c:v>Facilité de formation d'un client</c:v>
                </c:pt>
                <c:pt idx="18">
                  <c:v>Facilité de personnalisation / paramétrage d'un client</c:v>
                </c:pt>
                <c:pt idx="19">
                  <c:v>Facilité d'apprentissage pour un commercial </c:v>
                </c:pt>
                <c:pt idx="20">
                  <c:v>Efficacité de la formation pour les commerciaux des partenaires</c:v>
                </c:pt>
                <c:pt idx="21">
                  <c:v>Facilité d'intégration avec le SI des clients</c:v>
                </c:pt>
                <c:pt idx="22">
                  <c:v>Documentation ( tech  ) pour les partenaires</c:v>
                </c:pt>
                <c:pt idx="23">
                  <c:v>Niveau d'assistance sur les 1° affaires</c:v>
                </c:pt>
                <c:pt idx="24">
                  <c:v>Besoin d'assistance sur les 3 premières affaires</c:v>
                </c:pt>
                <c:pt idx="25">
                  <c:v>Facilité de localisation de la solution</c:v>
                </c:pt>
                <c:pt idx="26">
                  <c:v>Multilangues</c:v>
                </c:pt>
                <c:pt idx="27">
                  <c:v>Documentation en langues étrangères</c:v>
                </c:pt>
                <c:pt idx="28">
                  <c:v>Qualité et réactivité du support envers les partenaires </c:v>
                </c:pt>
                <c:pt idx="29">
                  <c:v>Escalades process</c:v>
                </c:pt>
                <c:pt idx="30">
                  <c:v>Références clients visitables</c:v>
                </c:pt>
                <c:pt idx="31">
                  <c:v>Positionnement du prix liste officielle</c:v>
                </c:pt>
                <c:pt idx="32">
                  <c:v>Souplesse adaptation du pricing</c:v>
                </c:pt>
                <c:pt idx="33">
                  <c:v>Niveau de Commission aux partenaires</c:v>
                </c:pt>
                <c:pt idx="34">
                  <c:v>Opportunités de Revenu additionnel pour les partenaires</c:v>
                </c:pt>
                <c:pt idx="35">
                  <c:v>Acceptation du canal Partenaire par les clients</c:v>
                </c:pt>
                <c:pt idx="36">
                  <c:v>Niveau de notoriété du produit</c:v>
                </c:pt>
              </c:strCache>
            </c:strRef>
          </c:cat>
          <c:val>
            <c:numRef>
              <c:f>('03-CHANNELREADY-OFR2'!$G$9:$G$20,'03-CHANNELREADY-OFR2'!$G$23:$G$32,'03-CHANNELREADY-OFR2'!$G$35:$G$42,'03-CHANNELREADY-OFR2'!$G$45:$G$51)</c:f>
              <c:numCache>
                <c:formatCode>General</c:formatCode>
                <c:ptCount val="37"/>
              </c:numCache>
            </c:numRef>
          </c:val>
          <c:extLst>
            <c:ext xmlns:c16="http://schemas.microsoft.com/office/drawing/2014/chart" uri="{C3380CC4-5D6E-409C-BE32-E72D297353CC}">
              <c16:uniqueId val="{00000004-B3D7-41E2-8225-905CDEC8C4F7}"/>
            </c:ext>
          </c:extLst>
        </c:ser>
        <c:dLbls>
          <c:showLegendKey val="0"/>
          <c:showVal val="0"/>
          <c:showCatName val="0"/>
          <c:showSerName val="0"/>
          <c:showPercent val="0"/>
          <c:showBubbleSize val="0"/>
        </c:dLbls>
        <c:axId val="724030032"/>
        <c:axId val="724021872"/>
      </c:radarChart>
      <c:catAx>
        <c:axId val="724030032"/>
        <c:scaling>
          <c:orientation val="minMax"/>
        </c:scaling>
        <c:delete val="0"/>
        <c:axPos val="b"/>
        <c:majorGridlines/>
        <c:numFmt formatCode="General" sourceLinked="0"/>
        <c:majorTickMark val="none"/>
        <c:minorTickMark val="none"/>
        <c:tickLblPos val="nextTo"/>
        <c:spPr>
          <a:ln w="9525">
            <a:noFill/>
          </a:ln>
        </c:spPr>
        <c:crossAx val="724021872"/>
        <c:crosses val="autoZero"/>
        <c:auto val="1"/>
        <c:lblAlgn val="ctr"/>
        <c:lblOffset val="100"/>
        <c:noMultiLvlLbl val="0"/>
      </c:catAx>
      <c:valAx>
        <c:axId val="724021872"/>
        <c:scaling>
          <c:orientation val="minMax"/>
        </c:scaling>
        <c:delete val="0"/>
        <c:axPos val="l"/>
        <c:majorGridlines/>
        <c:numFmt formatCode="General" sourceLinked="1"/>
        <c:majorTickMark val="none"/>
        <c:minorTickMark val="none"/>
        <c:tickLblPos val="nextTo"/>
        <c:crossAx val="724030032"/>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'08-VALUEAD4PARTNER-OFR2'!$H$6:$I$6</c:f>
              <c:strCache>
                <c:ptCount val="1"/>
                <c:pt idx="0">
                  <c:v>ASEMA</c:v>
                </c:pt>
              </c:strCache>
            </c:strRef>
          </c:tx>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('08-VALUEAD4PARTNER-OFR2'!$B$10:$B$18,'08-VALUEAD4PARTNER-OFR2'!$B$20:$B$33,'08-VALUEAD4PARTNER-OFR2'!$B$35:$B$40)</c:f>
              <c:numCache>
                <c:formatCode>General</c:formatCode>
                <c:ptCount val="29"/>
              </c:numCache>
            </c:numRef>
          </c:val>
          <c:extLst>
            <c:ext xmlns:c16="http://schemas.microsoft.com/office/drawing/2014/chart" uri="{C3380CC4-5D6E-409C-BE32-E72D297353CC}">
              <c16:uniqueId val="{00000000-D33A-4A94-ADF2-FA581A1929A3}"/>
            </c:ext>
          </c:extLst>
        </c:ser>
        <c:ser>
          <c:idx val="1"/>
          <c:order val="1"/>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('08-VALUEAD4PARTNER-OFR2'!$C$10:$C$18,'08-VALUEAD4PARTNER-OFR2'!$C$20:$C$33,'08-VALUEAD4PARTNER-OFR2'!$C$35:$C$40)</c:f>
              <c:numCache>
                <c:formatCode>General</c:formatCode>
                <c:ptCount val="29"/>
              </c:numCache>
            </c:numRef>
          </c:val>
          <c:extLst>
            <c:ext xmlns:c16="http://schemas.microsoft.com/office/drawing/2014/chart" uri="{C3380CC4-5D6E-409C-BE32-E72D297353CC}">
              <c16:uniqueId val="{00000001-D33A-4A94-ADF2-FA581A1929A3}"/>
            </c:ext>
          </c:extLst>
        </c:ser>
        <c:ser>
          <c:idx val="2"/>
          <c:order val="2"/>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('08-VALUEAD4PARTNER-OFR2'!$D$10:$D$18,'08-VALUEAD4PARTNER-OFR2'!$D$20:$D$33,'08-VALUEAD4PARTNER-OFR2'!$D$35:$D$40)</c:f>
              <c:numCache>
                <c:formatCode>General</c:formatCode>
                <c:ptCount val="29"/>
              </c:numCache>
            </c:numRef>
          </c:val>
          <c:extLst>
            <c:ext xmlns:c16="http://schemas.microsoft.com/office/drawing/2014/chart" uri="{C3380CC4-5D6E-409C-BE32-E72D297353CC}">
              <c16:uniqueId val="{00000002-D33A-4A94-ADF2-FA581A1929A3}"/>
            </c:ext>
          </c:extLst>
        </c:ser>
        <c:ser>
          <c:idx val="3"/>
          <c:order val="3"/>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('08-VALUEAD4PARTNER-OFR2'!$E$10:$E$18,'08-VALUEAD4PARTNER-OFR2'!$E$20:$E$33,'08-VALUEAD4PARTNER-OFR2'!$E$35:$E$40)</c:f>
              <c:numCache>
                <c:formatCode>General</c:formatCode>
                <c:ptCount val="29"/>
              </c:numCache>
            </c:numRef>
          </c:val>
          <c:extLst>
            <c:ext xmlns:c16="http://schemas.microsoft.com/office/drawing/2014/chart" uri="{C3380CC4-5D6E-409C-BE32-E72D297353CC}">
              <c16:uniqueId val="{00000003-D33A-4A94-ADF2-FA581A1929A3}"/>
            </c:ext>
          </c:extLst>
        </c:ser>
        <c:ser>
          <c:idx val="4"/>
          <c:order val="4"/>
          <c:spPr>
            <a:ln>
              <a:solidFill>
                <a:srgbClr val="C00000"/>
              </a:solidFill>
            </a:ln>
          </c:spPr>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('08-VALUEAD4PARTNER-OFR2'!$H$10:$H$18,'08-VALUEAD4PARTNER-OFR2'!$H$20:$H$33,'08-VALUEAD4PARTNER-OFR2'!$H$35:$H$40)</c:f>
              <c:numCache>
                <c:formatCode>General</c:formatCode>
                <c:ptCount val="29"/>
                <c:pt idx="8">
                  <c:v>0</c:v>
                </c:pt>
                <c:pt idx="22">
                  <c:v>0</c:v>
                </c:pt>
                <c:pt idx="28">
                  <c:v>0</c:v>
                </c:pt>
              </c:numCache>
            </c:numRef>
          </c:val>
          <c:extLst>
            <c:ext xmlns:c16="http://schemas.microsoft.com/office/drawing/2014/chart" uri="{C3380CC4-5D6E-409C-BE32-E72D297353CC}">
              <c16:uniqueId val="{00000004-D33A-4A94-ADF2-FA581A1929A3}"/>
            </c:ext>
          </c:extLst>
        </c:ser>
        <c:ser>
          <c:idx val="5"/>
          <c:order val="5"/>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('08-VALUEAD4PARTNER-OFR2'!$I$10:$I$18,'08-VALUEAD4PARTNER-OFR2'!$I$20:$I$33,'08-VALUEAD4PARTNER-OFR2'!$I$35:$I$40)</c:f>
              <c:numCache>
                <c:formatCode>General</c:formatCode>
                <c:ptCount val="29"/>
              </c:numCache>
            </c:numRef>
          </c:val>
          <c:extLst>
            <c:ext xmlns:c16="http://schemas.microsoft.com/office/drawing/2014/chart" uri="{C3380CC4-5D6E-409C-BE32-E72D297353CC}">
              <c16:uniqueId val="{00000005-D33A-4A94-ADF2-FA581A1929A3}"/>
            </c:ext>
          </c:extLst>
        </c:ser>
        <c:dLbls>
          <c:showLegendKey val="0"/>
          <c:showVal val="0"/>
          <c:showCatName val="0"/>
          <c:showSerName val="0"/>
          <c:showPercent val="0"/>
          <c:showBubbleSize val="0"/>
        </c:dLbls>
        <c:axId val="724040912"/>
        <c:axId val="724033840"/>
      </c:radarChart>
      <c:catAx>
        <c:axId val="724040912"/>
        <c:scaling>
          <c:orientation val="minMax"/>
        </c:scaling>
        <c:delete val="0"/>
        <c:axPos val="b"/>
        <c:majorGridlines/>
        <c:numFmt formatCode="General" sourceLinked="0"/>
        <c:majorTickMark val="none"/>
        <c:minorTickMark val="none"/>
        <c:tickLblPos val="nextTo"/>
        <c:spPr>
          <a:ln w="9525">
            <a:noFill/>
          </a:ln>
        </c:spPr>
        <c:crossAx val="724033840"/>
        <c:crosses val="autoZero"/>
        <c:auto val="1"/>
        <c:lblAlgn val="ctr"/>
        <c:lblOffset val="100"/>
        <c:noMultiLvlLbl val="0"/>
      </c:catAx>
      <c:valAx>
        <c:axId val="724033840"/>
        <c:scaling>
          <c:orientation val="minMax"/>
        </c:scaling>
        <c:delete val="0"/>
        <c:axPos val="l"/>
        <c:majorGridlines/>
        <c:numFmt formatCode="General" sourceLinked="1"/>
        <c:majorTickMark val="none"/>
        <c:minorTickMark val="none"/>
        <c:tickLblPos val="nextTo"/>
        <c:crossAx val="724040912"/>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'08-VALUEAD4PARTNER-OFR2'!$J$6:$K$6</c:f>
              <c:strCache>
                <c:ptCount val="1"/>
                <c:pt idx="0">
                  <c:v>0</c:v>
                </c:pt>
              </c:strCache>
            </c:strRef>
          </c:tx>
          <c:spPr>
            <a:ln>
              <a:solidFill>
                <a:srgbClr val="00B050"/>
              </a:solidFill>
            </a:ln>
          </c:spPr>
          <c:marker>
            <c:symbol val="none"/>
          </c:marker>
          <c:cat>
            <c:strRef>
              <c:f>('08-VALUEAD4PARTNER-OFR2'!$A$10:$E$18,'08-VALUEAD4PARTNER-OFR2'!$A$20:$E$33,'08-VALUEAD4PARTNER-OFR2'!$A$35:$E$40)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('08-VALUEAD4PARTNER-OFR2'!$J$10:$J$18,'08-VALUEAD4PARTNER-OFR2'!$J$20:$J$33,'08-VALUEAD4PARTNER-OFR2'!$J$35:$J$40)</c:f>
              <c:numCache>
                <c:formatCode>General</c:formatCode>
                <c:ptCount val="29"/>
                <c:pt idx="8">
                  <c:v>0</c:v>
                </c:pt>
                <c:pt idx="22">
                  <c:v>0</c:v>
                </c:pt>
                <c:pt idx="28">
                  <c:v>0</c:v>
                </c:pt>
              </c:numCache>
            </c:numRef>
          </c:val>
          <c:extLst>
            <c:ext xmlns:c16="http://schemas.microsoft.com/office/drawing/2014/chart" uri="{C3380CC4-5D6E-409C-BE32-E72D297353CC}">
              <c16:uniqueId val="{00000000-0DAE-4639-A214-F9AE0297C281}"/>
            </c:ext>
          </c:extLst>
        </c:ser>
        <c:ser>
          <c:idx val="1"/>
          <c:order val="1"/>
          <c:marker>
            <c:symbol val="none"/>
          </c:marker>
          <c:cat>
            <c:strRef>
              <c:f>('08-VALUEAD4PARTNER-OFR2'!$A$10:$E$18,'08-VALUEAD4PARTNER-OFR2'!$A$20:$E$33,'08-VALUEAD4PARTNER-OFR2'!$A$35:$E$40)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('08-VALUEAD4PARTNER-OFR2'!$K$10:$K$18,'08-VALUEAD4PARTNER-OFR2'!$K$20:$K$33,'08-VALUEAD4PARTNER-OFR2'!$K$35:$K$40)</c:f>
              <c:numCache>
                <c:formatCode>General</c:formatCode>
                <c:ptCount val="29"/>
              </c:numCache>
            </c:numRef>
          </c:val>
          <c:extLst>
            <c:ext xmlns:c16="http://schemas.microsoft.com/office/drawing/2014/chart" uri="{C3380CC4-5D6E-409C-BE32-E72D297353CC}">
              <c16:uniqueId val="{00000001-0DAE-4639-A214-F9AE0297C281}"/>
            </c:ext>
          </c:extLst>
        </c:ser>
        <c:dLbls>
          <c:showLegendKey val="0"/>
          <c:showVal val="0"/>
          <c:showCatName val="0"/>
          <c:showSerName val="0"/>
          <c:showPercent val="0"/>
          <c:showBubbleSize val="0"/>
        </c:dLbls>
        <c:axId val="724016432"/>
        <c:axId val="724041456"/>
      </c:radarChart>
      <c:catAx>
        <c:axId val="724016432"/>
        <c:scaling>
          <c:orientation val="minMax"/>
        </c:scaling>
        <c:delete val="0"/>
        <c:axPos val="b"/>
        <c:majorGridlines/>
        <c:numFmt formatCode="General" sourceLinked="0"/>
        <c:majorTickMark val="none"/>
        <c:minorTickMark val="none"/>
        <c:tickLblPos val="nextTo"/>
        <c:spPr>
          <a:ln w="9525">
            <a:noFill/>
          </a:ln>
        </c:spPr>
        <c:crossAx val="724041456"/>
        <c:crosses val="autoZero"/>
        <c:auto val="1"/>
        <c:lblAlgn val="ctr"/>
        <c:lblOffset val="100"/>
        <c:noMultiLvlLbl val="0"/>
      </c:catAx>
      <c:valAx>
        <c:axId val="724041456"/>
        <c:scaling>
          <c:orientation val="minMax"/>
        </c:scaling>
        <c:delete val="0"/>
        <c:axPos val="l"/>
        <c:majorGridlines/>
        <c:numFmt formatCode="General" sourceLinked="1"/>
        <c:majorTickMark val="none"/>
        <c:minorTickMark val="none"/>
        <c:tickLblPos val="nextTo"/>
        <c:crossAx val="724016432"/>
        <c:crosses val="autoZero"/>
        <c:crossBetween val="between"/>
      </c:valAx>
    </c:plotArea>
    <c:legend>
      <c:legendPos val="r"/>
      <c:legendEntry>
        <c:idx val="1"/>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Attractivité de l'offre pour les partenaires</a:t>
            </a:r>
            <a:endParaRPr lang="en-US" sz="1100"/>
          </a:p>
        </c:rich>
      </c:tx>
      <c:overlay val="0"/>
    </c:title>
    <c:autoTitleDeleted val="0"/>
    <c:plotArea>
      <c:layout>
        <c:manualLayout>
          <c:layoutTarget val="inner"/>
          <c:xMode val="edge"/>
          <c:yMode val="edge"/>
          <c:x val="0.36440117780611125"/>
          <c:y val="0.2190035450327632"/>
          <c:w val="0.34818552630801169"/>
          <c:h val="0.53437873177562256"/>
        </c:manualLayout>
      </c:layout>
      <c:radarChart>
        <c:radarStyle val="marker"/>
        <c:varyColors val="0"/>
        <c:ser>
          <c:idx val="0"/>
          <c:order val="0"/>
          <c:tx>
            <c:strRef>
              <c:f>'08-VALUEAD4PARTNER-OFR2'!$F$6:$G$6</c:f>
              <c:strCache>
                <c:ptCount val="1"/>
                <c:pt idx="0">
                  <c:v>EQUINIX</c:v>
                </c:pt>
              </c:strCache>
            </c:strRef>
          </c:tx>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('08-VALUEAD4PARTNER-OFR2'!$B$10:$B$18,'08-VALUEAD4PARTNER-OFR2'!$B$20:$B$33,'08-VALUEAD4PARTNER-OFR2'!$B$35:$B$40)</c:f>
              <c:numCache>
                <c:formatCode>General</c:formatCode>
                <c:ptCount val="29"/>
              </c:numCache>
            </c:numRef>
          </c:val>
          <c:extLst>
            <c:ext xmlns:c16="http://schemas.microsoft.com/office/drawing/2014/chart" uri="{C3380CC4-5D6E-409C-BE32-E72D297353CC}">
              <c16:uniqueId val="{00000000-1727-4204-9503-F3C162B4D0A6}"/>
            </c:ext>
          </c:extLst>
        </c:ser>
        <c:ser>
          <c:idx val="1"/>
          <c:order val="1"/>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('08-VALUEAD4PARTNER-OFR2'!$C$10:$C$18,'08-VALUEAD4PARTNER-OFR2'!$C$20:$C$33,'08-VALUEAD4PARTNER-OFR2'!$C$35:$C$40)</c:f>
              <c:numCache>
                <c:formatCode>General</c:formatCode>
                <c:ptCount val="29"/>
              </c:numCache>
            </c:numRef>
          </c:val>
          <c:extLst>
            <c:ext xmlns:c16="http://schemas.microsoft.com/office/drawing/2014/chart" uri="{C3380CC4-5D6E-409C-BE32-E72D297353CC}">
              <c16:uniqueId val="{00000001-1727-4204-9503-F3C162B4D0A6}"/>
            </c:ext>
          </c:extLst>
        </c:ser>
        <c:ser>
          <c:idx val="2"/>
          <c:order val="2"/>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('08-VALUEAD4PARTNER-OFR2'!$D$10:$D$18,'08-VALUEAD4PARTNER-OFR2'!$D$20:$D$33,'08-VALUEAD4PARTNER-OFR2'!$D$35:$D$40)</c:f>
              <c:numCache>
                <c:formatCode>General</c:formatCode>
                <c:ptCount val="29"/>
              </c:numCache>
            </c:numRef>
          </c:val>
          <c:extLst>
            <c:ext xmlns:c16="http://schemas.microsoft.com/office/drawing/2014/chart" uri="{C3380CC4-5D6E-409C-BE32-E72D297353CC}">
              <c16:uniqueId val="{00000002-1727-4204-9503-F3C162B4D0A6}"/>
            </c:ext>
          </c:extLst>
        </c:ser>
        <c:ser>
          <c:idx val="3"/>
          <c:order val="3"/>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('08-VALUEAD4PARTNER-OFR2'!$E$10:$E$18,'08-VALUEAD4PARTNER-OFR2'!$E$20:$E$33,'08-VALUEAD4PARTNER-OFR2'!$E$35:$E$40)</c:f>
              <c:numCache>
                <c:formatCode>General</c:formatCode>
                <c:ptCount val="29"/>
              </c:numCache>
            </c:numRef>
          </c:val>
          <c:extLst>
            <c:ext xmlns:c16="http://schemas.microsoft.com/office/drawing/2014/chart" uri="{C3380CC4-5D6E-409C-BE32-E72D297353CC}">
              <c16:uniqueId val="{00000003-1727-4204-9503-F3C162B4D0A6}"/>
            </c:ext>
          </c:extLst>
        </c:ser>
        <c:ser>
          <c:idx val="4"/>
          <c:order val="4"/>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('08-VALUEAD4PARTNER-OFR2'!$F$10:$F$18,'08-VALUEAD4PARTNER-OFR2'!$F$20:$F$33,'08-VALUEAD4PARTNER-OFR2'!$F$35:$F$40)</c:f>
              <c:numCache>
                <c:formatCode>General</c:formatCode>
                <c:ptCount val="29"/>
                <c:pt idx="0">
                  <c:v>8</c:v>
                </c:pt>
                <c:pt idx="1">
                  <c:v>7</c:v>
                </c:pt>
                <c:pt idx="2">
                  <c:v>10</c:v>
                </c:pt>
                <c:pt idx="3">
                  <c:v>10</c:v>
                </c:pt>
                <c:pt idx="4">
                  <c:v>10</c:v>
                </c:pt>
                <c:pt idx="5">
                  <c:v>8</c:v>
                </c:pt>
                <c:pt idx="6">
                  <c:v>10</c:v>
                </c:pt>
                <c:pt idx="7">
                  <c:v>8</c:v>
                </c:pt>
                <c:pt idx="8">
                  <c:v>0</c:v>
                </c:pt>
                <c:pt idx="9">
                  <c:v>7</c:v>
                </c:pt>
                <c:pt idx="10">
                  <c:v>8</c:v>
                </c:pt>
                <c:pt idx="11">
                  <c:v>8</c:v>
                </c:pt>
                <c:pt idx="12">
                  <c:v>10</c:v>
                </c:pt>
                <c:pt idx="13">
                  <c:v>7</c:v>
                </c:pt>
                <c:pt idx="14">
                  <c:v>4</c:v>
                </c:pt>
                <c:pt idx="15">
                  <c:v>6</c:v>
                </c:pt>
                <c:pt idx="16">
                  <c:v>2</c:v>
                </c:pt>
                <c:pt idx="17">
                  <c:v>8</c:v>
                </c:pt>
                <c:pt idx="18">
                  <c:v>8</c:v>
                </c:pt>
                <c:pt idx="19">
                  <c:v>6</c:v>
                </c:pt>
                <c:pt idx="20">
                  <c:v>10</c:v>
                </c:pt>
                <c:pt idx="21">
                  <c:v>10</c:v>
                </c:pt>
                <c:pt idx="22">
                  <c:v>0</c:v>
                </c:pt>
                <c:pt idx="23">
                  <c:v>8</c:v>
                </c:pt>
                <c:pt idx="24">
                  <c:v>7</c:v>
                </c:pt>
                <c:pt idx="25">
                  <c:v>7</c:v>
                </c:pt>
                <c:pt idx="26">
                  <c:v>6</c:v>
                </c:pt>
                <c:pt idx="27">
                  <c:v>10</c:v>
                </c:pt>
                <c:pt idx="28">
                  <c:v>0</c:v>
                </c:pt>
              </c:numCache>
            </c:numRef>
          </c:val>
          <c:extLst>
            <c:ext xmlns:c16="http://schemas.microsoft.com/office/drawing/2014/chart" uri="{C3380CC4-5D6E-409C-BE32-E72D297353CC}">
              <c16:uniqueId val="{00000004-1727-4204-9503-F3C162B4D0A6}"/>
            </c:ext>
          </c:extLst>
        </c:ser>
        <c:ser>
          <c:idx val="5"/>
          <c:order val="5"/>
          <c:marker>
            <c:symbol val="none"/>
          </c:marker>
          <c:cat>
            <c:strRef>
              <c:f>('08-VALUEAD4PARTNER-OFR2'!$A$10:$A$18,'08-VALUEAD4PARTNER-OFR2'!$A$20:$A$33,'08-VALUEAD4PARTNER-OFR2'!$A$35:$A$40)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('08-VALUEAD4PARTNER-OFR2'!$G$10:$G$18,'08-VALUEAD4PARTNER-OFR2'!$G$20:$G$33,'08-VALUEAD4PARTNER-OFR2'!$G$35:$G$40)</c:f>
              <c:numCache>
                <c:formatCode>General</c:formatCode>
                <c:ptCount val="29"/>
              </c:numCache>
            </c:numRef>
          </c:val>
          <c:extLst>
            <c:ext xmlns:c16="http://schemas.microsoft.com/office/drawing/2014/chart" uri="{C3380CC4-5D6E-409C-BE32-E72D297353CC}">
              <c16:uniqueId val="{00000005-1727-4204-9503-F3C162B4D0A6}"/>
            </c:ext>
          </c:extLst>
        </c:ser>
        <c:dLbls>
          <c:showLegendKey val="0"/>
          <c:showVal val="0"/>
          <c:showCatName val="0"/>
          <c:showSerName val="0"/>
          <c:showPercent val="0"/>
          <c:showBubbleSize val="0"/>
        </c:dLbls>
        <c:axId val="724022416"/>
        <c:axId val="724036560"/>
      </c:radarChart>
      <c:catAx>
        <c:axId val="724022416"/>
        <c:scaling>
          <c:orientation val="minMax"/>
        </c:scaling>
        <c:delete val="0"/>
        <c:axPos val="b"/>
        <c:majorGridlines/>
        <c:numFmt formatCode="General" sourceLinked="1"/>
        <c:majorTickMark val="none"/>
        <c:minorTickMark val="none"/>
        <c:tickLblPos val="nextTo"/>
        <c:spPr>
          <a:ln w="9525">
            <a:noFill/>
          </a:ln>
        </c:spPr>
        <c:crossAx val="724036560"/>
        <c:crosses val="autoZero"/>
        <c:auto val="1"/>
        <c:lblAlgn val="ctr"/>
        <c:lblOffset val="100"/>
        <c:noMultiLvlLbl val="0"/>
      </c:catAx>
      <c:valAx>
        <c:axId val="724036560"/>
        <c:scaling>
          <c:orientation val="minMax"/>
        </c:scaling>
        <c:delete val="0"/>
        <c:axPos val="l"/>
        <c:majorGridlines/>
        <c:numFmt formatCode="General" sourceLinked="1"/>
        <c:majorTickMark val="none"/>
        <c:minorTickMark val="none"/>
        <c:tickLblPos val="nextTo"/>
        <c:crossAx val="724022416"/>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9999894627628179"/>
          <c:y val="7.2814085465365677E-2"/>
          <c:w val="0.27225727923909837"/>
          <c:h val="4.5292206351475947E-2"/>
        </c:manualLayout>
      </c:layout>
      <c:overlay val="0"/>
    </c:legend>
    <c:plotVisOnly val="1"/>
    <c:dispBlanksAs val="gap"/>
    <c:showDLblsOverMax val="0"/>
  </c:chart>
  <c:spPr>
    <a:gradFill>
      <a:gsLst>
        <a:gs pos="0">
          <a:srgbClr val="FFEFD1">
            <a:alpha val="98000"/>
          </a:srgbClr>
        </a:gs>
        <a:gs pos="64999">
          <a:srgbClr val="F0EBD5"/>
        </a:gs>
        <a:gs pos="100000">
          <a:srgbClr val="D1C39F"/>
        </a:gs>
      </a:gsLst>
      <a:lin ang="5400000" scaled="0"/>
    </a:gradFill>
    <a:ln w="34925">
      <a:solidFill>
        <a:srgbClr val="C00000"/>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 Routes to Market à 3 ans  </a:t>
            </a:r>
          </a:p>
        </c:rich>
      </c:tx>
      <c:overlay val="0"/>
    </c:title>
    <c:autoTitleDeleted val="0"/>
    <c:plotArea>
      <c:layout/>
      <c:areaChart>
        <c:grouping val="stacked"/>
        <c:varyColors val="0"/>
        <c:ser>
          <c:idx val="0"/>
          <c:order val="0"/>
          <c:tx>
            <c:v>0 #REF! #REF! #REF! #REF! #REF!</c:v>
          </c:tx>
          <c:cat>
            <c:numLit>
              <c:formatCode>General</c:formatCode>
              <c:ptCount val="4"/>
              <c:pt idx="0">
                <c:v>7.0000000000000001E-3</c:v>
              </c:pt>
              <c:pt idx="1">
                <c:v>2.7999999999999997E-2</c:v>
              </c:pt>
              <c:pt idx="2">
                <c:v>5.04E-2</c:v>
              </c:pt>
              <c:pt idx="3">
                <c:v>0.1008</c:v>
              </c:pt>
            </c:numLit>
          </c:cat>
          <c:val>
            <c:numLit>
              <c:formatCode>General</c:formatCode>
              <c:ptCount val="4"/>
              <c:pt idx="0">
                <c:v>0</c:v>
              </c:pt>
              <c:pt idx="1">
                <c:v>0</c:v>
              </c:pt>
              <c:pt idx="2">
                <c:v>0</c:v>
              </c:pt>
              <c:pt idx="3">
                <c:v>0</c:v>
              </c:pt>
            </c:numLit>
          </c:val>
          <c:extLst>
            <c:ext xmlns:c16="http://schemas.microsoft.com/office/drawing/2014/chart" uri="{C3380CC4-5D6E-409C-BE32-E72D297353CC}">
              <c16:uniqueId val="{00000000-87BA-4F92-A557-99E8D50BB955}"/>
            </c:ext>
          </c:extLst>
        </c:ser>
        <c:ser>
          <c:idx val="2"/>
          <c:order val="1"/>
          <c:tx>
            <c:v>0 #REF! #REF! #REF! #REF! #REF!</c:v>
          </c:tx>
          <c:spPr>
            <a:ln w="25400">
              <a:noFill/>
            </a:ln>
          </c:spPr>
          <c:cat>
            <c:numLit>
              <c:formatCode>General</c:formatCode>
              <c:ptCount val="4"/>
              <c:pt idx="0">
                <c:v>7.0000000000000001E-3</c:v>
              </c:pt>
              <c:pt idx="1">
                <c:v>2.7999999999999997E-2</c:v>
              </c:pt>
              <c:pt idx="2">
                <c:v>5.04E-2</c:v>
              </c:pt>
              <c:pt idx="3">
                <c:v>0.1008</c:v>
              </c:pt>
            </c:numLit>
          </c:cat>
          <c:val>
            <c:numLit>
              <c:formatCode>General</c:formatCode>
              <c:ptCount val="4"/>
              <c:pt idx="0">
                <c:v>0</c:v>
              </c:pt>
              <c:pt idx="1">
                <c:v>0</c:v>
              </c:pt>
              <c:pt idx="2">
                <c:v>0</c:v>
              </c:pt>
              <c:pt idx="3">
                <c:v>0</c:v>
              </c:pt>
            </c:numLit>
          </c:val>
          <c:extLst>
            <c:ext xmlns:c16="http://schemas.microsoft.com/office/drawing/2014/chart" uri="{C3380CC4-5D6E-409C-BE32-E72D297353CC}">
              <c16:uniqueId val="{00000001-87BA-4F92-A557-99E8D50BB955}"/>
            </c:ext>
          </c:extLst>
        </c:ser>
        <c:ser>
          <c:idx val="5"/>
          <c:order val="2"/>
          <c:tx>
            <c:v>#REF! #REF! #REF! #REF! #REF! #REF!</c:v>
          </c:tx>
          <c:spPr>
            <a:ln w="25400">
              <a:noFill/>
            </a:ln>
          </c:spPr>
          <c:cat>
            <c:numLit>
              <c:formatCode>General</c:formatCode>
              <c:ptCount val="4"/>
              <c:pt idx="0">
                <c:v>7.0000000000000001E-3</c:v>
              </c:pt>
              <c:pt idx="1">
                <c:v>2.7999999999999997E-2</c:v>
              </c:pt>
              <c:pt idx="2">
                <c:v>5.04E-2</c:v>
              </c:pt>
              <c:pt idx="3">
                <c:v>0.1008</c:v>
              </c:pt>
            </c:numLit>
          </c:cat>
          <c:val>
            <c:numLit>
              <c:formatCode>General</c:formatCode>
              <c:ptCount val="4"/>
            </c:numLit>
          </c:val>
          <c:extLst>
            <c:ext xmlns:c16="http://schemas.microsoft.com/office/drawing/2014/chart" uri="{C3380CC4-5D6E-409C-BE32-E72D297353CC}">
              <c16:uniqueId val="{00000002-87BA-4F92-A557-99E8D50BB955}"/>
            </c:ext>
          </c:extLst>
        </c:ser>
        <c:ser>
          <c:idx val="7"/>
          <c:order val="3"/>
          <c:tx>
            <c:v>Total #REF! #REF! #REF! #REF! #REF!</c:v>
          </c:tx>
          <c:spPr>
            <a:ln w="25400">
              <a:noFill/>
            </a:ln>
          </c:spPr>
          <c:cat>
            <c:numLit>
              <c:formatCode>General</c:formatCode>
              <c:ptCount val="4"/>
              <c:pt idx="0">
                <c:v>7.0000000000000001E-3</c:v>
              </c:pt>
              <c:pt idx="1">
                <c:v>2.7999999999999997E-2</c:v>
              </c:pt>
              <c:pt idx="2">
                <c:v>5.04E-2</c:v>
              </c:pt>
              <c:pt idx="3">
                <c:v>0.1008</c:v>
              </c:pt>
            </c:numLit>
          </c:cat>
          <c:val>
            <c:numLit>
              <c:formatCode>General</c:formatCode>
              <c:ptCount val="4"/>
              <c:pt idx="0">
                <c:v>4.0549999999999997</c:v>
              </c:pt>
              <c:pt idx="1">
                <c:v>7.0325999999999986</c:v>
              </c:pt>
              <c:pt idx="2">
                <c:v>10.815079999999998</c:v>
              </c:pt>
              <c:pt idx="3">
                <c:v>16.870160000000002</c:v>
              </c:pt>
            </c:numLit>
          </c:val>
          <c:extLst>
            <c:ext xmlns:c16="http://schemas.microsoft.com/office/drawing/2014/chart" uri="{C3380CC4-5D6E-409C-BE32-E72D297353CC}">
              <c16:uniqueId val="{00000003-87BA-4F92-A557-99E8D50BB955}"/>
            </c:ext>
          </c:extLst>
        </c:ser>
        <c:ser>
          <c:idx val="1"/>
          <c:order val="4"/>
          <c:tx>
            <c:v>Taux de croissance annuel #REF! #REF! #REF! #REF! #REF!</c:v>
          </c:tx>
          <c:spPr>
            <a:ln w="25400">
              <a:noFill/>
            </a:ln>
          </c:spPr>
          <c:cat>
            <c:numLit>
              <c:formatCode>General</c:formatCode>
              <c:ptCount val="4"/>
              <c:pt idx="0">
                <c:v>7.0000000000000001E-3</c:v>
              </c:pt>
              <c:pt idx="1">
                <c:v>2.7999999999999997E-2</c:v>
              </c:pt>
              <c:pt idx="2">
                <c:v>5.04E-2</c:v>
              </c:pt>
              <c:pt idx="3">
                <c:v>0.1008</c:v>
              </c:pt>
            </c:numLit>
          </c:cat>
          <c:val>
            <c:numLit>
              <c:formatCode>General</c:formatCode>
              <c:ptCount val="4"/>
              <c:pt idx="0">
                <c:v>0.7292110874200427</c:v>
              </c:pt>
              <c:pt idx="1">
                <c:v>0.73430332922318109</c:v>
              </c:pt>
              <c:pt idx="2">
                <c:v>0.53784944401785972</c:v>
              </c:pt>
              <c:pt idx="3">
                <c:v>0.55987380583407653</c:v>
              </c:pt>
            </c:numLit>
          </c:val>
          <c:extLst>
            <c:ext xmlns:c16="http://schemas.microsoft.com/office/drawing/2014/chart" uri="{C3380CC4-5D6E-409C-BE32-E72D297353CC}">
              <c16:uniqueId val="{00000004-87BA-4F92-A557-99E8D50BB955}"/>
            </c:ext>
          </c:extLst>
        </c:ser>
        <c:ser>
          <c:idx val="3"/>
          <c:order val="5"/>
          <c:tx>
            <c:v>#REF! #REF! #REF! #REF! #REF! CA Total Indirect</c:v>
          </c:tx>
          <c:spPr>
            <a:ln w="25400">
              <a:noFill/>
            </a:ln>
          </c:spPr>
          <c:cat>
            <c:numLit>
              <c:formatCode>General</c:formatCode>
              <c:ptCount val="4"/>
              <c:pt idx="0">
                <c:v>7.0000000000000001E-3</c:v>
              </c:pt>
              <c:pt idx="1">
                <c:v>2.7999999999999997E-2</c:v>
              </c:pt>
              <c:pt idx="2">
                <c:v>5.04E-2</c:v>
              </c:pt>
              <c:pt idx="3">
                <c:v>0.1008</c:v>
              </c:pt>
            </c:numLit>
          </c:cat>
          <c:val>
            <c:numLit>
              <c:formatCode>General</c:formatCode>
              <c:ptCount val="4"/>
              <c:pt idx="0">
                <c:v>0.82600000000000007</c:v>
              </c:pt>
              <c:pt idx="1">
                <c:v>1.3806</c:v>
              </c:pt>
              <c:pt idx="2">
                <c:v>2.48508</c:v>
              </c:pt>
              <c:pt idx="3">
                <c:v>4.9701599999999999</c:v>
              </c:pt>
            </c:numLit>
          </c:val>
          <c:extLst>
            <c:ext xmlns:c16="http://schemas.microsoft.com/office/drawing/2014/chart" uri="{C3380CC4-5D6E-409C-BE32-E72D297353CC}">
              <c16:uniqueId val="{00000005-87BA-4F92-A557-99E8D50BB955}"/>
            </c:ext>
          </c:extLst>
        </c:ser>
        <c:ser>
          <c:idx val="4"/>
          <c:order val="6"/>
          <c:tx>
            <c:v>#REF! #REF! #REF! #REF! #REF! % Croissance</c:v>
          </c:tx>
          <c:spPr>
            <a:ln w="25400">
              <a:noFill/>
            </a:ln>
          </c:spPr>
          <c:cat>
            <c:numLit>
              <c:formatCode>General</c:formatCode>
              <c:ptCount val="4"/>
              <c:pt idx="0">
                <c:v>7.0000000000000001E-3</c:v>
              </c:pt>
              <c:pt idx="1">
                <c:v>2.7999999999999997E-2</c:v>
              </c:pt>
              <c:pt idx="2">
                <c:v>5.04E-2</c:v>
              </c:pt>
              <c:pt idx="3">
                <c:v>0.1008</c:v>
              </c:pt>
            </c:numLit>
          </c:cat>
          <c:val>
            <c:numLit>
              <c:formatCode>General</c:formatCode>
              <c:ptCount val="4"/>
              <c:pt idx="0">
                <c:v>0.51559633027522933</c:v>
              </c:pt>
              <c:pt idx="1">
                <c:v>0.67142857142857137</c:v>
              </c:pt>
              <c:pt idx="2">
                <c:v>0.79999999999999993</c:v>
              </c:pt>
              <c:pt idx="3">
                <c:v>1</c:v>
              </c:pt>
            </c:numLit>
          </c:val>
          <c:extLst>
            <c:ext xmlns:c16="http://schemas.microsoft.com/office/drawing/2014/chart" uri="{C3380CC4-5D6E-409C-BE32-E72D297353CC}">
              <c16:uniqueId val="{00000006-87BA-4F92-A557-99E8D50BB955}"/>
            </c:ext>
          </c:extLst>
        </c:ser>
        <c:dLbls>
          <c:showLegendKey val="0"/>
          <c:showVal val="0"/>
          <c:showCatName val="0"/>
          <c:showSerName val="0"/>
          <c:showPercent val="0"/>
          <c:showBubbleSize val="0"/>
        </c:dLbls>
        <c:axId val="724037648"/>
        <c:axId val="724031120"/>
      </c:areaChart>
      <c:catAx>
        <c:axId val="724037648"/>
        <c:scaling>
          <c:orientation val="minMax"/>
        </c:scaling>
        <c:delete val="0"/>
        <c:axPos val="b"/>
        <c:numFmt formatCode="General" sourceLinked="1"/>
        <c:majorTickMark val="none"/>
        <c:minorTickMark val="none"/>
        <c:tickLblPos val="nextTo"/>
        <c:crossAx val="724031120"/>
        <c:crosses val="autoZero"/>
        <c:auto val="1"/>
        <c:lblAlgn val="ctr"/>
        <c:lblOffset val="100"/>
        <c:noMultiLvlLbl val="0"/>
      </c:catAx>
      <c:valAx>
        <c:axId val="724031120"/>
        <c:scaling>
          <c:orientation val="minMax"/>
        </c:scaling>
        <c:delete val="0"/>
        <c:axPos val="l"/>
        <c:majorGridlines/>
        <c:title>
          <c:overlay val="0"/>
        </c:title>
        <c:numFmt formatCode="General" sourceLinked="1"/>
        <c:majorTickMark val="none"/>
        <c:minorTickMark val="none"/>
        <c:tickLblPos val="nextTo"/>
        <c:crossAx val="724037648"/>
        <c:crosses val="autoZero"/>
        <c:crossBetween val="midCat"/>
      </c:valAx>
      <c:spPr>
        <a:solidFill>
          <a:schemeClr val="accent6">
            <a:lumMod val="40000"/>
            <a:lumOff val="60000"/>
          </a:schemeClr>
        </a:solidFill>
      </c:spPr>
    </c:plotArea>
    <c:legend>
      <c:legendPos val="r"/>
      <c:legendEntry>
        <c:idx val="0"/>
        <c:delete val="1"/>
      </c:legendEntry>
      <c:legendEntry>
        <c:idx val="1"/>
        <c:delete val="1"/>
      </c:legendEntry>
      <c:overlay val="0"/>
    </c:legend>
    <c:plotVisOnly val="1"/>
    <c:dispBlanksAs val="zero"/>
    <c:showDLblsOverMax val="0"/>
  </c:chart>
  <c:spPr>
    <a:gradFill>
      <a:gsLst>
        <a:gs pos="0">
          <a:srgbClr val="FFEFD1"/>
        </a:gs>
        <a:gs pos="64999">
          <a:srgbClr val="F0EBD5"/>
        </a:gs>
        <a:gs pos="100000">
          <a:srgbClr val="D1C39F"/>
        </a:gs>
      </a:gsLst>
      <a:lin ang="5400000" scaled="0"/>
    </a:gradFill>
    <a:ln w="28575" cmpd="thinThick">
      <a:solidFill>
        <a:srgbClr val="C00000"/>
      </a:solid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Répartition du CA global par mode de Revenus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CA One shot</c:v>
          </c:tx>
          <c:spPr>
            <a:solidFill>
              <a:schemeClr val="accent1"/>
            </a:solidFill>
            <a:ln>
              <a:noFill/>
            </a:ln>
            <a:effectLst/>
            <a:sp3d/>
          </c:spPr>
          <c:invertIfNegative val="0"/>
          <c:cat>
            <c:numLit>
              <c:formatCode>General</c:formatCode>
              <c:ptCount val="5"/>
              <c:pt idx="0">
                <c:v>2013</c:v>
              </c:pt>
              <c:pt idx="1">
                <c:v>2014</c:v>
              </c:pt>
              <c:pt idx="2">
                <c:v>2015</c:v>
              </c:pt>
              <c:pt idx="3">
                <c:v>2016</c:v>
              </c:pt>
              <c:pt idx="4">
                <c:v>2017</c:v>
              </c:pt>
            </c:numLit>
          </c:cat>
          <c:val>
            <c:numLit>
              <c:formatCode>General</c:formatCode>
              <c:ptCount val="5"/>
              <c:pt idx="0">
                <c:v>2.3450000000000002</c:v>
              </c:pt>
              <c:pt idx="1">
                <c:v>4.0549999999999997</c:v>
              </c:pt>
              <c:pt idx="2">
                <c:v>7.0326000000000004</c:v>
              </c:pt>
              <c:pt idx="3">
                <c:v>10.81508</c:v>
              </c:pt>
              <c:pt idx="4">
                <c:v>16.870159999999998</c:v>
              </c:pt>
            </c:numLit>
          </c:val>
          <c:extLst>
            <c:ext xmlns:c16="http://schemas.microsoft.com/office/drawing/2014/chart" uri="{C3380CC4-5D6E-409C-BE32-E72D297353CC}">
              <c16:uniqueId val="{00000000-3251-46AD-BE0A-B147C16485EF}"/>
            </c:ext>
          </c:extLst>
        </c:ser>
        <c:ser>
          <c:idx val="1"/>
          <c:order val="1"/>
          <c:tx>
            <c:v>CA récurrent</c:v>
          </c:tx>
          <c:spPr>
            <a:solidFill>
              <a:schemeClr val="accent2"/>
            </a:solidFill>
            <a:ln>
              <a:noFill/>
            </a:ln>
            <a:effectLst/>
            <a:sp3d/>
          </c:spPr>
          <c:invertIfNegative val="0"/>
          <c:cat>
            <c:numLit>
              <c:formatCode>General</c:formatCode>
              <c:ptCount val="5"/>
              <c:pt idx="0">
                <c:v>2013</c:v>
              </c:pt>
              <c:pt idx="1">
                <c:v>2014</c:v>
              </c:pt>
              <c:pt idx="2">
                <c:v>2015</c:v>
              </c:pt>
              <c:pt idx="3">
                <c:v>2016</c:v>
              </c:pt>
              <c:pt idx="4">
                <c:v>2017</c:v>
              </c:pt>
            </c:numLit>
          </c:cat>
          <c:val>
            <c:numLit>
              <c:formatCode>General</c:formatCode>
              <c:ptCount val="5"/>
              <c:pt idx="0">
                <c:v>0</c:v>
              </c:pt>
              <c:pt idx="1">
                <c:v>0.72921108742004237</c:v>
              </c:pt>
              <c:pt idx="2">
                <c:v>0.73430332922318153</c:v>
              </c:pt>
              <c:pt idx="3">
                <c:v>0.53784944401785961</c:v>
              </c:pt>
              <c:pt idx="4">
                <c:v>0.55987380583407598</c:v>
              </c:pt>
            </c:numLit>
          </c:val>
          <c:extLst>
            <c:ext xmlns:c16="http://schemas.microsoft.com/office/drawing/2014/chart" uri="{C3380CC4-5D6E-409C-BE32-E72D297353CC}">
              <c16:uniqueId val="{00000001-3251-46AD-BE0A-B147C16485EF}"/>
            </c:ext>
          </c:extLst>
        </c:ser>
        <c:dLbls>
          <c:showLegendKey val="0"/>
          <c:showVal val="0"/>
          <c:showCatName val="0"/>
          <c:showSerName val="0"/>
          <c:showPercent val="0"/>
          <c:showBubbleSize val="0"/>
        </c:dLbls>
        <c:gapWidth val="55"/>
        <c:gapDepth val="55"/>
        <c:shape val="box"/>
        <c:axId val="724017520"/>
        <c:axId val="724038736"/>
        <c:axId val="0"/>
      </c:bar3DChart>
      <c:catAx>
        <c:axId val="724017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38736"/>
        <c:crosses val="autoZero"/>
        <c:auto val="1"/>
        <c:lblAlgn val="ctr"/>
        <c:lblOffset val="100"/>
        <c:noMultiLvlLbl val="0"/>
      </c:catAx>
      <c:valAx>
        <c:axId val="724038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17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CA Fournisseur: Facturation "one charge" versus "souscription"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4"/>
          <c:order val="4"/>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(BUSINESSCARD!$B$10,BUSINESSCARD!$B$19)</c:f>
              <c:strCache>
                <c:ptCount val="1"/>
                <c:pt idx="0">
                  <c:v>CA annuel récurrent issu de la souscription / abonnement </c:v>
                </c:pt>
              </c:strCache>
            </c:strRef>
          </c:cat>
          <c:val>
            <c:numRef>
              <c:f>(BUSINESSCARD!$G$10,BUSINESSCARD!$G$19)</c:f>
              <c:numCache>
                <c:formatCode>#\ ##0\ "€"</c:formatCode>
                <c:ptCount val="1"/>
                <c:pt idx="0">
                  <c:v>92760</c:v>
                </c:pt>
              </c:numCache>
            </c:numRef>
          </c:val>
          <c:extLst>
            <c:ext xmlns:c16="http://schemas.microsoft.com/office/drawing/2014/chart" uri="{C3380CC4-5D6E-409C-BE32-E72D297353CC}">
              <c16:uniqueId val="{00000000-73F3-4367-9C5F-B28B2A8247C9}"/>
            </c:ext>
          </c:extLst>
        </c:ser>
        <c:dLbls>
          <c:dLblPos val="outEnd"/>
          <c:showLegendKey val="0"/>
          <c:showVal val="1"/>
          <c:showCatName val="0"/>
          <c:showSerName val="0"/>
          <c:showPercent val="0"/>
          <c:showBubbleSize val="0"/>
        </c:dLbls>
        <c:gapWidth val="150"/>
        <c:axId val="724020784"/>
        <c:axId val="724039824"/>
        <c:extLst>
          <c:ext xmlns:c15="http://schemas.microsoft.com/office/drawing/2012/chart" uri="{02D57815-91ED-43cb-92C2-25804820EDAC}">
            <c15:filteredBarSeries>
              <c15: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(BUSINESSCARD!$B$10,BUSINESSCARD!$B$19)</c15:sqref>
                        </c15:formulaRef>
                      </c:ext>
                    </c:extLst>
                    <c:strCache>
                      <c:ptCount val="1"/>
                      <c:pt idx="0">
                        <c:v>CA annuel récurrent issu de la souscription / abonnement </c:v>
                      </c:pt>
                    </c:strCache>
                  </c:strRef>
                </c:cat>
                <c:val>
                  <c:numRef>
                    <c:extLst>
                      <c:ext uri="{02D57815-91ED-43cb-92C2-25804820EDAC}">
                        <c15:formulaRef>
                          <c15:sqref>(BUSINESSCARD!$C$10,BUSINESSCARD!$C$19)</c15:sqref>
                        </c15:formulaRef>
                      </c:ext>
                    </c:extLst>
                    <c:numCache>
                      <c:formatCode>General</c:formatCode>
                      <c:ptCount val="1"/>
                    </c:numCache>
                  </c:numRef>
                </c:val>
                <c:extLst>
                  <c:ext xmlns:c16="http://schemas.microsoft.com/office/drawing/2014/chart" uri="{C3380CC4-5D6E-409C-BE32-E72D297353CC}">
                    <c16:uniqueId val="{00000001-73F3-4367-9C5F-B28B2A8247C9}"/>
                  </c:ext>
                </c:extLst>
              </c15:ser>
            </c15:filteredBarSeries>
            <c15:filteredBarSeries>
              <c15:ser>
                <c:idx val="1"/>
                <c:order val="1"/>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(BUSINESSCARD!$B$10,BUSINESSCARD!$B$19)</c15:sqref>
                        </c15:formulaRef>
                      </c:ext>
                    </c:extLst>
                    <c:strCache>
                      <c:ptCount val="1"/>
                      <c:pt idx="0">
                        <c:v>CA annuel récurrent issu de la souscription / abonnement </c:v>
                      </c:pt>
                    </c:strCache>
                  </c:strRef>
                </c:cat>
                <c:val>
                  <c:numRef>
                    <c:extLst xmlns:c15="http://schemas.microsoft.com/office/drawing/2012/chart">
                      <c:ext xmlns:c15="http://schemas.microsoft.com/office/drawing/2012/chart" uri="{02D57815-91ED-43cb-92C2-25804820EDAC}">
                        <c15:formulaRef>
                          <c15:sqref>(BUSINESSCARD!$D$10,BUSINESSCARD!$D$19)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2-73F3-4367-9C5F-B28B2A8247C9}"/>
                  </c:ext>
                </c:extLst>
              </c15:ser>
            </c15:filteredBarSeries>
            <c15:filteredBarSeries>
              <c15:ser>
                <c:idx val="2"/>
                <c:order val="2"/>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(BUSINESSCARD!$B$10,BUSINESSCARD!$B$19)</c15:sqref>
                        </c15:formulaRef>
                      </c:ext>
                    </c:extLst>
                    <c:strCache>
                      <c:ptCount val="1"/>
                      <c:pt idx="0">
                        <c:v>CA annuel récurrent issu de la souscription / abonnement </c:v>
                      </c:pt>
                    </c:strCache>
                  </c:strRef>
                </c:cat>
                <c:val>
                  <c:numRef>
                    <c:extLst xmlns:c15="http://schemas.microsoft.com/office/drawing/2012/chart">
                      <c:ext xmlns:c15="http://schemas.microsoft.com/office/drawing/2012/chart" uri="{02D57815-91ED-43cb-92C2-25804820EDAC}">
                        <c15:formulaRef>
                          <c15:sqref>(BUSINESSCARD!$E$10,BUSINESSCARD!$E$19)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3-73F3-4367-9C5F-B28B2A8247C9}"/>
                  </c:ext>
                </c:extLst>
              </c15:ser>
            </c15:filteredBarSeries>
            <c15:filteredBarSeries>
              <c15:ser>
                <c:idx val="3"/>
                <c:order val="3"/>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(BUSINESSCARD!$B$10,BUSINESSCARD!$B$19)</c15:sqref>
                        </c15:formulaRef>
                      </c:ext>
                    </c:extLst>
                    <c:strCache>
                      <c:ptCount val="1"/>
                      <c:pt idx="0">
                        <c:v>CA annuel récurrent issu de la souscription / abonnement </c:v>
                      </c:pt>
                    </c:strCache>
                  </c:strRef>
                </c:cat>
                <c:val>
                  <c:numRef>
                    <c:extLst xmlns:c15="http://schemas.microsoft.com/office/drawing/2012/chart">
                      <c:ext xmlns:c15="http://schemas.microsoft.com/office/drawing/2012/chart" uri="{02D57815-91ED-43cb-92C2-25804820EDAC}">
                        <c15:formulaRef>
                          <c15:sqref>(BUSINESSCARD!$F$10,BUSINESSCARD!$F$19)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73F3-4367-9C5F-B28B2A8247C9}"/>
                  </c:ext>
                </c:extLst>
              </c15:ser>
            </c15:filteredBarSeries>
            <c15:filteredBarSeries>
              <c15:ser>
                <c:idx val="5"/>
                <c:order val="5"/>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(BUSINESSCARD!$B$10,BUSINESSCARD!$B$19)</c15:sqref>
                        </c15:formulaRef>
                      </c:ext>
                    </c:extLst>
                    <c:strCache>
                      <c:ptCount val="1"/>
                      <c:pt idx="0">
                        <c:v>CA annuel récurrent issu de la souscription / abonnement </c:v>
                      </c:pt>
                    </c:strCache>
                  </c:strRef>
                </c:cat>
                <c:val>
                  <c:numRef>
                    <c:extLst xmlns:c15="http://schemas.microsoft.com/office/drawing/2012/chart">
                      <c:ext xmlns:c15="http://schemas.microsoft.com/office/drawing/2012/chart" uri="{02D57815-91ED-43cb-92C2-25804820EDAC}">
                        <c15:formulaRef>
                          <c15:sqref>(BUSINESSCARD!$H$10,BUSINESSCARD!$H$19)</c15:sqref>
                        </c15:formulaRef>
                      </c:ext>
                    </c:extLst>
                    <c:numCache>
                      <c:formatCode>#\ ##0\ "€"</c:formatCode>
                      <c:ptCount val="1"/>
                    </c:numCache>
                  </c:numRef>
                </c:val>
                <c:extLst xmlns:c15="http://schemas.microsoft.com/office/drawing/2012/chart">
                  <c:ext xmlns:c16="http://schemas.microsoft.com/office/drawing/2014/chart" uri="{C3380CC4-5D6E-409C-BE32-E72D297353CC}">
                    <c16:uniqueId val="{00000005-73F3-4367-9C5F-B28B2A8247C9}"/>
                  </c:ext>
                </c:extLst>
              </c15:ser>
            </c15:filteredBarSeries>
          </c:ext>
        </c:extLst>
      </c:barChart>
      <c:valAx>
        <c:axId val="724039824"/>
        <c:scaling>
          <c:orientation val="minMax"/>
        </c:scaling>
        <c:delete val="0"/>
        <c:axPos val="b"/>
        <c:numFmt formatCode="#\ ##0\ &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20784"/>
        <c:crosses val="autoZero"/>
        <c:crossBetween val="between"/>
      </c:valAx>
      <c:catAx>
        <c:axId val="72402078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39824"/>
        <c:crosses val="autoZero"/>
        <c:auto val="1"/>
        <c:lblAlgn val="ctr"/>
        <c:lblOffset val="100"/>
        <c:noMultiLvlLbl val="0"/>
      </c:catAx>
      <c:spPr>
        <a:noFill/>
        <a:ln>
          <a:noFill/>
        </a:ln>
        <a:effectLst/>
      </c:spPr>
    </c:plotArea>
    <c:plotVisOnly val="1"/>
    <c:dispBlanksAs val="gap"/>
    <c:showDLblsOverMax val="0"/>
  </c:chart>
  <c:spPr>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w="38100" cap="flat" cmpd="sng" algn="ctr">
      <a:solidFill>
        <a:srgbClr val="C00000"/>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CA indirect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solidFill>
              <a:schemeClr val="accent1"/>
            </a:solidFill>
            <a:ln>
              <a:noFill/>
            </a:ln>
            <a:effectLst/>
            <a:sp3d/>
          </c:spPr>
          <c:invertIfNegative val="0"/>
          <c:cat>
            <c:numRef>
              <c:f>'02-SALESPLAN-OFR2'!$G$56:$K$56</c:f>
              <c:numCache>
                <c:formatCode>General</c:formatCode>
                <c:ptCount val="5"/>
                <c:pt idx="0">
                  <c:v>2017</c:v>
                </c:pt>
                <c:pt idx="1">
                  <c:v>2018</c:v>
                </c:pt>
                <c:pt idx="2">
                  <c:v>2019</c:v>
                </c:pt>
                <c:pt idx="3">
                  <c:v>2020</c:v>
                </c:pt>
                <c:pt idx="4">
                  <c:v>2021</c:v>
                </c:pt>
              </c:numCache>
            </c:numRef>
          </c:cat>
          <c:val>
            <c:numRef>
              <c:f>'02-SALESPLAN-OFR2'!$G$58:$K$58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BC78-4EA1-ACE2-BE359F806652}"/>
            </c:ext>
          </c:extLst>
        </c:ser>
        <c:dLbls>
          <c:showLegendKey val="0"/>
          <c:showVal val="0"/>
          <c:showCatName val="0"/>
          <c:showSerName val="0"/>
          <c:showPercent val="0"/>
          <c:showBubbleSize val="0"/>
        </c:dLbls>
        <c:gapWidth val="55"/>
        <c:gapDepth val="55"/>
        <c:shape val="box"/>
        <c:axId val="724032208"/>
        <c:axId val="724022960"/>
        <c:axId val="0"/>
      </c:bar3DChart>
      <c:catAx>
        <c:axId val="724032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22960"/>
        <c:crosses val="autoZero"/>
        <c:auto val="1"/>
        <c:lblAlgn val="ctr"/>
        <c:lblOffset val="100"/>
        <c:noMultiLvlLbl val="0"/>
      </c:catAx>
      <c:valAx>
        <c:axId val="72402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32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fr-FR" sz="1600"/>
              <a:t>Commissions + services associés générés par les partenaires </a:t>
            </a:r>
          </a:p>
        </c:rich>
      </c:tx>
      <c:overlay val="0"/>
    </c:title>
    <c:autoTitleDeleted val="0"/>
    <c:plotArea>
      <c:layout/>
      <c:areaChart>
        <c:grouping val="stacked"/>
        <c:varyColors val="0"/>
        <c:ser>
          <c:idx val="0"/>
          <c:order val="0"/>
          <c:tx>
            <c:strRef>
              <c:f>'02-BUSINESS4PARTNER-OFR2'!$A$58:$C$58</c:f>
              <c:strCache>
                <c:ptCount val="3"/>
                <c:pt idx="0">
                  <c:v>Total des Commissions à verser aux partenaires K Euros</c:v>
                </c:pt>
              </c:strCache>
            </c:strRef>
          </c:tx>
          <c:spPr>
            <a:ln w="25400">
              <a:noFill/>
            </a:ln>
          </c:spPr>
          <c:cat>
            <c:numRef>
              <c:f>'02-BUSINESS4PARTNER-OFR2'!$F$56:$J$56</c:f>
              <c:numCache>
                <c:formatCode>#,##0</c:formatCode>
                <c:ptCount val="5"/>
                <c:pt idx="0">
                  <c:v>2017</c:v>
                </c:pt>
                <c:pt idx="1">
                  <c:v>2018</c:v>
                </c:pt>
                <c:pt idx="2">
                  <c:v>2019</c:v>
                </c:pt>
                <c:pt idx="3">
                  <c:v>2020</c:v>
                </c:pt>
                <c:pt idx="4">
                  <c:v>2021</c:v>
                </c:pt>
              </c:numCache>
            </c:numRef>
          </c:cat>
          <c:val>
            <c:numRef>
              <c:f>'02-BUSINESS4PARTNER-OFR2'!$F$58:$J$58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A7D7-44D5-9C77-1272872824E6}"/>
            </c:ext>
          </c:extLst>
        </c:ser>
        <c:ser>
          <c:idx val="1"/>
          <c:order val="1"/>
          <c:tx>
            <c:strRef>
              <c:f>'02-BUSINESS4PARTNER-OFR2'!$A$60:$C$60</c:f>
              <c:strCache>
                <c:ptCount val="3"/>
                <c:pt idx="0">
                  <c:v>Total du CA Services vendus par les partenaires K €</c:v>
                </c:pt>
              </c:strCache>
            </c:strRef>
          </c:tx>
          <c:spPr>
            <a:ln w="25400">
              <a:noFill/>
            </a:ln>
          </c:spPr>
          <c:cat>
            <c:numRef>
              <c:f>'02-BUSINESS4PARTNER-OFR2'!$F$56:$J$56</c:f>
              <c:numCache>
                <c:formatCode>#,##0</c:formatCode>
                <c:ptCount val="5"/>
                <c:pt idx="0">
                  <c:v>2017</c:v>
                </c:pt>
                <c:pt idx="1">
                  <c:v>2018</c:v>
                </c:pt>
                <c:pt idx="2">
                  <c:v>2019</c:v>
                </c:pt>
                <c:pt idx="3">
                  <c:v>2020</c:v>
                </c:pt>
                <c:pt idx="4">
                  <c:v>2021</c:v>
                </c:pt>
              </c:numCache>
            </c:numRef>
          </c:cat>
          <c:val>
            <c:numRef>
              <c:f>'02-BUSINESS4PARTNER-OFR2'!$F$60:$J$60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A7D7-44D5-9C77-1272872824E6}"/>
            </c:ext>
          </c:extLst>
        </c:ser>
        <c:dLbls>
          <c:showLegendKey val="0"/>
          <c:showVal val="0"/>
          <c:showCatName val="0"/>
          <c:showSerName val="0"/>
          <c:showPercent val="0"/>
          <c:showBubbleSize val="0"/>
        </c:dLbls>
        <c:axId val="724018608"/>
        <c:axId val="724032752"/>
      </c:areaChart>
      <c:catAx>
        <c:axId val="724018608"/>
        <c:scaling>
          <c:orientation val="minMax"/>
        </c:scaling>
        <c:delete val="0"/>
        <c:axPos val="b"/>
        <c:numFmt formatCode="#,##0" sourceLinked="1"/>
        <c:majorTickMark val="none"/>
        <c:minorTickMark val="none"/>
        <c:tickLblPos val="nextTo"/>
        <c:crossAx val="724032752"/>
        <c:crosses val="autoZero"/>
        <c:auto val="1"/>
        <c:lblAlgn val="ctr"/>
        <c:lblOffset val="100"/>
        <c:noMultiLvlLbl val="0"/>
      </c:catAx>
      <c:valAx>
        <c:axId val="724032752"/>
        <c:scaling>
          <c:orientation val="minMax"/>
        </c:scaling>
        <c:delete val="0"/>
        <c:axPos val="l"/>
        <c:majorGridlines/>
        <c:numFmt formatCode="#,##0" sourceLinked="1"/>
        <c:majorTickMark val="none"/>
        <c:minorTickMark val="none"/>
        <c:tickLblPos val="nextTo"/>
        <c:spPr>
          <a:solidFill>
            <a:schemeClr val="accent6">
              <a:lumMod val="40000"/>
              <a:lumOff val="60000"/>
            </a:schemeClr>
          </a:solidFill>
        </c:spPr>
        <c:crossAx val="724018608"/>
        <c:crosses val="autoZero"/>
        <c:crossBetween val="midCat"/>
      </c:valAx>
      <c:spPr>
        <a:solidFill>
          <a:schemeClr val="bg1">
            <a:lumMod val="95000"/>
          </a:schemeClr>
        </a:solidFill>
      </c:spPr>
    </c:plotArea>
    <c:legend>
      <c:legendPos val="b"/>
      <c:overlay val="0"/>
    </c:legend>
    <c:plotVisOnly val="1"/>
    <c:dispBlanksAs val="zero"/>
    <c:showDLblsOverMax val="0"/>
  </c:chart>
  <c:spPr>
    <a:gradFill>
      <a:gsLst>
        <a:gs pos="0">
          <a:srgbClr val="FFEFD1"/>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Perspectives de gain sur 3 ans </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'09-PROFITPARTNER-OFR2'!$A$149:$D$149</c:f>
              <c:strCache>
                <c:ptCount val="4"/>
                <c:pt idx="0">
                  <c:v>CA TOTAL facturé aux clients</c:v>
                </c:pt>
              </c:strCache>
            </c:strRef>
          </c:tx>
          <c:spPr>
            <a:gradFill>
              <a:gsLst>
                <a:gs pos="7900">
                  <a:srgbClr val="D3E3C0"/>
                </a:gs>
                <a:gs pos="0">
                  <a:srgbClr val="DDEBCF"/>
                </a:gs>
                <a:gs pos="1000">
                  <a:srgbClr val="9CB86E"/>
                </a:gs>
                <a:gs pos="85000">
                  <a:srgbClr val="156B13"/>
                </a:gs>
              </a:gsLst>
              <a:lin ang="5400000" scaled="0"/>
            </a:gradFill>
          </c:spPr>
          <c:invertIfNegative val="0"/>
          <c:cat>
            <c:numLit>
              <c:formatCode>General</c:formatCode>
              <c:ptCount val="6"/>
              <c:pt idx="0">
                <c:v>3</c:v>
              </c:pt>
              <c:pt idx="2">
                <c:v>4</c:v>
              </c:pt>
              <c:pt idx="4">
                <c:v>5</c:v>
              </c:pt>
            </c:numLit>
          </c:cat>
          <c:val>
            <c:numRef>
              <c:f>'09-PROFITPARTNER-OFR2'!$E$149:$J$149</c:f>
              <c:numCache>
                <c:formatCode>#,##0</c:formatCode>
                <c:ptCount val="6"/>
                <c:pt idx="0">
                  <c:v>15000</c:v>
                </c:pt>
                <c:pt idx="2">
                  <c:v>20500</c:v>
                </c:pt>
                <c:pt idx="4">
                  <c:v>26000</c:v>
                </c:pt>
              </c:numCache>
            </c:numRef>
          </c:val>
          <c:extLst>
            <c:ext xmlns:c16="http://schemas.microsoft.com/office/drawing/2014/chart" uri="{C3380CC4-5D6E-409C-BE32-E72D297353CC}">
              <c16:uniqueId val="{00000000-0F72-46DF-B056-0F56AE02EBF7}"/>
            </c:ext>
          </c:extLst>
        </c:ser>
        <c:ser>
          <c:idx val="1"/>
          <c:order val="1"/>
          <c:tx>
            <c:strRef>
              <c:f>'09-PROFITPARTNER-OFR2'!$A$155:$D$155</c:f>
              <c:strCache>
                <c:ptCount val="4"/>
                <c:pt idx="0">
                  <c:v>Marge nette du partenaire</c:v>
                </c:pt>
              </c:strCache>
            </c:strRef>
          </c:tx>
          <c:spPr>
            <a:gradFill>
              <a:gsLst>
                <a:gs pos="0">
                  <a:srgbClr val="03D4A8"/>
                </a:gs>
                <a:gs pos="25000">
                  <a:srgbClr val="21D6E0"/>
                </a:gs>
                <a:gs pos="75000">
                  <a:srgbClr val="0087E6"/>
                </a:gs>
                <a:gs pos="100000">
                  <a:srgbClr val="005CBF"/>
                </a:gs>
              </a:gsLst>
              <a:lin ang="5400000" scaled="0"/>
            </a:gradFill>
          </c:spPr>
          <c:invertIfNegative val="0"/>
          <c:cat>
            <c:numLit>
              <c:formatCode>General</c:formatCode>
              <c:ptCount val="6"/>
              <c:pt idx="0">
                <c:v>3</c:v>
              </c:pt>
              <c:pt idx="2">
                <c:v>4</c:v>
              </c:pt>
              <c:pt idx="4">
                <c:v>5</c:v>
              </c:pt>
            </c:numLit>
          </c:cat>
          <c:val>
            <c:numRef>
              <c:f>'09-PROFITPARTNER-OFR2'!$E$155:$J$155</c:f>
              <c:numCache>
                <c:formatCode>#,##0</c:formatCode>
                <c:ptCount val="6"/>
                <c:pt idx="0">
                  <c:v>5512.5</c:v>
                </c:pt>
                <c:pt idx="2">
                  <c:v>7362.5</c:v>
                </c:pt>
                <c:pt idx="4">
                  <c:v>9012.5</c:v>
                </c:pt>
              </c:numCache>
            </c:numRef>
          </c:val>
          <c:extLst>
            <c:ext xmlns:c16="http://schemas.microsoft.com/office/drawing/2014/chart" uri="{C3380CC4-5D6E-409C-BE32-E72D297353CC}">
              <c16:uniqueId val="{00000001-0F72-46DF-B056-0F56AE02EBF7}"/>
            </c:ext>
          </c:extLst>
        </c:ser>
        <c:dLbls>
          <c:showLegendKey val="0"/>
          <c:showVal val="0"/>
          <c:showCatName val="0"/>
          <c:showSerName val="0"/>
          <c:showPercent val="0"/>
          <c:showBubbleSize val="0"/>
        </c:dLbls>
        <c:gapWidth val="75"/>
        <c:shape val="cylinder"/>
        <c:axId val="724038192"/>
        <c:axId val="724042544"/>
        <c:axId val="0"/>
      </c:bar3DChart>
      <c:catAx>
        <c:axId val="724038192"/>
        <c:scaling>
          <c:orientation val="minMax"/>
        </c:scaling>
        <c:delete val="0"/>
        <c:axPos val="b"/>
        <c:majorGridlines/>
        <c:numFmt formatCode="General" sourceLinked="1"/>
        <c:majorTickMark val="none"/>
        <c:minorTickMark val="none"/>
        <c:tickLblPos val="nextTo"/>
        <c:crossAx val="724042544"/>
        <c:crosses val="autoZero"/>
        <c:auto val="1"/>
        <c:lblAlgn val="ctr"/>
        <c:lblOffset val="100"/>
        <c:noMultiLvlLbl val="0"/>
      </c:catAx>
      <c:valAx>
        <c:axId val="724042544"/>
        <c:scaling>
          <c:orientation val="minMax"/>
        </c:scaling>
        <c:delete val="0"/>
        <c:axPos val="l"/>
        <c:majorGridlines/>
        <c:numFmt formatCode="#,##0" sourceLinked="1"/>
        <c:majorTickMark val="none"/>
        <c:minorTickMark val="none"/>
        <c:tickLblPos val="nextTo"/>
        <c:spPr>
          <a:ln w="9525">
            <a:noFill/>
          </a:ln>
        </c:spPr>
        <c:crossAx val="724038192"/>
        <c:crosses val="autoZero"/>
        <c:crossBetween val="between"/>
      </c:valAx>
    </c:plotArea>
    <c:legend>
      <c:legendPos val="b"/>
      <c:overlay val="0"/>
    </c:legend>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du CA par</a:t>
            </a:r>
            <a:r>
              <a:rPr lang="fr-FR" baseline="0"/>
              <a:t> affaire </a:t>
            </a:r>
            <a:endParaRPr lang="fr-FR"/>
          </a:p>
        </c:rich>
      </c:tx>
      <c:overlay val="0"/>
    </c:title>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v>CA net pour iAdvize 0</c:v>
          </c:tx>
          <c:invertIfNegative val="0"/>
          <c:cat>
            <c:strLit>
              <c:ptCount val="4"/>
              <c:pt idx="0">
                <c:v>Année 1</c:v>
              </c:pt>
              <c:pt idx="1">
                <c:v>0</c:v>
              </c:pt>
              <c:pt idx="2">
                <c:v>Années 2 + 3</c:v>
              </c:pt>
              <c:pt idx="3">
                <c:v>0</c:v>
              </c:pt>
            </c:strLit>
          </c:cat>
          <c:val>
            <c:numLit>
              <c:formatCode>General</c:formatCode>
              <c:ptCount val="4"/>
              <c:pt idx="0">
                <c:v>28000</c:v>
              </c:pt>
              <c:pt idx="1">
                <c:v>0</c:v>
              </c:pt>
              <c:pt idx="2">
                <c:v>2400</c:v>
              </c:pt>
              <c:pt idx="3">
                <c:v>0</c:v>
              </c:pt>
            </c:numLit>
          </c:val>
          <c:extLst>
            <c:ext xmlns:c16="http://schemas.microsoft.com/office/drawing/2014/chart" uri="{C3380CC4-5D6E-409C-BE32-E72D297353CC}">
              <c16:uniqueId val="{00000000-BC93-4E97-928C-9143A223288E}"/>
            </c:ext>
          </c:extLst>
        </c:ser>
        <c:ser>
          <c:idx val="1"/>
          <c:order val="1"/>
          <c:tx>
            <c:v>CA partenaire 0</c:v>
          </c:tx>
          <c:invertIfNegative val="0"/>
          <c:cat>
            <c:strLit>
              <c:ptCount val="4"/>
              <c:pt idx="0">
                <c:v>Année 1</c:v>
              </c:pt>
              <c:pt idx="1">
                <c:v>0</c:v>
              </c:pt>
              <c:pt idx="2">
                <c:v>Années 2 + 3</c:v>
              </c:pt>
              <c:pt idx="3">
                <c:v>0</c:v>
              </c:pt>
            </c:strLit>
          </c:cat>
          <c:val>
            <c:numLit>
              <c:formatCode>General</c:formatCode>
              <c:ptCount val="4"/>
              <c:pt idx="0">
                <c:v>13250</c:v>
              </c:pt>
              <c:pt idx="1">
                <c:v>0</c:v>
              </c:pt>
              <c:pt idx="2">
                <c:v>3600</c:v>
              </c:pt>
              <c:pt idx="3">
                <c:v>0</c:v>
              </c:pt>
            </c:numLit>
          </c:val>
          <c:extLst>
            <c:ext xmlns:c16="http://schemas.microsoft.com/office/drawing/2014/chart" uri="{C3380CC4-5D6E-409C-BE32-E72D297353CC}">
              <c16:uniqueId val="{00000001-BC93-4E97-928C-9143A223288E}"/>
            </c:ext>
          </c:extLst>
        </c:ser>
        <c:dLbls>
          <c:showLegendKey val="0"/>
          <c:showVal val="0"/>
          <c:showCatName val="0"/>
          <c:showSerName val="0"/>
          <c:showPercent val="0"/>
          <c:showBubbleSize val="0"/>
        </c:dLbls>
        <c:gapWidth val="95"/>
        <c:gapDepth val="95"/>
        <c:shape val="cylinder"/>
        <c:axId val="724044176"/>
        <c:axId val="724044720"/>
        <c:axId val="0"/>
      </c:bar3DChart>
      <c:catAx>
        <c:axId val="724044176"/>
        <c:scaling>
          <c:orientation val="minMax"/>
        </c:scaling>
        <c:delete val="0"/>
        <c:axPos val="b"/>
        <c:numFmt formatCode="General" sourceLinked="0"/>
        <c:majorTickMark val="none"/>
        <c:minorTickMark val="none"/>
        <c:tickLblPos val="nextTo"/>
        <c:crossAx val="724044720"/>
        <c:crosses val="autoZero"/>
        <c:auto val="1"/>
        <c:lblAlgn val="ctr"/>
        <c:lblOffset val="100"/>
        <c:noMultiLvlLbl val="0"/>
      </c:catAx>
      <c:valAx>
        <c:axId val="724044720"/>
        <c:scaling>
          <c:orientation val="minMax"/>
        </c:scaling>
        <c:delete val="0"/>
        <c:axPos val="l"/>
        <c:majorGridlines/>
        <c:numFmt formatCode="General" sourceLinked="1"/>
        <c:majorTickMark val="none"/>
        <c:minorTickMark val="none"/>
        <c:tickLblPos val="nextTo"/>
        <c:crossAx val="724044176"/>
        <c:crosses val="autoZero"/>
        <c:crossBetween val="between"/>
      </c:valAx>
      <c:dTable>
        <c:showHorzBorder val="1"/>
        <c:showVertBorder val="1"/>
        <c:showOutline val="1"/>
        <c:showKeys val="1"/>
      </c:dTable>
    </c:plotArea>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Perspectives de gain sur 3 ans </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'09-PROFITPARTNER-OFR3'!$A$124:$D$124</c:f>
              <c:strCache>
                <c:ptCount val="4"/>
                <c:pt idx="0">
                  <c:v>TOTAL CA CLIENTS  FINAUX</c:v>
                </c:pt>
              </c:strCache>
            </c:strRef>
          </c:tx>
          <c:spPr>
            <a:gradFill>
              <a:gsLst>
                <a:gs pos="7900">
                  <a:srgbClr val="D3E3C0"/>
                </a:gs>
                <a:gs pos="0">
                  <a:srgbClr val="DDEBCF"/>
                </a:gs>
                <a:gs pos="1000">
                  <a:srgbClr val="9CB86E"/>
                </a:gs>
                <a:gs pos="85000">
                  <a:srgbClr val="156B13"/>
                </a:gs>
              </a:gsLst>
              <a:lin ang="5400000" scaled="0"/>
            </a:gradFill>
          </c:spPr>
          <c:invertIfNegative val="0"/>
          <c:cat>
            <c:strRef>
              <c:f>'09-PROFITPARTNER-OFR3'!$E$106:$J$106</c:f>
              <c:strCache>
                <c:ptCount val="5"/>
                <c:pt idx="0">
                  <c:v>Année 1</c:v>
                </c:pt>
                <c:pt idx="2">
                  <c:v>Année 2</c:v>
                </c:pt>
                <c:pt idx="4">
                  <c:v>Année 3</c:v>
                </c:pt>
              </c:strCache>
            </c:strRef>
          </c:cat>
          <c:val>
            <c:numRef>
              <c:f>'09-PROFITPARTNER-OFR3'!$E$124:$J$124</c:f>
              <c:numCache>
                <c:formatCode>General</c:formatCode>
                <c:ptCount val="6"/>
                <c:pt idx="0" formatCode="#,##0">
                  <c:v>348000</c:v>
                </c:pt>
                <c:pt idx="2" formatCode="#,##0">
                  <c:v>396000</c:v>
                </c:pt>
                <c:pt idx="4" formatCode="#,##0">
                  <c:v>444000</c:v>
                </c:pt>
              </c:numCache>
            </c:numRef>
          </c:val>
          <c:extLst>
            <c:ext xmlns:c16="http://schemas.microsoft.com/office/drawing/2014/chart" uri="{C3380CC4-5D6E-409C-BE32-E72D297353CC}">
              <c16:uniqueId val="{00000000-0292-48CC-A480-695600EEC56E}"/>
            </c:ext>
          </c:extLst>
        </c:ser>
        <c:ser>
          <c:idx val="1"/>
          <c:order val="1"/>
          <c:tx>
            <c:strRef>
              <c:f>'09-PROFITPARTNER-OFR3'!$A$146:$D$146</c:f>
              <c:strCache>
                <c:ptCount val="4"/>
                <c:pt idx="0">
                  <c:v>MARGE NETTE PARTENAIRE</c:v>
                </c:pt>
              </c:strCache>
            </c:strRef>
          </c:tx>
          <c:invertIfNegative val="0"/>
          <c:cat>
            <c:strRef>
              <c:f>'09-PROFITPARTNER-OFR3'!$E$106:$J$106</c:f>
              <c:strCache>
                <c:ptCount val="5"/>
                <c:pt idx="0">
                  <c:v>Année 1</c:v>
                </c:pt>
                <c:pt idx="2">
                  <c:v>Année 2</c:v>
                </c:pt>
                <c:pt idx="4">
                  <c:v>Année 3</c:v>
                </c:pt>
              </c:strCache>
            </c:strRef>
          </c:cat>
          <c:val>
            <c:numRef>
              <c:f>'09-PROFITPARTNER-OFR3'!$E$146:$J$146</c:f>
              <c:numCache>
                <c:formatCode>#,##0</c:formatCode>
                <c:ptCount val="6"/>
                <c:pt idx="0">
                  <c:v>141050</c:v>
                </c:pt>
                <c:pt idx="2">
                  <c:v>189050</c:v>
                </c:pt>
                <c:pt idx="4">
                  <c:v>237050</c:v>
                </c:pt>
              </c:numCache>
            </c:numRef>
          </c:val>
          <c:extLst>
            <c:ext xmlns:c16="http://schemas.microsoft.com/office/drawing/2014/chart" uri="{C3380CC4-5D6E-409C-BE32-E72D297353CC}">
              <c16:uniqueId val="{00000001-0292-48CC-A480-695600EEC56E}"/>
            </c:ext>
          </c:extLst>
        </c:ser>
        <c:dLbls>
          <c:showLegendKey val="0"/>
          <c:showVal val="0"/>
          <c:showCatName val="0"/>
          <c:showSerName val="0"/>
          <c:showPercent val="0"/>
          <c:showBubbleSize val="0"/>
        </c:dLbls>
        <c:gapWidth val="75"/>
        <c:shape val="cylinder"/>
        <c:axId val="563147008"/>
        <c:axId val="563133408"/>
        <c:axId val="0"/>
      </c:bar3DChart>
      <c:catAx>
        <c:axId val="563147008"/>
        <c:scaling>
          <c:orientation val="minMax"/>
        </c:scaling>
        <c:delete val="0"/>
        <c:axPos val="b"/>
        <c:majorGridlines/>
        <c:numFmt formatCode="General" sourceLinked="1"/>
        <c:majorTickMark val="none"/>
        <c:minorTickMark val="none"/>
        <c:tickLblPos val="nextTo"/>
        <c:crossAx val="563133408"/>
        <c:crosses val="autoZero"/>
        <c:auto val="1"/>
        <c:lblAlgn val="ctr"/>
        <c:lblOffset val="100"/>
        <c:noMultiLvlLbl val="0"/>
      </c:catAx>
      <c:valAx>
        <c:axId val="563133408"/>
        <c:scaling>
          <c:orientation val="minMax"/>
        </c:scaling>
        <c:delete val="0"/>
        <c:axPos val="l"/>
        <c:majorGridlines/>
        <c:numFmt formatCode="#,##0" sourceLinked="1"/>
        <c:majorTickMark val="none"/>
        <c:minorTickMark val="none"/>
        <c:tickLblPos val="nextTo"/>
        <c:spPr>
          <a:ln w="9525">
            <a:noFill/>
          </a:ln>
        </c:spPr>
        <c:crossAx val="563147008"/>
        <c:crosses val="autoZero"/>
        <c:crossBetween val="between"/>
      </c:valAx>
    </c:plotArea>
    <c:legend>
      <c:legendPos val="b"/>
      <c:overlay val="0"/>
    </c:legend>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Marketing ready ?</a:t>
            </a:r>
          </a:p>
          <a:p>
            <a:pPr>
              <a:defRPr/>
            </a:pPr>
            <a:r>
              <a:rPr lang="fr-FR"/>
              <a:t>1° source </a:t>
            </a:r>
          </a:p>
        </c:rich>
      </c:tx>
      <c:overlay val="0"/>
    </c:title>
    <c:autoTitleDeleted val="0"/>
    <c:plotArea>
      <c:layout/>
      <c:radarChart>
        <c:radarStyle val="marker"/>
        <c:varyColors val="0"/>
        <c:ser>
          <c:idx val="0"/>
          <c:order val="0"/>
          <c:marker>
            <c:symbol val="none"/>
          </c:marker>
          <c:cat>
            <c:strLit>
              <c:ptCount val="80"/>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0</c:v>
              </c:pt>
              <c:pt idx="9">
                <c:v>Maîtrise du Besoin critique</c:v>
              </c:pt>
              <c:pt idx="10">
                <c:v>Pour qui ?</c:v>
              </c:pt>
              <c:pt idx="11">
                <c:v>Peines</c:v>
              </c:pt>
              <c:pt idx="12">
                <c:v>Conséqces business</c:v>
              </c:pt>
              <c:pt idx="13">
                <c:v>Conséqces perso</c:v>
              </c:pt>
              <c:pt idx="14">
                <c:v>Attentes clients</c:v>
              </c:pt>
              <c:pt idx="15">
                <c:v>Couverture besoins</c:v>
              </c:pt>
              <c:pt idx="16">
                <c:v>0</c:v>
              </c:pt>
              <c:pt idx="17">
                <c:v>Motivations achat</c:v>
              </c:pt>
              <c:pt idx="18">
                <c:v>Process achat</c:v>
              </c:pt>
              <c:pt idx="19">
                <c:v>Mapping des acteurs</c:v>
              </c:pt>
              <c:pt idx="20">
                <c:v>Messages ciblés</c:v>
              </c:pt>
              <c:pt idx="21">
                <c:v>Déclencheurs</c:v>
              </c:pt>
              <c:pt idx="22">
                <c:v>Concurrence</c:v>
              </c:pt>
              <c:pt idx="23">
                <c:v>Source contact</c:v>
              </c:pt>
              <c:pt idx="24">
                <c:v>Satisfaction</c:v>
              </c:pt>
              <c:pt idx="25">
                <c:v>0</c:v>
              </c:pt>
              <c:pt idx="26">
                <c:v>Utilsateurs</c:v>
              </c:pt>
              <c:pt idx="27">
                <c:v>Organisation</c:v>
              </c:pt>
              <c:pt idx="28">
                <c:v>Mesure</c:v>
              </c:pt>
              <c:pt idx="29">
                <c:v>Top fonctionnalités</c:v>
              </c:pt>
              <c:pt idx="30">
                <c:v>Durée utilisation</c:v>
              </c:pt>
              <c:pt idx="31">
                <c:v>Moment</c:v>
              </c:pt>
              <c:pt idx="32">
                <c:v>Relation autres produits</c:v>
              </c:pt>
              <c:pt idx="33">
                <c:v>Intégré ou autonome</c:v>
              </c:pt>
              <c:pt idx="34">
                <c:v>Process</c:v>
              </c:pt>
              <c:pt idx="35">
                <c:v>Indicateurs</c:v>
              </c:pt>
              <c:pt idx="36">
                <c:v>Points forts</c:v>
              </c:pt>
              <c:pt idx="37">
                <c:v>Points faibles</c:v>
              </c:pt>
              <c:pt idx="38">
                <c:v>Attentes</c:v>
              </c:pt>
              <c:pt idx="39">
                <c:v>Satisfaction</c:v>
              </c:pt>
              <c:pt idx="40">
                <c:v>Niveau d'écoute</c:v>
              </c:pt>
              <c:pt idx="41">
                <c:v>Utilsateurs</c:v>
              </c:pt>
              <c:pt idx="42">
                <c:v>Organisation</c:v>
              </c:pt>
              <c:pt idx="43">
                <c:v>Mesure</c:v>
              </c:pt>
              <c:pt idx="44">
                <c:v>Top fonctionnalités</c:v>
              </c:pt>
              <c:pt idx="45">
                <c:v>Durée utilisation</c:v>
              </c:pt>
              <c:pt idx="46">
                <c:v>Moment</c:v>
              </c:pt>
              <c:pt idx="47">
                <c:v>Relation autres produits</c:v>
              </c:pt>
              <c:pt idx="48">
                <c:v>Intégré ou autonome</c:v>
              </c:pt>
              <c:pt idx="49">
                <c:v>Process</c:v>
              </c:pt>
              <c:pt idx="50">
                <c:v>Indicateurs</c:v>
              </c:pt>
              <c:pt idx="51">
                <c:v>Points forts</c:v>
              </c:pt>
              <c:pt idx="52">
                <c:v>Points faibles</c:v>
              </c:pt>
              <c:pt idx="53">
                <c:v>Attentes</c:v>
              </c:pt>
              <c:pt idx="54">
                <c:v>Satisfaction</c:v>
              </c:pt>
              <c:pt idx="55">
                <c:v>Niveau d'écoute</c:v>
              </c:pt>
              <c:pt idx="56">
                <c:v>0</c:v>
              </c:pt>
              <c:pt idx="57">
                <c:v>Utilsateurs</c:v>
              </c:pt>
              <c:pt idx="58">
                <c:v>Organisation</c:v>
              </c:pt>
              <c:pt idx="59">
                <c:v>Mesure</c:v>
              </c:pt>
              <c:pt idx="60">
                <c:v>Top fonctionnalités</c:v>
              </c:pt>
              <c:pt idx="61">
                <c:v>Durée utilisation</c:v>
              </c:pt>
              <c:pt idx="62">
                <c:v>Moment</c:v>
              </c:pt>
              <c:pt idx="63">
                <c:v>Relation autres produits</c:v>
              </c:pt>
              <c:pt idx="64">
                <c:v>Intégré ou autonome</c:v>
              </c:pt>
              <c:pt idx="65">
                <c:v>Process</c:v>
              </c:pt>
              <c:pt idx="66">
                <c:v>Indicateurs</c:v>
              </c:pt>
              <c:pt idx="67">
                <c:v>Points forts</c:v>
              </c:pt>
              <c:pt idx="68">
                <c:v>Points faibles</c:v>
              </c:pt>
              <c:pt idx="69">
                <c:v>Attentes</c:v>
              </c:pt>
              <c:pt idx="70">
                <c:v>Satisfaction</c:v>
              </c:pt>
              <c:pt idx="71">
                <c:v>Niveau d'écoute</c:v>
              </c:pt>
              <c:pt idx="72">
                <c:v>Profil clients</c:v>
              </c:pt>
              <c:pt idx="73">
                <c:v>Pitch société</c:v>
              </c:pt>
              <c:pt idx="74">
                <c:v>Pitch produit</c:v>
              </c:pt>
              <c:pt idx="75">
                <c:v>Différenciateurs</c:v>
              </c:pt>
              <c:pt idx="76">
                <c:v>Singularités</c:v>
              </c:pt>
              <c:pt idx="77">
                <c:v>ROI / TCO</c:v>
              </c:pt>
              <c:pt idx="78">
                <c:v>Biz case client</c:v>
              </c:pt>
              <c:pt idx="79">
                <c:v>0</c:v>
              </c:pt>
            </c:strLit>
          </c:cat>
          <c:val>
            <c:numLit>
              <c:formatCode>General</c:formatCode>
              <c:ptCount val="50"/>
              <c:pt idx="0">
                <c:v>9</c:v>
              </c:pt>
              <c:pt idx="1">
                <c:v>7</c:v>
              </c:pt>
              <c:pt idx="2">
                <c:v>6</c:v>
              </c:pt>
              <c:pt idx="3">
                <c:v>10</c:v>
              </c:pt>
              <c:pt idx="4">
                <c:v>8</c:v>
              </c:pt>
              <c:pt idx="5">
                <c:v>6</c:v>
              </c:pt>
              <c:pt idx="6">
                <c:v>6</c:v>
              </c:pt>
              <c:pt idx="7">
                <c:v>7</c:v>
              </c:pt>
              <c:pt idx="8">
                <c:v>7.375</c:v>
              </c:pt>
              <c:pt idx="9">
                <c:v>8</c:v>
              </c:pt>
              <c:pt idx="10">
                <c:v>10</c:v>
              </c:pt>
              <c:pt idx="11">
                <c:v>9</c:v>
              </c:pt>
              <c:pt idx="12">
                <c:v>7</c:v>
              </c:pt>
              <c:pt idx="13">
                <c:v>8</c:v>
              </c:pt>
              <c:pt idx="14">
                <c:v>8</c:v>
              </c:pt>
              <c:pt idx="15">
                <c:v>8</c:v>
              </c:pt>
              <c:pt idx="16">
                <c:v>8.2857142857142865</c:v>
              </c:pt>
              <c:pt idx="17">
                <c:v>9</c:v>
              </c:pt>
              <c:pt idx="18">
                <c:v>8</c:v>
              </c:pt>
              <c:pt idx="19">
                <c:v>10</c:v>
              </c:pt>
              <c:pt idx="20">
                <c:v>7</c:v>
              </c:pt>
              <c:pt idx="21">
                <c:v>9</c:v>
              </c:pt>
              <c:pt idx="22">
                <c:v>9</c:v>
              </c:pt>
              <c:pt idx="23">
                <c:v>9</c:v>
              </c:pt>
              <c:pt idx="24">
                <c:v>9</c:v>
              </c:pt>
              <c:pt idx="25">
                <c:v>8.75</c:v>
              </c:pt>
              <c:pt idx="26">
                <c:v>10</c:v>
              </c:pt>
              <c:pt idx="27">
                <c:v>10</c:v>
              </c:pt>
              <c:pt idx="28">
                <c:v>10</c:v>
              </c:pt>
              <c:pt idx="29">
                <c:v>9</c:v>
              </c:pt>
              <c:pt idx="30">
                <c:v>9</c:v>
              </c:pt>
              <c:pt idx="31">
                <c:v>9</c:v>
              </c:pt>
              <c:pt idx="32">
                <c:v>3</c:v>
              </c:pt>
              <c:pt idx="33">
                <c:v>9</c:v>
              </c:pt>
              <c:pt idx="34">
                <c:v>9</c:v>
              </c:pt>
              <c:pt idx="35">
                <c:v>10</c:v>
              </c:pt>
              <c:pt idx="36">
                <c:v>6</c:v>
              </c:pt>
              <c:pt idx="37">
                <c:v>6</c:v>
              </c:pt>
              <c:pt idx="38">
                <c:v>6</c:v>
              </c:pt>
              <c:pt idx="39">
                <c:v>10</c:v>
              </c:pt>
              <c:pt idx="40">
                <c:v>10</c:v>
              </c:pt>
              <c:pt idx="41">
                <c:v>8.4</c:v>
              </c:pt>
              <c:pt idx="42">
                <c:v>9</c:v>
              </c:pt>
              <c:pt idx="43">
                <c:v>7</c:v>
              </c:pt>
              <c:pt idx="44">
                <c:v>4</c:v>
              </c:pt>
              <c:pt idx="45">
                <c:v>7</c:v>
              </c:pt>
              <c:pt idx="46">
                <c:v>8</c:v>
              </c:pt>
              <c:pt idx="47">
                <c:v>6</c:v>
              </c:pt>
              <c:pt idx="48">
                <c:v>9</c:v>
              </c:pt>
              <c:pt idx="49">
                <c:v>7.1428571428571432</c:v>
              </c:pt>
            </c:numLit>
          </c:val>
          <c:extLst>
            <c:ext xmlns:c16="http://schemas.microsoft.com/office/drawing/2014/chart" uri="{C3380CC4-5D6E-409C-BE32-E72D297353CC}">
              <c16:uniqueId val="{00000000-1D88-447A-A12D-13E4AE4EE8CC}"/>
            </c:ext>
          </c:extLst>
        </c:ser>
        <c:dLbls>
          <c:showLegendKey val="0"/>
          <c:showVal val="0"/>
          <c:showCatName val="0"/>
          <c:showSerName val="0"/>
          <c:showPercent val="0"/>
          <c:showBubbleSize val="0"/>
        </c:dLbls>
        <c:axId val="563148096"/>
        <c:axId val="563150272"/>
      </c:radarChart>
      <c:catAx>
        <c:axId val="563148096"/>
        <c:scaling>
          <c:orientation val="minMax"/>
        </c:scaling>
        <c:delete val="0"/>
        <c:axPos val="b"/>
        <c:majorGridlines/>
        <c:numFmt formatCode="General" sourceLinked="0"/>
        <c:majorTickMark val="none"/>
        <c:minorTickMark val="none"/>
        <c:tickLblPos val="nextTo"/>
        <c:spPr>
          <a:ln w="9525">
            <a:noFill/>
          </a:ln>
        </c:spPr>
        <c:crossAx val="563150272"/>
        <c:crosses val="autoZero"/>
        <c:auto val="1"/>
        <c:lblAlgn val="ctr"/>
        <c:lblOffset val="100"/>
        <c:noMultiLvlLbl val="0"/>
      </c:catAx>
      <c:valAx>
        <c:axId val="563150272"/>
        <c:scaling>
          <c:orientation val="minMax"/>
        </c:scaling>
        <c:delete val="0"/>
        <c:axPos val="l"/>
        <c:majorGridlines/>
        <c:numFmt formatCode="General" sourceLinked="1"/>
        <c:majorTickMark val="none"/>
        <c:minorTickMark val="none"/>
        <c:tickLblPos val="nextTo"/>
        <c:crossAx val="563148096"/>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Marketing ready ?  </a:t>
            </a:r>
          </a:p>
          <a:p>
            <a:pPr>
              <a:defRPr/>
            </a:pPr>
            <a:r>
              <a:rPr lang="fr-FR"/>
              <a:t>2° source</a:t>
            </a:r>
          </a:p>
        </c:rich>
      </c:tx>
      <c:overlay val="0"/>
    </c:title>
    <c:autoTitleDeleted val="0"/>
    <c:plotArea>
      <c:layout>
        <c:manualLayout>
          <c:layoutTarget val="inner"/>
          <c:xMode val="edge"/>
          <c:yMode val="edge"/>
          <c:x val="0.19594943058787401"/>
          <c:y val="0.24377628823409001"/>
          <c:w val="0.58264743914636297"/>
          <c:h val="0.54775729248731198"/>
        </c:manualLayout>
      </c:layout>
      <c:radarChart>
        <c:radarStyle val="marker"/>
        <c:varyColors val="0"/>
        <c:ser>
          <c:idx val="0"/>
          <c:order val="0"/>
          <c:marker>
            <c:symbol val="none"/>
          </c:marker>
          <c:cat>
            <c:strLit>
              <c:ptCount val="50"/>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0</c:v>
              </c:pt>
              <c:pt idx="9">
                <c:v>Maîtrise du Besoin critique</c:v>
              </c:pt>
              <c:pt idx="10">
                <c:v>Pour qui ?</c:v>
              </c:pt>
              <c:pt idx="11">
                <c:v>Peines</c:v>
              </c:pt>
              <c:pt idx="12">
                <c:v>Conséqces business</c:v>
              </c:pt>
              <c:pt idx="13">
                <c:v>Conséqces perso</c:v>
              </c:pt>
              <c:pt idx="14">
                <c:v>Attentes clients</c:v>
              </c:pt>
              <c:pt idx="15">
                <c:v>Couverture besoins</c:v>
              </c:pt>
              <c:pt idx="16">
                <c:v>0</c:v>
              </c:pt>
              <c:pt idx="17">
                <c:v>Motivations achat</c:v>
              </c:pt>
              <c:pt idx="18">
                <c:v>Process achat</c:v>
              </c:pt>
              <c:pt idx="19">
                <c:v>Mapping des acteurs</c:v>
              </c:pt>
              <c:pt idx="20">
                <c:v>Messages ciblés</c:v>
              </c:pt>
              <c:pt idx="21">
                <c:v>Déclencheurs</c:v>
              </c:pt>
              <c:pt idx="22">
                <c:v>Concurrence</c:v>
              </c:pt>
              <c:pt idx="23">
                <c:v>Source contact</c:v>
              </c:pt>
              <c:pt idx="24">
                <c:v>Satisfaction</c:v>
              </c:pt>
              <c:pt idx="25">
                <c:v>0</c:v>
              </c:pt>
              <c:pt idx="26">
                <c:v>Utilsateurs</c:v>
              </c:pt>
              <c:pt idx="27">
                <c:v>Organisation</c:v>
              </c:pt>
              <c:pt idx="28">
                <c:v>Mesure</c:v>
              </c:pt>
              <c:pt idx="29">
                <c:v>Top fonctionnalités</c:v>
              </c:pt>
              <c:pt idx="30">
                <c:v>Durée utilisation</c:v>
              </c:pt>
              <c:pt idx="31">
                <c:v>Moment</c:v>
              </c:pt>
              <c:pt idx="32">
                <c:v>Relation autres produits</c:v>
              </c:pt>
              <c:pt idx="33">
                <c:v>Intégré ou autonome</c:v>
              </c:pt>
              <c:pt idx="34">
                <c:v>Process</c:v>
              </c:pt>
              <c:pt idx="35">
                <c:v>Indicateurs</c:v>
              </c:pt>
              <c:pt idx="36">
                <c:v>Points forts</c:v>
              </c:pt>
              <c:pt idx="37">
                <c:v>Points faibles</c:v>
              </c:pt>
              <c:pt idx="38">
                <c:v>Attentes</c:v>
              </c:pt>
              <c:pt idx="39">
                <c:v>Satisfaction</c:v>
              </c:pt>
              <c:pt idx="40">
                <c:v>Niveau d'écoute</c:v>
              </c:pt>
              <c:pt idx="41">
                <c:v>0</c:v>
              </c:pt>
              <c:pt idx="42">
                <c:v>Profil clients</c:v>
              </c:pt>
              <c:pt idx="43">
                <c:v>Pitch société</c:v>
              </c:pt>
              <c:pt idx="44">
                <c:v>Pitch produit</c:v>
              </c:pt>
              <c:pt idx="45">
                <c:v>Différenciateurs</c:v>
              </c:pt>
              <c:pt idx="46">
                <c:v>Singularités</c:v>
              </c:pt>
              <c:pt idx="47">
                <c:v>ROI / TCO</c:v>
              </c:pt>
              <c:pt idx="48">
                <c:v>Biz case client</c:v>
              </c:pt>
              <c:pt idx="49">
                <c:v>0</c:v>
              </c:pt>
            </c:strLit>
          </c:cat>
          <c:val>
            <c:numLit>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Lit>
          </c:val>
          <c:extLst>
            <c:ext xmlns:c16="http://schemas.microsoft.com/office/drawing/2014/chart" uri="{C3380CC4-5D6E-409C-BE32-E72D297353CC}">
              <c16:uniqueId val="{00000000-8C24-4F43-8852-CD307702B636}"/>
            </c:ext>
          </c:extLst>
        </c:ser>
        <c:ser>
          <c:idx val="1"/>
          <c:order val="1"/>
          <c:marker>
            <c:symbol val="none"/>
          </c:marker>
          <c:cat>
            <c:strLit>
              <c:ptCount val="50"/>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0</c:v>
              </c:pt>
              <c:pt idx="9">
                <c:v>Maîtrise du Besoin critique</c:v>
              </c:pt>
              <c:pt idx="10">
                <c:v>Pour qui ?</c:v>
              </c:pt>
              <c:pt idx="11">
                <c:v>Peines</c:v>
              </c:pt>
              <c:pt idx="12">
                <c:v>Conséqces business</c:v>
              </c:pt>
              <c:pt idx="13">
                <c:v>Conséqces perso</c:v>
              </c:pt>
              <c:pt idx="14">
                <c:v>Attentes clients</c:v>
              </c:pt>
              <c:pt idx="15">
                <c:v>Couverture besoins</c:v>
              </c:pt>
              <c:pt idx="16">
                <c:v>0</c:v>
              </c:pt>
              <c:pt idx="17">
                <c:v>Motivations achat</c:v>
              </c:pt>
              <c:pt idx="18">
                <c:v>Process achat</c:v>
              </c:pt>
              <c:pt idx="19">
                <c:v>Mapping des acteurs</c:v>
              </c:pt>
              <c:pt idx="20">
                <c:v>Messages ciblés</c:v>
              </c:pt>
              <c:pt idx="21">
                <c:v>Déclencheurs</c:v>
              </c:pt>
              <c:pt idx="22">
                <c:v>Concurrence</c:v>
              </c:pt>
              <c:pt idx="23">
                <c:v>Source contact</c:v>
              </c:pt>
              <c:pt idx="24">
                <c:v>Satisfaction</c:v>
              </c:pt>
              <c:pt idx="25">
                <c:v>0</c:v>
              </c:pt>
              <c:pt idx="26">
                <c:v>Utilsateurs</c:v>
              </c:pt>
              <c:pt idx="27">
                <c:v>Organisation</c:v>
              </c:pt>
              <c:pt idx="28">
                <c:v>Mesure</c:v>
              </c:pt>
              <c:pt idx="29">
                <c:v>Top fonctionnalités</c:v>
              </c:pt>
              <c:pt idx="30">
                <c:v>Durée utilisation</c:v>
              </c:pt>
              <c:pt idx="31">
                <c:v>Moment</c:v>
              </c:pt>
              <c:pt idx="32">
                <c:v>Relation autres produits</c:v>
              </c:pt>
              <c:pt idx="33">
                <c:v>Intégré ou autonome</c:v>
              </c:pt>
              <c:pt idx="34">
                <c:v>Process</c:v>
              </c:pt>
              <c:pt idx="35">
                <c:v>Indicateurs</c:v>
              </c:pt>
              <c:pt idx="36">
                <c:v>Points forts</c:v>
              </c:pt>
              <c:pt idx="37">
                <c:v>Points faibles</c:v>
              </c:pt>
              <c:pt idx="38">
                <c:v>Attentes</c:v>
              </c:pt>
              <c:pt idx="39">
                <c:v>Satisfaction</c:v>
              </c:pt>
              <c:pt idx="40">
                <c:v>Niveau d'écoute</c:v>
              </c:pt>
              <c:pt idx="41">
                <c:v>0</c:v>
              </c:pt>
              <c:pt idx="42">
                <c:v>Profil clients</c:v>
              </c:pt>
              <c:pt idx="43">
                <c:v>Pitch société</c:v>
              </c:pt>
              <c:pt idx="44">
                <c:v>Pitch produit</c:v>
              </c:pt>
              <c:pt idx="45">
                <c:v>Différenciateurs</c:v>
              </c:pt>
              <c:pt idx="46">
                <c:v>Singularités</c:v>
              </c:pt>
              <c:pt idx="47">
                <c:v>ROI / TCO</c:v>
              </c:pt>
              <c:pt idx="48">
                <c:v>Biz case client</c:v>
              </c:pt>
              <c:pt idx="49">
                <c:v>0</c:v>
              </c:pt>
            </c:strLit>
          </c:cat>
          <c:val>
            <c:numLit>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Lit>
          </c:val>
          <c:extLst>
            <c:ext xmlns:c16="http://schemas.microsoft.com/office/drawing/2014/chart" uri="{C3380CC4-5D6E-409C-BE32-E72D297353CC}">
              <c16:uniqueId val="{00000001-8C24-4F43-8852-CD307702B636}"/>
            </c:ext>
          </c:extLst>
        </c:ser>
        <c:ser>
          <c:idx val="2"/>
          <c:order val="2"/>
          <c:marker>
            <c:symbol val="none"/>
          </c:marker>
          <c:cat>
            <c:strLit>
              <c:ptCount val="50"/>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0</c:v>
              </c:pt>
              <c:pt idx="9">
                <c:v>Maîtrise du Besoin critique</c:v>
              </c:pt>
              <c:pt idx="10">
                <c:v>Pour qui ?</c:v>
              </c:pt>
              <c:pt idx="11">
                <c:v>Peines</c:v>
              </c:pt>
              <c:pt idx="12">
                <c:v>Conséqces business</c:v>
              </c:pt>
              <c:pt idx="13">
                <c:v>Conséqces perso</c:v>
              </c:pt>
              <c:pt idx="14">
                <c:v>Attentes clients</c:v>
              </c:pt>
              <c:pt idx="15">
                <c:v>Couverture besoins</c:v>
              </c:pt>
              <c:pt idx="16">
                <c:v>0</c:v>
              </c:pt>
              <c:pt idx="17">
                <c:v>Motivations achat</c:v>
              </c:pt>
              <c:pt idx="18">
                <c:v>Process achat</c:v>
              </c:pt>
              <c:pt idx="19">
                <c:v>Mapping des acteurs</c:v>
              </c:pt>
              <c:pt idx="20">
                <c:v>Messages ciblés</c:v>
              </c:pt>
              <c:pt idx="21">
                <c:v>Déclencheurs</c:v>
              </c:pt>
              <c:pt idx="22">
                <c:v>Concurrence</c:v>
              </c:pt>
              <c:pt idx="23">
                <c:v>Source contact</c:v>
              </c:pt>
              <c:pt idx="24">
                <c:v>Satisfaction</c:v>
              </c:pt>
              <c:pt idx="25">
                <c:v>0</c:v>
              </c:pt>
              <c:pt idx="26">
                <c:v>Utilsateurs</c:v>
              </c:pt>
              <c:pt idx="27">
                <c:v>Organisation</c:v>
              </c:pt>
              <c:pt idx="28">
                <c:v>Mesure</c:v>
              </c:pt>
              <c:pt idx="29">
                <c:v>Top fonctionnalités</c:v>
              </c:pt>
              <c:pt idx="30">
                <c:v>Durée utilisation</c:v>
              </c:pt>
              <c:pt idx="31">
                <c:v>Moment</c:v>
              </c:pt>
              <c:pt idx="32">
                <c:v>Relation autres produits</c:v>
              </c:pt>
              <c:pt idx="33">
                <c:v>Intégré ou autonome</c:v>
              </c:pt>
              <c:pt idx="34">
                <c:v>Process</c:v>
              </c:pt>
              <c:pt idx="35">
                <c:v>Indicateurs</c:v>
              </c:pt>
              <c:pt idx="36">
                <c:v>Points forts</c:v>
              </c:pt>
              <c:pt idx="37">
                <c:v>Points faibles</c:v>
              </c:pt>
              <c:pt idx="38">
                <c:v>Attentes</c:v>
              </c:pt>
              <c:pt idx="39">
                <c:v>Satisfaction</c:v>
              </c:pt>
              <c:pt idx="40">
                <c:v>Niveau d'écoute</c:v>
              </c:pt>
              <c:pt idx="41">
                <c:v>0</c:v>
              </c:pt>
              <c:pt idx="42">
                <c:v>Profil clients</c:v>
              </c:pt>
              <c:pt idx="43">
                <c:v>Pitch société</c:v>
              </c:pt>
              <c:pt idx="44">
                <c:v>Pitch produit</c:v>
              </c:pt>
              <c:pt idx="45">
                <c:v>Différenciateurs</c:v>
              </c:pt>
              <c:pt idx="46">
                <c:v>Singularités</c:v>
              </c:pt>
              <c:pt idx="47">
                <c:v>ROI / TCO</c:v>
              </c:pt>
              <c:pt idx="48">
                <c:v>Biz case client</c:v>
              </c:pt>
              <c:pt idx="49">
                <c:v>0</c:v>
              </c:pt>
            </c:strLit>
          </c:cat>
          <c:val>
            <c:numLit>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Lit>
          </c:val>
          <c:extLst>
            <c:ext xmlns:c16="http://schemas.microsoft.com/office/drawing/2014/chart" uri="{C3380CC4-5D6E-409C-BE32-E72D297353CC}">
              <c16:uniqueId val="{00000002-8C24-4F43-8852-CD307702B636}"/>
            </c:ext>
          </c:extLst>
        </c:ser>
        <c:dLbls>
          <c:showLegendKey val="0"/>
          <c:showVal val="0"/>
          <c:showCatName val="0"/>
          <c:showSerName val="0"/>
          <c:showPercent val="0"/>
          <c:showBubbleSize val="0"/>
        </c:dLbls>
        <c:axId val="563121984"/>
        <c:axId val="563124160"/>
      </c:radarChart>
      <c:catAx>
        <c:axId val="563121984"/>
        <c:scaling>
          <c:orientation val="minMax"/>
        </c:scaling>
        <c:delete val="0"/>
        <c:axPos val="b"/>
        <c:majorGridlines/>
        <c:numFmt formatCode="General" sourceLinked="0"/>
        <c:majorTickMark val="none"/>
        <c:minorTickMark val="none"/>
        <c:tickLblPos val="nextTo"/>
        <c:spPr>
          <a:ln w="9525">
            <a:noFill/>
          </a:ln>
        </c:spPr>
        <c:crossAx val="563124160"/>
        <c:crosses val="autoZero"/>
        <c:auto val="1"/>
        <c:lblAlgn val="ctr"/>
        <c:lblOffset val="100"/>
        <c:noMultiLvlLbl val="0"/>
      </c:catAx>
      <c:valAx>
        <c:axId val="563124160"/>
        <c:scaling>
          <c:orientation val="minMax"/>
        </c:scaling>
        <c:delete val="0"/>
        <c:axPos val="l"/>
        <c:majorGridlines/>
        <c:numFmt formatCode="General" sourceLinked="1"/>
        <c:majorTickMark val="none"/>
        <c:minorTickMark val="none"/>
        <c:tickLblPos val="nextTo"/>
        <c:crossAx val="563121984"/>
        <c:crosses val="autoZero"/>
        <c:crossBetween val="between"/>
      </c:valAx>
    </c:plotArea>
    <c:plotVisOnly val="1"/>
    <c:dispBlanksAs val="gap"/>
    <c:showDLblsOverMax val="0"/>
  </c:chart>
  <c:spPr>
    <a:gradFill>
      <a:gsLst>
        <a:gs pos="3000">
          <a:srgbClr val="DDEBCF"/>
        </a:gs>
        <a:gs pos="100000">
          <a:srgbClr val="9CB86E"/>
        </a:gs>
        <a:gs pos="100000">
          <a:srgbClr val="156B13"/>
        </a:gs>
      </a:gsLst>
      <a:lin ang="5400000" scaled="0"/>
    </a:gradFill>
    <a:ln w="25400">
      <a:solidFill>
        <a:srgbClr val="C00000"/>
      </a:solid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Ecarts . Channel</a:t>
            </a:r>
            <a:r>
              <a:rPr lang="fr-FR" baseline="0"/>
              <a:t> Ready ? </a:t>
            </a:r>
            <a:endParaRPr lang="fr-FR"/>
          </a:p>
        </c:rich>
      </c:tx>
      <c:overlay val="0"/>
    </c:title>
    <c:autoTitleDeleted val="0"/>
    <c:plotArea>
      <c:layout/>
      <c:radarChart>
        <c:radarStyle val="marker"/>
        <c:varyColors val="0"/>
        <c:ser>
          <c:idx val="0"/>
          <c:order val="0"/>
          <c:marker>
            <c:symbol val="none"/>
          </c:marker>
          <c:cat>
            <c:strLit>
              <c:ptCount val="41"/>
              <c:pt idx="0">
                <c:v>Modernité, stabilité et évolution contrôlée de la technologie utilisée 0 0 0</c:v>
              </c:pt>
              <c:pt idx="1">
                <c:v>Différenciations techniques avec les concurrents 0 0 0</c:v>
              </c:pt>
              <c:pt idx="2">
                <c:v>Robustesse de la solution 0 0 0</c:v>
              </c:pt>
              <c:pt idx="3">
                <c:v>Respect des standards / normes du marché 0 0 0</c:v>
              </c:pt>
              <c:pt idx="4">
                <c:v>Modularité et "scalabilité " 0 0 0</c:v>
              </c:pt>
              <c:pt idx="5">
                <c:v>Criticité des bogues 0 0 0</c:v>
              </c:pt>
              <c:pt idx="6">
                <c:v>Scope et Complétude fonctionnelle de la solution vs les besoins 0 0 0</c:v>
              </c:pt>
              <c:pt idx="7">
                <c:v>Interopérabilité avec d'autres solutions 0 0 0</c:v>
              </c:pt>
              <c:pt idx="8">
                <c:v>Facilité d'intégration avec le SI client 0 0 0</c:v>
              </c:pt>
              <c:pt idx="9">
                <c:v>Performances d'affichage 0 0 0</c:v>
              </c:pt>
              <c:pt idx="10">
                <c:v>Niveaux de sécurité 0 0 0</c:v>
              </c:pt>
              <c:pt idx="11">
                <c:v>Convivialité du dialogue Homme-Machine 0 0 0</c:v>
              </c:pt>
              <c:pt idx="12">
                <c:v>0 0 0 0</c:v>
              </c:pt>
              <c:pt idx="13">
                <c:v>Facilité de MAJ des nouvelles versions 0 0 0</c:v>
              </c:pt>
              <c:pt idx="14">
                <c:v>Facilité de support effectué par le partenaire 0 0 0</c:v>
              </c:pt>
              <c:pt idx="15">
                <c:v>Facilité de déployement en multisites 0 0 0</c:v>
              </c:pt>
              <c:pt idx="16">
                <c:v>Facilité d'Installation du logiciel 0 0 0</c:v>
              </c:pt>
              <c:pt idx="17">
                <c:v>Facilité de démarrage pour un client 0 0 0</c:v>
              </c:pt>
              <c:pt idx="18">
                <c:v>Facilité de formation d'un client 0 0 0</c:v>
              </c:pt>
              <c:pt idx="19">
                <c:v>Facilité de personnalisation / paramétrage d'un client 0 0 0</c:v>
              </c:pt>
              <c:pt idx="20">
                <c:v>Facilité d'apprentissage pour un commercial  0 0 0</c:v>
              </c:pt>
              <c:pt idx="21">
                <c:v>Efficacité de la formation pour les commerciaux des partenaires 0 0 0</c:v>
              </c:pt>
              <c:pt idx="22">
                <c:v>Facilité d'intégration avec le SI des clients 0 0 0</c:v>
              </c:pt>
              <c:pt idx="23">
                <c:v>0 0 0 0</c:v>
              </c:pt>
              <c:pt idx="24">
                <c:v>Documentation ( tech  ) pour les partenaires 0 0 0</c:v>
              </c:pt>
              <c:pt idx="25">
                <c:v>Niveau d'assistance sur les 1° affaires 0 0 0</c:v>
              </c:pt>
              <c:pt idx="26">
                <c:v>Besoin d'assistance sur les 3 premières affaires 0 0 0</c:v>
              </c:pt>
              <c:pt idx="27">
                <c:v>Facilité de localisation de la solution 0 0 0</c:v>
              </c:pt>
              <c:pt idx="28">
                <c:v>Multilangues 0 0 0</c:v>
              </c:pt>
              <c:pt idx="29">
                <c:v>Documentation en langues étrangères 0 0 0</c:v>
              </c:pt>
              <c:pt idx="30">
                <c:v>Qualité et réactivité du support envers les partenaires  0 0 0</c:v>
              </c:pt>
              <c:pt idx="31">
                <c:v>Escalades process 0 0 0</c:v>
              </c:pt>
              <c:pt idx="32">
                <c:v>0 0 0 0</c:v>
              </c:pt>
              <c:pt idx="33">
                <c:v>Références clients visitables 0 0 0</c:v>
              </c:pt>
              <c:pt idx="34">
                <c:v>Positionnement du prix liste officielle 0 0 0</c:v>
              </c:pt>
              <c:pt idx="35">
                <c:v>Souplesse adaptation du pricing 0 0 0</c:v>
              </c:pt>
              <c:pt idx="36">
                <c:v>Niveau de Commission aux partenaires 0 0 0</c:v>
              </c:pt>
              <c:pt idx="37">
                <c:v>Opportunités de Revenu additionnel pour les partenaires 0 0 0</c:v>
              </c:pt>
              <c:pt idx="38">
                <c:v>Acceptation du canal Partenaire par les clients 0 0 0</c:v>
              </c:pt>
              <c:pt idx="39">
                <c:v>Niveau de notoriété du produit 0 0 0</c:v>
              </c:pt>
              <c:pt idx="40">
                <c:v>0 0 0 0</c:v>
              </c:pt>
            </c:strLit>
          </c:cat>
          <c:val>
            <c:numLit>
              <c:formatCode>General</c:formatCode>
              <c:ptCount val="41"/>
              <c:pt idx="0">
                <c:v>6</c:v>
              </c:pt>
              <c:pt idx="1">
                <c:v>7</c:v>
              </c:pt>
              <c:pt idx="2">
                <c:v>6</c:v>
              </c:pt>
              <c:pt idx="3">
                <c:v>8</c:v>
              </c:pt>
              <c:pt idx="4">
                <c:v>9</c:v>
              </c:pt>
              <c:pt idx="5">
                <c:v>7</c:v>
              </c:pt>
              <c:pt idx="6">
                <c:v>8</c:v>
              </c:pt>
              <c:pt idx="7">
                <c:v>7</c:v>
              </c:pt>
              <c:pt idx="8">
                <c:v>7</c:v>
              </c:pt>
              <c:pt idx="9">
                <c:v>8</c:v>
              </c:pt>
              <c:pt idx="10">
                <c:v>8</c:v>
              </c:pt>
              <c:pt idx="11">
                <c:v>8</c:v>
              </c:pt>
              <c:pt idx="12">
                <c:v>0</c:v>
              </c:pt>
              <c:pt idx="13">
                <c:v>9</c:v>
              </c:pt>
              <c:pt idx="14">
                <c:v>0</c:v>
              </c:pt>
              <c:pt idx="15">
                <c:v>10</c:v>
              </c:pt>
              <c:pt idx="16">
                <c:v>10</c:v>
              </c:pt>
              <c:pt idx="17">
                <c:v>9</c:v>
              </c:pt>
              <c:pt idx="18">
                <c:v>9</c:v>
              </c:pt>
              <c:pt idx="19">
                <c:v>9</c:v>
              </c:pt>
              <c:pt idx="20">
                <c:v>7</c:v>
              </c:pt>
              <c:pt idx="21">
                <c:v>6</c:v>
              </c:pt>
              <c:pt idx="22">
                <c:v>8</c:v>
              </c:pt>
              <c:pt idx="23">
                <c:v>0</c:v>
              </c:pt>
              <c:pt idx="24">
                <c:v>7</c:v>
              </c:pt>
              <c:pt idx="25">
                <c:v>9</c:v>
              </c:pt>
              <c:pt idx="26">
                <c:v>9</c:v>
              </c:pt>
              <c:pt idx="27">
                <c:v>8</c:v>
              </c:pt>
              <c:pt idx="28">
                <c:v>9</c:v>
              </c:pt>
              <c:pt idx="29">
                <c:v>8</c:v>
              </c:pt>
              <c:pt idx="30">
                <c:v>7</c:v>
              </c:pt>
              <c:pt idx="31">
                <c:v>9</c:v>
              </c:pt>
              <c:pt idx="32">
                <c:v>0</c:v>
              </c:pt>
              <c:pt idx="33">
                <c:v>9</c:v>
              </c:pt>
              <c:pt idx="34">
                <c:v>8</c:v>
              </c:pt>
              <c:pt idx="35">
                <c:v>8</c:v>
              </c:pt>
              <c:pt idx="36">
                <c:v>9</c:v>
              </c:pt>
              <c:pt idx="37">
                <c:v>8</c:v>
              </c:pt>
              <c:pt idx="38">
                <c:v>9</c:v>
              </c:pt>
              <c:pt idx="39">
                <c:v>8</c:v>
              </c:pt>
              <c:pt idx="40">
                <c:v>0</c:v>
              </c:pt>
            </c:numLit>
          </c:val>
          <c:extLst>
            <c:ext xmlns:c16="http://schemas.microsoft.com/office/drawing/2014/chart" uri="{C3380CC4-5D6E-409C-BE32-E72D297353CC}">
              <c16:uniqueId val="{00000000-645F-4869-ACCA-DB0CEE98E8B6}"/>
            </c:ext>
          </c:extLst>
        </c:ser>
        <c:ser>
          <c:idx val="1"/>
          <c:order val="1"/>
          <c:marker>
            <c:symbol val="none"/>
          </c:marker>
          <c:cat>
            <c:strLit>
              <c:ptCount val="41"/>
              <c:pt idx="0">
                <c:v>Modernité, stabilité et évolution contrôlée de la technologie utilisée 0 0 0</c:v>
              </c:pt>
              <c:pt idx="1">
                <c:v>Différenciations techniques avec les concurrents 0 0 0</c:v>
              </c:pt>
              <c:pt idx="2">
                <c:v>Robustesse de la solution 0 0 0</c:v>
              </c:pt>
              <c:pt idx="3">
                <c:v>Respect des standards / normes du marché 0 0 0</c:v>
              </c:pt>
              <c:pt idx="4">
                <c:v>Modularité et "scalabilité " 0 0 0</c:v>
              </c:pt>
              <c:pt idx="5">
                <c:v>Criticité des bogues 0 0 0</c:v>
              </c:pt>
              <c:pt idx="6">
                <c:v>Scope et Complétude fonctionnelle de la solution vs les besoins 0 0 0</c:v>
              </c:pt>
              <c:pt idx="7">
                <c:v>Interopérabilité avec d'autres solutions 0 0 0</c:v>
              </c:pt>
              <c:pt idx="8">
                <c:v>Facilité d'intégration avec le SI client 0 0 0</c:v>
              </c:pt>
              <c:pt idx="9">
                <c:v>Performances d'affichage 0 0 0</c:v>
              </c:pt>
              <c:pt idx="10">
                <c:v>Niveaux de sécurité 0 0 0</c:v>
              </c:pt>
              <c:pt idx="11">
                <c:v>Convivialité du dialogue Homme-Machine 0 0 0</c:v>
              </c:pt>
              <c:pt idx="12">
                <c:v>0 0 0 0</c:v>
              </c:pt>
              <c:pt idx="13">
                <c:v>Facilité de MAJ des nouvelles versions 0 0 0</c:v>
              </c:pt>
              <c:pt idx="14">
                <c:v>Facilité de support effectué par le partenaire 0 0 0</c:v>
              </c:pt>
              <c:pt idx="15">
                <c:v>Facilité de déployement en multisites 0 0 0</c:v>
              </c:pt>
              <c:pt idx="16">
                <c:v>Facilité d'Installation du logiciel 0 0 0</c:v>
              </c:pt>
              <c:pt idx="17">
                <c:v>Facilité de démarrage pour un client 0 0 0</c:v>
              </c:pt>
              <c:pt idx="18">
                <c:v>Facilité de formation d'un client 0 0 0</c:v>
              </c:pt>
              <c:pt idx="19">
                <c:v>Facilité de personnalisation / paramétrage d'un client 0 0 0</c:v>
              </c:pt>
              <c:pt idx="20">
                <c:v>Facilité d'apprentissage pour un commercial  0 0 0</c:v>
              </c:pt>
              <c:pt idx="21">
                <c:v>Efficacité de la formation pour les commerciaux des partenaires 0 0 0</c:v>
              </c:pt>
              <c:pt idx="22">
                <c:v>Facilité d'intégration avec le SI des clients 0 0 0</c:v>
              </c:pt>
              <c:pt idx="23">
                <c:v>0 0 0 0</c:v>
              </c:pt>
              <c:pt idx="24">
                <c:v>Documentation ( tech  ) pour les partenaires 0 0 0</c:v>
              </c:pt>
              <c:pt idx="25">
                <c:v>Niveau d'assistance sur les 1° affaires 0 0 0</c:v>
              </c:pt>
              <c:pt idx="26">
                <c:v>Besoin d'assistance sur les 3 premières affaires 0 0 0</c:v>
              </c:pt>
              <c:pt idx="27">
                <c:v>Facilité de localisation de la solution 0 0 0</c:v>
              </c:pt>
              <c:pt idx="28">
                <c:v>Multilangues 0 0 0</c:v>
              </c:pt>
              <c:pt idx="29">
                <c:v>Documentation en langues étrangères 0 0 0</c:v>
              </c:pt>
              <c:pt idx="30">
                <c:v>Qualité et réactivité du support envers les partenaires  0 0 0</c:v>
              </c:pt>
              <c:pt idx="31">
                <c:v>Escalades process 0 0 0</c:v>
              </c:pt>
              <c:pt idx="32">
                <c:v>0 0 0 0</c:v>
              </c:pt>
              <c:pt idx="33">
                <c:v>Références clients visitables 0 0 0</c:v>
              </c:pt>
              <c:pt idx="34">
                <c:v>Positionnement du prix liste officielle 0 0 0</c:v>
              </c:pt>
              <c:pt idx="35">
                <c:v>Souplesse adaptation du pricing 0 0 0</c:v>
              </c:pt>
              <c:pt idx="36">
                <c:v>Niveau de Commission aux partenaires 0 0 0</c:v>
              </c:pt>
              <c:pt idx="37">
                <c:v>Opportunités de Revenu additionnel pour les partenaires 0 0 0</c:v>
              </c:pt>
              <c:pt idx="38">
                <c:v>Acceptation du canal Partenaire par les clients 0 0 0</c:v>
              </c:pt>
              <c:pt idx="39">
                <c:v>Niveau de notoriété du produit 0 0 0</c:v>
              </c:pt>
              <c:pt idx="40">
                <c:v>0 0 0 0</c:v>
              </c:pt>
            </c:strLit>
          </c:cat>
          <c:val>
            <c:numLit>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Lit>
          </c:val>
          <c:extLst>
            <c:ext xmlns:c16="http://schemas.microsoft.com/office/drawing/2014/chart" uri="{C3380CC4-5D6E-409C-BE32-E72D297353CC}">
              <c16:uniqueId val="{00000001-645F-4869-ACCA-DB0CEE98E8B6}"/>
            </c:ext>
          </c:extLst>
        </c:ser>
        <c:dLbls>
          <c:showLegendKey val="0"/>
          <c:showVal val="0"/>
          <c:showCatName val="0"/>
          <c:showSerName val="0"/>
          <c:showPercent val="0"/>
          <c:showBubbleSize val="0"/>
        </c:dLbls>
        <c:axId val="563130144"/>
        <c:axId val="563136672"/>
      </c:radarChart>
      <c:catAx>
        <c:axId val="563130144"/>
        <c:scaling>
          <c:orientation val="minMax"/>
        </c:scaling>
        <c:delete val="0"/>
        <c:axPos val="b"/>
        <c:majorGridlines/>
        <c:numFmt formatCode="General" sourceLinked="0"/>
        <c:majorTickMark val="none"/>
        <c:minorTickMark val="none"/>
        <c:tickLblPos val="nextTo"/>
        <c:spPr>
          <a:ln w="9525">
            <a:noFill/>
          </a:ln>
        </c:spPr>
        <c:crossAx val="563136672"/>
        <c:crosses val="autoZero"/>
        <c:auto val="1"/>
        <c:lblAlgn val="ctr"/>
        <c:lblOffset val="100"/>
        <c:noMultiLvlLbl val="0"/>
      </c:catAx>
      <c:valAx>
        <c:axId val="563136672"/>
        <c:scaling>
          <c:orientation val="minMax"/>
        </c:scaling>
        <c:delete val="0"/>
        <c:axPos val="l"/>
        <c:majorGridlines/>
        <c:numFmt formatCode="General" sourceLinked="1"/>
        <c:majorTickMark val="none"/>
        <c:minorTickMark val="none"/>
        <c:tickLblPos val="nextTo"/>
        <c:crossAx val="563130144"/>
        <c:crosses val="autoZero"/>
        <c:crossBetween val="between"/>
      </c:valAx>
    </c:plotArea>
    <c:plotVisOnly val="1"/>
    <c:dispBlanksAs val="gap"/>
    <c:showDLblsOverMax val="0"/>
  </c:chart>
  <c:spPr>
    <a:gradFill>
      <a:gsLst>
        <a:gs pos="0">
          <a:srgbClr val="DDEBCF"/>
        </a:gs>
        <a:gs pos="100000">
          <a:srgbClr val="9CB86E"/>
        </a:gs>
        <a:gs pos="100000">
          <a:srgbClr val="156B13"/>
        </a:gs>
      </a:gsLst>
      <a:lin ang="5400000" scaled="0"/>
    </a:gradFill>
    <a:ln w="38100">
      <a:solidFill>
        <a:srgbClr val="C00000"/>
      </a:solid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Channel ready ? </a:t>
            </a:r>
          </a:p>
        </c:rich>
      </c:tx>
      <c:overlay val="0"/>
    </c:title>
    <c:autoTitleDeleted val="0"/>
    <c:plotArea>
      <c:layout/>
      <c:radarChart>
        <c:radarStyle val="marker"/>
        <c:varyColors val="0"/>
        <c:ser>
          <c:idx val="0"/>
          <c:order val="0"/>
          <c:marker>
            <c:symbol val="none"/>
          </c:marker>
          <c:cat>
            <c:strLit>
              <c:ptCount val="41"/>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0</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3">
                <c:v>0</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2">
                <c:v>0</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pt idx="40">
                <c:v>0</c:v>
              </c:pt>
            </c:strLit>
          </c:cat>
          <c:val>
            <c:numLit>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Lit>
          </c:val>
          <c:extLst>
            <c:ext xmlns:c16="http://schemas.microsoft.com/office/drawing/2014/chart" uri="{C3380CC4-5D6E-409C-BE32-E72D297353CC}">
              <c16:uniqueId val="{00000000-AE51-4792-B7BB-B28F4AD8FA7A}"/>
            </c:ext>
          </c:extLst>
        </c:ser>
        <c:ser>
          <c:idx val="1"/>
          <c:order val="1"/>
          <c:marker>
            <c:symbol val="none"/>
          </c:marker>
          <c:cat>
            <c:strLit>
              <c:ptCount val="41"/>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0</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3">
                <c:v>0</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2">
                <c:v>0</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pt idx="40">
                <c:v>0</c:v>
              </c:pt>
            </c:strLit>
          </c:cat>
          <c:val>
            <c:numLit>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Lit>
          </c:val>
          <c:extLst>
            <c:ext xmlns:c16="http://schemas.microsoft.com/office/drawing/2014/chart" uri="{C3380CC4-5D6E-409C-BE32-E72D297353CC}">
              <c16:uniqueId val="{00000001-AE51-4792-B7BB-B28F4AD8FA7A}"/>
            </c:ext>
          </c:extLst>
        </c:ser>
        <c:ser>
          <c:idx val="2"/>
          <c:order val="2"/>
          <c:marker>
            <c:symbol val="none"/>
          </c:marker>
          <c:cat>
            <c:strLit>
              <c:ptCount val="41"/>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0</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3">
                <c:v>0</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2">
                <c:v>0</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pt idx="40">
                <c:v>0</c:v>
              </c:pt>
            </c:strLit>
          </c:cat>
          <c:val>
            <c:numLit>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Lit>
          </c:val>
          <c:extLst>
            <c:ext xmlns:c16="http://schemas.microsoft.com/office/drawing/2014/chart" uri="{C3380CC4-5D6E-409C-BE32-E72D297353CC}">
              <c16:uniqueId val="{00000002-AE51-4792-B7BB-B28F4AD8FA7A}"/>
            </c:ext>
          </c:extLst>
        </c:ser>
        <c:ser>
          <c:idx val="3"/>
          <c:order val="3"/>
          <c:marker>
            <c:symbol val="none"/>
          </c:marker>
          <c:cat>
            <c:strLit>
              <c:ptCount val="41"/>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0</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3">
                <c:v>0</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2">
                <c:v>0</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pt idx="40">
                <c:v>0</c:v>
              </c:pt>
            </c:strLit>
          </c:cat>
          <c:val>
            <c:numLit>
              <c:formatCode>General</c:formatCode>
              <c:ptCount val="41"/>
              <c:pt idx="0">
                <c:v>6</c:v>
              </c:pt>
              <c:pt idx="1">
                <c:v>7</c:v>
              </c:pt>
              <c:pt idx="2">
                <c:v>6</c:v>
              </c:pt>
              <c:pt idx="3">
                <c:v>8</c:v>
              </c:pt>
              <c:pt idx="4">
                <c:v>9</c:v>
              </c:pt>
              <c:pt idx="5">
                <c:v>7</c:v>
              </c:pt>
              <c:pt idx="6">
                <c:v>8</c:v>
              </c:pt>
              <c:pt idx="7">
                <c:v>7</c:v>
              </c:pt>
              <c:pt idx="8">
                <c:v>7</c:v>
              </c:pt>
              <c:pt idx="9">
                <c:v>8</c:v>
              </c:pt>
              <c:pt idx="10">
                <c:v>8</c:v>
              </c:pt>
              <c:pt idx="11">
                <c:v>8</c:v>
              </c:pt>
              <c:pt idx="12">
                <c:v>0</c:v>
              </c:pt>
              <c:pt idx="13">
                <c:v>9</c:v>
              </c:pt>
              <c:pt idx="14">
                <c:v>0</c:v>
              </c:pt>
              <c:pt idx="15">
                <c:v>10</c:v>
              </c:pt>
              <c:pt idx="16">
                <c:v>10</c:v>
              </c:pt>
              <c:pt idx="17">
                <c:v>9</c:v>
              </c:pt>
              <c:pt idx="18">
                <c:v>9</c:v>
              </c:pt>
              <c:pt idx="19">
                <c:v>9</c:v>
              </c:pt>
              <c:pt idx="20">
                <c:v>7</c:v>
              </c:pt>
              <c:pt idx="21">
                <c:v>6</c:v>
              </c:pt>
              <c:pt idx="22">
                <c:v>8</c:v>
              </c:pt>
              <c:pt idx="23">
                <c:v>0</c:v>
              </c:pt>
              <c:pt idx="24">
                <c:v>7</c:v>
              </c:pt>
              <c:pt idx="25">
                <c:v>9</c:v>
              </c:pt>
              <c:pt idx="26">
                <c:v>9</c:v>
              </c:pt>
              <c:pt idx="27">
                <c:v>8</c:v>
              </c:pt>
              <c:pt idx="28">
                <c:v>9</c:v>
              </c:pt>
              <c:pt idx="29">
                <c:v>8</c:v>
              </c:pt>
              <c:pt idx="30">
                <c:v>7</c:v>
              </c:pt>
              <c:pt idx="31">
                <c:v>9</c:v>
              </c:pt>
              <c:pt idx="32">
                <c:v>0</c:v>
              </c:pt>
              <c:pt idx="33">
                <c:v>9</c:v>
              </c:pt>
              <c:pt idx="34">
                <c:v>8</c:v>
              </c:pt>
              <c:pt idx="35">
                <c:v>8</c:v>
              </c:pt>
              <c:pt idx="36">
                <c:v>9</c:v>
              </c:pt>
              <c:pt idx="37">
                <c:v>8</c:v>
              </c:pt>
              <c:pt idx="38">
                <c:v>9</c:v>
              </c:pt>
              <c:pt idx="39">
                <c:v>8</c:v>
              </c:pt>
              <c:pt idx="40">
                <c:v>0</c:v>
              </c:pt>
            </c:numLit>
          </c:val>
          <c:extLst>
            <c:ext xmlns:c16="http://schemas.microsoft.com/office/drawing/2014/chart" uri="{C3380CC4-5D6E-409C-BE32-E72D297353CC}">
              <c16:uniqueId val="{00000003-AE51-4792-B7BB-B28F4AD8FA7A}"/>
            </c:ext>
          </c:extLst>
        </c:ser>
        <c:ser>
          <c:idx val="4"/>
          <c:order val="4"/>
          <c:marker>
            <c:symbol val="none"/>
          </c:marker>
          <c:cat>
            <c:strLit>
              <c:ptCount val="41"/>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0</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3">
                <c:v>0</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2">
                <c:v>0</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pt idx="40">
                <c:v>0</c:v>
              </c:pt>
            </c:strLit>
          </c:cat>
          <c:val>
            <c:numLit>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Lit>
          </c:val>
          <c:extLst>
            <c:ext xmlns:c16="http://schemas.microsoft.com/office/drawing/2014/chart" uri="{C3380CC4-5D6E-409C-BE32-E72D297353CC}">
              <c16:uniqueId val="{00000004-AE51-4792-B7BB-B28F4AD8FA7A}"/>
            </c:ext>
          </c:extLst>
        </c:ser>
        <c:ser>
          <c:idx val="5"/>
          <c:order val="5"/>
          <c:marker>
            <c:symbol val="none"/>
          </c:marker>
          <c:cat>
            <c:strLit>
              <c:ptCount val="41"/>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0</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3">
                <c:v>0</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2">
                <c:v>0</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pt idx="40">
                <c:v>0</c:v>
              </c:pt>
            </c:strLit>
          </c:cat>
          <c:val>
            <c:numLit>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Lit>
          </c:val>
          <c:extLst>
            <c:ext xmlns:c16="http://schemas.microsoft.com/office/drawing/2014/chart" uri="{C3380CC4-5D6E-409C-BE32-E72D297353CC}">
              <c16:uniqueId val="{00000005-AE51-4792-B7BB-B28F4AD8FA7A}"/>
            </c:ext>
          </c:extLst>
        </c:ser>
        <c:ser>
          <c:idx val="6"/>
          <c:order val="6"/>
          <c:marker>
            <c:symbol val="none"/>
          </c:marker>
          <c:cat>
            <c:strLit>
              <c:ptCount val="41"/>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c:v>
              </c:pt>
              <c:pt idx="10">
                <c:v>Niveaux de sécurité</c:v>
              </c:pt>
              <c:pt idx="11">
                <c:v>Convivialité du dialogue Homme-Machine</c:v>
              </c:pt>
              <c:pt idx="12">
                <c:v>0</c:v>
              </c:pt>
              <c:pt idx="13">
                <c:v>Facilité de MAJ des nouvelles versions</c:v>
              </c:pt>
              <c:pt idx="14">
                <c:v>Facilité de support effectué par le partenaire</c:v>
              </c:pt>
              <c:pt idx="15">
                <c:v>Facilité de déployement en multisites</c:v>
              </c:pt>
              <c:pt idx="16">
                <c:v>Facilité d'Installation du logiciel</c:v>
              </c:pt>
              <c:pt idx="17">
                <c:v>Facilité de démarrage pour un client</c:v>
              </c:pt>
              <c:pt idx="18">
                <c:v>Facilité de formation d'un client</c:v>
              </c:pt>
              <c:pt idx="19">
                <c:v>Facilité de personnalisation / paramétrage d'un client</c:v>
              </c:pt>
              <c:pt idx="20">
                <c:v>Facilité d'apprentissage pour un commercial </c:v>
              </c:pt>
              <c:pt idx="21">
                <c:v>Efficacité de la formation pour les commerciaux des partenaires</c:v>
              </c:pt>
              <c:pt idx="22">
                <c:v>Facilité d'intégration avec le SI des clients</c:v>
              </c:pt>
              <c:pt idx="23">
                <c:v>0</c:v>
              </c:pt>
              <c:pt idx="24">
                <c:v>Documentation ( tech  ) pour les partenaires</c:v>
              </c:pt>
              <c:pt idx="25">
                <c:v>Niveau d'assistance sur les 1° affaires</c:v>
              </c:pt>
              <c:pt idx="26">
                <c:v>Besoin d'assistance sur les 3 premières affaires</c:v>
              </c:pt>
              <c:pt idx="27">
                <c:v>Facilité de localisation de la solution</c:v>
              </c:pt>
              <c:pt idx="28">
                <c:v>Multilangues</c:v>
              </c:pt>
              <c:pt idx="29">
                <c:v>Documentation en langues étrangères</c:v>
              </c:pt>
              <c:pt idx="30">
                <c:v>Qualité et réactivité du support envers les partenaires </c:v>
              </c:pt>
              <c:pt idx="31">
                <c:v>Escalades process</c:v>
              </c:pt>
              <c:pt idx="32">
                <c:v>0</c:v>
              </c:pt>
              <c:pt idx="33">
                <c:v>Références clients visitables</c:v>
              </c:pt>
              <c:pt idx="34">
                <c:v>Positionnement du prix liste officielle</c:v>
              </c:pt>
              <c:pt idx="35">
                <c:v>Souplesse adaptation du pricing</c:v>
              </c:pt>
              <c:pt idx="36">
                <c:v>Niveau de Commission aux partenaires</c:v>
              </c:pt>
              <c:pt idx="37">
                <c:v>Opportunités de Revenu additionnel pour les partenaires</c:v>
              </c:pt>
              <c:pt idx="38">
                <c:v>Acceptation du canal Partenaire par les clients</c:v>
              </c:pt>
              <c:pt idx="39">
                <c:v>Niveau de notoriété du produit</c:v>
              </c:pt>
              <c:pt idx="40">
                <c:v>0</c:v>
              </c:pt>
            </c:strLit>
          </c:cat>
          <c:val>
            <c:numLit>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Lit>
          </c:val>
          <c:extLst>
            <c:ext xmlns:c16="http://schemas.microsoft.com/office/drawing/2014/chart" uri="{C3380CC4-5D6E-409C-BE32-E72D297353CC}">
              <c16:uniqueId val="{00000006-AE51-4792-B7BB-B28F4AD8FA7A}"/>
            </c:ext>
          </c:extLst>
        </c:ser>
        <c:dLbls>
          <c:showLegendKey val="0"/>
          <c:showVal val="0"/>
          <c:showCatName val="0"/>
          <c:showSerName val="0"/>
          <c:showPercent val="0"/>
          <c:showBubbleSize val="0"/>
        </c:dLbls>
        <c:axId val="780426288"/>
        <c:axId val="780434448"/>
      </c:radarChart>
      <c:catAx>
        <c:axId val="780426288"/>
        <c:scaling>
          <c:orientation val="minMax"/>
        </c:scaling>
        <c:delete val="0"/>
        <c:axPos val="b"/>
        <c:majorGridlines/>
        <c:numFmt formatCode="General" sourceLinked="0"/>
        <c:majorTickMark val="none"/>
        <c:minorTickMark val="none"/>
        <c:tickLblPos val="nextTo"/>
        <c:spPr>
          <a:ln w="9525">
            <a:noFill/>
          </a:ln>
        </c:spPr>
        <c:crossAx val="780434448"/>
        <c:crosses val="autoZero"/>
        <c:auto val="1"/>
        <c:lblAlgn val="ctr"/>
        <c:lblOffset val="100"/>
        <c:noMultiLvlLbl val="0"/>
      </c:catAx>
      <c:valAx>
        <c:axId val="780434448"/>
        <c:scaling>
          <c:orientation val="minMax"/>
        </c:scaling>
        <c:delete val="0"/>
        <c:axPos val="l"/>
        <c:majorGridlines/>
        <c:numFmt formatCode="General" sourceLinked="1"/>
        <c:majorTickMark val="none"/>
        <c:minorTickMark val="none"/>
        <c:tickLblPos val="nextTo"/>
        <c:crossAx val="780426288"/>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'08-VALUEAD4PARTNER-OFR3'!$H$6:$I$6</c:f>
              <c:strCache>
                <c:ptCount val="1"/>
                <c:pt idx="0">
                  <c:v>Canal 2</c:v>
                </c:pt>
              </c:strCache>
            </c:strRef>
          </c:tx>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('08-VALUEAD4PARTNER-OFR3'!$B$10:$B$18,'08-VALUEAD4PARTNER-OFR3'!$B$20:$B$33,'08-VALUEAD4PARTNER-OFR3'!$B$35:$B$40)</c:f>
              <c:numCache>
                <c:formatCode>General</c:formatCode>
                <c:ptCount val="29"/>
              </c:numCache>
            </c:numRef>
          </c:val>
          <c:extLst>
            <c:ext xmlns:c16="http://schemas.microsoft.com/office/drawing/2014/chart" uri="{C3380CC4-5D6E-409C-BE32-E72D297353CC}">
              <c16:uniqueId val="{00000000-2874-455C-9C8C-4EEB05277F4A}"/>
            </c:ext>
          </c:extLst>
        </c:ser>
        <c:ser>
          <c:idx val="1"/>
          <c:order val="1"/>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('08-VALUEAD4PARTNER-OFR3'!$C$10:$C$18,'08-VALUEAD4PARTNER-OFR3'!$C$20:$C$33,'08-VALUEAD4PARTNER-OFR3'!$C$35:$C$40)</c:f>
              <c:numCache>
                <c:formatCode>General</c:formatCode>
                <c:ptCount val="29"/>
              </c:numCache>
            </c:numRef>
          </c:val>
          <c:extLst>
            <c:ext xmlns:c16="http://schemas.microsoft.com/office/drawing/2014/chart" uri="{C3380CC4-5D6E-409C-BE32-E72D297353CC}">
              <c16:uniqueId val="{00000001-2874-455C-9C8C-4EEB05277F4A}"/>
            </c:ext>
          </c:extLst>
        </c:ser>
        <c:ser>
          <c:idx val="2"/>
          <c:order val="2"/>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('08-VALUEAD4PARTNER-OFR3'!$D$10:$D$18,'08-VALUEAD4PARTNER-OFR3'!$D$20:$D$33,'08-VALUEAD4PARTNER-OFR3'!$D$35:$D$40)</c:f>
              <c:numCache>
                <c:formatCode>General</c:formatCode>
                <c:ptCount val="29"/>
              </c:numCache>
            </c:numRef>
          </c:val>
          <c:extLst>
            <c:ext xmlns:c16="http://schemas.microsoft.com/office/drawing/2014/chart" uri="{C3380CC4-5D6E-409C-BE32-E72D297353CC}">
              <c16:uniqueId val="{00000002-2874-455C-9C8C-4EEB05277F4A}"/>
            </c:ext>
          </c:extLst>
        </c:ser>
        <c:ser>
          <c:idx val="3"/>
          <c:order val="3"/>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('08-VALUEAD4PARTNER-OFR3'!$E$10:$E$18,'08-VALUEAD4PARTNER-OFR3'!$E$20:$E$33,'08-VALUEAD4PARTNER-OFR3'!$E$35:$E$40)</c:f>
              <c:numCache>
                <c:formatCode>General</c:formatCode>
                <c:ptCount val="29"/>
              </c:numCache>
            </c:numRef>
          </c:val>
          <c:extLst>
            <c:ext xmlns:c16="http://schemas.microsoft.com/office/drawing/2014/chart" uri="{C3380CC4-5D6E-409C-BE32-E72D297353CC}">
              <c16:uniqueId val="{00000003-2874-455C-9C8C-4EEB05277F4A}"/>
            </c:ext>
          </c:extLst>
        </c:ser>
        <c:ser>
          <c:idx val="4"/>
          <c:order val="4"/>
          <c:spPr>
            <a:ln>
              <a:solidFill>
                <a:srgbClr val="C00000"/>
              </a:solidFill>
            </a:ln>
          </c:spPr>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('08-VALUEAD4PARTNER-OFR3'!$H$10:$H$18,'08-VALUEAD4PARTNER-OFR3'!$H$20:$H$33,'08-VALUEAD4PARTNER-OFR3'!$H$35:$H$40)</c:f>
              <c:numCache>
                <c:formatCode>General</c:formatCode>
                <c:ptCount val="29"/>
                <c:pt idx="8">
                  <c:v>0</c:v>
                </c:pt>
                <c:pt idx="22">
                  <c:v>0</c:v>
                </c:pt>
                <c:pt idx="28">
                  <c:v>0</c:v>
                </c:pt>
              </c:numCache>
            </c:numRef>
          </c:val>
          <c:extLst>
            <c:ext xmlns:c16="http://schemas.microsoft.com/office/drawing/2014/chart" uri="{C3380CC4-5D6E-409C-BE32-E72D297353CC}">
              <c16:uniqueId val="{00000004-2874-455C-9C8C-4EEB05277F4A}"/>
            </c:ext>
          </c:extLst>
        </c:ser>
        <c:ser>
          <c:idx val="5"/>
          <c:order val="5"/>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('08-VALUEAD4PARTNER-OFR3'!$I$10:$I$18,'08-VALUEAD4PARTNER-OFR3'!$I$20:$I$33,'08-VALUEAD4PARTNER-OFR3'!$I$35:$I$40)</c:f>
              <c:numCache>
                <c:formatCode>General</c:formatCode>
                <c:ptCount val="29"/>
              </c:numCache>
            </c:numRef>
          </c:val>
          <c:extLst>
            <c:ext xmlns:c16="http://schemas.microsoft.com/office/drawing/2014/chart" uri="{C3380CC4-5D6E-409C-BE32-E72D297353CC}">
              <c16:uniqueId val="{00000005-2874-455C-9C8C-4EEB05277F4A}"/>
            </c:ext>
          </c:extLst>
        </c:ser>
        <c:dLbls>
          <c:showLegendKey val="0"/>
          <c:showVal val="0"/>
          <c:showCatName val="0"/>
          <c:showSerName val="0"/>
          <c:showPercent val="0"/>
          <c:showBubbleSize val="0"/>
        </c:dLbls>
        <c:axId val="780429552"/>
        <c:axId val="780444784"/>
      </c:radarChart>
      <c:catAx>
        <c:axId val="780429552"/>
        <c:scaling>
          <c:orientation val="minMax"/>
        </c:scaling>
        <c:delete val="0"/>
        <c:axPos val="b"/>
        <c:majorGridlines/>
        <c:numFmt formatCode="General" sourceLinked="0"/>
        <c:majorTickMark val="none"/>
        <c:minorTickMark val="none"/>
        <c:tickLblPos val="nextTo"/>
        <c:spPr>
          <a:ln w="9525">
            <a:noFill/>
          </a:ln>
        </c:spPr>
        <c:crossAx val="780444784"/>
        <c:crosses val="autoZero"/>
        <c:auto val="1"/>
        <c:lblAlgn val="ctr"/>
        <c:lblOffset val="100"/>
        <c:noMultiLvlLbl val="0"/>
      </c:catAx>
      <c:valAx>
        <c:axId val="780444784"/>
        <c:scaling>
          <c:orientation val="minMax"/>
        </c:scaling>
        <c:delete val="0"/>
        <c:axPos val="l"/>
        <c:majorGridlines/>
        <c:numFmt formatCode="General" sourceLinked="1"/>
        <c:majorTickMark val="none"/>
        <c:minorTickMark val="none"/>
        <c:tickLblPos val="nextTo"/>
        <c:crossAx val="780429552"/>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du CA par</a:t>
            </a:r>
            <a:r>
              <a:rPr lang="fr-FR" baseline="0"/>
              <a:t> affaire moyenne 1° année </a:t>
            </a:r>
            <a:endParaRPr lang="fr-FR"/>
          </a:p>
        </c:rich>
      </c:tx>
      <c:overlay val="0"/>
    </c:title>
    <c:autoTitleDeleted val="0"/>
    <c:plotArea>
      <c:layout/>
      <c:pieChart>
        <c:varyColors val="1"/>
        <c:ser>
          <c:idx val="0"/>
          <c:order val="0"/>
          <c:dLbls>
            <c:dLbl>
              <c:idx val="0"/>
              <c:layout>
                <c:manualLayout>
                  <c:x val="0.18325224289888958"/>
                  <c:y val="-2.21607034889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42-4E97-9CA8-ED5DD1614DF6}"/>
                </c:ext>
              </c:extLst>
            </c:dLbl>
            <c:spPr>
              <a:noFill/>
              <a:ln>
                <a:noFill/>
              </a:ln>
              <a:effectLst/>
            </c:spPr>
            <c:txPr>
              <a:bodyPr wrap="square" lIns="38100" tIns="19050" rIns="38100" bIns="19050" anchor="ctr">
                <a:spAutoFit/>
              </a:bodyPr>
              <a:lstStyle/>
              <a:p>
                <a:pPr>
                  <a:defRPr sz="1600" b="1"/>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cat>
            <c:strRef>
              <c:f>BUSINESSCARD!$I$45:$L$45</c:f>
              <c:strCache>
                <c:ptCount val="3"/>
                <c:pt idx="0">
                  <c:v>CA pour EQUINIX</c:v>
                </c:pt>
                <c:pt idx="2">
                  <c:v>CA net pour le partenaire</c:v>
                </c:pt>
              </c:strCache>
            </c:strRef>
          </c:cat>
          <c:val>
            <c:numRef>
              <c:f>BUSINESSCARD!$I$46:$L$46</c:f>
              <c:numCache>
                <c:formatCode>#\ ##0\ "€"</c:formatCode>
                <c:ptCount val="4"/>
                <c:pt idx="0">
                  <c:v>87194.4</c:v>
                </c:pt>
                <c:pt idx="2">
                  <c:v>190565.6</c:v>
                </c:pt>
              </c:numCache>
            </c:numRef>
          </c:val>
          <c:extLst>
            <c:ext xmlns:c16="http://schemas.microsoft.com/office/drawing/2014/chart" uri="{C3380CC4-5D6E-409C-BE32-E72D297353CC}">
              <c16:uniqueId val="{00000000-CEA2-4855-AB8D-BD5E0497A97A}"/>
            </c:ext>
          </c:extLst>
        </c:ser>
        <c:dLbls>
          <c:showLegendKey val="0"/>
          <c:showVal val="0"/>
          <c:showCatName val="0"/>
          <c:showSerName val="0"/>
          <c:showPercent val="0"/>
          <c:showBubbleSize val="0"/>
          <c:showLeaderLines val="1"/>
        </c:dLbls>
        <c:firstSliceAng val="0"/>
      </c:pieChart>
      <c:dTable>
        <c:showHorzBorder val="1"/>
        <c:showVertBorder val="1"/>
        <c:showOutline val="1"/>
        <c:showKeys val="1"/>
      </c:dTable>
    </c:plotArea>
    <c:legend>
      <c:legendPos val="r"/>
      <c:legendEntry>
        <c:idx val="1"/>
        <c:delete val="1"/>
      </c:legendEntry>
      <c:legendEntry>
        <c:idx val="3"/>
        <c:delete val="1"/>
      </c:legendEntry>
      <c:layout>
        <c:manualLayout>
          <c:xMode val="edge"/>
          <c:yMode val="edge"/>
          <c:x val="0.6594128461631662"/>
          <c:y val="0.36083703478154405"/>
          <c:w val="0.3173170277544351"/>
          <c:h val="0.38903725702838921"/>
        </c:manualLayout>
      </c:layout>
      <c:overlay val="0"/>
      <c:txPr>
        <a:bodyPr/>
        <a:lstStyle/>
        <a:p>
          <a:pPr>
            <a:defRPr sz="1400" b="1"/>
          </a:pPr>
          <a:endParaRPr lang="fr-FR"/>
        </a:p>
      </c:txPr>
    </c:legend>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'08-VALUEAD4PARTNER-OFR3'!$J$6:$K$6</c:f>
              <c:strCache>
                <c:ptCount val="1"/>
                <c:pt idx="0">
                  <c:v>Canal 3</c:v>
                </c:pt>
              </c:strCache>
            </c:strRef>
          </c:tx>
          <c:spPr>
            <a:ln>
              <a:solidFill>
                <a:srgbClr val="00B050"/>
              </a:solidFill>
            </a:ln>
          </c:spPr>
          <c:marker>
            <c:symbol val="none"/>
          </c:marker>
          <c:cat>
            <c:strRef>
              <c:f>('08-VALUEAD4PARTNER-OFR3'!$A$10:$E$18,'08-VALUEAD4PARTNER-OFR3'!$A$20:$E$33,'08-VALUEAD4PARTNER-OFR3'!$A$35:$E$40)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('08-VALUEAD4PARTNER-OFR3'!$J$10:$J$18,'08-VALUEAD4PARTNER-OFR3'!$J$20:$J$33,'08-VALUEAD4PARTNER-OFR3'!$J$35:$J$40)</c:f>
              <c:numCache>
                <c:formatCode>General</c:formatCode>
                <c:ptCount val="29"/>
                <c:pt idx="8">
                  <c:v>0</c:v>
                </c:pt>
                <c:pt idx="22">
                  <c:v>0</c:v>
                </c:pt>
                <c:pt idx="28">
                  <c:v>0</c:v>
                </c:pt>
              </c:numCache>
            </c:numRef>
          </c:val>
          <c:extLst>
            <c:ext xmlns:c16="http://schemas.microsoft.com/office/drawing/2014/chart" uri="{C3380CC4-5D6E-409C-BE32-E72D297353CC}">
              <c16:uniqueId val="{00000000-A1DF-4D92-A291-D94A205DBDC7}"/>
            </c:ext>
          </c:extLst>
        </c:ser>
        <c:ser>
          <c:idx val="1"/>
          <c:order val="1"/>
          <c:marker>
            <c:symbol val="none"/>
          </c:marker>
          <c:cat>
            <c:strRef>
              <c:f>('08-VALUEAD4PARTNER-OFR3'!$A$10:$E$18,'08-VALUEAD4PARTNER-OFR3'!$A$20:$E$33,'08-VALUEAD4PARTNER-OFR3'!$A$35:$E$40)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('08-VALUEAD4PARTNER-OFR3'!$K$10:$K$18,'08-VALUEAD4PARTNER-OFR3'!$K$20:$K$33,'08-VALUEAD4PARTNER-OFR3'!$K$35:$K$40)</c:f>
              <c:numCache>
                <c:formatCode>General</c:formatCode>
                <c:ptCount val="29"/>
              </c:numCache>
            </c:numRef>
          </c:val>
          <c:extLst>
            <c:ext xmlns:c16="http://schemas.microsoft.com/office/drawing/2014/chart" uri="{C3380CC4-5D6E-409C-BE32-E72D297353CC}">
              <c16:uniqueId val="{00000001-A1DF-4D92-A291-D94A205DBDC7}"/>
            </c:ext>
          </c:extLst>
        </c:ser>
        <c:dLbls>
          <c:showLegendKey val="0"/>
          <c:showVal val="0"/>
          <c:showCatName val="0"/>
          <c:showSerName val="0"/>
          <c:showPercent val="0"/>
          <c:showBubbleSize val="0"/>
        </c:dLbls>
        <c:axId val="780426832"/>
        <c:axId val="780447504"/>
      </c:radarChart>
      <c:catAx>
        <c:axId val="780426832"/>
        <c:scaling>
          <c:orientation val="minMax"/>
        </c:scaling>
        <c:delete val="0"/>
        <c:axPos val="b"/>
        <c:majorGridlines/>
        <c:numFmt formatCode="General" sourceLinked="0"/>
        <c:majorTickMark val="none"/>
        <c:minorTickMark val="none"/>
        <c:tickLblPos val="nextTo"/>
        <c:spPr>
          <a:ln w="9525">
            <a:noFill/>
          </a:ln>
        </c:spPr>
        <c:crossAx val="780447504"/>
        <c:crosses val="autoZero"/>
        <c:auto val="1"/>
        <c:lblAlgn val="ctr"/>
        <c:lblOffset val="100"/>
        <c:noMultiLvlLbl val="0"/>
      </c:catAx>
      <c:valAx>
        <c:axId val="780447504"/>
        <c:scaling>
          <c:orientation val="minMax"/>
        </c:scaling>
        <c:delete val="0"/>
        <c:axPos val="l"/>
        <c:majorGridlines/>
        <c:numFmt formatCode="General" sourceLinked="1"/>
        <c:majorTickMark val="none"/>
        <c:minorTickMark val="none"/>
        <c:tickLblPos val="nextTo"/>
        <c:crossAx val="780426832"/>
        <c:crosses val="autoZero"/>
        <c:crossBetween val="between"/>
      </c:valAx>
    </c:plotArea>
    <c:legend>
      <c:legendPos val="r"/>
      <c:legendEntry>
        <c:idx val="1"/>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Attractivité de l'offre pour les partenaires</a:t>
            </a:r>
            <a:endParaRPr lang="en-US" sz="1100"/>
          </a:p>
        </c:rich>
      </c:tx>
      <c:overlay val="0"/>
    </c:title>
    <c:autoTitleDeleted val="0"/>
    <c:plotArea>
      <c:layout>
        <c:manualLayout>
          <c:layoutTarget val="inner"/>
          <c:xMode val="edge"/>
          <c:yMode val="edge"/>
          <c:x val="0.36440117780611125"/>
          <c:y val="0.2190035450327632"/>
          <c:w val="0.34818552630801169"/>
          <c:h val="0.53437873177562256"/>
        </c:manualLayout>
      </c:layout>
      <c:radarChart>
        <c:radarStyle val="marker"/>
        <c:varyColors val="0"/>
        <c:ser>
          <c:idx val="0"/>
          <c:order val="0"/>
          <c:tx>
            <c:strRef>
              <c:f>'08-VALUEAD4PARTNER-OFR3'!$F$6:$G$6</c:f>
              <c:strCache>
                <c:ptCount val="1"/>
                <c:pt idx="0">
                  <c:v>Canal 1</c:v>
                </c:pt>
              </c:strCache>
            </c:strRef>
          </c:tx>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('08-VALUEAD4PARTNER-OFR3'!$B$10:$B$18,'08-VALUEAD4PARTNER-OFR3'!$B$20:$B$33,'08-VALUEAD4PARTNER-OFR3'!$B$35:$B$40)</c:f>
              <c:numCache>
                <c:formatCode>General</c:formatCode>
                <c:ptCount val="29"/>
              </c:numCache>
            </c:numRef>
          </c:val>
          <c:extLst>
            <c:ext xmlns:c16="http://schemas.microsoft.com/office/drawing/2014/chart" uri="{C3380CC4-5D6E-409C-BE32-E72D297353CC}">
              <c16:uniqueId val="{00000000-353D-43A8-9F94-6BB4A85792C5}"/>
            </c:ext>
          </c:extLst>
        </c:ser>
        <c:ser>
          <c:idx val="1"/>
          <c:order val="1"/>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('08-VALUEAD4PARTNER-OFR3'!$C$10:$C$18,'08-VALUEAD4PARTNER-OFR3'!$C$20:$C$33,'08-VALUEAD4PARTNER-OFR3'!$C$35:$C$40)</c:f>
              <c:numCache>
                <c:formatCode>General</c:formatCode>
                <c:ptCount val="29"/>
              </c:numCache>
            </c:numRef>
          </c:val>
          <c:extLst>
            <c:ext xmlns:c16="http://schemas.microsoft.com/office/drawing/2014/chart" uri="{C3380CC4-5D6E-409C-BE32-E72D297353CC}">
              <c16:uniqueId val="{00000001-353D-43A8-9F94-6BB4A85792C5}"/>
            </c:ext>
          </c:extLst>
        </c:ser>
        <c:ser>
          <c:idx val="2"/>
          <c:order val="2"/>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('08-VALUEAD4PARTNER-OFR3'!$D$10:$D$18,'08-VALUEAD4PARTNER-OFR3'!$D$20:$D$33,'08-VALUEAD4PARTNER-OFR3'!$D$35:$D$40)</c:f>
              <c:numCache>
                <c:formatCode>General</c:formatCode>
                <c:ptCount val="29"/>
              </c:numCache>
            </c:numRef>
          </c:val>
          <c:extLst>
            <c:ext xmlns:c16="http://schemas.microsoft.com/office/drawing/2014/chart" uri="{C3380CC4-5D6E-409C-BE32-E72D297353CC}">
              <c16:uniqueId val="{00000002-353D-43A8-9F94-6BB4A85792C5}"/>
            </c:ext>
          </c:extLst>
        </c:ser>
        <c:ser>
          <c:idx val="3"/>
          <c:order val="3"/>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('08-VALUEAD4PARTNER-OFR3'!$E$10:$E$18,'08-VALUEAD4PARTNER-OFR3'!$E$20:$E$33,'08-VALUEAD4PARTNER-OFR3'!$E$35:$E$40)</c:f>
              <c:numCache>
                <c:formatCode>General</c:formatCode>
                <c:ptCount val="29"/>
              </c:numCache>
            </c:numRef>
          </c:val>
          <c:extLst>
            <c:ext xmlns:c16="http://schemas.microsoft.com/office/drawing/2014/chart" uri="{C3380CC4-5D6E-409C-BE32-E72D297353CC}">
              <c16:uniqueId val="{00000003-353D-43A8-9F94-6BB4A85792C5}"/>
            </c:ext>
          </c:extLst>
        </c:ser>
        <c:ser>
          <c:idx val="4"/>
          <c:order val="4"/>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('08-VALUEAD4PARTNER-OFR3'!$F$10:$F$18,'08-VALUEAD4PARTNER-OFR3'!$F$20:$F$33,'08-VALUEAD4PARTNER-OFR3'!$F$35:$F$40)</c:f>
              <c:numCache>
                <c:formatCode>General</c:formatCode>
                <c:ptCount val="29"/>
                <c:pt idx="0">
                  <c:v>8</c:v>
                </c:pt>
                <c:pt idx="1">
                  <c:v>7</c:v>
                </c:pt>
                <c:pt idx="2">
                  <c:v>10</c:v>
                </c:pt>
                <c:pt idx="3">
                  <c:v>10</c:v>
                </c:pt>
                <c:pt idx="4">
                  <c:v>10</c:v>
                </c:pt>
                <c:pt idx="5">
                  <c:v>8</c:v>
                </c:pt>
                <c:pt idx="6">
                  <c:v>10</c:v>
                </c:pt>
                <c:pt idx="7">
                  <c:v>8</c:v>
                </c:pt>
                <c:pt idx="8">
                  <c:v>0</c:v>
                </c:pt>
                <c:pt idx="9">
                  <c:v>7</c:v>
                </c:pt>
                <c:pt idx="10">
                  <c:v>8</c:v>
                </c:pt>
                <c:pt idx="11">
                  <c:v>8</c:v>
                </c:pt>
                <c:pt idx="12">
                  <c:v>10</c:v>
                </c:pt>
                <c:pt idx="13">
                  <c:v>7</c:v>
                </c:pt>
                <c:pt idx="14">
                  <c:v>4</c:v>
                </c:pt>
                <c:pt idx="15">
                  <c:v>6</c:v>
                </c:pt>
                <c:pt idx="16">
                  <c:v>2</c:v>
                </c:pt>
                <c:pt idx="17">
                  <c:v>8</c:v>
                </c:pt>
                <c:pt idx="18">
                  <c:v>8</c:v>
                </c:pt>
                <c:pt idx="19">
                  <c:v>6</c:v>
                </c:pt>
                <c:pt idx="20">
                  <c:v>10</c:v>
                </c:pt>
                <c:pt idx="21">
                  <c:v>10</c:v>
                </c:pt>
                <c:pt idx="22">
                  <c:v>0</c:v>
                </c:pt>
                <c:pt idx="23">
                  <c:v>8</c:v>
                </c:pt>
                <c:pt idx="24">
                  <c:v>7</c:v>
                </c:pt>
                <c:pt idx="25">
                  <c:v>7</c:v>
                </c:pt>
                <c:pt idx="26">
                  <c:v>6</c:v>
                </c:pt>
                <c:pt idx="27">
                  <c:v>10</c:v>
                </c:pt>
                <c:pt idx="28">
                  <c:v>0</c:v>
                </c:pt>
              </c:numCache>
            </c:numRef>
          </c:val>
          <c:extLst>
            <c:ext xmlns:c16="http://schemas.microsoft.com/office/drawing/2014/chart" uri="{C3380CC4-5D6E-409C-BE32-E72D297353CC}">
              <c16:uniqueId val="{00000004-353D-43A8-9F94-6BB4A85792C5}"/>
            </c:ext>
          </c:extLst>
        </c:ser>
        <c:ser>
          <c:idx val="5"/>
          <c:order val="5"/>
          <c:marker>
            <c:symbol val="none"/>
          </c:marker>
          <c:cat>
            <c:strRef>
              <c:f>('08-VALUEAD4PARTNER-OFR3'!$A$10:$A$18,'08-VALUEAD4PARTNER-OFR3'!$A$20:$A$33,'08-VALUEAD4PARTNER-OFR3'!$A$35:$A$40)</c:f>
              <c:strCache>
                <c:ptCount val="28"/>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Lui permet de facturer ses services à Valeur ajoutée</c:v>
                </c:pt>
                <c:pt idx="11">
                  <c:v>Renforce son image de marque</c:v>
                </c:pt>
                <c:pt idx="12">
                  <c:v>Renforce sa base installée ( upsell )</c:v>
                </c:pt>
                <c:pt idx="13">
                  <c:v>Acquerir de nouveaux clients</c:v>
                </c:pt>
                <c:pt idx="14">
                  <c:v>Accéder à de nouveaux décideurs</c:v>
                </c:pt>
                <c:pt idx="15">
                  <c:v>Apporte un argument différenciateur</c:v>
                </c:pt>
                <c:pt idx="16">
                  <c:v>ROI et TCO faciles à démontrer</c:v>
                </c:pt>
                <c:pt idx="17">
                  <c:v>Répond à des besoins critiques</c:v>
                </c:pt>
                <c:pt idx="18">
                  <c:v>Ralentit sa concurrence</c:v>
                </c:pt>
                <c:pt idx="19">
                  <c:v>Cheval de Troie</c:v>
                </c:pt>
                <c:pt idx="20">
                  <c:v>Complète son offre</c:v>
                </c:pt>
                <c:pt idx="21">
                  <c:v>Assure du revenu récurrent</c:v>
                </c:pt>
                <c:pt idx="23">
                  <c:v>S'intègre facilement avec son organisation en place</c:v>
                </c:pt>
                <c:pt idx="24">
                  <c:v>Améliore la productivité de ses consultants techniques</c:v>
                </c:pt>
                <c:pt idx="25">
                  <c:v>Améliore la productivité de ses commerciaux</c:v>
                </c:pt>
                <c:pt idx="26">
                  <c:v>Effort marketing marginal pour promouvoir l'offre</c:v>
                </c:pt>
                <c:pt idx="27">
                  <c:v>Offre Complementaire à son catalogue </c:v>
                </c:pt>
              </c:strCache>
            </c:strRef>
          </c:cat>
          <c:val>
            <c:numRef>
              <c:f>('08-VALUEAD4PARTNER-OFR3'!$G$10:$G$18,'08-VALUEAD4PARTNER-OFR3'!$G$20:$G$33,'08-VALUEAD4PARTNER-OFR3'!$G$35:$G$40)</c:f>
              <c:numCache>
                <c:formatCode>General</c:formatCode>
                <c:ptCount val="29"/>
              </c:numCache>
            </c:numRef>
          </c:val>
          <c:extLst>
            <c:ext xmlns:c16="http://schemas.microsoft.com/office/drawing/2014/chart" uri="{C3380CC4-5D6E-409C-BE32-E72D297353CC}">
              <c16:uniqueId val="{00000005-353D-43A8-9F94-6BB4A85792C5}"/>
            </c:ext>
          </c:extLst>
        </c:ser>
        <c:dLbls>
          <c:showLegendKey val="0"/>
          <c:showVal val="0"/>
          <c:showCatName val="0"/>
          <c:showSerName val="0"/>
          <c:showPercent val="0"/>
          <c:showBubbleSize val="0"/>
        </c:dLbls>
        <c:axId val="780442064"/>
        <c:axId val="780444240"/>
      </c:radarChart>
      <c:catAx>
        <c:axId val="780442064"/>
        <c:scaling>
          <c:orientation val="minMax"/>
        </c:scaling>
        <c:delete val="0"/>
        <c:axPos val="b"/>
        <c:majorGridlines/>
        <c:numFmt formatCode="General" sourceLinked="1"/>
        <c:majorTickMark val="none"/>
        <c:minorTickMark val="none"/>
        <c:tickLblPos val="nextTo"/>
        <c:spPr>
          <a:ln w="9525">
            <a:noFill/>
          </a:ln>
        </c:spPr>
        <c:crossAx val="780444240"/>
        <c:crosses val="autoZero"/>
        <c:auto val="1"/>
        <c:lblAlgn val="ctr"/>
        <c:lblOffset val="100"/>
        <c:noMultiLvlLbl val="0"/>
      </c:catAx>
      <c:valAx>
        <c:axId val="780444240"/>
        <c:scaling>
          <c:orientation val="minMax"/>
        </c:scaling>
        <c:delete val="0"/>
        <c:axPos val="l"/>
        <c:majorGridlines/>
        <c:numFmt formatCode="General" sourceLinked="1"/>
        <c:majorTickMark val="none"/>
        <c:minorTickMark val="none"/>
        <c:tickLblPos val="nextTo"/>
        <c:crossAx val="780442064"/>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9999894627628179"/>
          <c:y val="7.2814085465365677E-2"/>
          <c:w val="0.27225727923909837"/>
          <c:h val="4.5292206351475947E-2"/>
        </c:manualLayout>
      </c:layout>
      <c:overlay val="0"/>
    </c:legend>
    <c:plotVisOnly val="1"/>
    <c:dispBlanksAs val="gap"/>
    <c:showDLblsOverMax val="0"/>
  </c:chart>
  <c:spPr>
    <a:gradFill>
      <a:gsLst>
        <a:gs pos="0">
          <a:srgbClr val="FFEFD1">
            <a:alpha val="98000"/>
          </a:srgbClr>
        </a:gs>
        <a:gs pos="64999">
          <a:srgbClr val="F0EBD5"/>
        </a:gs>
        <a:gs pos="100000">
          <a:srgbClr val="D1C39F"/>
        </a:gs>
      </a:gsLst>
      <a:lin ang="5400000" scaled="0"/>
    </a:gradFill>
    <a:ln w="34925">
      <a:solidFill>
        <a:srgbClr val="C00000"/>
      </a:solid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 Routes to Market à 3 ans  </a:t>
            </a:r>
          </a:p>
        </c:rich>
      </c:tx>
      <c:overlay val="0"/>
    </c:title>
    <c:autoTitleDeleted val="0"/>
    <c:plotArea>
      <c:layout/>
      <c:areaChart>
        <c:grouping val="stacked"/>
        <c:varyColors val="0"/>
        <c:ser>
          <c:idx val="0"/>
          <c:order val="0"/>
          <c:tx>
            <c:strRef>
              <c:f>'02-SALESPLAN-OFR3'!$A$66:$F$66</c:f>
              <c:strCache>
                <c:ptCount val="6"/>
                <c:pt idx="0">
                  <c:v>Ventes directes seules</c:v>
                </c:pt>
              </c:strCache>
            </c:strRef>
          </c:tx>
          <c:cat>
            <c:numRef>
              <c:f>'02-SALESPLAN-OFR3'!$G$65:$K$65</c:f>
              <c:numCache>
                <c:formatCode>General</c:formatCode>
                <c:ptCount val="5"/>
                <c:pt idx="0">
                  <c:v>2017</c:v>
                </c:pt>
                <c:pt idx="1">
                  <c:v>2018</c:v>
                </c:pt>
                <c:pt idx="2">
                  <c:v>2019</c:v>
                </c:pt>
                <c:pt idx="3">
                  <c:v>2020</c:v>
                </c:pt>
                <c:pt idx="4">
                  <c:v>2021</c:v>
                </c:pt>
              </c:numCache>
            </c:numRef>
          </c:cat>
          <c:val>
            <c:numRef>
              <c:f>'02-SALESPLAN-OFR3'!$G$66:$K$66</c:f>
              <c:numCache>
                <c:formatCode>0.000</c:formatCode>
                <c:ptCount val="5"/>
                <c:pt idx="0">
                  <c:v>1.8</c:v>
                </c:pt>
                <c:pt idx="1">
                  <c:v>0</c:v>
                </c:pt>
                <c:pt idx="2">
                  <c:v>0</c:v>
                </c:pt>
                <c:pt idx="3">
                  <c:v>0</c:v>
                </c:pt>
                <c:pt idx="4">
                  <c:v>0</c:v>
                </c:pt>
              </c:numCache>
            </c:numRef>
          </c:val>
          <c:extLst>
            <c:ext xmlns:c16="http://schemas.microsoft.com/office/drawing/2014/chart" uri="{C3380CC4-5D6E-409C-BE32-E72D297353CC}">
              <c16:uniqueId val="{00000000-DBE8-4B0B-9117-BBF56DE26336}"/>
            </c:ext>
          </c:extLst>
        </c:ser>
        <c:ser>
          <c:idx val="2"/>
          <c:order val="1"/>
          <c:tx>
            <c:strRef>
              <c:f>'02-SALESPLAN-OFR3'!$A$67:$F$67</c:f>
              <c:strCache>
                <c:ptCount val="6"/>
                <c:pt idx="0">
                  <c:v>ESN</c:v>
                </c:pt>
              </c:strCache>
            </c:strRef>
          </c:tx>
          <c:spPr>
            <a:ln w="25400">
              <a:noFill/>
            </a:ln>
          </c:spPr>
          <c:cat>
            <c:numRef>
              <c:f>'02-SALESPLAN-OFR3'!$G$65:$K$65</c:f>
              <c:numCache>
                <c:formatCode>General</c:formatCode>
                <c:ptCount val="5"/>
                <c:pt idx="0">
                  <c:v>2017</c:v>
                </c:pt>
                <c:pt idx="1">
                  <c:v>2018</c:v>
                </c:pt>
                <c:pt idx="2">
                  <c:v>2019</c:v>
                </c:pt>
                <c:pt idx="3">
                  <c:v>2020</c:v>
                </c:pt>
                <c:pt idx="4">
                  <c:v>2021</c:v>
                </c:pt>
              </c:numCache>
            </c:numRef>
          </c:cat>
          <c:val>
            <c:numRef>
              <c:f>'02-SALESPLAN-OFR3'!$G$67:$K$67</c:f>
              <c:numCache>
                <c:formatCode>0.000</c:formatCode>
                <c:ptCount val="5"/>
                <c:pt idx="0">
                  <c:v>0</c:v>
                </c:pt>
                <c:pt idx="1">
                  <c:v>0</c:v>
                </c:pt>
                <c:pt idx="2">
                  <c:v>0</c:v>
                </c:pt>
                <c:pt idx="3">
                  <c:v>0</c:v>
                </c:pt>
                <c:pt idx="4">
                  <c:v>0</c:v>
                </c:pt>
              </c:numCache>
            </c:numRef>
          </c:val>
          <c:extLst>
            <c:ext xmlns:c16="http://schemas.microsoft.com/office/drawing/2014/chart" uri="{C3380CC4-5D6E-409C-BE32-E72D297353CC}">
              <c16:uniqueId val="{00000001-DBE8-4B0B-9117-BBF56DE26336}"/>
            </c:ext>
          </c:extLst>
        </c:ser>
        <c:ser>
          <c:idx val="5"/>
          <c:order val="2"/>
          <c:tx>
            <c:strRef>
              <c:f>'02-SALESPLAN-OFR3'!$A$68:$F$68</c:f>
              <c:strCache>
                <c:ptCount val="6"/>
                <c:pt idx="0">
                  <c:v>Centres de contact</c:v>
                </c:pt>
              </c:strCache>
            </c:strRef>
          </c:tx>
          <c:spPr>
            <a:ln w="25400">
              <a:noFill/>
            </a:ln>
          </c:spPr>
          <c:cat>
            <c:numRef>
              <c:f>'02-SALESPLAN-OFR3'!$G$65:$K$65</c:f>
              <c:numCache>
                <c:formatCode>General</c:formatCode>
                <c:ptCount val="5"/>
                <c:pt idx="0">
                  <c:v>2017</c:v>
                </c:pt>
                <c:pt idx="1">
                  <c:v>2018</c:v>
                </c:pt>
                <c:pt idx="2">
                  <c:v>2019</c:v>
                </c:pt>
                <c:pt idx="3">
                  <c:v>2020</c:v>
                </c:pt>
                <c:pt idx="4">
                  <c:v>2021</c:v>
                </c:pt>
              </c:numCache>
            </c:numRef>
          </c:cat>
          <c:val>
            <c:numRef>
              <c:f>'02-SALESPLAN-OFR3'!$G$68:$K$68</c:f>
              <c:numCache>
                <c:formatCode>0.000</c:formatCode>
                <c:ptCount val="5"/>
                <c:pt idx="0">
                  <c:v>0</c:v>
                </c:pt>
                <c:pt idx="1">
                  <c:v>0</c:v>
                </c:pt>
                <c:pt idx="2">
                  <c:v>0</c:v>
                </c:pt>
                <c:pt idx="3">
                  <c:v>0</c:v>
                </c:pt>
                <c:pt idx="4">
                  <c:v>0</c:v>
                </c:pt>
              </c:numCache>
            </c:numRef>
          </c:val>
          <c:extLst>
            <c:ext xmlns:c16="http://schemas.microsoft.com/office/drawing/2014/chart" uri="{C3380CC4-5D6E-409C-BE32-E72D297353CC}">
              <c16:uniqueId val="{00000002-DBE8-4B0B-9117-BBF56DE26336}"/>
            </c:ext>
          </c:extLst>
        </c:ser>
        <c:ser>
          <c:idx val="7"/>
          <c:order val="3"/>
          <c:tx>
            <c:strRef>
              <c:f>'02-SALESPLAN-OFR3'!$A$69:$F$69</c:f>
              <c:strCache>
                <c:ptCount val="6"/>
                <c:pt idx="0">
                  <c:v>Vars Nationaux</c:v>
                </c:pt>
              </c:strCache>
            </c:strRef>
          </c:tx>
          <c:spPr>
            <a:ln w="25400">
              <a:noFill/>
            </a:ln>
          </c:spPr>
          <c:cat>
            <c:numRef>
              <c:f>'02-SALESPLAN-OFR3'!$G$65:$K$65</c:f>
              <c:numCache>
                <c:formatCode>General</c:formatCode>
                <c:ptCount val="5"/>
                <c:pt idx="0">
                  <c:v>2017</c:v>
                </c:pt>
                <c:pt idx="1">
                  <c:v>2018</c:v>
                </c:pt>
                <c:pt idx="2">
                  <c:v>2019</c:v>
                </c:pt>
                <c:pt idx="3">
                  <c:v>2020</c:v>
                </c:pt>
                <c:pt idx="4">
                  <c:v>2021</c:v>
                </c:pt>
              </c:numCache>
            </c:numRef>
          </c:cat>
          <c:val>
            <c:numRef>
              <c:f>'02-SALESPLAN-OFR3'!$G$69:$K$69</c:f>
              <c:numCache>
                <c:formatCode>0.000</c:formatCode>
                <c:ptCount val="5"/>
                <c:pt idx="1">
                  <c:v>0</c:v>
                </c:pt>
                <c:pt idx="2">
                  <c:v>0</c:v>
                </c:pt>
                <c:pt idx="3">
                  <c:v>0</c:v>
                </c:pt>
                <c:pt idx="4">
                  <c:v>0</c:v>
                </c:pt>
              </c:numCache>
            </c:numRef>
          </c:val>
          <c:extLst>
            <c:ext xmlns:c16="http://schemas.microsoft.com/office/drawing/2014/chart" uri="{C3380CC4-5D6E-409C-BE32-E72D297353CC}">
              <c16:uniqueId val="{00000003-DBE8-4B0B-9117-BBF56DE26336}"/>
            </c:ext>
          </c:extLst>
        </c:ser>
        <c:ser>
          <c:idx val="1"/>
          <c:order val="4"/>
          <c:tx>
            <c:strRef>
              <c:f>'02-SALESPLAN-OFR3'!$A$70:$F$70</c:f>
              <c:strCache>
                <c:ptCount val="6"/>
                <c:pt idx="0">
                  <c:v>Editeurs</c:v>
                </c:pt>
              </c:strCache>
            </c:strRef>
          </c:tx>
          <c:spPr>
            <a:ln w="25400">
              <a:noFill/>
            </a:ln>
          </c:spPr>
          <c:cat>
            <c:numRef>
              <c:f>'02-SALESPLAN-OFR3'!$G$65:$K$65</c:f>
              <c:numCache>
                <c:formatCode>General</c:formatCode>
                <c:ptCount val="5"/>
                <c:pt idx="0">
                  <c:v>2017</c:v>
                </c:pt>
                <c:pt idx="1">
                  <c:v>2018</c:v>
                </c:pt>
                <c:pt idx="2">
                  <c:v>2019</c:v>
                </c:pt>
                <c:pt idx="3">
                  <c:v>2020</c:v>
                </c:pt>
                <c:pt idx="4">
                  <c:v>2021</c:v>
                </c:pt>
              </c:numCache>
            </c:numRef>
          </c:cat>
          <c:val>
            <c:numRef>
              <c:f>'02-SALESPLAN-OFR3'!$G$70:$K$70</c:f>
              <c:numCache>
                <c:formatCode>0.000</c:formatCode>
                <c:ptCount val="5"/>
                <c:pt idx="0">
                  <c:v>0</c:v>
                </c:pt>
                <c:pt idx="1">
                  <c:v>0</c:v>
                </c:pt>
                <c:pt idx="2">
                  <c:v>0</c:v>
                </c:pt>
                <c:pt idx="3">
                  <c:v>0</c:v>
                </c:pt>
                <c:pt idx="4">
                  <c:v>0</c:v>
                </c:pt>
              </c:numCache>
            </c:numRef>
          </c:val>
          <c:extLst>
            <c:ext xmlns:c16="http://schemas.microsoft.com/office/drawing/2014/chart" uri="{C3380CC4-5D6E-409C-BE32-E72D297353CC}">
              <c16:uniqueId val="{00000004-DBE8-4B0B-9117-BBF56DE26336}"/>
            </c:ext>
          </c:extLst>
        </c:ser>
        <c:ser>
          <c:idx val="3"/>
          <c:order val="5"/>
          <c:tx>
            <c:strRef>
              <c:f>'02-SALESPLAN-OFR3'!$A$71:$F$71</c:f>
              <c:strCache>
                <c:ptCount val="6"/>
                <c:pt idx="0">
                  <c:v>Web Agencies</c:v>
                </c:pt>
              </c:strCache>
            </c:strRef>
          </c:tx>
          <c:spPr>
            <a:ln w="25400">
              <a:noFill/>
            </a:ln>
          </c:spPr>
          <c:cat>
            <c:numRef>
              <c:f>'02-SALESPLAN-OFR3'!$G$65:$K$65</c:f>
              <c:numCache>
                <c:formatCode>General</c:formatCode>
                <c:ptCount val="5"/>
                <c:pt idx="0">
                  <c:v>2017</c:v>
                </c:pt>
                <c:pt idx="1">
                  <c:v>2018</c:v>
                </c:pt>
                <c:pt idx="2">
                  <c:v>2019</c:v>
                </c:pt>
                <c:pt idx="3">
                  <c:v>2020</c:v>
                </c:pt>
                <c:pt idx="4">
                  <c:v>2021</c:v>
                </c:pt>
              </c:numCache>
            </c:numRef>
          </c:cat>
          <c:val>
            <c:numRef>
              <c:f>'02-SALESPLAN-OFR3'!$G$71:$K$71</c:f>
              <c:numCache>
                <c:formatCode>0.000</c:formatCode>
                <c:ptCount val="5"/>
                <c:pt idx="0">
                  <c:v>0</c:v>
                </c:pt>
                <c:pt idx="1">
                  <c:v>0</c:v>
                </c:pt>
                <c:pt idx="2">
                  <c:v>0</c:v>
                </c:pt>
                <c:pt idx="3">
                  <c:v>0</c:v>
                </c:pt>
                <c:pt idx="4">
                  <c:v>0</c:v>
                </c:pt>
              </c:numCache>
            </c:numRef>
          </c:val>
          <c:extLst>
            <c:ext xmlns:c16="http://schemas.microsoft.com/office/drawing/2014/chart" uri="{C3380CC4-5D6E-409C-BE32-E72D297353CC}">
              <c16:uniqueId val="{00000005-DBE8-4B0B-9117-BBF56DE26336}"/>
            </c:ext>
          </c:extLst>
        </c:ser>
        <c:ser>
          <c:idx val="4"/>
          <c:order val="6"/>
          <c:tx>
            <c:strRef>
              <c:f>'02-SALESPLAN-OFR3'!$A$72:$F$72</c:f>
              <c:strCache>
                <c:ptCount val="6"/>
                <c:pt idx="0">
                  <c:v>Constructeurs</c:v>
                </c:pt>
              </c:strCache>
            </c:strRef>
          </c:tx>
          <c:spPr>
            <a:ln w="25400">
              <a:noFill/>
            </a:ln>
          </c:spPr>
          <c:cat>
            <c:numRef>
              <c:f>'02-SALESPLAN-OFR3'!$G$65:$K$65</c:f>
              <c:numCache>
                <c:formatCode>General</c:formatCode>
                <c:ptCount val="5"/>
                <c:pt idx="0">
                  <c:v>2017</c:v>
                </c:pt>
                <c:pt idx="1">
                  <c:v>2018</c:v>
                </c:pt>
                <c:pt idx="2">
                  <c:v>2019</c:v>
                </c:pt>
                <c:pt idx="3">
                  <c:v>2020</c:v>
                </c:pt>
                <c:pt idx="4">
                  <c:v>2021</c:v>
                </c:pt>
              </c:numCache>
            </c:numRef>
          </c:cat>
          <c:val>
            <c:numRef>
              <c:f>'02-SALESPLAN-OFR3'!$G$72:$K$72</c:f>
              <c:numCache>
                <c:formatCode>0.000</c:formatCode>
                <c:ptCount val="5"/>
                <c:pt idx="0">
                  <c:v>0</c:v>
                </c:pt>
                <c:pt idx="1">
                  <c:v>0</c:v>
                </c:pt>
                <c:pt idx="2">
                  <c:v>0</c:v>
                </c:pt>
                <c:pt idx="3">
                  <c:v>0</c:v>
                </c:pt>
                <c:pt idx="4">
                  <c:v>0</c:v>
                </c:pt>
              </c:numCache>
            </c:numRef>
          </c:val>
          <c:extLst>
            <c:ext xmlns:c16="http://schemas.microsoft.com/office/drawing/2014/chart" uri="{C3380CC4-5D6E-409C-BE32-E72D297353CC}">
              <c16:uniqueId val="{00000006-DBE8-4B0B-9117-BBF56DE26336}"/>
            </c:ext>
          </c:extLst>
        </c:ser>
        <c:dLbls>
          <c:showLegendKey val="0"/>
          <c:showVal val="0"/>
          <c:showCatName val="0"/>
          <c:showSerName val="0"/>
          <c:showPercent val="0"/>
          <c:showBubbleSize val="0"/>
        </c:dLbls>
        <c:axId val="780440976"/>
        <c:axId val="780420304"/>
      </c:areaChart>
      <c:catAx>
        <c:axId val="780440976"/>
        <c:scaling>
          <c:orientation val="minMax"/>
        </c:scaling>
        <c:delete val="0"/>
        <c:axPos val="b"/>
        <c:numFmt formatCode="General" sourceLinked="1"/>
        <c:majorTickMark val="none"/>
        <c:minorTickMark val="none"/>
        <c:tickLblPos val="nextTo"/>
        <c:crossAx val="780420304"/>
        <c:crosses val="autoZero"/>
        <c:auto val="1"/>
        <c:lblAlgn val="ctr"/>
        <c:lblOffset val="100"/>
        <c:noMultiLvlLbl val="0"/>
      </c:catAx>
      <c:valAx>
        <c:axId val="780420304"/>
        <c:scaling>
          <c:orientation val="minMax"/>
        </c:scaling>
        <c:delete val="0"/>
        <c:axPos val="l"/>
        <c:majorGridlines/>
        <c:title>
          <c:overlay val="0"/>
        </c:title>
        <c:numFmt formatCode="0.000" sourceLinked="1"/>
        <c:majorTickMark val="none"/>
        <c:minorTickMark val="none"/>
        <c:tickLblPos val="nextTo"/>
        <c:crossAx val="780440976"/>
        <c:crosses val="autoZero"/>
        <c:crossBetween val="midCat"/>
      </c:valAx>
      <c:spPr>
        <a:solidFill>
          <a:schemeClr val="accent6">
            <a:lumMod val="40000"/>
            <a:lumOff val="60000"/>
          </a:schemeClr>
        </a:solidFill>
      </c:spPr>
    </c:plotArea>
    <c:legend>
      <c:legendPos val="r"/>
      <c:legendEntry>
        <c:idx val="0"/>
        <c:delete val="1"/>
      </c:legendEntry>
      <c:legendEntry>
        <c:idx val="1"/>
        <c:delete val="1"/>
      </c:legendEntry>
      <c:overlay val="0"/>
    </c:legend>
    <c:plotVisOnly val="1"/>
    <c:dispBlanksAs val="zero"/>
    <c:showDLblsOverMax val="0"/>
  </c:chart>
  <c:spPr>
    <a:gradFill>
      <a:gsLst>
        <a:gs pos="0">
          <a:srgbClr val="FFEFD1"/>
        </a:gs>
        <a:gs pos="64999">
          <a:srgbClr val="F0EBD5"/>
        </a:gs>
        <a:gs pos="100000">
          <a:srgbClr val="D1C39F"/>
        </a:gs>
      </a:gsLst>
      <a:lin ang="5400000" scaled="0"/>
    </a:gradFill>
    <a:ln w="28575" cmpd="thinThick">
      <a:solidFill>
        <a:srgbClr val="C00000"/>
      </a:solid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Répartition du CA global par mode de Revenus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CA One shot</c:v>
          </c:tx>
          <c:spPr>
            <a:solidFill>
              <a:schemeClr val="accent1"/>
            </a:solidFill>
            <a:ln>
              <a:noFill/>
            </a:ln>
            <a:effectLst/>
            <a:sp3d/>
          </c:spPr>
          <c:invertIfNegative val="0"/>
          <c:cat>
            <c:numLit>
              <c:formatCode>General</c:formatCode>
              <c:ptCount val="5"/>
              <c:pt idx="0">
                <c:v>2013</c:v>
              </c:pt>
              <c:pt idx="1">
                <c:v>2014</c:v>
              </c:pt>
              <c:pt idx="2">
                <c:v>2015</c:v>
              </c:pt>
              <c:pt idx="3">
                <c:v>2016</c:v>
              </c:pt>
              <c:pt idx="4">
                <c:v>2017</c:v>
              </c:pt>
            </c:numLit>
          </c:cat>
          <c:val>
            <c:numLit>
              <c:formatCode>General</c:formatCode>
              <c:ptCount val="5"/>
              <c:pt idx="0">
                <c:v>2.3450000000000002</c:v>
              </c:pt>
              <c:pt idx="1">
                <c:v>4.0549999999999997</c:v>
              </c:pt>
              <c:pt idx="2">
                <c:v>7.0326000000000004</c:v>
              </c:pt>
              <c:pt idx="3">
                <c:v>10.81508</c:v>
              </c:pt>
              <c:pt idx="4">
                <c:v>16.870159999999998</c:v>
              </c:pt>
            </c:numLit>
          </c:val>
          <c:extLst>
            <c:ext xmlns:c16="http://schemas.microsoft.com/office/drawing/2014/chart" uri="{C3380CC4-5D6E-409C-BE32-E72D297353CC}">
              <c16:uniqueId val="{00000000-A614-44E4-9D5E-B31FB407C6B1}"/>
            </c:ext>
          </c:extLst>
        </c:ser>
        <c:ser>
          <c:idx val="1"/>
          <c:order val="1"/>
          <c:tx>
            <c:v>CA récurrent</c:v>
          </c:tx>
          <c:spPr>
            <a:solidFill>
              <a:schemeClr val="accent2"/>
            </a:solidFill>
            <a:ln>
              <a:noFill/>
            </a:ln>
            <a:effectLst/>
            <a:sp3d/>
          </c:spPr>
          <c:invertIfNegative val="0"/>
          <c:cat>
            <c:numLit>
              <c:formatCode>General</c:formatCode>
              <c:ptCount val="5"/>
              <c:pt idx="0">
                <c:v>2013</c:v>
              </c:pt>
              <c:pt idx="1">
                <c:v>2014</c:v>
              </c:pt>
              <c:pt idx="2">
                <c:v>2015</c:v>
              </c:pt>
              <c:pt idx="3">
                <c:v>2016</c:v>
              </c:pt>
              <c:pt idx="4">
                <c:v>2017</c:v>
              </c:pt>
            </c:numLit>
          </c:cat>
          <c:val>
            <c:numLit>
              <c:formatCode>General</c:formatCode>
              <c:ptCount val="5"/>
              <c:pt idx="0">
                <c:v>0</c:v>
              </c:pt>
              <c:pt idx="1">
                <c:v>0.72921108742004237</c:v>
              </c:pt>
              <c:pt idx="2">
                <c:v>0.73430332922318153</c:v>
              </c:pt>
              <c:pt idx="3">
                <c:v>0.53784944401785961</c:v>
              </c:pt>
              <c:pt idx="4">
                <c:v>0.55987380583407598</c:v>
              </c:pt>
            </c:numLit>
          </c:val>
          <c:extLst>
            <c:ext xmlns:c16="http://schemas.microsoft.com/office/drawing/2014/chart" uri="{C3380CC4-5D6E-409C-BE32-E72D297353CC}">
              <c16:uniqueId val="{00000001-A614-44E4-9D5E-B31FB407C6B1}"/>
            </c:ext>
          </c:extLst>
        </c:ser>
        <c:dLbls>
          <c:showLegendKey val="0"/>
          <c:showVal val="0"/>
          <c:showCatName val="0"/>
          <c:showSerName val="0"/>
          <c:showPercent val="0"/>
          <c:showBubbleSize val="0"/>
        </c:dLbls>
        <c:gapWidth val="55"/>
        <c:gapDepth val="55"/>
        <c:shape val="box"/>
        <c:axId val="780446416"/>
        <c:axId val="780437712"/>
        <c:axId val="0"/>
      </c:bar3DChart>
      <c:catAx>
        <c:axId val="7804464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0437712"/>
        <c:crosses val="autoZero"/>
        <c:auto val="1"/>
        <c:lblAlgn val="ctr"/>
        <c:lblOffset val="100"/>
        <c:noMultiLvlLbl val="0"/>
      </c:catAx>
      <c:valAx>
        <c:axId val="78043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0446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CA indirect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solidFill>
              <a:schemeClr val="accent1"/>
            </a:solidFill>
            <a:ln>
              <a:noFill/>
            </a:ln>
            <a:effectLst/>
            <a:sp3d/>
          </c:spPr>
          <c:invertIfNegative val="0"/>
          <c:cat>
            <c:numRef>
              <c:f>'02-SALESPLAN-OFR3'!$G$56:$K$56</c:f>
              <c:numCache>
                <c:formatCode>General</c:formatCode>
                <c:ptCount val="5"/>
                <c:pt idx="0">
                  <c:v>2017</c:v>
                </c:pt>
                <c:pt idx="1">
                  <c:v>2018</c:v>
                </c:pt>
                <c:pt idx="2">
                  <c:v>2019</c:v>
                </c:pt>
                <c:pt idx="3">
                  <c:v>2020</c:v>
                </c:pt>
                <c:pt idx="4">
                  <c:v>2021</c:v>
                </c:pt>
              </c:numCache>
            </c:numRef>
          </c:cat>
          <c:val>
            <c:numRef>
              <c:f>'02-SALESPLAN-OFR3'!$G$58:$K$58</c:f>
              <c:numCache>
                <c:formatCode>#\ ##0.000</c:formatCode>
                <c:ptCount val="5"/>
                <c:pt idx="0">
                  <c:v>0</c:v>
                </c:pt>
                <c:pt idx="1">
                  <c:v>0</c:v>
                </c:pt>
                <c:pt idx="2">
                  <c:v>0</c:v>
                </c:pt>
                <c:pt idx="3">
                  <c:v>0</c:v>
                </c:pt>
                <c:pt idx="4">
                  <c:v>0</c:v>
                </c:pt>
              </c:numCache>
            </c:numRef>
          </c:val>
          <c:extLst>
            <c:ext xmlns:c16="http://schemas.microsoft.com/office/drawing/2014/chart" uri="{C3380CC4-5D6E-409C-BE32-E72D297353CC}">
              <c16:uniqueId val="{00000000-8A66-41D6-8032-8815EF5F06E7}"/>
            </c:ext>
          </c:extLst>
        </c:ser>
        <c:dLbls>
          <c:showLegendKey val="0"/>
          <c:showVal val="0"/>
          <c:showCatName val="0"/>
          <c:showSerName val="0"/>
          <c:showPercent val="0"/>
          <c:showBubbleSize val="0"/>
        </c:dLbls>
        <c:gapWidth val="55"/>
        <c:gapDepth val="55"/>
        <c:shape val="box"/>
        <c:axId val="780427376"/>
        <c:axId val="780421392"/>
        <c:axId val="0"/>
      </c:bar3DChart>
      <c:catAx>
        <c:axId val="780427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0421392"/>
        <c:crosses val="autoZero"/>
        <c:auto val="1"/>
        <c:lblAlgn val="ctr"/>
        <c:lblOffset val="100"/>
        <c:noMultiLvlLbl val="0"/>
      </c:catAx>
      <c:valAx>
        <c:axId val="780421392"/>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0427376"/>
        <c:crosses val="autoZero"/>
        <c:crossBetween val="between"/>
      </c:valAx>
      <c:spPr>
        <a:noFill/>
        <a:ln>
          <a:noFill/>
        </a:ln>
        <a:effectLst/>
      </c:spPr>
    </c:plotArea>
    <c:plotVisOnly val="1"/>
    <c:dispBlanksAs val="gap"/>
    <c:showDLblsOverMax val="0"/>
  </c:chart>
  <c:spPr>
    <a:gradFill>
      <a:gsLst>
        <a:gs pos="91000">
          <a:schemeClr val="accent1">
            <a:lumMod val="5000"/>
            <a:lumOff val="95000"/>
          </a:schemeClr>
        </a:gs>
        <a:gs pos="74000">
          <a:schemeClr val="accent1">
            <a:lumMod val="45000"/>
            <a:lumOff val="55000"/>
          </a:schemeClr>
        </a:gs>
        <a:gs pos="83000">
          <a:schemeClr val="accent1">
            <a:lumMod val="45000"/>
            <a:lumOff val="55000"/>
          </a:schemeClr>
        </a:gs>
        <a:gs pos="23000">
          <a:schemeClr val="accent1">
            <a:lumMod val="30000"/>
            <a:lumOff val="70000"/>
          </a:schemeClr>
        </a:gs>
      </a:gsLst>
      <a:lin ang="5400000" scaled="1"/>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fr-FR" sz="1600"/>
              <a:t>Commissions + services associés générés par les partenaires </a:t>
            </a:r>
          </a:p>
        </c:rich>
      </c:tx>
      <c:overlay val="0"/>
    </c:title>
    <c:autoTitleDeleted val="0"/>
    <c:plotArea>
      <c:layout/>
      <c:areaChart>
        <c:grouping val="stacked"/>
        <c:varyColors val="0"/>
        <c:ser>
          <c:idx val="1"/>
          <c:order val="0"/>
          <c:tx>
            <c:v>Commissions versées aux partenaires #REF! #REF! #REF! #REF!</c:v>
          </c:tx>
          <c:spPr>
            <a:solidFill>
              <a:schemeClr val="accent1">
                <a:lumMod val="40000"/>
                <a:lumOff val="60000"/>
              </a:schemeClr>
            </a:solidFill>
          </c:spPr>
          <c:cat>
            <c:numLit>
              <c:formatCode>General</c:formatCode>
              <c:ptCount val="4"/>
              <c:pt idx="0">
                <c:v>2014</c:v>
              </c:pt>
              <c:pt idx="1">
                <c:v>2015</c:v>
              </c:pt>
              <c:pt idx="2">
                <c:v>2016</c:v>
              </c:pt>
              <c:pt idx="3">
                <c:v>2017</c:v>
              </c:pt>
            </c:numLit>
          </c:cat>
          <c:val>
            <c:numLit>
              <c:formatCode>General</c:formatCode>
              <c:ptCount val="4"/>
              <c:pt idx="0">
                <c:v>0.17011032000000001</c:v>
              </c:pt>
              <c:pt idx="1">
                <c:v>0.27492000000000005</c:v>
              </c:pt>
              <c:pt idx="2">
                <c:v>0.49701600000000001</c:v>
              </c:pt>
              <c:pt idx="3">
                <c:v>0.99403200000000003</c:v>
              </c:pt>
            </c:numLit>
          </c:val>
          <c:extLst>
            <c:ext xmlns:c16="http://schemas.microsoft.com/office/drawing/2014/chart" uri="{C3380CC4-5D6E-409C-BE32-E72D297353CC}">
              <c16:uniqueId val="{00000000-E0B7-48DC-B06E-AA780AA006EC}"/>
            </c:ext>
          </c:extLst>
        </c:ser>
        <c:ser>
          <c:idx val="0"/>
          <c:order val="1"/>
          <c:tx>
            <c:v>Total des revenus tirés de leurs propres services #REF! #REF! #REF! #REF!</c:v>
          </c:tx>
          <c:spPr>
            <a:ln w="25400">
              <a:noFill/>
            </a:ln>
          </c:spPr>
          <c:cat>
            <c:numLit>
              <c:formatCode>General</c:formatCode>
              <c:ptCount val="4"/>
              <c:pt idx="0">
                <c:v>2014</c:v>
              </c:pt>
              <c:pt idx="1">
                <c:v>2015</c:v>
              </c:pt>
              <c:pt idx="2">
                <c:v>2016</c:v>
              </c:pt>
              <c:pt idx="3">
                <c:v>2017</c:v>
              </c:pt>
            </c:numLit>
          </c:cat>
          <c:val>
            <c:numLit>
              <c:formatCode>General</c:formatCode>
              <c:ptCount val="4"/>
              <c:pt idx="0">
                <c:v>1.0991</c:v>
              </c:pt>
              <c:pt idx="1">
                <c:v>1.8347000000000002</c:v>
              </c:pt>
              <c:pt idx="2">
                <c:v>3.3024600000000004</c:v>
              </c:pt>
              <c:pt idx="3">
                <c:v>6.6049200000000008</c:v>
              </c:pt>
            </c:numLit>
          </c:val>
          <c:extLst>
            <c:ext xmlns:c16="http://schemas.microsoft.com/office/drawing/2014/chart" uri="{C3380CC4-5D6E-409C-BE32-E72D297353CC}">
              <c16:uniqueId val="{00000001-E0B7-48DC-B06E-AA780AA006EC}"/>
            </c:ext>
          </c:extLst>
        </c:ser>
        <c:dLbls>
          <c:showLegendKey val="0"/>
          <c:showVal val="0"/>
          <c:showCatName val="0"/>
          <c:showSerName val="0"/>
          <c:showPercent val="0"/>
          <c:showBubbleSize val="0"/>
        </c:dLbls>
        <c:axId val="780440432"/>
        <c:axId val="780427920"/>
      </c:areaChart>
      <c:catAx>
        <c:axId val="780440432"/>
        <c:scaling>
          <c:orientation val="minMax"/>
        </c:scaling>
        <c:delete val="0"/>
        <c:axPos val="b"/>
        <c:numFmt formatCode="General" sourceLinked="1"/>
        <c:majorTickMark val="none"/>
        <c:minorTickMark val="none"/>
        <c:tickLblPos val="nextTo"/>
        <c:crossAx val="780427920"/>
        <c:crosses val="autoZero"/>
        <c:auto val="1"/>
        <c:lblAlgn val="ctr"/>
        <c:lblOffset val="100"/>
        <c:noMultiLvlLbl val="0"/>
      </c:catAx>
      <c:valAx>
        <c:axId val="780427920"/>
        <c:scaling>
          <c:orientation val="minMax"/>
        </c:scaling>
        <c:delete val="0"/>
        <c:axPos val="l"/>
        <c:majorGridlines/>
        <c:numFmt formatCode="General" sourceLinked="1"/>
        <c:majorTickMark val="none"/>
        <c:minorTickMark val="none"/>
        <c:tickLblPos val="nextTo"/>
        <c:spPr>
          <a:solidFill>
            <a:schemeClr val="accent6">
              <a:lumMod val="40000"/>
              <a:lumOff val="60000"/>
            </a:schemeClr>
          </a:solidFill>
        </c:spPr>
        <c:crossAx val="780440432"/>
        <c:crosses val="autoZero"/>
        <c:crossBetween val="midCat"/>
      </c:valAx>
      <c:spPr>
        <a:solidFill>
          <a:schemeClr val="bg1">
            <a:lumMod val="95000"/>
          </a:schemeClr>
        </a:solidFill>
      </c:spPr>
    </c:plotArea>
    <c:legend>
      <c:legendPos val="b"/>
      <c:overlay val="0"/>
    </c:legend>
    <c:plotVisOnly val="1"/>
    <c:dispBlanksAs val="zero"/>
    <c:showDLblsOverMax val="0"/>
  </c:chart>
  <c:spPr>
    <a:gradFill>
      <a:gsLst>
        <a:gs pos="0">
          <a:srgbClr val="FFEFD1"/>
        </a:gs>
        <a:gs pos="64999">
          <a:srgbClr val="F0EBD5"/>
        </a:gs>
        <a:gs pos="100000">
          <a:srgbClr val="D1C39F"/>
        </a:gs>
      </a:gsLst>
      <a:lin ang="5400000" scaled="0"/>
    </a:gradFill>
    <a:ln w="31750">
      <a:solidFill>
        <a:srgbClr val="C00000"/>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Marketing ready ?</a:t>
            </a:r>
          </a:p>
          <a:p>
            <a:pPr>
              <a:defRPr/>
            </a:pPr>
            <a:r>
              <a:rPr lang="fr-FR"/>
              <a:t>1° source </a:t>
            </a:r>
          </a:p>
        </c:rich>
      </c:tx>
      <c:overlay val="0"/>
    </c:title>
    <c:autoTitleDeleted val="0"/>
    <c:plotArea>
      <c:layout/>
      <c:radarChart>
        <c:radarStyle val="marker"/>
        <c:varyColors val="0"/>
        <c:ser>
          <c:idx val="0"/>
          <c:order val="0"/>
          <c:marker>
            <c:symbol val="none"/>
          </c:marker>
          <c:cat>
            <c:strRef>
              <c:f>('03-MARKETREADY-OFR1'!$B$10:$C$17,'03-MARKETREADY-OFR1'!$B$20:$C$26,'03-MARKETREADY-OFR1'!$B$29:$C$36,'03-MARKETREADY-OFR1'!$B$39:$C$53,'03-MARKETREADY-OFR1'!$B$56:$C$62)</c:f>
              <c:strCache>
                <c:ptCount val="45"/>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Maîtrise du Besoin critique</c:v>
                </c:pt>
                <c:pt idx="9">
                  <c:v>Pour qui ?</c:v>
                </c:pt>
                <c:pt idx="10">
                  <c:v>Peines</c:v>
                </c:pt>
                <c:pt idx="11">
                  <c:v>Conséqces business</c:v>
                </c:pt>
                <c:pt idx="12">
                  <c:v>Conséqces perso</c:v>
                </c:pt>
                <c:pt idx="13">
                  <c:v>Attentes clients</c:v>
                </c:pt>
                <c:pt idx="14">
                  <c:v>Couverture besoins</c:v>
                </c:pt>
                <c:pt idx="15">
                  <c:v>Motivations achat</c:v>
                </c:pt>
                <c:pt idx="16">
                  <c:v>Process achat</c:v>
                </c:pt>
                <c:pt idx="17">
                  <c:v>Mapping des acteurs</c:v>
                </c:pt>
                <c:pt idx="18">
                  <c:v>Messages ciblés</c:v>
                </c:pt>
                <c:pt idx="19">
                  <c:v>Déclencheurs</c:v>
                </c:pt>
                <c:pt idx="20">
                  <c:v>Concurrence</c:v>
                </c:pt>
                <c:pt idx="21">
                  <c:v>Source contact</c:v>
                </c:pt>
                <c:pt idx="22">
                  <c:v>Satisfaction</c:v>
                </c:pt>
                <c:pt idx="23">
                  <c:v>Utilsateurs</c:v>
                </c:pt>
                <c:pt idx="24">
                  <c:v>Organisation</c:v>
                </c:pt>
                <c:pt idx="25">
                  <c:v>Mesure</c:v>
                </c:pt>
                <c:pt idx="26">
                  <c:v>Top fonctionnalités</c:v>
                </c:pt>
                <c:pt idx="27">
                  <c:v>Durée utilisation</c:v>
                </c:pt>
                <c:pt idx="28">
                  <c:v>Moment</c:v>
                </c:pt>
                <c:pt idx="29">
                  <c:v>Relation autres produits</c:v>
                </c:pt>
                <c:pt idx="30">
                  <c:v>Intégré ou autonome</c:v>
                </c:pt>
                <c:pt idx="31">
                  <c:v>Process</c:v>
                </c:pt>
                <c:pt idx="32">
                  <c:v>Indicateurs</c:v>
                </c:pt>
                <c:pt idx="33">
                  <c:v>Points forts</c:v>
                </c:pt>
                <c:pt idx="34">
                  <c:v>Points faibles</c:v>
                </c:pt>
                <c:pt idx="35">
                  <c:v>Attentes</c:v>
                </c:pt>
                <c:pt idx="36">
                  <c:v>Satisfaction</c:v>
                </c:pt>
                <c:pt idx="37">
                  <c:v>Niveau d'écoute</c:v>
                </c:pt>
                <c:pt idx="38">
                  <c:v>Profil clients</c:v>
                </c:pt>
                <c:pt idx="39">
                  <c:v>Pitch société</c:v>
                </c:pt>
                <c:pt idx="40">
                  <c:v>Pitch produit</c:v>
                </c:pt>
                <c:pt idx="41">
                  <c:v>Différenciateurs</c:v>
                </c:pt>
                <c:pt idx="42">
                  <c:v>Singularités</c:v>
                </c:pt>
                <c:pt idx="43">
                  <c:v>ROI / TCO</c:v>
                </c:pt>
                <c:pt idx="44">
                  <c:v>Biz case client</c:v>
                </c:pt>
              </c:strCache>
            </c:strRef>
          </c:cat>
          <c:val>
            <c:numRef>
              <c:f>('03-MARKETREADY-OFR1'!$J$10:$J$17,'03-MARKETREADY-OFR1'!$J$20:$J$26,'03-MARKETREADY-OFR1'!$J$29:$J$36,'03-MARKETREADY-OFR1'!$J$39:$J$53,'03-MARKETREADY-OFR1'!$J$56:$J$62)</c:f>
              <c:numCache>
                <c:formatCode>General</c:formatCode>
                <c:ptCount val="45"/>
                <c:pt idx="0">
                  <c:v>0</c:v>
                </c:pt>
                <c:pt idx="8">
                  <c:v>0</c:v>
                </c:pt>
                <c:pt idx="15">
                  <c:v>0</c:v>
                </c:pt>
                <c:pt idx="23">
                  <c:v>0</c:v>
                </c:pt>
                <c:pt idx="38">
                  <c:v>0</c:v>
                </c:pt>
              </c:numCache>
            </c:numRef>
          </c:val>
          <c:extLst>
            <c:ext xmlns:c16="http://schemas.microsoft.com/office/drawing/2014/chart" uri="{C3380CC4-5D6E-409C-BE32-E72D297353CC}">
              <c16:uniqueId val="{00000000-21ED-431A-9BB4-C6AF4EFCA06D}"/>
            </c:ext>
          </c:extLst>
        </c:ser>
        <c:ser>
          <c:idx val="1"/>
          <c:order val="1"/>
          <c:marker>
            <c:symbol val="none"/>
          </c:marker>
          <c:cat>
            <c:strRef>
              <c:f>('03-MARKETREADY-OFR1'!$B$10:$C$17,'03-MARKETREADY-OFR1'!$B$20:$C$26,'03-MARKETREADY-OFR1'!$B$29:$C$36,'03-MARKETREADY-OFR1'!$B$39:$C$53,'03-MARKETREADY-OFR1'!$B$56:$C$62)</c:f>
              <c:strCache>
                <c:ptCount val="45"/>
                <c:pt idx="0">
                  <c:v>Efficacité globale</c:v>
                </c:pt>
                <c:pt idx="1">
                  <c:v>Marktg Produit</c:v>
                </c:pt>
                <c:pt idx="2">
                  <c:v>Marktg Marché</c:v>
                </c:pt>
                <c:pt idx="3">
                  <c:v>Marktg Commercial</c:v>
                </c:pt>
                <c:pt idx="4">
                  <c:v>Marktg Notoriété</c:v>
                </c:pt>
                <c:pt idx="5">
                  <c:v>Marktg Leads</c:v>
                </c:pt>
                <c:pt idx="6">
                  <c:v>Culture partenaire</c:v>
                </c:pt>
                <c:pt idx="7">
                  <c:v>Budget et ressources alloués aux marketing partenaire</c:v>
                </c:pt>
                <c:pt idx="8">
                  <c:v>Maîtrise du Besoin critique</c:v>
                </c:pt>
                <c:pt idx="9">
                  <c:v>Pour qui ?</c:v>
                </c:pt>
                <c:pt idx="10">
                  <c:v>Peines</c:v>
                </c:pt>
                <c:pt idx="11">
                  <c:v>Conséqces business</c:v>
                </c:pt>
                <c:pt idx="12">
                  <c:v>Conséqces perso</c:v>
                </c:pt>
                <c:pt idx="13">
                  <c:v>Attentes clients</c:v>
                </c:pt>
                <c:pt idx="14">
                  <c:v>Couverture besoins</c:v>
                </c:pt>
                <c:pt idx="15">
                  <c:v>Motivations achat</c:v>
                </c:pt>
                <c:pt idx="16">
                  <c:v>Process achat</c:v>
                </c:pt>
                <c:pt idx="17">
                  <c:v>Mapping des acteurs</c:v>
                </c:pt>
                <c:pt idx="18">
                  <c:v>Messages ciblés</c:v>
                </c:pt>
                <c:pt idx="19">
                  <c:v>Déclencheurs</c:v>
                </c:pt>
                <c:pt idx="20">
                  <c:v>Concurrence</c:v>
                </c:pt>
                <c:pt idx="21">
                  <c:v>Source contact</c:v>
                </c:pt>
                <c:pt idx="22">
                  <c:v>Satisfaction</c:v>
                </c:pt>
                <c:pt idx="23">
                  <c:v>Utilsateurs</c:v>
                </c:pt>
                <c:pt idx="24">
                  <c:v>Organisation</c:v>
                </c:pt>
                <c:pt idx="25">
                  <c:v>Mesure</c:v>
                </c:pt>
                <c:pt idx="26">
                  <c:v>Top fonctionnalités</c:v>
                </c:pt>
                <c:pt idx="27">
                  <c:v>Durée utilisation</c:v>
                </c:pt>
                <c:pt idx="28">
                  <c:v>Moment</c:v>
                </c:pt>
                <c:pt idx="29">
                  <c:v>Relation autres produits</c:v>
                </c:pt>
                <c:pt idx="30">
                  <c:v>Intégré ou autonome</c:v>
                </c:pt>
                <c:pt idx="31">
                  <c:v>Process</c:v>
                </c:pt>
                <c:pt idx="32">
                  <c:v>Indicateurs</c:v>
                </c:pt>
                <c:pt idx="33">
                  <c:v>Points forts</c:v>
                </c:pt>
                <c:pt idx="34">
                  <c:v>Points faibles</c:v>
                </c:pt>
                <c:pt idx="35">
                  <c:v>Attentes</c:v>
                </c:pt>
                <c:pt idx="36">
                  <c:v>Satisfaction</c:v>
                </c:pt>
                <c:pt idx="37">
                  <c:v>Niveau d'écoute</c:v>
                </c:pt>
                <c:pt idx="38">
                  <c:v>Profil clients</c:v>
                </c:pt>
                <c:pt idx="39">
                  <c:v>Pitch société</c:v>
                </c:pt>
                <c:pt idx="40">
                  <c:v>Pitch produit</c:v>
                </c:pt>
                <c:pt idx="41">
                  <c:v>Différenciateurs</c:v>
                </c:pt>
                <c:pt idx="42">
                  <c:v>Singularités</c:v>
                </c:pt>
                <c:pt idx="43">
                  <c:v>ROI / TCO</c:v>
                </c:pt>
                <c:pt idx="44">
                  <c:v>Biz case client</c:v>
                </c:pt>
              </c:strCache>
            </c:strRef>
          </c:cat>
          <c:val>
            <c:numRef>
              <c:f>('03-MARKETREADY-OFR1'!$K$10:$K$17,'03-MARKETREADY-OFR1'!$K$20:$K$26,'03-MARKETREADY-OFR1'!$K$29:$K$36,'03-MARKETREADY-OFR1'!$K$39:$K$53,'03-MARKETREADY-OFR1'!$K$56:$K$62)</c:f>
              <c:numCache>
                <c:formatCode>General</c:formatCode>
                <c:ptCount val="45"/>
              </c:numCache>
            </c:numRef>
          </c:val>
          <c:extLst>
            <c:ext xmlns:c16="http://schemas.microsoft.com/office/drawing/2014/chart" uri="{C3380CC4-5D6E-409C-BE32-E72D297353CC}">
              <c16:uniqueId val="{00000001-21ED-431A-9BB4-C6AF4EFCA06D}"/>
            </c:ext>
          </c:extLst>
        </c:ser>
        <c:dLbls>
          <c:showLegendKey val="0"/>
          <c:showVal val="0"/>
          <c:showCatName val="0"/>
          <c:showSerName val="0"/>
          <c:showPercent val="0"/>
          <c:showBubbleSize val="0"/>
        </c:dLbls>
        <c:axId val="780421936"/>
        <c:axId val="780430096"/>
      </c:radarChart>
      <c:catAx>
        <c:axId val="780421936"/>
        <c:scaling>
          <c:orientation val="minMax"/>
        </c:scaling>
        <c:delete val="0"/>
        <c:axPos val="b"/>
        <c:majorGridlines/>
        <c:numFmt formatCode="General" sourceLinked="0"/>
        <c:majorTickMark val="none"/>
        <c:minorTickMark val="none"/>
        <c:tickLblPos val="nextTo"/>
        <c:spPr>
          <a:ln w="9525">
            <a:noFill/>
          </a:ln>
        </c:spPr>
        <c:crossAx val="780430096"/>
        <c:crosses val="autoZero"/>
        <c:auto val="1"/>
        <c:lblAlgn val="ctr"/>
        <c:lblOffset val="100"/>
        <c:noMultiLvlLbl val="0"/>
      </c:catAx>
      <c:valAx>
        <c:axId val="780430096"/>
        <c:scaling>
          <c:orientation val="minMax"/>
        </c:scaling>
        <c:delete val="0"/>
        <c:axPos val="l"/>
        <c:majorGridlines/>
        <c:numFmt formatCode="General" sourceLinked="1"/>
        <c:majorTickMark val="none"/>
        <c:minorTickMark val="none"/>
        <c:tickLblPos val="nextTo"/>
        <c:crossAx val="780421936"/>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Répartition du CA new business</a:t>
            </a:r>
          </a:p>
        </c:rich>
      </c:tx>
      <c:overlay val="0"/>
    </c:title>
    <c:autoTitleDeleted val="0"/>
    <c:plotArea>
      <c:layout/>
      <c:areaChart>
        <c:grouping val="stacked"/>
        <c:varyColors val="0"/>
        <c:ser>
          <c:idx val="0"/>
          <c:order val="0"/>
          <c:tx>
            <c:strRef>
              <c:f>'02-CHANNELCAPACITY-SAAS-OFR1'!$A$10:$C$10</c:f>
              <c:strCache>
                <c:ptCount val="3"/>
                <c:pt idx="0">
                  <c:v>Ventes directes </c:v>
                </c:pt>
              </c:strCache>
            </c:strRef>
          </c:tx>
          <c:cat>
            <c:numRef>
              <c:f>'02-CHANNELCAPACITY-SAAS-OFR1'!$G$6:$J$6</c:f>
              <c:numCache>
                <c:formatCode>#,##0</c:formatCode>
                <c:ptCount val="4"/>
                <c:pt idx="0">
                  <c:v>2018</c:v>
                </c:pt>
                <c:pt idx="1">
                  <c:v>2019</c:v>
                </c:pt>
                <c:pt idx="2">
                  <c:v>2020</c:v>
                </c:pt>
                <c:pt idx="3">
                  <c:v>2021</c:v>
                </c:pt>
              </c:numCache>
            </c:numRef>
          </c:cat>
          <c:val>
            <c:numRef>
              <c:f>'02-CHANNELCAPACITY-SAAS-OFR1'!$G$10:$J$10</c:f>
              <c:numCache>
                <c:formatCode>#,##0</c:formatCode>
                <c:ptCount val="4"/>
                <c:pt idx="0">
                  <c:v>92857458294</c:v>
                </c:pt>
                <c:pt idx="1">
                  <c:v>372511924399.44</c:v>
                </c:pt>
                <c:pt idx="2">
                  <c:v>1050100905996</c:v>
                </c:pt>
                <c:pt idx="3">
                  <c:v>2535201149740.5601</c:v>
                </c:pt>
              </c:numCache>
            </c:numRef>
          </c:val>
          <c:extLst>
            <c:ext xmlns:c16="http://schemas.microsoft.com/office/drawing/2014/chart" uri="{C3380CC4-5D6E-409C-BE32-E72D297353CC}">
              <c16:uniqueId val="{00000000-F80C-4470-8C8F-F4D1D1EA9553}"/>
            </c:ext>
          </c:extLst>
        </c:ser>
        <c:ser>
          <c:idx val="1"/>
          <c:order val="1"/>
          <c:tx>
            <c:strRef>
              <c:f>'02-CHANNELCAPACITY-SAAS-OFR1'!$A$13:$C$13</c:f>
              <c:strCache>
                <c:ptCount val="3"/>
                <c:pt idx="0">
                  <c:v>VARs / SS2I locales </c:v>
                </c:pt>
              </c:strCache>
            </c:strRef>
          </c:tx>
          <c:spPr>
            <a:ln w="25400">
              <a:noFill/>
            </a:ln>
          </c:spPr>
          <c:cat>
            <c:numRef>
              <c:f>'02-CHANNELCAPACITY-SAAS-OFR1'!$G$6:$J$6</c:f>
              <c:numCache>
                <c:formatCode>#,##0</c:formatCode>
                <c:ptCount val="4"/>
                <c:pt idx="0">
                  <c:v>2018</c:v>
                </c:pt>
                <c:pt idx="1">
                  <c:v>2019</c:v>
                </c:pt>
                <c:pt idx="2">
                  <c:v>2020</c:v>
                </c:pt>
                <c:pt idx="3">
                  <c:v>2021</c:v>
                </c:pt>
              </c:numCache>
            </c:numRef>
          </c:cat>
          <c:val>
            <c:numRef>
              <c:f>'02-CHANNELCAPACITY-SAAS-OFR1'!$G$13:$J$13</c:f>
              <c:numCache>
                <c:formatCode>#,##0</c:formatCode>
                <c:ptCount val="4"/>
                <c:pt idx="0">
                  <c:v>0</c:v>
                </c:pt>
                <c:pt idx="1">
                  <c:v>0</c:v>
                </c:pt>
                <c:pt idx="2">
                  <c:v>0</c:v>
                </c:pt>
                <c:pt idx="3">
                  <c:v>0</c:v>
                </c:pt>
              </c:numCache>
            </c:numRef>
          </c:val>
          <c:extLst>
            <c:ext xmlns:c16="http://schemas.microsoft.com/office/drawing/2014/chart" uri="{C3380CC4-5D6E-409C-BE32-E72D297353CC}">
              <c16:uniqueId val="{00000001-F80C-4470-8C8F-F4D1D1EA9553}"/>
            </c:ext>
          </c:extLst>
        </c:ser>
        <c:ser>
          <c:idx val="2"/>
          <c:order val="2"/>
          <c:tx>
            <c:strRef>
              <c:f>'02-CHANNELCAPACITY-SAAS-OFR1'!$A$14:$C$14</c:f>
              <c:strCache>
                <c:ptCount val="3"/>
                <c:pt idx="0">
                  <c:v>ESN ( SS2I )</c:v>
                </c:pt>
              </c:strCache>
            </c:strRef>
          </c:tx>
          <c:spPr>
            <a:ln w="25400">
              <a:noFill/>
            </a:ln>
          </c:spPr>
          <c:cat>
            <c:numRef>
              <c:f>'02-CHANNELCAPACITY-SAAS-OFR1'!$G$6:$J$6</c:f>
              <c:numCache>
                <c:formatCode>#,##0</c:formatCode>
                <c:ptCount val="4"/>
                <c:pt idx="0">
                  <c:v>2018</c:v>
                </c:pt>
                <c:pt idx="1">
                  <c:v>2019</c:v>
                </c:pt>
                <c:pt idx="2">
                  <c:v>2020</c:v>
                </c:pt>
                <c:pt idx="3">
                  <c:v>2021</c:v>
                </c:pt>
              </c:numCache>
            </c:numRef>
          </c:cat>
          <c:val>
            <c:numRef>
              <c:f>'02-CHANNELCAPACITY-SAAS-OFR1'!$G$14:$J$14</c:f>
              <c:numCache>
                <c:formatCode>#,##0</c:formatCode>
                <c:ptCount val="4"/>
                <c:pt idx="0">
                  <c:v>0</c:v>
                </c:pt>
                <c:pt idx="1">
                  <c:v>0</c:v>
                </c:pt>
                <c:pt idx="2">
                  <c:v>0</c:v>
                </c:pt>
                <c:pt idx="3">
                  <c:v>0</c:v>
                </c:pt>
              </c:numCache>
            </c:numRef>
          </c:val>
          <c:extLst>
            <c:ext xmlns:c16="http://schemas.microsoft.com/office/drawing/2014/chart" uri="{C3380CC4-5D6E-409C-BE32-E72D297353CC}">
              <c16:uniqueId val="{00000002-F80C-4470-8C8F-F4D1D1EA9553}"/>
            </c:ext>
          </c:extLst>
        </c:ser>
        <c:ser>
          <c:idx val="3"/>
          <c:order val="3"/>
          <c:tx>
            <c:strRef>
              <c:f>'02-CHANNELCAPACITY-SAAS-OFR1'!$A$15:$C$15</c:f>
              <c:strCache>
                <c:ptCount val="3"/>
                <c:pt idx="0">
                  <c:v>Constructeurs Matériel</c:v>
                </c:pt>
              </c:strCache>
            </c:strRef>
          </c:tx>
          <c:spPr>
            <a:ln w="25400">
              <a:noFill/>
            </a:ln>
          </c:spPr>
          <c:cat>
            <c:numRef>
              <c:f>'02-CHANNELCAPACITY-SAAS-OFR1'!$G$6:$J$6</c:f>
              <c:numCache>
                <c:formatCode>#,##0</c:formatCode>
                <c:ptCount val="4"/>
                <c:pt idx="0">
                  <c:v>2018</c:v>
                </c:pt>
                <c:pt idx="1">
                  <c:v>2019</c:v>
                </c:pt>
                <c:pt idx="2">
                  <c:v>2020</c:v>
                </c:pt>
                <c:pt idx="3">
                  <c:v>2021</c:v>
                </c:pt>
              </c:numCache>
            </c:numRef>
          </c:cat>
          <c:val>
            <c:numRef>
              <c:f>'02-CHANNELCAPACITY-SAAS-OFR1'!$G$15:$J$15</c:f>
              <c:numCache>
                <c:formatCode>#,##0</c:formatCode>
                <c:ptCount val="4"/>
                <c:pt idx="0">
                  <c:v>0</c:v>
                </c:pt>
                <c:pt idx="1">
                  <c:v>0</c:v>
                </c:pt>
                <c:pt idx="2">
                  <c:v>0</c:v>
                </c:pt>
                <c:pt idx="3">
                  <c:v>0</c:v>
                </c:pt>
              </c:numCache>
            </c:numRef>
          </c:val>
          <c:extLst>
            <c:ext xmlns:c16="http://schemas.microsoft.com/office/drawing/2014/chart" uri="{C3380CC4-5D6E-409C-BE32-E72D297353CC}">
              <c16:uniqueId val="{00000003-F80C-4470-8C8F-F4D1D1EA9553}"/>
            </c:ext>
          </c:extLst>
        </c:ser>
        <c:ser>
          <c:idx val="4"/>
          <c:order val="4"/>
          <c:tx>
            <c:strRef>
              <c:f>'02-CHANNELCAPACITY-SAAS-OFR1'!$A$16:$C$16</c:f>
              <c:strCache>
                <c:ptCount val="3"/>
                <c:pt idx="0">
                  <c:v>Editeurs de solutions complémentaires</c:v>
                </c:pt>
              </c:strCache>
            </c:strRef>
          </c:tx>
          <c:spPr>
            <a:ln w="25400">
              <a:noFill/>
            </a:ln>
          </c:spPr>
          <c:cat>
            <c:numRef>
              <c:f>'02-CHANNELCAPACITY-SAAS-OFR1'!$G$6:$J$6</c:f>
              <c:numCache>
                <c:formatCode>#,##0</c:formatCode>
                <c:ptCount val="4"/>
                <c:pt idx="0">
                  <c:v>2018</c:v>
                </c:pt>
                <c:pt idx="1">
                  <c:v>2019</c:v>
                </c:pt>
                <c:pt idx="2">
                  <c:v>2020</c:v>
                </c:pt>
                <c:pt idx="3">
                  <c:v>2021</c:v>
                </c:pt>
              </c:numCache>
            </c:numRef>
          </c:cat>
          <c:val>
            <c:numRef>
              <c:f>'02-CHANNELCAPACITY-SAAS-OFR1'!$G$16:$J$16</c:f>
              <c:numCache>
                <c:formatCode>#,##0</c:formatCode>
                <c:ptCount val="4"/>
                <c:pt idx="0">
                  <c:v>0</c:v>
                </c:pt>
                <c:pt idx="1">
                  <c:v>0</c:v>
                </c:pt>
                <c:pt idx="2">
                  <c:v>0</c:v>
                </c:pt>
                <c:pt idx="3">
                  <c:v>0</c:v>
                </c:pt>
              </c:numCache>
            </c:numRef>
          </c:val>
          <c:extLst>
            <c:ext xmlns:c16="http://schemas.microsoft.com/office/drawing/2014/chart" uri="{C3380CC4-5D6E-409C-BE32-E72D297353CC}">
              <c16:uniqueId val="{00000004-F80C-4470-8C8F-F4D1D1EA9553}"/>
            </c:ext>
          </c:extLst>
        </c:ser>
        <c:dLbls>
          <c:showLegendKey val="0"/>
          <c:showVal val="0"/>
          <c:showCatName val="0"/>
          <c:showSerName val="0"/>
          <c:showPercent val="0"/>
          <c:showBubbleSize val="0"/>
        </c:dLbls>
        <c:axId val="780419216"/>
        <c:axId val="780432272"/>
      </c:areaChart>
      <c:catAx>
        <c:axId val="780419216"/>
        <c:scaling>
          <c:orientation val="minMax"/>
        </c:scaling>
        <c:delete val="0"/>
        <c:axPos val="b"/>
        <c:numFmt formatCode="#,##0" sourceLinked="1"/>
        <c:majorTickMark val="none"/>
        <c:minorTickMark val="none"/>
        <c:tickLblPos val="nextTo"/>
        <c:crossAx val="780432272"/>
        <c:crosses val="autoZero"/>
        <c:auto val="1"/>
        <c:lblAlgn val="ctr"/>
        <c:lblOffset val="100"/>
        <c:noMultiLvlLbl val="0"/>
      </c:catAx>
      <c:valAx>
        <c:axId val="780432272"/>
        <c:scaling>
          <c:orientation val="minMax"/>
        </c:scaling>
        <c:delete val="0"/>
        <c:axPos val="l"/>
        <c:majorGridlines/>
        <c:title>
          <c:tx>
            <c:rich>
              <a:bodyPr/>
              <a:lstStyle/>
              <a:p>
                <a:pPr>
                  <a:defRPr/>
                </a:pPr>
                <a:r>
                  <a:rPr lang="en-US"/>
                  <a:t>C</a:t>
                </a:r>
              </a:p>
            </c:rich>
          </c:tx>
          <c:overlay val="0"/>
        </c:title>
        <c:numFmt formatCode="#,##0" sourceLinked="1"/>
        <c:majorTickMark val="none"/>
        <c:minorTickMark val="none"/>
        <c:tickLblPos val="nextTo"/>
        <c:crossAx val="780419216"/>
        <c:crosses val="autoZero"/>
        <c:crossBetween val="midCat"/>
      </c:valAx>
      <c:spPr>
        <a:solidFill>
          <a:schemeClr val="accent6">
            <a:lumMod val="40000"/>
            <a:lumOff val="60000"/>
          </a:schemeClr>
        </a:solidFill>
      </c:spPr>
    </c:plotArea>
    <c:legend>
      <c:legendPos val="r"/>
      <c:legendEntry>
        <c:idx val="0"/>
        <c:delete val="1"/>
      </c:legendEntry>
      <c:legendEntry>
        <c:idx val="1"/>
        <c:delete val="1"/>
      </c:legendEntry>
      <c:overlay val="0"/>
    </c:legend>
    <c:plotVisOnly val="1"/>
    <c:dispBlanksAs val="zero"/>
    <c:showDLblsOverMax val="0"/>
  </c:chart>
  <c:spPr>
    <a:gradFill>
      <a:gsLst>
        <a:gs pos="0">
          <a:srgbClr val="FFEFD1"/>
        </a:gs>
        <a:gs pos="64999">
          <a:srgbClr val="F0EBD5"/>
        </a:gs>
        <a:gs pos="100000">
          <a:srgbClr val="D1C39F"/>
        </a:gs>
      </a:gsLst>
      <a:lin ang="5400000" scaled="0"/>
    </a:gradFill>
    <a:ln w="28575" cmpd="thinThick">
      <a:solidFill>
        <a:srgbClr val="C00000"/>
      </a:solidFill>
    </a:ln>
  </c:spPr>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sz="2400" b="1"/>
              <a:t>Nombre de partenaires à gérer</a:t>
            </a:r>
          </a:p>
          <a:p>
            <a:pPr>
              <a:defRPr sz="2400" b="1"/>
            </a:pPr>
            <a:r>
              <a:rPr lang="en-US" sz="2400" b="1"/>
              <a:t>Channel Capacity </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'02-CHANNELCAPACITY-SAAS-OFR1'!$A$105:$F$105</c:f>
              <c:strCache>
                <c:ptCount val="6"/>
                <c:pt idx="0">
                  <c:v>Nombre total de partenaires à gérer</c:v>
                </c:pt>
                <c:pt idx="5">
                  <c:v>Taux déchet </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'02-CHANNELCAPACITY-SAAS-OFR1'!$G$42:$J$42</c:f>
              <c:numCache>
                <c:formatCode>#,##0</c:formatCode>
                <c:ptCount val="4"/>
                <c:pt idx="0">
                  <c:v>2018</c:v>
                </c:pt>
                <c:pt idx="1">
                  <c:v>2019</c:v>
                </c:pt>
                <c:pt idx="2">
                  <c:v>2020</c:v>
                </c:pt>
                <c:pt idx="3">
                  <c:v>2021</c:v>
                </c:pt>
              </c:numCache>
            </c:numRef>
          </c:cat>
          <c:val>
            <c:numRef>
              <c:f>'02-CHANNELCAPACITY-SAAS-OFR1'!$G$105:$J$105</c:f>
              <c:numCache>
                <c:formatCode>#,##0</c:formatCode>
                <c:ptCount val="4"/>
                <c:pt idx="0">
                  <c:v>0</c:v>
                </c:pt>
                <c:pt idx="1">
                  <c:v>0</c:v>
                </c:pt>
                <c:pt idx="2">
                  <c:v>0</c:v>
                </c:pt>
                <c:pt idx="3">
                  <c:v>0</c:v>
                </c:pt>
              </c:numCache>
            </c:numRef>
          </c:val>
          <c:extLst>
            <c:ext xmlns:c16="http://schemas.microsoft.com/office/drawing/2014/chart" uri="{C3380CC4-5D6E-409C-BE32-E72D297353CC}">
              <c16:uniqueId val="{00000000-6E01-490F-BC99-2E7D3D57E336}"/>
            </c:ext>
          </c:extLst>
        </c:ser>
        <c:dLbls>
          <c:showLegendKey val="0"/>
          <c:showVal val="1"/>
          <c:showCatName val="0"/>
          <c:showSerName val="0"/>
          <c:showPercent val="0"/>
          <c:showBubbleSize val="0"/>
        </c:dLbls>
        <c:gapWidth val="150"/>
        <c:shape val="box"/>
        <c:axId val="780448592"/>
        <c:axId val="780428464"/>
        <c:axId val="0"/>
      </c:bar3DChart>
      <c:catAx>
        <c:axId val="780448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fr-FR"/>
          </a:p>
        </c:txPr>
        <c:crossAx val="780428464"/>
        <c:crosses val="autoZero"/>
        <c:auto val="1"/>
        <c:lblAlgn val="ctr"/>
        <c:lblOffset val="100"/>
        <c:noMultiLvlLbl val="0"/>
      </c:catAx>
      <c:valAx>
        <c:axId val="780428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0448592"/>
        <c:crosses val="autoZero"/>
        <c:crossBetween val="between"/>
      </c:valAx>
      <c:spPr>
        <a:noFill/>
        <a:ln>
          <a:noFill/>
        </a:ln>
        <a:effectLst/>
      </c:spPr>
    </c:plotArea>
    <c:plotVisOnly val="1"/>
    <c:dispBlanksAs val="gap"/>
    <c:showDLblsOverMax val="0"/>
  </c:chart>
  <c:spPr>
    <a:gradFill>
      <a:gsLst>
        <a:gs pos="20000">
          <a:schemeClr val="accent6">
            <a:lumMod val="10000"/>
            <a:lumOff val="90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gradFill>
    <a:ln w="38100" cap="flat" cmpd="sng" algn="ctr">
      <a:solidFill>
        <a:srgbClr val="C00000"/>
      </a:solidFill>
      <a:round/>
    </a:ln>
    <a:effectLst/>
  </c:spPr>
  <c:txPr>
    <a:bodyPr/>
    <a:lstStyle/>
    <a:p>
      <a:pPr>
        <a:defRPr/>
      </a:pPr>
      <a:endParaRPr lang="fr-FR"/>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fr-FR" sz="1600"/>
              <a:t>Commissions + services associés générés par les partenaires </a:t>
            </a:r>
          </a:p>
        </c:rich>
      </c:tx>
      <c:overlay val="0"/>
    </c:title>
    <c:autoTitleDeleted val="0"/>
    <c:plotArea>
      <c:layout/>
      <c:areaChart>
        <c:grouping val="stacked"/>
        <c:varyColors val="0"/>
        <c:ser>
          <c:idx val="0"/>
          <c:order val="0"/>
          <c:tx>
            <c:strRef>
              <c:f>'02-BUSINESS4PARTNER-OFR1'!$A$60:$C$60</c:f>
              <c:strCache>
                <c:ptCount val="3"/>
                <c:pt idx="0">
                  <c:v>Commissions payées</c:v>
                </c:pt>
              </c:strCache>
            </c:strRef>
          </c:tx>
          <c:spPr>
            <a:ln w="25400">
              <a:noFill/>
            </a:ln>
          </c:spPr>
          <c:cat>
            <c:numRef>
              <c:f>'02-BUSINESS4PARTNER-OFR1'!$F$58:$J$58</c:f>
              <c:numCache>
                <c:formatCode>#,##0</c:formatCode>
                <c:ptCount val="5"/>
                <c:pt idx="0">
                  <c:v>2017</c:v>
                </c:pt>
                <c:pt idx="1">
                  <c:v>2018</c:v>
                </c:pt>
                <c:pt idx="2">
                  <c:v>2019</c:v>
                </c:pt>
                <c:pt idx="3">
                  <c:v>2020</c:v>
                </c:pt>
                <c:pt idx="4">
                  <c:v>2021</c:v>
                </c:pt>
              </c:numCache>
            </c:numRef>
          </c:cat>
          <c:val>
            <c:numRef>
              <c:f>'02-BUSINESS4PARTNER-OFR1'!$F$60:$J$60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32E-4861-9872-DEBBED361F71}"/>
            </c:ext>
          </c:extLst>
        </c:ser>
        <c:ser>
          <c:idx val="1"/>
          <c:order val="1"/>
          <c:tx>
            <c:strRef>
              <c:f>'02-BUSINESS4PARTNER-OFR1'!$A$62:$C$62</c:f>
              <c:strCache>
                <c:ptCount val="3"/>
                <c:pt idx="0">
                  <c:v>Services prestés et facturés</c:v>
                </c:pt>
              </c:strCache>
            </c:strRef>
          </c:tx>
          <c:spPr>
            <a:ln w="25400">
              <a:noFill/>
            </a:ln>
          </c:spPr>
          <c:cat>
            <c:numRef>
              <c:f>'02-BUSINESS4PARTNER-OFR1'!$F$58:$J$58</c:f>
              <c:numCache>
                <c:formatCode>#,##0</c:formatCode>
                <c:ptCount val="5"/>
                <c:pt idx="0">
                  <c:v>2017</c:v>
                </c:pt>
                <c:pt idx="1">
                  <c:v>2018</c:v>
                </c:pt>
                <c:pt idx="2">
                  <c:v>2019</c:v>
                </c:pt>
                <c:pt idx="3">
                  <c:v>2020</c:v>
                </c:pt>
                <c:pt idx="4">
                  <c:v>2021</c:v>
                </c:pt>
              </c:numCache>
            </c:numRef>
          </c:cat>
          <c:val>
            <c:numRef>
              <c:f>'02-BUSINESS4PARTNER-OFR1'!$F$62:$J$62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E32E-4861-9872-DEBBED361F71}"/>
            </c:ext>
          </c:extLst>
        </c:ser>
        <c:dLbls>
          <c:showLegendKey val="0"/>
          <c:showVal val="0"/>
          <c:showCatName val="0"/>
          <c:showSerName val="0"/>
          <c:showPercent val="0"/>
          <c:showBubbleSize val="0"/>
        </c:dLbls>
        <c:axId val="780429008"/>
        <c:axId val="780445328"/>
      </c:areaChart>
      <c:catAx>
        <c:axId val="780429008"/>
        <c:scaling>
          <c:orientation val="minMax"/>
        </c:scaling>
        <c:delete val="0"/>
        <c:axPos val="b"/>
        <c:numFmt formatCode="#,##0" sourceLinked="1"/>
        <c:majorTickMark val="none"/>
        <c:minorTickMark val="none"/>
        <c:tickLblPos val="nextTo"/>
        <c:crossAx val="780445328"/>
        <c:crosses val="autoZero"/>
        <c:auto val="1"/>
        <c:lblAlgn val="ctr"/>
        <c:lblOffset val="100"/>
        <c:noMultiLvlLbl val="0"/>
      </c:catAx>
      <c:valAx>
        <c:axId val="780445328"/>
        <c:scaling>
          <c:orientation val="minMax"/>
        </c:scaling>
        <c:delete val="0"/>
        <c:axPos val="l"/>
        <c:majorGridlines/>
        <c:numFmt formatCode="#,##0" sourceLinked="1"/>
        <c:majorTickMark val="none"/>
        <c:minorTickMark val="none"/>
        <c:tickLblPos val="nextTo"/>
        <c:spPr>
          <a:solidFill>
            <a:schemeClr val="accent6">
              <a:lumMod val="40000"/>
              <a:lumOff val="60000"/>
            </a:schemeClr>
          </a:solidFill>
        </c:spPr>
        <c:crossAx val="780429008"/>
        <c:crosses val="autoZero"/>
        <c:crossBetween val="midCat"/>
      </c:valAx>
      <c:spPr>
        <a:solidFill>
          <a:schemeClr val="bg1">
            <a:lumMod val="95000"/>
          </a:schemeClr>
        </a:solidFill>
      </c:spPr>
    </c:plotArea>
    <c:legend>
      <c:legendPos val="b"/>
      <c:overlay val="0"/>
    </c:legend>
    <c:plotVisOnly val="1"/>
    <c:dispBlanksAs val="zero"/>
    <c:showDLblsOverMax val="0"/>
  </c:chart>
  <c:spPr>
    <a:gradFill>
      <a:gsLst>
        <a:gs pos="0">
          <a:srgbClr val="FFEFD1"/>
        </a:gs>
        <a:gs pos="64999">
          <a:srgbClr val="F0EBD5"/>
        </a:gs>
        <a:gs pos="100000">
          <a:srgbClr val="D1C39F"/>
        </a:gs>
      </a:gsLst>
      <a:lin ang="5400000" scaled="0"/>
    </a:gradFill>
    <a:ln w="31750">
      <a:solidFill>
        <a:srgbClr val="C00000"/>
      </a:solidFill>
    </a:ln>
  </c:sp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n-US" sz="2800" b="1"/>
              <a:t>Plan de Vente 3 ans </a:t>
            </a:r>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ndard"/>
        <c:varyColors val="0"/>
        <c:ser>
          <c:idx val="0"/>
          <c:order val="0"/>
          <c:tx>
            <c:strRef>
              <c:f>'SALESPLAN 3Y'!$D$59</c:f>
              <c:strCache>
                <c:ptCount val="1"/>
                <c:pt idx="0">
                  <c:v>TOTAL CA PARTENAIRE</c:v>
                </c:pt>
              </c:strCache>
            </c:strRef>
          </c:tx>
          <c:spPr>
            <a:solidFill>
              <a:schemeClr val="accent1"/>
            </a:solidFill>
            <a:ln w="25400">
              <a:noFill/>
            </a:ln>
            <a:effectLst/>
          </c:spPr>
          <c:cat>
            <c:numRef>
              <c:f>'SALESPLAN 3Y'!$G$51:$K$51</c:f>
              <c:numCache>
                <c:formatCode>General</c:formatCode>
                <c:ptCount val="5"/>
                <c:pt idx="0">
                  <c:v>2017</c:v>
                </c:pt>
                <c:pt idx="1">
                  <c:v>2018</c:v>
                </c:pt>
                <c:pt idx="2">
                  <c:v>2019</c:v>
                </c:pt>
                <c:pt idx="3">
                  <c:v>2020</c:v>
                </c:pt>
                <c:pt idx="4">
                  <c:v>2021</c:v>
                </c:pt>
              </c:numCache>
            </c:numRef>
          </c:cat>
          <c:val>
            <c:numRef>
              <c:f>'SALESPLAN 3Y'!$G$59:$K$59</c:f>
              <c:numCache>
                <c:formatCode>#,##0</c:formatCode>
                <c:ptCount val="5"/>
                <c:pt idx="0">
                  <c:v>18000</c:v>
                </c:pt>
                <c:pt idx="1">
                  <c:v>85195.8</c:v>
                </c:pt>
                <c:pt idx="2">
                  <c:v>11344125.720000001</c:v>
                </c:pt>
                <c:pt idx="3">
                  <c:v>20831728.600000001</c:v>
                </c:pt>
                <c:pt idx="4">
                  <c:v>34130722.140000001</c:v>
                </c:pt>
              </c:numCache>
            </c:numRef>
          </c:val>
          <c:extLst>
            <c:ext xmlns:c16="http://schemas.microsoft.com/office/drawing/2014/chart" uri="{C3380CC4-5D6E-409C-BE32-E72D297353CC}">
              <c16:uniqueId val="{00000000-5AE6-4FC1-A02B-AECD4FDD1FFE}"/>
            </c:ext>
          </c:extLst>
        </c:ser>
        <c:ser>
          <c:idx val="1"/>
          <c:order val="1"/>
          <c:tx>
            <c:strRef>
              <c:f>'SALESPLAN 3Y'!$D$60</c:f>
              <c:strCache>
                <c:ptCount val="1"/>
                <c:pt idx="0">
                  <c:v>TOTAL CA EQUINIX</c:v>
                </c:pt>
              </c:strCache>
            </c:strRef>
          </c:tx>
          <c:spPr>
            <a:solidFill>
              <a:schemeClr val="accent2"/>
            </a:solidFill>
            <a:ln w="25400">
              <a:noFill/>
            </a:ln>
            <a:effectLst/>
          </c:spPr>
          <c:cat>
            <c:numRef>
              <c:f>'SALESPLAN 3Y'!$G$51:$K$51</c:f>
              <c:numCache>
                <c:formatCode>General</c:formatCode>
                <c:ptCount val="5"/>
                <c:pt idx="0">
                  <c:v>2017</c:v>
                </c:pt>
                <c:pt idx="1">
                  <c:v>2018</c:v>
                </c:pt>
                <c:pt idx="2">
                  <c:v>2019</c:v>
                </c:pt>
                <c:pt idx="3">
                  <c:v>2020</c:v>
                </c:pt>
                <c:pt idx="4">
                  <c:v>2021</c:v>
                </c:pt>
              </c:numCache>
            </c:numRef>
          </c:cat>
          <c:val>
            <c:numRef>
              <c:f>'SALESPLAN 3Y'!$G$60:$K$60</c:f>
              <c:numCache>
                <c:formatCode>#,##0</c:formatCode>
                <c:ptCount val="5"/>
                <c:pt idx="0">
                  <c:v>300000</c:v>
                </c:pt>
                <c:pt idx="1">
                  <c:v>1419930</c:v>
                </c:pt>
                <c:pt idx="2">
                  <c:v>4068762</c:v>
                </c:pt>
                <c:pt idx="3">
                  <c:v>8028810</c:v>
                </c:pt>
                <c:pt idx="4">
                  <c:v>13845369</c:v>
                </c:pt>
              </c:numCache>
            </c:numRef>
          </c:val>
          <c:extLst>
            <c:ext xmlns:c16="http://schemas.microsoft.com/office/drawing/2014/chart" uri="{C3380CC4-5D6E-409C-BE32-E72D297353CC}">
              <c16:uniqueId val="{00000001-5AE6-4FC1-A02B-AECD4FDD1FFE}"/>
            </c:ext>
          </c:extLst>
        </c:ser>
        <c:dLbls>
          <c:showLegendKey val="0"/>
          <c:showVal val="0"/>
          <c:showCatName val="0"/>
          <c:showSerName val="0"/>
          <c:showPercent val="0"/>
          <c:showBubbleSize val="0"/>
        </c:dLbls>
        <c:axId val="724027312"/>
        <c:axId val="724019696"/>
      </c:areaChart>
      <c:catAx>
        <c:axId val="7240273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19696"/>
        <c:crosses val="autoZero"/>
        <c:auto val="1"/>
        <c:lblAlgn val="ctr"/>
        <c:lblOffset val="100"/>
        <c:noMultiLvlLbl val="0"/>
      </c:catAx>
      <c:valAx>
        <c:axId val="72401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273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gradFill>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gradFill>
    <a:ln w="47625" cap="flat" cmpd="sng" algn="ctr">
      <a:solidFill>
        <a:srgbClr val="C00000"/>
      </a:solidFill>
      <a:round/>
    </a:ln>
    <a:effectLst/>
  </c:spPr>
  <c:txPr>
    <a:bodyPr/>
    <a:lstStyle/>
    <a:p>
      <a:pPr>
        <a:defRPr/>
      </a:pPr>
      <a:endParaRPr lang="fr-FR"/>
    </a:p>
  </c:txPr>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b="1"/>
              <a:t>Plan de recrutement par année</a:t>
            </a:r>
          </a:p>
          <a:p>
            <a:pPr>
              <a:defRPr b="1"/>
            </a:pPr>
            <a:r>
              <a:rPr lang="fr-FR" b="1" i="1"/>
              <a:t>nombre de partenaires</a:t>
            </a:r>
          </a:p>
        </c:rich>
      </c:tx>
      <c:layout>
        <c:manualLayout>
          <c:xMode val="edge"/>
          <c:yMode val="edge"/>
          <c:x val="0.42297169659615025"/>
          <c:y val="2.0610033813182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sp3d/>
      </c:spPr>
    </c:sideWall>
    <c:backWall>
      <c:thickness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dLbl>
              <c:idx val="0"/>
              <c:layout>
                <c:manualLayout>
                  <c:x val="4.1895074185227454E-3"/>
                  <c:y val="7.4847484959292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53-4237-96DB-441B787F9803}"/>
                </c:ext>
              </c:extLst>
            </c:dLbl>
            <c:dLbl>
              <c:idx val="1"/>
              <c:layout>
                <c:manualLayout>
                  <c:x val="5.5555555555555046E-3"/>
                  <c:y val="0.124999999999999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53-4237-96DB-441B787F9803}"/>
                </c:ext>
              </c:extLst>
            </c:dLbl>
            <c:dLbl>
              <c:idx val="2"/>
              <c:layout>
                <c:manualLayout>
                  <c:x val="2.7777777777777779E-3"/>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53-4237-96DB-441B787F9803}"/>
                </c:ext>
              </c:extLst>
            </c:dLbl>
            <c:dLbl>
              <c:idx val="3"/>
              <c:layout>
                <c:manualLayout>
                  <c:x val="-1.0185067526415994E-16"/>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53-4237-96DB-441B787F980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'07-RECRUITMENTPLAN-OFR1'!$M$7:$P$7</c:f>
              <c:numCache>
                <c:formatCode>General</c:formatCode>
                <c:ptCount val="4"/>
                <c:pt idx="0">
                  <c:v>2018</c:v>
                </c:pt>
                <c:pt idx="1">
                  <c:v>2019</c:v>
                </c:pt>
                <c:pt idx="2">
                  <c:v>2020</c:v>
                </c:pt>
                <c:pt idx="3">
                  <c:v>2021</c:v>
                </c:pt>
              </c:numCache>
            </c:numRef>
          </c:cat>
          <c:val>
            <c:numRef>
              <c:f>'07-RECRUITMENTPLAN-OFR1'!$M$26:$P$26</c:f>
              <c:numCache>
                <c:formatCode>0</c:formatCode>
                <c:ptCount val="4"/>
                <c:pt idx="0">
                  <c:v>0</c:v>
                </c:pt>
                <c:pt idx="1">
                  <c:v>0</c:v>
                </c:pt>
                <c:pt idx="2">
                  <c:v>0</c:v>
                </c:pt>
                <c:pt idx="3">
                  <c:v>0</c:v>
                </c:pt>
              </c:numCache>
            </c:numRef>
          </c:val>
          <c:extLst>
            <c:ext xmlns:c16="http://schemas.microsoft.com/office/drawing/2014/chart" uri="{C3380CC4-5D6E-409C-BE32-E72D297353CC}">
              <c16:uniqueId val="{00000004-9E53-4237-96DB-441B787F9803}"/>
            </c:ext>
          </c:extLst>
        </c:ser>
        <c:dLbls>
          <c:showLegendKey val="0"/>
          <c:showVal val="1"/>
          <c:showCatName val="0"/>
          <c:showSerName val="0"/>
          <c:showPercent val="0"/>
          <c:showBubbleSize val="0"/>
        </c:dLbls>
        <c:gapWidth val="150"/>
        <c:shape val="box"/>
        <c:axId val="780430640"/>
        <c:axId val="780431184"/>
        <c:axId val="0"/>
      </c:bar3DChart>
      <c:catAx>
        <c:axId val="780430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crossAx val="780431184"/>
        <c:crosses val="autoZero"/>
        <c:auto val="1"/>
        <c:lblAlgn val="ctr"/>
        <c:lblOffset val="100"/>
        <c:noMultiLvlLbl val="0"/>
      </c:catAx>
      <c:valAx>
        <c:axId val="780431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0430640"/>
        <c:crosses val="autoZero"/>
        <c:crossBetween val="between"/>
      </c:valAx>
      <c:spPr>
        <a:noFill/>
        <a:ln>
          <a:noFill/>
        </a:ln>
        <a:effectLst/>
      </c:spPr>
    </c:plotArea>
    <c:plotVisOnly val="1"/>
    <c:dispBlanksAs val="gap"/>
    <c:showDLblsOverMax val="0"/>
  </c:chart>
  <c:spPr>
    <a:gradFill>
      <a:gsLst>
        <a:gs pos="20000">
          <a:schemeClr val="accent6">
            <a:lumMod val="10000"/>
            <a:lumOff val="90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gradFill>
    <a:ln w="38100" cap="flat" cmpd="sng" algn="ctr">
      <a:solidFill>
        <a:srgbClr val="C00000"/>
      </a:solidFill>
      <a:round/>
    </a:ln>
    <a:effectLst/>
  </c:spPr>
  <c:txPr>
    <a:bodyPr/>
    <a:lstStyle/>
    <a:p>
      <a:pPr>
        <a:defRPr/>
      </a:pPr>
      <a:endParaRPr lang="fr-FR"/>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Attractivité de l'offre pour les partenaires</a:t>
            </a:r>
            <a:endParaRPr lang="en-US" sz="1100"/>
          </a:p>
        </c:rich>
      </c:tx>
      <c:overlay val="0"/>
    </c:title>
    <c:autoTitleDeleted val="0"/>
    <c:plotArea>
      <c:layout>
        <c:manualLayout>
          <c:layoutTarget val="inner"/>
          <c:xMode val="edge"/>
          <c:yMode val="edge"/>
          <c:x val="0.36440117780611125"/>
          <c:y val="0.2190035450327632"/>
          <c:w val="0.34818552630801169"/>
          <c:h val="0.53437873177562256"/>
        </c:manualLayout>
      </c:layout>
      <c:radarChart>
        <c:radarStyle val="marker"/>
        <c:varyColors val="0"/>
        <c:ser>
          <c:idx val="0"/>
          <c:order val="0"/>
          <c:tx>
            <c:strRef>
              <c:f>'08-VALUEAD4PARTNER-OFR1'!$F$6:$G$6</c:f>
              <c:strCache>
                <c:ptCount val="1"/>
                <c:pt idx="0">
                  <c:v>EQUINIX</c:v>
                </c:pt>
              </c:strCache>
            </c:strRef>
          </c:tx>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('08-VALUEAD4PARTNER-OFR1'!$B$10:$B$18,'08-VALUEAD4PARTNER-OFR1'!$B$20:$B$34,'08-VALUEAD4PARTNER-OFR1'!$B$36:$B$40)</c:f>
              <c:numCache>
                <c:formatCode>General</c:formatCode>
                <c:ptCount val="29"/>
              </c:numCache>
            </c:numRef>
          </c:val>
          <c:extLst>
            <c:ext xmlns:c16="http://schemas.microsoft.com/office/drawing/2014/chart" uri="{C3380CC4-5D6E-409C-BE32-E72D297353CC}">
              <c16:uniqueId val="{00000000-6DFE-40D4-A2B2-50B1D7AC0B1A}"/>
            </c:ext>
          </c:extLst>
        </c:ser>
        <c:ser>
          <c:idx val="1"/>
          <c:order val="1"/>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('08-VALUEAD4PARTNER-OFR1'!$C$10:$C$18,'08-VALUEAD4PARTNER-OFR1'!$C$20:$C$34,'08-VALUEAD4PARTNER-OFR1'!$C$36:$C$40)</c:f>
              <c:numCache>
                <c:formatCode>General</c:formatCode>
                <c:ptCount val="29"/>
              </c:numCache>
            </c:numRef>
          </c:val>
          <c:extLst>
            <c:ext xmlns:c16="http://schemas.microsoft.com/office/drawing/2014/chart" uri="{C3380CC4-5D6E-409C-BE32-E72D297353CC}">
              <c16:uniqueId val="{00000001-6DFE-40D4-A2B2-50B1D7AC0B1A}"/>
            </c:ext>
          </c:extLst>
        </c:ser>
        <c:ser>
          <c:idx val="2"/>
          <c:order val="2"/>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('08-VALUEAD4PARTNER-OFR1'!$D$10:$D$18,'08-VALUEAD4PARTNER-OFR1'!$D$20:$D$34,'08-VALUEAD4PARTNER-OFR1'!$D$36:$D$40)</c:f>
              <c:numCache>
                <c:formatCode>General</c:formatCode>
                <c:ptCount val="29"/>
              </c:numCache>
            </c:numRef>
          </c:val>
          <c:extLst>
            <c:ext xmlns:c16="http://schemas.microsoft.com/office/drawing/2014/chart" uri="{C3380CC4-5D6E-409C-BE32-E72D297353CC}">
              <c16:uniqueId val="{00000002-6DFE-40D4-A2B2-50B1D7AC0B1A}"/>
            </c:ext>
          </c:extLst>
        </c:ser>
        <c:ser>
          <c:idx val="3"/>
          <c:order val="3"/>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('08-VALUEAD4PARTNER-OFR1'!$E$10:$E$18,'08-VALUEAD4PARTNER-OFR1'!$E$20:$E$34,'08-VALUEAD4PARTNER-OFR1'!$E$36:$E$40)</c:f>
              <c:numCache>
                <c:formatCode>General</c:formatCode>
                <c:ptCount val="29"/>
                <c:pt idx="8">
                  <c:v>0</c:v>
                </c:pt>
              </c:numCache>
            </c:numRef>
          </c:val>
          <c:extLst>
            <c:ext xmlns:c16="http://schemas.microsoft.com/office/drawing/2014/chart" uri="{C3380CC4-5D6E-409C-BE32-E72D297353CC}">
              <c16:uniqueId val="{00000003-6DFE-40D4-A2B2-50B1D7AC0B1A}"/>
            </c:ext>
          </c:extLst>
        </c:ser>
        <c:ser>
          <c:idx val="4"/>
          <c:order val="4"/>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('08-VALUEAD4PARTNER-OFR1'!$F$10:$F$18,'08-VALUEAD4PARTNER-OFR1'!$F$20:$F$34,'08-VALUEAD4PARTNER-OFR1'!$F$36:$F$40)</c:f>
              <c:numCache>
                <c:formatCode>General</c:formatCode>
                <c:ptCount val="29"/>
                <c:pt idx="0">
                  <c:v>0</c:v>
                </c:pt>
                <c:pt idx="8" formatCode="0.00">
                  <c:v>0</c:v>
                </c:pt>
                <c:pt idx="9">
                  <c:v>0</c:v>
                </c:pt>
                <c:pt idx="23" formatCode="0.00">
                  <c:v>0</c:v>
                </c:pt>
                <c:pt idx="24">
                  <c:v>0</c:v>
                </c:pt>
                <c:pt idx="28" formatCode="0.00">
                  <c:v>0</c:v>
                </c:pt>
              </c:numCache>
            </c:numRef>
          </c:val>
          <c:extLst>
            <c:ext xmlns:c16="http://schemas.microsoft.com/office/drawing/2014/chart" uri="{C3380CC4-5D6E-409C-BE32-E72D297353CC}">
              <c16:uniqueId val="{00000004-6DFE-40D4-A2B2-50B1D7AC0B1A}"/>
            </c:ext>
          </c:extLst>
        </c:ser>
        <c:ser>
          <c:idx val="5"/>
          <c:order val="5"/>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('08-VALUEAD4PARTNER-OFR1'!$G$10:$G$18,'08-VALUEAD4PARTNER-OFR1'!$G$20:$G$34,'08-VALUEAD4PARTNER-OFR1'!$G$36:$G$40)</c:f>
              <c:numCache>
                <c:formatCode>General</c:formatCode>
                <c:ptCount val="29"/>
              </c:numCache>
            </c:numRef>
          </c:val>
          <c:extLst>
            <c:ext xmlns:c16="http://schemas.microsoft.com/office/drawing/2014/chart" uri="{C3380CC4-5D6E-409C-BE32-E72D297353CC}">
              <c16:uniqueId val="{00000005-6DFE-40D4-A2B2-50B1D7AC0B1A}"/>
            </c:ext>
          </c:extLst>
        </c:ser>
        <c:dLbls>
          <c:showLegendKey val="0"/>
          <c:showVal val="0"/>
          <c:showCatName val="0"/>
          <c:showSerName val="0"/>
          <c:showPercent val="0"/>
          <c:showBubbleSize val="0"/>
        </c:dLbls>
        <c:axId val="780434992"/>
        <c:axId val="780449136"/>
      </c:radarChart>
      <c:catAx>
        <c:axId val="780434992"/>
        <c:scaling>
          <c:orientation val="minMax"/>
        </c:scaling>
        <c:delete val="0"/>
        <c:axPos val="b"/>
        <c:majorGridlines/>
        <c:numFmt formatCode="General" sourceLinked="1"/>
        <c:majorTickMark val="none"/>
        <c:minorTickMark val="none"/>
        <c:tickLblPos val="nextTo"/>
        <c:spPr>
          <a:ln w="9525">
            <a:noFill/>
          </a:ln>
        </c:spPr>
        <c:crossAx val="780449136"/>
        <c:crosses val="autoZero"/>
        <c:auto val="1"/>
        <c:lblAlgn val="ctr"/>
        <c:lblOffset val="100"/>
        <c:noMultiLvlLbl val="0"/>
      </c:catAx>
      <c:valAx>
        <c:axId val="780449136"/>
        <c:scaling>
          <c:orientation val="minMax"/>
        </c:scaling>
        <c:delete val="0"/>
        <c:axPos val="l"/>
        <c:majorGridlines/>
        <c:numFmt formatCode="General" sourceLinked="1"/>
        <c:majorTickMark val="none"/>
        <c:minorTickMark val="none"/>
        <c:tickLblPos val="nextTo"/>
        <c:crossAx val="780434992"/>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9999894627628179"/>
          <c:y val="7.2814085465365677E-2"/>
          <c:w val="0.27225727923909837"/>
          <c:h val="4.5292206351475947E-2"/>
        </c:manualLayout>
      </c:layout>
      <c:overlay val="0"/>
    </c:legend>
    <c:plotVisOnly val="1"/>
    <c:dispBlanksAs val="gap"/>
    <c:showDLblsOverMax val="0"/>
  </c:chart>
  <c:spPr>
    <a:gradFill>
      <a:gsLst>
        <a:gs pos="0">
          <a:srgbClr val="FFEFD1">
            <a:alpha val="98000"/>
          </a:srgbClr>
        </a:gs>
        <a:gs pos="64999">
          <a:srgbClr val="F0EBD5"/>
        </a:gs>
        <a:gs pos="100000">
          <a:srgbClr val="D1C39F"/>
        </a:gs>
      </a:gsLst>
      <a:lin ang="5400000" scaled="0"/>
    </a:gradFill>
    <a:ln w="34925">
      <a:solidFill>
        <a:srgbClr val="C00000"/>
      </a:solidFill>
    </a:ln>
  </c:sp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'08-VALUEAD4PARTNER-OFR1'!$J$6:$K$6</c:f>
              <c:strCache>
                <c:ptCount val="1"/>
                <c:pt idx="0">
                  <c:v>0</c:v>
                </c:pt>
              </c:strCache>
            </c:strRef>
          </c:tx>
          <c:spPr>
            <a:ln>
              <a:solidFill>
                <a:srgbClr val="00B050"/>
              </a:solidFill>
            </a:ln>
          </c:spPr>
          <c:marker>
            <c:symbol val="none"/>
          </c:marker>
          <c:cat>
            <c:multiLvlStrRef>
              <c:f>('08-VALUEAD4PARTNER-OFR1'!$A$10:$E$18,'08-VALUEAD4PARTNER-OFR1'!$A$20:$E$34,'08-VALUEAD4PARTNER-OFR1'!$A$36:$E$40)</c:f>
              <c:multiLvlStrCache>
                <c:ptCount val="29"/>
                <c:lvl>
                  <c:pt idx="8">
                    <c:v>Moyenne</c:v>
                  </c:pt>
                </c:lvl>
                <c:lvl>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lvl>
              </c:multiLvlStrCache>
            </c:multiLvlStrRef>
          </c:cat>
          <c:val>
            <c:numRef>
              <c:f>('08-VALUEAD4PARTNER-OFR1'!$J$10:$J$18,'08-VALUEAD4PARTNER-OFR1'!$J$20:$J$34,'08-VALUEAD4PARTNER-OFR1'!$J$36:$J$40)</c:f>
              <c:numCache>
                <c:formatCode>General</c:formatCode>
                <c:ptCount val="29"/>
                <c:pt idx="0">
                  <c:v>0</c:v>
                </c:pt>
                <c:pt idx="8" formatCode="0.00">
                  <c:v>0</c:v>
                </c:pt>
                <c:pt idx="9">
                  <c:v>0</c:v>
                </c:pt>
                <c:pt idx="23" formatCode="0.00">
                  <c:v>0</c:v>
                </c:pt>
                <c:pt idx="24">
                  <c:v>0</c:v>
                </c:pt>
                <c:pt idx="28" formatCode="0.00">
                  <c:v>0</c:v>
                </c:pt>
              </c:numCache>
            </c:numRef>
          </c:val>
          <c:extLst>
            <c:ext xmlns:c16="http://schemas.microsoft.com/office/drawing/2014/chart" uri="{C3380CC4-5D6E-409C-BE32-E72D297353CC}">
              <c16:uniqueId val="{00000000-DF64-4CF7-ADBC-9C163178B2EA}"/>
            </c:ext>
          </c:extLst>
        </c:ser>
        <c:ser>
          <c:idx val="1"/>
          <c:order val="1"/>
          <c:marker>
            <c:symbol val="none"/>
          </c:marker>
          <c:cat>
            <c:multiLvlStrRef>
              <c:f>('08-VALUEAD4PARTNER-OFR1'!$A$10:$E$18,'08-VALUEAD4PARTNER-OFR1'!$A$20:$E$34,'08-VALUEAD4PARTNER-OFR1'!$A$36:$E$40)</c:f>
              <c:multiLvlStrCache>
                <c:ptCount val="29"/>
                <c:lvl>
                  <c:pt idx="8">
                    <c:v>Moyenne</c:v>
                  </c:pt>
                </c:lvl>
                <c:lvl>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lvl>
              </c:multiLvlStrCache>
            </c:multiLvlStrRef>
          </c:cat>
          <c:val>
            <c:numRef>
              <c:f>('08-VALUEAD4PARTNER-OFR1'!$K$10:$K$18,'08-VALUEAD4PARTNER-OFR1'!$K$20:$K$34,'08-VALUEAD4PARTNER-OFR1'!$K$36:$K$40)</c:f>
              <c:numCache>
                <c:formatCode>General</c:formatCode>
                <c:ptCount val="29"/>
              </c:numCache>
            </c:numRef>
          </c:val>
          <c:extLst>
            <c:ext xmlns:c16="http://schemas.microsoft.com/office/drawing/2014/chart" uri="{C3380CC4-5D6E-409C-BE32-E72D297353CC}">
              <c16:uniqueId val="{00000001-DF64-4CF7-ADBC-9C163178B2EA}"/>
            </c:ext>
          </c:extLst>
        </c:ser>
        <c:dLbls>
          <c:showLegendKey val="0"/>
          <c:showVal val="0"/>
          <c:showCatName val="0"/>
          <c:showSerName val="0"/>
          <c:showPercent val="0"/>
          <c:showBubbleSize val="0"/>
        </c:dLbls>
        <c:axId val="780431728"/>
        <c:axId val="780419760"/>
      </c:radarChart>
      <c:catAx>
        <c:axId val="780431728"/>
        <c:scaling>
          <c:orientation val="minMax"/>
        </c:scaling>
        <c:delete val="0"/>
        <c:axPos val="b"/>
        <c:majorGridlines/>
        <c:numFmt formatCode="General" sourceLinked="0"/>
        <c:majorTickMark val="none"/>
        <c:minorTickMark val="none"/>
        <c:tickLblPos val="nextTo"/>
        <c:spPr>
          <a:ln w="9525">
            <a:noFill/>
          </a:ln>
        </c:spPr>
        <c:crossAx val="780419760"/>
        <c:crosses val="autoZero"/>
        <c:auto val="1"/>
        <c:lblAlgn val="ctr"/>
        <c:lblOffset val="100"/>
        <c:noMultiLvlLbl val="0"/>
      </c:catAx>
      <c:valAx>
        <c:axId val="780419760"/>
        <c:scaling>
          <c:orientation val="minMax"/>
        </c:scaling>
        <c:delete val="0"/>
        <c:axPos val="l"/>
        <c:majorGridlines/>
        <c:numFmt formatCode="General" sourceLinked="1"/>
        <c:majorTickMark val="none"/>
        <c:minorTickMark val="none"/>
        <c:tickLblPos val="nextTo"/>
        <c:crossAx val="780431728"/>
        <c:crosses val="autoZero"/>
        <c:crossBetween val="between"/>
      </c:valAx>
    </c:plotArea>
    <c:legend>
      <c:legendPos val="r"/>
      <c:legendEntry>
        <c:idx val="1"/>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Attractivité Offre</a:t>
            </a:r>
          </a:p>
        </c:rich>
      </c:tx>
      <c:overlay val="0"/>
    </c:title>
    <c:autoTitleDeleted val="0"/>
    <c:plotArea>
      <c:layout>
        <c:manualLayout>
          <c:layoutTarget val="inner"/>
          <c:xMode val="edge"/>
          <c:yMode val="edge"/>
          <c:x val="0.31947013956863429"/>
          <c:y val="0.2099956339109619"/>
          <c:w val="0.40912603948583498"/>
          <c:h val="0.65554046661949283"/>
        </c:manualLayout>
      </c:layout>
      <c:radarChart>
        <c:radarStyle val="marker"/>
        <c:varyColors val="0"/>
        <c:ser>
          <c:idx val="0"/>
          <c:order val="0"/>
          <c:tx>
            <c:strRef>
              <c:f>'08-VALUEAD4PARTNER-OFR1'!$H$6:$I$6</c:f>
              <c:strCache>
                <c:ptCount val="1"/>
                <c:pt idx="0">
                  <c:v>ASEMA</c:v>
                </c:pt>
              </c:strCache>
            </c:strRef>
          </c:tx>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('08-VALUEAD4PARTNER-OFR1'!$B$10:$B$18,'08-VALUEAD4PARTNER-OFR1'!$B$20:$B$34,'08-VALUEAD4PARTNER-OFR1'!$B$36:$B$40)</c:f>
              <c:numCache>
                <c:formatCode>General</c:formatCode>
                <c:ptCount val="29"/>
              </c:numCache>
            </c:numRef>
          </c:val>
          <c:extLst>
            <c:ext xmlns:c16="http://schemas.microsoft.com/office/drawing/2014/chart" uri="{C3380CC4-5D6E-409C-BE32-E72D297353CC}">
              <c16:uniqueId val="{00000000-1D4D-4DBD-888E-134C6BD58456}"/>
            </c:ext>
          </c:extLst>
        </c:ser>
        <c:ser>
          <c:idx val="1"/>
          <c:order val="1"/>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('08-VALUEAD4PARTNER-OFR1'!$C$10:$C$18,'08-VALUEAD4PARTNER-OFR1'!$C$20:$C$34,'08-VALUEAD4PARTNER-OFR1'!$C$36:$C$40)</c:f>
              <c:numCache>
                <c:formatCode>General</c:formatCode>
                <c:ptCount val="29"/>
              </c:numCache>
            </c:numRef>
          </c:val>
          <c:extLst>
            <c:ext xmlns:c16="http://schemas.microsoft.com/office/drawing/2014/chart" uri="{C3380CC4-5D6E-409C-BE32-E72D297353CC}">
              <c16:uniqueId val="{00000001-1D4D-4DBD-888E-134C6BD58456}"/>
            </c:ext>
          </c:extLst>
        </c:ser>
        <c:ser>
          <c:idx val="2"/>
          <c:order val="2"/>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('08-VALUEAD4PARTNER-OFR1'!$D$10:$D$18,'08-VALUEAD4PARTNER-OFR1'!$D$20:$D$34,'08-VALUEAD4PARTNER-OFR1'!$D$36:$D$40)</c:f>
              <c:numCache>
                <c:formatCode>General</c:formatCode>
                <c:ptCount val="29"/>
              </c:numCache>
            </c:numRef>
          </c:val>
          <c:extLst>
            <c:ext xmlns:c16="http://schemas.microsoft.com/office/drawing/2014/chart" uri="{C3380CC4-5D6E-409C-BE32-E72D297353CC}">
              <c16:uniqueId val="{00000002-1D4D-4DBD-888E-134C6BD58456}"/>
            </c:ext>
          </c:extLst>
        </c:ser>
        <c:ser>
          <c:idx val="3"/>
          <c:order val="3"/>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('08-VALUEAD4PARTNER-OFR1'!$E$10:$E$18,'08-VALUEAD4PARTNER-OFR1'!$E$20:$E$34,'08-VALUEAD4PARTNER-OFR1'!$E$36:$E$40)</c:f>
              <c:numCache>
                <c:formatCode>General</c:formatCode>
                <c:ptCount val="29"/>
                <c:pt idx="8">
                  <c:v>0</c:v>
                </c:pt>
              </c:numCache>
            </c:numRef>
          </c:val>
          <c:extLst>
            <c:ext xmlns:c16="http://schemas.microsoft.com/office/drawing/2014/chart" uri="{C3380CC4-5D6E-409C-BE32-E72D297353CC}">
              <c16:uniqueId val="{00000003-1D4D-4DBD-888E-134C6BD58456}"/>
            </c:ext>
          </c:extLst>
        </c:ser>
        <c:ser>
          <c:idx val="4"/>
          <c:order val="4"/>
          <c:spPr>
            <a:ln>
              <a:solidFill>
                <a:srgbClr val="C00000"/>
              </a:solidFill>
            </a:ln>
          </c:spPr>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('08-VALUEAD4PARTNER-OFR1'!$H$10:$H$18,'08-VALUEAD4PARTNER-OFR1'!$H$20:$H$34,'08-VALUEAD4PARTNER-OFR1'!$H$36:$H$40)</c:f>
              <c:numCache>
                <c:formatCode>General</c:formatCode>
                <c:ptCount val="29"/>
                <c:pt idx="0">
                  <c:v>0</c:v>
                </c:pt>
                <c:pt idx="8" formatCode="0.00">
                  <c:v>0</c:v>
                </c:pt>
                <c:pt idx="9">
                  <c:v>0</c:v>
                </c:pt>
                <c:pt idx="23" formatCode="0.00">
                  <c:v>0</c:v>
                </c:pt>
                <c:pt idx="24">
                  <c:v>0</c:v>
                </c:pt>
                <c:pt idx="28" formatCode="0.00">
                  <c:v>0</c:v>
                </c:pt>
              </c:numCache>
            </c:numRef>
          </c:val>
          <c:extLst>
            <c:ext xmlns:c16="http://schemas.microsoft.com/office/drawing/2014/chart" uri="{C3380CC4-5D6E-409C-BE32-E72D297353CC}">
              <c16:uniqueId val="{00000004-1D4D-4DBD-888E-134C6BD58456}"/>
            </c:ext>
          </c:extLst>
        </c:ser>
        <c:ser>
          <c:idx val="5"/>
          <c:order val="5"/>
          <c:marker>
            <c:symbol val="none"/>
          </c:marker>
          <c:cat>
            <c:strRef>
              <c:f>('08-VALUEAD4PARTNER-OFR1'!$A$10:$A$18,'08-VALUEAD4PARTNER-OFR1'!$A$20:$A$34,'08-VALUEAD4PARTNER-OFR1'!$A$36:$A$40)</c:f>
              <c:strCache>
                <c:ptCount val="29"/>
                <c:pt idx="0">
                  <c:v>Easy à comprendre pour un "bon" partenaire</c:v>
                </c:pt>
                <c:pt idx="1">
                  <c:v>Easy à vendre</c:v>
                </c:pt>
                <c:pt idx="2">
                  <c:v>Easy à maintenir</c:v>
                </c:pt>
                <c:pt idx="3">
                  <c:v>Easy à installer</c:v>
                </c:pt>
                <c:pt idx="4">
                  <c:v>Easy à former les clients</c:v>
                </c:pt>
                <c:pt idx="5">
                  <c:v>Easy à intégrer</c:v>
                </c:pt>
                <c:pt idx="6">
                  <c:v>Easy à dupliquer / répéter</c:v>
                </c:pt>
                <c:pt idx="7">
                  <c:v>Réputation de la solution</c:v>
                </c:pt>
                <c:pt idx="9">
                  <c:v>Dynamisme du marché</c:v>
                </c:pt>
                <c:pt idx="10">
                  <c:v>Opportunité de facturer ses services à Valeur ajoutée</c:v>
                </c:pt>
                <c:pt idx="11">
                  <c:v>Potentiel d'accompagnement chez les clients</c:v>
                </c:pt>
                <c:pt idx="12">
                  <c:v>Renforce l'image de marque du partenaire</c:v>
                </c:pt>
                <c:pt idx="13">
                  <c:v>Renforce sa base installée ( upsell )</c:v>
                </c:pt>
                <c:pt idx="14">
                  <c:v>Acquerir de nouveaux clients</c:v>
                </c:pt>
                <c:pt idx="15">
                  <c:v>Améliorer leur taux de signature</c:v>
                </c:pt>
                <c:pt idx="16">
                  <c:v>Apporte un argument différenciateur</c:v>
                </c:pt>
                <c:pt idx="17">
                  <c:v>ROI et TCO faciles à démontrer</c:v>
                </c:pt>
                <c:pt idx="18">
                  <c:v>Répond à des besoins critiques</c:v>
                </c:pt>
                <c:pt idx="19">
                  <c:v>Ralentit sa concurrence</c:v>
                </c:pt>
                <c:pt idx="20">
                  <c:v>Cheval de Troie</c:v>
                </c:pt>
                <c:pt idx="21">
                  <c:v>Complète son offre</c:v>
                </c:pt>
                <c:pt idx="22">
                  <c:v>Assure du revenu récurrent</c:v>
                </c:pt>
                <c:pt idx="23">
                  <c:v>Moyenne</c:v>
                </c:pt>
                <c:pt idx="24">
                  <c:v>S'intègre facilement avec son organisation en place</c:v>
                </c:pt>
                <c:pt idx="25">
                  <c:v>Améliore la productivité de ses consultants techniques</c:v>
                </c:pt>
                <c:pt idx="26">
                  <c:v>Améliore la productivité des commerciaux</c:v>
                </c:pt>
                <c:pt idx="27">
                  <c:v>Effort marketing marginal pour promouvoir l'offre</c:v>
                </c:pt>
                <c:pt idx="28">
                  <c:v>Moyenne</c:v>
                </c:pt>
              </c:strCache>
            </c:strRef>
          </c:cat>
          <c:val>
            <c:numRef>
              <c:f>('08-VALUEAD4PARTNER-OFR1'!$I$10:$I$18,'08-VALUEAD4PARTNER-OFR1'!$I$20:$I$34,'08-VALUEAD4PARTNER-OFR1'!$I$36:$I$40)</c:f>
              <c:numCache>
                <c:formatCode>General</c:formatCode>
                <c:ptCount val="29"/>
              </c:numCache>
            </c:numRef>
          </c:val>
          <c:extLst>
            <c:ext xmlns:c16="http://schemas.microsoft.com/office/drawing/2014/chart" uri="{C3380CC4-5D6E-409C-BE32-E72D297353CC}">
              <c16:uniqueId val="{00000005-1D4D-4DBD-888E-134C6BD58456}"/>
            </c:ext>
          </c:extLst>
        </c:ser>
        <c:dLbls>
          <c:showLegendKey val="0"/>
          <c:showVal val="0"/>
          <c:showCatName val="0"/>
          <c:showSerName val="0"/>
          <c:showPercent val="0"/>
          <c:showBubbleSize val="0"/>
        </c:dLbls>
        <c:axId val="780424112"/>
        <c:axId val="780445872"/>
      </c:radarChart>
      <c:catAx>
        <c:axId val="780424112"/>
        <c:scaling>
          <c:orientation val="minMax"/>
        </c:scaling>
        <c:delete val="0"/>
        <c:axPos val="b"/>
        <c:majorGridlines/>
        <c:numFmt formatCode="General" sourceLinked="0"/>
        <c:majorTickMark val="none"/>
        <c:minorTickMark val="none"/>
        <c:tickLblPos val="nextTo"/>
        <c:spPr>
          <a:ln w="9525">
            <a:noFill/>
          </a:ln>
        </c:spPr>
        <c:crossAx val="780445872"/>
        <c:crosses val="autoZero"/>
        <c:auto val="1"/>
        <c:lblAlgn val="ctr"/>
        <c:lblOffset val="100"/>
        <c:noMultiLvlLbl val="0"/>
      </c:catAx>
      <c:valAx>
        <c:axId val="780445872"/>
        <c:scaling>
          <c:orientation val="minMax"/>
        </c:scaling>
        <c:delete val="0"/>
        <c:axPos val="l"/>
        <c:majorGridlines/>
        <c:numFmt formatCode="General" sourceLinked="1"/>
        <c:majorTickMark val="none"/>
        <c:minorTickMark val="none"/>
        <c:tickLblPos val="nextTo"/>
        <c:crossAx val="780424112"/>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3336144258465132"/>
          <c:y val="3.8451493754485269E-2"/>
          <c:w val="0.19660793338748797"/>
          <c:h val="4.7293297959453071E-2"/>
        </c:manualLayout>
      </c:layout>
      <c:overlay val="0"/>
      <c:txPr>
        <a:bodyPr/>
        <a:lstStyle/>
        <a:p>
          <a:pPr>
            <a:defRPr sz="1100"/>
          </a:pPr>
          <a:endParaRPr lang="fr-FR"/>
        </a:p>
      </c:txPr>
    </c:legend>
    <c:plotVisOnly val="1"/>
    <c:dispBlanksAs val="gap"/>
    <c:showDLblsOverMax val="0"/>
  </c:chart>
  <c:spPr>
    <a:gradFill>
      <a:gsLst>
        <a:gs pos="0">
          <a:srgbClr val="FFEFD1">
            <a:alpha val="98000"/>
          </a:srgbClr>
        </a:gs>
        <a:gs pos="64999">
          <a:srgbClr val="F0EBD5"/>
        </a:gs>
        <a:gs pos="100000">
          <a:srgbClr val="D1C39F"/>
        </a:gs>
      </a:gsLst>
      <a:lin ang="5400000" scaled="0"/>
    </a:gradFill>
    <a:ln w="31750">
      <a:solidFill>
        <a:srgbClr val="C00000"/>
      </a:solidFill>
    </a:ln>
  </c:sp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Perspectives de gain sur 3 ans </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'09-PROFITPARTNER-OFR1'!$A$126:$D$126</c:f>
              <c:strCache>
                <c:ptCount val="4"/>
                <c:pt idx="0">
                  <c:v>TOTAL CA CLIENTS  FINAUX</c:v>
                </c:pt>
              </c:strCache>
            </c:strRef>
          </c:tx>
          <c:spPr>
            <a:gradFill>
              <a:gsLst>
                <a:gs pos="7900">
                  <a:srgbClr val="D3E3C0"/>
                </a:gs>
                <a:gs pos="0">
                  <a:srgbClr val="DDEBCF"/>
                </a:gs>
                <a:gs pos="1000">
                  <a:srgbClr val="9CB86E"/>
                </a:gs>
                <a:gs pos="85000">
                  <a:srgbClr val="156B13"/>
                </a:gs>
              </a:gsLst>
              <a:lin ang="5400000" scaled="0"/>
            </a:gradFill>
          </c:spPr>
          <c:invertIfNegative val="0"/>
          <c:dLbls>
            <c:spPr>
              <a:noFill/>
              <a:ln>
                <a:noFill/>
              </a:ln>
              <a:effectLst/>
            </c:spPr>
            <c:txPr>
              <a:bodyPr wrap="square" lIns="38100" tIns="19050" rIns="38100" bIns="19050" anchor="ctr">
                <a:spAutoFit/>
              </a:bodyPr>
              <a:lstStyle/>
              <a:p>
                <a:pPr>
                  <a:defRPr sz="2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'09-PROFITPARTNER-OFR1'!$E$113:$J$113</c:f>
              <c:numCache>
                <c:formatCode>0" deals"</c:formatCode>
                <c:ptCount val="6"/>
                <c:pt idx="0">
                  <c:v>1</c:v>
                </c:pt>
                <c:pt idx="2">
                  <c:v>1</c:v>
                </c:pt>
                <c:pt idx="4">
                  <c:v>1</c:v>
                </c:pt>
              </c:numCache>
            </c:numRef>
          </c:cat>
          <c:val>
            <c:numRef>
              <c:f>'09-PROFITPARTNER-OFR1'!$E$151:$J$151</c:f>
              <c:numCache>
                <c:formatCode>#,##0</c:formatCode>
                <c:ptCount val="6"/>
                <c:pt idx="0">
                  <c:v>277760</c:v>
                </c:pt>
                <c:pt idx="2">
                  <c:v>0</c:v>
                </c:pt>
                <c:pt idx="4">
                  <c:v>0</c:v>
                </c:pt>
              </c:numCache>
            </c:numRef>
          </c:val>
          <c:extLst>
            <c:ext xmlns:c16="http://schemas.microsoft.com/office/drawing/2014/chart" uri="{C3380CC4-5D6E-409C-BE32-E72D297353CC}">
              <c16:uniqueId val="{00000000-6395-45DC-8180-91186A4319B0}"/>
            </c:ext>
          </c:extLst>
        </c:ser>
        <c:ser>
          <c:idx val="1"/>
          <c:order val="1"/>
          <c:tx>
            <c:strRef>
              <c:f>'09-PROFITPARTNER-OFR1'!$A$157:$D$157</c:f>
              <c:strCache>
                <c:ptCount val="4"/>
                <c:pt idx="0">
                  <c:v>MARGE NETTE POUR LE PARTENAIRE</c:v>
                </c:pt>
              </c:strCache>
            </c:strRef>
          </c:tx>
          <c:spPr>
            <a:gradFill>
              <a:gsLst>
                <a:gs pos="0">
                  <a:srgbClr val="03D4A8"/>
                </a:gs>
                <a:gs pos="25000">
                  <a:srgbClr val="21D6E0"/>
                </a:gs>
                <a:gs pos="75000">
                  <a:srgbClr val="0087E6"/>
                </a:gs>
                <a:gs pos="100000">
                  <a:srgbClr val="005CBF"/>
                </a:gs>
              </a:gsLst>
              <a:lin ang="5400000" scaled="0"/>
            </a:gradFill>
          </c:spPr>
          <c:invertIfNegative val="0"/>
          <c:dLbls>
            <c:spPr>
              <a:noFill/>
              <a:ln>
                <a:noFill/>
              </a:ln>
              <a:effectLst/>
            </c:spPr>
            <c:txPr>
              <a:bodyPr wrap="square" lIns="38100" tIns="19050" rIns="38100" bIns="19050" anchor="ctr">
                <a:spAutoFit/>
              </a:bodyPr>
              <a:lstStyle/>
              <a:p>
                <a:pPr>
                  <a:defRPr sz="2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'09-PROFITPARTNER-OFR1'!$E$113:$J$113</c:f>
              <c:numCache>
                <c:formatCode>0" deals"</c:formatCode>
                <c:ptCount val="6"/>
                <c:pt idx="0">
                  <c:v>1</c:v>
                </c:pt>
                <c:pt idx="2">
                  <c:v>1</c:v>
                </c:pt>
                <c:pt idx="4">
                  <c:v>1</c:v>
                </c:pt>
              </c:numCache>
            </c:numRef>
          </c:cat>
          <c:val>
            <c:numRef>
              <c:f>'09-PROFITPARTNER-OFR1'!$E$157:$J$157</c:f>
              <c:numCache>
                <c:formatCode>#,##0</c:formatCode>
                <c:ptCount val="6"/>
                <c:pt idx="0">
                  <c:v>0</c:v>
                </c:pt>
                <c:pt idx="2">
                  <c:v>0</c:v>
                </c:pt>
                <c:pt idx="4">
                  <c:v>0</c:v>
                </c:pt>
              </c:numCache>
            </c:numRef>
          </c:val>
          <c:extLst>
            <c:ext xmlns:c16="http://schemas.microsoft.com/office/drawing/2014/chart" uri="{C3380CC4-5D6E-409C-BE32-E72D297353CC}">
              <c16:uniqueId val="{00000001-6395-45DC-8180-91186A4319B0}"/>
            </c:ext>
          </c:extLst>
        </c:ser>
        <c:dLbls>
          <c:showLegendKey val="0"/>
          <c:showVal val="1"/>
          <c:showCatName val="0"/>
          <c:showSerName val="0"/>
          <c:showPercent val="0"/>
          <c:showBubbleSize val="0"/>
        </c:dLbls>
        <c:gapWidth val="75"/>
        <c:shape val="cylinder"/>
        <c:axId val="780432816"/>
        <c:axId val="780422480"/>
        <c:axId val="0"/>
      </c:bar3DChart>
      <c:catAx>
        <c:axId val="780432816"/>
        <c:scaling>
          <c:orientation val="minMax"/>
        </c:scaling>
        <c:delete val="0"/>
        <c:axPos val="b"/>
        <c:majorGridlines/>
        <c:numFmt formatCode="0&quot; deals&quot;" sourceLinked="1"/>
        <c:majorTickMark val="none"/>
        <c:minorTickMark val="none"/>
        <c:tickLblPos val="nextTo"/>
        <c:crossAx val="780422480"/>
        <c:crosses val="autoZero"/>
        <c:auto val="1"/>
        <c:lblAlgn val="ctr"/>
        <c:lblOffset val="100"/>
        <c:noMultiLvlLbl val="0"/>
      </c:catAx>
      <c:valAx>
        <c:axId val="780422480"/>
        <c:scaling>
          <c:orientation val="minMax"/>
        </c:scaling>
        <c:delete val="0"/>
        <c:axPos val="l"/>
        <c:majorGridlines/>
        <c:numFmt formatCode="#,##0" sourceLinked="1"/>
        <c:majorTickMark val="none"/>
        <c:minorTickMark val="none"/>
        <c:tickLblPos val="nextTo"/>
        <c:spPr>
          <a:ln w="9525">
            <a:noFill/>
          </a:ln>
        </c:spPr>
        <c:crossAx val="780432816"/>
        <c:crosses val="autoZero"/>
        <c:crossBetween val="between"/>
      </c:valAx>
    </c:plotArea>
    <c:legend>
      <c:legendPos val="b"/>
      <c:overlay val="0"/>
      <c:txPr>
        <a:bodyPr/>
        <a:lstStyle/>
        <a:p>
          <a:pPr>
            <a:defRPr sz="1400" b="1"/>
          </a:pPr>
          <a:endParaRPr lang="fr-FR"/>
        </a:p>
      </c:txPr>
    </c:legend>
    <c:plotVisOnly val="1"/>
    <c:dispBlanksAs val="gap"/>
    <c:showDLblsOverMax val="0"/>
  </c:chart>
  <c:spPr>
    <a:gradFill>
      <a:gsLst>
        <a:gs pos="0">
          <a:srgbClr val="FFEFD1"/>
        </a:gs>
        <a:gs pos="64999">
          <a:srgbClr val="F0EBD5"/>
        </a:gs>
        <a:gs pos="100000">
          <a:srgbClr val="D1C39F"/>
        </a:gs>
      </a:gsLst>
      <a:lin ang="5400000" scaled="0"/>
    </a:gradFill>
    <a:ln w="25400">
      <a:solidFill>
        <a:srgbClr val="C00000"/>
      </a:solidFill>
    </a:ln>
  </c:spPr>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SOURCE DE CONFLITS </a:t>
            </a:r>
          </a:p>
        </c:rich>
      </c:tx>
      <c:overlay val="0"/>
    </c:title>
    <c:autoTitleDeleted val="0"/>
    <c:plotArea>
      <c:layout/>
      <c:radarChart>
        <c:radarStyle val="marker"/>
        <c:varyColors val="0"/>
        <c:ser>
          <c:idx val="0"/>
          <c:order val="0"/>
          <c:marker>
            <c:symbol val="none"/>
          </c:marker>
          <c:cat>
            <c:strRef>
              <c:f>'05-SOURCECONFLICT'!$A$8:$G$22</c:f>
              <c:strCache>
                <c:ptCount val="15"/>
                <c:pt idx="0">
                  <c:v>Définition des territoires entre vente directe et partenaires</c:v>
                </c:pt>
                <c:pt idx="1">
                  <c:v>Règles de reconnaissance sur les Affaires internationales</c:v>
                </c:pt>
                <c:pt idx="2">
                  <c:v>Claridfication des missions  des channel managers</c:v>
                </c:pt>
                <c:pt idx="3">
                  <c:v>Claridfication des KPIs des channel managers</c:v>
                </c:pt>
                <c:pt idx="4">
                  <c:v>Homogénéité et transparence des conditions standards de remise aux partenaires</c:v>
                </c:pt>
                <c:pt idx="5">
                  <c:v>Gouvernance et définition des rôles et responsabilités entre vous et vos partenaires </c:v>
                </c:pt>
                <c:pt idx="6">
                  <c:v>Règles des relations Direct-Indirect sur une affaire</c:v>
                </c:pt>
                <c:pt idx="7">
                  <c:v>Clarification du process d'affectation des leads aux partenaires</c:v>
                </c:pt>
                <c:pt idx="8">
                  <c:v>Clarification du process d'enregistrement des leads</c:v>
                </c:pt>
                <c:pt idx="9">
                  <c:v>Relationship Services-Partners</c:v>
                </c:pt>
                <c:pt idx="10">
                  <c:v>Partner Charter</c:v>
                </c:pt>
                <c:pt idx="11">
                  <c:v>Contrats partenaires</c:v>
                </c:pt>
                <c:pt idx="12">
                  <c:v>Teaming Agreement</c:v>
                </c:pt>
                <c:pt idx="13">
                  <c:v>Overdistribution</c:v>
                </c:pt>
                <c:pt idx="14">
                  <c:v>Recruitment plan </c:v>
                </c:pt>
              </c:strCache>
            </c:strRef>
          </c:cat>
          <c:val>
            <c:numRef>
              <c:f>'05-SOURCECONFLICT'!$M$8:$M$22</c:f>
              <c:numCache>
                <c:formatCode>General</c:formatCode>
                <c:ptCount val="15"/>
              </c:numCache>
            </c:numRef>
          </c:val>
          <c:extLst>
            <c:ext xmlns:c16="http://schemas.microsoft.com/office/drawing/2014/chart" uri="{C3380CC4-5D6E-409C-BE32-E72D297353CC}">
              <c16:uniqueId val="{00000000-3A6C-4B03-9CDE-0128CBA33B4C}"/>
            </c:ext>
          </c:extLst>
        </c:ser>
        <c:ser>
          <c:idx val="1"/>
          <c:order val="1"/>
          <c:marker>
            <c:symbol val="none"/>
          </c:marker>
          <c:cat>
            <c:strRef>
              <c:f>'05-SOURCECONFLICT'!$A$8:$G$22</c:f>
              <c:strCache>
                <c:ptCount val="15"/>
                <c:pt idx="0">
                  <c:v>Définition des territoires entre vente directe et partenaires</c:v>
                </c:pt>
                <c:pt idx="1">
                  <c:v>Règles de reconnaissance sur les Affaires internationales</c:v>
                </c:pt>
                <c:pt idx="2">
                  <c:v>Claridfication des missions  des channel managers</c:v>
                </c:pt>
                <c:pt idx="3">
                  <c:v>Claridfication des KPIs des channel managers</c:v>
                </c:pt>
                <c:pt idx="4">
                  <c:v>Homogénéité et transparence des conditions standards de remise aux partenaires</c:v>
                </c:pt>
                <c:pt idx="5">
                  <c:v>Gouvernance et définition des rôles et responsabilités entre vous et vos partenaires </c:v>
                </c:pt>
                <c:pt idx="6">
                  <c:v>Règles des relations Direct-Indirect sur une affaire</c:v>
                </c:pt>
                <c:pt idx="7">
                  <c:v>Clarification du process d'affectation des leads aux partenaires</c:v>
                </c:pt>
                <c:pt idx="8">
                  <c:v>Clarification du process d'enregistrement des leads</c:v>
                </c:pt>
                <c:pt idx="9">
                  <c:v>Relationship Services-Partners</c:v>
                </c:pt>
                <c:pt idx="10">
                  <c:v>Partner Charter</c:v>
                </c:pt>
                <c:pt idx="11">
                  <c:v>Contrats partenaires</c:v>
                </c:pt>
                <c:pt idx="12">
                  <c:v>Teaming Agreement</c:v>
                </c:pt>
                <c:pt idx="13">
                  <c:v>Overdistribution</c:v>
                </c:pt>
                <c:pt idx="14">
                  <c:v>Recruitment plan </c:v>
                </c:pt>
              </c:strCache>
            </c:strRef>
          </c:cat>
          <c:val>
            <c:numRef>
              <c:f>'05-SOURCECONFLICT'!$N$8:$N$22</c:f>
              <c:numCache>
                <c:formatCode>General</c:formatCode>
                <c:ptCount val="15"/>
              </c:numCache>
            </c:numRef>
          </c:val>
          <c:extLst>
            <c:ext xmlns:c16="http://schemas.microsoft.com/office/drawing/2014/chart" uri="{C3380CC4-5D6E-409C-BE32-E72D297353CC}">
              <c16:uniqueId val="{00000000-1572-41D7-B6A6-B356EFF72884}"/>
            </c:ext>
          </c:extLst>
        </c:ser>
        <c:dLbls>
          <c:showLegendKey val="0"/>
          <c:showVal val="0"/>
          <c:showCatName val="0"/>
          <c:showSerName val="0"/>
          <c:showPercent val="0"/>
          <c:showBubbleSize val="0"/>
        </c:dLbls>
        <c:axId val="780425200"/>
        <c:axId val="780448048"/>
      </c:radarChart>
      <c:catAx>
        <c:axId val="780425200"/>
        <c:scaling>
          <c:orientation val="minMax"/>
        </c:scaling>
        <c:delete val="0"/>
        <c:axPos val="b"/>
        <c:majorGridlines/>
        <c:numFmt formatCode="General" sourceLinked="0"/>
        <c:majorTickMark val="out"/>
        <c:minorTickMark val="none"/>
        <c:tickLblPos val="nextTo"/>
        <c:crossAx val="780448048"/>
        <c:crosses val="autoZero"/>
        <c:auto val="1"/>
        <c:lblAlgn val="ctr"/>
        <c:lblOffset val="100"/>
        <c:noMultiLvlLbl val="0"/>
      </c:catAx>
      <c:valAx>
        <c:axId val="780448048"/>
        <c:scaling>
          <c:orientation val="minMax"/>
        </c:scaling>
        <c:delete val="0"/>
        <c:axPos val="l"/>
        <c:majorGridlines/>
        <c:numFmt formatCode="General" sourceLinked="1"/>
        <c:majorTickMark val="cross"/>
        <c:minorTickMark val="none"/>
        <c:tickLblPos val="nextTo"/>
        <c:crossAx val="780425200"/>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34925">
      <a:solidFill>
        <a:srgbClr val="C00000"/>
      </a:solidFill>
    </a:ln>
  </c:spPr>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fr-FR"/>
              <a:t>ECARTS CONVERGENCE / DIVERGENCE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fr-FR"/>
        </a:p>
      </c:txPr>
    </c:title>
    <c:autoTitleDeleted val="0"/>
    <c:plotArea>
      <c:layout/>
      <c:radarChart>
        <c:radarStyle val="marker"/>
        <c:varyColors val="0"/>
        <c:ser>
          <c:idx val="0"/>
          <c:order val="0"/>
          <c:spPr>
            <a:ln w="15875" cap="rnd">
              <a:solidFill>
                <a:schemeClr val="accent1"/>
              </a:solidFill>
              <a:round/>
            </a:ln>
            <a:effectLst>
              <a:outerShdw blurRad="40000" dist="20000" dir="5400000" rotWithShape="0">
                <a:srgbClr val="000000">
                  <a:alpha val="38000"/>
                </a:srgbClr>
              </a:outerShdw>
            </a:effectLst>
          </c:spPr>
          <c:marker>
            <c:symbol val="none"/>
          </c:marker>
          <c:cat>
            <c:strRef>
              <c:f>(EXPECTATIONS!$A$12:$A$22,EXPECTATIONS!$A$26:$A$33,EXPECTATIONS!$A$37:$A$50)</c:f>
              <c:strCache>
                <c:ptCount val="32"/>
                <c:pt idx="0">
                  <c:v>Développer le new business / conquête de marché</c:v>
                </c:pt>
                <c:pt idx="1">
                  <c:v>Consolider la base installée</c:v>
                </c:pt>
                <c:pt idx="2">
                  <c:v>Améliorer le taux de présence commerciale </c:v>
                </c:pt>
                <c:pt idx="3">
                  <c:v>Attaquer le marché des grands comptes ( &gt; 5000 employés )</c:v>
                </c:pt>
                <c:pt idx="4">
                  <c:v>Attaquer le marché des ETI ( 250 à 5000 employés )</c:v>
                </c:pt>
                <c:pt idx="5">
                  <c:v>Attaquer le marché PME/PMI ( 50 à 250 employés ) </c:v>
                </c:pt>
                <c:pt idx="6">
                  <c:v>Attaquer le marché des TPE  ( &lt; 50 employés ) </c:v>
                </c:pt>
                <c:pt idx="7">
                  <c:v>Maillage géographique. Obtenir une meilleure couverture géographique du territoire: </c:v>
                </c:pt>
                <c:pt idx="8">
                  <c:v>Maillage sectoriel ou vertical. Améliorer une meilleure couverture des marchés sectoriels / métiers / verticaux</c:v>
                </c:pt>
                <c:pt idx="9">
                  <c:v>Maillage international. Améliorer la couverture des pays ou continents</c:v>
                </c:pt>
                <c:pt idx="11">
                  <c:v>Services. Proposer aux clients des compétences de déploiement / d'intégration / installation / développement / formation / conseil complémentaires </c:v>
                </c:pt>
                <c:pt idx="12">
                  <c:v>Package Métier. Construire et commercialiser des offres verticalisées adaptées aux métiers</c:v>
                </c:pt>
                <c:pt idx="13">
                  <c:v>Projets complexes. Adresser les grands projets</c:v>
                </c:pt>
                <c:pt idx="14">
                  <c:v>Services de proximité. Proposer aux clients un service proche de chez lui, compétent et réactif </c:v>
                </c:pt>
                <c:pt idx="15">
                  <c:v>Services de proximité en France.  Proposer aux clients un service proche de chez lui, compétent et réactif en France</c:v>
                </c:pt>
                <c:pt idx="16">
                  <c:v>Enrichissement de l'offre. Compléter l'offre avec des solutions techniques ou fonctionnelles provenant d'éditeurs ou constructeurs complémentaires  </c:v>
                </c:pt>
                <c:pt idx="17">
                  <c:v>Un seul interlocuteur. Proposer aux clients un interlocuteur unique pour la vente et les services</c:v>
                </c:pt>
                <c:pt idx="19">
                  <c:v>Apporter des leads et des projets </c:v>
                </c:pt>
                <c:pt idx="20">
                  <c:v>Accéder à de nouveaux profils de décideurs ( métier, DSI, DG, … )</c:v>
                </c:pt>
                <c:pt idx="21">
                  <c:v>Améliorer la rapidité du cycle de vente</c:v>
                </c:pt>
                <c:pt idx="22">
                  <c:v>Améliorer la rapidité du cycle d'installation et de démarrage</c:v>
                </c:pt>
                <c:pt idx="23">
                  <c:v>Améliorer les taux de signature/succès</c:v>
                </c:pt>
                <c:pt idx="24">
                  <c:v>Améliorer la valeur des paniers moyens</c:v>
                </c:pt>
                <c:pt idx="25">
                  <c:v>Améliorer le cross selling et upselling chez les clients</c:v>
                </c:pt>
                <c:pt idx="26">
                  <c:v>Combattre la concurrence</c:v>
                </c:pt>
                <c:pt idx="27">
                  <c:v>Améliorer la notoriété de la marque</c:v>
                </c:pt>
                <c:pt idx="28">
                  <c:v>Passer les fourches caudines des achats</c:v>
                </c:pt>
                <c:pt idx="29">
                  <c:v>Veille concurrence</c:v>
                </c:pt>
                <c:pt idx="30">
                  <c:v>Développer le revenu récurrent</c:v>
                </c:pt>
                <c:pt idx="31">
                  <c:v>Améliorer le coût du cycle de vente</c:v>
                </c:pt>
              </c:strCache>
            </c:strRef>
          </c:cat>
          <c:val>
            <c:numRef>
              <c:f>(EXPECTATIONS!$B$12:$B$22,EXPECTATIONS!$B$26:$B$33,EXPECTATIONS!$B$37:$B$50)</c:f>
              <c:numCache>
                <c:formatCode>General</c:formatCode>
                <c:ptCount val="33"/>
              </c:numCache>
            </c:numRef>
          </c:val>
          <c:extLst>
            <c:ext xmlns:c16="http://schemas.microsoft.com/office/drawing/2014/chart" uri="{C3380CC4-5D6E-409C-BE32-E72D297353CC}">
              <c16:uniqueId val="{00000000-A537-46F4-BDAA-5876F253F274}"/>
            </c:ext>
          </c:extLst>
        </c:ser>
        <c:ser>
          <c:idx val="1"/>
          <c:order val="1"/>
          <c:spPr>
            <a:ln w="15875" cap="rnd">
              <a:solidFill>
                <a:schemeClr val="accent2"/>
              </a:solidFill>
              <a:round/>
            </a:ln>
            <a:effectLst>
              <a:outerShdw blurRad="40000" dist="20000" dir="5400000" rotWithShape="0">
                <a:srgbClr val="000000">
                  <a:alpha val="38000"/>
                </a:srgbClr>
              </a:outerShdw>
            </a:effectLst>
          </c:spPr>
          <c:marker>
            <c:symbol val="none"/>
          </c:marker>
          <c:cat>
            <c:strRef>
              <c:f>(EXPECTATIONS!$A$12:$A$22,EXPECTATIONS!$A$26:$A$33,EXPECTATIONS!$A$37:$A$50)</c:f>
              <c:strCache>
                <c:ptCount val="32"/>
                <c:pt idx="0">
                  <c:v>Développer le new business / conquête de marché</c:v>
                </c:pt>
                <c:pt idx="1">
                  <c:v>Consolider la base installée</c:v>
                </c:pt>
                <c:pt idx="2">
                  <c:v>Améliorer le taux de présence commerciale </c:v>
                </c:pt>
                <c:pt idx="3">
                  <c:v>Attaquer le marché des grands comptes ( &gt; 5000 employés )</c:v>
                </c:pt>
                <c:pt idx="4">
                  <c:v>Attaquer le marché des ETI ( 250 à 5000 employés )</c:v>
                </c:pt>
                <c:pt idx="5">
                  <c:v>Attaquer le marché PME/PMI ( 50 à 250 employés ) </c:v>
                </c:pt>
                <c:pt idx="6">
                  <c:v>Attaquer le marché des TPE  ( &lt; 50 employés ) </c:v>
                </c:pt>
                <c:pt idx="7">
                  <c:v>Maillage géographique. Obtenir une meilleure couverture géographique du territoire: </c:v>
                </c:pt>
                <c:pt idx="8">
                  <c:v>Maillage sectoriel ou vertical. Améliorer une meilleure couverture des marchés sectoriels / métiers / verticaux</c:v>
                </c:pt>
                <c:pt idx="9">
                  <c:v>Maillage international. Améliorer la couverture des pays ou continents</c:v>
                </c:pt>
                <c:pt idx="11">
                  <c:v>Services. Proposer aux clients des compétences de déploiement / d'intégration / installation / développement / formation / conseil complémentaires </c:v>
                </c:pt>
                <c:pt idx="12">
                  <c:v>Package Métier. Construire et commercialiser des offres verticalisées adaptées aux métiers</c:v>
                </c:pt>
                <c:pt idx="13">
                  <c:v>Projets complexes. Adresser les grands projets</c:v>
                </c:pt>
                <c:pt idx="14">
                  <c:v>Services de proximité. Proposer aux clients un service proche de chez lui, compétent et réactif </c:v>
                </c:pt>
                <c:pt idx="15">
                  <c:v>Services de proximité en France.  Proposer aux clients un service proche de chez lui, compétent et réactif en France</c:v>
                </c:pt>
                <c:pt idx="16">
                  <c:v>Enrichissement de l'offre. Compléter l'offre avec des solutions techniques ou fonctionnelles provenant d'éditeurs ou constructeurs complémentaires  </c:v>
                </c:pt>
                <c:pt idx="17">
                  <c:v>Un seul interlocuteur. Proposer aux clients un interlocuteur unique pour la vente et les services</c:v>
                </c:pt>
                <c:pt idx="19">
                  <c:v>Apporter des leads et des projets </c:v>
                </c:pt>
                <c:pt idx="20">
                  <c:v>Accéder à de nouveaux profils de décideurs ( métier, DSI, DG, … )</c:v>
                </c:pt>
                <c:pt idx="21">
                  <c:v>Améliorer la rapidité du cycle de vente</c:v>
                </c:pt>
                <c:pt idx="22">
                  <c:v>Améliorer la rapidité du cycle d'installation et de démarrage</c:v>
                </c:pt>
                <c:pt idx="23">
                  <c:v>Améliorer les taux de signature/succès</c:v>
                </c:pt>
                <c:pt idx="24">
                  <c:v>Améliorer la valeur des paniers moyens</c:v>
                </c:pt>
                <c:pt idx="25">
                  <c:v>Améliorer le cross selling et upselling chez les clients</c:v>
                </c:pt>
                <c:pt idx="26">
                  <c:v>Combattre la concurrence</c:v>
                </c:pt>
                <c:pt idx="27">
                  <c:v>Améliorer la notoriété de la marque</c:v>
                </c:pt>
                <c:pt idx="28">
                  <c:v>Passer les fourches caudines des achats</c:v>
                </c:pt>
                <c:pt idx="29">
                  <c:v>Veille concurrence</c:v>
                </c:pt>
                <c:pt idx="30">
                  <c:v>Développer le revenu récurrent</c:v>
                </c:pt>
                <c:pt idx="31">
                  <c:v>Améliorer le coût du cycle de vente</c:v>
                </c:pt>
              </c:strCache>
            </c:strRef>
          </c:cat>
          <c:val>
            <c:numRef>
              <c:f>(EXPECTATIONS!$C$12:$C$22,EXPECTATIONS!$C$26:$C$33,EXPECTATIONS!$C$37:$C$50)</c:f>
              <c:numCache>
                <c:formatCode>General</c:formatCode>
                <c:ptCount val="33"/>
              </c:numCache>
            </c:numRef>
          </c:val>
          <c:extLst>
            <c:ext xmlns:c16="http://schemas.microsoft.com/office/drawing/2014/chart" uri="{C3380CC4-5D6E-409C-BE32-E72D297353CC}">
              <c16:uniqueId val="{00000001-A537-46F4-BDAA-5876F253F274}"/>
            </c:ext>
          </c:extLst>
        </c:ser>
        <c:ser>
          <c:idx val="2"/>
          <c:order val="2"/>
          <c:spPr>
            <a:ln w="15875" cap="rnd">
              <a:solidFill>
                <a:schemeClr val="accent3"/>
              </a:solidFill>
              <a:round/>
            </a:ln>
            <a:effectLst>
              <a:outerShdw blurRad="40000" dist="20000" dir="5400000" rotWithShape="0">
                <a:srgbClr val="000000">
                  <a:alpha val="38000"/>
                </a:srgbClr>
              </a:outerShdw>
            </a:effectLst>
          </c:spPr>
          <c:marker>
            <c:symbol val="none"/>
          </c:marker>
          <c:cat>
            <c:strRef>
              <c:f>(EXPECTATIONS!$A$12:$A$22,EXPECTATIONS!$A$26:$A$33,EXPECTATIONS!$A$37:$A$50)</c:f>
              <c:strCache>
                <c:ptCount val="32"/>
                <c:pt idx="0">
                  <c:v>Développer le new business / conquête de marché</c:v>
                </c:pt>
                <c:pt idx="1">
                  <c:v>Consolider la base installée</c:v>
                </c:pt>
                <c:pt idx="2">
                  <c:v>Améliorer le taux de présence commerciale </c:v>
                </c:pt>
                <c:pt idx="3">
                  <c:v>Attaquer le marché des grands comptes ( &gt; 5000 employés )</c:v>
                </c:pt>
                <c:pt idx="4">
                  <c:v>Attaquer le marché des ETI ( 250 à 5000 employés )</c:v>
                </c:pt>
                <c:pt idx="5">
                  <c:v>Attaquer le marché PME/PMI ( 50 à 250 employés ) </c:v>
                </c:pt>
                <c:pt idx="6">
                  <c:v>Attaquer le marché des TPE  ( &lt; 50 employés ) </c:v>
                </c:pt>
                <c:pt idx="7">
                  <c:v>Maillage géographique. Obtenir une meilleure couverture géographique du territoire: </c:v>
                </c:pt>
                <c:pt idx="8">
                  <c:v>Maillage sectoriel ou vertical. Améliorer une meilleure couverture des marchés sectoriels / métiers / verticaux</c:v>
                </c:pt>
                <c:pt idx="9">
                  <c:v>Maillage international. Améliorer la couverture des pays ou continents</c:v>
                </c:pt>
                <c:pt idx="11">
                  <c:v>Services. Proposer aux clients des compétences de déploiement / d'intégration / installation / développement / formation / conseil complémentaires </c:v>
                </c:pt>
                <c:pt idx="12">
                  <c:v>Package Métier. Construire et commercialiser des offres verticalisées adaptées aux métiers</c:v>
                </c:pt>
                <c:pt idx="13">
                  <c:v>Projets complexes. Adresser les grands projets</c:v>
                </c:pt>
                <c:pt idx="14">
                  <c:v>Services de proximité. Proposer aux clients un service proche de chez lui, compétent et réactif </c:v>
                </c:pt>
                <c:pt idx="15">
                  <c:v>Services de proximité en France.  Proposer aux clients un service proche de chez lui, compétent et réactif en France</c:v>
                </c:pt>
                <c:pt idx="16">
                  <c:v>Enrichissement de l'offre. Compléter l'offre avec des solutions techniques ou fonctionnelles provenant d'éditeurs ou constructeurs complémentaires  </c:v>
                </c:pt>
                <c:pt idx="17">
                  <c:v>Un seul interlocuteur. Proposer aux clients un interlocuteur unique pour la vente et les services</c:v>
                </c:pt>
                <c:pt idx="19">
                  <c:v>Apporter des leads et des projets </c:v>
                </c:pt>
                <c:pt idx="20">
                  <c:v>Accéder à de nouveaux profils de décideurs ( métier, DSI, DG, … )</c:v>
                </c:pt>
                <c:pt idx="21">
                  <c:v>Améliorer la rapidité du cycle de vente</c:v>
                </c:pt>
                <c:pt idx="22">
                  <c:v>Améliorer la rapidité du cycle d'installation et de démarrage</c:v>
                </c:pt>
                <c:pt idx="23">
                  <c:v>Améliorer les taux de signature/succès</c:v>
                </c:pt>
                <c:pt idx="24">
                  <c:v>Améliorer la valeur des paniers moyens</c:v>
                </c:pt>
                <c:pt idx="25">
                  <c:v>Améliorer le cross selling et upselling chez les clients</c:v>
                </c:pt>
                <c:pt idx="26">
                  <c:v>Combattre la concurrence</c:v>
                </c:pt>
                <c:pt idx="27">
                  <c:v>Améliorer la notoriété de la marque</c:v>
                </c:pt>
                <c:pt idx="28">
                  <c:v>Passer les fourches caudines des achats</c:v>
                </c:pt>
                <c:pt idx="29">
                  <c:v>Veille concurrence</c:v>
                </c:pt>
                <c:pt idx="30">
                  <c:v>Développer le revenu récurrent</c:v>
                </c:pt>
                <c:pt idx="31">
                  <c:v>Améliorer le coût du cycle de vente</c:v>
                </c:pt>
              </c:strCache>
            </c:strRef>
          </c:cat>
          <c:val>
            <c:numRef>
              <c:f>(EXPECTATIONS!$D$12:$D$22,EXPECTATIONS!$D$26:$D$33,EXPECTATIONS!$D$37:$D$50)</c:f>
              <c:numCache>
                <c:formatCode>General</c:formatCode>
                <c:ptCount val="33"/>
              </c:numCache>
            </c:numRef>
          </c:val>
          <c:extLst>
            <c:ext xmlns:c16="http://schemas.microsoft.com/office/drawing/2014/chart" uri="{C3380CC4-5D6E-409C-BE32-E72D297353CC}">
              <c16:uniqueId val="{00000002-A537-46F4-BDAA-5876F253F274}"/>
            </c:ext>
          </c:extLst>
        </c:ser>
        <c:ser>
          <c:idx val="3"/>
          <c:order val="3"/>
          <c:spPr>
            <a:ln w="15875" cap="rnd">
              <a:solidFill>
                <a:schemeClr val="accent4"/>
              </a:solidFill>
              <a:round/>
            </a:ln>
            <a:effectLst>
              <a:outerShdw blurRad="40000" dist="20000" dir="5400000" rotWithShape="0">
                <a:srgbClr val="000000">
                  <a:alpha val="38000"/>
                </a:srgbClr>
              </a:outerShdw>
            </a:effectLst>
          </c:spPr>
          <c:marker>
            <c:symbol val="none"/>
          </c:marker>
          <c:cat>
            <c:strRef>
              <c:f>(EXPECTATIONS!$A$12:$A$22,EXPECTATIONS!$A$26:$A$33,EXPECTATIONS!$A$37:$A$50)</c:f>
              <c:strCache>
                <c:ptCount val="32"/>
                <c:pt idx="0">
                  <c:v>Développer le new business / conquête de marché</c:v>
                </c:pt>
                <c:pt idx="1">
                  <c:v>Consolider la base installée</c:v>
                </c:pt>
                <c:pt idx="2">
                  <c:v>Améliorer le taux de présence commerciale </c:v>
                </c:pt>
                <c:pt idx="3">
                  <c:v>Attaquer le marché des grands comptes ( &gt; 5000 employés )</c:v>
                </c:pt>
                <c:pt idx="4">
                  <c:v>Attaquer le marché des ETI ( 250 à 5000 employés )</c:v>
                </c:pt>
                <c:pt idx="5">
                  <c:v>Attaquer le marché PME/PMI ( 50 à 250 employés ) </c:v>
                </c:pt>
                <c:pt idx="6">
                  <c:v>Attaquer le marché des TPE  ( &lt; 50 employés ) </c:v>
                </c:pt>
                <c:pt idx="7">
                  <c:v>Maillage géographique. Obtenir une meilleure couverture géographique du territoire: </c:v>
                </c:pt>
                <c:pt idx="8">
                  <c:v>Maillage sectoriel ou vertical. Améliorer une meilleure couverture des marchés sectoriels / métiers / verticaux</c:v>
                </c:pt>
                <c:pt idx="9">
                  <c:v>Maillage international. Améliorer la couverture des pays ou continents</c:v>
                </c:pt>
                <c:pt idx="11">
                  <c:v>Services. Proposer aux clients des compétences de déploiement / d'intégration / installation / développement / formation / conseil complémentaires </c:v>
                </c:pt>
                <c:pt idx="12">
                  <c:v>Package Métier. Construire et commercialiser des offres verticalisées adaptées aux métiers</c:v>
                </c:pt>
                <c:pt idx="13">
                  <c:v>Projets complexes. Adresser les grands projets</c:v>
                </c:pt>
                <c:pt idx="14">
                  <c:v>Services de proximité. Proposer aux clients un service proche de chez lui, compétent et réactif </c:v>
                </c:pt>
                <c:pt idx="15">
                  <c:v>Services de proximité en France.  Proposer aux clients un service proche de chez lui, compétent et réactif en France</c:v>
                </c:pt>
                <c:pt idx="16">
                  <c:v>Enrichissement de l'offre. Compléter l'offre avec des solutions techniques ou fonctionnelles provenant d'éditeurs ou constructeurs complémentaires  </c:v>
                </c:pt>
                <c:pt idx="17">
                  <c:v>Un seul interlocuteur. Proposer aux clients un interlocuteur unique pour la vente et les services</c:v>
                </c:pt>
                <c:pt idx="19">
                  <c:v>Apporter des leads et des projets </c:v>
                </c:pt>
                <c:pt idx="20">
                  <c:v>Accéder à de nouveaux profils de décideurs ( métier, DSI, DG, … )</c:v>
                </c:pt>
                <c:pt idx="21">
                  <c:v>Améliorer la rapidité du cycle de vente</c:v>
                </c:pt>
                <c:pt idx="22">
                  <c:v>Améliorer la rapidité du cycle d'installation et de démarrage</c:v>
                </c:pt>
                <c:pt idx="23">
                  <c:v>Améliorer les taux de signature/succès</c:v>
                </c:pt>
                <c:pt idx="24">
                  <c:v>Améliorer la valeur des paniers moyens</c:v>
                </c:pt>
                <c:pt idx="25">
                  <c:v>Améliorer le cross selling et upselling chez les clients</c:v>
                </c:pt>
                <c:pt idx="26">
                  <c:v>Combattre la concurrence</c:v>
                </c:pt>
                <c:pt idx="27">
                  <c:v>Améliorer la notoriété de la marque</c:v>
                </c:pt>
                <c:pt idx="28">
                  <c:v>Passer les fourches caudines des achats</c:v>
                </c:pt>
                <c:pt idx="29">
                  <c:v>Veille concurrence</c:v>
                </c:pt>
                <c:pt idx="30">
                  <c:v>Développer le revenu récurrent</c:v>
                </c:pt>
                <c:pt idx="31">
                  <c:v>Améliorer le coût du cycle de vente</c:v>
                </c:pt>
              </c:strCache>
            </c:strRef>
          </c:cat>
          <c:val>
            <c:numRef>
              <c:f>(EXPECTATIONS!$E$12:$E$22,EXPECTATIONS!$E$26:$E$33,EXPECTATIONS!$E$37:$E$50)</c:f>
              <c:numCache>
                <c:formatCode>General</c:formatCode>
                <c:ptCount val="33"/>
              </c:numCache>
            </c:numRef>
          </c:val>
          <c:extLst>
            <c:ext xmlns:c16="http://schemas.microsoft.com/office/drawing/2014/chart" uri="{C3380CC4-5D6E-409C-BE32-E72D297353CC}">
              <c16:uniqueId val="{00000003-A537-46F4-BDAA-5876F253F274}"/>
            </c:ext>
          </c:extLst>
        </c:ser>
        <c:ser>
          <c:idx val="4"/>
          <c:order val="4"/>
          <c:spPr>
            <a:ln w="15875" cap="rnd">
              <a:solidFill>
                <a:schemeClr val="accent5"/>
              </a:solidFill>
              <a:round/>
            </a:ln>
            <a:effectLst>
              <a:outerShdw blurRad="40000" dist="20000" dir="5400000" rotWithShape="0">
                <a:srgbClr val="000000">
                  <a:alpha val="38000"/>
                </a:srgbClr>
              </a:outerShdw>
            </a:effectLst>
          </c:spPr>
          <c:marker>
            <c:symbol val="none"/>
          </c:marker>
          <c:cat>
            <c:strRef>
              <c:f>(EXPECTATIONS!$A$12:$A$22,EXPECTATIONS!$A$26:$A$33,EXPECTATIONS!$A$37:$A$50)</c:f>
              <c:strCache>
                <c:ptCount val="32"/>
                <c:pt idx="0">
                  <c:v>Développer le new business / conquête de marché</c:v>
                </c:pt>
                <c:pt idx="1">
                  <c:v>Consolider la base installée</c:v>
                </c:pt>
                <c:pt idx="2">
                  <c:v>Améliorer le taux de présence commerciale </c:v>
                </c:pt>
                <c:pt idx="3">
                  <c:v>Attaquer le marché des grands comptes ( &gt; 5000 employés )</c:v>
                </c:pt>
                <c:pt idx="4">
                  <c:v>Attaquer le marché des ETI ( 250 à 5000 employés )</c:v>
                </c:pt>
                <c:pt idx="5">
                  <c:v>Attaquer le marché PME/PMI ( 50 à 250 employés ) </c:v>
                </c:pt>
                <c:pt idx="6">
                  <c:v>Attaquer le marché des TPE  ( &lt; 50 employés ) </c:v>
                </c:pt>
                <c:pt idx="7">
                  <c:v>Maillage géographique. Obtenir une meilleure couverture géographique du territoire: </c:v>
                </c:pt>
                <c:pt idx="8">
                  <c:v>Maillage sectoriel ou vertical. Améliorer une meilleure couverture des marchés sectoriels / métiers / verticaux</c:v>
                </c:pt>
                <c:pt idx="9">
                  <c:v>Maillage international. Améliorer la couverture des pays ou continents</c:v>
                </c:pt>
                <c:pt idx="11">
                  <c:v>Services. Proposer aux clients des compétences de déploiement / d'intégration / installation / développement / formation / conseil complémentaires </c:v>
                </c:pt>
                <c:pt idx="12">
                  <c:v>Package Métier. Construire et commercialiser des offres verticalisées adaptées aux métiers</c:v>
                </c:pt>
                <c:pt idx="13">
                  <c:v>Projets complexes. Adresser les grands projets</c:v>
                </c:pt>
                <c:pt idx="14">
                  <c:v>Services de proximité. Proposer aux clients un service proche de chez lui, compétent et réactif </c:v>
                </c:pt>
                <c:pt idx="15">
                  <c:v>Services de proximité en France.  Proposer aux clients un service proche de chez lui, compétent et réactif en France</c:v>
                </c:pt>
                <c:pt idx="16">
                  <c:v>Enrichissement de l'offre. Compléter l'offre avec des solutions techniques ou fonctionnelles provenant d'éditeurs ou constructeurs complémentaires  </c:v>
                </c:pt>
                <c:pt idx="17">
                  <c:v>Un seul interlocuteur. Proposer aux clients un interlocuteur unique pour la vente et les services</c:v>
                </c:pt>
                <c:pt idx="19">
                  <c:v>Apporter des leads et des projets </c:v>
                </c:pt>
                <c:pt idx="20">
                  <c:v>Accéder à de nouveaux profils de décideurs ( métier, DSI, DG, … )</c:v>
                </c:pt>
                <c:pt idx="21">
                  <c:v>Améliorer la rapidité du cycle de vente</c:v>
                </c:pt>
                <c:pt idx="22">
                  <c:v>Améliorer la rapidité du cycle d'installation et de démarrage</c:v>
                </c:pt>
                <c:pt idx="23">
                  <c:v>Améliorer les taux de signature/succès</c:v>
                </c:pt>
                <c:pt idx="24">
                  <c:v>Améliorer la valeur des paniers moyens</c:v>
                </c:pt>
                <c:pt idx="25">
                  <c:v>Améliorer le cross selling et upselling chez les clients</c:v>
                </c:pt>
                <c:pt idx="26">
                  <c:v>Combattre la concurrence</c:v>
                </c:pt>
                <c:pt idx="27">
                  <c:v>Améliorer la notoriété de la marque</c:v>
                </c:pt>
                <c:pt idx="28">
                  <c:v>Passer les fourches caudines des achats</c:v>
                </c:pt>
                <c:pt idx="29">
                  <c:v>Veille concurrence</c:v>
                </c:pt>
                <c:pt idx="30">
                  <c:v>Développer le revenu récurrent</c:v>
                </c:pt>
                <c:pt idx="31">
                  <c:v>Améliorer le coût du cycle de vente</c:v>
                </c:pt>
              </c:strCache>
            </c:strRef>
          </c:cat>
          <c:val>
            <c:numRef>
              <c:f>(EXPECTATIONS!$F$12:$F$22,EXPECTATIONS!$F$26:$F$33,EXPECTATIONS!$F$37:$F$50)</c:f>
              <c:numCache>
                <c:formatCode>General</c:formatCode>
                <c:ptCount val="33"/>
              </c:numCache>
            </c:numRef>
          </c:val>
          <c:extLst>
            <c:ext xmlns:c16="http://schemas.microsoft.com/office/drawing/2014/chart" uri="{C3380CC4-5D6E-409C-BE32-E72D297353CC}">
              <c16:uniqueId val="{00000004-A537-46F4-BDAA-5876F253F274}"/>
            </c:ext>
          </c:extLst>
        </c:ser>
        <c:ser>
          <c:idx val="5"/>
          <c:order val="5"/>
          <c:spPr>
            <a:ln w="15875" cap="rnd">
              <a:solidFill>
                <a:schemeClr val="accent6"/>
              </a:solidFill>
              <a:round/>
            </a:ln>
            <a:effectLst>
              <a:outerShdw blurRad="40000" dist="20000" dir="5400000" rotWithShape="0">
                <a:srgbClr val="000000">
                  <a:alpha val="38000"/>
                </a:srgbClr>
              </a:outerShdw>
            </a:effectLst>
          </c:spPr>
          <c:marker>
            <c:symbol val="none"/>
          </c:marker>
          <c:cat>
            <c:strRef>
              <c:f>(EXPECTATIONS!$A$12:$A$22,EXPECTATIONS!$A$26:$A$33,EXPECTATIONS!$A$37:$A$50)</c:f>
              <c:strCache>
                <c:ptCount val="32"/>
                <c:pt idx="0">
                  <c:v>Développer le new business / conquête de marché</c:v>
                </c:pt>
                <c:pt idx="1">
                  <c:v>Consolider la base installée</c:v>
                </c:pt>
                <c:pt idx="2">
                  <c:v>Améliorer le taux de présence commerciale </c:v>
                </c:pt>
                <c:pt idx="3">
                  <c:v>Attaquer le marché des grands comptes ( &gt; 5000 employés )</c:v>
                </c:pt>
                <c:pt idx="4">
                  <c:v>Attaquer le marché des ETI ( 250 à 5000 employés )</c:v>
                </c:pt>
                <c:pt idx="5">
                  <c:v>Attaquer le marché PME/PMI ( 50 à 250 employés ) </c:v>
                </c:pt>
                <c:pt idx="6">
                  <c:v>Attaquer le marché des TPE  ( &lt; 50 employés ) </c:v>
                </c:pt>
                <c:pt idx="7">
                  <c:v>Maillage géographique. Obtenir une meilleure couverture géographique du territoire: </c:v>
                </c:pt>
                <c:pt idx="8">
                  <c:v>Maillage sectoriel ou vertical. Améliorer une meilleure couverture des marchés sectoriels / métiers / verticaux</c:v>
                </c:pt>
                <c:pt idx="9">
                  <c:v>Maillage international. Améliorer la couverture des pays ou continents</c:v>
                </c:pt>
                <c:pt idx="11">
                  <c:v>Services. Proposer aux clients des compétences de déploiement / d'intégration / installation / développement / formation / conseil complémentaires </c:v>
                </c:pt>
                <c:pt idx="12">
                  <c:v>Package Métier. Construire et commercialiser des offres verticalisées adaptées aux métiers</c:v>
                </c:pt>
                <c:pt idx="13">
                  <c:v>Projets complexes. Adresser les grands projets</c:v>
                </c:pt>
                <c:pt idx="14">
                  <c:v>Services de proximité. Proposer aux clients un service proche de chez lui, compétent et réactif </c:v>
                </c:pt>
                <c:pt idx="15">
                  <c:v>Services de proximité en France.  Proposer aux clients un service proche de chez lui, compétent et réactif en France</c:v>
                </c:pt>
                <c:pt idx="16">
                  <c:v>Enrichissement de l'offre. Compléter l'offre avec des solutions techniques ou fonctionnelles provenant d'éditeurs ou constructeurs complémentaires  </c:v>
                </c:pt>
                <c:pt idx="17">
                  <c:v>Un seul interlocuteur. Proposer aux clients un interlocuteur unique pour la vente et les services</c:v>
                </c:pt>
                <c:pt idx="19">
                  <c:v>Apporter des leads et des projets </c:v>
                </c:pt>
                <c:pt idx="20">
                  <c:v>Accéder à de nouveaux profils de décideurs ( métier, DSI, DG, … )</c:v>
                </c:pt>
                <c:pt idx="21">
                  <c:v>Améliorer la rapidité du cycle de vente</c:v>
                </c:pt>
                <c:pt idx="22">
                  <c:v>Améliorer la rapidité du cycle d'installation et de démarrage</c:v>
                </c:pt>
                <c:pt idx="23">
                  <c:v>Améliorer les taux de signature/succès</c:v>
                </c:pt>
                <c:pt idx="24">
                  <c:v>Améliorer la valeur des paniers moyens</c:v>
                </c:pt>
                <c:pt idx="25">
                  <c:v>Améliorer le cross selling et upselling chez les clients</c:v>
                </c:pt>
                <c:pt idx="26">
                  <c:v>Combattre la concurrence</c:v>
                </c:pt>
                <c:pt idx="27">
                  <c:v>Améliorer la notoriété de la marque</c:v>
                </c:pt>
                <c:pt idx="28">
                  <c:v>Passer les fourches caudines des achats</c:v>
                </c:pt>
                <c:pt idx="29">
                  <c:v>Veille concurrence</c:v>
                </c:pt>
                <c:pt idx="30">
                  <c:v>Développer le revenu récurrent</c:v>
                </c:pt>
                <c:pt idx="31">
                  <c:v>Améliorer le coût du cycle de vente</c:v>
                </c:pt>
              </c:strCache>
            </c:strRef>
          </c:cat>
          <c:val>
            <c:numRef>
              <c:f>(EXPECTATIONS!$K$12:$K$22,EXPECTATIONS!$K$26:$K$33,EXPECTATIONS!$K$37:$K$50)</c:f>
              <c:numCache>
                <c:formatCode>General</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5-A537-46F4-BDAA-5876F253F274}"/>
            </c:ext>
          </c:extLst>
        </c:ser>
        <c:ser>
          <c:idx val="6"/>
          <c:order val="6"/>
          <c:spPr>
            <a:ln w="15875" cap="rnd">
              <a:solidFill>
                <a:schemeClr val="accent1">
                  <a:lumMod val="60000"/>
                </a:schemeClr>
              </a:solidFill>
              <a:round/>
            </a:ln>
            <a:effectLst>
              <a:outerShdw blurRad="40000" dist="20000" dir="5400000" rotWithShape="0">
                <a:srgbClr val="000000">
                  <a:alpha val="38000"/>
                </a:srgbClr>
              </a:outerShdw>
            </a:effectLst>
          </c:spPr>
          <c:marker>
            <c:symbol val="none"/>
          </c:marker>
          <c:cat>
            <c:strRef>
              <c:f>(EXPECTATIONS!$A$12:$A$22,EXPECTATIONS!$A$26:$A$33,EXPECTATIONS!$A$37:$A$50)</c:f>
              <c:strCache>
                <c:ptCount val="32"/>
                <c:pt idx="0">
                  <c:v>Développer le new business / conquête de marché</c:v>
                </c:pt>
                <c:pt idx="1">
                  <c:v>Consolider la base installée</c:v>
                </c:pt>
                <c:pt idx="2">
                  <c:v>Améliorer le taux de présence commerciale </c:v>
                </c:pt>
                <c:pt idx="3">
                  <c:v>Attaquer le marché des grands comptes ( &gt; 5000 employés )</c:v>
                </c:pt>
                <c:pt idx="4">
                  <c:v>Attaquer le marché des ETI ( 250 à 5000 employés )</c:v>
                </c:pt>
                <c:pt idx="5">
                  <c:v>Attaquer le marché PME/PMI ( 50 à 250 employés ) </c:v>
                </c:pt>
                <c:pt idx="6">
                  <c:v>Attaquer le marché des TPE  ( &lt; 50 employés ) </c:v>
                </c:pt>
                <c:pt idx="7">
                  <c:v>Maillage géographique. Obtenir une meilleure couverture géographique du territoire: </c:v>
                </c:pt>
                <c:pt idx="8">
                  <c:v>Maillage sectoriel ou vertical. Améliorer une meilleure couverture des marchés sectoriels / métiers / verticaux</c:v>
                </c:pt>
                <c:pt idx="9">
                  <c:v>Maillage international. Améliorer la couverture des pays ou continents</c:v>
                </c:pt>
                <c:pt idx="11">
                  <c:v>Services. Proposer aux clients des compétences de déploiement / d'intégration / installation / développement / formation / conseil complémentaires </c:v>
                </c:pt>
                <c:pt idx="12">
                  <c:v>Package Métier. Construire et commercialiser des offres verticalisées adaptées aux métiers</c:v>
                </c:pt>
                <c:pt idx="13">
                  <c:v>Projets complexes. Adresser les grands projets</c:v>
                </c:pt>
                <c:pt idx="14">
                  <c:v>Services de proximité. Proposer aux clients un service proche de chez lui, compétent et réactif </c:v>
                </c:pt>
                <c:pt idx="15">
                  <c:v>Services de proximité en France.  Proposer aux clients un service proche de chez lui, compétent et réactif en France</c:v>
                </c:pt>
                <c:pt idx="16">
                  <c:v>Enrichissement de l'offre. Compléter l'offre avec des solutions techniques ou fonctionnelles provenant d'éditeurs ou constructeurs complémentaires  </c:v>
                </c:pt>
                <c:pt idx="17">
                  <c:v>Un seul interlocuteur. Proposer aux clients un interlocuteur unique pour la vente et les services</c:v>
                </c:pt>
                <c:pt idx="19">
                  <c:v>Apporter des leads et des projets </c:v>
                </c:pt>
                <c:pt idx="20">
                  <c:v>Accéder à de nouveaux profils de décideurs ( métier, DSI, DG, … )</c:v>
                </c:pt>
                <c:pt idx="21">
                  <c:v>Améliorer la rapidité du cycle de vente</c:v>
                </c:pt>
                <c:pt idx="22">
                  <c:v>Améliorer la rapidité du cycle d'installation et de démarrage</c:v>
                </c:pt>
                <c:pt idx="23">
                  <c:v>Améliorer les taux de signature/succès</c:v>
                </c:pt>
                <c:pt idx="24">
                  <c:v>Améliorer la valeur des paniers moyens</c:v>
                </c:pt>
                <c:pt idx="25">
                  <c:v>Améliorer le cross selling et upselling chez les clients</c:v>
                </c:pt>
                <c:pt idx="26">
                  <c:v>Combattre la concurrence</c:v>
                </c:pt>
                <c:pt idx="27">
                  <c:v>Améliorer la notoriété de la marque</c:v>
                </c:pt>
                <c:pt idx="28">
                  <c:v>Passer les fourches caudines des achats</c:v>
                </c:pt>
                <c:pt idx="29">
                  <c:v>Veille concurrence</c:v>
                </c:pt>
                <c:pt idx="30">
                  <c:v>Développer le revenu récurrent</c:v>
                </c:pt>
                <c:pt idx="31">
                  <c:v>Améliorer le coût du cycle de vente</c:v>
                </c:pt>
              </c:strCache>
            </c:strRef>
          </c:cat>
          <c:val>
            <c:numRef>
              <c:f>(EXPECTATIONS!$L$12:$L$22,EXPECTATIONS!$L$26:$L$33,EXPECTATIONS!$L$37:$L$50)</c:f>
              <c:numCache>
                <c:formatCode>General</c:formatCode>
                <c:ptCount val="33"/>
              </c:numCache>
            </c:numRef>
          </c:val>
          <c:extLst>
            <c:ext xmlns:c16="http://schemas.microsoft.com/office/drawing/2014/chart" uri="{C3380CC4-5D6E-409C-BE32-E72D297353CC}">
              <c16:uniqueId val="{00000006-A537-46F4-BDAA-5876F253F274}"/>
            </c:ext>
          </c:extLst>
        </c:ser>
        <c:dLbls>
          <c:showLegendKey val="0"/>
          <c:showVal val="0"/>
          <c:showCatName val="0"/>
          <c:showSerName val="0"/>
          <c:showPercent val="0"/>
          <c:showBubbleSize val="0"/>
        </c:dLbls>
        <c:axId val="780439344"/>
        <c:axId val="780425744"/>
      </c:radarChart>
      <c:catAx>
        <c:axId val="78043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780425744"/>
        <c:crosses val="autoZero"/>
        <c:auto val="1"/>
        <c:lblAlgn val="ctr"/>
        <c:lblOffset val="100"/>
        <c:noMultiLvlLbl val="0"/>
      </c:catAx>
      <c:valAx>
        <c:axId val="780425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crossAx val="780439344"/>
        <c:crosses val="autoZero"/>
        <c:crossBetween val="between"/>
      </c:valAx>
      <c:spPr>
        <a:noFill/>
        <a:ln>
          <a:noFill/>
        </a:ln>
        <a:effectLst/>
      </c:spPr>
    </c:plotArea>
    <c:plotVisOnly val="1"/>
    <c:dispBlanksAs val="gap"/>
    <c:showDLblsOverMax val="0"/>
  </c:chart>
  <c:spPr>
    <a:gradFill>
      <a:gsLst>
        <a:gs pos="0">
          <a:schemeClr val="accent6">
            <a:lumMod val="4000"/>
            <a:lumOff val="96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gradFill>
    <a:ln w="38100" cap="flat" cmpd="sng" algn="ctr">
      <a:solidFill>
        <a:srgbClr val="C00000"/>
      </a:solidFill>
      <a:round/>
    </a:ln>
    <a:effectLst/>
  </c:spPr>
  <c:txPr>
    <a:bodyPr/>
    <a:lstStyle/>
    <a:p>
      <a:pPr>
        <a:defRPr/>
      </a:pPr>
      <a:endParaRPr lang="fr-FR"/>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Facteurs critiques de succès</a:t>
            </a:r>
          </a:p>
        </c:rich>
      </c:tx>
      <c:overlay val="0"/>
    </c:title>
    <c:autoTitleDeleted val="0"/>
    <c:plotArea>
      <c:layout>
        <c:manualLayout>
          <c:layoutTarget val="inner"/>
          <c:xMode val="edge"/>
          <c:yMode val="edge"/>
          <c:x val="0.24950704443215271"/>
          <c:y val="0.18912170248179408"/>
          <c:w val="0.50377239637511184"/>
          <c:h val="0.55098319321883082"/>
        </c:manualLayout>
      </c:layout>
      <c:radarChart>
        <c:radarStyle val="filled"/>
        <c:varyColors val="0"/>
        <c:ser>
          <c:idx val="0"/>
          <c:order val="0"/>
          <c:spPr>
            <a:solidFill>
              <a:srgbClr val="9999FF"/>
            </a:solidFill>
            <a:ln w="38100">
              <a:solidFill>
                <a:srgbClr val="FF6600"/>
              </a:solidFill>
              <a:prstDash val="solid"/>
            </a:ln>
          </c:spPr>
          <c:cat>
            <c:strRef>
              <c:f>(CRITICALFACTORS!$A$8:$A$13,CRITICALFACTORS!$A$16:$A$19,CRITICALFACTORS!$A$22:$A$28,CRITICALFACTORS!$A$31:$A$35,CRITICALFACTORS!$A$38:$A$44,CRITICALFACTORS!$A$47:$A$52,CRITICALFACTORS!$A$55:$A$59)</c:f>
              <c:strCache>
                <c:ptCount val="40"/>
                <c:pt idx="0">
                  <c:v>Volonté des 2 DG</c:v>
                </c:pt>
                <c:pt idx="1">
                  <c:v>La pertinence du sales plan 3 ans</c:v>
                </c:pt>
                <c:pt idx="2">
                  <c:v>La capacité à exécuter les décisions prises </c:v>
                </c:pt>
                <c:pt idx="3">
                  <c:v>La capacité à mettre les Moyens dans les 12 mois  </c:v>
                </c:pt>
                <c:pt idx="4">
                  <c:v>Une stratégie commerciale claire et partagée claire</c:v>
                </c:pt>
                <c:pt idx="5">
                  <c:v>Une offre stratégique pour chacun des 2 partenaires</c:v>
                </c:pt>
                <c:pt idx="6">
                  <c:v>Marché bien maîtrisé quantitativement ( cibles ) </c:v>
                </c:pt>
                <c:pt idx="7">
                  <c:v>Cibles clients clairement déterminées pour les partenaires</c:v>
                </c:pt>
                <c:pt idx="8">
                  <c:v>A l'écoute de ce que veulent les clients</c:v>
                </c:pt>
                <c:pt idx="9">
                  <c:v>Connait la valeur ajoutée et les limites de l'autre partenaire</c:v>
                </c:pt>
                <c:pt idx="10">
                  <c:v>Marge profitabilité pour chacun des partenaires</c:v>
                </c:pt>
                <c:pt idx="11">
                  <c:v>Robustesse de la solution </c:v>
                </c:pt>
                <c:pt idx="12">
                  <c:v>Positionnement  "Must Have"</c:v>
                </c:pt>
                <c:pt idx="13">
                  <c:v>Positionnement prix</c:v>
                </c:pt>
                <c:pt idx="14">
                  <c:v>Easy to do business with</c:v>
                </c:pt>
                <c:pt idx="15">
                  <c:v>Notoriété Reputation</c:v>
                </c:pt>
                <c:pt idx="16">
                  <c:v>Positionnement vs concurrence</c:v>
                </c:pt>
                <c:pt idx="17">
                  <c:v>Assurer une couverture commerciale d'ici 3 ans</c:v>
                </c:pt>
                <c:pt idx="18">
                  <c:v>Capacité à recruter les bons profils de commerciaux</c:v>
                </c:pt>
                <c:pt idx="19">
                  <c:v>Capacité à motiver les Commerciaux actifs  </c:v>
                </c:pt>
                <c:pt idx="20">
                  <c:v>Capacité à former les commerciaux </c:v>
                </c:pt>
                <c:pt idx="21">
                  <c:v>Capacité à anticiper et gérer les Conflits intercanaux</c:v>
                </c:pt>
                <c:pt idx="22">
                  <c:v>Volonté de renforcer l'équipe dédiée au partenariat</c:v>
                </c:pt>
                <c:pt idx="23">
                  <c:v>Capacité à recruter des collaborateurs de Qualité </c:v>
                </c:pt>
                <c:pt idx="24">
                  <c:v>Mission et KPI's clairs</c:v>
                </c:pt>
                <c:pt idx="25">
                  <c:v>Outils de pilotage</c:v>
                </c:pt>
                <c:pt idx="26">
                  <c:v>Soutien de tous les départements</c:v>
                </c:pt>
                <c:pt idx="27">
                  <c:v>Cohabitation/ Relation entre les forces de vente</c:v>
                </c:pt>
                <c:pt idx="28">
                  <c:v>Marketing budget dédié</c:v>
                </c:pt>
                <c:pt idx="29">
                  <c:v>Capacité à mettre en place un Programme partenaire efficace</c:v>
                </c:pt>
                <c:pt idx="30">
                  <c:v>Programme de génération de leads </c:v>
                </c:pt>
                <c:pt idx="31">
                  <c:v>Programme de formation commerciale</c:v>
                </c:pt>
                <c:pt idx="32">
                  <c:v>Moyens d'Animation des commerciaux</c:v>
                </c:pt>
                <c:pt idx="33">
                  <c:v>Extranet partenaire / PRM</c:v>
                </c:pt>
                <c:pt idx="34">
                  <c:v>Analyse des Programmes concurrents</c:v>
                </c:pt>
                <c:pt idx="35">
                  <c:v>Business plan</c:v>
                </c:pt>
                <c:pt idx="36">
                  <c:v>Outils de pilotage ( forecast, leads… )</c:v>
                </c:pt>
                <c:pt idx="37">
                  <c:v>Plan de gouvernance: équipes, réunions, agenda </c:v>
                </c:pt>
                <c:pt idx="38">
                  <c:v>Enquêtes de satisfaction des commerciaux et des clients</c:v>
                </c:pt>
                <c:pt idx="39">
                  <c:v>Cockpit / KPIs</c:v>
                </c:pt>
              </c:strCache>
            </c:strRef>
          </c:cat>
          <c:val>
            <c:numRef>
              <c:f>(CRITICALFACTORS!$B$8:$B$13,CRITICALFACTORS!$B$16:$B$19,CRITICALFACTORS!$B$22:$B$28,CRITICALFACTORS!$B$31:$B$35,CRITICALFACTORS!$B$38:$B$44,CRITICALFACTORS!$B$47:$B$52,CRITICALFACTORS!$B$55:$B$59)</c:f>
              <c:numCache>
                <c:formatCode>General</c:formatCode>
                <c:ptCount val="40"/>
              </c:numCache>
            </c:numRef>
          </c:val>
          <c:extLst>
            <c:ext xmlns:c16="http://schemas.microsoft.com/office/drawing/2014/chart" uri="{C3380CC4-5D6E-409C-BE32-E72D297353CC}">
              <c16:uniqueId val="{00000000-10AB-4FE3-9BB4-E0A98544ED12}"/>
            </c:ext>
          </c:extLst>
        </c:ser>
        <c:ser>
          <c:idx val="1"/>
          <c:order val="1"/>
          <c:cat>
            <c:strRef>
              <c:f>(CRITICALFACTORS!$A$8:$A$13,CRITICALFACTORS!$A$16:$A$19,CRITICALFACTORS!$A$22:$A$28,CRITICALFACTORS!$A$31:$A$35,CRITICALFACTORS!$A$38:$A$44,CRITICALFACTORS!$A$47:$A$52,CRITICALFACTORS!$A$55:$A$59)</c:f>
              <c:strCache>
                <c:ptCount val="40"/>
                <c:pt idx="0">
                  <c:v>Volonté des 2 DG</c:v>
                </c:pt>
                <c:pt idx="1">
                  <c:v>La pertinence du sales plan 3 ans</c:v>
                </c:pt>
                <c:pt idx="2">
                  <c:v>La capacité à exécuter les décisions prises </c:v>
                </c:pt>
                <c:pt idx="3">
                  <c:v>La capacité à mettre les Moyens dans les 12 mois  </c:v>
                </c:pt>
                <c:pt idx="4">
                  <c:v>Une stratégie commerciale claire et partagée claire</c:v>
                </c:pt>
                <c:pt idx="5">
                  <c:v>Une offre stratégique pour chacun des 2 partenaires</c:v>
                </c:pt>
                <c:pt idx="6">
                  <c:v>Marché bien maîtrisé quantitativement ( cibles ) </c:v>
                </c:pt>
                <c:pt idx="7">
                  <c:v>Cibles clients clairement déterminées pour les partenaires</c:v>
                </c:pt>
                <c:pt idx="8">
                  <c:v>A l'écoute de ce que veulent les clients</c:v>
                </c:pt>
                <c:pt idx="9">
                  <c:v>Connait la valeur ajoutée et les limites de l'autre partenaire</c:v>
                </c:pt>
                <c:pt idx="10">
                  <c:v>Marge profitabilité pour chacun des partenaires</c:v>
                </c:pt>
                <c:pt idx="11">
                  <c:v>Robustesse de la solution </c:v>
                </c:pt>
                <c:pt idx="12">
                  <c:v>Positionnement  "Must Have"</c:v>
                </c:pt>
                <c:pt idx="13">
                  <c:v>Positionnement prix</c:v>
                </c:pt>
                <c:pt idx="14">
                  <c:v>Easy to do business with</c:v>
                </c:pt>
                <c:pt idx="15">
                  <c:v>Notoriété Reputation</c:v>
                </c:pt>
                <c:pt idx="16">
                  <c:v>Positionnement vs concurrence</c:v>
                </c:pt>
                <c:pt idx="17">
                  <c:v>Assurer une couverture commerciale d'ici 3 ans</c:v>
                </c:pt>
                <c:pt idx="18">
                  <c:v>Capacité à recruter les bons profils de commerciaux</c:v>
                </c:pt>
                <c:pt idx="19">
                  <c:v>Capacité à motiver les Commerciaux actifs  </c:v>
                </c:pt>
                <c:pt idx="20">
                  <c:v>Capacité à former les commerciaux </c:v>
                </c:pt>
                <c:pt idx="21">
                  <c:v>Capacité à anticiper et gérer les Conflits intercanaux</c:v>
                </c:pt>
                <c:pt idx="22">
                  <c:v>Volonté de renforcer l'équipe dédiée au partenariat</c:v>
                </c:pt>
                <c:pt idx="23">
                  <c:v>Capacité à recruter des collaborateurs de Qualité </c:v>
                </c:pt>
                <c:pt idx="24">
                  <c:v>Mission et KPI's clairs</c:v>
                </c:pt>
                <c:pt idx="25">
                  <c:v>Outils de pilotage</c:v>
                </c:pt>
                <c:pt idx="26">
                  <c:v>Soutien de tous les départements</c:v>
                </c:pt>
                <c:pt idx="27">
                  <c:v>Cohabitation/ Relation entre les forces de vente</c:v>
                </c:pt>
                <c:pt idx="28">
                  <c:v>Marketing budget dédié</c:v>
                </c:pt>
                <c:pt idx="29">
                  <c:v>Capacité à mettre en place un Programme partenaire efficace</c:v>
                </c:pt>
                <c:pt idx="30">
                  <c:v>Programme de génération de leads </c:v>
                </c:pt>
                <c:pt idx="31">
                  <c:v>Programme de formation commerciale</c:v>
                </c:pt>
                <c:pt idx="32">
                  <c:v>Moyens d'Animation des commerciaux</c:v>
                </c:pt>
                <c:pt idx="33">
                  <c:v>Extranet partenaire / PRM</c:v>
                </c:pt>
                <c:pt idx="34">
                  <c:v>Analyse des Programmes concurrents</c:v>
                </c:pt>
                <c:pt idx="35">
                  <c:v>Business plan</c:v>
                </c:pt>
                <c:pt idx="36">
                  <c:v>Outils de pilotage ( forecast, leads… )</c:v>
                </c:pt>
                <c:pt idx="37">
                  <c:v>Plan de gouvernance: équipes, réunions, agenda </c:v>
                </c:pt>
                <c:pt idx="38">
                  <c:v>Enquêtes de satisfaction des commerciaux et des clients</c:v>
                </c:pt>
                <c:pt idx="39">
                  <c:v>Cockpit / KPIs</c:v>
                </c:pt>
              </c:strCache>
            </c:strRef>
          </c:cat>
          <c:val>
            <c:numRef>
              <c:f>(CRITICALFACTORS!$C$8:$C$13,CRITICALFACTORS!$C$16:$C$19,CRITICALFACTORS!$C$22:$C$28,CRITICALFACTORS!$C$31:$C$35,CRITICALFACTORS!$C$38:$C$44,CRITICALFACTORS!$C$47:$C$52,CRITICALFACTORS!$C$55:$C$59)</c:f>
              <c:numCache>
                <c:formatCode>General</c:formatCode>
                <c:ptCount val="40"/>
              </c:numCache>
            </c:numRef>
          </c:val>
          <c:extLst>
            <c:ext xmlns:c16="http://schemas.microsoft.com/office/drawing/2014/chart" uri="{C3380CC4-5D6E-409C-BE32-E72D297353CC}">
              <c16:uniqueId val="{00000001-10AB-4FE3-9BB4-E0A98544ED12}"/>
            </c:ext>
          </c:extLst>
        </c:ser>
        <c:ser>
          <c:idx val="2"/>
          <c:order val="2"/>
          <c:cat>
            <c:strRef>
              <c:f>(CRITICALFACTORS!$A$8:$A$13,CRITICALFACTORS!$A$16:$A$19,CRITICALFACTORS!$A$22:$A$28,CRITICALFACTORS!$A$31:$A$35,CRITICALFACTORS!$A$38:$A$44,CRITICALFACTORS!$A$47:$A$52,CRITICALFACTORS!$A$55:$A$59)</c:f>
              <c:strCache>
                <c:ptCount val="40"/>
                <c:pt idx="0">
                  <c:v>Volonté des 2 DG</c:v>
                </c:pt>
                <c:pt idx="1">
                  <c:v>La pertinence du sales plan 3 ans</c:v>
                </c:pt>
                <c:pt idx="2">
                  <c:v>La capacité à exécuter les décisions prises </c:v>
                </c:pt>
                <c:pt idx="3">
                  <c:v>La capacité à mettre les Moyens dans les 12 mois  </c:v>
                </c:pt>
                <c:pt idx="4">
                  <c:v>Une stratégie commerciale claire et partagée claire</c:v>
                </c:pt>
                <c:pt idx="5">
                  <c:v>Une offre stratégique pour chacun des 2 partenaires</c:v>
                </c:pt>
                <c:pt idx="6">
                  <c:v>Marché bien maîtrisé quantitativement ( cibles ) </c:v>
                </c:pt>
                <c:pt idx="7">
                  <c:v>Cibles clients clairement déterminées pour les partenaires</c:v>
                </c:pt>
                <c:pt idx="8">
                  <c:v>A l'écoute de ce que veulent les clients</c:v>
                </c:pt>
                <c:pt idx="9">
                  <c:v>Connait la valeur ajoutée et les limites de l'autre partenaire</c:v>
                </c:pt>
                <c:pt idx="10">
                  <c:v>Marge profitabilité pour chacun des partenaires</c:v>
                </c:pt>
                <c:pt idx="11">
                  <c:v>Robustesse de la solution </c:v>
                </c:pt>
                <c:pt idx="12">
                  <c:v>Positionnement  "Must Have"</c:v>
                </c:pt>
                <c:pt idx="13">
                  <c:v>Positionnement prix</c:v>
                </c:pt>
                <c:pt idx="14">
                  <c:v>Easy to do business with</c:v>
                </c:pt>
                <c:pt idx="15">
                  <c:v>Notoriété Reputation</c:v>
                </c:pt>
                <c:pt idx="16">
                  <c:v>Positionnement vs concurrence</c:v>
                </c:pt>
                <c:pt idx="17">
                  <c:v>Assurer une couverture commerciale d'ici 3 ans</c:v>
                </c:pt>
                <c:pt idx="18">
                  <c:v>Capacité à recruter les bons profils de commerciaux</c:v>
                </c:pt>
                <c:pt idx="19">
                  <c:v>Capacité à motiver les Commerciaux actifs  </c:v>
                </c:pt>
                <c:pt idx="20">
                  <c:v>Capacité à former les commerciaux </c:v>
                </c:pt>
                <c:pt idx="21">
                  <c:v>Capacité à anticiper et gérer les Conflits intercanaux</c:v>
                </c:pt>
                <c:pt idx="22">
                  <c:v>Volonté de renforcer l'équipe dédiée au partenariat</c:v>
                </c:pt>
                <c:pt idx="23">
                  <c:v>Capacité à recruter des collaborateurs de Qualité </c:v>
                </c:pt>
                <c:pt idx="24">
                  <c:v>Mission et KPI's clairs</c:v>
                </c:pt>
                <c:pt idx="25">
                  <c:v>Outils de pilotage</c:v>
                </c:pt>
                <c:pt idx="26">
                  <c:v>Soutien de tous les départements</c:v>
                </c:pt>
                <c:pt idx="27">
                  <c:v>Cohabitation/ Relation entre les forces de vente</c:v>
                </c:pt>
                <c:pt idx="28">
                  <c:v>Marketing budget dédié</c:v>
                </c:pt>
                <c:pt idx="29">
                  <c:v>Capacité à mettre en place un Programme partenaire efficace</c:v>
                </c:pt>
                <c:pt idx="30">
                  <c:v>Programme de génération de leads </c:v>
                </c:pt>
                <c:pt idx="31">
                  <c:v>Programme de formation commerciale</c:v>
                </c:pt>
                <c:pt idx="32">
                  <c:v>Moyens d'Animation des commerciaux</c:v>
                </c:pt>
                <c:pt idx="33">
                  <c:v>Extranet partenaire / PRM</c:v>
                </c:pt>
                <c:pt idx="34">
                  <c:v>Analyse des Programmes concurrents</c:v>
                </c:pt>
                <c:pt idx="35">
                  <c:v>Business plan</c:v>
                </c:pt>
                <c:pt idx="36">
                  <c:v>Outils de pilotage ( forecast, leads… )</c:v>
                </c:pt>
                <c:pt idx="37">
                  <c:v>Plan de gouvernance: équipes, réunions, agenda </c:v>
                </c:pt>
                <c:pt idx="38">
                  <c:v>Enquêtes de satisfaction des commerciaux et des clients</c:v>
                </c:pt>
                <c:pt idx="39">
                  <c:v>Cockpit / KPIs</c:v>
                </c:pt>
              </c:strCache>
            </c:strRef>
          </c:cat>
          <c:val>
            <c:numRef>
              <c:f>(CRITICALFACTORS!$D$8:$D$13,CRITICALFACTORS!$D$16:$D$19,CRITICALFACTORS!$D$22:$D$28,CRITICALFACTORS!$D$31:$D$35,CRITICALFACTORS!$D$38:$D$44,CRITICALFACTORS!$D$47:$D$52,CRITICALFACTORS!$D$55:$D$59)</c:f>
              <c:numCache>
                <c:formatCode>General</c:formatCode>
                <c:ptCount val="40"/>
              </c:numCache>
            </c:numRef>
          </c:val>
          <c:extLst>
            <c:ext xmlns:c16="http://schemas.microsoft.com/office/drawing/2014/chart" uri="{C3380CC4-5D6E-409C-BE32-E72D297353CC}">
              <c16:uniqueId val="{00000002-10AB-4FE3-9BB4-E0A98544ED12}"/>
            </c:ext>
          </c:extLst>
        </c:ser>
        <c:ser>
          <c:idx val="3"/>
          <c:order val="3"/>
          <c:cat>
            <c:strRef>
              <c:f>(CRITICALFACTORS!$A$8:$A$13,CRITICALFACTORS!$A$16:$A$19,CRITICALFACTORS!$A$22:$A$28,CRITICALFACTORS!$A$31:$A$35,CRITICALFACTORS!$A$38:$A$44,CRITICALFACTORS!$A$47:$A$52,CRITICALFACTORS!$A$55:$A$59)</c:f>
              <c:strCache>
                <c:ptCount val="40"/>
                <c:pt idx="0">
                  <c:v>Volonté des 2 DG</c:v>
                </c:pt>
                <c:pt idx="1">
                  <c:v>La pertinence du sales plan 3 ans</c:v>
                </c:pt>
                <c:pt idx="2">
                  <c:v>La capacité à exécuter les décisions prises </c:v>
                </c:pt>
                <c:pt idx="3">
                  <c:v>La capacité à mettre les Moyens dans les 12 mois  </c:v>
                </c:pt>
                <c:pt idx="4">
                  <c:v>Une stratégie commerciale claire et partagée claire</c:v>
                </c:pt>
                <c:pt idx="5">
                  <c:v>Une offre stratégique pour chacun des 2 partenaires</c:v>
                </c:pt>
                <c:pt idx="6">
                  <c:v>Marché bien maîtrisé quantitativement ( cibles ) </c:v>
                </c:pt>
                <c:pt idx="7">
                  <c:v>Cibles clients clairement déterminées pour les partenaires</c:v>
                </c:pt>
                <c:pt idx="8">
                  <c:v>A l'écoute de ce que veulent les clients</c:v>
                </c:pt>
                <c:pt idx="9">
                  <c:v>Connait la valeur ajoutée et les limites de l'autre partenaire</c:v>
                </c:pt>
                <c:pt idx="10">
                  <c:v>Marge profitabilité pour chacun des partenaires</c:v>
                </c:pt>
                <c:pt idx="11">
                  <c:v>Robustesse de la solution </c:v>
                </c:pt>
                <c:pt idx="12">
                  <c:v>Positionnement  "Must Have"</c:v>
                </c:pt>
                <c:pt idx="13">
                  <c:v>Positionnement prix</c:v>
                </c:pt>
                <c:pt idx="14">
                  <c:v>Easy to do business with</c:v>
                </c:pt>
                <c:pt idx="15">
                  <c:v>Notoriété Reputation</c:v>
                </c:pt>
                <c:pt idx="16">
                  <c:v>Positionnement vs concurrence</c:v>
                </c:pt>
                <c:pt idx="17">
                  <c:v>Assurer une couverture commerciale d'ici 3 ans</c:v>
                </c:pt>
                <c:pt idx="18">
                  <c:v>Capacité à recruter les bons profils de commerciaux</c:v>
                </c:pt>
                <c:pt idx="19">
                  <c:v>Capacité à motiver les Commerciaux actifs  </c:v>
                </c:pt>
                <c:pt idx="20">
                  <c:v>Capacité à former les commerciaux </c:v>
                </c:pt>
                <c:pt idx="21">
                  <c:v>Capacité à anticiper et gérer les Conflits intercanaux</c:v>
                </c:pt>
                <c:pt idx="22">
                  <c:v>Volonté de renforcer l'équipe dédiée au partenariat</c:v>
                </c:pt>
                <c:pt idx="23">
                  <c:v>Capacité à recruter des collaborateurs de Qualité </c:v>
                </c:pt>
                <c:pt idx="24">
                  <c:v>Mission et KPI's clairs</c:v>
                </c:pt>
                <c:pt idx="25">
                  <c:v>Outils de pilotage</c:v>
                </c:pt>
                <c:pt idx="26">
                  <c:v>Soutien de tous les départements</c:v>
                </c:pt>
                <c:pt idx="27">
                  <c:v>Cohabitation/ Relation entre les forces de vente</c:v>
                </c:pt>
                <c:pt idx="28">
                  <c:v>Marketing budget dédié</c:v>
                </c:pt>
                <c:pt idx="29">
                  <c:v>Capacité à mettre en place un Programme partenaire efficace</c:v>
                </c:pt>
                <c:pt idx="30">
                  <c:v>Programme de génération de leads </c:v>
                </c:pt>
                <c:pt idx="31">
                  <c:v>Programme de formation commerciale</c:v>
                </c:pt>
                <c:pt idx="32">
                  <c:v>Moyens d'Animation des commerciaux</c:v>
                </c:pt>
                <c:pt idx="33">
                  <c:v>Extranet partenaire / PRM</c:v>
                </c:pt>
                <c:pt idx="34">
                  <c:v>Analyse des Programmes concurrents</c:v>
                </c:pt>
                <c:pt idx="35">
                  <c:v>Business plan</c:v>
                </c:pt>
                <c:pt idx="36">
                  <c:v>Outils de pilotage ( forecast, leads… )</c:v>
                </c:pt>
                <c:pt idx="37">
                  <c:v>Plan de gouvernance: équipes, réunions, agenda </c:v>
                </c:pt>
                <c:pt idx="38">
                  <c:v>Enquêtes de satisfaction des commerciaux et des clients</c:v>
                </c:pt>
                <c:pt idx="39">
                  <c:v>Cockpit / KPIs</c:v>
                </c:pt>
              </c:strCache>
            </c:strRef>
          </c:cat>
          <c:val>
            <c:numRef>
              <c:f>(CRITICALFACTORS!$E$8:$E$13,CRITICALFACTORS!$E$16:$E$19,CRITICALFACTORS!$E$22:$E$28,CRITICALFACTORS!$E$31:$E$35,CRITICALFACTORS!$E$38:$E$44,CRITICALFACTORS!$E$47:$E$52,CRITICALFACTORS!$E$55:$E$59)</c:f>
              <c:numCache>
                <c:formatCode>General</c:formatCode>
                <c:ptCount val="40"/>
              </c:numCache>
            </c:numRef>
          </c:val>
          <c:extLst>
            <c:ext xmlns:c16="http://schemas.microsoft.com/office/drawing/2014/chart" uri="{C3380CC4-5D6E-409C-BE32-E72D297353CC}">
              <c16:uniqueId val="{00000003-10AB-4FE3-9BB4-E0A98544ED12}"/>
            </c:ext>
          </c:extLst>
        </c:ser>
        <c:ser>
          <c:idx val="4"/>
          <c:order val="4"/>
          <c:cat>
            <c:strRef>
              <c:f>(CRITICALFACTORS!$A$8:$A$13,CRITICALFACTORS!$A$16:$A$19,CRITICALFACTORS!$A$22:$A$28,CRITICALFACTORS!$A$31:$A$35,CRITICALFACTORS!$A$38:$A$44,CRITICALFACTORS!$A$47:$A$52,CRITICALFACTORS!$A$55:$A$59)</c:f>
              <c:strCache>
                <c:ptCount val="40"/>
                <c:pt idx="0">
                  <c:v>Volonté des 2 DG</c:v>
                </c:pt>
                <c:pt idx="1">
                  <c:v>La pertinence du sales plan 3 ans</c:v>
                </c:pt>
                <c:pt idx="2">
                  <c:v>La capacité à exécuter les décisions prises </c:v>
                </c:pt>
                <c:pt idx="3">
                  <c:v>La capacité à mettre les Moyens dans les 12 mois  </c:v>
                </c:pt>
                <c:pt idx="4">
                  <c:v>Une stratégie commerciale claire et partagée claire</c:v>
                </c:pt>
                <c:pt idx="5">
                  <c:v>Une offre stratégique pour chacun des 2 partenaires</c:v>
                </c:pt>
                <c:pt idx="6">
                  <c:v>Marché bien maîtrisé quantitativement ( cibles ) </c:v>
                </c:pt>
                <c:pt idx="7">
                  <c:v>Cibles clients clairement déterminées pour les partenaires</c:v>
                </c:pt>
                <c:pt idx="8">
                  <c:v>A l'écoute de ce que veulent les clients</c:v>
                </c:pt>
                <c:pt idx="9">
                  <c:v>Connait la valeur ajoutée et les limites de l'autre partenaire</c:v>
                </c:pt>
                <c:pt idx="10">
                  <c:v>Marge profitabilité pour chacun des partenaires</c:v>
                </c:pt>
                <c:pt idx="11">
                  <c:v>Robustesse de la solution </c:v>
                </c:pt>
                <c:pt idx="12">
                  <c:v>Positionnement  "Must Have"</c:v>
                </c:pt>
                <c:pt idx="13">
                  <c:v>Positionnement prix</c:v>
                </c:pt>
                <c:pt idx="14">
                  <c:v>Easy to do business with</c:v>
                </c:pt>
                <c:pt idx="15">
                  <c:v>Notoriété Reputation</c:v>
                </c:pt>
                <c:pt idx="16">
                  <c:v>Positionnement vs concurrence</c:v>
                </c:pt>
                <c:pt idx="17">
                  <c:v>Assurer une couverture commerciale d'ici 3 ans</c:v>
                </c:pt>
                <c:pt idx="18">
                  <c:v>Capacité à recruter les bons profils de commerciaux</c:v>
                </c:pt>
                <c:pt idx="19">
                  <c:v>Capacité à motiver les Commerciaux actifs  </c:v>
                </c:pt>
                <c:pt idx="20">
                  <c:v>Capacité à former les commerciaux </c:v>
                </c:pt>
                <c:pt idx="21">
                  <c:v>Capacité à anticiper et gérer les Conflits intercanaux</c:v>
                </c:pt>
                <c:pt idx="22">
                  <c:v>Volonté de renforcer l'équipe dédiée au partenariat</c:v>
                </c:pt>
                <c:pt idx="23">
                  <c:v>Capacité à recruter des collaborateurs de Qualité </c:v>
                </c:pt>
                <c:pt idx="24">
                  <c:v>Mission et KPI's clairs</c:v>
                </c:pt>
                <c:pt idx="25">
                  <c:v>Outils de pilotage</c:v>
                </c:pt>
                <c:pt idx="26">
                  <c:v>Soutien de tous les départements</c:v>
                </c:pt>
                <c:pt idx="27">
                  <c:v>Cohabitation/ Relation entre les forces de vente</c:v>
                </c:pt>
                <c:pt idx="28">
                  <c:v>Marketing budget dédié</c:v>
                </c:pt>
                <c:pt idx="29">
                  <c:v>Capacité à mettre en place un Programme partenaire efficace</c:v>
                </c:pt>
                <c:pt idx="30">
                  <c:v>Programme de génération de leads </c:v>
                </c:pt>
                <c:pt idx="31">
                  <c:v>Programme de formation commerciale</c:v>
                </c:pt>
                <c:pt idx="32">
                  <c:v>Moyens d'Animation des commerciaux</c:v>
                </c:pt>
                <c:pt idx="33">
                  <c:v>Extranet partenaire / PRM</c:v>
                </c:pt>
                <c:pt idx="34">
                  <c:v>Analyse des Programmes concurrents</c:v>
                </c:pt>
                <c:pt idx="35">
                  <c:v>Business plan</c:v>
                </c:pt>
                <c:pt idx="36">
                  <c:v>Outils de pilotage ( forecast, leads… )</c:v>
                </c:pt>
                <c:pt idx="37">
                  <c:v>Plan de gouvernance: équipes, réunions, agenda </c:v>
                </c:pt>
                <c:pt idx="38">
                  <c:v>Enquêtes de satisfaction des commerciaux et des clients</c:v>
                </c:pt>
                <c:pt idx="39">
                  <c:v>Cockpit / KPIs</c:v>
                </c:pt>
              </c:strCache>
            </c:strRef>
          </c:cat>
          <c:val>
            <c:numRef>
              <c:f>(CRITICALFACTORS!$F$8:$F$13,CRITICALFACTORS!$F$16:$F$19,CRITICALFACTORS!$F$22:$F$28,CRITICALFACTORS!$F$31:$F$35,CRITICALFACTORS!$F$38:$F$44,CRITICALFACTORS!$F$47:$F$52,CRITICALFACTORS!$F$55:$F$59)</c:f>
              <c:numCache>
                <c:formatCode>General</c:formatCode>
                <c:ptCount val="40"/>
              </c:numCache>
            </c:numRef>
          </c:val>
          <c:extLst>
            <c:ext xmlns:c16="http://schemas.microsoft.com/office/drawing/2014/chart" uri="{C3380CC4-5D6E-409C-BE32-E72D297353CC}">
              <c16:uniqueId val="{00000004-10AB-4FE3-9BB4-E0A98544ED12}"/>
            </c:ext>
          </c:extLst>
        </c:ser>
        <c:ser>
          <c:idx val="5"/>
          <c:order val="5"/>
          <c:cat>
            <c:strRef>
              <c:f>(CRITICALFACTORS!$A$8:$A$13,CRITICALFACTORS!$A$16:$A$19,CRITICALFACTORS!$A$22:$A$28,CRITICALFACTORS!$A$31:$A$35,CRITICALFACTORS!$A$38:$A$44,CRITICALFACTORS!$A$47:$A$52,CRITICALFACTORS!$A$55:$A$59)</c:f>
              <c:strCache>
                <c:ptCount val="40"/>
                <c:pt idx="0">
                  <c:v>Volonté des 2 DG</c:v>
                </c:pt>
                <c:pt idx="1">
                  <c:v>La pertinence du sales plan 3 ans</c:v>
                </c:pt>
                <c:pt idx="2">
                  <c:v>La capacité à exécuter les décisions prises </c:v>
                </c:pt>
                <c:pt idx="3">
                  <c:v>La capacité à mettre les Moyens dans les 12 mois  </c:v>
                </c:pt>
                <c:pt idx="4">
                  <c:v>Une stratégie commerciale claire et partagée claire</c:v>
                </c:pt>
                <c:pt idx="5">
                  <c:v>Une offre stratégique pour chacun des 2 partenaires</c:v>
                </c:pt>
                <c:pt idx="6">
                  <c:v>Marché bien maîtrisé quantitativement ( cibles ) </c:v>
                </c:pt>
                <c:pt idx="7">
                  <c:v>Cibles clients clairement déterminées pour les partenaires</c:v>
                </c:pt>
                <c:pt idx="8">
                  <c:v>A l'écoute de ce que veulent les clients</c:v>
                </c:pt>
                <c:pt idx="9">
                  <c:v>Connait la valeur ajoutée et les limites de l'autre partenaire</c:v>
                </c:pt>
                <c:pt idx="10">
                  <c:v>Marge profitabilité pour chacun des partenaires</c:v>
                </c:pt>
                <c:pt idx="11">
                  <c:v>Robustesse de la solution </c:v>
                </c:pt>
                <c:pt idx="12">
                  <c:v>Positionnement  "Must Have"</c:v>
                </c:pt>
                <c:pt idx="13">
                  <c:v>Positionnement prix</c:v>
                </c:pt>
                <c:pt idx="14">
                  <c:v>Easy to do business with</c:v>
                </c:pt>
                <c:pt idx="15">
                  <c:v>Notoriété Reputation</c:v>
                </c:pt>
                <c:pt idx="16">
                  <c:v>Positionnement vs concurrence</c:v>
                </c:pt>
                <c:pt idx="17">
                  <c:v>Assurer une couverture commerciale d'ici 3 ans</c:v>
                </c:pt>
                <c:pt idx="18">
                  <c:v>Capacité à recruter les bons profils de commerciaux</c:v>
                </c:pt>
                <c:pt idx="19">
                  <c:v>Capacité à motiver les Commerciaux actifs  </c:v>
                </c:pt>
                <c:pt idx="20">
                  <c:v>Capacité à former les commerciaux </c:v>
                </c:pt>
                <c:pt idx="21">
                  <c:v>Capacité à anticiper et gérer les Conflits intercanaux</c:v>
                </c:pt>
                <c:pt idx="22">
                  <c:v>Volonté de renforcer l'équipe dédiée au partenariat</c:v>
                </c:pt>
                <c:pt idx="23">
                  <c:v>Capacité à recruter des collaborateurs de Qualité </c:v>
                </c:pt>
                <c:pt idx="24">
                  <c:v>Mission et KPI's clairs</c:v>
                </c:pt>
                <c:pt idx="25">
                  <c:v>Outils de pilotage</c:v>
                </c:pt>
                <c:pt idx="26">
                  <c:v>Soutien de tous les départements</c:v>
                </c:pt>
                <c:pt idx="27">
                  <c:v>Cohabitation/ Relation entre les forces de vente</c:v>
                </c:pt>
                <c:pt idx="28">
                  <c:v>Marketing budget dédié</c:v>
                </c:pt>
                <c:pt idx="29">
                  <c:v>Capacité à mettre en place un Programme partenaire efficace</c:v>
                </c:pt>
                <c:pt idx="30">
                  <c:v>Programme de génération de leads </c:v>
                </c:pt>
                <c:pt idx="31">
                  <c:v>Programme de formation commerciale</c:v>
                </c:pt>
                <c:pt idx="32">
                  <c:v>Moyens d'Animation des commerciaux</c:v>
                </c:pt>
                <c:pt idx="33">
                  <c:v>Extranet partenaire / PRM</c:v>
                </c:pt>
                <c:pt idx="34">
                  <c:v>Analyse des Programmes concurrents</c:v>
                </c:pt>
                <c:pt idx="35">
                  <c:v>Business plan</c:v>
                </c:pt>
                <c:pt idx="36">
                  <c:v>Outils de pilotage ( forecast, leads… )</c:v>
                </c:pt>
                <c:pt idx="37">
                  <c:v>Plan de gouvernance: équipes, réunions, agenda </c:v>
                </c:pt>
                <c:pt idx="38">
                  <c:v>Enquêtes de satisfaction des commerciaux et des clients</c:v>
                </c:pt>
                <c:pt idx="39">
                  <c:v>Cockpit / KPIs</c:v>
                </c:pt>
              </c:strCache>
            </c:strRef>
          </c:cat>
          <c:val>
            <c:numRef>
              <c:f>(CRITICALFACTORS!$G$8:$G$13,CRITICALFACTORS!$G$16:$G$19,CRITICALFACTORS!$G$22:$G$28,CRITICALFACTORS!$G$31:$G$35,CRITICALFACTORS!$G$38:$G$44,CRITICALFACTORS!$G$47:$G$52,CRITICALFACTORS!$G$55:$G$59)</c:f>
              <c:numCache>
                <c:formatCode>General</c:formatCode>
                <c:ptCount val="40"/>
              </c:numCache>
            </c:numRef>
          </c:val>
          <c:extLst>
            <c:ext xmlns:c16="http://schemas.microsoft.com/office/drawing/2014/chart" uri="{C3380CC4-5D6E-409C-BE32-E72D297353CC}">
              <c16:uniqueId val="{00000005-10AB-4FE3-9BB4-E0A98544ED12}"/>
            </c:ext>
          </c:extLst>
        </c:ser>
        <c:dLbls>
          <c:showLegendKey val="0"/>
          <c:showVal val="0"/>
          <c:showCatName val="0"/>
          <c:showSerName val="0"/>
          <c:showPercent val="0"/>
          <c:showBubbleSize val="0"/>
        </c:dLbls>
        <c:axId val="724013168"/>
        <c:axId val="724014800"/>
      </c:radarChart>
      <c:catAx>
        <c:axId val="724013168"/>
        <c:scaling>
          <c:orientation val="minMax"/>
        </c:scaling>
        <c:delete val="0"/>
        <c:axPos val="b"/>
        <c:majorGridlines>
          <c:spPr>
            <a:ln w="3175">
              <a:solidFill>
                <a:srgbClr val="FF6600"/>
              </a:solidFill>
              <a:prstDash val="solid"/>
            </a:ln>
          </c:spPr>
        </c:majorGridlines>
        <c:numFmt formatCode="General"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fr-FR"/>
          </a:p>
        </c:txPr>
        <c:crossAx val="724014800"/>
        <c:crosses val="autoZero"/>
        <c:auto val="0"/>
        <c:lblAlgn val="ctr"/>
        <c:lblOffset val="100"/>
        <c:noMultiLvlLbl val="0"/>
      </c:catAx>
      <c:valAx>
        <c:axId val="724014800"/>
        <c:scaling>
          <c:orientation val="minMax"/>
        </c:scaling>
        <c:delete val="0"/>
        <c:axPos val="l"/>
        <c:majorGridlines>
          <c:spPr>
            <a:ln w="3175">
              <a:solidFill>
                <a:srgbClr val="000000"/>
              </a:solidFill>
              <a:prstDash val="solid"/>
            </a:ln>
          </c:spPr>
        </c:majorGridlines>
        <c:numFmt formatCode="General" sourceLinked="1"/>
        <c:majorTickMark val="none"/>
        <c:minorTickMark val="none"/>
        <c:tickLblPos val="nextTo"/>
        <c:spPr>
          <a:ln w="3175">
            <a:solidFill>
              <a:srgbClr val="FF66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724013168"/>
        <c:crosses val="autoZero"/>
        <c:crossBetween val="between"/>
      </c:valAx>
      <c:spPr>
        <a:noFill/>
        <a:ln w="25400">
          <a:noFill/>
        </a:ln>
      </c:spPr>
    </c:plotArea>
    <c:plotVisOnly val="1"/>
    <c:dispBlanksAs val="gap"/>
    <c:showDLblsOverMax val="0"/>
  </c:chart>
  <c:spPr>
    <a:gradFill>
      <a:gsLst>
        <a:gs pos="0">
          <a:srgbClr val="FFEFD1"/>
        </a:gs>
        <a:gs pos="64999">
          <a:srgbClr val="F0EBD5"/>
        </a:gs>
        <a:gs pos="100000">
          <a:srgbClr val="D1C39F"/>
        </a:gs>
      </a:gsLst>
      <a:lin ang="5400000" scaled="0"/>
    </a:gradFill>
    <a:ln w="44450">
      <a:solidFill>
        <a:srgbClr val="C00000"/>
      </a:solidFill>
      <a:prstDash val="solid"/>
    </a:ln>
  </c:spPr>
  <c:txPr>
    <a:bodyPr/>
    <a:lstStyle/>
    <a:p>
      <a:pPr>
        <a:defRPr sz="1200" b="0" i="0" u="none" strike="noStrike" baseline="0">
          <a:solidFill>
            <a:srgbClr val="000000"/>
          </a:solidFill>
          <a:latin typeface="Arial"/>
          <a:ea typeface="Arial"/>
          <a:cs typeface="Arial"/>
        </a:defRPr>
      </a:pPr>
      <a:endParaRPr lang="fr-FR"/>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Are you Channel ready ? </a:t>
            </a:r>
          </a:p>
        </c:rich>
      </c:tx>
      <c:overlay val="0"/>
    </c:title>
    <c:autoTitleDeleted val="0"/>
    <c:plotArea>
      <c:layout/>
      <c:radarChart>
        <c:radarStyle val="marker"/>
        <c:varyColors val="0"/>
        <c:ser>
          <c:idx val="0"/>
          <c:order val="0"/>
          <c:marker>
            <c:symbol val="none"/>
          </c:marker>
          <c:cat>
            <c:strRef>
              <c:f>(CHANNELREADY!$B$9:$E$20,CHANNELREADY!$B$23:$E$32,CHANNELREADY!$B$35:$E$42,CHANNELREADY!$B$45:$E$51)</c:f>
              <c:strCache>
                <c:ptCount val="37"/>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 / temps de réponse</c:v>
                </c:pt>
                <c:pt idx="10">
                  <c:v>Niveaux de sécurité</c:v>
                </c:pt>
                <c:pt idx="11">
                  <c:v>Convivialité du dialogue Homme-Machine / ergonomie</c:v>
                </c:pt>
                <c:pt idx="12">
                  <c:v>Facilité de MAJ des nouvelles versions</c:v>
                </c:pt>
                <c:pt idx="13">
                  <c:v>Facilité de support effectué par le partenaire</c:v>
                </c:pt>
                <c:pt idx="14">
                  <c:v>Facilité de déploiement </c:v>
                </c:pt>
                <c:pt idx="15">
                  <c:v>Facilité d'Installation du logiciel</c:v>
                </c:pt>
                <c:pt idx="16">
                  <c:v>Facilité de démarrage d'un client</c:v>
                </c:pt>
                <c:pt idx="17">
                  <c:v>Facilité de formation d'un client</c:v>
                </c:pt>
                <c:pt idx="18">
                  <c:v>Facilité de paramétrage d'un client</c:v>
                </c:pt>
                <c:pt idx="19">
                  <c:v>Facilité de personnalisation </c:v>
                </c:pt>
                <c:pt idx="20">
                  <c:v>Facilité de maîtrise pour un consultant technique</c:v>
                </c:pt>
                <c:pt idx="21">
                  <c:v>Facilité de compréhension pour un commercial</c:v>
                </c:pt>
                <c:pt idx="22">
                  <c:v>Documentation ( tech  ) pour les partenaires</c:v>
                </c:pt>
                <c:pt idx="23">
                  <c:v>Niveau d'assistance sur la 1° affaires</c:v>
                </c:pt>
                <c:pt idx="24">
                  <c:v>Besoin d'assistance sur les 3 premières affaires</c:v>
                </c:pt>
                <c:pt idx="25">
                  <c:v>Facilité de localisation de la solution</c:v>
                </c:pt>
                <c:pt idx="26">
                  <c:v>Multilangues</c:v>
                </c:pt>
                <c:pt idx="27">
                  <c:v>Documentation en langues étrangères</c:v>
                </c:pt>
                <c:pt idx="28">
                  <c:v>Qualité et réactivité du support envers les partenaires </c:v>
                </c:pt>
                <c:pt idx="29">
                  <c:v>Escalades process</c:v>
                </c:pt>
                <c:pt idx="30">
                  <c:v>Références clients visitables</c:v>
                </c:pt>
                <c:pt idx="31">
                  <c:v>Positionnement du prix liste officielle</c:v>
                </c:pt>
                <c:pt idx="32">
                  <c:v>Souplesse adaptation du pricing</c:v>
                </c:pt>
                <c:pt idx="33">
                  <c:v>Niveau de Commission aux partenaires</c:v>
                </c:pt>
                <c:pt idx="34">
                  <c:v>Opportunités de Revenu additionnel pour les partenaires</c:v>
                </c:pt>
                <c:pt idx="35">
                  <c:v>Acceptation du canal Partenaire par les clients</c:v>
                </c:pt>
                <c:pt idx="36">
                  <c:v>Niveau de notoriété du produit</c:v>
                </c:pt>
              </c:strCache>
            </c:strRef>
          </c:cat>
          <c:val>
            <c:numRef>
              <c:f>(CHANNELREADY!$F$9:$F$20,CHANNELREADY!$F$23:$F$32,CHANNELREADY!$F$35:$F$42,CHANNELREADY!$F$45:$F$51)</c:f>
              <c:numCache>
                <c:formatCode>General</c:formatCode>
                <c:ptCount val="37"/>
                <c:pt idx="0">
                  <c:v>0</c:v>
                </c:pt>
                <c:pt idx="12">
                  <c:v>0</c:v>
                </c:pt>
                <c:pt idx="22">
                  <c:v>0</c:v>
                </c:pt>
                <c:pt idx="30">
                  <c:v>0</c:v>
                </c:pt>
              </c:numCache>
            </c:numRef>
          </c:val>
          <c:extLst>
            <c:ext xmlns:c16="http://schemas.microsoft.com/office/drawing/2014/chart" uri="{C3380CC4-5D6E-409C-BE32-E72D297353CC}">
              <c16:uniqueId val="{00000000-08A7-4A11-944D-8024CB598A27}"/>
            </c:ext>
          </c:extLst>
        </c:ser>
        <c:ser>
          <c:idx val="1"/>
          <c:order val="1"/>
          <c:marker>
            <c:symbol val="none"/>
          </c:marker>
          <c:cat>
            <c:strRef>
              <c:f>(CHANNELREADY!$B$9:$E$20,CHANNELREADY!$B$23:$E$32,CHANNELREADY!$B$35:$E$42,CHANNELREADY!$B$45:$E$51)</c:f>
              <c:strCache>
                <c:ptCount val="37"/>
                <c:pt idx="0">
                  <c:v>Modernité, stabilité et évolution contrôlée de la technologie utilisée</c:v>
                </c:pt>
                <c:pt idx="1">
                  <c:v>Différenciations techniques avec les concurrents</c:v>
                </c:pt>
                <c:pt idx="2">
                  <c:v>Robustesse de la solution</c:v>
                </c:pt>
                <c:pt idx="3">
                  <c:v>Respect des standards / normes du marché</c:v>
                </c:pt>
                <c:pt idx="4">
                  <c:v>Modularité et "scalabilité "</c:v>
                </c:pt>
                <c:pt idx="5">
                  <c:v>Criticité des bogues</c:v>
                </c:pt>
                <c:pt idx="6">
                  <c:v>Scope et Complétude fonctionnelle de la solution vs les besoins</c:v>
                </c:pt>
                <c:pt idx="7">
                  <c:v>Interopérabilité avec d'autres solutions</c:v>
                </c:pt>
                <c:pt idx="8">
                  <c:v>Facilité d'intégration avec le SI client</c:v>
                </c:pt>
                <c:pt idx="9">
                  <c:v>Performances d'affichage / temps de réponse</c:v>
                </c:pt>
                <c:pt idx="10">
                  <c:v>Niveaux de sécurité</c:v>
                </c:pt>
                <c:pt idx="11">
                  <c:v>Convivialité du dialogue Homme-Machine / ergonomie</c:v>
                </c:pt>
                <c:pt idx="12">
                  <c:v>Facilité de MAJ des nouvelles versions</c:v>
                </c:pt>
                <c:pt idx="13">
                  <c:v>Facilité de support effectué par le partenaire</c:v>
                </c:pt>
                <c:pt idx="14">
                  <c:v>Facilité de déploiement </c:v>
                </c:pt>
                <c:pt idx="15">
                  <c:v>Facilité d'Installation du logiciel</c:v>
                </c:pt>
                <c:pt idx="16">
                  <c:v>Facilité de démarrage d'un client</c:v>
                </c:pt>
                <c:pt idx="17">
                  <c:v>Facilité de formation d'un client</c:v>
                </c:pt>
                <c:pt idx="18">
                  <c:v>Facilité de paramétrage d'un client</c:v>
                </c:pt>
                <c:pt idx="19">
                  <c:v>Facilité de personnalisation </c:v>
                </c:pt>
                <c:pt idx="20">
                  <c:v>Facilité de maîtrise pour un consultant technique</c:v>
                </c:pt>
                <c:pt idx="21">
                  <c:v>Facilité de compréhension pour un commercial</c:v>
                </c:pt>
                <c:pt idx="22">
                  <c:v>Documentation ( tech  ) pour les partenaires</c:v>
                </c:pt>
                <c:pt idx="23">
                  <c:v>Niveau d'assistance sur la 1° affaires</c:v>
                </c:pt>
                <c:pt idx="24">
                  <c:v>Besoin d'assistance sur les 3 premières affaires</c:v>
                </c:pt>
                <c:pt idx="25">
                  <c:v>Facilité de localisation de la solution</c:v>
                </c:pt>
                <c:pt idx="26">
                  <c:v>Multilangues</c:v>
                </c:pt>
                <c:pt idx="27">
                  <c:v>Documentation en langues étrangères</c:v>
                </c:pt>
                <c:pt idx="28">
                  <c:v>Qualité et réactivité du support envers les partenaires </c:v>
                </c:pt>
                <c:pt idx="29">
                  <c:v>Escalades process</c:v>
                </c:pt>
                <c:pt idx="30">
                  <c:v>Références clients visitables</c:v>
                </c:pt>
                <c:pt idx="31">
                  <c:v>Positionnement du prix liste officielle</c:v>
                </c:pt>
                <c:pt idx="32">
                  <c:v>Souplesse adaptation du pricing</c:v>
                </c:pt>
                <c:pt idx="33">
                  <c:v>Niveau de Commission aux partenaires</c:v>
                </c:pt>
                <c:pt idx="34">
                  <c:v>Opportunités de Revenu additionnel pour les partenaires</c:v>
                </c:pt>
                <c:pt idx="35">
                  <c:v>Acceptation du canal Partenaire par les clients</c:v>
                </c:pt>
                <c:pt idx="36">
                  <c:v>Niveau de notoriété du produit</c:v>
                </c:pt>
              </c:strCache>
            </c:strRef>
          </c:cat>
          <c:val>
            <c:numRef>
              <c:f>(CHANNELREADY!$G$9:$G$20,CHANNELREADY!$G$23:$G$32,CHANNELREADY!$G$35:$G$42,CHANNELREADY!$G$45:$G$51)</c:f>
              <c:numCache>
                <c:formatCode>General</c:formatCode>
                <c:ptCount val="37"/>
              </c:numCache>
            </c:numRef>
          </c:val>
          <c:extLst>
            <c:ext xmlns:c16="http://schemas.microsoft.com/office/drawing/2014/chart" uri="{C3380CC4-5D6E-409C-BE32-E72D297353CC}">
              <c16:uniqueId val="{00000001-08A7-4A11-944D-8024CB598A27}"/>
            </c:ext>
          </c:extLst>
        </c:ser>
        <c:dLbls>
          <c:showLegendKey val="0"/>
          <c:showVal val="0"/>
          <c:showCatName val="0"/>
          <c:showSerName val="0"/>
          <c:showPercent val="0"/>
          <c:showBubbleSize val="0"/>
        </c:dLbls>
        <c:axId val="724034928"/>
        <c:axId val="724034384"/>
      </c:radarChart>
      <c:catAx>
        <c:axId val="724034928"/>
        <c:scaling>
          <c:orientation val="minMax"/>
        </c:scaling>
        <c:delete val="0"/>
        <c:axPos val="b"/>
        <c:majorGridlines/>
        <c:numFmt formatCode="General" sourceLinked="0"/>
        <c:majorTickMark val="none"/>
        <c:minorTickMark val="none"/>
        <c:tickLblPos val="nextTo"/>
        <c:spPr>
          <a:ln w="9525">
            <a:noFill/>
          </a:ln>
        </c:spPr>
        <c:crossAx val="724034384"/>
        <c:crosses val="autoZero"/>
        <c:auto val="1"/>
        <c:lblAlgn val="ctr"/>
        <c:lblOffset val="100"/>
        <c:noMultiLvlLbl val="0"/>
      </c:catAx>
      <c:valAx>
        <c:axId val="724034384"/>
        <c:scaling>
          <c:orientation val="minMax"/>
        </c:scaling>
        <c:delete val="0"/>
        <c:axPos val="l"/>
        <c:majorGridlines/>
        <c:numFmt formatCode="General" sourceLinked="1"/>
        <c:majorTickMark val="none"/>
        <c:minorTickMark val="none"/>
        <c:tickLblPos val="nextTo"/>
        <c:crossAx val="724034928"/>
        <c:crosses val="autoZero"/>
        <c:crossBetween val="between"/>
      </c:valAx>
    </c:plotArea>
    <c:plotVisOnly val="1"/>
    <c:dispBlanksAs val="gap"/>
    <c:showDLblsOverMax val="0"/>
  </c:chart>
  <c:spPr>
    <a:gradFill>
      <a:gsLst>
        <a:gs pos="0">
          <a:srgbClr val="FFEFD1"/>
        </a:gs>
        <a:gs pos="64999">
          <a:srgbClr val="F0EBD5"/>
        </a:gs>
        <a:gs pos="100000">
          <a:srgbClr val="D1C39F"/>
        </a:gs>
      </a:gsLst>
      <a:lin ang="5400000" scaled="0"/>
    </a:gradFill>
    <a:ln w="41275">
      <a:solidFill>
        <a:srgbClr val="C00000"/>
      </a:solidFill>
    </a:ln>
  </c:sp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 Ventilation</a:t>
            </a:r>
            <a:r>
              <a:rPr lang="fr-FR" baseline="0"/>
              <a:t> du new business annuel </a:t>
            </a:r>
            <a:endParaRPr lang="fr-FR"/>
          </a:p>
        </c:rich>
      </c:tx>
      <c:overlay val="0"/>
    </c:title>
    <c:autoTitleDeleted val="0"/>
    <c:plotArea>
      <c:layout/>
      <c:barChart>
        <c:barDir val="col"/>
        <c:grouping val="clustered"/>
        <c:varyColors val="0"/>
        <c:ser>
          <c:idx val="0"/>
          <c:order val="0"/>
          <c:invertIfNegative val="0"/>
          <c:cat>
            <c:numRef>
              <c:f>'SALESPLAN 3Y'!$G$51:$K$51</c:f>
              <c:numCache>
                <c:formatCode>General</c:formatCode>
                <c:ptCount val="5"/>
                <c:pt idx="0">
                  <c:v>2017</c:v>
                </c:pt>
                <c:pt idx="1">
                  <c:v>2018</c:v>
                </c:pt>
                <c:pt idx="2">
                  <c:v>2019</c:v>
                </c:pt>
                <c:pt idx="3">
                  <c:v>2020</c:v>
                </c:pt>
                <c:pt idx="4">
                  <c:v>2021</c:v>
                </c:pt>
              </c:numCache>
            </c:numRef>
          </c:cat>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6="http://schemas.microsoft.com/office/drawing/2014/chart" uri="{C3380CC4-5D6E-409C-BE32-E72D297353CC}">
              <c16:uniqueId val="{00000000-3497-48BC-93B6-103426A3EBDF}"/>
            </c:ext>
          </c:extLst>
        </c:ser>
        <c:ser>
          <c:idx val="1"/>
          <c:order val="1"/>
          <c:spPr>
            <a:ln w="25400">
              <a:noFill/>
            </a:ln>
          </c:spPr>
          <c:invertIfNegative val="0"/>
          <c:cat>
            <c:numRef>
              <c:f>'SALESPLAN 3Y'!$G$51:$K$51</c:f>
              <c:numCache>
                <c:formatCode>General</c:formatCode>
                <c:ptCount val="5"/>
                <c:pt idx="0">
                  <c:v>2017</c:v>
                </c:pt>
                <c:pt idx="1">
                  <c:v>2018</c:v>
                </c:pt>
                <c:pt idx="2">
                  <c:v>2019</c:v>
                </c:pt>
                <c:pt idx="3">
                  <c:v>2020</c:v>
                </c:pt>
                <c:pt idx="4">
                  <c:v>2021</c:v>
                </c:pt>
              </c:numCache>
            </c:numRef>
          </c:cat>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6="http://schemas.microsoft.com/office/drawing/2014/chart" uri="{C3380CC4-5D6E-409C-BE32-E72D297353CC}">
              <c16:uniqueId val="{00000000-0CAC-44F1-A177-27D9DB968B5D}"/>
            </c:ext>
          </c:extLst>
        </c:ser>
        <c:ser>
          <c:idx val="2"/>
          <c:order val="2"/>
          <c:spPr>
            <a:ln w="25400">
              <a:noFill/>
            </a:ln>
          </c:spPr>
          <c:invertIfNegative val="0"/>
          <c:cat>
            <c:numRef>
              <c:f>'SALESPLAN 3Y'!$G$51:$K$51</c:f>
              <c:numCache>
                <c:formatCode>General</c:formatCode>
                <c:ptCount val="5"/>
                <c:pt idx="0">
                  <c:v>2017</c:v>
                </c:pt>
                <c:pt idx="1">
                  <c:v>2018</c:v>
                </c:pt>
                <c:pt idx="2">
                  <c:v>2019</c:v>
                </c:pt>
                <c:pt idx="3">
                  <c:v>2020</c:v>
                </c:pt>
                <c:pt idx="4">
                  <c:v>2021</c:v>
                </c:pt>
              </c:numCache>
            </c:numRef>
          </c:cat>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6="http://schemas.microsoft.com/office/drawing/2014/chart" uri="{C3380CC4-5D6E-409C-BE32-E72D297353CC}">
              <c16:uniqueId val="{00000001-0CAC-44F1-A177-27D9DB968B5D}"/>
            </c:ext>
          </c:extLst>
        </c:ser>
        <c:ser>
          <c:idx val="3"/>
          <c:order val="3"/>
          <c:spPr>
            <a:ln w="25400">
              <a:noFill/>
            </a:ln>
          </c:spPr>
          <c:invertIfNegative val="0"/>
          <c:cat>
            <c:numRef>
              <c:f>'SALESPLAN 3Y'!$G$51:$K$51</c:f>
              <c:numCache>
                <c:formatCode>General</c:formatCode>
                <c:ptCount val="5"/>
                <c:pt idx="0">
                  <c:v>2017</c:v>
                </c:pt>
                <c:pt idx="1">
                  <c:v>2018</c:v>
                </c:pt>
                <c:pt idx="2">
                  <c:v>2019</c:v>
                </c:pt>
                <c:pt idx="3">
                  <c:v>2020</c:v>
                </c:pt>
                <c:pt idx="4">
                  <c:v>2021</c:v>
                </c:pt>
              </c:numCache>
            </c:numRef>
          </c:cat>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6="http://schemas.microsoft.com/office/drawing/2014/chart" uri="{C3380CC4-5D6E-409C-BE32-E72D297353CC}">
              <c16:uniqueId val="{00000002-0CAC-44F1-A177-27D9DB968B5D}"/>
            </c:ext>
          </c:extLst>
        </c:ser>
        <c:ser>
          <c:idx val="4"/>
          <c:order val="4"/>
          <c:spPr>
            <a:ln w="25400">
              <a:noFill/>
            </a:ln>
          </c:spPr>
          <c:invertIfNegative val="0"/>
          <c:cat>
            <c:numRef>
              <c:f>'SALESPLAN 3Y'!$G$51:$K$51</c:f>
              <c:numCache>
                <c:formatCode>General</c:formatCode>
                <c:ptCount val="5"/>
                <c:pt idx="0">
                  <c:v>2017</c:v>
                </c:pt>
                <c:pt idx="1">
                  <c:v>2018</c:v>
                </c:pt>
                <c:pt idx="2">
                  <c:v>2019</c:v>
                </c:pt>
                <c:pt idx="3">
                  <c:v>2020</c:v>
                </c:pt>
                <c:pt idx="4">
                  <c:v>2021</c:v>
                </c:pt>
              </c:numCache>
            </c:numRef>
          </c:cat>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6="http://schemas.microsoft.com/office/drawing/2014/chart" uri="{C3380CC4-5D6E-409C-BE32-E72D297353CC}">
              <c16:uniqueId val="{00000003-0CAC-44F1-A177-27D9DB968B5D}"/>
            </c:ext>
          </c:extLst>
        </c:ser>
        <c:ser>
          <c:idx val="5"/>
          <c:order val="5"/>
          <c:spPr>
            <a:ln w="25400">
              <a:noFill/>
            </a:ln>
          </c:spPr>
          <c:invertIfNegative val="0"/>
          <c:cat>
            <c:numRef>
              <c:f>'SALESPLAN 3Y'!$G$51:$K$51</c:f>
              <c:numCache>
                <c:formatCode>General</c:formatCode>
                <c:ptCount val="5"/>
                <c:pt idx="0">
                  <c:v>2017</c:v>
                </c:pt>
                <c:pt idx="1">
                  <c:v>2018</c:v>
                </c:pt>
                <c:pt idx="2">
                  <c:v>2019</c:v>
                </c:pt>
                <c:pt idx="3">
                  <c:v>2020</c:v>
                </c:pt>
                <c:pt idx="4">
                  <c:v>2021</c:v>
                </c:pt>
              </c:numCache>
            </c:numRef>
          </c:cat>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6="http://schemas.microsoft.com/office/drawing/2014/chart" uri="{C3380CC4-5D6E-409C-BE32-E72D297353CC}">
              <c16:uniqueId val="{00000004-0CAC-44F1-A177-27D9DB968B5D}"/>
            </c:ext>
          </c:extLst>
        </c:ser>
        <c:ser>
          <c:idx val="6"/>
          <c:order val="6"/>
          <c:spPr>
            <a:ln w="25400">
              <a:noFill/>
            </a:ln>
          </c:spPr>
          <c:invertIfNegative val="0"/>
          <c:cat>
            <c:numRef>
              <c:f>'SALESPLAN 3Y'!$G$51:$K$51</c:f>
              <c:numCache>
                <c:formatCode>General</c:formatCode>
                <c:ptCount val="5"/>
                <c:pt idx="0">
                  <c:v>2017</c:v>
                </c:pt>
                <c:pt idx="1">
                  <c:v>2018</c:v>
                </c:pt>
                <c:pt idx="2">
                  <c:v>2019</c:v>
                </c:pt>
                <c:pt idx="3">
                  <c:v>2020</c:v>
                </c:pt>
                <c:pt idx="4">
                  <c:v>2021</c:v>
                </c:pt>
              </c:numCache>
            </c:numRef>
          </c:cat>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6="http://schemas.microsoft.com/office/drawing/2014/chart" uri="{C3380CC4-5D6E-409C-BE32-E72D297353CC}">
              <c16:uniqueId val="{00000005-0CAC-44F1-A177-27D9DB968B5D}"/>
            </c:ext>
          </c:extLst>
        </c:ser>
        <c:ser>
          <c:idx val="7"/>
          <c:order val="7"/>
          <c:spPr>
            <a:ln w="25400">
              <a:noFill/>
            </a:ln>
          </c:spPr>
          <c:invertIfNegative val="0"/>
          <c:cat>
            <c:numRef>
              <c:f>'SALESPLAN 3Y'!$G$51:$K$51</c:f>
              <c:numCache>
                <c:formatCode>General</c:formatCode>
                <c:ptCount val="5"/>
                <c:pt idx="0">
                  <c:v>2017</c:v>
                </c:pt>
                <c:pt idx="1">
                  <c:v>2018</c:v>
                </c:pt>
                <c:pt idx="2">
                  <c:v>2019</c:v>
                </c:pt>
                <c:pt idx="3">
                  <c:v>2020</c:v>
                </c:pt>
                <c:pt idx="4">
                  <c:v>2021</c:v>
                </c:pt>
              </c:numCache>
            </c:numRef>
          </c:cat>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6="http://schemas.microsoft.com/office/drawing/2014/chart" uri="{C3380CC4-5D6E-409C-BE32-E72D297353CC}">
              <c16:uniqueId val="{00000006-0CAC-44F1-A177-27D9DB968B5D}"/>
            </c:ext>
          </c:extLst>
        </c:ser>
        <c:ser>
          <c:idx val="8"/>
          <c:order val="8"/>
          <c:spPr>
            <a:ln w="25400">
              <a:noFill/>
            </a:ln>
          </c:spPr>
          <c:invertIfNegative val="0"/>
          <c:cat>
            <c:numRef>
              <c:f>'SALESPLAN 3Y'!$G$51:$K$51</c:f>
              <c:numCache>
                <c:formatCode>General</c:formatCode>
                <c:ptCount val="5"/>
                <c:pt idx="0">
                  <c:v>2017</c:v>
                </c:pt>
                <c:pt idx="1">
                  <c:v>2018</c:v>
                </c:pt>
                <c:pt idx="2">
                  <c:v>2019</c:v>
                </c:pt>
                <c:pt idx="3">
                  <c:v>2020</c:v>
                </c:pt>
                <c:pt idx="4">
                  <c:v>2021</c:v>
                </c:pt>
              </c:numCache>
            </c:numRef>
          </c:cat>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6="http://schemas.microsoft.com/office/drawing/2014/chart" uri="{C3380CC4-5D6E-409C-BE32-E72D297353CC}">
              <c16:uniqueId val="{00000007-0CAC-44F1-A177-27D9DB968B5D}"/>
            </c:ext>
          </c:extLst>
        </c:ser>
        <c:dLbls>
          <c:showLegendKey val="0"/>
          <c:showVal val="0"/>
          <c:showCatName val="0"/>
          <c:showSerName val="0"/>
          <c:showPercent val="0"/>
          <c:showBubbleSize val="0"/>
        </c:dLbls>
        <c:gapWidth val="150"/>
        <c:axId val="724043088"/>
        <c:axId val="724018064"/>
      </c:barChart>
      <c:catAx>
        <c:axId val="724043088"/>
        <c:scaling>
          <c:orientation val="minMax"/>
        </c:scaling>
        <c:delete val="0"/>
        <c:axPos val="b"/>
        <c:numFmt formatCode="General" sourceLinked="1"/>
        <c:majorTickMark val="none"/>
        <c:minorTickMark val="none"/>
        <c:tickLblPos val="nextTo"/>
        <c:crossAx val="724018064"/>
        <c:crosses val="autoZero"/>
        <c:auto val="1"/>
        <c:lblAlgn val="ctr"/>
        <c:lblOffset val="100"/>
        <c:noMultiLvlLbl val="0"/>
      </c:catAx>
      <c:valAx>
        <c:axId val="724018064"/>
        <c:scaling>
          <c:orientation val="minMax"/>
        </c:scaling>
        <c:delete val="0"/>
        <c:axPos val="l"/>
        <c:majorGridlines/>
        <c:title>
          <c:overlay val="0"/>
        </c:title>
        <c:numFmt formatCode="General" sourceLinked="1"/>
        <c:majorTickMark val="none"/>
        <c:minorTickMark val="none"/>
        <c:tickLblPos val="nextTo"/>
        <c:crossAx val="724043088"/>
        <c:crosses val="autoZero"/>
        <c:crossBetween val="between"/>
      </c:valAx>
      <c:spPr>
        <a:solidFill>
          <a:schemeClr val="accent6">
            <a:lumMod val="40000"/>
            <a:lumOff val="60000"/>
          </a:schemeClr>
        </a:solidFill>
      </c:spPr>
    </c:plotArea>
    <c:legend>
      <c:legendPos val="r"/>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overlay val="0"/>
    </c:legend>
    <c:plotVisOnly val="1"/>
    <c:dispBlanksAs val="zero"/>
    <c:showDLblsOverMax val="0"/>
  </c:chart>
  <c:spPr>
    <a:gradFill>
      <a:gsLst>
        <a:gs pos="0">
          <a:srgbClr val="FFEFD1"/>
        </a:gs>
        <a:gs pos="64999">
          <a:srgbClr val="F0EBD5"/>
        </a:gs>
        <a:gs pos="100000">
          <a:srgbClr val="D1C39F"/>
        </a:gs>
      </a:gsLst>
      <a:lin ang="5400000" scaled="0"/>
    </a:gradFill>
    <a:ln w="28575" cmpd="thinThick">
      <a:solidFill>
        <a:srgbClr val="C00000"/>
      </a:solidFill>
    </a:ln>
  </c:sp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r-FR"/>
              <a:t>Ventilation du CA Indirect</a:t>
            </a:r>
            <a:r>
              <a:rPr lang="fr-FR" baseline="0"/>
              <a:t> </a:t>
            </a:r>
            <a:endParaRPr lang="fr-F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delete val="1"/>
          </c:dLbls>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SALESPLAN!#REF!</c15:sqref>
                        </c15:formulaRef>
                      </c:ext>
                    </c:extLst>
                  </c:multiLvlStrRef>
                </c15:cat>
              </c15:filteredCategoryTitle>
            </c:ext>
            <c:ext xmlns:c16="http://schemas.microsoft.com/office/drawing/2014/chart" uri="{C3380CC4-5D6E-409C-BE32-E72D297353CC}">
              <c16:uniqueId val="{00000000-543F-4507-BB71-1FBA0891ACC7}"/>
            </c:ext>
          </c:extLst>
        </c:ser>
        <c:ser>
          <c:idx val="1"/>
          <c:order val="1"/>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SALESPLAN!#REF!</c15:sqref>
                        </c15:formulaRef>
                      </c:ext>
                    </c:extLst>
                  </c:multiLvlStrRef>
                </c15:cat>
              </c15:filteredCategoryTitle>
            </c:ext>
            <c:ext xmlns:c16="http://schemas.microsoft.com/office/drawing/2014/chart" uri="{C3380CC4-5D6E-409C-BE32-E72D297353CC}">
              <c16:uniqueId val="{00000001-543F-4507-BB71-1FBA0891ACC7}"/>
            </c:ext>
          </c:extLst>
        </c:ser>
        <c:ser>
          <c:idx val="2"/>
          <c:order val="2"/>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SALESPLAN!#REF!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SALESPLAN!#REF!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SALESPLAN!#REF!</c15:sqref>
                        </c15:formulaRef>
                      </c:ext>
                    </c:extLst>
                  </c:multiLvlStrRef>
                </c15:cat>
              </c15:filteredCategoryTitle>
            </c:ext>
            <c:ext xmlns:c16="http://schemas.microsoft.com/office/drawing/2014/chart" uri="{C3380CC4-5D6E-409C-BE32-E72D297353CC}">
              <c16:uniqueId val="{00000002-543F-4507-BB71-1FBA0891ACC7}"/>
            </c:ext>
          </c:extLst>
        </c:ser>
        <c:dLbls>
          <c:dLblPos val="inEnd"/>
          <c:showLegendKey val="0"/>
          <c:showVal val="1"/>
          <c:showCatName val="0"/>
          <c:showSerName val="0"/>
          <c:showPercent val="0"/>
          <c:showBubbleSize val="0"/>
        </c:dLbls>
        <c:gapWidth val="65"/>
        <c:axId val="724036016"/>
        <c:axId val="724026224"/>
      </c:barChart>
      <c:catAx>
        <c:axId val="7240360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r-FR"/>
          </a:p>
        </c:txPr>
        <c:crossAx val="724026224"/>
        <c:crosses val="autoZero"/>
        <c:auto val="1"/>
        <c:lblAlgn val="ctr"/>
        <c:lblOffset val="100"/>
        <c:noMultiLvlLbl val="0"/>
      </c:catAx>
      <c:valAx>
        <c:axId val="7240262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72403601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r-F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38100" cap="flat" cmpd="sng" algn="ctr">
      <a:solidFill>
        <a:srgbClr val="C00000"/>
      </a:solidFill>
      <a:round/>
    </a:ln>
    <a:effectLst/>
  </c:spPr>
  <c:txPr>
    <a:bodyPr/>
    <a:lstStyle/>
    <a:p>
      <a:pPr>
        <a:defRPr/>
      </a:pPr>
      <a:endParaRPr lang="fr-FR"/>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r-FR"/>
              <a:t>Effort de Recrutement 3 ans</a:t>
            </a:r>
            <a:br>
              <a:rPr lang="fr-FR"/>
            </a:br>
            <a:r>
              <a:rPr lang="fr-FR"/>
              <a:t>par type de partenaires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2415136094721657"/>
          <c:y val="0.15230127920940525"/>
          <c:w val="0.87129396325459318"/>
          <c:h val="0.72088764946048411"/>
        </c:manualLayout>
      </c:layout>
      <c:barChart>
        <c:barDir val="col"/>
        <c:grouping val="clustered"/>
        <c:varyColors val="0"/>
        <c:ser>
          <c:idx val="0"/>
          <c:order val="0"/>
          <c:tx>
            <c:strRef>
              <c:f>'02-CHANNELCAPACITY-SAAS-OFR1'!$A$44:$C$44</c:f>
              <c:strCache>
                <c:ptCount val="3"/>
                <c:pt idx="0">
                  <c:v>VARs / SS2I locales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'02-CHANNELCAPACITY-SAAS-OFR1'!$K$49</c:f>
              <c:numCache>
                <c:formatCode>#,##0.00</c:formatCode>
                <c:ptCount val="1"/>
                <c:pt idx="0">
                  <c:v>0</c:v>
                </c:pt>
              </c:numCache>
            </c:numRef>
          </c:val>
          <c:extLst>
            <c:ext xmlns:c16="http://schemas.microsoft.com/office/drawing/2014/chart" uri="{C3380CC4-5D6E-409C-BE32-E72D297353CC}">
              <c16:uniqueId val="{00000000-B84F-48C4-A7CD-2930FAA7EA09}"/>
            </c:ext>
          </c:extLst>
        </c:ser>
        <c:ser>
          <c:idx val="1"/>
          <c:order val="1"/>
          <c:tx>
            <c:strRef>
              <c:f>'02-CHANNELCAPACITY-SAAS-OFR1'!$A$52:$C$52</c:f>
              <c:strCache>
                <c:ptCount val="3"/>
                <c:pt idx="0">
                  <c:v>ESN ( SS2I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'02-CHANNELCAPACITY-SAAS-OFR1'!$K$57</c:f>
              <c:numCache>
                <c:formatCode>#,##0.00</c:formatCode>
                <c:ptCount val="1"/>
                <c:pt idx="0">
                  <c:v>0</c:v>
                </c:pt>
              </c:numCache>
            </c:numRef>
          </c:val>
          <c:extLst>
            <c:ext xmlns:c16="http://schemas.microsoft.com/office/drawing/2014/chart" uri="{C3380CC4-5D6E-409C-BE32-E72D297353CC}">
              <c16:uniqueId val="{00000001-B84F-48C4-A7CD-2930FAA7EA09}"/>
            </c:ext>
          </c:extLst>
        </c:ser>
        <c:ser>
          <c:idx val="2"/>
          <c:order val="2"/>
          <c:tx>
            <c:strRef>
              <c:f>'02-CHANNELCAPACITY-SAAS-OFR1'!$A$60:$C$60</c:f>
              <c:strCache>
                <c:ptCount val="3"/>
                <c:pt idx="0">
                  <c:v>Constructeurs Matériel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'02-CHANNELCAPACITY-SAAS-OFR1'!$K$65</c:f>
              <c:numCache>
                <c:formatCode>#,##0.00</c:formatCode>
                <c:ptCount val="1"/>
                <c:pt idx="0">
                  <c:v>0</c:v>
                </c:pt>
              </c:numCache>
            </c:numRef>
          </c:val>
          <c:extLst>
            <c:ext xmlns:c16="http://schemas.microsoft.com/office/drawing/2014/chart" uri="{C3380CC4-5D6E-409C-BE32-E72D297353CC}">
              <c16:uniqueId val="{00000002-B84F-48C4-A7CD-2930FAA7EA09}"/>
            </c:ext>
          </c:extLst>
        </c:ser>
        <c:ser>
          <c:idx val="3"/>
          <c:order val="3"/>
          <c:tx>
            <c:strRef>
              <c:f>'02-CHANNELCAPACITY-SAAS-OFR1'!$A$68:$C$68</c:f>
              <c:strCache>
                <c:ptCount val="3"/>
                <c:pt idx="0">
                  <c:v>Editeurs de solutions complémentaires</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'02-CHANNELCAPACITY-SAAS-OFR1'!$K$73</c:f>
              <c:numCache>
                <c:formatCode>#,##0.00</c:formatCode>
                <c:ptCount val="1"/>
                <c:pt idx="0">
                  <c:v>0</c:v>
                </c:pt>
              </c:numCache>
            </c:numRef>
          </c:val>
          <c:extLst>
            <c:ext xmlns:c16="http://schemas.microsoft.com/office/drawing/2014/chart" uri="{C3380CC4-5D6E-409C-BE32-E72D297353CC}">
              <c16:uniqueId val="{00000003-B84F-48C4-A7CD-2930FAA7EA09}"/>
            </c:ext>
          </c:extLst>
        </c:ser>
        <c:ser>
          <c:idx val="4"/>
          <c:order val="4"/>
          <c:tx>
            <c:strRef>
              <c:f>'02-CHANNELCAPACITY-SAAS-OFR1'!$A$76:$C$76</c:f>
              <c:strCache>
                <c:ptCount val="3"/>
                <c:pt idx="0">
                  <c:v>Cabinets de conseil / Consultants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'02-CHANNELCAPACITY-SAAS-OFR1'!$K$81</c:f>
              <c:numCache>
                <c:formatCode>#,##0.00</c:formatCode>
                <c:ptCount val="1"/>
                <c:pt idx="0">
                  <c:v>0</c:v>
                </c:pt>
              </c:numCache>
            </c:numRef>
          </c:val>
          <c:extLst>
            <c:ext xmlns:c16="http://schemas.microsoft.com/office/drawing/2014/chart" uri="{C3380CC4-5D6E-409C-BE32-E72D297353CC}">
              <c16:uniqueId val="{00000004-B84F-48C4-A7CD-2930FAA7EA09}"/>
            </c:ext>
          </c:extLst>
        </c:ser>
        <c:ser>
          <c:idx val="5"/>
          <c:order val="5"/>
          <c:tx>
            <c:strRef>
              <c:f>'02-CHANNELCAPACITY-SAAS-OFR1'!$A$84:$C$84</c:f>
              <c:strCache>
                <c:ptCount val="3"/>
                <c:pt idx="0">
                  <c:v>Hébergeurs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'02-CHANNELCAPACITY-SAAS-OFR1'!$K$89</c:f>
              <c:numCache>
                <c:formatCode>#,##0.00</c:formatCode>
                <c:ptCount val="1"/>
                <c:pt idx="0">
                  <c:v>0</c:v>
                </c:pt>
              </c:numCache>
            </c:numRef>
          </c:val>
          <c:extLst>
            <c:ext xmlns:c16="http://schemas.microsoft.com/office/drawing/2014/chart" uri="{C3380CC4-5D6E-409C-BE32-E72D297353CC}">
              <c16:uniqueId val="{00000005-B84F-48C4-A7CD-2930FAA7EA09}"/>
            </c:ext>
          </c:extLst>
        </c:ser>
        <c:dLbls>
          <c:dLblPos val="outEnd"/>
          <c:showLegendKey val="0"/>
          <c:showVal val="1"/>
          <c:showCatName val="0"/>
          <c:showSerName val="0"/>
          <c:showPercent val="0"/>
          <c:showBubbleSize val="0"/>
        </c:dLbls>
        <c:gapWidth val="100"/>
        <c:overlap val="-24"/>
        <c:axId val="724025680"/>
        <c:axId val="724024592"/>
      </c:barChart>
      <c:catAx>
        <c:axId val="724025680"/>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24592"/>
        <c:crosses val="autoZero"/>
        <c:auto val="1"/>
        <c:lblAlgn val="ctr"/>
        <c:lblOffset val="100"/>
        <c:noMultiLvlLbl val="0"/>
      </c:catAx>
      <c:valAx>
        <c:axId val="724024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4025680"/>
        <c:crosses val="autoZero"/>
        <c:crossBetween val="between"/>
      </c:valAx>
      <c:spPr>
        <a:noFill/>
        <a:ln>
          <a:noFill/>
        </a:ln>
        <a:effectLst/>
      </c:spPr>
    </c:plotArea>
    <c:legend>
      <c:legendPos val="b"/>
      <c:layout>
        <c:manualLayout>
          <c:xMode val="edge"/>
          <c:yMode val="edge"/>
          <c:x val="5.1481171418500365E-2"/>
          <c:y val="0.92287557631614836"/>
          <c:w val="0.90250190468824909"/>
          <c:h val="3.529436176877263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gradFill flip="none" rotWithShape="1">
      <a:gsLst>
        <a:gs pos="2000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w="38100" cap="flat" cmpd="sng" algn="ctr">
      <a:solidFill>
        <a:srgbClr val="C00000"/>
      </a:solidFill>
      <a:round/>
    </a:ln>
    <a:effectLst/>
  </c:spPr>
  <c:txPr>
    <a:bodyPr/>
    <a:lstStyle/>
    <a:p>
      <a:pPr>
        <a:defRPr/>
      </a:pPr>
      <a:endParaRPr lang="fr-FR"/>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96.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97.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98.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99.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03.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104.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105.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111.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118.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9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Graphique2"/>
  <sheetViews>
    <sheetView zoomScale="75"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F00-000000000000}">
  <sheetPr codeName="Graphique8"/>
  <sheetViews>
    <sheetView zoomScale="118"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000-000000000000}">
  <sheetPr codeName="Graphique9"/>
  <sheetViews>
    <sheetView zoomScale="118"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100-000000000000}">
  <sheetPr codeName="Graphique10"/>
  <sheetViews>
    <sheetView zoomScale="96"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200-000000000000}">
  <sheetPr codeName="Graphique11"/>
  <sheetViews>
    <sheetView zoomScale="90"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600-000000000000}">
  <sheetPr codeName="Graphique15"/>
  <sheetViews>
    <sheetView zoomScale="96"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700-000000000000}">
  <sheetPr codeName="Graphique16"/>
  <sheetViews>
    <sheetView zoomScale="96"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800-000000000000}">
  <sheetPr codeName="Graphique17"/>
  <sheetViews>
    <sheetView zoomScale="96"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A00-000000000000}">
  <sheetPr codeName="Graphique12"/>
  <sheetViews>
    <sheetView zoomScale="90"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E00-000000000000}">
  <sheetPr codeName="Graphique19"/>
  <sheetViews>
    <sheetView zoomScale="90"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7500-000000000000}">
  <sheetPr codeName="Graphique1"/>
  <sheetViews>
    <sheetView zoomScale="9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Graphique3"/>
  <sheetViews>
    <sheetView zoomScale="75"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Graphique18"/>
  <sheetViews>
    <sheetView zoomScale="9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codeName="Graphique14">
    <tabColor rgb="FFFFC000"/>
  </sheetPr>
  <sheetViews>
    <sheetView zoomScale="90"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000-000000000000}">
  <sheetPr codeName="Graphique4"/>
  <sheetViews>
    <sheetView zoomScale="75"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Graphique5"/>
  <sheetViews>
    <sheetView zoomScale="90"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200-000000000000}">
  <sheetPr codeName="Graphique6"/>
  <sheetViews>
    <sheetView zoomScale="75"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000-000000000000}">
  <sheetPr codeName="Graphique7"/>
  <sheetViews>
    <sheetView zoomScale="98"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B00-000000000000}">
  <sheetPr codeName="Graphique13"/>
  <sheetViews>
    <sheetView zoomScale="13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hyperlink" Target="#CHRONO!A1"/><Relationship Id="rId2" Type="http://schemas.openxmlformats.org/officeDocument/2006/relationships/image" Target="../media/image1.png"/><Relationship Id="rId1" Type="http://schemas.openxmlformats.org/officeDocument/2006/relationships/hyperlink" Target="#SUMMARY!A1"/><Relationship Id="rId6" Type="http://schemas.openxmlformats.org/officeDocument/2006/relationships/image" Target="../media/image3.jpeg"/><Relationship Id="rId5" Type="http://schemas.openxmlformats.org/officeDocument/2006/relationships/hyperlink" Target="#INPROGRESS!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0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0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0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5.png"/><Relationship Id="rId4" Type="http://schemas.openxmlformats.org/officeDocument/2006/relationships/hyperlink" Target="#CHRONO!A1"/></Relationships>
</file>

<file path=xl/drawings/_rels/drawing10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0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1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1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1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14.xml.rels><?xml version="1.0" encoding="UTF-8" standalone="yes"?>
<Relationships xmlns="http://schemas.openxmlformats.org/package/2006/relationships"><Relationship Id="rId3" Type="http://schemas.openxmlformats.org/officeDocument/2006/relationships/hyperlink" Target="#CHRONO!A1"/><Relationship Id="rId2" Type="http://schemas.openxmlformats.org/officeDocument/2006/relationships/image" Target="../media/image1.png"/><Relationship Id="rId1" Type="http://schemas.openxmlformats.org/officeDocument/2006/relationships/hyperlink" Target="#SUMMARY!A1"/><Relationship Id="rId6" Type="http://schemas.openxmlformats.org/officeDocument/2006/relationships/image" Target="../media/image6.jpeg"/><Relationship Id="rId5" Type="http://schemas.openxmlformats.org/officeDocument/2006/relationships/hyperlink" Target="#INPROGRESS!A1"/><Relationship Id="rId4"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1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14.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11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1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CHRONO!A1"/><Relationship Id="rId7" Type="http://schemas.openxmlformats.org/officeDocument/2006/relationships/hyperlink" Target="#SUMMARY!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3.jpeg"/><Relationship Id="rId5" Type="http://schemas.openxmlformats.org/officeDocument/2006/relationships/hyperlink" Target="#INPROGRESS!A1"/><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5.png"/><Relationship Id="rId5" Type="http://schemas.openxmlformats.org/officeDocument/2006/relationships/hyperlink" Target="#CHRONO!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PROGRESS!A1"/><Relationship Id="rId2" Type="http://schemas.openxmlformats.org/officeDocument/2006/relationships/image" Target="../media/image2.png"/><Relationship Id="rId1" Type="http://schemas.openxmlformats.org/officeDocument/2006/relationships/hyperlink" Target="#CHRONO!A1"/><Relationship Id="rId6" Type="http://schemas.openxmlformats.org/officeDocument/2006/relationships/image" Target="../media/image1.png"/><Relationship Id="rId5" Type="http://schemas.openxmlformats.org/officeDocument/2006/relationships/hyperlink" Target="#METHODOLOGY!A1"/><Relationship Id="rId4"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8.png"/><Relationship Id="rId4" Type="http://schemas.openxmlformats.org/officeDocument/2006/relationships/hyperlink" Target="#CHRONO!A1"/></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9.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2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5.png"/><Relationship Id="rId4" Type="http://schemas.openxmlformats.org/officeDocument/2006/relationships/hyperlink" Target="#CHRONO!A1"/></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38.xml.rels><?xml version="1.0" encoding="UTF-8" standalone="yes"?>
<Relationships xmlns="http://schemas.openxmlformats.org/package/2006/relationships"><Relationship Id="rId3" Type="http://schemas.openxmlformats.org/officeDocument/2006/relationships/hyperlink" Target="#CHRONO!A1"/><Relationship Id="rId2" Type="http://schemas.openxmlformats.org/officeDocument/2006/relationships/image" Target="../media/image1.png"/><Relationship Id="rId1" Type="http://schemas.openxmlformats.org/officeDocument/2006/relationships/hyperlink" Target="#SUMMARY!A1"/><Relationship Id="rId6" Type="http://schemas.openxmlformats.org/officeDocument/2006/relationships/image" Target="../media/image6.jpeg"/><Relationship Id="rId5" Type="http://schemas.openxmlformats.org/officeDocument/2006/relationships/hyperlink" Target="#INPROGRESS!A1"/><Relationship Id="rId4"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hyperlink" Target="#'12-TODO'!A1"/><Relationship Id="rId2" Type="http://schemas.openxmlformats.org/officeDocument/2006/relationships/image" Target="../media/image10.jpeg"/><Relationship Id="rId1" Type="http://schemas.openxmlformats.org/officeDocument/2006/relationships/hyperlink" Target="#AVANCEMENT!A1"/><Relationship Id="rId6" Type="http://schemas.openxmlformats.org/officeDocument/2006/relationships/image" Target="../media/image1.png"/><Relationship Id="rId5" Type="http://schemas.openxmlformats.org/officeDocument/2006/relationships/hyperlink" Target="#SOMMAIRE!A1"/><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hyperlink" Target="#CHRONO!A1"/><Relationship Id="rId2" Type="http://schemas.openxmlformats.org/officeDocument/2006/relationships/image" Target="../media/image1.png"/><Relationship Id="rId1" Type="http://schemas.openxmlformats.org/officeDocument/2006/relationships/hyperlink" Target="#SUMMARY!A1"/><Relationship Id="rId6" Type="http://schemas.openxmlformats.org/officeDocument/2006/relationships/image" Target="../media/image6.jpeg"/><Relationship Id="rId5" Type="http://schemas.openxmlformats.org/officeDocument/2006/relationships/hyperlink" Target="#INPROGRESS!A1"/><Relationship Id="rId4"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5.png"/><Relationship Id="rId4" Type="http://schemas.openxmlformats.org/officeDocument/2006/relationships/hyperlink" Target="#CHRONO!A1"/></Relationships>
</file>

<file path=xl/drawings/_rels/drawing4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5.png"/><Relationship Id="rId4" Type="http://schemas.openxmlformats.org/officeDocument/2006/relationships/hyperlink" Target="#CHRONO!A1"/></Relationships>
</file>

<file path=xl/drawings/_rels/drawing4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5.png"/><Relationship Id="rId4" Type="http://schemas.openxmlformats.org/officeDocument/2006/relationships/hyperlink" Target="#CHRONO!A1"/></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4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CHRONO!A1"/><Relationship Id="rId7" Type="http://schemas.openxmlformats.org/officeDocument/2006/relationships/hyperlink" Target="#TODO!A1"/><Relationship Id="rId2" Type="http://schemas.openxmlformats.org/officeDocument/2006/relationships/image" Target="../media/image1.png"/><Relationship Id="rId1" Type="http://schemas.openxmlformats.org/officeDocument/2006/relationships/hyperlink" Target="#SUMMARY!A1"/><Relationship Id="rId6" Type="http://schemas.openxmlformats.org/officeDocument/2006/relationships/image" Target="../media/image6.jpeg"/><Relationship Id="rId5" Type="http://schemas.openxmlformats.org/officeDocument/2006/relationships/hyperlink" Target="#INPROGRESS!A1"/><Relationship Id="rId4" Type="http://schemas.openxmlformats.org/officeDocument/2006/relationships/image" Target="../media/image2.png"/></Relationships>
</file>

<file path=xl/drawings/_rels/drawing50.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5.png"/><Relationship Id="rId4" Type="http://schemas.openxmlformats.org/officeDocument/2006/relationships/hyperlink" Target="#CHRONO!A1"/></Relationships>
</file>

<file path=xl/drawings/_rels/drawing51.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 Id="rId9" Type="http://schemas.openxmlformats.org/officeDocument/2006/relationships/chart" Target="../charts/chart13.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5.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5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6.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6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6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17.xml"/><Relationship Id="rId7" Type="http://schemas.openxmlformats.org/officeDocument/2006/relationships/hyperlink" Target="#CHRONO!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1.png"/><Relationship Id="rId5" Type="http://schemas.openxmlformats.org/officeDocument/2006/relationships/hyperlink" Target="#SUMMARY!A1"/><Relationship Id="rId10" Type="http://schemas.openxmlformats.org/officeDocument/2006/relationships/image" Target="../media/image6.jpeg"/><Relationship Id="rId4" Type="http://schemas.openxmlformats.org/officeDocument/2006/relationships/image" Target="../media/image4.png"/><Relationship Id="rId9" Type="http://schemas.openxmlformats.org/officeDocument/2006/relationships/hyperlink" Target="#INPROGRESS!A1"/></Relationships>
</file>

<file path=xl/drawings/_rels/drawing6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6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10" Type="http://schemas.openxmlformats.org/officeDocument/2006/relationships/chart" Target="../charts/chart20.xml"/><Relationship Id="rId4" Type="http://schemas.openxmlformats.org/officeDocument/2006/relationships/hyperlink" Target="#CHRONO!A1"/><Relationship Id="rId9" Type="http://schemas.openxmlformats.org/officeDocument/2006/relationships/chart" Target="../charts/chart19.xml"/></Relationships>
</file>

<file path=xl/drawings/_rels/drawing65.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6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6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68.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5.png"/><Relationship Id="rId4" Type="http://schemas.openxmlformats.org/officeDocument/2006/relationships/hyperlink" Target="#CHRONO!A1"/></Relationships>
</file>

<file path=xl/drawings/_rels/drawing6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7.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2.png"/><Relationship Id="rId5" Type="http://schemas.openxmlformats.org/officeDocument/2006/relationships/hyperlink" Target="#CHRONO!A1"/><Relationship Id="rId4" Type="http://schemas.openxmlformats.org/officeDocument/2006/relationships/image" Target="../media/image1.png"/></Relationships>
</file>

<file path=xl/drawings/_rels/drawing70.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5.png"/><Relationship Id="rId4" Type="http://schemas.openxmlformats.org/officeDocument/2006/relationships/hyperlink" Target="#CHRONO!A1"/></Relationships>
</file>

<file path=xl/drawings/_rels/drawing71.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5.png"/><Relationship Id="rId4" Type="http://schemas.openxmlformats.org/officeDocument/2006/relationships/hyperlink" Target="#CHRONO!A1"/></Relationships>
</file>

<file path=xl/drawings/_rels/drawing72.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 Id="rId9" Type="http://schemas.openxmlformats.org/officeDocument/2006/relationships/chart" Target="../charts/chart26.xml"/></Relationships>
</file>

<file path=xl/drawings/_rels/drawing7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7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7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76.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 Id="rId9" Type="http://schemas.openxmlformats.org/officeDocument/2006/relationships/chart" Target="../charts/chart28.xml"/></Relationships>
</file>

<file path=xl/drawings/_rels/drawing7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7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7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SUMMARY!A1"/><Relationship Id="rId7" Type="http://schemas.openxmlformats.org/officeDocument/2006/relationships/hyperlink" Target="#INPROGRESS!A1"/><Relationship Id="rId2" Type="http://schemas.openxmlformats.org/officeDocument/2006/relationships/image" Target="../media/image4.png"/><Relationship Id="rId1" Type="http://schemas.openxmlformats.org/officeDocument/2006/relationships/hyperlink" Target="#TODO!A1"/><Relationship Id="rId6" Type="http://schemas.openxmlformats.org/officeDocument/2006/relationships/image" Target="../media/image5.png"/><Relationship Id="rId5" Type="http://schemas.openxmlformats.org/officeDocument/2006/relationships/hyperlink" Target="#CHRONO!A1"/><Relationship Id="rId10" Type="http://schemas.openxmlformats.org/officeDocument/2006/relationships/chart" Target="../charts/chart2.xml"/><Relationship Id="rId4" Type="http://schemas.openxmlformats.org/officeDocument/2006/relationships/image" Target="../media/image1.png"/><Relationship Id="rId9" Type="http://schemas.openxmlformats.org/officeDocument/2006/relationships/chart" Target="../charts/chart1.xml"/></Relationships>
</file>

<file path=xl/drawings/_rels/drawing8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8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8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8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8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31.xml"/><Relationship Id="rId7" Type="http://schemas.openxmlformats.org/officeDocument/2006/relationships/hyperlink" Target="#CHRONO!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1.png"/><Relationship Id="rId5" Type="http://schemas.openxmlformats.org/officeDocument/2006/relationships/hyperlink" Target="#SUMMARY!A1"/><Relationship Id="rId10" Type="http://schemas.openxmlformats.org/officeDocument/2006/relationships/image" Target="../media/image6.jpeg"/><Relationship Id="rId4" Type="http://schemas.openxmlformats.org/officeDocument/2006/relationships/image" Target="../media/image4.png"/><Relationship Id="rId9" Type="http://schemas.openxmlformats.org/officeDocument/2006/relationships/hyperlink" Target="#INPROGRESS!A1"/></Relationships>
</file>

<file path=xl/drawings/_rels/drawing86.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10" Type="http://schemas.openxmlformats.org/officeDocument/2006/relationships/chart" Target="../charts/chart34.xml"/><Relationship Id="rId4" Type="http://schemas.openxmlformats.org/officeDocument/2006/relationships/hyperlink" Target="#CHRONO!A1"/><Relationship Id="rId9" Type="http://schemas.openxmlformats.org/officeDocument/2006/relationships/chart" Target="../charts/chart33.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88.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8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9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9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93.xml.rels><?xml version="1.0" encoding="UTF-8" standalone="yes"?>
<Relationships xmlns="http://schemas.openxmlformats.org/package/2006/relationships"><Relationship Id="rId8" Type="http://schemas.openxmlformats.org/officeDocument/2006/relationships/image" Target="../media/image12.gif"/><Relationship Id="rId3" Type="http://schemas.openxmlformats.org/officeDocument/2006/relationships/image" Target="../media/image1.png"/><Relationship Id="rId7" Type="http://schemas.openxmlformats.org/officeDocument/2006/relationships/image" Target="../media/image6.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10" Type="http://schemas.openxmlformats.org/officeDocument/2006/relationships/image" Target="NULL"/><Relationship Id="rId4" Type="http://schemas.openxmlformats.org/officeDocument/2006/relationships/hyperlink" Target="#CHRONO!A1"/><Relationship Id="rId9" Type="http://schemas.openxmlformats.org/officeDocument/2006/relationships/image" Target="../media/image13.gif"/></Relationships>
</file>

<file path=xl/drawings/_rels/drawing9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8.png"/><Relationship Id="rId4" Type="http://schemas.openxmlformats.org/officeDocument/2006/relationships/hyperlink" Target="#CHRONO!A1"/></Relationships>
</file>

<file path=xl/drawings/_rels/drawing95.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jpeg"/><Relationship Id="rId2" Type="http://schemas.openxmlformats.org/officeDocument/2006/relationships/hyperlink" Target="#SUMMARY!A1"/><Relationship Id="rId1" Type="http://schemas.openxmlformats.org/officeDocument/2006/relationships/image" Target="../media/image4.png"/><Relationship Id="rId6" Type="http://schemas.openxmlformats.org/officeDocument/2006/relationships/hyperlink" Target="#INPROGRESS!A1"/><Relationship Id="rId5" Type="http://schemas.openxmlformats.org/officeDocument/2006/relationships/image" Target="../media/image2.png"/><Relationship Id="rId4" Type="http://schemas.openxmlformats.org/officeDocument/2006/relationships/hyperlink" Target="#CHRONO!A1"/></Relationships>
</file>

<file path=xl/drawings/_rels/drawing9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xdr:from>
      <xdr:col>3</xdr:col>
      <xdr:colOff>225135</xdr:colOff>
      <xdr:row>15</xdr:row>
      <xdr:rowOff>181840</xdr:rowOff>
    </xdr:from>
    <xdr:to>
      <xdr:col>4</xdr:col>
      <xdr:colOff>86589</xdr:colOff>
      <xdr:row>18</xdr:row>
      <xdr:rowOff>173182</xdr:rowOff>
    </xdr:to>
    <xdr:sp macro="" textlink="">
      <xdr:nvSpPr>
        <xdr:cNvPr id="2" name="Flèche droite rayée 1">
          <a:extLst>
            <a:ext uri="{FF2B5EF4-FFF2-40B4-BE49-F238E27FC236}">
              <a16:creationId xmlns:a16="http://schemas.microsoft.com/office/drawing/2014/main" id="{00000000-0008-0000-0000-000002000000}"/>
            </a:ext>
          </a:extLst>
        </xdr:cNvPr>
        <xdr:cNvSpPr/>
      </xdr:nvSpPr>
      <xdr:spPr>
        <a:xfrm rot="2054337">
          <a:off x="3130260" y="3820390"/>
          <a:ext cx="623454" cy="820017"/>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1281546</xdr:colOff>
      <xdr:row>15</xdr:row>
      <xdr:rowOff>173180</xdr:rowOff>
    </xdr:from>
    <xdr:to>
      <xdr:col>9</xdr:col>
      <xdr:colOff>536863</xdr:colOff>
      <xdr:row>18</xdr:row>
      <xdr:rowOff>164522</xdr:rowOff>
    </xdr:to>
    <xdr:sp macro="" textlink="">
      <xdr:nvSpPr>
        <xdr:cNvPr id="3" name="Flèche droite rayée 2">
          <a:extLst>
            <a:ext uri="{FF2B5EF4-FFF2-40B4-BE49-F238E27FC236}">
              <a16:creationId xmlns:a16="http://schemas.microsoft.com/office/drawing/2014/main" id="{00000000-0008-0000-0000-000003000000}"/>
            </a:ext>
          </a:extLst>
        </xdr:cNvPr>
        <xdr:cNvSpPr/>
      </xdr:nvSpPr>
      <xdr:spPr>
        <a:xfrm rot="8978106">
          <a:off x="9006321" y="3811730"/>
          <a:ext cx="626917" cy="820017"/>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272761</xdr:colOff>
      <xdr:row>20</xdr:row>
      <xdr:rowOff>60614</xdr:rowOff>
    </xdr:from>
    <xdr:to>
      <xdr:col>6</xdr:col>
      <xdr:colOff>1095375</xdr:colOff>
      <xdr:row>20</xdr:row>
      <xdr:rowOff>519550</xdr:rowOff>
    </xdr:to>
    <xdr:sp macro="" textlink="">
      <xdr:nvSpPr>
        <xdr:cNvPr id="4" name="Flèche droite rayée 3">
          <a:extLst>
            <a:ext uri="{FF2B5EF4-FFF2-40B4-BE49-F238E27FC236}">
              <a16:creationId xmlns:a16="http://schemas.microsoft.com/office/drawing/2014/main" id="{00000000-0008-0000-0000-000004000000}"/>
            </a:ext>
          </a:extLst>
        </xdr:cNvPr>
        <xdr:cNvSpPr/>
      </xdr:nvSpPr>
      <xdr:spPr>
        <a:xfrm rot="5400000">
          <a:off x="6102925" y="5155625"/>
          <a:ext cx="458936"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272760</xdr:colOff>
      <xdr:row>23</xdr:row>
      <xdr:rowOff>38966</xdr:rowOff>
    </xdr:from>
    <xdr:to>
      <xdr:col>6</xdr:col>
      <xdr:colOff>1095374</xdr:colOff>
      <xdr:row>23</xdr:row>
      <xdr:rowOff>658091</xdr:rowOff>
    </xdr:to>
    <xdr:sp macro="" textlink="">
      <xdr:nvSpPr>
        <xdr:cNvPr id="5" name="Flèche droite rayée 4">
          <a:extLst>
            <a:ext uri="{FF2B5EF4-FFF2-40B4-BE49-F238E27FC236}">
              <a16:creationId xmlns:a16="http://schemas.microsoft.com/office/drawing/2014/main" id="{00000000-0008-0000-0000-000005000000}"/>
            </a:ext>
          </a:extLst>
        </xdr:cNvPr>
        <xdr:cNvSpPr/>
      </xdr:nvSpPr>
      <xdr:spPr>
        <a:xfrm rot="5400000">
          <a:off x="6022829" y="6328497"/>
          <a:ext cx="619125"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242454</xdr:colOff>
      <xdr:row>10</xdr:row>
      <xdr:rowOff>268432</xdr:rowOff>
    </xdr:from>
    <xdr:to>
      <xdr:col>6</xdr:col>
      <xdr:colOff>1065068</xdr:colOff>
      <xdr:row>16</xdr:row>
      <xdr:rowOff>43295</xdr:rowOff>
    </xdr:to>
    <xdr:sp macro="" textlink="">
      <xdr:nvSpPr>
        <xdr:cNvPr id="6" name="Flèche droite rayée 5">
          <a:extLst>
            <a:ext uri="{FF2B5EF4-FFF2-40B4-BE49-F238E27FC236}">
              <a16:creationId xmlns:a16="http://schemas.microsoft.com/office/drawing/2014/main" id="{00000000-0008-0000-0000-000006000000}"/>
            </a:ext>
          </a:extLst>
        </xdr:cNvPr>
        <xdr:cNvSpPr/>
      </xdr:nvSpPr>
      <xdr:spPr>
        <a:xfrm rot="5400000">
          <a:off x="5600267" y="2844944"/>
          <a:ext cx="1403638"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285749</xdr:colOff>
      <xdr:row>26</xdr:row>
      <xdr:rowOff>69275</xdr:rowOff>
    </xdr:from>
    <xdr:to>
      <xdr:col>6</xdr:col>
      <xdr:colOff>1108363</xdr:colOff>
      <xdr:row>28</xdr:row>
      <xdr:rowOff>142877</xdr:rowOff>
    </xdr:to>
    <xdr:sp macro="" textlink="">
      <xdr:nvSpPr>
        <xdr:cNvPr id="7" name="Flèche droite rayée 6">
          <a:extLst>
            <a:ext uri="{FF2B5EF4-FFF2-40B4-BE49-F238E27FC236}">
              <a16:creationId xmlns:a16="http://schemas.microsoft.com/office/drawing/2014/main" id="{00000000-0008-0000-0000-000007000000}"/>
            </a:ext>
          </a:extLst>
        </xdr:cNvPr>
        <xdr:cNvSpPr/>
      </xdr:nvSpPr>
      <xdr:spPr>
        <a:xfrm rot="5400000">
          <a:off x="6037117" y="7614807"/>
          <a:ext cx="616527"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294409</xdr:colOff>
      <xdr:row>31</xdr:row>
      <xdr:rowOff>69274</xdr:rowOff>
    </xdr:from>
    <xdr:to>
      <xdr:col>6</xdr:col>
      <xdr:colOff>1117023</xdr:colOff>
      <xdr:row>34</xdr:row>
      <xdr:rowOff>108240</xdr:rowOff>
    </xdr:to>
    <xdr:sp macro="" textlink="">
      <xdr:nvSpPr>
        <xdr:cNvPr id="8" name="Flèche droite rayée 7">
          <a:extLst>
            <a:ext uri="{FF2B5EF4-FFF2-40B4-BE49-F238E27FC236}">
              <a16:creationId xmlns:a16="http://schemas.microsoft.com/office/drawing/2014/main" id="{00000000-0008-0000-0000-000008000000}"/>
            </a:ext>
          </a:extLst>
        </xdr:cNvPr>
        <xdr:cNvSpPr/>
      </xdr:nvSpPr>
      <xdr:spPr>
        <a:xfrm rot="5400000">
          <a:off x="6044045" y="8988138"/>
          <a:ext cx="619991" cy="822614"/>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xdr:col>
      <xdr:colOff>322118</xdr:colOff>
      <xdr:row>2</xdr:row>
      <xdr:rowOff>74281</xdr:rowOff>
    </xdr:to>
    <xdr:pic>
      <xdr:nvPicPr>
        <xdr:cNvPr id="11" name="Picture 3">
          <a:hlinkClick xmlns:r="http://schemas.openxmlformats.org/officeDocument/2006/relationships" r:id="rId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352550" cy="481258"/>
        </a:xfrm>
        <a:prstGeom prst="rect">
          <a:avLst/>
        </a:prstGeom>
        <a:noFill/>
        <a:ln w="9525">
          <a:noFill/>
          <a:miter lim="800000"/>
          <a:headEnd/>
          <a:tailEnd/>
        </a:ln>
      </xdr:spPr>
    </xdr:pic>
    <xdr:clientData/>
  </xdr:twoCellAnchor>
  <xdr:twoCellAnchor editAs="oneCell">
    <xdr:from>
      <xdr:col>1</xdr:col>
      <xdr:colOff>350693</xdr:colOff>
      <xdr:row>0</xdr:row>
      <xdr:rowOff>76199</xdr:rowOff>
    </xdr:from>
    <xdr:to>
      <xdr:col>2</xdr:col>
      <xdr:colOff>330777</xdr:colOff>
      <xdr:row>2</xdr:row>
      <xdr:rowOff>21647</xdr:rowOff>
    </xdr:to>
    <xdr:pic>
      <xdr:nvPicPr>
        <xdr:cNvPr id="12" name="Image 11"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81125" y="76199"/>
          <a:ext cx="3524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330778</xdr:colOff>
      <xdr:row>0</xdr:row>
      <xdr:rowOff>76199</xdr:rowOff>
    </xdr:from>
    <xdr:to>
      <xdr:col>2</xdr:col>
      <xdr:colOff>679024</xdr:colOff>
      <xdr:row>2</xdr:row>
      <xdr:rowOff>21647</xdr:rowOff>
    </xdr:to>
    <xdr:pic>
      <xdr:nvPicPr>
        <xdr:cNvPr id="13" name="Image 12" descr="http://www.zigomatik.org/wp-content/uploads/2014/01/PENDULE.jpg">
          <a:hlinkClick xmlns:r="http://schemas.openxmlformats.org/officeDocument/2006/relationships" r:id="rId5"/>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3551" y="76199"/>
          <a:ext cx="348246"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441612</xdr:colOff>
      <xdr:row>0</xdr:row>
      <xdr:rowOff>85725</xdr:rowOff>
    </xdr:from>
    <xdr:to>
      <xdr:col>12</xdr:col>
      <xdr:colOff>810490</xdr:colOff>
      <xdr:row>2</xdr:row>
      <xdr:rowOff>41565</xdr:rowOff>
    </xdr:to>
    <xdr:pic macro="[0]!InscripToDO">
      <xdr:nvPicPr>
        <xdr:cNvPr id="10" name="Image 9"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1926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3"/>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8" name="Image 7"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76199</xdr:rowOff>
    </xdr:from>
    <xdr:to>
      <xdr:col>2</xdr:col>
      <xdr:colOff>348246</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13</xdr:col>
      <xdr:colOff>298737</xdr:colOff>
      <xdr:row>0</xdr:row>
      <xdr:rowOff>85725</xdr:rowOff>
    </xdr:from>
    <xdr:to>
      <xdr:col>13</xdr:col>
      <xdr:colOff>667615</xdr:colOff>
      <xdr:row>2</xdr:row>
      <xdr:rowOff>41565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63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84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63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63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63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13</xdr:col>
      <xdr:colOff>298737</xdr:colOff>
      <xdr:row>0</xdr:row>
      <xdr:rowOff>85725</xdr:rowOff>
    </xdr:from>
    <xdr:to>
      <xdr:col>13</xdr:col>
      <xdr:colOff>667615</xdr:colOff>
      <xdr:row>2</xdr:row>
      <xdr:rowOff>41565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6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84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64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64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64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13</xdr:col>
      <xdr:colOff>289212</xdr:colOff>
      <xdr:row>0</xdr:row>
      <xdr:rowOff>76200</xdr:rowOff>
    </xdr:from>
    <xdr:to>
      <xdr:col>13</xdr:col>
      <xdr:colOff>658090</xdr:colOff>
      <xdr:row>2</xdr:row>
      <xdr:rowOff>32040</xdr:rowOff>
    </xdr:to>
    <xdr:pic macro="[0]!InscripToDO">
      <xdr:nvPicPr>
        <xdr:cNvPr id="13" name="Image 12" descr="https://cdn2.iconfinder.com/data/icons/picons-essentials/57/checklist-512.png">
          <a:extLst>
            <a:ext uri="{FF2B5EF4-FFF2-40B4-BE49-F238E27FC236}">
              <a16:creationId xmlns:a16="http://schemas.microsoft.com/office/drawing/2014/main" id="{00000000-0008-0000-65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89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9" name="Picture 3">
          <a:hlinkClick xmlns:r="http://schemas.openxmlformats.org/officeDocument/2006/relationships" r:id="rId2"/>
          <a:extLst>
            <a:ext uri="{FF2B5EF4-FFF2-40B4-BE49-F238E27FC236}">
              <a16:creationId xmlns:a16="http://schemas.microsoft.com/office/drawing/2014/main" id="{00000000-0008-0000-6500-00000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4" name="Image 1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65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5" name="Image 14" descr="http://www.zigomatik.org/wp-content/uploads/2014/01/PENDULE.jpg">
          <a:hlinkClick xmlns:r="http://schemas.openxmlformats.org/officeDocument/2006/relationships" r:id="rId6"/>
          <a:extLst>
            <a:ext uri="{FF2B5EF4-FFF2-40B4-BE49-F238E27FC236}">
              <a16:creationId xmlns:a16="http://schemas.microsoft.com/office/drawing/2014/main" id="{00000000-0008-0000-65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3.xml><?xml version="1.0" encoding="utf-8"?>
<xdr:wsDr xmlns:xdr="http://schemas.openxmlformats.org/drawingml/2006/spreadsheetDrawing" xmlns:a="http://schemas.openxmlformats.org/drawingml/2006/main">
  <xdr:absoluteAnchor>
    <xdr:pos x="0" y="0"/>
    <xdr:ext cx="9296797" cy="6072188"/>
    <xdr:graphicFrame macro="">
      <xdr:nvGraphicFramePr>
        <xdr:cNvPr id="2" name="Graphique 1">
          <a:extLst>
            <a:ext uri="{FF2B5EF4-FFF2-40B4-BE49-F238E27FC236}">
              <a16:creationId xmlns:a16="http://schemas.microsoft.com/office/drawing/2014/main" id="{00000000-0008-0000-6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xdr:wsDr xmlns:xdr="http://schemas.openxmlformats.org/drawingml/2006/spreadsheetDrawing" xmlns:a="http://schemas.openxmlformats.org/drawingml/2006/main">
  <xdr:absoluteAnchor>
    <xdr:pos x="0" y="0"/>
    <xdr:ext cx="9296797" cy="6072188"/>
    <xdr:graphicFrame macro="">
      <xdr:nvGraphicFramePr>
        <xdr:cNvPr id="2" name="Graphique 1">
          <a:extLst>
            <a:ext uri="{FF2B5EF4-FFF2-40B4-BE49-F238E27FC236}">
              <a16:creationId xmlns:a16="http://schemas.microsoft.com/office/drawing/2014/main" id="{00000000-0008-0000-6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5.xml><?xml version="1.0" encoding="utf-8"?>
<xdr:wsDr xmlns:xdr="http://schemas.openxmlformats.org/drawingml/2006/spreadsheetDrawing" xmlns:a="http://schemas.openxmlformats.org/drawingml/2006/main">
  <xdr:absoluteAnchor>
    <xdr:pos x="0" y="0"/>
    <xdr:ext cx="9296797" cy="6072188"/>
    <xdr:graphicFrame macro="">
      <xdr:nvGraphicFramePr>
        <xdr:cNvPr id="2" name="Graphique 1">
          <a:extLst>
            <a:ext uri="{FF2B5EF4-FFF2-40B4-BE49-F238E27FC236}">
              <a16:creationId xmlns:a16="http://schemas.microsoft.com/office/drawing/2014/main" id="{00000000-0008-0000-6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xdr:wsDr xmlns:xdr="http://schemas.openxmlformats.org/drawingml/2006/spreadsheetDrawing" xmlns:a="http://schemas.openxmlformats.org/drawingml/2006/main">
  <xdr:twoCellAnchor editAs="oneCell">
    <xdr:from>
      <xdr:col>13</xdr:col>
      <xdr:colOff>298737</xdr:colOff>
      <xdr:row>0</xdr:row>
      <xdr:rowOff>76200</xdr:rowOff>
    </xdr:from>
    <xdr:to>
      <xdr:col>13</xdr:col>
      <xdr:colOff>667615</xdr:colOff>
      <xdr:row>2</xdr:row>
      <xdr:rowOff>32040</xdr:rowOff>
    </xdr:to>
    <xdr:pic macro="[0]!InscripToDO">
      <xdr:nvPicPr>
        <xdr:cNvPr id="11" name="Image 10" descr="https://cdn2.iconfinder.com/data/icons/picons-essentials/57/checklist-512.png">
          <a:extLst>
            <a:ext uri="{FF2B5EF4-FFF2-40B4-BE49-F238E27FC236}">
              <a16:creationId xmlns:a16="http://schemas.microsoft.com/office/drawing/2014/main" id="{00000000-0008-0000-69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189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36368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69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64943</xdr:colOff>
      <xdr:row>0</xdr:row>
      <xdr:rowOff>76199</xdr:rowOff>
    </xdr:from>
    <xdr:to>
      <xdr:col>2</xdr:col>
      <xdr:colOff>416502</xdr:colOff>
      <xdr:row>2</xdr:row>
      <xdr:rowOff>12122</xdr:rowOff>
    </xdr:to>
    <xdr:pic>
      <xdr:nvPicPr>
        <xdr:cNvPr id="10" name="Image 9"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69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416503</xdr:colOff>
      <xdr:row>0</xdr:row>
      <xdr:rowOff>76199</xdr:rowOff>
    </xdr:from>
    <xdr:to>
      <xdr:col>3</xdr:col>
      <xdr:colOff>2749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69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7.xml><?xml version="1.0" encoding="utf-8"?>
<xdr:wsDr xmlns:xdr="http://schemas.openxmlformats.org/drawingml/2006/spreadsheetDrawing" xmlns:a="http://schemas.openxmlformats.org/drawingml/2006/main">
  <xdr:absoluteAnchor>
    <xdr:pos x="0" y="0"/>
    <xdr:ext cx="9292167" cy="6064250"/>
    <xdr:graphicFrame macro="">
      <xdr:nvGraphicFramePr>
        <xdr:cNvPr id="2" name="Graphique 1">
          <a:extLst>
            <a:ext uri="{FF2B5EF4-FFF2-40B4-BE49-F238E27FC236}">
              <a16:creationId xmlns:a16="http://schemas.microsoft.com/office/drawing/2014/main" id="{00000000-0008-0000-6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xdr:wsDr xmlns:xdr="http://schemas.openxmlformats.org/drawingml/2006/spreadsheetDrawing" xmlns:a="http://schemas.openxmlformats.org/drawingml/2006/main">
  <xdr:twoCellAnchor editAs="oneCell">
    <xdr:from>
      <xdr:col>13</xdr:col>
      <xdr:colOff>346362</xdr:colOff>
      <xdr:row>0</xdr:row>
      <xdr:rowOff>85725</xdr:rowOff>
    </xdr:from>
    <xdr:to>
      <xdr:col>13</xdr:col>
      <xdr:colOff>715240</xdr:colOff>
      <xdr:row>2</xdr:row>
      <xdr:rowOff>41565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6B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380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6B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6B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6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13</xdr:col>
      <xdr:colOff>298737</xdr:colOff>
      <xdr:row>0</xdr:row>
      <xdr:rowOff>66675</xdr:rowOff>
    </xdr:from>
    <xdr:to>
      <xdr:col>13</xdr:col>
      <xdr:colOff>667615</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6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84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6C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21647</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6C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21647</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6C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29441</xdr:colOff>
      <xdr:row>0</xdr:row>
      <xdr:rowOff>87456</xdr:rowOff>
    </xdr:from>
    <xdr:to>
      <xdr:col>22</xdr:col>
      <xdr:colOff>398319</xdr:colOff>
      <xdr:row>2</xdr:row>
      <xdr:rowOff>43296</xdr:rowOff>
    </xdr:to>
    <xdr:pic macro="[0]!InscripToDO">
      <xdr:nvPicPr>
        <xdr:cNvPr id="10" name="Image 9"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1241" y="87456"/>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3"/>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8" name="Image 7"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13</xdr:col>
      <xdr:colOff>296539</xdr:colOff>
      <xdr:row>0</xdr:row>
      <xdr:rowOff>76200</xdr:rowOff>
    </xdr:from>
    <xdr:to>
      <xdr:col>13</xdr:col>
      <xdr:colOff>665417</xdr:colOff>
      <xdr:row>2</xdr:row>
      <xdr:rowOff>31307</xdr:rowOff>
    </xdr:to>
    <xdr:pic macro="[0]!InscripToDO">
      <xdr:nvPicPr>
        <xdr:cNvPr id="11" name="Image 10" descr="https://cdn2.iconfinder.com/data/icons/picons-essentials/57/checklist-512.png">
          <a:extLst>
            <a:ext uri="{FF2B5EF4-FFF2-40B4-BE49-F238E27FC236}">
              <a16:creationId xmlns:a16="http://schemas.microsoft.com/office/drawing/2014/main" id="{00000000-0008-0000-6D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6289" y="76200"/>
          <a:ext cx="368878" cy="374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6D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2" name="Image 11"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6D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3" name="Image 12" descr="http://www.zigomatik.org/wp-content/uploads/2014/01/PENDULE.jpg">
          <a:hlinkClick xmlns:r="http://schemas.openxmlformats.org/officeDocument/2006/relationships" r:id="rId6"/>
          <a:extLst>
            <a:ext uri="{FF2B5EF4-FFF2-40B4-BE49-F238E27FC236}">
              <a16:creationId xmlns:a16="http://schemas.microsoft.com/office/drawing/2014/main" id="{00000000-0008-0000-6D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1.xml><?xml version="1.0" encoding="utf-8"?>
<xdr:wsDr xmlns:xdr="http://schemas.openxmlformats.org/drawingml/2006/spreadsheetDrawing" xmlns:a="http://schemas.openxmlformats.org/drawingml/2006/main">
  <xdr:absoluteAnchor>
    <xdr:pos x="0" y="0"/>
    <xdr:ext cx="9292167" cy="6064250"/>
    <xdr:graphicFrame macro="">
      <xdr:nvGraphicFramePr>
        <xdr:cNvPr id="2" name="Graphique 1">
          <a:extLst>
            <a:ext uri="{FF2B5EF4-FFF2-40B4-BE49-F238E27FC236}">
              <a16:creationId xmlns:a16="http://schemas.microsoft.com/office/drawing/2014/main" id="{00000000-0008-0000-6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xdr:wsDr xmlns:xdr="http://schemas.openxmlformats.org/drawingml/2006/spreadsheetDrawing" xmlns:a="http://schemas.openxmlformats.org/drawingml/2006/main">
  <xdr:twoCellAnchor editAs="oneCell">
    <xdr:from>
      <xdr:col>13</xdr:col>
      <xdr:colOff>314325</xdr:colOff>
      <xdr:row>0</xdr:row>
      <xdr:rowOff>76200</xdr:rowOff>
    </xdr:from>
    <xdr:to>
      <xdr:col>13</xdr:col>
      <xdr:colOff>685800</xdr:colOff>
      <xdr:row>2</xdr:row>
      <xdr:rowOff>28575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6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82300" y="7620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6F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6F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6F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13</xdr:col>
      <xdr:colOff>651162</xdr:colOff>
      <xdr:row>0</xdr:row>
      <xdr:rowOff>76200</xdr:rowOff>
    </xdr:from>
    <xdr:to>
      <xdr:col>14</xdr:col>
      <xdr:colOff>134215</xdr:colOff>
      <xdr:row>2</xdr:row>
      <xdr:rowOff>32040</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7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76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645968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70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674543</xdr:colOff>
      <xdr:row>0</xdr:row>
      <xdr:rowOff>76199</xdr:rowOff>
    </xdr:from>
    <xdr:to>
      <xdr:col>2</xdr:col>
      <xdr:colOff>264102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7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264103</xdr:colOff>
      <xdr:row>0</xdr:row>
      <xdr:rowOff>76199</xdr:rowOff>
    </xdr:from>
    <xdr:to>
      <xdr:col>2</xdr:col>
      <xdr:colOff>612349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7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64943</xdr:colOff>
      <xdr:row>1</xdr:row>
      <xdr:rowOff>293356</xdr:rowOff>
    </xdr:to>
    <xdr:pic>
      <xdr:nvPicPr>
        <xdr:cNvPr id="6" name="Picture 3">
          <a:hlinkClick xmlns:r="http://schemas.openxmlformats.org/officeDocument/2006/relationships" r:id="rId1"/>
          <a:extLst>
            <a:ext uri="{FF2B5EF4-FFF2-40B4-BE49-F238E27FC236}">
              <a16:creationId xmlns:a16="http://schemas.microsoft.com/office/drawing/2014/main" id="{00000000-0008-0000-71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3</xdr:col>
      <xdr:colOff>93518</xdr:colOff>
      <xdr:row>0</xdr:row>
      <xdr:rowOff>76199</xdr:rowOff>
    </xdr:from>
    <xdr:to>
      <xdr:col>3</xdr:col>
      <xdr:colOff>445077</xdr:colOff>
      <xdr:row>1</xdr:row>
      <xdr:rowOff>240722</xdr:rowOff>
    </xdr:to>
    <xdr:pic>
      <xdr:nvPicPr>
        <xdr:cNvPr id="7" name="Image 6"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71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445078</xdr:colOff>
      <xdr:row>0</xdr:row>
      <xdr:rowOff>76199</xdr:rowOff>
    </xdr:from>
    <xdr:to>
      <xdr:col>4</xdr:col>
      <xdr:colOff>31324</xdr:colOff>
      <xdr:row>1</xdr:row>
      <xdr:rowOff>240722</xdr:rowOff>
    </xdr:to>
    <xdr:pic>
      <xdr:nvPicPr>
        <xdr:cNvPr id="10" name="Image 9" descr="http://www.zigomatik.org/wp-content/uploads/2014/01/PENDULE.jpg">
          <a:hlinkClick xmlns:r="http://schemas.openxmlformats.org/officeDocument/2006/relationships" r:id="rId5"/>
          <a:extLst>
            <a:ext uri="{FF2B5EF4-FFF2-40B4-BE49-F238E27FC236}">
              <a16:creationId xmlns:a16="http://schemas.microsoft.com/office/drawing/2014/main" id="{00000000-0008-0000-71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13</xdr:col>
      <xdr:colOff>228600</xdr:colOff>
      <xdr:row>0</xdr:row>
      <xdr:rowOff>57150</xdr:rowOff>
    </xdr:from>
    <xdr:to>
      <xdr:col>13</xdr:col>
      <xdr:colOff>600075</xdr:colOff>
      <xdr:row>2</xdr:row>
      <xdr:rowOff>47625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9850" y="5715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50222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72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50222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72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13</xdr:col>
      <xdr:colOff>247650</xdr:colOff>
      <xdr:row>0</xdr:row>
      <xdr:rowOff>57150</xdr:rowOff>
    </xdr:from>
    <xdr:to>
      <xdr:col>13</xdr:col>
      <xdr:colOff>619125</xdr:colOff>
      <xdr:row>2</xdr:row>
      <xdr:rowOff>9525</xdr:rowOff>
    </xdr:to>
    <xdr:pic macro="[1]!InscripToDO">
      <xdr:nvPicPr>
        <xdr:cNvPr id="2" name="Image 1" descr="https://cdn2.iconfinder.com/data/icons/picons-essentials/57/checklist-512.png">
          <a:extLst>
            <a:ext uri="{FF2B5EF4-FFF2-40B4-BE49-F238E27FC236}">
              <a16:creationId xmlns:a16="http://schemas.microsoft.com/office/drawing/2014/main" id="{00000000-0008-0000-7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48900" y="5715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73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73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73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13</xdr:col>
      <xdr:colOff>228600</xdr:colOff>
      <xdr:row>0</xdr:row>
      <xdr:rowOff>57150</xdr:rowOff>
    </xdr:from>
    <xdr:to>
      <xdr:col>13</xdr:col>
      <xdr:colOff>600075</xdr:colOff>
      <xdr:row>2</xdr:row>
      <xdr:rowOff>9525</xdr:rowOff>
    </xdr:to>
    <xdr:pic macro="[0]!InscripToDO">
      <xdr:nvPicPr>
        <xdr:cNvPr id="8" name="Image 7"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7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9850" y="5715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74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0" name="Image 9"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74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74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8.xml><?xml version="1.0" encoding="utf-8"?>
<xdr:wsDr xmlns:xdr="http://schemas.openxmlformats.org/drawingml/2006/spreadsheetDrawing" xmlns:a="http://schemas.openxmlformats.org/drawingml/2006/main">
  <xdr:absoluteAnchor>
    <xdr:pos x="0" y="0"/>
    <xdr:ext cx="9301454" cy="6074617"/>
    <xdr:graphicFrame macro="">
      <xdr:nvGraphicFramePr>
        <xdr:cNvPr id="2" name="Graphique 1">
          <a:extLst>
            <a:ext uri="{FF2B5EF4-FFF2-40B4-BE49-F238E27FC236}">
              <a16:creationId xmlns:a16="http://schemas.microsoft.com/office/drawing/2014/main" id="{00000000-0008-0000-7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9.xml><?xml version="1.0" encoding="utf-8"?>
<xdr:wsDr xmlns:xdr="http://schemas.openxmlformats.org/drawingml/2006/spreadsheetDrawing" xmlns:a="http://schemas.openxmlformats.org/drawingml/2006/main">
  <xdr:twoCellAnchor editAs="oneCell">
    <xdr:from>
      <xdr:col>13</xdr:col>
      <xdr:colOff>342900</xdr:colOff>
      <xdr:row>0</xdr:row>
      <xdr:rowOff>76201</xdr:rowOff>
    </xdr:from>
    <xdr:to>
      <xdr:col>13</xdr:col>
      <xdr:colOff>714375</xdr:colOff>
      <xdr:row>2</xdr:row>
      <xdr:rowOff>28576</xdr:rowOff>
    </xdr:to>
    <xdr:pic macro="[0]!InscripToDO">
      <xdr:nvPicPr>
        <xdr:cNvPr id="10" name="Image 9"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76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3"/>
          <a:extLst>
            <a:ext uri="{FF2B5EF4-FFF2-40B4-BE49-F238E27FC236}">
              <a16:creationId xmlns:a16="http://schemas.microsoft.com/office/drawing/2014/main" id="{00000000-0008-0000-7600-00000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159327</xdr:colOff>
      <xdr:row>2</xdr:row>
      <xdr:rowOff>12122</xdr:rowOff>
    </xdr:to>
    <xdr:pic>
      <xdr:nvPicPr>
        <xdr:cNvPr id="8" name="Image 7"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76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76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351557</xdr:colOff>
      <xdr:row>0</xdr:row>
      <xdr:rowOff>69274</xdr:rowOff>
    </xdr:from>
    <xdr:to>
      <xdr:col>13</xdr:col>
      <xdr:colOff>723032</xdr:colOff>
      <xdr:row>2</xdr:row>
      <xdr:rowOff>25113</xdr:rowOff>
    </xdr:to>
    <xdr:pic macro="[0]!InscripToDO">
      <xdr:nvPicPr>
        <xdr:cNvPr id="10" name="Image 9"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52807" y="69274"/>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3"/>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8" name="Image 7"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13</xdr:col>
      <xdr:colOff>352424</xdr:colOff>
      <xdr:row>0</xdr:row>
      <xdr:rowOff>85725</xdr:rowOff>
    </xdr:from>
    <xdr:to>
      <xdr:col>13</xdr:col>
      <xdr:colOff>723900</xdr:colOff>
      <xdr:row>2</xdr:row>
      <xdr:rowOff>135051</xdr:rowOff>
    </xdr:to>
    <xdr:pic macro="[0]!InscripToDO">
      <xdr:nvPicPr>
        <xdr:cNvPr id="10" name="Image 9"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77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53674" y="85725"/>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3"/>
          <a:extLst>
            <a:ext uri="{FF2B5EF4-FFF2-40B4-BE49-F238E27FC236}">
              <a16:creationId xmlns:a16="http://schemas.microsoft.com/office/drawing/2014/main" id="{00000000-0008-0000-7700-00000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109072</xdr:rowOff>
    </xdr:to>
    <xdr:pic>
      <xdr:nvPicPr>
        <xdr:cNvPr id="8" name="Image 7"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77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109072</xdr:rowOff>
    </xdr:to>
    <xdr:pic>
      <xdr:nvPicPr>
        <xdr:cNvPr id="11" name="Image 10" descr="http://www.zigomatik.org/wp-content/uploads/2014/01/PENDULE.jpg">
          <a:hlinkClick xmlns:r="http://schemas.openxmlformats.org/officeDocument/2006/relationships" r:id="rId7"/>
          <a:extLst>
            <a:ext uri="{FF2B5EF4-FFF2-40B4-BE49-F238E27FC236}">
              <a16:creationId xmlns:a16="http://schemas.microsoft.com/office/drawing/2014/main" id="{00000000-0008-0000-77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1762125</xdr:colOff>
      <xdr:row>0</xdr:row>
      <xdr:rowOff>66675</xdr:rowOff>
    </xdr:from>
    <xdr:to>
      <xdr:col>13</xdr:col>
      <xdr:colOff>2133600</xdr:colOff>
      <xdr:row>2</xdr:row>
      <xdr:rowOff>19050</xdr:rowOff>
    </xdr:to>
    <xdr:pic macro="[0]!InscripToDO">
      <xdr:nvPicPr>
        <xdr:cNvPr id="11" name="Image 10"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63375" y="66675"/>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3" name="Image 12"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4" name="Image 13" descr="http://www.zigomatik.org/wp-content/uploads/2014/01/PENDULE.jpg">
          <a:hlinkClick xmlns:r="http://schemas.openxmlformats.org/officeDocument/2006/relationships" r:id="rId5"/>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2" name="Picture 3">
          <a:hlinkClick xmlns:r="http://schemas.openxmlformats.org/officeDocument/2006/relationships" r:id="rId7"/>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0" y="0"/>
          <a:ext cx="1350818" cy="48385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193962</xdr:colOff>
      <xdr:row>0</xdr:row>
      <xdr:rowOff>76200</xdr:rowOff>
    </xdr:from>
    <xdr:to>
      <xdr:col>13</xdr:col>
      <xdr:colOff>562840</xdr:colOff>
      <xdr:row>2</xdr:row>
      <xdr:rowOff>32040</xdr:rowOff>
    </xdr:to>
    <xdr:pic macro="[0]!InscripToDO">
      <xdr:nvPicPr>
        <xdr:cNvPr id="12" name="Image 11"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64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7" name="Picture 3">
          <a:hlinkClick xmlns:r="http://schemas.openxmlformats.org/officeDocument/2006/relationships" r:id="rId3"/>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11" name="Image 10"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13" name="Image 12" descr="http://www.zigomatik.org/wp-content/uploads/2014/01/PENDULE.jpg">
          <a:hlinkClick xmlns:r="http://schemas.openxmlformats.org/officeDocument/2006/relationships" r:id="rId7"/>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editAs="oneCell">
    <xdr:from>
      <xdr:col>13</xdr:col>
      <xdr:colOff>193962</xdr:colOff>
      <xdr:row>0</xdr:row>
      <xdr:rowOff>76200</xdr:rowOff>
    </xdr:from>
    <xdr:to>
      <xdr:col>13</xdr:col>
      <xdr:colOff>562840</xdr:colOff>
      <xdr:row>2</xdr:row>
      <xdr:rowOff>70140</xdr:rowOff>
    </xdr:to>
    <xdr:pic macro="[0]!InscripToDO">
      <xdr:nvPicPr>
        <xdr:cNvPr id="2" name="Image 1"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17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3" name="Picture 3">
          <a:hlinkClick xmlns:r="http://schemas.openxmlformats.org/officeDocument/2006/relationships" r:id="rId3"/>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50222</xdr:rowOff>
    </xdr:to>
    <xdr:pic>
      <xdr:nvPicPr>
        <xdr:cNvPr id="4" name="Image 3"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3</xdr:col>
      <xdr:colOff>97999</xdr:colOff>
      <xdr:row>2</xdr:row>
      <xdr:rowOff>50222</xdr:rowOff>
    </xdr:to>
    <xdr:pic>
      <xdr:nvPicPr>
        <xdr:cNvPr id="5" name="Image 4" descr="http://www.zigomatik.org/wp-content/uploads/2014/01/PENDULE.jpg">
          <a:hlinkClick xmlns:r="http://schemas.openxmlformats.org/officeDocument/2006/relationships" r:id="rId7"/>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193962</xdr:colOff>
      <xdr:row>0</xdr:row>
      <xdr:rowOff>76200</xdr:rowOff>
    </xdr:from>
    <xdr:to>
      <xdr:col>13</xdr:col>
      <xdr:colOff>562840</xdr:colOff>
      <xdr:row>2</xdr:row>
      <xdr:rowOff>70140</xdr:rowOff>
    </xdr:to>
    <xdr:pic macro="[0]!InscripToDO">
      <xdr:nvPicPr>
        <xdr:cNvPr id="2" name="Image 1"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1937" y="76200"/>
          <a:ext cx="368878" cy="413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3" name="Picture 3">
          <a:hlinkClick xmlns:r="http://schemas.openxmlformats.org/officeDocument/2006/relationships" r:id="rId3"/>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6556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50222</xdr:rowOff>
    </xdr:to>
    <xdr:pic>
      <xdr:nvPicPr>
        <xdr:cNvPr id="4" name="Image 3"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84193" y="76199"/>
          <a:ext cx="351559" cy="393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3</xdr:col>
      <xdr:colOff>97999</xdr:colOff>
      <xdr:row>2</xdr:row>
      <xdr:rowOff>50222</xdr:rowOff>
    </xdr:to>
    <xdr:pic>
      <xdr:nvPicPr>
        <xdr:cNvPr id="5" name="Image 4" descr="http://www.zigomatik.org/wp-content/uploads/2014/01/PENDULE.jpg">
          <a:hlinkClick xmlns:r="http://schemas.openxmlformats.org/officeDocument/2006/relationships" r:id="rId7"/>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35753" y="76199"/>
          <a:ext cx="348246" cy="393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193962</xdr:colOff>
      <xdr:row>0</xdr:row>
      <xdr:rowOff>76200</xdr:rowOff>
    </xdr:from>
    <xdr:to>
      <xdr:col>13</xdr:col>
      <xdr:colOff>562840</xdr:colOff>
      <xdr:row>2</xdr:row>
      <xdr:rowOff>70140</xdr:rowOff>
    </xdr:to>
    <xdr:pic macro="[0]!InscripToDO">
      <xdr:nvPicPr>
        <xdr:cNvPr id="2" name="Image 1"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23887" y="76200"/>
          <a:ext cx="368878" cy="413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3" name="Picture 3">
          <a:hlinkClick xmlns:r="http://schemas.openxmlformats.org/officeDocument/2006/relationships" r:id="rId3"/>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6556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50222</xdr:rowOff>
    </xdr:to>
    <xdr:pic>
      <xdr:nvPicPr>
        <xdr:cNvPr id="4" name="Image 3"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84193" y="76199"/>
          <a:ext cx="351559" cy="393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3</xdr:col>
      <xdr:colOff>97999</xdr:colOff>
      <xdr:row>2</xdr:row>
      <xdr:rowOff>50222</xdr:rowOff>
    </xdr:to>
    <xdr:pic>
      <xdr:nvPicPr>
        <xdr:cNvPr id="5" name="Image 4" descr="http://www.zigomatik.org/wp-content/uploads/2014/01/PENDULE.jpg">
          <a:hlinkClick xmlns:r="http://schemas.openxmlformats.org/officeDocument/2006/relationships" r:id="rId7"/>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35753" y="76199"/>
          <a:ext cx="348246" cy="393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222537</xdr:colOff>
      <xdr:row>0</xdr:row>
      <xdr:rowOff>66675</xdr:rowOff>
    </xdr:from>
    <xdr:to>
      <xdr:col>13</xdr:col>
      <xdr:colOff>591415</xdr:colOff>
      <xdr:row>2</xdr:row>
      <xdr:rowOff>22515</xdr:rowOff>
    </xdr:to>
    <xdr:pic macro="[0]!InscripToDO">
      <xdr:nvPicPr>
        <xdr:cNvPr id="7" name="Image 6"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42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922193</xdr:colOff>
      <xdr:row>2</xdr:row>
      <xdr:rowOff>64756</xdr:rowOff>
    </xdr:to>
    <xdr:pic>
      <xdr:nvPicPr>
        <xdr:cNvPr id="8" name="Picture 3">
          <a:hlinkClick xmlns:r="http://schemas.openxmlformats.org/officeDocument/2006/relationships" r:id="rId3"/>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7793</xdr:colOff>
      <xdr:row>0</xdr:row>
      <xdr:rowOff>76199</xdr:rowOff>
    </xdr:from>
    <xdr:to>
      <xdr:col>2</xdr:col>
      <xdr:colOff>359352</xdr:colOff>
      <xdr:row>2</xdr:row>
      <xdr:rowOff>12122</xdr:rowOff>
    </xdr:to>
    <xdr:pic>
      <xdr:nvPicPr>
        <xdr:cNvPr id="9" name="Image 8"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359353</xdr:colOff>
      <xdr:row>0</xdr:row>
      <xdr:rowOff>76199</xdr:rowOff>
    </xdr:from>
    <xdr:to>
      <xdr:col>2</xdr:col>
      <xdr:colOff>707599</xdr:colOff>
      <xdr:row>2</xdr:row>
      <xdr:rowOff>12122</xdr:rowOff>
    </xdr:to>
    <xdr:pic>
      <xdr:nvPicPr>
        <xdr:cNvPr id="10" name="Image 9" descr="http://www.zigomatik.org/wp-content/uploads/2014/01/PENDULE.jpg">
          <a:hlinkClick xmlns:r="http://schemas.openxmlformats.org/officeDocument/2006/relationships" r:id="rId7"/>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350693</xdr:colOff>
      <xdr:row>0</xdr:row>
      <xdr:rowOff>76199</xdr:rowOff>
    </xdr:from>
    <xdr:to>
      <xdr:col>2</xdr:col>
      <xdr:colOff>330777</xdr:colOff>
      <xdr:row>2</xdr:row>
      <xdr:rowOff>21647</xdr:rowOff>
    </xdr:to>
    <xdr:pic>
      <xdr:nvPicPr>
        <xdr:cNvPr id="12" name="Image 11" descr="http://newhaventech.com/wp-content/uploads/2012/11/Direction-sign.png">
          <a:hlinkClick xmlns:r="http://schemas.openxmlformats.org/officeDocument/2006/relationships" r:id="rId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76199"/>
          <a:ext cx="3524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330778</xdr:colOff>
      <xdr:row>0</xdr:row>
      <xdr:rowOff>76199</xdr:rowOff>
    </xdr:from>
    <xdr:to>
      <xdr:col>2</xdr:col>
      <xdr:colOff>679024</xdr:colOff>
      <xdr:row>2</xdr:row>
      <xdr:rowOff>21647</xdr:rowOff>
    </xdr:to>
    <xdr:pic>
      <xdr:nvPicPr>
        <xdr:cNvPr id="13" name="Image 12" descr="http://www.zigomatik.org/wp-content/uploads/2014/01/PENDULE.jpg">
          <a:hlinkClick xmlns:r="http://schemas.openxmlformats.org/officeDocument/2006/relationships" r:id="rId3"/>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33551" y="76199"/>
          <a:ext cx="348246"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322118</xdr:colOff>
      <xdr:row>2</xdr:row>
      <xdr:rowOff>74281</xdr:rowOff>
    </xdr:to>
    <xdr:pic>
      <xdr:nvPicPr>
        <xdr:cNvPr id="11" name="Picture 3">
          <a:hlinkClick xmlns:r="http://schemas.openxmlformats.org/officeDocument/2006/relationships" r:id="rId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1352550" cy="48125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174912</xdr:colOff>
      <xdr:row>0</xdr:row>
      <xdr:rowOff>76200</xdr:rowOff>
    </xdr:from>
    <xdr:to>
      <xdr:col>14</xdr:col>
      <xdr:colOff>865</xdr:colOff>
      <xdr:row>2</xdr:row>
      <xdr:rowOff>32040</xdr:rowOff>
    </xdr:to>
    <xdr:pic macro="[0]!AddtoDo">
      <xdr:nvPicPr>
        <xdr:cNvPr id="2" name="Image 1"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99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3"/>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330777</xdr:colOff>
      <xdr:row>2</xdr:row>
      <xdr:rowOff>12122</xdr:rowOff>
    </xdr:to>
    <xdr:pic>
      <xdr:nvPicPr>
        <xdr:cNvPr id="4" name="Image 3"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330778</xdr:colOff>
      <xdr:row>0</xdr:row>
      <xdr:rowOff>76199</xdr:rowOff>
    </xdr:from>
    <xdr:to>
      <xdr:col>2</xdr:col>
      <xdr:colOff>679024</xdr:colOff>
      <xdr:row>2</xdr:row>
      <xdr:rowOff>12122</xdr:rowOff>
    </xdr:to>
    <xdr:pic>
      <xdr:nvPicPr>
        <xdr:cNvPr id="5" name="Image 4" descr="http://www.zigomatik.org/wp-content/uploads/2014/01/PENDULE.jpg">
          <a:hlinkClick xmlns:r="http://schemas.openxmlformats.org/officeDocument/2006/relationships" r:id="rId7"/>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314325</xdr:colOff>
      <xdr:row>0</xdr:row>
      <xdr:rowOff>76200</xdr:rowOff>
    </xdr:from>
    <xdr:to>
      <xdr:col>13</xdr:col>
      <xdr:colOff>685800</xdr:colOff>
      <xdr:row>2</xdr:row>
      <xdr:rowOff>28575</xdr:rowOff>
    </xdr:to>
    <xdr:pic macro="[0]!InscripToDO">
      <xdr:nvPicPr>
        <xdr:cNvPr id="9" name="Image 8"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44075" y="7620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3"/>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2" name="Image 11"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3" name="Image 12" descr="http://www.zigomatik.org/wp-content/uploads/2014/01/PENDULE.jpg">
          <a:hlinkClick xmlns:r="http://schemas.openxmlformats.org/officeDocument/2006/relationships" r:id="rId7"/>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9301454" cy="6074617"/>
    <xdr:graphicFrame macro="">
      <xdr:nvGraphicFramePr>
        <xdr:cNvPr id="2" name="Graphique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editAs="oneCell">
    <xdr:from>
      <xdr:col>13</xdr:col>
      <xdr:colOff>174912</xdr:colOff>
      <xdr:row>0</xdr:row>
      <xdr:rowOff>76200</xdr:rowOff>
    </xdr:from>
    <xdr:to>
      <xdr:col>14</xdr:col>
      <xdr:colOff>865</xdr:colOff>
      <xdr:row>2</xdr:row>
      <xdr:rowOff>32040</xdr:rowOff>
    </xdr:to>
    <xdr:pic macro="[0]!AddtoDo">
      <xdr:nvPicPr>
        <xdr:cNvPr id="9" name="Image 8" descr="https://cdn2.iconfinder.com/data/icons/picons-essentials/57/checklist-512.png">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999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330777</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6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330778</xdr:colOff>
      <xdr:row>0</xdr:row>
      <xdr:rowOff>76199</xdr:rowOff>
    </xdr:from>
    <xdr:to>
      <xdr:col>2</xdr:col>
      <xdr:colOff>679024</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16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355887</xdr:colOff>
      <xdr:row>0</xdr:row>
      <xdr:rowOff>76200</xdr:rowOff>
    </xdr:from>
    <xdr:to>
      <xdr:col>13</xdr:col>
      <xdr:colOff>724765</xdr:colOff>
      <xdr:row>2</xdr:row>
      <xdr:rowOff>32040</xdr:rowOff>
    </xdr:to>
    <xdr:pic macro="[0]!InscripToDO">
      <xdr:nvPicPr>
        <xdr:cNvPr id="11" name="Image 10" descr="https://cdn2.iconfinder.com/data/icons/picons-essentials/57/checklist-512.png">
          <a:extLst>
            <a:ext uri="{FF2B5EF4-FFF2-40B4-BE49-F238E27FC236}">
              <a16:creationId xmlns:a16="http://schemas.microsoft.com/office/drawing/2014/main" id="{00000000-0008-0000-17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71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13</xdr:col>
      <xdr:colOff>247650</xdr:colOff>
      <xdr:row>0</xdr:row>
      <xdr:rowOff>57150</xdr:rowOff>
    </xdr:from>
    <xdr:to>
      <xdr:col>13</xdr:col>
      <xdr:colOff>619125</xdr:colOff>
      <xdr:row>2</xdr:row>
      <xdr:rowOff>9525</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48900" y="5715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0" name="Image 9"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18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21</xdr:col>
      <xdr:colOff>419100</xdr:colOff>
      <xdr:row>0</xdr:row>
      <xdr:rowOff>57150</xdr:rowOff>
    </xdr:from>
    <xdr:to>
      <xdr:col>22</xdr:col>
      <xdr:colOff>342900</xdr:colOff>
      <xdr:row>2</xdr:row>
      <xdr:rowOff>9525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19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3225" y="5715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2" name="Picture 3">
          <a:hlinkClick xmlns:r="http://schemas.openxmlformats.org/officeDocument/2006/relationships" r:id="rId2"/>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13" name="Image 12"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9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4" name="Image 13" descr="http://www.zigomatik.org/wp-content/uploads/2014/01/PENDULE.jpg">
          <a:hlinkClick xmlns:r="http://schemas.openxmlformats.org/officeDocument/2006/relationships" r:id="rId6"/>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13</xdr:col>
      <xdr:colOff>361950</xdr:colOff>
      <xdr:row>0</xdr:row>
      <xdr:rowOff>76201</xdr:rowOff>
    </xdr:from>
    <xdr:to>
      <xdr:col>13</xdr:col>
      <xdr:colOff>733425</xdr:colOff>
      <xdr:row>2</xdr:row>
      <xdr:rowOff>78085</xdr:rowOff>
    </xdr:to>
    <xdr:pic macro="[0]!InscripToDO">
      <xdr:nvPicPr>
        <xdr:cNvPr id="13" name="Image 12" descr="https://cdn2.iconfinder.com/data/icons/picons-essentials/57/checklist-512.png">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77300"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524673</xdr:colOff>
      <xdr:row>2</xdr:row>
      <xdr:rowOff>117230</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125481" cy="439615"/>
        </a:xfrm>
        <a:prstGeom prst="rect">
          <a:avLst/>
        </a:prstGeom>
        <a:noFill/>
        <a:ln w="9525">
          <a:noFill/>
          <a:miter lim="800000"/>
          <a:headEnd/>
          <a:tailEnd/>
        </a:ln>
      </xdr:spPr>
    </xdr:pic>
    <xdr:clientData/>
  </xdr:twoCellAnchor>
  <xdr:twoCellAnchor editAs="oneCell">
    <xdr:from>
      <xdr:col>2</xdr:col>
      <xdr:colOff>17318</xdr:colOff>
      <xdr:row>0</xdr:row>
      <xdr:rowOff>76199</xdr:rowOff>
    </xdr:from>
    <xdr:to>
      <xdr:col>2</xdr:col>
      <xdr:colOff>368877</xdr:colOff>
      <xdr:row>2</xdr:row>
      <xdr:rowOff>61631</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368878</xdr:colOff>
      <xdr:row>0</xdr:row>
      <xdr:rowOff>76199</xdr:rowOff>
    </xdr:from>
    <xdr:to>
      <xdr:col>2</xdr:col>
      <xdr:colOff>717124</xdr:colOff>
      <xdr:row>2</xdr:row>
      <xdr:rowOff>61631</xdr:rowOff>
    </xdr:to>
    <xdr:pic>
      <xdr:nvPicPr>
        <xdr:cNvPr id="14" name="Image 13" descr="http://www.zigomatik.org/wp-content/uploads/2014/01/PENDULE.jpg">
          <a:hlinkClick xmlns:r="http://schemas.openxmlformats.org/officeDocument/2006/relationships" r:id="rId6"/>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absoluteAnchor>
    <xdr:pos x="0" y="0"/>
    <xdr:ext cx="9292167" cy="6064250"/>
    <xdr:graphicFrame macro="">
      <xdr:nvGraphicFramePr>
        <xdr:cNvPr id="2" name="Graphique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twoCellAnchor editAs="oneCell">
    <xdr:from>
      <xdr:col>22</xdr:col>
      <xdr:colOff>39830</xdr:colOff>
      <xdr:row>0</xdr:row>
      <xdr:rowOff>70138</xdr:rowOff>
    </xdr:from>
    <xdr:to>
      <xdr:col>22</xdr:col>
      <xdr:colOff>408708</xdr:colOff>
      <xdr:row>2</xdr:row>
      <xdr:rowOff>29442</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1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81853" y="70138"/>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68220</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215611</xdr:colOff>
      <xdr:row>2</xdr:row>
      <xdr:rowOff>15586</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215612</xdr:colOff>
      <xdr:row>0</xdr:row>
      <xdr:rowOff>76199</xdr:rowOff>
    </xdr:from>
    <xdr:to>
      <xdr:col>2</xdr:col>
      <xdr:colOff>563858</xdr:colOff>
      <xdr:row>2</xdr:row>
      <xdr:rowOff>15586</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16</xdr:row>
      <xdr:rowOff>0</xdr:rowOff>
    </xdr:from>
    <xdr:to>
      <xdr:col>9</xdr:col>
      <xdr:colOff>304800</xdr:colOff>
      <xdr:row>17</xdr:row>
      <xdr:rowOff>114300</xdr:rowOff>
    </xdr:to>
    <xdr:sp macro="" textlink="">
      <xdr:nvSpPr>
        <xdr:cNvPr id="2049" name="AutoShape 1" descr="data:image/jpeg;base64,/9j/4AAQSkZJRgABAQAAAQABAAD/2wCEAAkGBwgHBhIIBxEQExIVFh4VFBYYGBYYFRcXFRsfGB8WGRgZIykgGBolHBcfITUjJy0rOi8vFyszRDMsNyg5OisBCgoKDg0OGxAQGzQiICU3NzQsNiwrLzQsLC0wNDIsNCwtMjctLDUsLCw3Mi8sLCwsLC0sLDAsLyw4NSw0LCwsLP/AABEIAMIBBAMBIgACEQEDEQH/xAAcAAEAAwACAwAAAAAAAAAAAAAABQYHBAgBAgP/xABIEAACAQEEAwgNCwQBBQAAAAAAAQIDBAUGEQcSIRcxQVFScZPSExQVIjZUYXOBkZKxshYjMzQ1QlN0s8HRMnKC4qElY6Kj4f/EABkBAQADAQEAAAAAAAAAAAAAAAABAgMEBf/EAC0RAQACAAMHAwMEAwAAAAAAAAABAgMREgQTFCExUVIyQfBxgZEiMzTRI2HB/9oADAMBAAIRAxEAPwDcQAAAAAAAAAAAAAAAAAAAAAAAAAAAAAAAAAAAAAAAAAAAAAAAAAAAAAAAAAAAAAAAROJsQ2DDV29vXi5ZOShGMVnKUnm9WKeS3k3zIp0tMNyp97Z7W/RT65UtLt+yvbEquyy5yhZ+8SX3q08tbLja2R50y43XonuON3U1eaqyraq7I41Go6+W1JLgT2HXGHh0pE4nWWeq0zyfLdiufxe1f+vrFpwjiywYrss61gVSLptKcJpKSz2p7G008n6ijY6wDh+48MVrfYY1VVjq6udSUltnGLzT8jPbQR9Hbeel7pi9MKcOb09iJtqylqwAORoAAAAAAAAAAAAAAAAAAAAAAAAAAAAAAAAAAAQ2ML7hh7D1a8XlrRjlTT+9UlsiubPa/ImTJimmi/8Aty+IXPQecKC1qmXDVmt7/GL/APN8RrgYeu8QracocPRNck76xQ7xtecoUPnZN/erSb1c+N55z50uM3aUlGOtIrejy4Pk9hinZ6qyqz+drcevP7v+Kyj/AIk7bnlQ9JbaMTXf/SKRlCi6VrfGnhOrGpv1ZQpwXNJT90GcDQVZ6kbBa7S13sqkILyuEW38aIbTJapu1Wax/dUZVOeTaivUk/WaHo1sELBgmyxhvzh2aT8tXv8A/hNL0Gk/p2f6/P8AiOt1nAByNAAAAAAAAAAAAAAAAAAAAAAAAAAAAAAAAAAAR2Ib2o3Hcta8rRvU45pcqW9GPO5NL0mI6OrprYnxj23bu/jTl2xWb3pTbzjH0z25cUWiwabb+7JaaVxUXsh87W/ua7yL5lnL0ot+i24O4eGI1Kyyq1/nanGk13sPRHg45M7K/wCLB1e8sp/VbLsuBxLwfzaXlOWcK8Xtiuc42rG9Mf2zZ/Mv42atgjwOsP5an8CMp0x/bNn8y/jZq2CPA6w/lqfwI68X9mrOvqlNgA5GgAAAAAAAAAAAAAAAAAAAAAHiUowi5SaSW1t7yR5ITG7awfbWvF6nwsmsZzkS+LxxhZPLt6ze2mvWt88fLnC3j1n9o6+3ZYJXhUlCMlHJZ72fkJH5N1PxV7L/AJO+dkw492O8luPy5wt49Z/aHy5wt49Z/aMO+TdT8Vey/wCR8m6n4q9l/wAkcLh9zeS3H5c4W8es/tExdt42K9bKrVdtWFWm21rQaazW+tm8/IdbbwuadiszryqKWTSyya3/AEmhaHb4u26bjtTvOvRpJ101rzjFvvIrNJ7XvZFMXZq1rnWc01xM55taIrEl/wBhw5dkrdeEsktkIrLWqS4IRXC/ctpT8QaWbpscHTuWMrRU4JNOFJPnffS9C9Jndns2I9Id9dkk3Ua2Sm+9o0Yvbklwf2rNv/kph7PM878oTa/tD6YUu+vjXG/ZbctaMpuvaOFaqeyHM3lBLiz4jsLvbxCYSwzYcL3Z2pY++k9tSo/6py43xJcC4PfNlcfF125dITSuUBxrVZ5VmpRa2HJBgux/S7cd62i32e1WWhVqwUHBunFzylrZ7VHNpNPf8hWbNeGO7JZo2azd0owhFRjFUamUYxWSS7zeSOwwOmm05Vis1zZzTOc83X7uxpB5V59DPqDuxpB5V59DPqHYEFuJjwg3c93X7uxpB5V59DPqDuxpB5V59DPqHYEDiY8IN3Pd1+7saQeVefQz6g7saQeVefQz6h2BA4mPCDdz3dfu7GkHlXn0M+oO7GkHlXn0M+odgQOJjwg3c93X7uxpB5V59DPqDuxpB5V59DPqHYEDiY8IN3Pdgl2aQsVXFbtS83OqtjlSrx1JZcaeSlHnaa8hqmFccXPiXKjZ5OnXyzdGeSns39V701zepEpftwXXf9m7BetKM191704+WMltiYXhqzQsOkqjZKLerTtcqcW9/KMpRWeXDki2WHjVmYjKYRzrLsOADiagAAAAAQeOPA62/l6nwsnCDxx4HW38vU+FlqeqET0YJhiUY2ies0u9XvLF2anyl6yq3J9NLm/clz1rRzcyT7NT5S9Y7NT5S9ZGAjIecQVISuySi09q954wdgi3YsoVK9kq0qcac9SWtrN5tKWxJbVk+M4d6/Unzr3mj6CvsW1efX6cSuJaaYczC1Yzl9rk0R3VZJKpe9WpaGvupdjp+lJuT9o0CxWOzWCzRs1ipwp047IxilGK9CPuDzb4lr+qW8ViOgACiQAAAAAAAAGcabrVaKFw0KVCcoqdbKeTa1lGLaTy4M9uXkM5ubCeJb7sCt12U5TpttKXZYR2xeT2Sknvo6cPZ4tTVNslJvlOWTsaDANzzGf4EunpdcbnmM/wJdPS65PD084+fdGuezfwYBueYz/Al09Lrjc8xn+BLp6XXHD084+fc1z2b+DANzzGf4EunpdcbnmM/wACXT0uuOHp5x8+5rns2LEuLbnw3TzvGotfLONKPfVJf48C8ryRimFrR3R0kUbXSi12S1SqKO+0pOU9uXEvcS9y6Kb9ttqzvdxs8PvPWjUqS/tUW16W/QzVsN4UufDdLVu2ktdrKVSXfVJc8uBeRZLyF9WHhVmInOZRla0802ADiagAAAAAQeOPA62/l6nwsnCDxx4HW38vU+FlqeqET0dfLk+mlzfuS5EXJ9NLm/clz17dXMAAgcO9fqT517zRtBT/AOk2tf8AeXwIzm9fqT517zRtBX2Va/PR+BGW0ftStT1NOAB5joAAAAAAAAAABmWnT7Gsvnn8DJfQ74C0vOVf1GRGnT7Gsvnn8DJfQ74C0vOVf1Gddv48fX+2cetdgAcjQAAAAAAAAAAAAAAAAIPHHgdbfy9T4WThB448Drb+XqfCy1PVCJ6OvlyfTS5v3JciLk+mlzfuS569urmAAQOHev1J8695o2gr7Ktfno/AjOb1+pPnXvL1oXqzhdtqUHl87H4f/hltH7UrU9TWgRfbFblMdsVuUzzHQlAR1O11Iy7/AGo51KrCrHODA9wAAAAAA4NqtOt3lPe4WBnmnGtGd1WaMeCs9v8Agyb0O+AtLzlX9Rlb0yfZFm88/gZZNDvgLS85V/UZ12/jx9f7Zx612AByNAAAAAAAAAAAAAAAAAg8ceB1t/L1PhZOEHjjwOtv5ep8LLU9UIno6+XJ9NLm/clyAsFqVlm5STeayOb3XhyJetHsTE5uZJAje68ORL1od14ciXrRGUj7Xr9SfOvec7BeMI4Ys9Wk6Dq9kkpf16mWqmuS898hbZeEbRQdNRa9PEXvRNhe5r/u20V72oqpKFVRi9aayjqReWUWk9rKYumKTrjkmuefJ7brEfEn03+h6PSxLPZY103+hfdzvCfikfbq9Y9lo+woll2nT9c/5OTXs/jPz7tcr90HhTHFgxBU7WqLsNfgg5Zqf9kslm/JknzlrjKUXnF5GT450cWq5G7wuTXq2dPWcd+rRy257NsorjW1cOe+fbCGkfsNNWTEbcopd7XScpZcU1HNy/uXp4xfAi0asPnHYi2XKzVezVeU/WeOzVeVL1sqW6JhbxiXQ1+oN0TC3jEuhr9Qx3OJ4z+FtUd1t7NV5UvWx2WpypetlS3RMLeMS6Gv1BuiYW8Yl0NfqDc4njP4NUd1sdSbWTb9bPUqu6JhbxiXQ1+oUzG+PJ3qnd1yuUaD2Tnk1Orn91J7Yw8m+/It+1NnvacsskTeIedKGJbDe1SF3WB66oycp1E+8cstXVjxpcL95ouiay17LgejG0xcXKU5pPY9Wc208vKtvpKxo70b6jhe2I4bf6qVB8HFOouPijwcO3YtXL416xWMOvsisTnqkABytAAAAAAAAAAAAAAAAA9K1KnXpSpVkpRkmpJ7U09jTXCj3AFPloywlKWfa8l5FVq5ejvjxuY4T8Xn0tbrFxBpvsTyn8q6Y7KduY4T8Xn0tbrDcxwn4vPpa3WLiBvsTyn8mmOynbmOE/F59LW6xYbkuW7rhsfal1U1ThnrNZttyezNt5tvJJbeIkARbEtblMpiIgABRIUTEei6574tztllnOzSltmoKLhJv72q/wCl82/xZl7Bal7UnOsomInqy7casfjlb2IfyNxqx+OVvYh/JqINeIxO6uirLtxqx+OVvYh/I3GrH45W9iH8mogcRidzRVl241Y/HK3sQ/km8K6Nrqw/b+3qk5Wiovo3NRUYPlKK35eV73BkXYETj4kxlMpikQAAxWAAAAAAAAAAAAAAAAAAAAAAAAAAAAAAAAAAAAAAAAAAAAAAAAAAAAAAAAAAAAAAAAAAAAAAAAAAAAAAAAAAAAAAAAAAAAAAAAAAAAAAAAAAAAAAAAAAAAAAAAAAAAAAAAAAAAAAAAAAAAAAAAAAAAAAAAf/2Q==">
          <a:extLst>
            <a:ext uri="{FF2B5EF4-FFF2-40B4-BE49-F238E27FC236}">
              <a16:creationId xmlns:a16="http://schemas.microsoft.com/office/drawing/2014/main" id="{00000000-0008-0000-0200-000001080000}"/>
            </a:ext>
          </a:extLst>
        </xdr:cNvPr>
        <xdr:cNvSpPr>
          <a:spLocks noChangeAspect="1" noChangeArrowheads="1"/>
        </xdr:cNvSpPr>
      </xdr:nvSpPr>
      <xdr:spPr bwMode="auto">
        <a:xfrm>
          <a:off x="9705975" y="2838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16</xdr:row>
      <xdr:rowOff>0</xdr:rowOff>
    </xdr:from>
    <xdr:to>
      <xdr:col>9</xdr:col>
      <xdr:colOff>304800</xdr:colOff>
      <xdr:row>17</xdr:row>
      <xdr:rowOff>114300</xdr:rowOff>
    </xdr:to>
    <xdr:sp macro="" textlink="">
      <xdr:nvSpPr>
        <xdr:cNvPr id="2050" name="AutoShape 2" descr="data:image/jpeg;base64,/9j/4AAQSkZJRgABAQAAAQABAAD/2wCEAAkGBxQHBhMUBxQTFhUXGCEaGBgYGB0ZHxkiHRobGh4gIBkdICggGR8lHRgcIj0hJisrLi8uGiUzPjMtNygtLisBCgoKBQUFDgUFDisZExkrKysrKysrKysrKysrKysrKysrKysrKysrKysrKysrKysrKysrKysrKysrKysrKysrK//AABEIAOIA3wMBIgACEQEDEQH/xAAcAAEAAgMBAQEAAAAAAAAAAAAABgcEBQgDAQL/xABLEAABAwIEAgYDDgIIBAcAAAABAAIDBBEFBhIhBzETIkFRYYEVQnEIFBYjMjZSVHSRk6Gis4LSMzVicpKxstElQ8HwFzQ3RFNjo//EABQBAQAAAAAAAAAAAAAAAAAAAAD/xAAUEQEAAAAAAAAAAAAAAAAAAAAA/9oADAMBAAIRAxEAPwC8UREBERAREQEREBERAREQFH815gly5B0zqfpaZtjLI2UB8YvYnoy3rgCx2dc93apAtHnUXy1LfvZ+6xBtKarbXULZaBzXte3Uwg7OBFxvY2HktXlPHnY/SzOmibEYpnwkCTpLmM6XG+hu17225d3JRr/04xft9F1D/Kikcf0wvJ9jT3X62w4ZG+HVlvr9T+6UExREQEREBERAREQEREBERAREQEREBERAREQEREBERAWizZhNRjNGIsOnihaSC/XC6QnS9rwARI0NB02OxNjsQt6iDEfR+/cLMWLiOTWzTIA0ta64sbNJcQD3XNu9arJOV25Rwl1PSvL2dK57LixaHWs0m/WItz2v3KM4bmp83GSeme49CYeijF9jJEGyvsOWoNlcD29UdysZAREQEREBERAREQEREBERAREQEREBERAREQEREBERAXnUTNpqdz5jZrQXE9wAufyXooXxhxX0Tw8qiPlSNELfHpDpd+jUfJBVGW64uwdmKvADosYc+U/RjqGRiX/No810WqJ4V4T6c4PYnA0Xc+R+kf2mxRPZ+trVa+QcW9OZMpJibl0QDj/ab1H/AKmlBv0REBERAREQEREBERAREQEREBERAREQEREBERAREQFSPulMVtFR0rDzLpnD2DQz/OT7ldy5W404t6W4hVGg3bDaFv8AAOsPxC9BaHucPmfUfaT+1Et3wsHoyoxKgdYe9qpzo2j1YphrjH5E+a0nucPmfUfaT+1Et3U/8G4xxO5MrqVzLd8kB1XPsjsPP2IJ8iIgIiICIiAiIgIiICIiAiIgIiICIiAiIg86mX3vTOdpc7S0nS0XJsL2A7SVEso8SqHNTgykkMcp5RS2Y4/3dy1/Lk0k+CmK58z9SR5Kzq5uK07ajDqsmToyOtG4kdIYn3BY8Eg2BALXNB5AgOg0VfYNDV0OHMnybVNxCjcNTYah1pAN9o6i2xBs3RKOrpIuCpHhGa4cQqehqA+nqP8A4JxoefFnqyjbmwnyQbbEaxuH4fJLUbNjY57j4NBcfyC4srap1dWyS1Bu+Rxe495cST+ZXT/G3FvRXD2cNNnTFsLf4jd36GvXLKDon3OHzPqPtJ/aiW94uD3jhlLXM2NHVRyOPboc7Q9vnqatF7nD5n1H2k/tRKxM14X6by1U0/bLE5rfBxadJ8nWPkg2jXam3byK+qL8MsV9M5Eo5HElwjDHX56o/iyT7dN/NY2b+JVDlW7amTpZh/yYrOcD/aN9LOfrG/cCgmKiWaOIlFlucRTPMs5IaIIQHvuSBY7gNO42JBPYCqcr8/4rxFxUUuXwYGv9SIkEN2u6SbnpHbbSDe1ibKWZCyRBT5uEVKBJHh9nTTEf01S4bAdzIW3IANw473QXGNwvqIgIiICIiAiIgIiICIiAiIgIiIChvFjK3wqyhIyAXmi+Nh7y5oN2/wATbj22PYpkiDlHhpxAlyViNnXkpnn42K/Ls1svsHgeTgLHsLemGe9M3YIx9oqiCQamki4/PdrgduwgjsIXOXGnKvwbze59OLQ1N5Gdwdf4xvk438A8DsWJw14gS5JxGxvJTPPxsV+XZrZfYPA8nAWPYWhYvHXLU1NlaKSkmmkp4ZLujkdrMeoaWuEh67mg9Wzi43fztyoZdmxy0+bMukwubLT1EZFx2hwII72uG4tsQR2ELkjNWBPy3mCamq+cbrA/Sad2u82kHzQXn7nD5n1H2k/tRK1pZRDEXSkBrQSSeQA3JVU+5w+Z9R9pP7USyePeaPQ+WBTUzrS1V2m3ZGPl/wCK4b4gu7kFMYlnepZ75gwOaSKllqJJWtb1XWe7YFw6wFgOqDbc3utRlrAJ8zYuynwhmp7uZ5NYBzc4+q0X5+wC5IB/eV8uT5oxdsGEt1OO5J+Sxva5x7APz5C5IC6nyNkyDJmFdFh41PdYyykdaQj/AEtG9m8hftJJIRyPCoOE+RnnDgJKqSzGuI608ztmNDb/ACQbnQDyB5kkmU5IwD4N5djhkOqU3kmfzL5H7vcT277X7gFHIT8MeJJdzpcN6re59Q7me49GBbvDh4qwUBERAREQEREBERARVvxoywyvwB1bTxtNRTWfvykja67mPHrNAJd5EdpUe4nS0j67B8UA6sj2PlaASXxAxu1OA56Lhu431AdgCC6UUSzxhMWZpaKmnDXNdL0z+V+iiadVncwHPfEwlpBs/mt9W4jT4FSN9/SQwRgWbrc2MADYAA2G2wsEGeihr+JNJO4jBGVVY4GxFNA94B8XuDWW353Xz0ri+J39H0VPStvs+qm6Qkdp6KEbHwLkEzWLiGJQ4ZDqxGWKJvfI9rB97iFGPgpWYhf07idQQTfRStbTNHhrGqQj+ILMw/IOH0Exe2mZJITcyTXmeTyvqkLiDt2IPF3ECkmeW4OKircDYimhfIPxCBH+pPSeKYh/5Cjgp29jqqbW729FCCPIvHkpU1oY2zAAB2BfUEFxnh+/NULW5vrHytadTWQRRwtabEXu4Pedj2uty2VUZx4K1eD6pMCPvqIb6QLStG/qcn9nydz9ELpFEHKXDvPc+Q8Vc2YOdA51poTsQRsXNB+TILWsdjax5AtsHjZhEWaMsQ4rgDhIGCz3N7YydiRzBY8kEHcajfkrJzXkiizZF/xeEF9rCVnVkb3dYcwL8nXHgq9o8k12QJ5Rho9/4dMCJ6blJpIILmsOznhth1T1uRaNiAy/c5ODMmVJeQAKlxJPZ8VGq3xdtRxY4hyeiRdnyWOdcNjiaSA521xckutzu4hSPCm+hskVtBRTMY2eqc0zydQRwdFEXOeHAWeQ4R9F8rUXAbtNsf8A8S6XJmE+9eH0Os+vUzC2t30gzYnw1aQPolBbuXsFouHGXLOeyNuxlmkIaZHeJ/IMHLxJJNe5y46MY10eUoy48unkBAHiyPmfa6245FU1jmO1GYKzpMZmfK/s1HZvg1o6rB4AALXIJhlTiVXZWgLMPfG6MuLiyRgddzuZLhZ5J8XKw8H4/jYY3SHxdC+/3Mfy/wASoxEHVWD8WcLxSw98dE4+rM0st7X7s/UpjR1sdfDqoZGSNPrMcHD7wbLiRe1HWSUM+uie+Nw5OY4tP3jdB24i5UwbivimFWAqTK0erM0SX9rz1/1Kb4Nx/cLDG6QHvdC+33Mff/UgvRFAsH4v4Xidg+Z0Lj6szC373C7B/iUyo66HFaUuoJWSMO2qN4cPJzTsfYUGWirHINM2vZXNxqrq3OgrpYIy6tmYdDNAbcNkaDzO9lL8n0r6SmnD53VELpnOge57pHBlgCxznc9L2vANzdtjdBu6iFtTTuZOAWuBa4HtBFiPuVTZAyw+ujraPGweipGS0UTjuSJn9K5/gQ0QkeBVur4BbkghPCqlqGYC048LSxA0rN79SGR7dW42JPV8RE09q3Ga8nUmbY2DHIy8svocHuaW6rXtpIB+SOYPJb9EFU4pwimZEBl/FKyNo5Mke5wHgCwt0jyKguMZCzBhm8cs87e0w1L3fpcWvPkF0giDjqvxTEcNm04jNXRO+jI+Vh+5xBWN8JKz63VfjP8A5l2RVUrKyEsq2Me082uaHA+R2UNxnhNheKkk0/ROItqhcY7exnyP0oOafhJWfW6r8Z/8yfCSs+t1X4z/AOZW3jPAE7nAqseDJmf5yM/kUFxrhXimEXL6Z0rR60JEl/4R1/0oI98JKz63VfjP/mT4SVn1uq/Gf/MsJ9HJHV9HJG8SEgBhaQ652A02vc9ys/JnBSpxYNkzETTRHfRzlcPYdo/4rkfRQQOjxmvrqlsdFUVkj3bNYySRzj7Gg3KnzsAqcsYQKrPldVRg/wBHSxVDjLKe4vuWxjlci9gew2Bs+vfhvCXLxfTRNa5ws1o3lncN7F53sCbk8m32G4BqfJIn4ncTGz42dUcXxrm76GNaepG0crF5Gx3IDjuboNtUQyYbmikhqjEyqqqVkg6ZvSsEhkl0QydKXOLSwNi1gl+sBwO7gd9gWfMPGIOpc5UEFFUsOl14mGO+3rWuwG9wTdtt9W6ivui3mPO1OYyQRTNII2IIllsQexSR+ERcYsix1EZazEIR0bn8g5zRfS+3qOvqB9UuNvWBCz4MFoqmEPp6elc1wu1zY4yCO8ECxC/fwepPqtN+Ez/ZcsYRmPEMg4q+OnfJE5jrSQv6zCdubDtuLdZu9jsVcmT+NtLimmPMLfe0h217uiJ9vOPzuB9JBYfwepPqtN+Ez/ZPg9SfVab8Jn+yxKvOVFSvDffEcjyLhkN53kHkdEQc6243tZY3wgq67+psPlAP/Mqntp2+3QNcvkWNQbT4PUn1Wm/CZ/svKpwehpIS+qgpGNHNzo42ge0kWC1pwfEcR/rOubA082UkQB/Gm1nzDWr9QZAoWzB9fE6pk+nVPdUH7pCWjyAQaipzHg7ZC3DKeOrkHqUlKJv1Nbo+9y8X0tXif9U4RQUzex9XocSO34qEEg+1ysKGFsEYbA1rWjkGgADyC/aCuHcLjijSMxVWppN+jpaeKmb7C4Nc9w9pCl2WMr0uVaN0eBx6GuOp13OcSbWvdxPYOQ2W5XhW0ceIUro65jJI3fKY9oc0733B2O4QV3w4wqlxmHFnV0MEwdiVQA5zGuu06Ds4i9t77d6luVnQ0sbqXCOtDTgAPDg4AuL3dHt2sbpJv2Pb4p8CcO+oUf4Ef8q2mG4bDhVPowyKOJl76Y2BgueZs0AX2H3IMpERAREQEREBERARFps2416BwN8sbdchsyFnbJI86Y2j2uI8gUGrIGYs8cgYaDtt8qokbyv/APVE7/FKO1qzM7ZvgydhBmxA3cbiOMHrSO7h3AbXd2e0gHUVmLQcMMls9KP6SY3cQD1qiZx1yO8BqdcuPIWHcDzbmrMk+asXdPirruOzWj5LG9jWjsA/PmdygZqzJPmrF3T4q67js1o+SxvY1o7APvPM7ldC8Dcteg8mtlmHxtVaU+DLfFj2aSXfxlUNknLLsczFRsrWvbTzS6ekLXBr9ILnNa/kXEN07HYkLr1rQxoDBYDYAdiDnX3R/wA84Psrf3ZVo+DubfgtmsCqdaCe0ct+TTfqPP8AdJI9jnLee6P+ecH2Vv7sqqhB1NxR4dx5zoddLpZVMHUf2PHPQ/w7j2E+0LmHEKGTDa18VexzJGGzmuFiD/329q6Q4R57ZiuV4Y8YeWSsd0Ie8ENlLQC0CQ9V0mki7b6ja9rFZnFLhzHnGj6Sj0sq2DqO5CQD1H/9HdnsQQr3O2aA10tBVEAm8kJ7/pt8dusB/eV5rjCmmqMrZga4B0VRTyX0uFrFp5EdoI28QfFdfZdxmPMGBw1NF8iVocB9E8nNNu1rgWnxCDYoiICIiAiIgIiICIiAiIgIiICIiAqnztnSCjzK6etOuKguyCIHeeqc3rd9mwscAXEdUydpsDaNc2R1DIKEtEhYdBcLgOsdJI7Re2yqrKXBaOFzZc4Smpkvfow52gEnUbuPWkJO/YLk3BQVaKTE+KmPulax0hvYu3bDCNuqHHZoF76Rdx3O5urcyZwWpcH0yY8RVS89JFomn+56/tdt/ZCs2lpmUdO1lIxrGNFmtaA0AdwA2C9UEG4s0/vbK8VTSt3op4p2tbts1wa4eA0uv5KbxSCWMOjNwRcHvBWJjeHjFsGngl5SxuYfDU0i/ldaPhjXmvyLSmcEPjZ0LweYdETEb+J0X80FO+6P+ecH2Vv7sqqhWv7o/wCecH2Vv7sqrXBcPOLYxDBFzlkbGDztqcG38r3QdP8ACvAm0fDWmirWMeJmGSRrmghwlJcA5p2PULRv3LanBpsJ3y5L1B/7acudH7GSbvh9nXYALBoW+hiEELWxCzWgADuAFgv2gqLiJl2DOtg5ho8TAsxk1miosPktkHUl8C0lw9YDs1HAXMD8KxabC8XDmOLi6Nrti17f6RnmBqty6ru9XXiOHxYpSGLEo2Sxu5te0OB7tj2jvVZZs4UyzYrDVZWqS2WJzS1s5L7aSCLTbyOAtYNfq22uBsgtZF8HLdfUBERAREQEREBERAREQEREBERAREQEREBQzJLfRuZsVpbEATtqWX5EVDLut3ASMdt4qZqIYq30dxJopgDpqYJKZx7NTLTx3HeQJRdBUfuj/nnB9lb+7KtZwHwr0jxAY9w6sEbpT3Xt0bfO77/wrZ+6P+ecH2Vv7sqk/ubsK6LBqqpfe8kgjbcdkbdRI9pkt/CguRERAREQEREBERAREQEREBERAREQEREBERAREQEREBRXiQzosvtqGAl1JNHUC3cx4En/AOTnqVLGxKjbiOHSw1G7JGOY72OBafyKDnz3Rp1Zypy36q392VXHwwwn0NkOjjcLOMYkdfneS8hB9mq3kqRzbSvzNmfBoKi+t0EdPL3h0VRNDKfLQ4rpZrdLQG8gg+oiICIiAiIgIiICIiAiIgIiICIiAiIgIiICIiAiIgIi/EsghiLpSA1ouSTYADcknsCCq8Ly45vHSV8g+KiidPH4Gfqkecjp3ferXUdq80w0VG6oqIKkRdGHiYQl2pti4bNu9gAJPxjWgX7N1uMKrm4phcM9OCGyxtkaHbEB7Q4XAJF7HvQZSIiAiIgIiICIiAiIgIiICIiAiIgIiICIiAiIgIiICwsaw9mLYRNBWfIlY5jiNrBwte/hzWasbE6c1eHSxstd7HNF+W7SN/vQVHh+ZsQyJKKTPkJmoQ3oxVMYXBrbaG6iPlDkC1wD979ba9r4GIRgsAwi3QCJgisSeoGgM3duerbnuo9SUGIVGBvpcdZRSNMZi6bpJCX9XSHPg6PcnmQJBvyI7N/gGEswLBYaekLiyJgaC43JtzJ9p37u5BsEREBERAREQEREBERAREQEREBERAREQEREBERAREQEREBERAREQEREBERAREQEREBERB//2Q==">
          <a:extLst>
            <a:ext uri="{FF2B5EF4-FFF2-40B4-BE49-F238E27FC236}">
              <a16:creationId xmlns:a16="http://schemas.microsoft.com/office/drawing/2014/main" id="{00000000-0008-0000-0200-000002080000}"/>
            </a:ext>
          </a:extLst>
        </xdr:cNvPr>
        <xdr:cNvSpPr>
          <a:spLocks noChangeAspect="1" noChangeArrowheads="1"/>
        </xdr:cNvSpPr>
      </xdr:nvSpPr>
      <xdr:spPr bwMode="auto">
        <a:xfrm>
          <a:off x="9705975" y="2838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3505200</xdr:colOff>
      <xdr:row>0</xdr:row>
      <xdr:rowOff>47625</xdr:rowOff>
    </xdr:from>
    <xdr:to>
      <xdr:col>8</xdr:col>
      <xdr:colOff>38099</xdr:colOff>
      <xdr:row>1</xdr:row>
      <xdr:rowOff>231321</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0150" y="47625"/>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9" name="Picture 3">
          <a:hlinkClick xmlns:r="http://schemas.openxmlformats.org/officeDocument/2006/relationships" r:id="rId2"/>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349827</xdr:colOff>
      <xdr:row>2</xdr:row>
      <xdr:rowOff>12122</xdr:rowOff>
    </xdr:to>
    <xdr:pic>
      <xdr:nvPicPr>
        <xdr:cNvPr id="10" name="Image 9"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483178</xdr:colOff>
      <xdr:row>0</xdr:row>
      <xdr:rowOff>66674</xdr:rowOff>
    </xdr:from>
    <xdr:to>
      <xdr:col>2</xdr:col>
      <xdr:colOff>831424</xdr:colOff>
      <xdr:row>2</xdr:row>
      <xdr:rowOff>2597</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35728" y="66674"/>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12</xdr:row>
      <xdr:rowOff>0</xdr:rowOff>
    </xdr:from>
    <xdr:ext cx="304800" cy="304800"/>
    <xdr:sp macro="" textlink="">
      <xdr:nvSpPr>
        <xdr:cNvPr id="12" name="AutoShape 1" descr="data:image/jpeg;base64,/9j/4AAQSkZJRgABAQAAAQABAAD/2wCEAAkGBwgHBhIIBxEQExIVFh4VFBYYGBYYFRcXFRsfGB8WGRgZIykgGBolHBcfITUjJy0rOi8vFyszRDMsNyg5OisBCgoKDg0OGxAQGzQiICU3NzQsNiwrLzQsLC0wNDIsNCwtMjctLDUsLCw3Mi8sLCwsLC0sLDAsLyw4NSw0LCwsLP/AABEIAMIBBAMBIgACEQEDEQH/xAAcAAEAAwACAwAAAAAAAAAAAAAABQYHBAgBAgP/xABIEAACAQEEAwgNCwQBBQAAAAAAAQIDBAUGEQcSIRcxQVFScZPSExQVIjZUYXOBkZKxshYjMzQ1QlN0s8HRMnKC4qElY6Kj4f/EABkBAQADAQEAAAAAAAAAAAAAAAABAgMEBf/EAC0RAQACAAMHAwMEAwAAAAAAAAABAgMREgQTFCExUVIyQfBxgZEiMzTRI2HB/9oADAMBAAIRAxEAPwDcQAAAAAAAAAAAAAAAAAAAAAAAAAAAAAAAAAAAAAAAAAAAAAAAAAAAAAAAAAAAAAAAROJsQ2DDV29vXi5ZOShGMVnKUnm9WKeS3k3zIp0tMNyp97Z7W/RT65UtLt+yvbEquyy5yhZ+8SX3q08tbLja2R50y43XonuON3U1eaqyraq7I41Go6+W1JLgT2HXGHh0pE4nWWeq0zyfLdiufxe1f+vrFpwjiywYrss61gVSLptKcJpKSz2p7G008n6ijY6wDh+48MVrfYY1VVjq6udSUltnGLzT8jPbQR9Hbeel7pi9MKcOb09iJtqylqwAORoAAAAAAAAAAAAAAAAAAAAAAAAAAAAAAAAAAAQ2ML7hh7D1a8XlrRjlTT+9UlsiubPa/ImTJimmi/8Aty+IXPQecKC1qmXDVmt7/GL/APN8RrgYeu8QracocPRNck76xQ7xtecoUPnZN/erSb1c+N55z50uM3aUlGOtIrejy4Pk9hinZ6qyqz+drcevP7v+Kyj/AIk7bnlQ9JbaMTXf/SKRlCi6VrfGnhOrGpv1ZQpwXNJT90GcDQVZ6kbBa7S13sqkILyuEW38aIbTJapu1Wax/dUZVOeTaivUk/WaHo1sELBgmyxhvzh2aT8tXv8A/hNL0Gk/p2f6/P8AiOt1nAByNAAAAAAAAAAAAAAAAAAAAAAAAAAAAAAAAAAAR2Ib2o3Hcta8rRvU45pcqW9GPO5NL0mI6OrprYnxj23bu/jTl2xWb3pTbzjH0z25cUWiwabb+7JaaVxUXsh87W/ua7yL5lnL0ot+i24O4eGI1Kyyq1/nanGk13sPRHg45M7K/wCLB1e8sp/VbLsuBxLwfzaXlOWcK8Xtiuc42rG9Mf2zZ/Mv42atgjwOsP5an8CMp0x/bNn8y/jZq2CPA6w/lqfwI68X9mrOvqlNgA5GgAAAAAAAAAAAAAAAAAAAAAHiUowi5SaSW1t7yR5ITG7awfbWvF6nwsmsZzkS+LxxhZPLt6ze2mvWt88fLnC3j1n9o6+3ZYJXhUlCMlHJZ72fkJH5N1PxV7L/AJO+dkw492O8luPy5wt49Z/aHy5wt49Z/aMO+TdT8Vey/wCR8m6n4q9l/wAkcLh9zeS3H5c4W8es/tExdt42K9bKrVdtWFWm21rQaazW+tm8/IdbbwuadiszryqKWTSyya3/AEmhaHb4u26bjtTvOvRpJ101rzjFvvIrNJ7XvZFMXZq1rnWc01xM55taIrEl/wBhw5dkrdeEsktkIrLWqS4IRXC/ctpT8QaWbpscHTuWMrRU4JNOFJPnffS9C9Jndns2I9Id9dkk3Ua2Sm+9o0Yvbklwf2rNv/kph7PM878oTa/tD6YUu+vjXG/ZbctaMpuvaOFaqeyHM3lBLiz4jsLvbxCYSwzYcL3Z2pY++k9tSo/6py43xJcC4PfNlcfF125dITSuUBxrVZ5VmpRa2HJBgux/S7cd62i32e1WWhVqwUHBunFzylrZ7VHNpNPf8hWbNeGO7JZo2azd0owhFRjFUamUYxWSS7zeSOwwOmm05Vis1zZzTOc83X7uxpB5V59DPqDuxpB5V59DPqHYEFuJjwg3c93X7uxpB5V59DPqDuxpB5V59DPqHYEDiY8IN3Pd1+7saQeVefQz6g7saQeVefQz6h2BA4mPCDdz3dfu7GkHlXn0M+oO7GkHlXn0M+odgQOJjwg3c93X7uxpB5V59DPqDuxpB5V59DPqHYEDiY8IN3Pdgl2aQsVXFbtS83OqtjlSrx1JZcaeSlHnaa8hqmFccXPiXKjZ5OnXyzdGeSns39V701zepEpftwXXf9m7BetKM191704+WMltiYXhqzQsOkqjZKLerTtcqcW9/KMpRWeXDki2WHjVmYjKYRzrLsOADiagAAAAAQeOPA62/l6nwsnCDxx4HW38vU+FlqeqET0YJhiUY2ies0u9XvLF2anyl6yq3J9NLm/clz1rRzcyT7NT5S9Y7NT5S9ZGAjIecQVISuySi09q954wdgi3YsoVK9kq0qcac9SWtrN5tKWxJbVk+M4d6/Unzr3mj6CvsW1efX6cSuJaaYczC1Yzl9rk0R3VZJKpe9WpaGvupdjp+lJuT9o0CxWOzWCzRs1ipwp047IxilGK9CPuDzb4lr+qW8ViOgACiQAAAAAAAAGcabrVaKFw0KVCcoqdbKeTa1lGLaTy4M9uXkM5ubCeJb7sCt12U5TpttKXZYR2xeT2Sknvo6cPZ4tTVNslJvlOWTsaDANzzGf4EunpdcbnmM/wJdPS65PD084+fdGuezfwYBueYz/Al09Lrjc8xn+BLp6XXHD084+fc1z2b+DANzzGf4EunpdcbnmM/wACXT0uuOHp5x8+5rns2LEuLbnw3TzvGotfLONKPfVJf48C8ryRimFrR3R0kUbXSi12S1SqKO+0pOU9uXEvcS9y6Kb9ttqzvdxs8PvPWjUqS/tUW16W/QzVsN4UufDdLVu2ktdrKVSXfVJc8uBeRZLyF9WHhVmInOZRla0802ADiagAAAAAQeOPA62/l6nwsnCDxx4HW38vU+FlqeqET0dfLk+mlzfuS5EXJ9NLm/clz17dXMAAgcO9fqT517zRtBT/AOk2tf8AeXwIzm9fqT517zRtBX2Va/PR+BGW0ftStT1NOAB5joAAAAAAAAAABmWnT7Gsvnn8DJfQ74C0vOVf1GRGnT7Gsvnn8DJfQ74C0vOVf1Gddv48fX+2cetdgAcjQAAAAAAAAAAAAAAAAIPHHgdbfy9T4WThB448Drb+XqfCy1PVCJ6OvlyfTS5v3JciLk+mlzfuS569urmAAQOHev1J8695o2gr7Ktfno/AjOb1+pPnXvL1oXqzhdtqUHl87H4f/hltH7UrU9TWgRfbFblMdsVuUzzHQlAR1O11Iy7/AGo51KrCrHODA9wAAAAAA4NqtOt3lPe4WBnmnGtGd1WaMeCs9v8Agyb0O+AtLzlX9Rlb0yfZFm88/gZZNDvgLS85V/UZ12/jx9f7Zx612AByNAAAAAAAAAAAAAAAAAg8ceB1t/L1PhZOEHjjwOtv5ep8LLU9UIno6+XJ9NLm/clyAsFqVlm5STeayOb3XhyJetHsTE5uZJAje68ORL1od14ciXrRGUj7Xr9SfOvec7BeMI4Ys9Wk6Dq9kkpf16mWqmuS898hbZeEbRQdNRa9PEXvRNhe5r/u20V72oqpKFVRi9aayjqReWUWk9rKYumKTrjkmuefJ7brEfEn03+h6PSxLPZY103+hfdzvCfikfbq9Y9lo+woll2nT9c/5OTXs/jPz7tcr90HhTHFgxBU7WqLsNfgg5Zqf9kslm/JknzlrjKUXnF5GT450cWq5G7wuTXq2dPWcd+rRy257NsorjW1cOe+fbCGkfsNNWTEbcopd7XScpZcU1HNy/uXp4xfAi0asPnHYi2XKzVezVeU/WeOzVeVL1sqW6JhbxiXQ1+oN0TC3jEuhr9Qx3OJ4z+FtUd1t7NV5UvWx2WpypetlS3RMLeMS6Gv1BuiYW8Yl0NfqDc4njP4NUd1sdSbWTb9bPUqu6JhbxiXQ1+oUzG+PJ3qnd1yuUaD2Tnk1Orn91J7Yw8m+/It+1NnvacsskTeIedKGJbDe1SF3WB66oycp1E+8cstXVjxpcL95ouiay17LgejG0xcXKU5pPY9Wc208vKtvpKxo70b6jhe2I4bf6qVB8HFOouPijwcO3YtXL416xWMOvsisTnqkABytAAAAAAAAAAAAAAAAA9K1KnXpSpVkpRkmpJ7U09jTXCj3AFPloywlKWfa8l5FVq5ejvjxuY4T8Xn0tbrFxBpvsTyn8q6Y7KduY4T8Xn0tbrDcxwn4vPpa3WLiBvsTyn8mmOynbmOE/F59LW6xYbkuW7rhsfal1U1ThnrNZttyezNt5tvJJbeIkARbEtblMpiIgABRIUTEei6574tztllnOzSltmoKLhJv72q/wCl82/xZl7Bal7UnOsomInqy7casfjlb2IfyNxqx+OVvYh/JqINeIxO6uirLtxqx+OVvYh/I3GrH45W9iH8mogcRidzRVl241Y/HK3sQ/km8K6Nrqw/b+3qk5Wiovo3NRUYPlKK35eV73BkXYETj4kxlMpikQAAxWAAAAAAAAAAAAAAAAAAAAAAAAAAAAAAAAAAAAAAAAAAAAAAAAAAAAAAAAAAAAAAAAAAAAAAAAAAAAAAAAAAAAAAAAAAAAAAAAAAAAAAAAAAAAAAAAAAAAAAAAAAAAAAAAAAAAAAAAAAAAAAAAAAAAAAAAf/2Q==">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9252857"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12</xdr:row>
      <xdr:rowOff>0</xdr:rowOff>
    </xdr:from>
    <xdr:ext cx="304800" cy="304800"/>
    <xdr:sp macro="" textlink="">
      <xdr:nvSpPr>
        <xdr:cNvPr id="13" name="AutoShape 2" descr="data:image/jpeg;base64,/9j/4AAQSkZJRgABAQAAAQABAAD/2wCEAAkGBxQHBhMUBxQTFhUXGCEaGBgYGB0ZHxkiHRobGh4gIBkdICggGR8lHRgcIj0hJisrLi8uGiUzPjMtNygtLisBCgoKBQUFDgUFDisZExkrKysrKysrKysrKysrKysrKysrKysrKysrKysrKysrKysrKysrKysrKysrKysrKysrK//AABEIAOIA3wMBIgACEQEDEQH/xAAcAAEAAgMBAQEAAAAAAAAAAAAABgcEBQgDAQL/xABLEAABAwIEAgYDDgIIBAcAAAABAAIDBBEFBhIhBzETIkFRYYEVQnEIFBYjMjZSVHSRk6Gis4LSMzVicpKxstElQ8HwFzQ3RFNjo//EABQBAQAAAAAAAAAAAAAAAAAAAAD/xAAUEQEAAAAAAAAAAAAAAAAAAAAA/9oADAMBAAIRAxEAPwC8UREBERAREQEREBERAREQFH815gly5B0zqfpaZtjLI2UB8YvYnoy3rgCx2dc93apAtHnUXy1LfvZ+6xBtKarbXULZaBzXte3Uwg7OBFxvY2HktXlPHnY/SzOmibEYpnwkCTpLmM6XG+hu17225d3JRr/04xft9F1D/Kikcf0wvJ9jT3X62w4ZG+HVlvr9T+6UExREQEREBERAREQEREBERAREQEREBERAREQEREBERAWizZhNRjNGIsOnihaSC/XC6QnS9rwARI0NB02OxNjsQt6iDEfR+/cLMWLiOTWzTIA0ta64sbNJcQD3XNu9arJOV25Rwl1PSvL2dK57LixaHWs0m/WItz2v3KM4bmp83GSeme49CYeijF9jJEGyvsOWoNlcD29UdysZAREQEREBERAREQEREBERAREQEREBERAREQEREBERAXnUTNpqdz5jZrQXE9wAufyXooXxhxX0Tw8qiPlSNELfHpDpd+jUfJBVGW64uwdmKvADosYc+U/RjqGRiX/No810WqJ4V4T6c4PYnA0Xc+R+kf2mxRPZ+trVa+QcW9OZMpJibl0QDj/ab1H/AKmlBv0REBERAREQEREBERAREQEREBERAREQEREBERAREQFSPulMVtFR0rDzLpnD2DQz/OT7ldy5W404t6W4hVGg3bDaFv8AAOsPxC9BaHucPmfUfaT+1Et3wsHoyoxKgdYe9qpzo2j1YphrjH5E+a0nucPmfUfaT+1Et3U/8G4xxO5MrqVzLd8kB1XPsjsPP2IJ8iIgIiICIiAiIgIiICIiAiIgIiICIiAiIg86mX3vTOdpc7S0nS0XJsL2A7SVEso8SqHNTgykkMcp5RS2Y4/3dy1/Lk0k+CmK58z9SR5Kzq5uK07ajDqsmToyOtG4kdIYn3BY8Eg2BALXNB5AgOg0VfYNDV0OHMnybVNxCjcNTYah1pAN9o6i2xBs3RKOrpIuCpHhGa4cQqehqA+nqP8A4JxoefFnqyjbmwnyQbbEaxuH4fJLUbNjY57j4NBcfyC4srap1dWyS1Bu+Rxe495cST+ZXT/G3FvRXD2cNNnTFsLf4jd36GvXLKDon3OHzPqPtJ/aiW94uD3jhlLXM2NHVRyOPboc7Q9vnqatF7nD5n1H2k/tRKxM14X6by1U0/bLE5rfBxadJ8nWPkg2jXam3byK+qL8MsV9M5Eo5HElwjDHX56o/iyT7dN/NY2b+JVDlW7amTpZh/yYrOcD/aN9LOfrG/cCgmKiWaOIlFlucRTPMs5IaIIQHvuSBY7gNO42JBPYCqcr8/4rxFxUUuXwYGv9SIkEN2u6SbnpHbbSDe1ibKWZCyRBT5uEVKBJHh9nTTEf01S4bAdzIW3IANw473QXGNwvqIgIiICIiAiIgIiICIiAiIgIiIChvFjK3wqyhIyAXmi+Nh7y5oN2/wATbj22PYpkiDlHhpxAlyViNnXkpnn42K/Ls1svsHgeTgLHsLemGe9M3YIx9oqiCQamki4/PdrgduwgjsIXOXGnKvwbze59OLQ1N5Gdwdf4xvk438A8DsWJw14gS5JxGxvJTPPxsV+XZrZfYPA8nAWPYWhYvHXLU1NlaKSkmmkp4ZLujkdrMeoaWuEh67mg9Wzi43fztyoZdmxy0+bMukwubLT1EZFx2hwII72uG4tsQR2ELkjNWBPy3mCamq+cbrA/Sad2u82kHzQXn7nD5n1H2k/tRK1pZRDEXSkBrQSSeQA3JVU+5w+Z9R9pP7USyePeaPQ+WBTUzrS1V2m3ZGPl/wCK4b4gu7kFMYlnepZ75gwOaSKllqJJWtb1XWe7YFw6wFgOqDbc3utRlrAJ8zYuynwhmp7uZ5NYBzc4+q0X5+wC5IB/eV8uT5oxdsGEt1OO5J+Sxva5x7APz5C5IC6nyNkyDJmFdFh41PdYyykdaQj/AEtG9m8hftJJIRyPCoOE+RnnDgJKqSzGuI608ztmNDb/ACQbnQDyB5kkmU5IwD4N5djhkOqU3kmfzL5H7vcT277X7gFHIT8MeJJdzpcN6re59Q7me49GBbvDh4qwUBERAREQEREBERARVvxoywyvwB1bTxtNRTWfvykja67mPHrNAJd5EdpUe4nS0j67B8UA6sj2PlaASXxAxu1OA56Lhu431AdgCC6UUSzxhMWZpaKmnDXNdL0z+V+iiadVncwHPfEwlpBs/mt9W4jT4FSN9/SQwRgWbrc2MADYAA2G2wsEGeihr+JNJO4jBGVVY4GxFNA94B8XuDWW353Xz0ri+J39H0VPStvs+qm6Qkdp6KEbHwLkEzWLiGJQ4ZDqxGWKJvfI9rB97iFGPgpWYhf07idQQTfRStbTNHhrGqQj+ILMw/IOH0Exe2mZJITcyTXmeTyvqkLiDt2IPF3ECkmeW4OKircDYimhfIPxCBH+pPSeKYh/5Cjgp29jqqbW729FCCPIvHkpU1oY2zAAB2BfUEFxnh+/NULW5vrHytadTWQRRwtabEXu4Pedj2uty2VUZx4K1eD6pMCPvqIb6QLStG/qcn9nydz9ELpFEHKXDvPc+Q8Vc2YOdA51poTsQRsXNB+TILWsdjax5AtsHjZhEWaMsQ4rgDhIGCz3N7YydiRzBY8kEHcajfkrJzXkiizZF/xeEF9rCVnVkb3dYcwL8nXHgq9o8k12QJ5Rho9/4dMCJ6blJpIILmsOznhth1T1uRaNiAy/c5ODMmVJeQAKlxJPZ8VGq3xdtRxY4hyeiRdnyWOdcNjiaSA521xckutzu4hSPCm+hskVtBRTMY2eqc0zydQRwdFEXOeHAWeQ4R9F8rUXAbtNsf8A8S6XJmE+9eH0Os+vUzC2t30gzYnw1aQPolBbuXsFouHGXLOeyNuxlmkIaZHeJ/IMHLxJJNe5y46MY10eUoy48unkBAHiyPmfa6245FU1jmO1GYKzpMZmfK/s1HZvg1o6rB4AALXIJhlTiVXZWgLMPfG6MuLiyRgddzuZLhZ5J8XKw8H4/jYY3SHxdC+/3Mfy/wASoxEHVWD8WcLxSw98dE4+rM0st7X7s/UpjR1sdfDqoZGSNPrMcHD7wbLiRe1HWSUM+uie+Nw5OY4tP3jdB24i5UwbivimFWAqTK0erM0SX9rz1/1Kb4Nx/cLDG6QHvdC+33Mff/UgvRFAsH4v4Xidg+Z0Lj6szC373C7B/iUyo66HFaUuoJWSMO2qN4cPJzTsfYUGWirHINM2vZXNxqrq3OgrpYIy6tmYdDNAbcNkaDzO9lL8n0r6SmnD53VELpnOge57pHBlgCxznc9L2vANzdtjdBu6iFtTTuZOAWuBa4HtBFiPuVTZAyw+ujraPGweipGS0UTjuSJn9K5/gQ0QkeBVur4BbkghPCqlqGYC048LSxA0rN79SGR7dW42JPV8RE09q3Ga8nUmbY2DHIy8svocHuaW6rXtpIB+SOYPJb9EFU4pwimZEBl/FKyNo5Mke5wHgCwt0jyKguMZCzBhm8cs87e0w1L3fpcWvPkF0giDjqvxTEcNm04jNXRO+jI+Vh+5xBWN8JKz63VfjP8A5l2RVUrKyEsq2Me082uaHA+R2UNxnhNheKkk0/ROItqhcY7exnyP0oOafhJWfW6r8Z/8yfCSs+t1X4z/AOZW3jPAE7nAqseDJmf5yM/kUFxrhXimEXL6Z0rR60JEl/4R1/0oI98JKz63VfjP/mT4SVn1uq/Gf/MsJ9HJHV9HJG8SEgBhaQ652A02vc9ys/JnBSpxYNkzETTRHfRzlcPYdo/4rkfRQQOjxmvrqlsdFUVkj3bNYySRzj7Gg3KnzsAqcsYQKrPldVRg/wBHSxVDjLKe4vuWxjlci9gew2Bs+vfhvCXLxfTRNa5ws1o3lncN7F53sCbk8m32G4BqfJIn4ncTGz42dUcXxrm76GNaepG0crF5Gx3IDjuboNtUQyYbmikhqjEyqqqVkg6ZvSsEhkl0QydKXOLSwNi1gl+sBwO7gd9gWfMPGIOpc5UEFFUsOl14mGO+3rWuwG9wTdtt9W6ivui3mPO1OYyQRTNII2IIllsQexSR+ERcYsix1EZazEIR0bn8g5zRfS+3qOvqB9UuNvWBCz4MFoqmEPp6elc1wu1zY4yCO8ECxC/fwepPqtN+Ez/ZcsYRmPEMg4q+OnfJE5jrSQv6zCdubDtuLdZu9jsVcmT+NtLimmPMLfe0h217uiJ9vOPzuB9JBYfwepPqtN+Ez/ZPg9SfVab8Jn+yxKvOVFSvDffEcjyLhkN53kHkdEQc6243tZY3wgq67+psPlAP/Mqntp2+3QNcvkWNQbT4PUn1Wm/CZ/svKpwehpIS+qgpGNHNzo42ge0kWC1pwfEcR/rOubA082UkQB/Gm1nzDWr9QZAoWzB9fE6pk+nVPdUH7pCWjyAQaipzHg7ZC3DKeOrkHqUlKJv1Nbo+9y8X0tXif9U4RQUzex9XocSO34qEEg+1ysKGFsEYbA1rWjkGgADyC/aCuHcLjijSMxVWppN+jpaeKmb7C4Nc9w9pCl2WMr0uVaN0eBx6GuOp13OcSbWvdxPYOQ2W5XhW0ceIUro65jJI3fKY9oc0733B2O4QV3w4wqlxmHFnV0MEwdiVQA5zGuu06Ds4i9t77d6luVnQ0sbqXCOtDTgAPDg4AuL3dHt2sbpJv2Pb4p8CcO+oUf4Ef8q2mG4bDhVPowyKOJl76Y2BgueZs0AX2H3IMpERAREQEREBERARFps2416BwN8sbdchsyFnbJI86Y2j2uI8gUGrIGYs8cgYaDtt8qokbyv/APVE7/FKO1qzM7ZvgydhBmxA3cbiOMHrSO7h3AbXd2e0gHUVmLQcMMls9KP6SY3cQD1qiZx1yO8BqdcuPIWHcDzbmrMk+asXdPirruOzWj5LG9jWjsA/PmdygZqzJPmrF3T4q67js1o+SxvY1o7APvPM7ldC8Dcteg8mtlmHxtVaU+DLfFj2aSXfxlUNknLLsczFRsrWvbTzS6ekLXBr9ILnNa/kXEN07HYkLr1rQxoDBYDYAdiDnX3R/wA84Psrf3ZVo+DubfgtmsCqdaCe0ct+TTfqPP8AdJI9jnLee6P+ecH2Vv7sqqhB1NxR4dx5zoddLpZVMHUf2PHPQ/w7j2E+0LmHEKGTDa18VexzJGGzmuFiD/329q6Q4R57ZiuV4Y8YeWSsd0Ie8ENlLQC0CQ9V0mki7b6ja9rFZnFLhzHnGj6Sj0sq2DqO5CQD1H/9HdnsQQr3O2aA10tBVEAm8kJ7/pt8dusB/eV5rjCmmqMrZga4B0VRTyX0uFrFp5EdoI28QfFdfZdxmPMGBw1NF8iVocB9E8nNNu1rgWnxCDYoiICIiAiIgIiICIiAiIgIiICIiAqnztnSCjzK6etOuKguyCIHeeqc3rd9mwscAXEdUydpsDaNc2R1DIKEtEhYdBcLgOsdJI7Re2yqrKXBaOFzZc4Smpkvfow52gEnUbuPWkJO/YLk3BQVaKTE+KmPulax0hvYu3bDCNuqHHZoF76Rdx3O5urcyZwWpcH0yY8RVS89JFomn+56/tdt/ZCs2lpmUdO1lIxrGNFmtaA0AdwA2C9UEG4s0/vbK8VTSt3op4p2tbts1wa4eA0uv5KbxSCWMOjNwRcHvBWJjeHjFsGngl5SxuYfDU0i/ldaPhjXmvyLSmcEPjZ0LweYdETEb+J0X80FO+6P+ecH2Vv7sqqhWv7o/wCecH2Vv7sqrXBcPOLYxDBFzlkbGDztqcG38r3QdP8ACvAm0fDWmirWMeJmGSRrmghwlJcA5p2PULRv3LanBpsJ3y5L1B/7acudH7GSbvh9nXYALBoW+hiEELWxCzWgADuAFgv2gqLiJl2DOtg5ho8TAsxk1miosPktkHUl8C0lw9YDs1HAXMD8KxabC8XDmOLi6Nrti17f6RnmBqty6ru9XXiOHxYpSGLEo2Sxu5te0OB7tj2jvVZZs4UyzYrDVZWqS2WJzS1s5L7aSCLTbyOAtYNfq22uBsgtZF8HLdfUBERAREQEREBERAREQEREBERAREQEREBQzJLfRuZsVpbEATtqWX5EVDLut3ASMdt4qZqIYq30dxJopgDpqYJKZx7NTLTx3HeQJRdBUfuj/nnB9lb+7KtZwHwr0jxAY9w6sEbpT3Xt0bfO77/wrZ+6P+ecH2Vv7sqk/ubsK6LBqqpfe8kgjbcdkbdRI9pkt/CguRERAREQEREBERAREQEREBERAREQEREBERAREQEREBRXiQzosvtqGAl1JNHUC3cx4En/AOTnqVLGxKjbiOHSw1G7JGOY72OBafyKDnz3Rp1Zypy36q392VXHwwwn0NkOjjcLOMYkdfneS8hB9mq3kqRzbSvzNmfBoKi+t0EdPL3h0VRNDKfLQ4rpZrdLQG8gg+oiICIiAiIgIiICIiAiIgIiICIiAiIgIiICIiAiIgIi/EsghiLpSA1ouSTYADcknsCCq8Ly45vHSV8g+KiidPH4Gfqkecjp3ferXUdq80w0VG6oqIKkRdGHiYQl2pti4bNu9gAJPxjWgX7N1uMKrm4phcM9OCGyxtkaHbEB7Q4XAJF7HvQZSIiAiIgIiICIiAiIgIiICIiAiIgIiICIiAiIgIiICwsaw9mLYRNBWfIlY5jiNrBwte/hzWasbE6c1eHSxstd7HNF+W7SN/vQVHh+ZsQyJKKTPkJmoQ3oxVMYXBrbaG6iPlDkC1wD979ba9r4GIRgsAwi3QCJgisSeoGgM3duerbnuo9SUGIVGBvpcdZRSNMZi6bpJCX9XSHPg6PcnmQJBvyI7N/gGEswLBYaekLiyJgaC43JtzJ9p37u5BsEREBERAREQEREBERAREQEREBERAREQEREBERAREQEREBERAREQEREBERAREQEREBERB//2Q==">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9252857"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16</xdr:row>
      <xdr:rowOff>0</xdr:rowOff>
    </xdr:from>
    <xdr:ext cx="304800" cy="304800"/>
    <xdr:sp macro="" textlink="">
      <xdr:nvSpPr>
        <xdr:cNvPr id="14" name="AutoShape 1" descr="data:image/jpeg;base64,/9j/4AAQSkZJRgABAQAAAQABAAD/2wCEAAkGBwgHBhIIBxEQExIVFh4VFBYYGBYYFRcXFRsfGB8WGRgZIykgGBolHBcfITUjJy0rOi8vFyszRDMsNyg5OisBCgoKDg0OGxAQGzQiICU3NzQsNiwrLzQsLC0wNDIsNCwtMjctLDUsLCw3Mi8sLCwsLC0sLDAsLyw4NSw0LCwsLP/AABEIAMIBBAMBIgACEQEDEQH/xAAcAAEAAwACAwAAAAAAAAAAAAAABQYHBAgBAgP/xABIEAACAQEEAwgNCwQBBQAAAAAAAQIDBAUGEQcSIRcxQVFScZPSExQVIjZUYXOBkZKxshYjMzQ1QlN0s8HRMnKC4qElY6Kj4f/EABkBAQADAQEAAAAAAAAAAAAAAAABAgMEBf/EAC0RAQACAAMHAwMEAwAAAAAAAAABAgMREgQTFCExUVIyQfBxgZEiMzTRI2HB/9oADAMBAAIRAxEAPwDcQAAAAAAAAAAAAAAAAAAAAAAAAAAAAAAAAAAAAAAAAAAAAAAAAAAAAAAAAAAAAAAAROJsQ2DDV29vXi5ZOShGMVnKUnm9WKeS3k3zIp0tMNyp97Z7W/RT65UtLt+yvbEquyy5yhZ+8SX3q08tbLja2R50y43XonuON3U1eaqyraq7I41Go6+W1JLgT2HXGHh0pE4nWWeq0zyfLdiufxe1f+vrFpwjiywYrss61gVSLptKcJpKSz2p7G008n6ijY6wDh+48MVrfYY1VVjq6udSUltnGLzT8jPbQR9Hbeel7pi9MKcOb09iJtqylqwAORoAAAAAAAAAAAAAAAAAAAAAAAAAAAAAAAAAAAQ2ML7hh7D1a8XlrRjlTT+9UlsiubPa/ImTJimmi/8Aty+IXPQecKC1qmXDVmt7/GL/APN8RrgYeu8QracocPRNck76xQ7xtecoUPnZN/erSb1c+N55z50uM3aUlGOtIrejy4Pk9hinZ6qyqz+drcevP7v+Kyj/AIk7bnlQ9JbaMTXf/SKRlCi6VrfGnhOrGpv1ZQpwXNJT90GcDQVZ6kbBa7S13sqkILyuEW38aIbTJapu1Wax/dUZVOeTaivUk/WaHo1sELBgmyxhvzh2aT8tXv8A/hNL0Gk/p2f6/P8AiOt1nAByNAAAAAAAAAAAAAAAAAAAAAAAAAAAAAAAAAAAR2Ib2o3Hcta8rRvU45pcqW9GPO5NL0mI6OrprYnxj23bu/jTl2xWb3pTbzjH0z25cUWiwabb+7JaaVxUXsh87W/ua7yL5lnL0ot+i24O4eGI1Kyyq1/nanGk13sPRHg45M7K/wCLB1e8sp/VbLsuBxLwfzaXlOWcK8Xtiuc42rG9Mf2zZ/Mv42atgjwOsP5an8CMp0x/bNn8y/jZq2CPA6w/lqfwI68X9mrOvqlNgA5GgAAAAAAAAAAAAAAAAAAAAAHiUowi5SaSW1t7yR5ITG7awfbWvF6nwsmsZzkS+LxxhZPLt6ze2mvWt88fLnC3j1n9o6+3ZYJXhUlCMlHJZ72fkJH5N1PxV7L/AJO+dkw492O8luPy5wt49Z/aHy5wt49Z/aMO+TdT8Vey/wCR8m6n4q9l/wAkcLh9zeS3H5c4W8es/tExdt42K9bKrVdtWFWm21rQaazW+tm8/IdbbwuadiszryqKWTSyya3/AEmhaHb4u26bjtTvOvRpJ101rzjFvvIrNJ7XvZFMXZq1rnWc01xM55taIrEl/wBhw5dkrdeEsktkIrLWqS4IRXC/ctpT8QaWbpscHTuWMrRU4JNOFJPnffS9C9Jndns2I9Id9dkk3Ua2Sm+9o0Yvbklwf2rNv/kph7PM878oTa/tD6YUu+vjXG/ZbctaMpuvaOFaqeyHM3lBLiz4jsLvbxCYSwzYcL3Z2pY++k9tSo/6py43xJcC4PfNlcfF125dITSuUBxrVZ5VmpRa2HJBgux/S7cd62i32e1WWhVqwUHBunFzylrZ7VHNpNPf8hWbNeGO7JZo2azd0owhFRjFUamUYxWSS7zeSOwwOmm05Vis1zZzTOc83X7uxpB5V59DPqDuxpB5V59DPqHYEFuJjwg3c93X7uxpB5V59DPqDuxpB5V59DPqHYEDiY8IN3Pd1+7saQeVefQz6g7saQeVefQz6h2BA4mPCDdz3dfu7GkHlXn0M+oO7GkHlXn0M+odgQOJjwg3c93X7uxpB5V59DPqDuxpB5V59DPqHYEDiY8IN3Pdgl2aQsVXFbtS83OqtjlSrx1JZcaeSlHnaa8hqmFccXPiXKjZ5OnXyzdGeSns39V701zepEpftwXXf9m7BetKM191704+WMltiYXhqzQsOkqjZKLerTtcqcW9/KMpRWeXDki2WHjVmYjKYRzrLsOADiagAAAAAQeOPA62/l6nwsnCDxx4HW38vU+FlqeqET0YJhiUY2ies0u9XvLF2anyl6yq3J9NLm/clz1rRzcyT7NT5S9Y7NT5S9ZGAjIecQVISuySi09q954wdgi3YsoVK9kq0qcac9SWtrN5tKWxJbVk+M4d6/Unzr3mj6CvsW1efX6cSuJaaYczC1Yzl9rk0R3VZJKpe9WpaGvupdjp+lJuT9o0CxWOzWCzRs1ipwp047IxilGK9CPuDzb4lr+qW8ViOgACiQAAAAAAAAGcabrVaKFw0KVCcoqdbKeTa1lGLaTy4M9uXkM5ubCeJb7sCt12U5TpttKXZYR2xeT2Sknvo6cPZ4tTVNslJvlOWTsaDANzzGf4EunpdcbnmM/wJdPS65PD084+fdGuezfwYBueYz/Al09Lrjc8xn+BLp6XXHD084+fc1z2b+DANzzGf4EunpdcbnmM/wACXT0uuOHp5x8+5rns2LEuLbnw3TzvGotfLONKPfVJf48C8ryRimFrR3R0kUbXSi12S1SqKO+0pOU9uXEvcS9y6Kb9ttqzvdxs8PvPWjUqS/tUW16W/QzVsN4UufDdLVu2ktdrKVSXfVJc8uBeRZLyF9WHhVmInOZRla0802ADiagAAAAAQeOPA62/l6nwsnCDxx4HW38vU+FlqeqET0dfLk+mlzfuS5EXJ9NLm/clz17dXMAAgcO9fqT517zRtBT/AOk2tf8AeXwIzm9fqT517zRtBX2Va/PR+BGW0ftStT1NOAB5joAAAAAAAAAABmWnT7Gsvnn8DJfQ74C0vOVf1GRGnT7Gsvnn8DJfQ74C0vOVf1Gddv48fX+2cetdgAcjQAAAAAAAAAAAAAAAAIPHHgdbfy9T4WThB448Drb+XqfCy1PVCJ6OvlyfTS5v3JciLk+mlzfuS569urmAAQOHev1J8695o2gr7Ktfno/AjOb1+pPnXvL1oXqzhdtqUHl87H4f/hltH7UrU9TWgRfbFblMdsVuUzzHQlAR1O11Iy7/AGo51KrCrHODA9wAAAAAA4NqtOt3lPe4WBnmnGtGd1WaMeCs9v8Agyb0O+AtLzlX9Rlb0yfZFm88/gZZNDvgLS85V/UZ12/jx9f7Zx612AByNAAAAAAAAAAAAAAAAAg8ceB1t/L1PhZOEHjjwOtv5ep8LLU9UIno6+XJ9NLm/clyAsFqVlm5STeayOb3XhyJetHsTE5uZJAje68ORL1od14ciXrRGUj7Xr9SfOvec7BeMI4Ys9Wk6Dq9kkpf16mWqmuS898hbZeEbRQdNRa9PEXvRNhe5r/u20V72oqpKFVRi9aayjqReWUWk9rKYumKTrjkmuefJ7brEfEn03+h6PSxLPZY103+hfdzvCfikfbq9Y9lo+woll2nT9c/5OTXs/jPz7tcr90HhTHFgxBU7WqLsNfgg5Zqf9kslm/JknzlrjKUXnF5GT450cWq5G7wuTXq2dPWcd+rRy257NsorjW1cOe+fbCGkfsNNWTEbcopd7XScpZcU1HNy/uXp4xfAi0asPnHYi2XKzVezVeU/WeOzVeVL1sqW6JhbxiXQ1+oN0TC3jEuhr9Qx3OJ4z+FtUd1t7NV5UvWx2WpypetlS3RMLeMS6Gv1BuiYW8Yl0NfqDc4njP4NUd1sdSbWTb9bPUqu6JhbxiXQ1+oUzG+PJ3qnd1yuUaD2Tnk1Orn91J7Yw8m+/It+1NnvacsskTeIedKGJbDe1SF3WB66oycp1E+8cstXVjxpcL95ouiay17LgejG0xcXKU5pPY9Wc208vKtvpKxo70b6jhe2I4bf6qVB8HFOouPijwcO3YtXL416xWMOvsisTnqkABytAAAAAAAAAAAAAAAAA9K1KnXpSpVkpRkmpJ7U09jTXCj3AFPloywlKWfa8l5FVq5ejvjxuY4T8Xn0tbrFxBpvsTyn8q6Y7KduY4T8Xn0tbrDcxwn4vPpa3WLiBvsTyn8mmOynbmOE/F59LW6xYbkuW7rhsfal1U1ThnrNZttyezNt5tvJJbeIkARbEtblMpiIgABRIUTEei6574tztllnOzSltmoKLhJv72q/wCl82/xZl7Bal7UnOsomInqy7casfjlb2IfyNxqx+OVvYh/JqINeIxO6uirLtxqx+OVvYh/I3GrH45W9iH8mogcRidzRVl241Y/HK3sQ/km8K6Nrqw/b+3qk5Wiovo3NRUYPlKK35eV73BkXYETj4kxlMpikQAAxWAAAAAAAAAAAAAAAAAAAAAAAAAAAAAAAAAAAAAAAAAAAAAAAAAAAAAAAAAAAAAAAAAAAAAAAAAAAAAAAAAAAAAAAAAAAAAAAAAAAAAAAAAAAAAAAAAAAAAAAAAAAAAAAAAAAAAAAAAAAAAAAAAAAAAAAAf/2Q==">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9252857"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16</xdr:row>
      <xdr:rowOff>0</xdr:rowOff>
    </xdr:from>
    <xdr:ext cx="304800" cy="304800"/>
    <xdr:sp macro="" textlink="">
      <xdr:nvSpPr>
        <xdr:cNvPr id="15" name="AutoShape 2" descr="data:image/jpeg;base64,/9j/4AAQSkZJRgABAQAAAQABAAD/2wCEAAkGBxQHBhMUBxQTFhUXGCEaGBgYGB0ZHxkiHRobGh4gIBkdICggGR8lHRgcIj0hJisrLi8uGiUzPjMtNygtLisBCgoKBQUFDgUFDisZExkrKysrKysrKysrKysrKysrKysrKysrKysrKysrKysrKysrKysrKysrKysrKysrKysrK//AABEIAOIA3wMBIgACEQEDEQH/xAAcAAEAAgMBAQEAAAAAAAAAAAAABgcEBQgDAQL/xABLEAABAwIEAgYDDgIIBAcAAAABAAIDBBEFBhIhBzETIkFRYYEVQnEIFBYjMjZSVHSRk6Gis4LSMzVicpKxstElQ8HwFzQ3RFNjo//EABQBAQAAAAAAAAAAAAAAAAAAAAD/xAAUEQEAAAAAAAAAAAAAAAAAAAAA/9oADAMBAAIRAxEAPwC8UREBERAREQEREBERAREQFH815gly5B0zqfpaZtjLI2UB8YvYnoy3rgCx2dc93apAtHnUXy1LfvZ+6xBtKarbXULZaBzXte3Uwg7OBFxvY2HktXlPHnY/SzOmibEYpnwkCTpLmM6XG+hu17225d3JRr/04xft9F1D/Kikcf0wvJ9jT3X62w4ZG+HVlvr9T+6UExREQEREBERAREQEREBERAREQEREBERAREQEREBERAWizZhNRjNGIsOnihaSC/XC6QnS9rwARI0NB02OxNjsQt6iDEfR+/cLMWLiOTWzTIA0ta64sbNJcQD3XNu9arJOV25Rwl1PSvL2dK57LixaHWs0m/WItz2v3KM4bmp83GSeme49CYeijF9jJEGyvsOWoNlcD29UdysZAREQEREBERAREQEREBERAREQEREBERAREQEREBERAXnUTNpqdz5jZrQXE9wAufyXooXxhxX0Tw8qiPlSNELfHpDpd+jUfJBVGW64uwdmKvADosYc+U/RjqGRiX/No810WqJ4V4T6c4PYnA0Xc+R+kf2mxRPZ+trVa+QcW9OZMpJibl0QDj/ab1H/AKmlBv0REBERAREQEREBERAREQEREBERAREQEREBERAREQFSPulMVtFR0rDzLpnD2DQz/OT7ldy5W404t6W4hVGg3bDaFv8AAOsPxC9BaHucPmfUfaT+1Et3wsHoyoxKgdYe9qpzo2j1YphrjH5E+a0nucPmfUfaT+1Et3U/8G4xxO5MrqVzLd8kB1XPsjsPP2IJ8iIgIiICIiAiIgIiICIiAiIgIiICIiAiIg86mX3vTOdpc7S0nS0XJsL2A7SVEso8SqHNTgykkMcp5RS2Y4/3dy1/Lk0k+CmK58z9SR5Kzq5uK07ajDqsmToyOtG4kdIYn3BY8Eg2BALXNB5AgOg0VfYNDV0OHMnybVNxCjcNTYah1pAN9o6i2xBs3RKOrpIuCpHhGa4cQqehqA+nqP8A4JxoefFnqyjbmwnyQbbEaxuH4fJLUbNjY57j4NBcfyC4srap1dWyS1Bu+Rxe495cST+ZXT/G3FvRXD2cNNnTFsLf4jd36GvXLKDon3OHzPqPtJ/aiW94uD3jhlLXM2NHVRyOPboc7Q9vnqatF7nD5n1H2k/tRKxM14X6by1U0/bLE5rfBxadJ8nWPkg2jXam3byK+qL8MsV9M5Eo5HElwjDHX56o/iyT7dN/NY2b+JVDlW7amTpZh/yYrOcD/aN9LOfrG/cCgmKiWaOIlFlucRTPMs5IaIIQHvuSBY7gNO42JBPYCqcr8/4rxFxUUuXwYGv9SIkEN2u6SbnpHbbSDe1ibKWZCyRBT5uEVKBJHh9nTTEf01S4bAdzIW3IANw473QXGNwvqIgIiICIiAiIgIiICIiAiIgIiIChvFjK3wqyhIyAXmi+Nh7y5oN2/wATbj22PYpkiDlHhpxAlyViNnXkpnn42K/Ls1svsHgeTgLHsLemGe9M3YIx9oqiCQamki4/PdrgduwgjsIXOXGnKvwbze59OLQ1N5Gdwdf4xvk438A8DsWJw14gS5JxGxvJTPPxsV+XZrZfYPA8nAWPYWhYvHXLU1NlaKSkmmkp4ZLujkdrMeoaWuEh67mg9Wzi43fztyoZdmxy0+bMukwubLT1EZFx2hwII72uG4tsQR2ELkjNWBPy3mCamq+cbrA/Sad2u82kHzQXn7nD5n1H2k/tRK1pZRDEXSkBrQSSeQA3JVU+5w+Z9R9pP7USyePeaPQ+WBTUzrS1V2m3ZGPl/wCK4b4gu7kFMYlnepZ75gwOaSKllqJJWtb1XWe7YFw6wFgOqDbc3utRlrAJ8zYuynwhmp7uZ5NYBzc4+q0X5+wC5IB/eV8uT5oxdsGEt1OO5J+Sxva5x7APz5C5IC6nyNkyDJmFdFh41PdYyykdaQj/AEtG9m8hftJJIRyPCoOE+RnnDgJKqSzGuI608ztmNDb/ACQbnQDyB5kkmU5IwD4N5djhkOqU3kmfzL5H7vcT277X7gFHIT8MeJJdzpcN6re59Q7me49GBbvDh4qwUBERAREQEREBERARVvxoywyvwB1bTxtNRTWfvykja67mPHrNAJd5EdpUe4nS0j67B8UA6sj2PlaASXxAxu1OA56Lhu431AdgCC6UUSzxhMWZpaKmnDXNdL0z+V+iiadVncwHPfEwlpBs/mt9W4jT4FSN9/SQwRgWbrc2MADYAA2G2wsEGeihr+JNJO4jBGVVY4GxFNA94B8XuDWW353Xz0ri+J39H0VPStvs+qm6Qkdp6KEbHwLkEzWLiGJQ4ZDqxGWKJvfI9rB97iFGPgpWYhf07idQQTfRStbTNHhrGqQj+ILMw/IOH0Exe2mZJITcyTXmeTyvqkLiDt2IPF3ECkmeW4OKircDYimhfIPxCBH+pPSeKYh/5Cjgp29jqqbW729FCCPIvHkpU1oY2zAAB2BfUEFxnh+/NULW5vrHytadTWQRRwtabEXu4Pedj2uty2VUZx4K1eD6pMCPvqIb6QLStG/qcn9nydz9ELpFEHKXDvPc+Q8Vc2YOdA51poTsQRsXNB+TILWsdjax5AtsHjZhEWaMsQ4rgDhIGCz3N7YydiRzBY8kEHcajfkrJzXkiizZF/xeEF9rCVnVkb3dYcwL8nXHgq9o8k12QJ5Rho9/4dMCJ6blJpIILmsOznhth1T1uRaNiAy/c5ODMmVJeQAKlxJPZ8VGq3xdtRxY4hyeiRdnyWOdcNjiaSA521xckutzu4hSPCm+hskVtBRTMY2eqc0zydQRwdFEXOeHAWeQ4R9F8rUXAbtNsf8A8S6XJmE+9eH0Os+vUzC2t30gzYnw1aQPolBbuXsFouHGXLOeyNuxlmkIaZHeJ/IMHLxJJNe5y46MY10eUoy48unkBAHiyPmfa6245FU1jmO1GYKzpMZmfK/s1HZvg1o6rB4AALXIJhlTiVXZWgLMPfG6MuLiyRgddzuZLhZ5J8XKw8H4/jYY3SHxdC+/3Mfy/wASoxEHVWD8WcLxSw98dE4+rM0st7X7s/UpjR1sdfDqoZGSNPrMcHD7wbLiRe1HWSUM+uie+Nw5OY4tP3jdB24i5UwbivimFWAqTK0erM0SX9rz1/1Kb4Nx/cLDG6QHvdC+33Mff/UgvRFAsH4v4Xidg+Z0Lj6szC373C7B/iUyo66HFaUuoJWSMO2qN4cPJzTsfYUGWirHINM2vZXNxqrq3OgrpYIy6tmYdDNAbcNkaDzO9lL8n0r6SmnD53VELpnOge57pHBlgCxznc9L2vANzdtjdBu6iFtTTuZOAWuBa4HtBFiPuVTZAyw+ujraPGweipGS0UTjuSJn9K5/gQ0QkeBVur4BbkghPCqlqGYC048LSxA0rN79SGR7dW42JPV8RE09q3Ga8nUmbY2DHIy8svocHuaW6rXtpIB+SOYPJb9EFU4pwimZEBl/FKyNo5Mke5wHgCwt0jyKguMZCzBhm8cs87e0w1L3fpcWvPkF0giDjqvxTEcNm04jNXRO+jI+Vh+5xBWN8JKz63VfjP8A5l2RVUrKyEsq2Me082uaHA+R2UNxnhNheKkk0/ROItqhcY7exnyP0oOafhJWfW6r8Z/8yfCSs+t1X4z/AOZW3jPAE7nAqseDJmf5yM/kUFxrhXimEXL6Z0rR60JEl/4R1/0oI98JKz63VfjP/mT4SVn1uq/Gf/MsJ9HJHV9HJG8SEgBhaQ652A02vc9ys/JnBSpxYNkzETTRHfRzlcPYdo/4rkfRQQOjxmvrqlsdFUVkj3bNYySRzj7Gg3KnzsAqcsYQKrPldVRg/wBHSxVDjLKe4vuWxjlci9gew2Bs+vfhvCXLxfTRNa5ws1o3lncN7F53sCbk8m32G4BqfJIn4ncTGz42dUcXxrm76GNaepG0crF5Gx3IDjuboNtUQyYbmikhqjEyqqqVkg6ZvSsEhkl0QydKXOLSwNi1gl+sBwO7gd9gWfMPGIOpc5UEFFUsOl14mGO+3rWuwG9wTdtt9W6ivui3mPO1OYyQRTNII2IIllsQexSR+ERcYsix1EZazEIR0bn8g5zRfS+3qOvqB9UuNvWBCz4MFoqmEPp6elc1wu1zY4yCO8ECxC/fwepPqtN+Ez/ZcsYRmPEMg4q+OnfJE5jrSQv6zCdubDtuLdZu9jsVcmT+NtLimmPMLfe0h217uiJ9vOPzuB9JBYfwepPqtN+Ez/ZPg9SfVab8Jn+yxKvOVFSvDffEcjyLhkN53kHkdEQc6243tZY3wgq67+psPlAP/Mqntp2+3QNcvkWNQbT4PUn1Wm/CZ/svKpwehpIS+qgpGNHNzo42ge0kWC1pwfEcR/rOubA082UkQB/Gm1nzDWr9QZAoWzB9fE6pk+nVPdUH7pCWjyAQaipzHg7ZC3DKeOrkHqUlKJv1Nbo+9y8X0tXif9U4RQUzex9XocSO34qEEg+1ysKGFsEYbA1rWjkGgADyC/aCuHcLjijSMxVWppN+jpaeKmb7C4Nc9w9pCl2WMr0uVaN0eBx6GuOp13OcSbWvdxPYOQ2W5XhW0ceIUro65jJI3fKY9oc0733B2O4QV3w4wqlxmHFnV0MEwdiVQA5zGuu06Ds4i9t77d6luVnQ0sbqXCOtDTgAPDg4AuL3dHt2sbpJv2Pb4p8CcO+oUf4Ef8q2mG4bDhVPowyKOJl76Y2BgueZs0AX2H3IMpERAREQEREBERARFps2416BwN8sbdchsyFnbJI86Y2j2uI8gUGrIGYs8cgYaDtt8qokbyv/APVE7/FKO1qzM7ZvgydhBmxA3cbiOMHrSO7h3AbXd2e0gHUVmLQcMMls9KP6SY3cQD1qiZx1yO8BqdcuPIWHcDzbmrMk+asXdPirruOzWj5LG9jWjsA/PmdygZqzJPmrF3T4q67js1o+SxvY1o7APvPM7ldC8Dcteg8mtlmHxtVaU+DLfFj2aSXfxlUNknLLsczFRsrWvbTzS6ekLXBr9ILnNa/kXEN07HYkLr1rQxoDBYDYAdiDnX3R/wA84Psrf3ZVo+DubfgtmsCqdaCe0ct+TTfqPP8AdJI9jnLee6P+ecH2Vv7sqqhB1NxR4dx5zoddLpZVMHUf2PHPQ/w7j2E+0LmHEKGTDa18VexzJGGzmuFiD/329q6Q4R57ZiuV4Y8YeWSsd0Ie8ENlLQC0CQ9V0mki7b6ja9rFZnFLhzHnGj6Sj0sq2DqO5CQD1H/9HdnsQQr3O2aA10tBVEAm8kJ7/pt8dusB/eV5rjCmmqMrZga4B0VRTyX0uFrFp5EdoI28QfFdfZdxmPMGBw1NF8iVocB9E8nNNu1rgWnxCDYoiICIiAiIgIiICIiAiIgIiICIiAqnztnSCjzK6etOuKguyCIHeeqc3rd9mwscAXEdUydpsDaNc2R1DIKEtEhYdBcLgOsdJI7Re2yqrKXBaOFzZc4Smpkvfow52gEnUbuPWkJO/YLk3BQVaKTE+KmPulax0hvYu3bDCNuqHHZoF76Rdx3O5urcyZwWpcH0yY8RVS89JFomn+56/tdt/ZCs2lpmUdO1lIxrGNFmtaA0AdwA2C9UEG4s0/vbK8VTSt3op4p2tbts1wa4eA0uv5KbxSCWMOjNwRcHvBWJjeHjFsGngl5SxuYfDU0i/ldaPhjXmvyLSmcEPjZ0LweYdETEb+J0X80FO+6P+ecH2Vv7sqqhWv7o/wCecH2Vv7sqrXBcPOLYxDBFzlkbGDztqcG38r3QdP8ACvAm0fDWmirWMeJmGSRrmghwlJcA5p2PULRv3LanBpsJ3y5L1B/7acudH7GSbvh9nXYALBoW+hiEELWxCzWgADuAFgv2gqLiJl2DOtg5ho8TAsxk1miosPktkHUl8C0lw9YDs1HAXMD8KxabC8XDmOLi6Nrti17f6RnmBqty6ru9XXiOHxYpSGLEo2Sxu5te0OB7tj2jvVZZs4UyzYrDVZWqS2WJzS1s5L7aSCLTbyOAtYNfq22uBsgtZF8HLdfUBERAREQEREBERAREQEREBERAREQEREBQzJLfRuZsVpbEATtqWX5EVDLut3ASMdt4qZqIYq30dxJopgDpqYJKZx7NTLTx3HeQJRdBUfuj/nnB9lb+7KtZwHwr0jxAY9w6sEbpT3Xt0bfO77/wrZ+6P+ecH2Vv7sqk/ubsK6LBqqpfe8kgjbcdkbdRI9pkt/CguRERAREQEREBERAREQEREBERAREQEREBERAREQEREBRXiQzosvtqGAl1JNHUC3cx4En/AOTnqVLGxKjbiOHSw1G7JGOY72OBafyKDnz3Rp1Zypy36q392VXHwwwn0NkOjjcLOMYkdfneS8hB9mq3kqRzbSvzNmfBoKi+t0EdPL3h0VRNDKfLQ4rpZrdLQG8gg+oiICIiAiIgIiICIiAiIgIiICIiAiIgIiICIiAiIgIi/EsghiLpSA1ouSTYADcknsCCq8Ly45vHSV8g+KiidPH4Gfqkecjp3ferXUdq80w0VG6oqIKkRdGHiYQl2pti4bNu9gAJPxjWgX7N1uMKrm4phcM9OCGyxtkaHbEB7Q4XAJF7HvQZSIiAiIgIiICIiAiIgIiICIiAiIgIiICIiAiIgIiICwsaw9mLYRNBWfIlY5jiNrBwte/hzWasbE6c1eHSxstd7HNF+W7SN/vQVHh+ZsQyJKKTPkJmoQ3oxVMYXBrbaG6iPlDkC1wD979ba9r4GIRgsAwi3QCJgisSeoGgM3duerbnuo9SUGIVGBvpcdZRSNMZi6bpJCX9XSHPg6PcnmQJBvyI7N/gGEswLBYaekLiyJgaC43JtzJ9p37u5BsEREBERAREQEREBERAREQEREBERAREQEREBERAREQEREBERAREQEREBERAREQEREBERB//2Q==">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9252857"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16</xdr:row>
      <xdr:rowOff>0</xdr:rowOff>
    </xdr:from>
    <xdr:ext cx="304800" cy="304800"/>
    <xdr:sp macro="" textlink="">
      <xdr:nvSpPr>
        <xdr:cNvPr id="16" name="AutoShape 1" descr="data:image/jpeg;base64,/9j/4AAQSkZJRgABAQAAAQABAAD/2wCEAAkGBwgHBhIIBxEQExIVFh4VFBYYGBYYFRcXFRsfGB8WGRgZIykgGBolHBcfITUjJy0rOi8vFyszRDMsNyg5OisBCgoKDg0OGxAQGzQiICU3NzQsNiwrLzQsLC0wNDIsNCwtMjctLDUsLCw3Mi8sLCwsLC0sLDAsLyw4NSw0LCwsLP/AABEIAMIBBAMBIgACEQEDEQH/xAAcAAEAAwACAwAAAAAAAAAAAAAABQYHBAgBAgP/xABIEAACAQEEAwgNCwQBBQAAAAAAAQIDBAUGEQcSIRcxQVFScZPSExQVIjZUYXOBkZKxshYjMzQ1QlN0s8HRMnKC4qElY6Kj4f/EABkBAQADAQEAAAAAAAAAAAAAAAABAgMEBf/EAC0RAQACAAMHAwMEAwAAAAAAAAABAgMREgQTFCExUVIyQfBxgZEiMzTRI2HB/9oADAMBAAIRAxEAPwDcQAAAAAAAAAAAAAAAAAAAAAAAAAAAAAAAAAAAAAAAAAAAAAAAAAAAAAAAAAAAAAAAROJsQ2DDV29vXi5ZOShGMVnKUnm9WKeS3k3zIp0tMNyp97Z7W/RT65UtLt+yvbEquyy5yhZ+8SX3q08tbLja2R50y43XonuON3U1eaqyraq7I41Go6+W1JLgT2HXGHh0pE4nWWeq0zyfLdiufxe1f+vrFpwjiywYrss61gVSLptKcJpKSz2p7G008n6ijY6wDh+48MVrfYY1VVjq6udSUltnGLzT8jPbQR9Hbeel7pi9MKcOb09iJtqylqwAORoAAAAAAAAAAAAAAAAAAAAAAAAAAAAAAAAAAAQ2ML7hh7D1a8XlrRjlTT+9UlsiubPa/ImTJimmi/8Aty+IXPQecKC1qmXDVmt7/GL/APN8RrgYeu8QracocPRNck76xQ7xtecoUPnZN/erSb1c+N55z50uM3aUlGOtIrejy4Pk9hinZ6qyqz+drcevP7v+Kyj/AIk7bnlQ9JbaMTXf/SKRlCi6VrfGnhOrGpv1ZQpwXNJT90GcDQVZ6kbBa7S13sqkILyuEW38aIbTJapu1Wax/dUZVOeTaivUk/WaHo1sELBgmyxhvzh2aT8tXv8A/hNL0Gk/p2f6/P8AiOt1nAByNAAAAAAAAAAAAAAAAAAAAAAAAAAAAAAAAAAAR2Ib2o3Hcta8rRvU45pcqW9GPO5NL0mI6OrprYnxj23bu/jTl2xWb3pTbzjH0z25cUWiwabb+7JaaVxUXsh87W/ua7yL5lnL0ot+i24O4eGI1Kyyq1/nanGk13sPRHg45M7K/wCLB1e8sp/VbLsuBxLwfzaXlOWcK8Xtiuc42rG9Mf2zZ/Mv42atgjwOsP5an8CMp0x/bNn8y/jZq2CPA6w/lqfwI68X9mrOvqlNgA5GgAAAAAAAAAAAAAAAAAAAAAHiUowi5SaSW1t7yR5ITG7awfbWvF6nwsmsZzkS+LxxhZPLt6ze2mvWt88fLnC3j1n9o6+3ZYJXhUlCMlHJZ72fkJH5N1PxV7L/AJO+dkw492O8luPy5wt49Z/aHy5wt49Z/aMO+TdT8Vey/wCR8m6n4q9l/wAkcLh9zeS3H5c4W8es/tExdt42K9bKrVdtWFWm21rQaazW+tm8/IdbbwuadiszryqKWTSyya3/AEmhaHb4u26bjtTvOvRpJ101rzjFvvIrNJ7XvZFMXZq1rnWc01xM55taIrEl/wBhw5dkrdeEsktkIrLWqS4IRXC/ctpT8QaWbpscHTuWMrRU4JNOFJPnffS9C9Jndns2I9Id9dkk3Ua2Sm+9o0Yvbklwf2rNv/kph7PM878oTa/tD6YUu+vjXG/ZbctaMpuvaOFaqeyHM3lBLiz4jsLvbxCYSwzYcL3Z2pY++k9tSo/6py43xJcC4PfNlcfF125dITSuUBxrVZ5VmpRa2HJBgux/S7cd62i32e1WWhVqwUHBunFzylrZ7VHNpNPf8hWbNeGO7JZo2azd0owhFRjFUamUYxWSS7zeSOwwOmm05Vis1zZzTOc83X7uxpB5V59DPqDuxpB5V59DPqHYEFuJjwg3c93X7uxpB5V59DPqDuxpB5V59DPqHYEDiY8IN3Pd1+7saQeVefQz6g7saQeVefQz6h2BA4mPCDdz3dfu7GkHlXn0M+oO7GkHlXn0M+odgQOJjwg3c93X7uxpB5V59DPqDuxpB5V59DPqHYEDiY8IN3Pdgl2aQsVXFbtS83OqtjlSrx1JZcaeSlHnaa8hqmFccXPiXKjZ5OnXyzdGeSns39V701zepEpftwXXf9m7BetKM191704+WMltiYXhqzQsOkqjZKLerTtcqcW9/KMpRWeXDki2WHjVmYjKYRzrLsOADiagAAAAAQeOPA62/l6nwsnCDxx4HW38vU+FlqeqET0YJhiUY2ies0u9XvLF2anyl6yq3J9NLm/clz1rRzcyT7NT5S9Y7NT5S9ZGAjIecQVISuySi09q954wdgi3YsoVK9kq0qcac9SWtrN5tKWxJbVk+M4d6/Unzr3mj6CvsW1efX6cSuJaaYczC1Yzl9rk0R3VZJKpe9WpaGvupdjp+lJuT9o0CxWOzWCzRs1ipwp047IxilGK9CPuDzb4lr+qW8ViOgACiQAAAAAAAAGcabrVaKFw0KVCcoqdbKeTa1lGLaTy4M9uXkM5ubCeJb7sCt12U5TpttKXZYR2xeT2Sknvo6cPZ4tTVNslJvlOWTsaDANzzGf4EunpdcbnmM/wJdPS65PD084+fdGuezfwYBueYz/Al09Lrjc8xn+BLp6XXHD084+fc1z2b+DANzzGf4EunpdcbnmM/wACXT0uuOHp5x8+5rns2LEuLbnw3TzvGotfLONKPfVJf48C8ryRimFrR3R0kUbXSi12S1SqKO+0pOU9uXEvcS9y6Kb9ttqzvdxs8PvPWjUqS/tUW16W/QzVsN4UufDdLVu2ktdrKVSXfVJc8uBeRZLyF9WHhVmInOZRla0802ADiagAAAAAQeOPA62/l6nwsnCDxx4HW38vU+FlqeqET0dfLk+mlzfuS5EXJ9NLm/clz17dXMAAgcO9fqT517zRtBT/AOk2tf8AeXwIzm9fqT517zRtBX2Va/PR+BGW0ftStT1NOAB5joAAAAAAAAAABmWnT7Gsvnn8DJfQ74C0vOVf1GRGnT7Gsvnn8DJfQ74C0vOVf1Gddv48fX+2cetdgAcjQAAAAAAAAAAAAAAAAIPHHgdbfy9T4WThB448Drb+XqfCy1PVCJ6OvlyfTS5v3JciLk+mlzfuS569urmAAQOHev1J8695o2gr7Ktfno/AjOb1+pPnXvL1oXqzhdtqUHl87H4f/hltH7UrU9TWgRfbFblMdsVuUzzHQlAR1O11Iy7/AGo51KrCrHODA9wAAAAAA4NqtOt3lPe4WBnmnGtGd1WaMeCs9v8Agyb0O+AtLzlX9Rlb0yfZFm88/gZZNDvgLS85V/UZ12/jx9f7Zx612AByNAAAAAAAAAAAAAAAAAg8ceB1t/L1PhZOEHjjwOtv5ep8LLU9UIno6+XJ9NLm/clyAsFqVlm5STeayOb3XhyJetHsTE5uZJAje68ORL1od14ciXrRGUj7Xr9SfOvec7BeMI4Ys9Wk6Dq9kkpf16mWqmuS898hbZeEbRQdNRa9PEXvRNhe5r/u20V72oqpKFVRi9aayjqReWUWk9rKYumKTrjkmuefJ7brEfEn03+h6PSxLPZY103+hfdzvCfikfbq9Y9lo+woll2nT9c/5OTXs/jPz7tcr90HhTHFgxBU7WqLsNfgg5Zqf9kslm/JknzlrjKUXnF5GT450cWq5G7wuTXq2dPWcd+rRy257NsorjW1cOe+fbCGkfsNNWTEbcopd7XScpZcU1HNy/uXp4xfAi0asPnHYi2XKzVezVeU/WeOzVeVL1sqW6JhbxiXQ1+oN0TC3jEuhr9Qx3OJ4z+FtUd1t7NV5UvWx2WpypetlS3RMLeMS6Gv1BuiYW8Yl0NfqDc4njP4NUd1sdSbWTb9bPUqu6JhbxiXQ1+oUzG+PJ3qnd1yuUaD2Tnk1Orn91J7Yw8m+/It+1NnvacsskTeIedKGJbDe1SF3WB66oycp1E+8cstXVjxpcL95ouiay17LgejG0xcXKU5pPY9Wc208vKtvpKxo70b6jhe2I4bf6qVB8HFOouPijwcO3YtXL416xWMOvsisTnqkABytAAAAAAAAAAAAAAAAA9K1KnXpSpVkpRkmpJ7U09jTXCj3AFPloywlKWfa8l5FVq5ejvjxuY4T8Xn0tbrFxBpvsTyn8q6Y7KduY4T8Xn0tbrDcxwn4vPpa3WLiBvsTyn8mmOynbmOE/F59LW6xYbkuW7rhsfal1U1ThnrNZttyezNt5tvJJbeIkARbEtblMpiIgABRIUTEei6574tztllnOzSltmoKLhJv72q/wCl82/xZl7Bal7UnOsomInqy7casfjlb2IfyNxqx+OVvYh/JqINeIxO6uirLtxqx+OVvYh/I3GrH45W9iH8mogcRidzRVl241Y/HK3sQ/km8K6Nrqw/b+3qk5Wiovo3NRUYPlKK35eV73BkXYETj4kxlMpikQAAxWAAAAAAAAAAAAAAAAAAAAAAAAAAAAAAAAAAAAAAAAAAAAAAAAAAAAAAAAAAAAAAAAAAAAAAAAAAAAAAAAAAAAAAAAAAAAAAAAAAAAAAAAAAAAAAAAAAAAAAAAAAAAAAAAAAAAAAAAAAAAAAAAAAAAAAAAf/2Q==">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9252857" y="19390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16</xdr:row>
      <xdr:rowOff>0</xdr:rowOff>
    </xdr:from>
    <xdr:ext cx="304800" cy="304800"/>
    <xdr:sp macro="" textlink="">
      <xdr:nvSpPr>
        <xdr:cNvPr id="17" name="AutoShape 2" descr="data:image/jpeg;base64,/9j/4AAQSkZJRgABAQAAAQABAAD/2wCEAAkGBxQHBhMUBxQTFhUXGCEaGBgYGB0ZHxkiHRobGh4gIBkdICggGR8lHRgcIj0hJisrLi8uGiUzPjMtNygtLisBCgoKBQUFDgUFDisZExkrKysrKysrKysrKysrKysrKysrKysrKysrKysrKysrKysrKysrKysrKysrKysrKysrK//AABEIAOIA3wMBIgACEQEDEQH/xAAcAAEAAgMBAQEAAAAAAAAAAAAABgcEBQgDAQL/xABLEAABAwIEAgYDDgIIBAcAAAABAAIDBBEFBhIhBzETIkFRYYEVQnEIFBYjMjZSVHSRk6Gis4LSMzVicpKxstElQ8HwFzQ3RFNjo//EABQBAQAAAAAAAAAAAAAAAAAAAAD/xAAUEQEAAAAAAAAAAAAAAAAAAAAA/9oADAMBAAIRAxEAPwC8UREBERAREQEREBERAREQFH815gly5B0zqfpaZtjLI2UB8YvYnoy3rgCx2dc93apAtHnUXy1LfvZ+6xBtKarbXULZaBzXte3Uwg7OBFxvY2HktXlPHnY/SzOmibEYpnwkCTpLmM6XG+hu17225d3JRr/04xft9F1D/Kikcf0wvJ9jT3X62w4ZG+HVlvr9T+6UExREQEREBERAREQEREBERAREQEREBERAREQEREBERAWizZhNRjNGIsOnihaSC/XC6QnS9rwARI0NB02OxNjsQt6iDEfR+/cLMWLiOTWzTIA0ta64sbNJcQD3XNu9arJOV25Rwl1PSvL2dK57LixaHWs0m/WItz2v3KM4bmp83GSeme49CYeijF9jJEGyvsOWoNlcD29UdysZAREQEREBERAREQEREBERAREQEREBERAREQEREBERAXnUTNpqdz5jZrQXE9wAufyXooXxhxX0Tw8qiPlSNELfHpDpd+jUfJBVGW64uwdmKvADosYc+U/RjqGRiX/No810WqJ4V4T6c4PYnA0Xc+R+kf2mxRPZ+trVa+QcW9OZMpJibl0QDj/ab1H/AKmlBv0REBERAREQEREBERAREQEREBERAREQEREBERAREQFSPulMVtFR0rDzLpnD2DQz/OT7ldy5W404t6W4hVGg3bDaFv8AAOsPxC9BaHucPmfUfaT+1Et3wsHoyoxKgdYe9qpzo2j1YphrjH5E+a0nucPmfUfaT+1Et3U/8G4xxO5MrqVzLd8kB1XPsjsPP2IJ8iIgIiICIiAiIgIiICIiAiIgIiICIiAiIg86mX3vTOdpc7S0nS0XJsL2A7SVEso8SqHNTgykkMcp5RS2Y4/3dy1/Lk0k+CmK58z9SR5Kzq5uK07ajDqsmToyOtG4kdIYn3BY8Eg2BALXNB5AgOg0VfYNDV0OHMnybVNxCjcNTYah1pAN9o6i2xBs3RKOrpIuCpHhGa4cQqehqA+nqP8A4JxoefFnqyjbmwnyQbbEaxuH4fJLUbNjY57j4NBcfyC4srap1dWyS1Bu+Rxe495cST+ZXT/G3FvRXD2cNNnTFsLf4jd36GvXLKDon3OHzPqPtJ/aiW94uD3jhlLXM2NHVRyOPboc7Q9vnqatF7nD5n1H2k/tRKxM14X6by1U0/bLE5rfBxadJ8nWPkg2jXam3byK+qL8MsV9M5Eo5HElwjDHX56o/iyT7dN/NY2b+JVDlW7amTpZh/yYrOcD/aN9LOfrG/cCgmKiWaOIlFlucRTPMs5IaIIQHvuSBY7gNO42JBPYCqcr8/4rxFxUUuXwYGv9SIkEN2u6SbnpHbbSDe1ibKWZCyRBT5uEVKBJHh9nTTEf01S4bAdzIW3IANw473QXGNwvqIgIiICIiAiIgIiICIiAiIgIiIChvFjK3wqyhIyAXmi+Nh7y5oN2/wATbj22PYpkiDlHhpxAlyViNnXkpnn42K/Ls1svsHgeTgLHsLemGe9M3YIx9oqiCQamki4/PdrgduwgjsIXOXGnKvwbze59OLQ1N5Gdwdf4xvk438A8DsWJw14gS5JxGxvJTPPxsV+XZrZfYPA8nAWPYWhYvHXLU1NlaKSkmmkp4ZLujkdrMeoaWuEh67mg9Wzi43fztyoZdmxy0+bMukwubLT1EZFx2hwII72uG4tsQR2ELkjNWBPy3mCamq+cbrA/Sad2u82kHzQXn7nD5n1H2k/tRK1pZRDEXSkBrQSSeQA3JVU+5w+Z9R9pP7USyePeaPQ+WBTUzrS1V2m3ZGPl/wCK4b4gu7kFMYlnepZ75gwOaSKllqJJWtb1XWe7YFw6wFgOqDbc3utRlrAJ8zYuynwhmp7uZ5NYBzc4+q0X5+wC5IB/eV8uT5oxdsGEt1OO5J+Sxva5x7APz5C5IC6nyNkyDJmFdFh41PdYyykdaQj/AEtG9m8hftJJIRyPCoOE+RnnDgJKqSzGuI608ztmNDb/ACQbnQDyB5kkmU5IwD4N5djhkOqU3kmfzL5H7vcT277X7gFHIT8MeJJdzpcN6re59Q7me49GBbvDh4qwUBERAREQEREBERARVvxoywyvwB1bTxtNRTWfvykja67mPHrNAJd5EdpUe4nS0j67B8UA6sj2PlaASXxAxu1OA56Lhu431AdgCC6UUSzxhMWZpaKmnDXNdL0z+V+iiadVncwHPfEwlpBs/mt9W4jT4FSN9/SQwRgWbrc2MADYAA2G2wsEGeihr+JNJO4jBGVVY4GxFNA94B8XuDWW353Xz0ri+J39H0VPStvs+qm6Qkdp6KEbHwLkEzWLiGJQ4ZDqxGWKJvfI9rB97iFGPgpWYhf07idQQTfRStbTNHhrGqQj+ILMw/IOH0Exe2mZJITcyTXmeTyvqkLiDt2IPF3ECkmeW4OKircDYimhfIPxCBH+pPSeKYh/5Cjgp29jqqbW729FCCPIvHkpU1oY2zAAB2BfUEFxnh+/NULW5vrHytadTWQRRwtabEXu4Pedj2uty2VUZx4K1eD6pMCPvqIb6QLStG/qcn9nydz9ELpFEHKXDvPc+Q8Vc2YOdA51poTsQRsXNB+TILWsdjax5AtsHjZhEWaMsQ4rgDhIGCz3N7YydiRzBY8kEHcajfkrJzXkiizZF/xeEF9rCVnVkb3dYcwL8nXHgq9o8k12QJ5Rho9/4dMCJ6blJpIILmsOznhth1T1uRaNiAy/c5ODMmVJeQAKlxJPZ8VGq3xdtRxY4hyeiRdnyWOdcNjiaSA521xckutzu4hSPCm+hskVtBRTMY2eqc0zydQRwdFEXOeHAWeQ4R9F8rUXAbtNsf8A8S6XJmE+9eH0Os+vUzC2t30gzYnw1aQPolBbuXsFouHGXLOeyNuxlmkIaZHeJ/IMHLxJJNe5y46MY10eUoy48unkBAHiyPmfa6245FU1jmO1GYKzpMZmfK/s1HZvg1o6rB4AALXIJhlTiVXZWgLMPfG6MuLiyRgddzuZLhZ5J8XKw8H4/jYY3SHxdC+/3Mfy/wASoxEHVWD8WcLxSw98dE4+rM0st7X7s/UpjR1sdfDqoZGSNPrMcHD7wbLiRe1HWSUM+uie+Nw5OY4tP3jdB24i5UwbivimFWAqTK0erM0SX9rz1/1Kb4Nx/cLDG6QHvdC+33Mff/UgvRFAsH4v4Xidg+Z0Lj6szC373C7B/iUyo66HFaUuoJWSMO2qN4cPJzTsfYUGWirHINM2vZXNxqrq3OgrpYIy6tmYdDNAbcNkaDzO9lL8n0r6SmnD53VELpnOge57pHBlgCxznc9L2vANzdtjdBu6iFtTTuZOAWuBa4HtBFiPuVTZAyw+ujraPGweipGS0UTjuSJn9K5/gQ0QkeBVur4BbkghPCqlqGYC048LSxA0rN79SGR7dW42JPV8RE09q3Ga8nUmbY2DHIy8svocHuaW6rXtpIB+SOYPJb9EFU4pwimZEBl/FKyNo5Mke5wHgCwt0jyKguMZCzBhm8cs87e0w1L3fpcWvPkF0giDjqvxTEcNm04jNXRO+jI+Vh+5xBWN8JKz63VfjP8A5l2RVUrKyEsq2Me082uaHA+R2UNxnhNheKkk0/ROItqhcY7exnyP0oOafhJWfW6r8Z/8yfCSs+t1X4z/AOZW3jPAE7nAqseDJmf5yM/kUFxrhXimEXL6Z0rR60JEl/4R1/0oI98JKz63VfjP/mT4SVn1uq/Gf/MsJ9HJHV9HJG8SEgBhaQ652A02vc9ys/JnBSpxYNkzETTRHfRzlcPYdo/4rkfRQQOjxmvrqlsdFUVkj3bNYySRzj7Gg3KnzsAqcsYQKrPldVRg/wBHSxVDjLKe4vuWxjlci9gew2Bs+vfhvCXLxfTRNa5ws1o3lncN7F53sCbk8m32G4BqfJIn4ncTGz42dUcXxrm76GNaepG0crF5Gx3IDjuboNtUQyYbmikhqjEyqqqVkg6ZvSsEhkl0QydKXOLSwNi1gl+sBwO7gd9gWfMPGIOpc5UEFFUsOl14mGO+3rWuwG9wTdtt9W6ivui3mPO1OYyQRTNII2IIllsQexSR+ERcYsix1EZazEIR0bn8g5zRfS+3qOvqB9UuNvWBCz4MFoqmEPp6elc1wu1zY4yCO8ECxC/fwepPqtN+Ez/ZcsYRmPEMg4q+OnfJE5jrSQv6zCdubDtuLdZu9jsVcmT+NtLimmPMLfe0h217uiJ9vOPzuB9JBYfwepPqtN+Ez/ZPg9SfVab8Jn+yxKvOVFSvDffEcjyLhkN53kHkdEQc6243tZY3wgq67+psPlAP/Mqntp2+3QNcvkWNQbT4PUn1Wm/CZ/svKpwehpIS+qgpGNHNzo42ge0kWC1pwfEcR/rOubA082UkQB/Gm1nzDWr9QZAoWzB9fE6pk+nVPdUH7pCWjyAQaipzHg7ZC3DKeOrkHqUlKJv1Nbo+9y8X0tXif9U4RQUzex9XocSO34qEEg+1ysKGFsEYbA1rWjkGgADyC/aCuHcLjijSMxVWppN+jpaeKmb7C4Nc9w9pCl2WMr0uVaN0eBx6GuOp13OcSbWvdxPYOQ2W5XhW0ceIUro65jJI3fKY9oc0733B2O4QV3w4wqlxmHFnV0MEwdiVQA5zGuu06Ds4i9t77d6luVnQ0sbqXCOtDTgAPDg4AuL3dHt2sbpJv2Pb4p8CcO+oUf4Ef8q2mG4bDhVPowyKOJl76Y2BgueZs0AX2H3IMpERAREQEREBERARFps2416BwN8sbdchsyFnbJI86Y2j2uI8gUGrIGYs8cgYaDtt8qokbyv/APVE7/FKO1qzM7ZvgydhBmxA3cbiOMHrSO7h3AbXd2e0gHUVmLQcMMls9KP6SY3cQD1qiZx1yO8BqdcuPIWHcDzbmrMk+asXdPirruOzWj5LG9jWjsA/PmdygZqzJPmrF3T4q67js1o+SxvY1o7APvPM7ldC8Dcteg8mtlmHxtVaU+DLfFj2aSXfxlUNknLLsczFRsrWvbTzS6ekLXBr9ILnNa/kXEN07HYkLr1rQxoDBYDYAdiDnX3R/wA84Psrf3ZVo+DubfgtmsCqdaCe0ct+TTfqPP8AdJI9jnLee6P+ecH2Vv7sqqhB1NxR4dx5zoddLpZVMHUf2PHPQ/w7j2E+0LmHEKGTDa18VexzJGGzmuFiD/329q6Q4R57ZiuV4Y8YeWSsd0Ie8ENlLQC0CQ9V0mki7b6ja9rFZnFLhzHnGj6Sj0sq2DqO5CQD1H/9HdnsQQr3O2aA10tBVEAm8kJ7/pt8dusB/eV5rjCmmqMrZga4B0VRTyX0uFrFp5EdoI28QfFdfZdxmPMGBw1NF8iVocB9E8nNNu1rgWnxCDYoiICIiAiIgIiICIiAiIgIiICIiAqnztnSCjzK6etOuKguyCIHeeqc3rd9mwscAXEdUydpsDaNc2R1DIKEtEhYdBcLgOsdJI7Re2yqrKXBaOFzZc4Smpkvfow52gEnUbuPWkJO/YLk3BQVaKTE+KmPulax0hvYu3bDCNuqHHZoF76Rdx3O5urcyZwWpcH0yY8RVS89JFomn+56/tdt/ZCs2lpmUdO1lIxrGNFmtaA0AdwA2C9UEG4s0/vbK8VTSt3op4p2tbts1wa4eA0uv5KbxSCWMOjNwRcHvBWJjeHjFsGngl5SxuYfDU0i/ldaPhjXmvyLSmcEPjZ0LweYdETEb+J0X80FO+6P+ecH2Vv7sqqhWv7o/wCecH2Vv7sqrXBcPOLYxDBFzlkbGDztqcG38r3QdP8ACvAm0fDWmirWMeJmGSRrmghwlJcA5p2PULRv3LanBpsJ3y5L1B/7acudH7GSbvh9nXYALBoW+hiEELWxCzWgADuAFgv2gqLiJl2DOtg5ho8TAsxk1miosPktkHUl8C0lw9YDs1HAXMD8KxabC8XDmOLi6Nrti17f6RnmBqty6ru9XXiOHxYpSGLEo2Sxu5te0OB7tj2jvVZZs4UyzYrDVZWqS2WJzS1s5L7aSCLTbyOAtYNfq22uBsgtZF8HLdfUBERAREQEREBERAREQEREBERAREQEREBQzJLfRuZsVpbEATtqWX5EVDLut3ASMdt4qZqIYq30dxJopgDpqYJKZx7NTLTx3HeQJRdBUfuj/nnB9lb+7KtZwHwr0jxAY9w6sEbpT3Xt0bfO77/wrZ+6P+ecH2Vv7sqk/ubsK6LBqqpfe8kgjbcdkbdRI9pkt/CguRERAREQEREBERAREQEREBERAREQEREBERAREQEREBRXiQzosvtqGAl1JNHUC3cx4En/AOTnqVLGxKjbiOHSw1G7JGOY72OBafyKDnz3Rp1Zypy36q392VXHwwwn0NkOjjcLOMYkdfneS8hB9mq3kqRzbSvzNmfBoKi+t0EdPL3h0VRNDKfLQ4rpZrdLQG8gg+oiICIiAiIgIiICIiAiIgIiICIiAiIgIiICIiAiIgIi/EsghiLpSA1ouSTYADcknsCCq8Ly45vHSV8g+KiidPH4Gfqkecjp3ferXUdq80w0VG6oqIKkRdGHiYQl2pti4bNu9gAJPxjWgX7N1uMKrm4phcM9OCGyxtkaHbEB7Q4XAJF7HvQZSIiAiIgIiICIiAiIgIiICIiAiIgIiICIiAiIgIiICwsaw9mLYRNBWfIlY5jiNrBwte/hzWasbE6c1eHSxstd7HNF+W7SN/vQVHh+ZsQyJKKTPkJmoQ3oxVMYXBrbaG6iPlDkC1wD979ba9r4GIRgsAwi3QCJgisSeoGgM3duerbnuo9SUGIVGBvpcdZRSNMZi6bpJCX9XSHPg6PcnmQJBvyI7N/gGEswLBYaekLiyJgaC43JtzJ9p37u5BsEREBERAREQEREBERAREQEREBERAREQEREBERAREQEREBERAREQEREBERAREQEREBERB//2Q==">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9252857" y="19390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xdr:row>
      <xdr:rowOff>0</xdr:rowOff>
    </xdr:from>
    <xdr:ext cx="304800" cy="304800"/>
    <xdr:sp macro="" textlink="">
      <xdr:nvSpPr>
        <xdr:cNvPr id="18" name="AutoShape 1" descr="data:image/jpeg;base64,/9j/4AAQSkZJRgABAQAAAQABAAD/2wCEAAkGBwgHBhIIBxEQExIVFh4VFBYYGBYYFRcXFRsfGB8WGRgZIykgGBolHBcfITUjJy0rOi8vFyszRDMsNyg5OisBCgoKDg0OGxAQGzQiICU3NzQsNiwrLzQsLC0wNDIsNCwtMjctLDUsLCw3Mi8sLCwsLC0sLDAsLyw4NSw0LCwsLP/AABEIAMIBBAMBIgACEQEDEQH/xAAcAAEAAwACAwAAAAAAAAAAAAAABQYHBAgBAgP/xABIEAACAQEEAwgNCwQBBQAAAAAAAQIDBAUGEQcSIRcxQVFScZPSExQVIjZUYXOBkZKxshYjMzQ1QlN0s8HRMnKC4qElY6Kj4f/EABkBAQADAQEAAAAAAAAAAAAAAAABAgMEBf/EAC0RAQACAAMHAwMEAwAAAAAAAAABAgMREgQTFCExUVIyQfBxgZEiMzTRI2HB/9oADAMBAAIRAxEAPwDcQAAAAAAAAAAAAAAAAAAAAAAAAAAAAAAAAAAAAAAAAAAAAAAAAAAAAAAAAAAAAAAAROJsQ2DDV29vXi5ZOShGMVnKUnm9WKeS3k3zIp0tMNyp97Z7W/RT65UtLt+yvbEquyy5yhZ+8SX3q08tbLja2R50y43XonuON3U1eaqyraq7I41Go6+W1JLgT2HXGHh0pE4nWWeq0zyfLdiufxe1f+vrFpwjiywYrss61gVSLptKcJpKSz2p7G008n6ijY6wDh+48MVrfYY1VVjq6udSUltnGLzT8jPbQR9Hbeel7pi9MKcOb09iJtqylqwAORoAAAAAAAAAAAAAAAAAAAAAAAAAAAAAAAAAAAQ2ML7hh7D1a8XlrRjlTT+9UlsiubPa/ImTJimmi/8Aty+IXPQecKC1qmXDVmt7/GL/APN8RrgYeu8QracocPRNck76xQ7xtecoUPnZN/erSb1c+N55z50uM3aUlGOtIrejy4Pk9hinZ6qyqz+drcevP7v+Kyj/AIk7bnlQ9JbaMTXf/SKRlCi6VrfGnhOrGpv1ZQpwXNJT90GcDQVZ6kbBa7S13sqkILyuEW38aIbTJapu1Wax/dUZVOeTaivUk/WaHo1sELBgmyxhvzh2aT8tXv8A/hNL0Gk/p2f6/P8AiOt1nAByNAAAAAAAAAAAAAAAAAAAAAAAAAAAAAAAAAAAR2Ib2o3Hcta8rRvU45pcqW9GPO5NL0mI6OrprYnxj23bu/jTl2xWb3pTbzjH0z25cUWiwabb+7JaaVxUXsh87W/ua7yL5lnL0ot+i24O4eGI1Kyyq1/nanGk13sPRHg45M7K/wCLB1e8sp/VbLsuBxLwfzaXlOWcK8Xtiuc42rG9Mf2zZ/Mv42atgjwOsP5an8CMp0x/bNn8y/jZq2CPA6w/lqfwI68X9mrOvqlNgA5GgAAAAAAAAAAAAAAAAAAAAAHiUowi5SaSW1t7yR5ITG7awfbWvF6nwsmsZzkS+LxxhZPLt6ze2mvWt88fLnC3j1n9o6+3ZYJXhUlCMlHJZ72fkJH5N1PxV7L/AJO+dkw492O8luPy5wt49Z/aHy5wt49Z/aMO+TdT8Vey/wCR8m6n4q9l/wAkcLh9zeS3H5c4W8es/tExdt42K9bKrVdtWFWm21rQaazW+tm8/IdbbwuadiszryqKWTSyya3/AEmhaHb4u26bjtTvOvRpJ101rzjFvvIrNJ7XvZFMXZq1rnWc01xM55taIrEl/wBhw5dkrdeEsktkIrLWqS4IRXC/ctpT8QaWbpscHTuWMrRU4JNOFJPnffS9C9Jndns2I9Id9dkk3Ua2Sm+9o0Yvbklwf2rNv/kph7PM878oTa/tD6YUu+vjXG/ZbctaMpuvaOFaqeyHM3lBLiz4jsLvbxCYSwzYcL3Z2pY++k9tSo/6py43xJcC4PfNlcfF125dITSuUBxrVZ5VmpRa2HJBgux/S7cd62i32e1WWhVqwUHBunFzylrZ7VHNpNPf8hWbNeGO7JZo2azd0owhFRjFUamUYxWSS7zeSOwwOmm05Vis1zZzTOc83X7uxpB5V59DPqDuxpB5V59DPqHYEFuJjwg3c93X7uxpB5V59DPqDuxpB5V59DPqHYEDiY8IN3Pd1+7saQeVefQz6g7saQeVefQz6h2BA4mPCDdz3dfu7GkHlXn0M+oO7GkHlXn0M+odgQOJjwg3c93X7uxpB5V59DPqDuxpB5V59DPqHYEDiY8IN3Pdgl2aQsVXFbtS83OqtjlSrx1JZcaeSlHnaa8hqmFccXPiXKjZ5OnXyzdGeSns39V701zepEpftwXXf9m7BetKM191704+WMltiYXhqzQsOkqjZKLerTtcqcW9/KMpRWeXDki2WHjVmYjKYRzrLsOADiagAAAAAQeOPA62/l6nwsnCDxx4HW38vU+FlqeqET0YJhiUY2ies0u9XvLF2anyl6yq3J9NLm/clz1rRzcyT7NT5S9Y7NT5S9ZGAjIecQVISuySi09q954wdgi3YsoVK9kq0qcac9SWtrN5tKWxJbVk+M4d6/Unzr3mj6CvsW1efX6cSuJaaYczC1Yzl9rk0R3VZJKpe9WpaGvupdjp+lJuT9o0CxWOzWCzRs1ipwp047IxilGK9CPuDzb4lr+qW8ViOgACiQAAAAAAAAGcabrVaKFw0KVCcoqdbKeTa1lGLaTy4M9uXkM5ubCeJb7sCt12U5TpttKXZYR2xeT2Sknvo6cPZ4tTVNslJvlOWTsaDANzzGf4EunpdcbnmM/wJdPS65PD084+fdGuezfwYBueYz/Al09Lrjc8xn+BLp6XXHD084+fc1z2b+DANzzGf4EunpdcbnmM/wACXT0uuOHp5x8+5rns2LEuLbnw3TzvGotfLONKPfVJf48C8ryRimFrR3R0kUbXSi12S1SqKO+0pOU9uXEvcS9y6Kb9ttqzvdxs8PvPWjUqS/tUW16W/QzVsN4UufDdLVu2ktdrKVSXfVJc8uBeRZLyF9WHhVmInOZRla0802ADiagAAAAAQeOPA62/l6nwsnCDxx4HW38vU+FlqeqET0dfLk+mlzfuS5EXJ9NLm/clz17dXMAAgcO9fqT517zRtBT/AOk2tf8AeXwIzm9fqT517zRtBX2Va/PR+BGW0ftStT1NOAB5joAAAAAAAAAABmWnT7Gsvnn8DJfQ74C0vOVf1GRGnT7Gsvnn8DJfQ74C0vOVf1Gddv48fX+2cetdgAcjQAAAAAAAAAAAAAAAAIPHHgdbfy9T4WThB448Drb+XqfCy1PVCJ6OvlyfTS5v3JciLk+mlzfuS569urmAAQOHev1J8695o2gr7Ktfno/AjOb1+pPnXvL1oXqzhdtqUHl87H4f/hltH7UrU9TWgRfbFblMdsVuUzzHQlAR1O11Iy7/AGo51KrCrHODA9wAAAAAA4NqtOt3lPe4WBnmnGtGd1WaMeCs9v8Agyb0O+AtLzlX9Rlb0yfZFm88/gZZNDvgLS85V/UZ12/jx9f7Zx612AByNAAAAAAAAAAAAAAAAAg8ceB1t/L1PhZOEHjjwOtv5ep8LLU9UIno6+XJ9NLm/clyAsFqVlm5STeayOb3XhyJetHsTE5uZJAje68ORL1od14ciXrRGUj7Xr9SfOvec7BeMI4Ys9Wk6Dq9kkpf16mWqmuS898hbZeEbRQdNRa9PEXvRNhe5r/u20V72oqpKFVRi9aayjqReWUWk9rKYumKTrjkmuefJ7brEfEn03+h6PSxLPZY103+hfdzvCfikfbq9Y9lo+woll2nT9c/5OTXs/jPz7tcr90HhTHFgxBU7WqLsNfgg5Zqf9kslm/JknzlrjKUXnF5GT450cWq5G7wuTXq2dPWcd+rRy257NsorjW1cOe+fbCGkfsNNWTEbcopd7XScpZcU1HNy/uXp4xfAi0asPnHYi2XKzVezVeU/WeOzVeVL1sqW6JhbxiXQ1+oN0TC3jEuhr9Qx3OJ4z+FtUd1t7NV5UvWx2WpypetlS3RMLeMS6Gv1BuiYW8Yl0NfqDc4njP4NUd1sdSbWTb9bPUqu6JhbxiXQ1+oUzG+PJ3qnd1yuUaD2Tnk1Orn91J7Yw8m+/It+1NnvacsskTeIedKGJbDe1SF3WB66oycp1E+8cstXVjxpcL95ouiay17LgejG0xcXKU5pPY9Wc208vKtvpKxo70b6jhe2I4bf6qVB8HFOouPijwcO3YtXL416xWMOvsisTnqkABytAAAAAAAAAAAAAAAAA9K1KnXpSpVkpRkmpJ7U09jTXCj3AFPloywlKWfa8l5FVq5ejvjxuY4T8Xn0tbrFxBpvsTyn8q6Y7KduY4T8Xn0tbrDcxwn4vPpa3WLiBvsTyn8mmOynbmOE/F59LW6xYbkuW7rhsfal1U1ThnrNZttyezNt5tvJJbeIkARbEtblMpiIgABRIUTEei6574tztllnOzSltmoKLhJv72q/wCl82/xZl7Bal7UnOsomInqy7casfjlb2IfyNxqx+OVvYh/JqINeIxO6uirLtxqx+OVvYh/I3GrH45W9iH8mogcRidzRVl241Y/HK3sQ/km8K6Nrqw/b+3qk5Wiovo3NRUYPlKK35eV73BkXYETj4kxlMpikQAAxWAAAAAAAAAAAAAAAAAAAAAAAAAAAAAAAAAAAAAAAAAAAAAAAAAAAAAAAAAAAAAAAAAAAAAAAAAAAAAAAAAAAAAAAAAAAAAAAAAAAAAAAAAAAAAAAAAAAAAAAAAAAAAAAAAAAAAAAAAAAAAAAAAAAAAAAAf/2Q==">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9252857" y="236083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xdr:row>
      <xdr:rowOff>0</xdr:rowOff>
    </xdr:from>
    <xdr:ext cx="304800" cy="304800"/>
    <xdr:sp macro="" textlink="">
      <xdr:nvSpPr>
        <xdr:cNvPr id="19" name="AutoShape 2" descr="data:image/jpeg;base64,/9j/4AAQSkZJRgABAQAAAQABAAD/2wCEAAkGBxQHBhMUBxQTFhUXGCEaGBgYGB0ZHxkiHRobGh4gIBkdICggGR8lHRgcIj0hJisrLi8uGiUzPjMtNygtLisBCgoKBQUFDgUFDisZExkrKysrKysrKysrKysrKysrKysrKysrKysrKysrKysrKysrKysrKysrKysrKysrKysrK//AABEIAOIA3wMBIgACEQEDEQH/xAAcAAEAAgMBAQEAAAAAAAAAAAAABgcEBQgDAQL/xABLEAABAwIEAgYDDgIIBAcAAAABAAIDBBEFBhIhBzETIkFRYYEVQnEIFBYjMjZSVHSRk6Gis4LSMzVicpKxstElQ8HwFzQ3RFNjo//EABQBAQAAAAAAAAAAAAAAAAAAAAD/xAAUEQEAAAAAAAAAAAAAAAAAAAAA/9oADAMBAAIRAxEAPwC8UREBERAREQEREBERAREQFH815gly5B0zqfpaZtjLI2UB8YvYnoy3rgCx2dc93apAtHnUXy1LfvZ+6xBtKarbXULZaBzXte3Uwg7OBFxvY2HktXlPHnY/SzOmibEYpnwkCTpLmM6XG+hu17225d3JRr/04xft9F1D/Kikcf0wvJ9jT3X62w4ZG+HVlvr9T+6UExREQEREBERAREQEREBERAREQEREBERAREQEREBERAWizZhNRjNGIsOnihaSC/XC6QnS9rwARI0NB02OxNjsQt6iDEfR+/cLMWLiOTWzTIA0ta64sbNJcQD3XNu9arJOV25Rwl1PSvL2dK57LixaHWs0m/WItz2v3KM4bmp83GSeme49CYeijF9jJEGyvsOWoNlcD29UdysZAREQEREBERAREQEREBERAREQEREBERAREQEREBERAXnUTNpqdz5jZrQXE9wAufyXooXxhxX0Tw8qiPlSNELfHpDpd+jUfJBVGW64uwdmKvADosYc+U/RjqGRiX/No810WqJ4V4T6c4PYnA0Xc+R+kf2mxRPZ+trVa+QcW9OZMpJibl0QDj/ab1H/AKmlBv0REBERAREQEREBERAREQEREBERAREQEREBERAREQFSPulMVtFR0rDzLpnD2DQz/OT7ldy5W404t6W4hVGg3bDaFv8AAOsPxC9BaHucPmfUfaT+1Et3wsHoyoxKgdYe9qpzo2j1YphrjH5E+a0nucPmfUfaT+1Et3U/8G4xxO5MrqVzLd8kB1XPsjsPP2IJ8iIgIiICIiAiIgIiICIiAiIgIiICIiAiIg86mX3vTOdpc7S0nS0XJsL2A7SVEso8SqHNTgykkMcp5RS2Y4/3dy1/Lk0k+CmK58z9SR5Kzq5uK07ajDqsmToyOtG4kdIYn3BY8Eg2BALXNB5AgOg0VfYNDV0OHMnybVNxCjcNTYah1pAN9o6i2xBs3RKOrpIuCpHhGa4cQqehqA+nqP8A4JxoefFnqyjbmwnyQbbEaxuH4fJLUbNjY57j4NBcfyC4srap1dWyS1Bu+Rxe495cST+ZXT/G3FvRXD2cNNnTFsLf4jd36GvXLKDon3OHzPqPtJ/aiW94uD3jhlLXM2NHVRyOPboc7Q9vnqatF7nD5n1H2k/tRKxM14X6by1U0/bLE5rfBxadJ8nWPkg2jXam3byK+qL8MsV9M5Eo5HElwjDHX56o/iyT7dN/NY2b+JVDlW7amTpZh/yYrOcD/aN9LOfrG/cCgmKiWaOIlFlucRTPMs5IaIIQHvuSBY7gNO42JBPYCqcr8/4rxFxUUuXwYGv9SIkEN2u6SbnpHbbSDe1ibKWZCyRBT5uEVKBJHh9nTTEf01S4bAdzIW3IANw473QXGNwvqIgIiICIiAiIgIiICIiAiIgIiIChvFjK3wqyhIyAXmi+Nh7y5oN2/wATbj22PYpkiDlHhpxAlyViNnXkpnn42K/Ls1svsHgeTgLHsLemGe9M3YIx9oqiCQamki4/PdrgduwgjsIXOXGnKvwbze59OLQ1N5Gdwdf4xvk438A8DsWJw14gS5JxGxvJTPPxsV+XZrZfYPA8nAWPYWhYvHXLU1NlaKSkmmkp4ZLujkdrMeoaWuEh67mg9Wzi43fztyoZdmxy0+bMukwubLT1EZFx2hwII72uG4tsQR2ELkjNWBPy3mCamq+cbrA/Sad2u82kHzQXn7nD5n1H2k/tRK1pZRDEXSkBrQSSeQA3JVU+5w+Z9R9pP7USyePeaPQ+WBTUzrS1V2m3ZGPl/wCK4b4gu7kFMYlnepZ75gwOaSKllqJJWtb1XWe7YFw6wFgOqDbc3utRlrAJ8zYuynwhmp7uZ5NYBzc4+q0X5+wC5IB/eV8uT5oxdsGEt1OO5J+Sxva5x7APz5C5IC6nyNkyDJmFdFh41PdYyykdaQj/AEtG9m8hftJJIRyPCoOE+RnnDgJKqSzGuI608ztmNDb/ACQbnQDyB5kkmU5IwD4N5djhkOqU3kmfzL5H7vcT277X7gFHIT8MeJJdzpcN6re59Q7me49GBbvDh4qwUBERAREQEREBERARVvxoywyvwB1bTxtNRTWfvykja67mPHrNAJd5EdpUe4nS0j67B8UA6sj2PlaASXxAxu1OA56Lhu431AdgCC6UUSzxhMWZpaKmnDXNdL0z+V+iiadVncwHPfEwlpBs/mt9W4jT4FSN9/SQwRgWbrc2MADYAA2G2wsEGeihr+JNJO4jBGVVY4GxFNA94B8XuDWW353Xz0ri+J39H0VPStvs+qm6Qkdp6KEbHwLkEzWLiGJQ4ZDqxGWKJvfI9rB97iFGPgpWYhf07idQQTfRStbTNHhrGqQj+ILMw/IOH0Exe2mZJITcyTXmeTyvqkLiDt2IPF3ECkmeW4OKircDYimhfIPxCBH+pPSeKYh/5Cjgp29jqqbW729FCCPIvHkpU1oY2zAAB2BfUEFxnh+/NULW5vrHytadTWQRRwtabEXu4Pedj2uty2VUZx4K1eD6pMCPvqIb6QLStG/qcn9nydz9ELpFEHKXDvPc+Q8Vc2YOdA51poTsQRsXNB+TILWsdjax5AtsHjZhEWaMsQ4rgDhIGCz3N7YydiRzBY8kEHcajfkrJzXkiizZF/xeEF9rCVnVkb3dYcwL8nXHgq9o8k12QJ5Rho9/4dMCJ6blJpIILmsOznhth1T1uRaNiAy/c5ODMmVJeQAKlxJPZ8VGq3xdtRxY4hyeiRdnyWOdcNjiaSA521xckutzu4hSPCm+hskVtBRTMY2eqc0zydQRwdFEXOeHAWeQ4R9F8rUXAbtNsf8A8S6XJmE+9eH0Os+vUzC2t30gzYnw1aQPolBbuXsFouHGXLOeyNuxlmkIaZHeJ/IMHLxJJNe5y46MY10eUoy48unkBAHiyPmfa6245FU1jmO1GYKzpMZmfK/s1HZvg1o6rB4AALXIJhlTiVXZWgLMPfG6MuLiyRgddzuZLhZ5J8XKw8H4/jYY3SHxdC+/3Mfy/wASoxEHVWD8WcLxSw98dE4+rM0st7X7s/UpjR1sdfDqoZGSNPrMcHD7wbLiRe1HWSUM+uie+Nw5OY4tP3jdB24i5UwbivimFWAqTK0erM0SX9rz1/1Kb4Nx/cLDG6QHvdC+33Mff/UgvRFAsH4v4Xidg+Z0Lj6szC373C7B/iUyo66HFaUuoJWSMO2qN4cPJzTsfYUGWirHINM2vZXNxqrq3OgrpYIy6tmYdDNAbcNkaDzO9lL8n0r6SmnD53VELpnOge57pHBlgCxznc9L2vANzdtjdBu6iFtTTuZOAWuBa4HtBFiPuVTZAyw+ujraPGweipGS0UTjuSJn9K5/gQ0QkeBVur4BbkghPCqlqGYC048LSxA0rN79SGR7dW42JPV8RE09q3Ga8nUmbY2DHIy8svocHuaW6rXtpIB+SOYPJb9EFU4pwimZEBl/FKyNo5Mke5wHgCwt0jyKguMZCzBhm8cs87e0w1L3fpcWvPkF0giDjqvxTEcNm04jNXRO+jI+Vh+5xBWN8JKz63VfjP8A5l2RVUrKyEsq2Me082uaHA+R2UNxnhNheKkk0/ROItqhcY7exnyP0oOafhJWfW6r8Z/8yfCSs+t1X4z/AOZW3jPAE7nAqseDJmf5yM/kUFxrhXimEXL6Z0rR60JEl/4R1/0oI98JKz63VfjP/mT4SVn1uq/Gf/MsJ9HJHV9HJG8SEgBhaQ652A02vc9ys/JnBSpxYNkzETTRHfRzlcPYdo/4rkfRQQOjxmvrqlsdFUVkj3bNYySRzj7Gg3KnzsAqcsYQKrPldVRg/wBHSxVDjLKe4vuWxjlci9gew2Bs+vfhvCXLxfTRNa5ws1o3lncN7F53sCbk8m32G4BqfJIn4ncTGz42dUcXxrm76GNaepG0crF5Gx3IDjuboNtUQyYbmikhqjEyqqqVkg6ZvSsEhkl0QydKXOLSwNi1gl+sBwO7gd9gWfMPGIOpc5UEFFUsOl14mGO+3rWuwG9wTdtt9W6ivui3mPO1OYyQRTNII2IIllsQexSR+ERcYsix1EZazEIR0bn8g5zRfS+3qOvqB9UuNvWBCz4MFoqmEPp6elc1wu1zY4yCO8ECxC/fwepPqtN+Ez/ZcsYRmPEMg4q+OnfJE5jrSQv6zCdubDtuLdZu9jsVcmT+NtLimmPMLfe0h217uiJ9vOPzuB9JBYfwepPqtN+Ez/ZPg9SfVab8Jn+yxKvOVFSvDffEcjyLhkN53kHkdEQc6243tZY3wgq67+psPlAP/Mqntp2+3QNcvkWNQbT4PUn1Wm/CZ/svKpwehpIS+qgpGNHNzo42ge0kWC1pwfEcR/rOubA082UkQB/Gm1nzDWr9QZAoWzB9fE6pk+nVPdUH7pCWjyAQaipzHg7ZC3DKeOrkHqUlKJv1Nbo+9y8X0tXif9U4RQUzex9XocSO34qEEg+1ysKGFsEYbA1rWjkGgADyC/aCuHcLjijSMxVWppN+jpaeKmb7C4Nc9w9pCl2WMr0uVaN0eBx6GuOp13OcSbWvdxPYOQ2W5XhW0ceIUro65jJI3fKY9oc0733B2O4QV3w4wqlxmHFnV0MEwdiVQA5zGuu06Ds4i9t77d6luVnQ0sbqXCOtDTgAPDg4AuL3dHt2sbpJv2Pb4p8CcO+oUf4Ef8q2mG4bDhVPowyKOJl76Y2BgueZs0AX2H3IMpERAREQEREBERARFps2416BwN8sbdchsyFnbJI86Y2j2uI8gUGrIGYs8cgYaDtt8qokbyv/APVE7/FKO1qzM7ZvgydhBmxA3cbiOMHrSO7h3AbXd2e0gHUVmLQcMMls9KP6SY3cQD1qiZx1yO8BqdcuPIWHcDzbmrMk+asXdPirruOzWj5LG9jWjsA/PmdygZqzJPmrF3T4q67js1o+SxvY1o7APvPM7ldC8Dcteg8mtlmHxtVaU+DLfFj2aSXfxlUNknLLsczFRsrWvbTzS6ekLXBr9ILnNa/kXEN07HYkLr1rQxoDBYDYAdiDnX3R/wA84Psrf3ZVo+DubfgtmsCqdaCe0ct+TTfqPP8AdJI9jnLee6P+ecH2Vv7sqqhB1NxR4dx5zoddLpZVMHUf2PHPQ/w7j2E+0LmHEKGTDa18VexzJGGzmuFiD/329q6Q4R57ZiuV4Y8YeWSsd0Ie8ENlLQC0CQ9V0mki7b6ja9rFZnFLhzHnGj6Sj0sq2DqO5CQD1H/9HdnsQQr3O2aA10tBVEAm8kJ7/pt8dusB/eV5rjCmmqMrZga4B0VRTyX0uFrFp5EdoI28QfFdfZdxmPMGBw1NF8iVocB9E8nNNu1rgWnxCDYoiICIiAiIgIiICIiAiIgIiICIiAqnztnSCjzK6etOuKguyCIHeeqc3rd9mwscAXEdUydpsDaNc2R1DIKEtEhYdBcLgOsdJI7Re2yqrKXBaOFzZc4Smpkvfow52gEnUbuPWkJO/YLk3BQVaKTE+KmPulax0hvYu3bDCNuqHHZoF76Rdx3O5urcyZwWpcH0yY8RVS89JFomn+56/tdt/ZCs2lpmUdO1lIxrGNFmtaA0AdwA2C9UEG4s0/vbK8VTSt3op4p2tbts1wa4eA0uv5KbxSCWMOjNwRcHvBWJjeHjFsGngl5SxuYfDU0i/ldaPhjXmvyLSmcEPjZ0LweYdETEb+J0X80FO+6P+ecH2Vv7sqqhWv7o/wCecH2Vv7sqrXBcPOLYxDBFzlkbGDztqcG38r3QdP8ACvAm0fDWmirWMeJmGSRrmghwlJcA5p2PULRv3LanBpsJ3y5L1B/7acudH7GSbvh9nXYALBoW+hiEELWxCzWgADuAFgv2gqLiJl2DOtg5ho8TAsxk1miosPktkHUl8C0lw9YDs1HAXMD8KxabC8XDmOLi6Nrti17f6RnmBqty6ru9XXiOHxYpSGLEo2Sxu5te0OB7tj2jvVZZs4UyzYrDVZWqS2WJzS1s5L7aSCLTbyOAtYNfq22uBsgtZF8HLdfUBERAREQEREBERAREQEREBERAREQEREBQzJLfRuZsVpbEATtqWX5EVDLut3ASMdt4qZqIYq30dxJopgDpqYJKZx7NTLTx3HeQJRdBUfuj/nnB9lb+7KtZwHwr0jxAY9w6sEbpT3Xt0bfO77/wrZ+6P+ecH2Vv7sqk/ubsK6LBqqpfe8kgjbcdkbdRI9pkt/CguRERAREQEREBERAREQEREBERAREQEREBERAREQEREBRXiQzosvtqGAl1JNHUC3cx4En/AOTnqVLGxKjbiOHSw1G7JGOY72OBafyKDnz3Rp1Zypy36q392VXHwwwn0NkOjjcLOMYkdfneS8hB9mq3kqRzbSvzNmfBoKi+t0EdPL3h0VRNDKfLQ4rpZrdLQG8gg+oiICIiAiIgIiICIiAiIgIiICIiAiIgIiICIiAiIgIi/EsghiLpSA1ouSTYADcknsCCq8Ly45vHSV8g+KiidPH4Gfqkecjp3ferXUdq80w0VG6oqIKkRdGHiYQl2pti4bNu9gAJPxjWgX7N1uMKrm4phcM9OCGyxtkaHbEB7Q4XAJF7HvQZSIiAiIgIiICIiAiIgIiICIiAiIgIiICIiAiIgIiICwsaw9mLYRNBWfIlY5jiNrBwte/hzWasbE6c1eHSxstd7HNF+W7SN/vQVHh+ZsQyJKKTPkJmoQ3oxVMYXBrbaG6iPlDkC1wD979ba9r4GIRgsAwi3QCJgisSeoGgM3duerbnuo9SUGIVGBvpcdZRSNMZi6bpJCX9XSHPg6PcnmQJBvyI7N/gGEswLBYaekLiyJgaC43JtzJ9p37u5BsEREBERAREQEREBERAREQEREBERAREQEREBERAREQEREBERAREQEREBERAREQEREBERB//2Q==">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9252857" y="236083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14</xdr:row>
      <xdr:rowOff>0</xdr:rowOff>
    </xdr:from>
    <xdr:ext cx="304800" cy="304800"/>
    <xdr:sp macro="" textlink="">
      <xdr:nvSpPr>
        <xdr:cNvPr id="20" name="AutoShape 1" descr="data:image/jpeg;base64,/9j/4AAQSkZJRgABAQAAAQABAAD/2wCEAAkGBwgHBhIIBxEQExIVFh4VFBYYGBYYFRcXFRsfGB8WGRgZIykgGBolHBcfITUjJy0rOi8vFyszRDMsNyg5OisBCgoKDg0OGxAQGzQiICU3NzQsNiwrLzQsLC0wNDIsNCwtMjctLDUsLCw3Mi8sLCwsLC0sLDAsLyw4NSw0LCwsLP/AABEIAMIBBAMBIgACEQEDEQH/xAAcAAEAAwACAwAAAAAAAAAAAAAABQYHBAgBAgP/xABIEAACAQEEAwgNCwQBBQAAAAAAAQIDBAUGEQcSIRcxQVFScZPSExQVIjZUYXOBkZKxshYjMzQ1QlN0s8HRMnKC4qElY6Kj4f/EABkBAQADAQEAAAAAAAAAAAAAAAABAgMEBf/EAC0RAQACAAMHAwMEAwAAAAAAAAABAgMREgQTFCExUVIyQfBxgZEiMzTRI2HB/9oADAMBAAIRAxEAPwDcQAAAAAAAAAAAAAAAAAAAAAAAAAAAAAAAAAAAAAAAAAAAAAAAAAAAAAAAAAAAAAAAROJsQ2DDV29vXi5ZOShGMVnKUnm9WKeS3k3zIp0tMNyp97Z7W/RT65UtLt+yvbEquyy5yhZ+8SX3q08tbLja2R50y43XonuON3U1eaqyraq7I41Go6+W1JLgT2HXGHh0pE4nWWeq0zyfLdiufxe1f+vrFpwjiywYrss61gVSLptKcJpKSz2p7G008n6ijY6wDh+48MVrfYY1VVjq6udSUltnGLzT8jPbQR9Hbeel7pi9MKcOb09iJtqylqwAORoAAAAAAAAAAAAAAAAAAAAAAAAAAAAAAAAAAAQ2ML7hh7D1a8XlrRjlTT+9UlsiubPa/ImTJimmi/8Aty+IXPQecKC1qmXDVmt7/GL/APN8RrgYeu8QracocPRNck76xQ7xtecoUPnZN/erSb1c+N55z50uM3aUlGOtIrejy4Pk9hinZ6qyqz+drcevP7v+Kyj/AIk7bnlQ9JbaMTXf/SKRlCi6VrfGnhOrGpv1ZQpwXNJT90GcDQVZ6kbBa7S13sqkILyuEW38aIbTJapu1Wax/dUZVOeTaivUk/WaHo1sELBgmyxhvzh2aT8tXv8A/hNL0Gk/p2f6/P8AiOt1nAByNAAAAAAAAAAAAAAAAAAAAAAAAAAAAAAAAAAAR2Ib2o3Hcta8rRvU45pcqW9GPO5NL0mI6OrprYnxj23bu/jTl2xWb3pTbzjH0z25cUWiwabb+7JaaVxUXsh87W/ua7yL5lnL0ot+i24O4eGI1Kyyq1/nanGk13sPRHg45M7K/wCLB1e8sp/VbLsuBxLwfzaXlOWcK8Xtiuc42rG9Mf2zZ/Mv42atgjwOsP5an8CMp0x/bNn8y/jZq2CPA6w/lqfwI68X9mrOvqlNgA5GgAAAAAAAAAAAAAAAAAAAAAHiUowi5SaSW1t7yR5ITG7awfbWvF6nwsmsZzkS+LxxhZPLt6ze2mvWt88fLnC3j1n9o6+3ZYJXhUlCMlHJZ72fkJH5N1PxV7L/AJO+dkw492O8luPy5wt49Z/aHy5wt49Z/aMO+TdT8Vey/wCR8m6n4q9l/wAkcLh9zeS3H5c4W8es/tExdt42K9bKrVdtWFWm21rQaazW+tm8/IdbbwuadiszryqKWTSyya3/AEmhaHb4u26bjtTvOvRpJ101rzjFvvIrNJ7XvZFMXZq1rnWc01xM55taIrEl/wBhw5dkrdeEsktkIrLWqS4IRXC/ctpT8QaWbpscHTuWMrRU4JNOFJPnffS9C9Jndns2I9Id9dkk3Ua2Sm+9o0Yvbklwf2rNv/kph7PM878oTa/tD6YUu+vjXG/ZbctaMpuvaOFaqeyHM3lBLiz4jsLvbxCYSwzYcL3Z2pY++k9tSo/6py43xJcC4PfNlcfF125dITSuUBxrVZ5VmpRa2HJBgux/S7cd62i32e1WWhVqwUHBunFzylrZ7VHNpNPf8hWbNeGO7JZo2azd0owhFRjFUamUYxWSS7zeSOwwOmm05Vis1zZzTOc83X7uxpB5V59DPqDuxpB5V59DPqHYEFuJjwg3c93X7uxpB5V59DPqDuxpB5V59DPqHYEDiY8IN3Pd1+7saQeVefQz6g7saQeVefQz6h2BA4mPCDdz3dfu7GkHlXn0M+oO7GkHlXn0M+odgQOJjwg3c93X7uxpB5V59DPqDuxpB5V59DPqHYEDiY8IN3Pdgl2aQsVXFbtS83OqtjlSrx1JZcaeSlHnaa8hqmFccXPiXKjZ5OnXyzdGeSns39V701zepEpftwXXf9m7BetKM191704+WMltiYXhqzQsOkqjZKLerTtcqcW9/KMpRWeXDki2WHjVmYjKYRzrLsOADiagAAAAAQeOPA62/l6nwsnCDxx4HW38vU+FlqeqET0YJhiUY2ies0u9XvLF2anyl6yq3J9NLm/clz1rRzcyT7NT5S9Y7NT5S9ZGAjIecQVISuySi09q954wdgi3YsoVK9kq0qcac9SWtrN5tKWxJbVk+M4d6/Unzr3mj6CvsW1efX6cSuJaaYczC1Yzl9rk0R3VZJKpe9WpaGvupdjp+lJuT9o0CxWOzWCzRs1ipwp047IxilGK9CPuDzb4lr+qW8ViOgACiQAAAAAAAAGcabrVaKFw0KVCcoqdbKeTa1lGLaTy4M9uXkM5ubCeJb7sCt12U5TpttKXZYR2xeT2Sknvo6cPZ4tTVNslJvlOWTsaDANzzGf4EunpdcbnmM/wJdPS65PD084+fdGuezfwYBueYz/Al09Lrjc8xn+BLp6XXHD084+fc1z2b+DANzzGf4EunpdcbnmM/wACXT0uuOHp5x8+5rns2LEuLbnw3TzvGotfLONKPfVJf48C8ryRimFrR3R0kUbXSi12S1SqKO+0pOU9uXEvcS9y6Kb9ttqzvdxs8PvPWjUqS/tUW16W/QzVsN4UufDdLVu2ktdrKVSXfVJc8uBeRZLyF9WHhVmInOZRla0802ADiagAAAAAQeOPA62/l6nwsnCDxx4HW38vU+FlqeqET0dfLk+mlzfuS5EXJ9NLm/clz17dXMAAgcO9fqT517zRtBT/AOk2tf8AeXwIzm9fqT517zRtBX2Va/PR+BGW0ftStT1NOAB5joAAAAAAAAAABmWnT7Gsvnn8DJfQ74C0vOVf1GRGnT7Gsvnn8DJfQ74C0vOVf1Gddv48fX+2cetdgAcjQAAAAAAAAAAAAAAAAIPHHgdbfy9T4WThB448Drb+XqfCy1PVCJ6OvlyfTS5v3JciLk+mlzfuS569urmAAQOHev1J8695o2gr7Ktfno/AjOb1+pPnXvL1oXqzhdtqUHl87H4f/hltH7UrU9TWgRfbFblMdsVuUzzHQlAR1O11Iy7/AGo51KrCrHODA9wAAAAAA4NqtOt3lPe4WBnmnGtGd1WaMeCs9v8Agyb0O+AtLzlX9Rlb0yfZFm88/gZZNDvgLS85V/UZ12/jx9f7Zx612AByNAAAAAAAAAAAAAAAAAg8ceB1t/L1PhZOEHjjwOtv5ep8LLU9UIno6+XJ9NLm/clyAsFqVlm5STeayOb3XhyJetHsTE5uZJAje68ORL1od14ciXrRGUj7Xr9SfOvec7BeMI4Ys9Wk6Dq9kkpf16mWqmuS898hbZeEbRQdNRa9PEXvRNhe5r/u20V72oqpKFVRi9aayjqReWUWk9rKYumKTrjkmuefJ7brEfEn03+h6PSxLPZY103+hfdzvCfikfbq9Y9lo+woll2nT9c/5OTXs/jPz7tcr90HhTHFgxBU7WqLsNfgg5Zqf9kslm/JknzlrjKUXnF5GT450cWq5G7wuTXq2dPWcd+rRy257NsorjW1cOe+fbCGkfsNNWTEbcopd7XScpZcU1HNy/uXp4xfAi0asPnHYi2XKzVezVeU/WeOzVeVL1sqW6JhbxiXQ1+oN0TC3jEuhr9Qx3OJ4z+FtUd1t7NV5UvWx2WpypetlS3RMLeMS6Gv1BuiYW8Yl0NfqDc4njP4NUd1sdSbWTb9bPUqu6JhbxiXQ1+oUzG+PJ3qnd1yuUaD2Tnk1Orn91J7Yw8m+/It+1NnvacsskTeIedKGJbDe1SF3WB66oycp1E+8cstXVjxpcL95ouiay17LgejG0xcXKU5pPY9Wc208vKtvpKxo70b6jhe2I4bf6qVB8HFOouPijwcO3YtXL416xWMOvsisTnqkABytAAAAAAAAAAAAAAAAA9K1KnXpSpVkpRkmpJ7U09jTXCj3AFPloywlKWfa8l5FVq5ejvjxuY4T8Xn0tbrFxBpvsTyn8q6Y7KduY4T8Xn0tbrDcxwn4vPpa3WLiBvsTyn8mmOynbmOE/F59LW6xYbkuW7rhsfal1U1ThnrNZttyezNt5tvJJbeIkARbEtblMpiIgABRIUTEei6574tztllnOzSltmoKLhJv72q/wCl82/xZl7Bal7UnOsomInqy7casfjlb2IfyNxqx+OVvYh/JqINeIxO6uirLtxqx+OVvYh/I3GrH45W9iH8mogcRidzRVl241Y/HK3sQ/km8K6Nrqw/b+3qk5Wiovo3NRUYPlKK35eV73BkXYETj4kxlMpikQAAxWAAAAAAAAAAAAAAAAAAAAAAAAAAAAAAAAAAAAAAAAAAAAAAAAAAAAAAAAAAAAAAAAAAAAAAAAAAAAAAAAAAAAAAAAAAAAAAAAAAAAAAAAAAAAAAAAAAAAAAAAAAAAAAAAAAAAAAAAAAAAAAAAAAAAAAAAf/2Q==">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9252857" y="336096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14</xdr:row>
      <xdr:rowOff>0</xdr:rowOff>
    </xdr:from>
    <xdr:ext cx="304800" cy="304800"/>
    <xdr:sp macro="" textlink="">
      <xdr:nvSpPr>
        <xdr:cNvPr id="21" name="AutoShape 2" descr="data:image/jpeg;base64,/9j/4AAQSkZJRgABAQAAAQABAAD/2wCEAAkGBxQHBhMUBxQTFhUXGCEaGBgYGB0ZHxkiHRobGh4gIBkdICggGR8lHRgcIj0hJisrLi8uGiUzPjMtNygtLisBCgoKBQUFDgUFDisZExkrKysrKysrKysrKysrKysrKysrKysrKysrKysrKysrKysrKysrKysrKysrKysrKysrK//AABEIAOIA3wMBIgACEQEDEQH/xAAcAAEAAgMBAQEAAAAAAAAAAAAABgcEBQgDAQL/xABLEAABAwIEAgYDDgIIBAcAAAABAAIDBBEFBhIhBzETIkFRYYEVQnEIFBYjMjZSVHSRk6Gis4LSMzVicpKxstElQ8HwFzQ3RFNjo//EABQBAQAAAAAAAAAAAAAAAAAAAAD/xAAUEQEAAAAAAAAAAAAAAAAAAAAA/9oADAMBAAIRAxEAPwC8UREBERAREQEREBERAREQFH815gly5B0zqfpaZtjLI2UB8YvYnoy3rgCx2dc93apAtHnUXy1LfvZ+6xBtKarbXULZaBzXte3Uwg7OBFxvY2HktXlPHnY/SzOmibEYpnwkCTpLmM6XG+hu17225d3JRr/04xft9F1D/Kikcf0wvJ9jT3X62w4ZG+HVlvr9T+6UExREQEREBERAREQEREBERAREQEREBERAREQEREBERAWizZhNRjNGIsOnihaSC/XC6QnS9rwARI0NB02OxNjsQt6iDEfR+/cLMWLiOTWzTIA0ta64sbNJcQD3XNu9arJOV25Rwl1PSvL2dK57LixaHWs0m/WItz2v3KM4bmp83GSeme49CYeijF9jJEGyvsOWoNlcD29UdysZAREQEREBERAREQEREBERAREQEREBERAREQEREBERAXnUTNpqdz5jZrQXE9wAufyXooXxhxX0Tw8qiPlSNELfHpDpd+jUfJBVGW64uwdmKvADosYc+U/RjqGRiX/No810WqJ4V4T6c4PYnA0Xc+R+kf2mxRPZ+trVa+QcW9OZMpJibl0QDj/ab1H/AKmlBv0REBERAREQEREBERAREQEREBERAREQEREBERAREQFSPulMVtFR0rDzLpnD2DQz/OT7ldy5W404t6W4hVGg3bDaFv8AAOsPxC9BaHucPmfUfaT+1Et3wsHoyoxKgdYe9qpzo2j1YphrjH5E+a0nucPmfUfaT+1Et3U/8G4xxO5MrqVzLd8kB1XPsjsPP2IJ8iIgIiICIiAiIgIiICIiAiIgIiICIiAiIg86mX3vTOdpc7S0nS0XJsL2A7SVEso8SqHNTgykkMcp5RS2Y4/3dy1/Lk0k+CmK58z9SR5Kzq5uK07ajDqsmToyOtG4kdIYn3BY8Eg2BALXNB5AgOg0VfYNDV0OHMnybVNxCjcNTYah1pAN9o6i2xBs3RKOrpIuCpHhGa4cQqehqA+nqP8A4JxoefFnqyjbmwnyQbbEaxuH4fJLUbNjY57j4NBcfyC4srap1dWyS1Bu+Rxe495cST+ZXT/G3FvRXD2cNNnTFsLf4jd36GvXLKDon3OHzPqPtJ/aiW94uD3jhlLXM2NHVRyOPboc7Q9vnqatF7nD5n1H2k/tRKxM14X6by1U0/bLE5rfBxadJ8nWPkg2jXam3byK+qL8MsV9M5Eo5HElwjDHX56o/iyT7dN/NY2b+JVDlW7amTpZh/yYrOcD/aN9LOfrG/cCgmKiWaOIlFlucRTPMs5IaIIQHvuSBY7gNO42JBPYCqcr8/4rxFxUUuXwYGv9SIkEN2u6SbnpHbbSDe1ibKWZCyRBT5uEVKBJHh9nTTEf01S4bAdzIW3IANw473QXGNwvqIgIiICIiAiIgIiICIiAiIgIiIChvFjK3wqyhIyAXmi+Nh7y5oN2/wATbj22PYpkiDlHhpxAlyViNnXkpnn42K/Ls1svsHgeTgLHsLemGe9M3YIx9oqiCQamki4/PdrgduwgjsIXOXGnKvwbze59OLQ1N5Gdwdf4xvk438A8DsWJw14gS5JxGxvJTPPxsV+XZrZfYPA8nAWPYWhYvHXLU1NlaKSkmmkp4ZLujkdrMeoaWuEh67mg9Wzi43fztyoZdmxy0+bMukwubLT1EZFx2hwII72uG4tsQR2ELkjNWBPy3mCamq+cbrA/Sad2u82kHzQXn7nD5n1H2k/tRK1pZRDEXSkBrQSSeQA3JVU+5w+Z9R9pP7USyePeaPQ+WBTUzrS1V2m3ZGPl/wCK4b4gu7kFMYlnepZ75gwOaSKllqJJWtb1XWe7YFw6wFgOqDbc3utRlrAJ8zYuynwhmp7uZ5NYBzc4+q0X5+wC5IB/eV8uT5oxdsGEt1OO5J+Sxva5x7APz5C5IC6nyNkyDJmFdFh41PdYyykdaQj/AEtG9m8hftJJIRyPCoOE+RnnDgJKqSzGuI608ztmNDb/ACQbnQDyB5kkmU5IwD4N5djhkOqU3kmfzL5H7vcT277X7gFHIT8MeJJdzpcN6re59Q7me49GBbvDh4qwUBERAREQEREBERARVvxoywyvwB1bTxtNRTWfvykja67mPHrNAJd5EdpUe4nS0j67B8UA6sj2PlaASXxAxu1OA56Lhu431AdgCC6UUSzxhMWZpaKmnDXNdL0z+V+iiadVncwHPfEwlpBs/mt9W4jT4FSN9/SQwRgWbrc2MADYAA2G2wsEGeihr+JNJO4jBGVVY4GxFNA94B8XuDWW353Xz0ri+J39H0VPStvs+qm6Qkdp6KEbHwLkEzWLiGJQ4ZDqxGWKJvfI9rB97iFGPgpWYhf07idQQTfRStbTNHhrGqQj+ILMw/IOH0Exe2mZJITcyTXmeTyvqkLiDt2IPF3ECkmeW4OKircDYimhfIPxCBH+pPSeKYh/5Cjgp29jqqbW729FCCPIvHkpU1oY2zAAB2BfUEFxnh+/NULW5vrHytadTWQRRwtabEXu4Pedj2uty2VUZx4K1eD6pMCPvqIb6QLStG/qcn9nydz9ELpFEHKXDvPc+Q8Vc2YOdA51poTsQRsXNB+TILWsdjax5AtsHjZhEWaMsQ4rgDhIGCz3N7YydiRzBY8kEHcajfkrJzXkiizZF/xeEF9rCVnVkb3dYcwL8nXHgq9o8k12QJ5Rho9/4dMCJ6blJpIILmsOznhth1T1uRaNiAy/c5ODMmVJeQAKlxJPZ8VGq3xdtRxY4hyeiRdnyWOdcNjiaSA521xckutzu4hSPCm+hskVtBRTMY2eqc0zydQRwdFEXOeHAWeQ4R9F8rUXAbtNsf8A8S6XJmE+9eH0Os+vUzC2t30gzYnw1aQPolBbuXsFouHGXLOeyNuxlmkIaZHeJ/IMHLxJJNe5y46MY10eUoy48unkBAHiyPmfa6245FU1jmO1GYKzpMZmfK/s1HZvg1o6rB4AALXIJhlTiVXZWgLMPfG6MuLiyRgddzuZLhZ5J8XKw8H4/jYY3SHxdC+/3Mfy/wASoxEHVWD8WcLxSw98dE4+rM0st7X7s/UpjR1sdfDqoZGSNPrMcHD7wbLiRe1HWSUM+uie+Nw5OY4tP3jdB24i5UwbivimFWAqTK0erM0SX9rz1/1Kb4Nx/cLDG6QHvdC+33Mff/UgvRFAsH4v4Xidg+Z0Lj6szC373C7B/iUyo66HFaUuoJWSMO2qN4cPJzTsfYUGWirHINM2vZXNxqrq3OgrpYIy6tmYdDNAbcNkaDzO9lL8n0r6SmnD53VELpnOge57pHBlgCxznc9L2vANzdtjdBu6iFtTTuZOAWuBa4HtBFiPuVTZAyw+ujraPGweipGS0UTjuSJn9K5/gQ0QkeBVur4BbkghPCqlqGYC048LSxA0rN79SGR7dW42JPV8RE09q3Ga8nUmbY2DHIy8svocHuaW6rXtpIB+SOYPJb9EFU4pwimZEBl/FKyNo5Mke5wHgCwt0jyKguMZCzBhm8cs87e0w1L3fpcWvPkF0giDjqvxTEcNm04jNXRO+jI+Vh+5xBWN8JKz63VfjP8A5l2RVUrKyEsq2Me082uaHA+R2UNxnhNheKkk0/ROItqhcY7exnyP0oOafhJWfW6r8Z/8yfCSs+t1X4z/AOZW3jPAE7nAqseDJmf5yM/kUFxrhXimEXL6Z0rR60JEl/4R1/0oI98JKz63VfjP/mT4SVn1uq/Gf/MsJ9HJHV9HJG8SEgBhaQ652A02vc9ys/JnBSpxYNkzETTRHfRzlcPYdo/4rkfRQQOjxmvrqlsdFUVkj3bNYySRzj7Gg3KnzsAqcsYQKrPldVRg/wBHSxVDjLKe4vuWxjlci9gew2Bs+vfhvCXLxfTRNa5ws1o3lncN7F53sCbk8m32G4BqfJIn4ncTGz42dUcXxrm76GNaepG0crF5Gx3IDjuboNtUQyYbmikhqjEyqqqVkg6ZvSsEhkl0QydKXOLSwNi1gl+sBwO7gd9gWfMPGIOpc5UEFFUsOl14mGO+3rWuwG9wTdtt9W6ivui3mPO1OYyQRTNII2IIllsQexSR+ERcYsix1EZazEIR0bn8g5zRfS+3qOvqB9UuNvWBCz4MFoqmEPp6elc1wu1zY4yCO8ECxC/fwepPqtN+Ez/ZcsYRmPEMg4q+OnfJE5jrSQv6zCdubDtuLdZu9jsVcmT+NtLimmPMLfe0h217uiJ9vOPzuB9JBYfwepPqtN+Ez/ZPg9SfVab8Jn+yxKvOVFSvDffEcjyLhkN53kHkdEQc6243tZY3wgq67+psPlAP/Mqntp2+3QNcvkWNQbT4PUn1Wm/CZ/svKpwehpIS+qgpGNHNzo42ge0kWC1pwfEcR/rOubA082UkQB/Gm1nzDWr9QZAoWzB9fE6pk+nVPdUH7pCWjyAQaipzHg7ZC3DKeOrkHqUlKJv1Nbo+9y8X0tXif9U4RQUzex9XocSO34qEEg+1ysKGFsEYbA1rWjkGgADyC/aCuHcLjijSMxVWppN+jpaeKmb7C4Nc9w9pCl2WMr0uVaN0eBx6GuOp13OcSbWvdxPYOQ2W5XhW0ceIUro65jJI3fKY9oc0733B2O4QV3w4wqlxmHFnV0MEwdiVQA5zGuu06Ds4i9t77d6luVnQ0sbqXCOtDTgAPDg4AuL3dHt2sbpJv2Pb4p8CcO+oUf4Ef8q2mG4bDhVPowyKOJl76Y2BgueZs0AX2H3IMpERAREQEREBERARFps2416BwN8sbdchsyFnbJI86Y2j2uI8gUGrIGYs8cgYaDtt8qokbyv/APVE7/FKO1qzM7ZvgydhBmxA3cbiOMHrSO7h3AbXd2e0gHUVmLQcMMls9KP6SY3cQD1qiZx1yO8BqdcuPIWHcDzbmrMk+asXdPirruOzWj5LG9jWjsA/PmdygZqzJPmrF3T4q67js1o+SxvY1o7APvPM7ldC8Dcteg8mtlmHxtVaU+DLfFj2aSXfxlUNknLLsczFRsrWvbTzS6ekLXBr9ILnNa/kXEN07HYkLr1rQxoDBYDYAdiDnX3R/wA84Psrf3ZVo+DubfgtmsCqdaCe0ct+TTfqPP8AdJI9jnLee6P+ecH2Vv7sqqhB1NxR4dx5zoddLpZVMHUf2PHPQ/w7j2E+0LmHEKGTDa18VexzJGGzmuFiD/329q6Q4R57ZiuV4Y8YeWSsd0Ie8ENlLQC0CQ9V0mki7b6ja9rFZnFLhzHnGj6Sj0sq2DqO5CQD1H/9HdnsQQr3O2aA10tBVEAm8kJ7/pt8dusB/eV5rjCmmqMrZga4B0VRTyX0uFrFp5EdoI28QfFdfZdxmPMGBw1NF8iVocB9E8nNNu1rgWnxCDYoiICIiAiIgIiICIiAiIgIiICIiAqnztnSCjzK6etOuKguyCIHeeqc3rd9mwscAXEdUydpsDaNc2R1DIKEtEhYdBcLgOsdJI7Re2yqrKXBaOFzZc4Smpkvfow52gEnUbuPWkJO/YLk3BQVaKTE+KmPulax0hvYu3bDCNuqHHZoF76Rdx3O5urcyZwWpcH0yY8RVS89JFomn+56/tdt/ZCs2lpmUdO1lIxrGNFmtaA0AdwA2C9UEG4s0/vbK8VTSt3op4p2tbts1wa4eA0uv5KbxSCWMOjNwRcHvBWJjeHjFsGngl5SxuYfDU0i/ldaPhjXmvyLSmcEPjZ0LweYdETEb+J0X80FO+6P+ecH2Vv7sqqhWv7o/wCecH2Vv7sqrXBcPOLYxDBFzlkbGDztqcG38r3QdP8ACvAm0fDWmirWMeJmGSRrmghwlJcA5p2PULRv3LanBpsJ3y5L1B/7acudH7GSbvh9nXYALBoW+hiEELWxCzWgADuAFgv2gqLiJl2DOtg5ho8TAsxk1miosPktkHUl8C0lw9YDs1HAXMD8KxabC8XDmOLi6Nrti17f6RnmBqty6ru9XXiOHxYpSGLEo2Sxu5te0OB7tj2jvVZZs4UyzYrDVZWqS2WJzS1s5L7aSCLTbyOAtYNfq22uBsgtZF8HLdfUBERAREQEREBERAREQEREBERAREQEREBQzJLfRuZsVpbEATtqWX5EVDLut3ASMdt4qZqIYq30dxJopgDpqYJKZx7NTLTx3HeQJRdBUfuj/nnB9lb+7KtZwHwr0jxAY9w6sEbpT3Xt0bfO77/wrZ+6P+ecH2Vv7sqk/ubsK6LBqqpfe8kgjbcdkbdRI9pkt/CguRERAREQEREBERAREQEREBERAREQEREBERAREQEREBRXiQzosvtqGAl1JNHUC3cx4En/AOTnqVLGxKjbiOHSw1G7JGOY72OBafyKDnz3Rp1Zypy36q392VXHwwwn0NkOjjcLOMYkdfneS8hB9mq3kqRzbSvzNmfBoKi+t0EdPL3h0VRNDKfLQ4rpZrdLQG8gg+oiICIiAiIgIiICIiAiIgIiICIiAiIgIiICIiAiIgIi/EsghiLpSA1ouSTYADcknsCCq8Ly45vHSV8g+KiidPH4Gfqkecjp3ferXUdq80w0VG6oqIKkRdGHiYQl2pti4bNu9gAJPxjWgX7N1uMKrm4phcM9OCGyxtkaHbEB7Q4XAJF7HvQZSIiAiIgIiICIiAiIgIiICIiAiIgIiICIiAiIgIiICwsaw9mLYRNBWfIlY5jiNrBwte/hzWasbE6c1eHSxstd7HNF+W7SN/vQVHh+ZsQyJKKTPkJmoQ3oxVMYXBrbaG6iPlDkC1wD979ba9r4GIRgsAwi3QCJgisSeoGgM3duerbnuo9SUGIVGBvpcdZRSNMZi6bpJCX9XSHPg6PcnmQJBvyI7N/gGEswLBYaekLiyJgaC43JtzJ9p37u5BsEREBERAREQEREBERAREQEREBERAREQEREBERAREQEREBERAREQEREBERAREQEREBERB//2Q==">
          <a:extLst>
            <a:ext uri="{FF2B5EF4-FFF2-40B4-BE49-F238E27FC236}">
              <a16:creationId xmlns:a16="http://schemas.microsoft.com/office/drawing/2014/main" id="{00000000-0008-0000-0200-000015000000}"/>
            </a:ext>
          </a:extLst>
        </xdr:cNvPr>
        <xdr:cNvSpPr>
          <a:spLocks noChangeAspect="1" noChangeArrowheads="1"/>
        </xdr:cNvSpPr>
      </xdr:nvSpPr>
      <xdr:spPr bwMode="auto">
        <a:xfrm>
          <a:off x="9252857" y="336096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xdr:row>
      <xdr:rowOff>0</xdr:rowOff>
    </xdr:from>
    <xdr:ext cx="304800" cy="304800"/>
    <xdr:sp macro="" textlink="">
      <xdr:nvSpPr>
        <xdr:cNvPr id="22" name="AutoShape 1" descr="data:image/jpeg;base64,/9j/4AAQSkZJRgABAQAAAQABAAD/2wCEAAkGBwgHBhIIBxEQExIVFh4VFBYYGBYYFRcXFRsfGB8WGRgZIykgGBolHBcfITUjJy0rOi8vFyszRDMsNyg5OisBCgoKDg0OGxAQGzQiICU3NzQsNiwrLzQsLC0wNDIsNCwtMjctLDUsLCw3Mi8sLCwsLC0sLDAsLyw4NSw0LCwsLP/AABEIAMIBBAMBIgACEQEDEQH/xAAcAAEAAwACAwAAAAAAAAAAAAAABQYHBAgBAgP/xABIEAACAQEEAwgNCwQBBQAAAAAAAQIDBAUGEQcSIRcxQVFScZPSExQVIjZUYXOBkZKxshYjMzQ1QlN0s8HRMnKC4qElY6Kj4f/EABkBAQADAQEAAAAAAAAAAAAAAAABAgMEBf/EAC0RAQACAAMHAwMEAwAAAAAAAAABAgMREgQTFCExUVIyQfBxgZEiMzTRI2HB/9oADAMBAAIRAxEAPwDcQAAAAAAAAAAAAAAAAAAAAAAAAAAAAAAAAAAAAAAAAAAAAAAAAAAAAAAAAAAAAAAAROJsQ2DDV29vXi5ZOShGMVnKUnm9WKeS3k3zIp0tMNyp97Z7W/RT65UtLt+yvbEquyy5yhZ+8SX3q08tbLja2R50y43XonuON3U1eaqyraq7I41Go6+W1JLgT2HXGHh0pE4nWWeq0zyfLdiufxe1f+vrFpwjiywYrss61gVSLptKcJpKSz2p7G008n6ijY6wDh+48MVrfYY1VVjq6udSUltnGLzT8jPbQR9Hbeel7pi9MKcOb09iJtqylqwAORoAAAAAAAAAAAAAAAAAAAAAAAAAAAAAAAAAAAQ2ML7hh7D1a8XlrRjlTT+9UlsiubPa/ImTJimmi/8Aty+IXPQecKC1qmXDVmt7/GL/APN8RrgYeu8QracocPRNck76xQ7xtecoUPnZN/erSb1c+N55z50uM3aUlGOtIrejy4Pk9hinZ6qyqz+drcevP7v+Kyj/AIk7bnlQ9JbaMTXf/SKRlCi6VrfGnhOrGpv1ZQpwXNJT90GcDQVZ6kbBa7S13sqkILyuEW38aIbTJapu1Wax/dUZVOeTaivUk/WaHo1sELBgmyxhvzh2aT8tXv8A/hNL0Gk/p2f6/P8AiOt1nAByNAAAAAAAAAAAAAAAAAAAAAAAAAAAAAAAAAAAR2Ib2o3Hcta8rRvU45pcqW9GPO5NL0mI6OrprYnxj23bu/jTl2xWb3pTbzjH0z25cUWiwabb+7JaaVxUXsh87W/ua7yL5lnL0ot+i24O4eGI1Kyyq1/nanGk13sPRHg45M7K/wCLB1e8sp/VbLsuBxLwfzaXlOWcK8Xtiuc42rG9Mf2zZ/Mv42atgjwOsP5an8CMp0x/bNn8y/jZq2CPA6w/lqfwI68X9mrOvqlNgA5GgAAAAAAAAAAAAAAAAAAAAAHiUowi5SaSW1t7yR5ITG7awfbWvF6nwsmsZzkS+LxxhZPLt6ze2mvWt88fLnC3j1n9o6+3ZYJXhUlCMlHJZ72fkJH5N1PxV7L/AJO+dkw492O8luPy5wt49Z/aHy5wt49Z/aMO+TdT8Vey/wCR8m6n4q9l/wAkcLh9zeS3H5c4W8es/tExdt42K9bKrVdtWFWm21rQaazW+tm8/IdbbwuadiszryqKWTSyya3/AEmhaHb4u26bjtTvOvRpJ101rzjFvvIrNJ7XvZFMXZq1rnWc01xM55taIrEl/wBhw5dkrdeEsktkIrLWqS4IRXC/ctpT8QaWbpscHTuWMrRU4JNOFJPnffS9C9Jndns2I9Id9dkk3Ua2Sm+9o0Yvbklwf2rNv/kph7PM878oTa/tD6YUu+vjXG/ZbctaMpuvaOFaqeyHM3lBLiz4jsLvbxCYSwzYcL3Z2pY++k9tSo/6py43xJcC4PfNlcfF125dITSuUBxrVZ5VmpRa2HJBgux/S7cd62i32e1WWhVqwUHBunFzylrZ7VHNpNPf8hWbNeGO7JZo2azd0owhFRjFUamUYxWSS7zeSOwwOmm05Vis1zZzTOc83X7uxpB5V59DPqDuxpB5V59DPqHYEFuJjwg3c93X7uxpB5V59DPqDuxpB5V59DPqHYEDiY8IN3Pd1+7saQeVefQz6g7saQeVefQz6h2BA4mPCDdz3dfu7GkHlXn0M+oO7GkHlXn0M+odgQOJjwg3c93X7uxpB5V59DPqDuxpB5V59DPqHYEDiY8IN3Pdgl2aQsVXFbtS83OqtjlSrx1JZcaeSlHnaa8hqmFccXPiXKjZ5OnXyzdGeSns39V701zepEpftwXXf9m7BetKM191704+WMltiYXhqzQsOkqjZKLerTtcqcW9/KMpRWeXDki2WHjVmYjKYRzrLsOADiagAAAAAQeOPA62/l6nwsnCDxx4HW38vU+FlqeqET0YJhiUY2ies0u9XvLF2anyl6yq3J9NLm/clz1rRzcyT7NT5S9Y7NT5S9ZGAjIecQVISuySi09q954wdgi3YsoVK9kq0qcac9SWtrN5tKWxJbVk+M4d6/Unzr3mj6CvsW1efX6cSuJaaYczC1Yzl9rk0R3VZJKpe9WpaGvupdjp+lJuT9o0CxWOzWCzRs1ipwp047IxilGK9CPuDzb4lr+qW8ViOgACiQAAAAAAAAGcabrVaKFw0KVCcoqdbKeTa1lGLaTy4M9uXkM5ubCeJb7sCt12U5TpttKXZYR2xeT2Sknvo6cPZ4tTVNslJvlOWTsaDANzzGf4EunpdcbnmM/wJdPS65PD084+fdGuezfwYBueYz/Al09Lrjc8xn+BLp6XXHD084+fc1z2b+DANzzGf4EunpdcbnmM/wACXT0uuOHp5x8+5rns2LEuLbnw3TzvGotfLONKPfVJf48C8ryRimFrR3R0kUbXSi12S1SqKO+0pOU9uXEvcS9y6Kb9ttqzvdxs8PvPWjUqS/tUW16W/QzVsN4UufDdLVu2ktdrKVSXfVJc8uBeRZLyF9WHhVmInOZRla0802ADiagAAAAAQeOPA62/l6nwsnCDxx4HW38vU+FlqeqET0dfLk+mlzfuS5EXJ9NLm/clz17dXMAAgcO9fqT517zRtBT/AOk2tf8AeXwIzm9fqT517zRtBX2Va/PR+BGW0ftStT1NOAB5joAAAAAAAAAABmWnT7Gsvnn8DJfQ74C0vOVf1GRGnT7Gsvnn8DJfQ74C0vOVf1Gddv48fX+2cetdgAcjQAAAAAAAAAAAAAAAAIPHHgdbfy9T4WThB448Drb+XqfCy1PVCJ6OvlyfTS5v3JciLk+mlzfuS569urmAAQOHev1J8695o2gr7Ktfno/AjOb1+pPnXvL1oXqzhdtqUHl87H4f/hltH7UrU9TWgRfbFblMdsVuUzzHQlAR1O11Iy7/AGo51KrCrHODA9wAAAAAA4NqtOt3lPe4WBnmnGtGd1WaMeCs9v8Agyb0O+AtLzlX9Rlb0yfZFm88/gZZNDvgLS85V/UZ12/jx9f7Zx612AByNAAAAAAAAAAAAAAAAAg8ceB1t/L1PhZOEHjjwOtv5ep8LLU9UIno6+XJ9NLm/clyAsFqVlm5STeayOb3XhyJetHsTE5uZJAje68ORL1od14ciXrRGUj7Xr9SfOvec7BeMI4Ys9Wk6Dq9kkpf16mWqmuS898hbZeEbRQdNRa9PEXvRNhe5r/u20V72oqpKFVRi9aayjqReWUWk9rKYumKTrjkmuefJ7brEfEn03+h6PSxLPZY103+hfdzvCfikfbq9Y9lo+woll2nT9c/5OTXs/jPz7tcr90HhTHFgxBU7WqLsNfgg5Zqf9kslm/JknzlrjKUXnF5GT450cWq5G7wuTXq2dPWcd+rRy257NsorjW1cOe+fbCGkfsNNWTEbcopd7XScpZcU1HNy/uXp4xfAi0asPnHYi2XKzVezVeU/WeOzVeVL1sqW6JhbxiXQ1+oN0TC3jEuhr9Qx3OJ4z+FtUd1t7NV5UvWx2WpypetlS3RMLeMS6Gv1BuiYW8Yl0NfqDc4njP4NUd1sdSbWTb9bPUqu6JhbxiXQ1+oUzG+PJ3qnd1yuUaD2Tnk1Orn91J7Yw8m+/It+1NnvacsskTeIedKGJbDe1SF3WB66oycp1E+8cstXVjxpcL95ouiay17LgejG0xcXKU5pPY9Wc208vKtvpKxo70b6jhe2I4bf6qVB8HFOouPijwcO3YtXL416xWMOvsisTnqkABytAAAAAAAAAAAAAAAAA9K1KnXpSpVkpRkmpJ7U09jTXCj3AFPloywlKWfa8l5FVq5ejvjxuY4T8Xn0tbrFxBpvsTyn8q6Y7KduY4T8Xn0tbrDcxwn4vPpa3WLiBvsTyn8mmOynbmOE/F59LW6xYbkuW7rhsfal1U1ThnrNZttyezNt5tvJJbeIkARbEtblMpiIgABRIUTEei6574tztllnOzSltmoKLhJv72q/wCl82/xZl7Bal7UnOsomInqy7casfjlb2IfyNxqx+OVvYh/JqINeIxO6uirLtxqx+OVvYh/I3GrH45W9iH8mogcRidzRVl241Y/HK3sQ/km8K6Nrqw/b+3qk5Wiovo3NRUYPlKK35eV73BkXYETj4kxlMpikQAAxWAAAAAAAAAAAAAAAAAAAAAAAAAAAAAAAAAAAAAAAAAAAAAAAAAAAAAAAAAAAAAAAAAAAAAAAAAAAAAAAAAAAAAAAAAAAAAAAAAAAAAAAAAAAAAAAAAAAAAAAAAAAAAAAAAAAAAAAAAAAAAAAAAAAAAAAAf/2Q==">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9334500" y="214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xdr:row>
      <xdr:rowOff>0</xdr:rowOff>
    </xdr:from>
    <xdr:ext cx="304800" cy="304800"/>
    <xdr:sp macro="" textlink="">
      <xdr:nvSpPr>
        <xdr:cNvPr id="23" name="AutoShape 2" descr="data:image/jpeg;base64,/9j/4AAQSkZJRgABAQAAAQABAAD/2wCEAAkGBxQHBhMUBxQTFhUXGCEaGBgYGB0ZHxkiHRobGh4gIBkdICggGR8lHRgcIj0hJisrLi8uGiUzPjMtNygtLisBCgoKBQUFDgUFDisZExkrKysrKysrKysrKysrKysrKysrKysrKysrKysrKysrKysrKysrKysrKysrKysrKysrK//AABEIAOIA3wMBIgACEQEDEQH/xAAcAAEAAgMBAQEAAAAAAAAAAAAABgcEBQgDAQL/xABLEAABAwIEAgYDDgIIBAcAAAABAAIDBBEFBhIhBzETIkFRYYEVQnEIFBYjMjZSVHSRk6Gis4LSMzVicpKxstElQ8HwFzQ3RFNjo//EABQBAQAAAAAAAAAAAAAAAAAAAAD/xAAUEQEAAAAAAAAAAAAAAAAAAAAA/9oADAMBAAIRAxEAPwC8UREBERAREQEREBERAREQFH815gly5B0zqfpaZtjLI2UB8YvYnoy3rgCx2dc93apAtHnUXy1LfvZ+6xBtKarbXULZaBzXte3Uwg7OBFxvY2HktXlPHnY/SzOmibEYpnwkCTpLmM6XG+hu17225d3JRr/04xft9F1D/Kikcf0wvJ9jT3X62w4ZG+HVlvr9T+6UExREQEREBERAREQEREBERAREQEREBERAREQEREBERAWizZhNRjNGIsOnihaSC/XC6QnS9rwARI0NB02OxNjsQt6iDEfR+/cLMWLiOTWzTIA0ta64sbNJcQD3XNu9arJOV25Rwl1PSvL2dK57LixaHWs0m/WItz2v3KM4bmp83GSeme49CYeijF9jJEGyvsOWoNlcD29UdysZAREQEREBERAREQEREBERAREQEREBERAREQEREBERAXnUTNpqdz5jZrQXE9wAufyXooXxhxX0Tw8qiPlSNELfHpDpd+jUfJBVGW64uwdmKvADosYc+U/RjqGRiX/No810WqJ4V4T6c4PYnA0Xc+R+kf2mxRPZ+trVa+QcW9OZMpJibl0QDj/ab1H/AKmlBv0REBERAREQEREBERAREQEREBERAREQEREBERAREQFSPulMVtFR0rDzLpnD2DQz/OT7ldy5W404t6W4hVGg3bDaFv8AAOsPxC9BaHucPmfUfaT+1Et3wsHoyoxKgdYe9qpzo2j1YphrjH5E+a0nucPmfUfaT+1Et3U/8G4xxO5MrqVzLd8kB1XPsjsPP2IJ8iIgIiICIiAiIgIiICIiAiIgIiICIiAiIg86mX3vTOdpc7S0nS0XJsL2A7SVEso8SqHNTgykkMcp5RS2Y4/3dy1/Lk0k+CmK58z9SR5Kzq5uK07ajDqsmToyOtG4kdIYn3BY8Eg2BALXNB5AgOg0VfYNDV0OHMnybVNxCjcNTYah1pAN9o6i2xBs3RKOrpIuCpHhGa4cQqehqA+nqP8A4JxoefFnqyjbmwnyQbbEaxuH4fJLUbNjY57j4NBcfyC4srap1dWyS1Bu+Rxe495cST+ZXT/G3FvRXD2cNNnTFsLf4jd36GvXLKDon3OHzPqPtJ/aiW94uD3jhlLXM2NHVRyOPboc7Q9vnqatF7nD5n1H2k/tRKxM14X6by1U0/bLE5rfBxadJ8nWPkg2jXam3byK+qL8MsV9M5Eo5HElwjDHX56o/iyT7dN/NY2b+JVDlW7amTpZh/yYrOcD/aN9LOfrG/cCgmKiWaOIlFlucRTPMs5IaIIQHvuSBY7gNO42JBPYCqcr8/4rxFxUUuXwYGv9SIkEN2u6SbnpHbbSDe1ibKWZCyRBT5uEVKBJHh9nTTEf01S4bAdzIW3IANw473QXGNwvqIgIiICIiAiIgIiICIiAiIgIiIChvFjK3wqyhIyAXmi+Nh7y5oN2/wATbj22PYpkiDlHhpxAlyViNnXkpnn42K/Ls1svsHgeTgLHsLemGe9M3YIx9oqiCQamki4/PdrgduwgjsIXOXGnKvwbze59OLQ1N5Gdwdf4xvk438A8DsWJw14gS5JxGxvJTPPxsV+XZrZfYPA8nAWPYWhYvHXLU1NlaKSkmmkp4ZLujkdrMeoaWuEh67mg9Wzi43fztyoZdmxy0+bMukwubLT1EZFx2hwII72uG4tsQR2ELkjNWBPy3mCamq+cbrA/Sad2u82kHzQXn7nD5n1H2k/tRK1pZRDEXSkBrQSSeQA3JVU+5w+Z9R9pP7USyePeaPQ+WBTUzrS1V2m3ZGPl/wCK4b4gu7kFMYlnepZ75gwOaSKllqJJWtb1XWe7YFw6wFgOqDbc3utRlrAJ8zYuynwhmp7uZ5NYBzc4+q0X5+wC5IB/eV8uT5oxdsGEt1OO5J+Sxva5x7APz5C5IC6nyNkyDJmFdFh41PdYyykdaQj/AEtG9m8hftJJIRyPCoOE+RnnDgJKqSzGuI608ztmNDb/ACQbnQDyB5kkmU5IwD4N5djhkOqU3kmfzL5H7vcT277X7gFHIT8MeJJdzpcN6re59Q7me49GBbvDh4qwUBERAREQEREBERARVvxoywyvwB1bTxtNRTWfvykja67mPHrNAJd5EdpUe4nS0j67B8UA6sj2PlaASXxAxu1OA56Lhu431AdgCC6UUSzxhMWZpaKmnDXNdL0z+V+iiadVncwHPfEwlpBs/mt9W4jT4FSN9/SQwRgWbrc2MADYAA2G2wsEGeihr+JNJO4jBGVVY4GxFNA94B8XuDWW353Xz0ri+J39H0VPStvs+qm6Qkdp6KEbHwLkEzWLiGJQ4ZDqxGWKJvfI9rB97iFGPgpWYhf07idQQTfRStbTNHhrGqQj+ILMw/IOH0Exe2mZJITcyTXmeTyvqkLiDt2IPF3ECkmeW4OKircDYimhfIPxCBH+pPSeKYh/5Cjgp29jqqbW729FCCPIvHkpU1oY2zAAB2BfUEFxnh+/NULW5vrHytadTWQRRwtabEXu4Pedj2uty2VUZx4K1eD6pMCPvqIb6QLStG/qcn9nydz9ELpFEHKXDvPc+Q8Vc2YOdA51poTsQRsXNB+TILWsdjax5AtsHjZhEWaMsQ4rgDhIGCz3N7YydiRzBY8kEHcajfkrJzXkiizZF/xeEF9rCVnVkb3dYcwL8nXHgq9o8k12QJ5Rho9/4dMCJ6blJpIILmsOznhth1T1uRaNiAy/c5ODMmVJeQAKlxJPZ8VGq3xdtRxY4hyeiRdnyWOdcNjiaSA521xckutzu4hSPCm+hskVtBRTMY2eqc0zydQRwdFEXOeHAWeQ4R9F8rUXAbtNsf8A8S6XJmE+9eH0Os+vUzC2t30gzYnw1aQPolBbuXsFouHGXLOeyNuxlmkIaZHeJ/IMHLxJJNe5y46MY10eUoy48unkBAHiyPmfa6245FU1jmO1GYKzpMZmfK/s1HZvg1o6rB4AALXIJhlTiVXZWgLMPfG6MuLiyRgddzuZLhZ5J8XKw8H4/jYY3SHxdC+/3Mfy/wASoxEHVWD8WcLxSw98dE4+rM0st7X7s/UpjR1sdfDqoZGSNPrMcHD7wbLiRe1HWSUM+uie+Nw5OY4tP3jdB24i5UwbivimFWAqTK0erM0SX9rz1/1Kb4Nx/cLDG6QHvdC+33Mff/UgvRFAsH4v4Xidg+Z0Lj6szC373C7B/iUyo66HFaUuoJWSMO2qN4cPJzTsfYUGWirHINM2vZXNxqrq3OgrpYIy6tmYdDNAbcNkaDzO9lL8n0r6SmnD53VELpnOge57pHBlgCxznc9L2vANzdtjdBu6iFtTTuZOAWuBa4HtBFiPuVTZAyw+ujraPGweipGS0UTjuSJn9K5/gQ0QkeBVur4BbkghPCqlqGYC048LSxA0rN79SGR7dW42JPV8RE09q3Ga8nUmbY2DHIy8svocHuaW6rXtpIB+SOYPJb9EFU4pwimZEBl/FKyNo5Mke5wHgCwt0jyKguMZCzBhm8cs87e0w1L3fpcWvPkF0giDjqvxTEcNm04jNXRO+jI+Vh+5xBWN8JKz63VfjP8A5l2RVUrKyEsq2Me082uaHA+R2UNxnhNheKkk0/ROItqhcY7exnyP0oOafhJWfW6r8Z/8yfCSs+t1X4z/AOZW3jPAE7nAqseDJmf5yM/kUFxrhXimEXL6Z0rR60JEl/4R1/0oI98JKz63VfjP/mT4SVn1uq/Gf/MsJ9HJHV9HJG8SEgBhaQ652A02vc9ys/JnBSpxYNkzETTRHfRzlcPYdo/4rkfRQQOjxmvrqlsdFUVkj3bNYySRzj7Gg3KnzsAqcsYQKrPldVRg/wBHSxVDjLKe4vuWxjlci9gew2Bs+vfhvCXLxfTRNa5ws1o3lncN7F53sCbk8m32G4BqfJIn4ncTGz42dUcXxrm76GNaepG0crF5Gx3IDjuboNtUQyYbmikhqjEyqqqVkg6ZvSsEhkl0QydKXOLSwNi1gl+sBwO7gd9gWfMPGIOpc5UEFFUsOl14mGO+3rWuwG9wTdtt9W6ivui3mPO1OYyQRTNII2IIllsQexSR+ERcYsix1EZazEIR0bn8g5zRfS+3qOvqB9UuNvWBCz4MFoqmEPp6elc1wu1zY4yCO8ECxC/fwepPqtN+Ez/ZcsYRmPEMg4q+OnfJE5jrSQv6zCdubDtuLdZu9jsVcmT+NtLimmPMLfe0h217uiJ9vOPzuB9JBYfwepPqtN+Ez/ZPg9SfVab8Jn+yxKvOVFSvDffEcjyLhkN53kHkdEQc6243tZY3wgq67+psPlAP/Mqntp2+3QNcvkWNQbT4PUn1Wm/CZ/svKpwehpIS+qgpGNHNzo42ge0kWC1pwfEcR/rOubA082UkQB/Gm1nzDWr9QZAoWzB9fE6pk+nVPdUH7pCWjyAQaipzHg7ZC3DKeOrkHqUlKJv1Nbo+9y8X0tXif9U4RQUzex9XocSO34qEEg+1ysKGFsEYbA1rWjkGgADyC/aCuHcLjijSMxVWppN+jpaeKmb7C4Nc9w9pCl2WMr0uVaN0eBx6GuOp13OcSbWvdxPYOQ2W5XhW0ceIUro65jJI3fKY9oc0733B2O4QV3w4wqlxmHFnV0MEwdiVQA5zGuu06Ds4i9t77d6luVnQ0sbqXCOtDTgAPDg4AuL3dHt2sbpJv2Pb4p8CcO+oUf4Ef8q2mG4bDhVPowyKOJl76Y2BgueZs0AX2H3IMpERAREQEREBERARFps2416BwN8sbdchsyFnbJI86Y2j2uI8gUGrIGYs8cgYaDtt8qokbyv/APVE7/FKO1qzM7ZvgydhBmxA3cbiOMHrSO7h3AbXd2e0gHUVmLQcMMls9KP6SY3cQD1qiZx1yO8BqdcuPIWHcDzbmrMk+asXdPirruOzWj5LG9jWjsA/PmdygZqzJPmrF3T4q67js1o+SxvY1o7APvPM7ldC8Dcteg8mtlmHxtVaU+DLfFj2aSXfxlUNknLLsczFRsrWvbTzS6ekLXBr9ILnNa/kXEN07HYkLr1rQxoDBYDYAdiDnX3R/wA84Psrf3ZVo+DubfgtmsCqdaCe0ct+TTfqPP8AdJI9jnLee6P+ecH2Vv7sqqhB1NxR4dx5zoddLpZVMHUf2PHPQ/w7j2E+0LmHEKGTDa18VexzJGGzmuFiD/329q6Q4R57ZiuV4Y8YeWSsd0Ie8ENlLQC0CQ9V0mki7b6ja9rFZnFLhzHnGj6Sj0sq2DqO5CQD1H/9HdnsQQr3O2aA10tBVEAm8kJ7/pt8dusB/eV5rjCmmqMrZga4B0VRTyX0uFrFp5EdoI28QfFdfZdxmPMGBw1NF8iVocB9E8nNNu1rgWnxCDYoiICIiAiIgIiICIiAiIgIiICIiAqnztnSCjzK6etOuKguyCIHeeqc3rd9mwscAXEdUydpsDaNc2R1DIKEtEhYdBcLgOsdJI7Re2yqrKXBaOFzZc4Smpkvfow52gEnUbuPWkJO/YLk3BQVaKTE+KmPulax0hvYu3bDCNuqHHZoF76Rdx3O5urcyZwWpcH0yY8RVS89JFomn+56/tdt/ZCs2lpmUdO1lIxrGNFmtaA0AdwA2C9UEG4s0/vbK8VTSt3op4p2tbts1wa4eA0uv5KbxSCWMOjNwRcHvBWJjeHjFsGngl5SxuYfDU0i/ldaPhjXmvyLSmcEPjZ0LweYdETEb+J0X80FO+6P+ecH2Vv7sqqhWv7o/wCecH2Vv7sqrXBcPOLYxDBFzlkbGDztqcG38r3QdP8ACvAm0fDWmirWMeJmGSRrmghwlJcA5p2PULRv3LanBpsJ3y5L1B/7acudH7GSbvh9nXYALBoW+hiEELWxCzWgADuAFgv2gqLiJl2DOtg5ho8TAsxk1miosPktkHUl8C0lw9YDs1HAXMD8KxabC8XDmOLi6Nrti17f6RnmBqty6ru9XXiOHxYpSGLEo2Sxu5te0OB7tj2jvVZZs4UyzYrDVZWqS2WJzS1s5L7aSCLTbyOAtYNfq22uBsgtZF8HLdfUBERAREQEREBERAREQEREBERAREQEREBQzJLfRuZsVpbEATtqWX5EVDLut3ASMdt4qZqIYq30dxJopgDpqYJKZx7NTLTx3HeQJRdBUfuj/nnB9lb+7KtZwHwr0jxAY9w6sEbpT3Xt0bfO77/wrZ+6P+ecH2Vv7sqk/ubsK6LBqqpfe8kgjbcdkbdRI9pkt/CguRERAREQEREBERAREQEREBERAREQEREBERAREQEREBRXiQzosvtqGAl1JNHUC3cx4En/AOTnqVLGxKjbiOHSw1G7JGOY72OBafyKDnz3Rp1Zypy36q392VXHwwwn0NkOjjcLOMYkdfneS8hB9mq3kqRzbSvzNmfBoKi+t0EdPL3h0VRNDKfLQ4rpZrdLQG8gg+oiICIiAiIgIiICIiAiIgIiICIiAiIgIiICIiAiIgIi/EsghiLpSA1ouSTYADcknsCCq8Ly45vHSV8g+KiidPH4Gfqkecjp3ferXUdq80w0VG6oqIKkRdGHiYQl2pti4bNu9gAJPxjWgX7N1uMKrm4phcM9OCGyxtkaHbEB7Q4XAJF7HvQZSIiAiIgIiICIiAiIgIiICIiAiIgIiICIiAiIgIiICwsaw9mLYRNBWfIlY5jiNrBwte/hzWasbE6c1eHSxstd7HNF+W7SN/vQVHh+ZsQyJKKTPkJmoQ3oxVMYXBrbaG6iPlDkC1wD979ba9r4GIRgsAwi3QCJgisSeoGgM3duerbnuo9SUGIVGBvpcdZRSNMZi6bpJCX9XSHPg6PcnmQJBvyI7N/gGEswLBYaekLiyJgaC43JtzJ9p37u5BsEREBERAREQEREBERAREQEREBERAREQEREBERAREQEREBERAREQEREBERAREQEREBERB//2Q==">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9334500" y="214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0.xml><?xml version="1.0" encoding="utf-8"?>
<xdr:wsDr xmlns:xdr="http://schemas.openxmlformats.org/drawingml/2006/spreadsheetDrawing" xmlns:a="http://schemas.openxmlformats.org/drawingml/2006/main">
  <xdr:twoCellAnchor editAs="oneCell">
    <xdr:from>
      <xdr:col>22</xdr:col>
      <xdr:colOff>41562</xdr:colOff>
      <xdr:row>0</xdr:row>
      <xdr:rowOff>85725</xdr:rowOff>
    </xdr:from>
    <xdr:to>
      <xdr:col>22</xdr:col>
      <xdr:colOff>410440</xdr:colOff>
      <xdr:row>2</xdr:row>
      <xdr:rowOff>41565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1D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336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D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14</xdr:col>
      <xdr:colOff>213012</xdr:colOff>
      <xdr:row>0</xdr:row>
      <xdr:rowOff>85725</xdr:rowOff>
    </xdr:from>
    <xdr:to>
      <xdr:col>14</xdr:col>
      <xdr:colOff>581890</xdr:colOff>
      <xdr:row>2</xdr:row>
      <xdr:rowOff>41565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091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1" name="Image 10" descr="http://www.zigomatik.org/wp-content/uploads/2014/01/PENDULE.jpg">
          <a:hlinkClick xmlns:r="http://schemas.openxmlformats.org/officeDocument/2006/relationships" r:id="rId6"/>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14</xdr:col>
      <xdr:colOff>213012</xdr:colOff>
      <xdr:row>0</xdr:row>
      <xdr:rowOff>76200</xdr:rowOff>
    </xdr:from>
    <xdr:to>
      <xdr:col>14</xdr:col>
      <xdr:colOff>581890</xdr:colOff>
      <xdr:row>2</xdr:row>
      <xdr:rowOff>32040</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18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178377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178378</xdr:colOff>
      <xdr:row>0</xdr:row>
      <xdr:rowOff>76199</xdr:rowOff>
    </xdr:from>
    <xdr:to>
      <xdr:col>2</xdr:col>
      <xdr:colOff>526624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a16="http://schemas.microsoft.com/office/drawing/2014/main"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292167" cy="6064250"/>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twoCellAnchor editAs="oneCell">
    <xdr:from>
      <xdr:col>17</xdr:col>
      <xdr:colOff>346362</xdr:colOff>
      <xdr:row>0</xdr:row>
      <xdr:rowOff>85725</xdr:rowOff>
    </xdr:from>
    <xdr:to>
      <xdr:col>17</xdr:col>
      <xdr:colOff>715240</xdr:colOff>
      <xdr:row>2</xdr:row>
      <xdr:rowOff>41565</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7186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17</xdr:col>
      <xdr:colOff>346362</xdr:colOff>
      <xdr:row>0</xdr:row>
      <xdr:rowOff>85725</xdr:rowOff>
    </xdr:from>
    <xdr:to>
      <xdr:col>17</xdr:col>
      <xdr:colOff>715240</xdr:colOff>
      <xdr:row>2</xdr:row>
      <xdr:rowOff>41565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7186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645968</xdr:colOff>
      <xdr:row>2</xdr:row>
      <xdr:rowOff>64756</xdr:rowOff>
    </xdr:to>
    <xdr:pic>
      <xdr:nvPicPr>
        <xdr:cNvPr id="7" name="Picture 3">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674543</xdr:colOff>
      <xdr:row>0</xdr:row>
      <xdr:rowOff>76199</xdr:rowOff>
    </xdr:from>
    <xdr:to>
      <xdr:col>2</xdr:col>
      <xdr:colOff>264102</xdr:colOff>
      <xdr:row>2</xdr:row>
      <xdr:rowOff>12122</xdr:rowOff>
    </xdr:to>
    <xdr:pic>
      <xdr:nvPicPr>
        <xdr:cNvPr id="8" name="Image 7"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264103</xdr:colOff>
      <xdr:row>0</xdr:row>
      <xdr:rowOff>76199</xdr:rowOff>
    </xdr:from>
    <xdr:to>
      <xdr:col>2</xdr:col>
      <xdr:colOff>612349</xdr:colOff>
      <xdr:row>2</xdr:row>
      <xdr:rowOff>12122</xdr:rowOff>
    </xdr:to>
    <xdr:pic>
      <xdr:nvPicPr>
        <xdr:cNvPr id="9" name="Image 8" descr="http://www.zigomatik.org/wp-content/uploads/2014/01/PENDULE.jpg">
          <a:hlinkClick xmlns:r="http://schemas.openxmlformats.org/officeDocument/2006/relationships" r:id="rId5"/>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647700</xdr:colOff>
      <xdr:row>0</xdr:row>
      <xdr:rowOff>104775</xdr:rowOff>
    </xdr:from>
    <xdr:to>
      <xdr:col>1</xdr:col>
      <xdr:colOff>798964</xdr:colOff>
      <xdr:row>0</xdr:row>
      <xdr:rowOff>356242</xdr:rowOff>
    </xdr:to>
    <xdr:pic>
      <xdr:nvPicPr>
        <xdr:cNvPr id="4" name="Image 3" descr="https://encrypted-tbn1.gstatic.com/images?q=tbn:ANd9GcT2ejd5ACt0xRwhfEOREJYsnqLiKcI3fFhgAM6sHC0YZuUTZQQ_-Htyx9w2">
          <a:hlinkClick xmlns:r="http://schemas.openxmlformats.org/officeDocument/2006/relationships" r:id="rId1"/>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104775"/>
          <a:ext cx="151264" cy="251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858172</xdr:colOff>
      <xdr:row>0</xdr:row>
      <xdr:rowOff>116533</xdr:rowOff>
    </xdr:from>
    <xdr:to>
      <xdr:col>1</xdr:col>
      <xdr:colOff>1140660</xdr:colOff>
      <xdr:row>0</xdr:row>
      <xdr:rowOff>364181</xdr:rowOff>
    </xdr:to>
    <xdr:pic>
      <xdr:nvPicPr>
        <xdr:cNvPr id="5" name="Image 4">
          <a:hlinkClick xmlns:r="http://schemas.openxmlformats.org/officeDocument/2006/relationships" r:id="rId3"/>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0172" y="116533"/>
          <a:ext cx="282488" cy="247648"/>
        </a:xfrm>
        <a:prstGeom prst="rect">
          <a:avLst/>
        </a:prstGeom>
      </xdr:spPr>
    </xdr:pic>
    <xdr:clientData/>
  </xdr:twoCellAnchor>
  <xdr:twoCellAnchor>
    <xdr:from>
      <xdr:col>0</xdr:col>
      <xdr:colOff>0</xdr:colOff>
      <xdr:row>0</xdr:row>
      <xdr:rowOff>0</xdr:rowOff>
    </xdr:from>
    <xdr:to>
      <xdr:col>1</xdr:col>
      <xdr:colOff>533400</xdr:colOff>
      <xdr:row>0</xdr:row>
      <xdr:rowOff>481258</xdr:rowOff>
    </xdr:to>
    <xdr:pic>
      <xdr:nvPicPr>
        <xdr:cNvPr id="6" name="Picture 3">
          <a:hlinkClick xmlns:r="http://schemas.openxmlformats.org/officeDocument/2006/relationships" r:id="rId5"/>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1295400" cy="481258"/>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74468</xdr:colOff>
      <xdr:row>2</xdr:row>
      <xdr:rowOff>64756</xdr:rowOff>
    </xdr:to>
    <xdr:pic>
      <xdr:nvPicPr>
        <xdr:cNvPr id="2" name="Picture 3">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103043</xdr:colOff>
      <xdr:row>0</xdr:row>
      <xdr:rowOff>76199</xdr:rowOff>
    </xdr:from>
    <xdr:to>
      <xdr:col>2</xdr:col>
      <xdr:colOff>454602</xdr:colOff>
      <xdr:row>2</xdr:row>
      <xdr:rowOff>12122</xdr:rowOff>
    </xdr:to>
    <xdr:pic>
      <xdr:nvPicPr>
        <xdr:cNvPr id="3" name="Image 2"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454603</xdr:colOff>
      <xdr:row>0</xdr:row>
      <xdr:rowOff>76199</xdr:rowOff>
    </xdr:from>
    <xdr:to>
      <xdr:col>2</xdr:col>
      <xdr:colOff>802849</xdr:colOff>
      <xdr:row>2</xdr:row>
      <xdr:rowOff>12122</xdr:rowOff>
    </xdr:to>
    <xdr:pic>
      <xdr:nvPicPr>
        <xdr:cNvPr id="4" name="Image 3" descr="http://www.zigomatik.org/wp-content/uploads/2014/01/PENDULE.jp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13</xdr:col>
      <xdr:colOff>346362</xdr:colOff>
      <xdr:row>0</xdr:row>
      <xdr:rowOff>76200</xdr:rowOff>
    </xdr:from>
    <xdr:to>
      <xdr:col>13</xdr:col>
      <xdr:colOff>715240</xdr:colOff>
      <xdr:row>2</xdr:row>
      <xdr:rowOff>32040</xdr:rowOff>
    </xdr:to>
    <xdr:pic macro="[0]!InscripToDO">
      <xdr:nvPicPr>
        <xdr:cNvPr id="8" name="Image 7" descr="https://cdn2.iconfinder.com/data/icons/picons-essentials/57/checklist-512.png">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143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922193</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7793</xdr:colOff>
      <xdr:row>0</xdr:row>
      <xdr:rowOff>76199</xdr:rowOff>
    </xdr:from>
    <xdr:to>
      <xdr:col>2</xdr:col>
      <xdr:colOff>359352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359353</xdr:colOff>
      <xdr:row>0</xdr:row>
      <xdr:rowOff>76199</xdr:rowOff>
    </xdr:from>
    <xdr:to>
      <xdr:col>2</xdr:col>
      <xdr:colOff>707599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13</xdr:col>
      <xdr:colOff>298737</xdr:colOff>
      <xdr:row>0</xdr:row>
      <xdr:rowOff>85725</xdr:rowOff>
    </xdr:from>
    <xdr:to>
      <xdr:col>13</xdr:col>
      <xdr:colOff>667615</xdr:colOff>
      <xdr:row>2</xdr:row>
      <xdr:rowOff>41565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84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13</xdr:col>
      <xdr:colOff>298737</xdr:colOff>
      <xdr:row>0</xdr:row>
      <xdr:rowOff>85725</xdr:rowOff>
    </xdr:from>
    <xdr:to>
      <xdr:col>13</xdr:col>
      <xdr:colOff>667615</xdr:colOff>
      <xdr:row>2</xdr:row>
      <xdr:rowOff>41565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84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13</xdr:col>
      <xdr:colOff>346362</xdr:colOff>
      <xdr:row>0</xdr:row>
      <xdr:rowOff>76200</xdr:rowOff>
    </xdr:from>
    <xdr:to>
      <xdr:col>13</xdr:col>
      <xdr:colOff>715240</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285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13</xdr:col>
      <xdr:colOff>298737</xdr:colOff>
      <xdr:row>0</xdr:row>
      <xdr:rowOff>76200</xdr:rowOff>
    </xdr:from>
    <xdr:to>
      <xdr:col>13</xdr:col>
      <xdr:colOff>667615</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848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13</xdr:col>
      <xdr:colOff>346362</xdr:colOff>
      <xdr:row>0</xdr:row>
      <xdr:rowOff>76200</xdr:rowOff>
    </xdr:from>
    <xdr:to>
      <xdr:col>13</xdr:col>
      <xdr:colOff>715240</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143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922193</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7793</xdr:colOff>
      <xdr:row>0</xdr:row>
      <xdr:rowOff>76199</xdr:rowOff>
    </xdr:from>
    <xdr:to>
      <xdr:col>2</xdr:col>
      <xdr:colOff>359352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359353</xdr:colOff>
      <xdr:row>0</xdr:row>
      <xdr:rowOff>76199</xdr:rowOff>
    </xdr:from>
    <xdr:to>
      <xdr:col>2</xdr:col>
      <xdr:colOff>707599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13</xdr:col>
      <xdr:colOff>346362</xdr:colOff>
      <xdr:row>0</xdr:row>
      <xdr:rowOff>76200</xdr:rowOff>
    </xdr:from>
    <xdr:to>
      <xdr:col>13</xdr:col>
      <xdr:colOff>715240</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143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922193</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7793</xdr:colOff>
      <xdr:row>0</xdr:row>
      <xdr:rowOff>76199</xdr:rowOff>
    </xdr:from>
    <xdr:to>
      <xdr:col>2</xdr:col>
      <xdr:colOff>359352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359353</xdr:colOff>
      <xdr:row>0</xdr:row>
      <xdr:rowOff>76199</xdr:rowOff>
    </xdr:from>
    <xdr:to>
      <xdr:col>2</xdr:col>
      <xdr:colOff>707599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13</xdr:col>
      <xdr:colOff>346362</xdr:colOff>
      <xdr:row>0</xdr:row>
      <xdr:rowOff>76200</xdr:rowOff>
    </xdr:from>
    <xdr:to>
      <xdr:col>13</xdr:col>
      <xdr:colOff>715240</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2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3808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E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2E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17</xdr:col>
      <xdr:colOff>346362</xdr:colOff>
      <xdr:row>0</xdr:row>
      <xdr:rowOff>85725</xdr:rowOff>
    </xdr:from>
    <xdr:to>
      <xdr:col>17</xdr:col>
      <xdr:colOff>715240</xdr:colOff>
      <xdr:row>2</xdr:row>
      <xdr:rowOff>41565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7186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absoluteAnchor>
    <xdr:pos x="0" y="0"/>
    <xdr:ext cx="9301454" cy="6074617"/>
    <xdr:graphicFrame macro="">
      <xdr:nvGraphicFramePr>
        <xdr:cNvPr id="2" name="Graphique 1">
          <a:extLst>
            <a:ext uri="{FF2B5EF4-FFF2-40B4-BE49-F238E27FC236}">
              <a16:creationId xmlns:a16="http://schemas.microsoft.com/office/drawing/2014/main" id="{00000000-0008-0000-3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1152525</xdr:colOff>
      <xdr:row>2</xdr:row>
      <xdr:rowOff>64756</xdr:rowOff>
    </xdr:to>
    <xdr:pic>
      <xdr:nvPicPr>
        <xdr:cNvPr id="7" name="Picture 3">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152525" cy="483856"/>
        </a:xfrm>
        <a:prstGeom prst="rect">
          <a:avLst/>
        </a:prstGeom>
        <a:noFill/>
        <a:ln w="9525">
          <a:noFill/>
          <a:miter lim="800000"/>
          <a:headEnd/>
          <a:tailEnd/>
        </a:ln>
      </xdr:spPr>
    </xdr:pic>
    <xdr:clientData/>
  </xdr:twoCellAnchor>
  <xdr:twoCellAnchor editAs="oneCell">
    <xdr:from>
      <xdr:col>0</xdr:col>
      <xdr:colOff>1312718</xdr:colOff>
      <xdr:row>0</xdr:row>
      <xdr:rowOff>76199</xdr:rowOff>
    </xdr:from>
    <xdr:to>
      <xdr:col>1</xdr:col>
      <xdr:colOff>302202</xdr:colOff>
      <xdr:row>2</xdr:row>
      <xdr:rowOff>12122</xdr:rowOff>
    </xdr:to>
    <xdr:pic>
      <xdr:nvPicPr>
        <xdr:cNvPr id="8" name="Image 7" descr="http://newhaventech.com/wp-content/uploads/2012/11/Direction-sign.png">
          <a:hlinkClick xmlns:r="http://schemas.openxmlformats.org/officeDocument/2006/relationships" r:id="rId3"/>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2718"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607003</xdr:colOff>
      <xdr:row>0</xdr:row>
      <xdr:rowOff>85724</xdr:rowOff>
    </xdr:from>
    <xdr:to>
      <xdr:col>2</xdr:col>
      <xdr:colOff>145624</xdr:colOff>
      <xdr:row>2</xdr:row>
      <xdr:rowOff>21647</xdr:rowOff>
    </xdr:to>
    <xdr:pic>
      <xdr:nvPicPr>
        <xdr:cNvPr id="9" name="Image 8" descr="http://www.zigomatik.org/wp-content/uploads/2014/01/PENDULE.jpg">
          <a:hlinkClick xmlns:r="http://schemas.openxmlformats.org/officeDocument/2006/relationships" r:id="rId5"/>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69078" y="85724"/>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0</xdr:rowOff>
    </xdr:from>
    <xdr:to>
      <xdr:col>13</xdr:col>
      <xdr:colOff>371475</xdr:colOff>
      <xdr:row>3</xdr:row>
      <xdr:rowOff>32039</xdr:rowOff>
    </xdr:to>
    <xdr:pic macro="[0]!InscripToDO">
      <xdr:nvPicPr>
        <xdr:cNvPr id="5" name="Image 4" descr="https://cdn2.iconfinder.com/data/icons/picons-essentials/57/checklist-512.png">
          <a:hlinkClick xmlns:r="http://schemas.openxmlformats.org/officeDocument/2006/relationships" r:id="rId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963275" y="190500"/>
          <a:ext cx="371475" cy="374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13</xdr:col>
      <xdr:colOff>352425</xdr:colOff>
      <xdr:row>0</xdr:row>
      <xdr:rowOff>76200</xdr:rowOff>
    </xdr:from>
    <xdr:to>
      <xdr:col>13</xdr:col>
      <xdr:colOff>723900</xdr:colOff>
      <xdr:row>2</xdr:row>
      <xdr:rowOff>28575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5550" y="7620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64943</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93518</xdr:colOff>
      <xdr:row>0</xdr:row>
      <xdr:rowOff>76199</xdr:rowOff>
    </xdr:from>
    <xdr:to>
      <xdr:col>2</xdr:col>
      <xdr:colOff>445077</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445078</xdr:colOff>
      <xdr:row>0</xdr:row>
      <xdr:rowOff>76199</xdr:rowOff>
    </xdr:from>
    <xdr:to>
      <xdr:col>3</xdr:col>
      <xdr:colOff>31324</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428625</xdr:colOff>
      <xdr:row>115</xdr:row>
      <xdr:rowOff>28580</xdr:rowOff>
    </xdr:from>
    <xdr:to>
      <xdr:col>6</xdr:col>
      <xdr:colOff>428625</xdr:colOff>
      <xdr:row>133</xdr:row>
      <xdr:rowOff>38099</xdr:rowOff>
    </xdr:to>
    <xdr:graphicFrame macro="">
      <xdr:nvGraphicFramePr>
        <xdr:cNvPr id="6" name="Graphique 5">
          <a:extLst>
            <a:ext uri="{FF2B5EF4-FFF2-40B4-BE49-F238E27FC236}">
              <a16:creationId xmlns:a16="http://schemas.microsoft.com/office/drawing/2014/main" id="{00000000-0008-0000-3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16</xdr:col>
      <xdr:colOff>342900</xdr:colOff>
      <xdr:row>0</xdr:row>
      <xdr:rowOff>76201</xdr:rowOff>
    </xdr:from>
    <xdr:to>
      <xdr:col>16</xdr:col>
      <xdr:colOff>714375</xdr:colOff>
      <xdr:row>2</xdr:row>
      <xdr:rowOff>28576</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3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96625"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150668</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32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179243</xdr:colOff>
      <xdr:row>0</xdr:row>
      <xdr:rowOff>76199</xdr:rowOff>
    </xdr:from>
    <xdr:to>
      <xdr:col>2</xdr:col>
      <xdr:colOff>530802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2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530803</xdr:colOff>
      <xdr:row>0</xdr:row>
      <xdr:rowOff>76199</xdr:rowOff>
    </xdr:from>
    <xdr:to>
      <xdr:col>2</xdr:col>
      <xdr:colOff>879049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32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81</xdr:row>
      <xdr:rowOff>28575</xdr:rowOff>
    </xdr:from>
    <xdr:to>
      <xdr:col>11</xdr:col>
      <xdr:colOff>66675</xdr:colOff>
      <xdr:row>112</xdr:row>
      <xdr:rowOff>57150</xdr:rowOff>
    </xdr:to>
    <xdr:graphicFrame macro="">
      <xdr:nvGraphicFramePr>
        <xdr:cNvPr id="14" name="Graphique 13">
          <a:extLst>
            <a:ext uri="{FF2B5EF4-FFF2-40B4-BE49-F238E27FC236}">
              <a16:creationId xmlns:a16="http://schemas.microsoft.com/office/drawing/2014/main" id="{00000000-0008-0000-3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81</xdr:row>
      <xdr:rowOff>0</xdr:rowOff>
    </xdr:from>
    <xdr:to>
      <xdr:col>20</xdr:col>
      <xdr:colOff>78317</xdr:colOff>
      <xdr:row>112</xdr:row>
      <xdr:rowOff>58210</xdr:rowOff>
    </xdr:to>
    <xdr:graphicFrame macro="">
      <xdr:nvGraphicFramePr>
        <xdr:cNvPr id="15" name="Graphique 14">
          <a:extLst>
            <a:ext uri="{FF2B5EF4-FFF2-40B4-BE49-F238E27FC236}">
              <a16:creationId xmlns:a16="http://schemas.microsoft.com/office/drawing/2014/main" id="{00000000-0008-0000-3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15</xdr:col>
      <xdr:colOff>54984</xdr:colOff>
      <xdr:row>0</xdr:row>
      <xdr:rowOff>93085</xdr:rowOff>
    </xdr:from>
    <xdr:to>
      <xdr:col>15</xdr:col>
      <xdr:colOff>392690</xdr:colOff>
      <xdr:row>2</xdr:row>
      <xdr:rowOff>11691</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4734" y="93085"/>
          <a:ext cx="337706" cy="337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3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3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3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13</xdr:col>
      <xdr:colOff>352424</xdr:colOff>
      <xdr:row>0</xdr:row>
      <xdr:rowOff>76200</xdr:rowOff>
    </xdr:from>
    <xdr:to>
      <xdr:col>13</xdr:col>
      <xdr:colOff>723900</xdr:colOff>
      <xdr:row>2</xdr:row>
      <xdr:rowOff>28576</xdr:rowOff>
    </xdr:to>
    <xdr:pic macro="[0]!InscripToDO">
      <xdr:nvPicPr>
        <xdr:cNvPr id="14" name="Image 13" descr="https://cdn2.iconfinder.com/data/icons/picons-essentials/57/checklist-512.png">
          <a:extLst>
            <a:ext uri="{FF2B5EF4-FFF2-40B4-BE49-F238E27FC236}">
              <a16:creationId xmlns:a16="http://schemas.microsoft.com/office/drawing/2014/main" id="{00000000-0008-0000-3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3674" y="76200"/>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7" name="Image 6"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4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8" name="Image 7" descr="http://www.zigomatik.org/wp-content/uploads/2014/01/PENDULE.jpg">
          <a:hlinkClick xmlns:r="http://schemas.openxmlformats.org/officeDocument/2006/relationships" r:id="rId6"/>
          <a:extLst>
            <a:ext uri="{FF2B5EF4-FFF2-40B4-BE49-F238E27FC236}">
              <a16:creationId xmlns:a16="http://schemas.microsoft.com/office/drawing/2014/main" id="{00000000-0008-0000-34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13</xdr:col>
      <xdr:colOff>342900</xdr:colOff>
      <xdr:row>0</xdr:row>
      <xdr:rowOff>76201</xdr:rowOff>
    </xdr:from>
    <xdr:to>
      <xdr:col>13</xdr:col>
      <xdr:colOff>714375</xdr:colOff>
      <xdr:row>2</xdr:row>
      <xdr:rowOff>28576</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4150"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5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5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5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13</xdr:col>
      <xdr:colOff>342900</xdr:colOff>
      <xdr:row>0</xdr:row>
      <xdr:rowOff>76201</xdr:rowOff>
    </xdr:from>
    <xdr:to>
      <xdr:col>13</xdr:col>
      <xdr:colOff>714375</xdr:colOff>
      <xdr:row>2</xdr:row>
      <xdr:rowOff>28576</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3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0"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750743</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36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17318</xdr:colOff>
      <xdr:row>0</xdr:row>
      <xdr:rowOff>76199</xdr:rowOff>
    </xdr:from>
    <xdr:to>
      <xdr:col>2</xdr:col>
      <xdr:colOff>368877</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6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368878</xdr:colOff>
      <xdr:row>0</xdr:row>
      <xdr:rowOff>76199</xdr:rowOff>
    </xdr:from>
    <xdr:to>
      <xdr:col>2</xdr:col>
      <xdr:colOff>717124</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36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58</xdr:row>
      <xdr:rowOff>27440</xdr:rowOff>
    </xdr:from>
    <xdr:to>
      <xdr:col>10</xdr:col>
      <xdr:colOff>156257</xdr:colOff>
      <xdr:row>86</xdr:row>
      <xdr:rowOff>50800</xdr:rowOff>
    </xdr:to>
    <xdr:graphicFrame macro="">
      <xdr:nvGraphicFramePr>
        <xdr:cNvPr id="15" name="Graphique 14">
          <a:extLst>
            <a:ext uri="{FF2B5EF4-FFF2-40B4-BE49-F238E27FC236}">
              <a16:creationId xmlns:a16="http://schemas.microsoft.com/office/drawing/2014/main" id="{00000000-0008-0000-3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22</xdr:col>
      <xdr:colOff>38099</xdr:colOff>
      <xdr:row>0</xdr:row>
      <xdr:rowOff>85725</xdr:rowOff>
    </xdr:from>
    <xdr:to>
      <xdr:col>22</xdr:col>
      <xdr:colOff>406977</xdr:colOff>
      <xdr:row>2</xdr:row>
      <xdr:rowOff>41565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899"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7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22</xdr:col>
      <xdr:colOff>57148</xdr:colOff>
      <xdr:row>0</xdr:row>
      <xdr:rowOff>70138</xdr:rowOff>
    </xdr:from>
    <xdr:to>
      <xdr:col>22</xdr:col>
      <xdr:colOff>426026</xdr:colOff>
      <xdr:row>2</xdr:row>
      <xdr:rowOff>29442</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9171" y="70138"/>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8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8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8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22</xdr:col>
      <xdr:colOff>51087</xdr:colOff>
      <xdr:row>0</xdr:row>
      <xdr:rowOff>85725</xdr:rowOff>
    </xdr:from>
    <xdr:to>
      <xdr:col>22</xdr:col>
      <xdr:colOff>419965</xdr:colOff>
      <xdr:row>2</xdr:row>
      <xdr:rowOff>41565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28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9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9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9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14</xdr:col>
      <xdr:colOff>213012</xdr:colOff>
      <xdr:row>0</xdr:row>
      <xdr:rowOff>85725</xdr:rowOff>
    </xdr:from>
    <xdr:to>
      <xdr:col>14</xdr:col>
      <xdr:colOff>581890</xdr:colOff>
      <xdr:row>2</xdr:row>
      <xdr:rowOff>41565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3A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0912"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A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3A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265834</xdr:colOff>
      <xdr:row>0</xdr:row>
      <xdr:rowOff>69272</xdr:rowOff>
    </xdr:from>
    <xdr:to>
      <xdr:col>13</xdr:col>
      <xdr:colOff>637309</xdr:colOff>
      <xdr:row>2</xdr:row>
      <xdr:rowOff>25111</xdr:rowOff>
    </xdr:to>
    <xdr:pic macro="[0]!InscripToDO">
      <xdr:nvPicPr>
        <xdr:cNvPr id="8" name="Image 7"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67084" y="69272"/>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68220</xdr:rowOff>
    </xdr:to>
    <xdr:pic>
      <xdr:nvPicPr>
        <xdr:cNvPr id="12" name="Picture 3">
          <a:hlinkClick xmlns:r="http://schemas.openxmlformats.org/officeDocument/2006/relationships" r:id="rId3"/>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15586</xdr:rowOff>
    </xdr:to>
    <xdr:pic>
      <xdr:nvPicPr>
        <xdr:cNvPr id="14" name="Image 13"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15586</xdr:rowOff>
    </xdr:to>
    <xdr:pic>
      <xdr:nvPicPr>
        <xdr:cNvPr id="15" name="Image 14" descr="http://www.zigomatik.org/wp-content/uploads/2014/01/PENDULE.jpg">
          <a:hlinkClick xmlns:r="http://schemas.openxmlformats.org/officeDocument/2006/relationships" r:id="rId7"/>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14</xdr:col>
      <xdr:colOff>432087</xdr:colOff>
      <xdr:row>0</xdr:row>
      <xdr:rowOff>76200</xdr:rowOff>
    </xdr:from>
    <xdr:to>
      <xdr:col>14</xdr:col>
      <xdr:colOff>800965</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3B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73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3B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B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3B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14</xdr:col>
      <xdr:colOff>213012</xdr:colOff>
      <xdr:row>0</xdr:row>
      <xdr:rowOff>76200</xdr:rowOff>
    </xdr:from>
    <xdr:to>
      <xdr:col>14</xdr:col>
      <xdr:colOff>581890</xdr:colOff>
      <xdr:row>2</xdr:row>
      <xdr:rowOff>32040</xdr:rowOff>
    </xdr:to>
    <xdr:pic macro="[0]!InscripToDO">
      <xdr:nvPicPr>
        <xdr:cNvPr id="5" name="Image 4" descr="https://cdn2.iconfinder.com/data/icons/picons-essentials/57/checklist-512.png">
          <a:extLst>
            <a:ext uri="{FF2B5EF4-FFF2-40B4-BE49-F238E27FC236}">
              <a16:creationId xmlns:a16="http://schemas.microsoft.com/office/drawing/2014/main" id="{00000000-0008-0000-3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18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178377</xdr:colOff>
      <xdr:row>2</xdr:row>
      <xdr:rowOff>12122</xdr:rowOff>
    </xdr:to>
    <xdr:pic>
      <xdr:nvPicPr>
        <xdr:cNvPr id="7" name="Image 6"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C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178378</xdr:colOff>
      <xdr:row>0</xdr:row>
      <xdr:rowOff>76199</xdr:rowOff>
    </xdr:from>
    <xdr:to>
      <xdr:col>2</xdr:col>
      <xdr:colOff>526624</xdr:colOff>
      <xdr:row>2</xdr:row>
      <xdr:rowOff>12122</xdr:rowOff>
    </xdr:to>
    <xdr:pic>
      <xdr:nvPicPr>
        <xdr:cNvPr id="8" name="Image 7" descr="http://www.zigomatik.org/wp-content/uploads/2014/01/PENDULE.jpg">
          <a:hlinkClick xmlns:r="http://schemas.openxmlformats.org/officeDocument/2006/relationships" r:id="rId6"/>
          <a:extLst>
            <a:ext uri="{FF2B5EF4-FFF2-40B4-BE49-F238E27FC236}">
              <a16:creationId xmlns:a16="http://schemas.microsoft.com/office/drawing/2014/main" id="{00000000-0008-0000-3C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6</xdr:col>
      <xdr:colOff>400049</xdr:colOff>
      <xdr:row>59</xdr:row>
      <xdr:rowOff>47624</xdr:rowOff>
    </xdr:from>
    <xdr:to>
      <xdr:col>16</xdr:col>
      <xdr:colOff>219075</xdr:colOff>
      <xdr:row>86</xdr:row>
      <xdr:rowOff>85725</xdr:rowOff>
    </xdr:to>
    <xdr:graphicFrame macro="">
      <xdr:nvGraphicFramePr>
        <xdr:cNvPr id="2" name="Graphique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70</xdr:row>
      <xdr:rowOff>19050</xdr:rowOff>
    </xdr:from>
    <xdr:to>
      <xdr:col>16</xdr:col>
      <xdr:colOff>314326</xdr:colOff>
      <xdr:row>97</xdr:row>
      <xdr:rowOff>57151</xdr:rowOff>
    </xdr:to>
    <xdr:graphicFrame macro="">
      <xdr:nvGraphicFramePr>
        <xdr:cNvPr id="3" name="Graphique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60</xdr:row>
      <xdr:rowOff>0</xdr:rowOff>
    </xdr:from>
    <xdr:to>
      <xdr:col>11</xdr:col>
      <xdr:colOff>542926</xdr:colOff>
      <xdr:row>86</xdr:row>
      <xdr:rowOff>117475</xdr:rowOff>
    </xdr:to>
    <xdr:graphicFrame macro="">
      <xdr:nvGraphicFramePr>
        <xdr:cNvPr id="4" name="Graphique 3">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298737</xdr:colOff>
      <xdr:row>0</xdr:row>
      <xdr:rowOff>76200</xdr:rowOff>
    </xdr:from>
    <xdr:to>
      <xdr:col>13</xdr:col>
      <xdr:colOff>667615</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3D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2848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1" name="Picture 3">
          <a:hlinkClick xmlns:r="http://schemas.openxmlformats.org/officeDocument/2006/relationships" r:id="rId5"/>
          <a:extLst>
            <a:ext uri="{FF2B5EF4-FFF2-40B4-BE49-F238E27FC236}">
              <a16:creationId xmlns:a16="http://schemas.microsoft.com/office/drawing/2014/main" id="{00000000-0008-0000-3D00-00000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2" name="Image 11" descr="http://newhaventech.com/wp-content/uploads/2012/11/Direction-sign.png">
          <a:hlinkClick xmlns:r="http://schemas.openxmlformats.org/officeDocument/2006/relationships" r:id="rId7"/>
          <a:extLst>
            <a:ext uri="{FF2B5EF4-FFF2-40B4-BE49-F238E27FC236}">
              <a16:creationId xmlns:a16="http://schemas.microsoft.com/office/drawing/2014/main" id="{00000000-0008-0000-3D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3" name="Image 12" descr="http://www.zigomatik.org/wp-content/uploads/2014/01/PENDULE.jpg">
          <a:hlinkClick xmlns:r="http://schemas.openxmlformats.org/officeDocument/2006/relationships" r:id="rId9"/>
          <a:extLst>
            <a:ext uri="{FF2B5EF4-FFF2-40B4-BE49-F238E27FC236}">
              <a16:creationId xmlns:a16="http://schemas.microsoft.com/office/drawing/2014/main" id="{00000000-0008-0000-3D00-00000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13</xdr:col>
      <xdr:colOff>222537</xdr:colOff>
      <xdr:row>0</xdr:row>
      <xdr:rowOff>66675</xdr:rowOff>
    </xdr:from>
    <xdr:to>
      <xdr:col>13</xdr:col>
      <xdr:colOff>591415</xdr:colOff>
      <xdr:row>2</xdr:row>
      <xdr:rowOff>22515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3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112"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3E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E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3E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13</xdr:col>
      <xdr:colOff>193962</xdr:colOff>
      <xdr:row>0</xdr:row>
      <xdr:rowOff>76200</xdr:rowOff>
    </xdr:from>
    <xdr:to>
      <xdr:col>13</xdr:col>
      <xdr:colOff>562840</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64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3F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3F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3F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133351</xdr:colOff>
      <xdr:row>80</xdr:row>
      <xdr:rowOff>129198</xdr:rowOff>
    </xdr:from>
    <xdr:to>
      <xdr:col>11</xdr:col>
      <xdr:colOff>516385</xdr:colOff>
      <xdr:row>106</xdr:row>
      <xdr:rowOff>49069</xdr:rowOff>
    </xdr:to>
    <xdr:graphicFrame macro="">
      <xdr:nvGraphicFramePr>
        <xdr:cNvPr id="6" name="Graphique 5">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85725</xdr:colOff>
      <xdr:row>45</xdr:row>
      <xdr:rowOff>161925</xdr:rowOff>
    </xdr:from>
    <xdr:to>
      <xdr:col>19</xdr:col>
      <xdr:colOff>504825</xdr:colOff>
      <xdr:row>54</xdr:row>
      <xdr:rowOff>85725</xdr:rowOff>
    </xdr:to>
    <xdr:graphicFrame macro="">
      <xdr:nvGraphicFramePr>
        <xdr:cNvPr id="7" name="Graphique 6">
          <a:extLst>
            <a:ext uri="{FF2B5EF4-FFF2-40B4-BE49-F238E27FC236}">
              <a16:creationId xmlns:a16="http://schemas.microsoft.com/office/drawing/2014/main" id="{00000000-0008-0000-3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352425</xdr:colOff>
      <xdr:row>54</xdr:row>
      <xdr:rowOff>409575</xdr:rowOff>
    </xdr:from>
    <xdr:to>
      <xdr:col>20</xdr:col>
      <xdr:colOff>9525</xdr:colOff>
      <xdr:row>63</xdr:row>
      <xdr:rowOff>14287</xdr:rowOff>
    </xdr:to>
    <xdr:graphicFrame macro="">
      <xdr:nvGraphicFramePr>
        <xdr:cNvPr id="8" name="Graphique 7">
          <a:extLst>
            <a:ext uri="{FF2B5EF4-FFF2-40B4-BE49-F238E27FC236}">
              <a16:creationId xmlns:a16="http://schemas.microsoft.com/office/drawing/2014/main" id="{00000000-0008-0000-3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13</xdr:col>
      <xdr:colOff>203487</xdr:colOff>
      <xdr:row>0</xdr:row>
      <xdr:rowOff>76200</xdr:rowOff>
    </xdr:from>
    <xdr:to>
      <xdr:col>13</xdr:col>
      <xdr:colOff>572365</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78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40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0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40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461473</xdr:colOff>
      <xdr:row>55</xdr:row>
      <xdr:rowOff>12332</xdr:rowOff>
    </xdr:from>
    <xdr:to>
      <xdr:col>20</xdr:col>
      <xdr:colOff>180974</xdr:colOff>
      <xdr:row>82</xdr:row>
      <xdr:rowOff>64477</xdr:rowOff>
    </xdr:to>
    <xdr:graphicFrame macro="">
      <xdr:nvGraphicFramePr>
        <xdr:cNvPr id="6" name="Graphique 5">
          <a:extLst>
            <a:ext uri="{FF2B5EF4-FFF2-40B4-BE49-F238E27FC236}">
              <a16:creationId xmlns:a16="http://schemas.microsoft.com/office/drawing/2014/main" id="{00000000-0008-0000-4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13</xdr:col>
      <xdr:colOff>346362</xdr:colOff>
      <xdr:row>0</xdr:row>
      <xdr:rowOff>85725</xdr:rowOff>
    </xdr:from>
    <xdr:to>
      <xdr:col>13</xdr:col>
      <xdr:colOff>715240</xdr:colOff>
      <xdr:row>2</xdr:row>
      <xdr:rowOff>41565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380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1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41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13</xdr:col>
      <xdr:colOff>346362</xdr:colOff>
      <xdr:row>0</xdr:row>
      <xdr:rowOff>76200</xdr:rowOff>
    </xdr:from>
    <xdr:to>
      <xdr:col>13</xdr:col>
      <xdr:colOff>715240</xdr:colOff>
      <xdr:row>2</xdr:row>
      <xdr:rowOff>32040</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4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285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42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2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42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13</xdr:col>
      <xdr:colOff>298737</xdr:colOff>
      <xdr:row>0</xdr:row>
      <xdr:rowOff>76200</xdr:rowOff>
    </xdr:from>
    <xdr:to>
      <xdr:col>13</xdr:col>
      <xdr:colOff>667615</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189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36368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64943</xdr:colOff>
      <xdr:row>0</xdr:row>
      <xdr:rowOff>76199</xdr:rowOff>
    </xdr:from>
    <xdr:to>
      <xdr:col>2</xdr:col>
      <xdr:colOff>416502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3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416503</xdr:colOff>
      <xdr:row>0</xdr:row>
      <xdr:rowOff>76199</xdr:rowOff>
    </xdr:from>
    <xdr:to>
      <xdr:col>3</xdr:col>
      <xdr:colOff>2749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43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647700</xdr:colOff>
      <xdr:row>173</xdr:row>
      <xdr:rowOff>14287</xdr:rowOff>
    </xdr:from>
    <xdr:to>
      <xdr:col>7</xdr:col>
      <xdr:colOff>76200</xdr:colOff>
      <xdr:row>187</xdr:row>
      <xdr:rowOff>90487</xdr:rowOff>
    </xdr:to>
    <xdr:graphicFrame macro="">
      <xdr:nvGraphicFramePr>
        <xdr:cNvPr id="6" name="Graphique 5">
          <a:extLst>
            <a:ext uri="{FF2B5EF4-FFF2-40B4-BE49-F238E27FC236}">
              <a16:creationId xmlns:a16="http://schemas.microsoft.com/office/drawing/2014/main" id="{00000000-0008-0000-4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13</xdr:col>
      <xdr:colOff>355887</xdr:colOff>
      <xdr:row>0</xdr:row>
      <xdr:rowOff>76200</xdr:rowOff>
    </xdr:from>
    <xdr:to>
      <xdr:col>13</xdr:col>
      <xdr:colOff>724765</xdr:colOff>
      <xdr:row>2</xdr:row>
      <xdr:rowOff>32040</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4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76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44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44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76200</xdr:colOff>
      <xdr:row>0</xdr:row>
      <xdr:rowOff>76200</xdr:rowOff>
    </xdr:from>
    <xdr:to>
      <xdr:col>14</xdr:col>
      <xdr:colOff>447675</xdr:colOff>
      <xdr:row>2</xdr:row>
      <xdr:rowOff>28575</xdr:rowOff>
    </xdr:to>
    <xdr:pic macro="[0]!InscripToDO">
      <xdr:nvPicPr>
        <xdr:cNvPr id="11" name="Image 10"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10650" y="7620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2" name="Picture 3">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3" name="Image 12"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4" name="Image 13" descr="http://www.zigomatik.org/wp-content/uploads/2014/01/PENDULE.jpg">
          <a:hlinkClick xmlns:r="http://schemas.openxmlformats.org/officeDocument/2006/relationships" r:id="rId7"/>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352425</xdr:colOff>
      <xdr:row>0</xdr:row>
      <xdr:rowOff>76200</xdr:rowOff>
    </xdr:from>
    <xdr:to>
      <xdr:col>13</xdr:col>
      <xdr:colOff>723900</xdr:colOff>
      <xdr:row>2</xdr:row>
      <xdr:rowOff>28575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5550" y="7620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64943</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93518</xdr:colOff>
      <xdr:row>0</xdr:row>
      <xdr:rowOff>76199</xdr:rowOff>
    </xdr:from>
    <xdr:to>
      <xdr:col>2</xdr:col>
      <xdr:colOff>445077</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445078</xdr:colOff>
      <xdr:row>0</xdr:row>
      <xdr:rowOff>76199</xdr:rowOff>
    </xdr:from>
    <xdr:to>
      <xdr:col>3</xdr:col>
      <xdr:colOff>31324</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45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428625</xdr:colOff>
      <xdr:row>116</xdr:row>
      <xdr:rowOff>28580</xdr:rowOff>
    </xdr:from>
    <xdr:to>
      <xdr:col>6</xdr:col>
      <xdr:colOff>428625</xdr:colOff>
      <xdr:row>134</xdr:row>
      <xdr:rowOff>38099</xdr:rowOff>
    </xdr:to>
    <xdr:graphicFrame macro="">
      <xdr:nvGraphicFramePr>
        <xdr:cNvPr id="6" name="Graphique 5">
          <a:extLst>
            <a:ext uri="{FF2B5EF4-FFF2-40B4-BE49-F238E27FC236}">
              <a16:creationId xmlns:a16="http://schemas.microsoft.com/office/drawing/2014/main" id="{00000000-0008-0000-4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13</xdr:col>
      <xdr:colOff>298737</xdr:colOff>
      <xdr:row>0</xdr:row>
      <xdr:rowOff>76200</xdr:rowOff>
    </xdr:from>
    <xdr:to>
      <xdr:col>13</xdr:col>
      <xdr:colOff>667615</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189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36368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64943</xdr:colOff>
      <xdr:row>0</xdr:row>
      <xdr:rowOff>76199</xdr:rowOff>
    </xdr:from>
    <xdr:to>
      <xdr:col>2</xdr:col>
      <xdr:colOff>416502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6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416503</xdr:colOff>
      <xdr:row>0</xdr:row>
      <xdr:rowOff>76199</xdr:rowOff>
    </xdr:from>
    <xdr:to>
      <xdr:col>3</xdr:col>
      <xdr:colOff>2749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46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647700</xdr:colOff>
      <xdr:row>171</xdr:row>
      <xdr:rowOff>14287</xdr:rowOff>
    </xdr:from>
    <xdr:to>
      <xdr:col>7</xdr:col>
      <xdr:colOff>76200</xdr:colOff>
      <xdr:row>185</xdr:row>
      <xdr:rowOff>90487</xdr:rowOff>
    </xdr:to>
    <xdr:graphicFrame macro="">
      <xdr:nvGraphicFramePr>
        <xdr:cNvPr id="6" name="Graphique 5">
          <a:extLst>
            <a:ext uri="{FF2B5EF4-FFF2-40B4-BE49-F238E27FC236}">
              <a16:creationId xmlns:a16="http://schemas.microsoft.com/office/drawing/2014/main" id="{00000000-0008-0000-4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16</xdr:col>
      <xdr:colOff>352425</xdr:colOff>
      <xdr:row>0</xdr:row>
      <xdr:rowOff>76201</xdr:rowOff>
    </xdr:from>
    <xdr:to>
      <xdr:col>16</xdr:col>
      <xdr:colOff>723900</xdr:colOff>
      <xdr:row>2</xdr:row>
      <xdr:rowOff>28576</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4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150668</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47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179243</xdr:colOff>
      <xdr:row>0</xdr:row>
      <xdr:rowOff>76199</xdr:rowOff>
    </xdr:from>
    <xdr:to>
      <xdr:col>2</xdr:col>
      <xdr:colOff>530802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7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530803</xdr:colOff>
      <xdr:row>0</xdr:row>
      <xdr:rowOff>76199</xdr:rowOff>
    </xdr:from>
    <xdr:to>
      <xdr:col>2</xdr:col>
      <xdr:colOff>879049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47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81</xdr:row>
      <xdr:rowOff>0</xdr:rowOff>
    </xdr:from>
    <xdr:to>
      <xdr:col>12</xdr:col>
      <xdr:colOff>104775</xdr:colOff>
      <xdr:row>112</xdr:row>
      <xdr:rowOff>28575</xdr:rowOff>
    </xdr:to>
    <xdr:graphicFrame macro="">
      <xdr:nvGraphicFramePr>
        <xdr:cNvPr id="8" name="Graphique 7">
          <a:extLst>
            <a:ext uri="{FF2B5EF4-FFF2-40B4-BE49-F238E27FC236}">
              <a16:creationId xmlns:a16="http://schemas.microsoft.com/office/drawing/2014/main" id="{00000000-0008-0000-4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81</xdr:row>
      <xdr:rowOff>0</xdr:rowOff>
    </xdr:from>
    <xdr:to>
      <xdr:col>21</xdr:col>
      <xdr:colOff>40217</xdr:colOff>
      <xdr:row>112</xdr:row>
      <xdr:rowOff>58210</xdr:rowOff>
    </xdr:to>
    <xdr:graphicFrame macro="">
      <xdr:nvGraphicFramePr>
        <xdr:cNvPr id="13" name="Graphique 12">
          <a:extLst>
            <a:ext uri="{FF2B5EF4-FFF2-40B4-BE49-F238E27FC236}">
              <a16:creationId xmlns:a16="http://schemas.microsoft.com/office/drawing/2014/main" id="{00000000-0008-0000-4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15</xdr:col>
      <xdr:colOff>9524</xdr:colOff>
      <xdr:row>0</xdr:row>
      <xdr:rowOff>76200</xdr:rowOff>
    </xdr:from>
    <xdr:to>
      <xdr:col>15</xdr:col>
      <xdr:colOff>381000</xdr:colOff>
      <xdr:row>2</xdr:row>
      <xdr:rowOff>28576</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4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39274" y="76200"/>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48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8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48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13</xdr:col>
      <xdr:colOff>352424</xdr:colOff>
      <xdr:row>0</xdr:row>
      <xdr:rowOff>76200</xdr:rowOff>
    </xdr:from>
    <xdr:to>
      <xdr:col>13</xdr:col>
      <xdr:colOff>723900</xdr:colOff>
      <xdr:row>2</xdr:row>
      <xdr:rowOff>28576</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4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3674" y="76200"/>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49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9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49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13</xdr:col>
      <xdr:colOff>342900</xdr:colOff>
      <xdr:row>0</xdr:row>
      <xdr:rowOff>76201</xdr:rowOff>
    </xdr:from>
    <xdr:to>
      <xdr:col>13</xdr:col>
      <xdr:colOff>714375</xdr:colOff>
      <xdr:row>2</xdr:row>
      <xdr:rowOff>28576</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4150" y="76201"/>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4A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A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4A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13</xdr:col>
      <xdr:colOff>361949</xdr:colOff>
      <xdr:row>0</xdr:row>
      <xdr:rowOff>95250</xdr:rowOff>
    </xdr:from>
    <xdr:to>
      <xdr:col>13</xdr:col>
      <xdr:colOff>733425</xdr:colOff>
      <xdr:row>2</xdr:row>
      <xdr:rowOff>47626</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4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77299" y="95250"/>
          <a:ext cx="371476" cy="37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750743</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4B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17318</xdr:colOff>
      <xdr:row>0</xdr:row>
      <xdr:rowOff>76199</xdr:rowOff>
    </xdr:from>
    <xdr:to>
      <xdr:col>2</xdr:col>
      <xdr:colOff>368877</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B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368878</xdr:colOff>
      <xdr:row>0</xdr:row>
      <xdr:rowOff>76199</xdr:rowOff>
    </xdr:from>
    <xdr:to>
      <xdr:col>2</xdr:col>
      <xdr:colOff>717124</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4B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514350</xdr:colOff>
      <xdr:row>58</xdr:row>
      <xdr:rowOff>28574</xdr:rowOff>
    </xdr:from>
    <xdr:to>
      <xdr:col>17</xdr:col>
      <xdr:colOff>628650</xdr:colOff>
      <xdr:row>85</xdr:row>
      <xdr:rowOff>76199</xdr:rowOff>
    </xdr:to>
    <xdr:graphicFrame macro="">
      <xdr:nvGraphicFramePr>
        <xdr:cNvPr id="8" name="Graphique 7">
          <a:extLst>
            <a:ext uri="{FF2B5EF4-FFF2-40B4-BE49-F238E27FC236}">
              <a16:creationId xmlns:a16="http://schemas.microsoft.com/office/drawing/2014/main" id="{00000000-0008-0000-4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58</xdr:row>
      <xdr:rowOff>27440</xdr:rowOff>
    </xdr:from>
    <xdr:to>
      <xdr:col>10</xdr:col>
      <xdr:colOff>156257</xdr:colOff>
      <xdr:row>86</xdr:row>
      <xdr:rowOff>50800</xdr:rowOff>
    </xdr:to>
    <xdr:graphicFrame macro="">
      <xdr:nvGraphicFramePr>
        <xdr:cNvPr id="13" name="Graphique 12">
          <a:extLst>
            <a:ext uri="{FF2B5EF4-FFF2-40B4-BE49-F238E27FC236}">
              <a16:creationId xmlns:a16="http://schemas.microsoft.com/office/drawing/2014/main" id="{00000000-0008-0000-4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22</xdr:col>
      <xdr:colOff>38099</xdr:colOff>
      <xdr:row>0</xdr:row>
      <xdr:rowOff>85725</xdr:rowOff>
    </xdr:from>
    <xdr:to>
      <xdr:col>22</xdr:col>
      <xdr:colOff>406977</xdr:colOff>
      <xdr:row>2</xdr:row>
      <xdr:rowOff>41565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4C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899"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4C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C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4C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22</xdr:col>
      <xdr:colOff>41562</xdr:colOff>
      <xdr:row>0</xdr:row>
      <xdr:rowOff>76200</xdr:rowOff>
    </xdr:from>
    <xdr:to>
      <xdr:col>22</xdr:col>
      <xdr:colOff>410440</xdr:colOff>
      <xdr:row>2</xdr:row>
      <xdr:rowOff>32040</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4D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33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4D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D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4D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22</xdr:col>
      <xdr:colOff>48489</xdr:colOff>
      <xdr:row>0</xdr:row>
      <xdr:rowOff>78798</xdr:rowOff>
    </xdr:from>
    <xdr:to>
      <xdr:col>22</xdr:col>
      <xdr:colOff>417367</xdr:colOff>
      <xdr:row>2</xdr:row>
      <xdr:rowOff>38102</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4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512" y="78798"/>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68220</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4E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215611</xdr:colOff>
      <xdr:row>2</xdr:row>
      <xdr:rowOff>15586</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E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215612</xdr:colOff>
      <xdr:row>0</xdr:row>
      <xdr:rowOff>76199</xdr:rowOff>
    </xdr:from>
    <xdr:to>
      <xdr:col>2</xdr:col>
      <xdr:colOff>563858</xdr:colOff>
      <xdr:row>2</xdr:row>
      <xdr:rowOff>15586</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4E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352425</xdr:colOff>
      <xdr:row>0</xdr:row>
      <xdr:rowOff>76200</xdr:rowOff>
    </xdr:from>
    <xdr:to>
      <xdr:col>13</xdr:col>
      <xdr:colOff>723900</xdr:colOff>
      <xdr:row>2</xdr:row>
      <xdr:rowOff>28575</xdr:rowOff>
    </xdr:to>
    <xdr:pic macro="[0]!InscripToDO">
      <xdr:nvPicPr>
        <xdr:cNvPr id="8" name="Image 7" descr="https://cdn2.iconfinder.com/data/icons/picons-essentials/57/checklist-512.png">
          <a:hlinkClick xmlns:r="http://schemas.openxmlformats.org/officeDocument/2006/relationships" r:id="rId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15550" y="76200"/>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64943</xdr:colOff>
      <xdr:row>2</xdr:row>
      <xdr:rowOff>64756</xdr:rowOff>
    </xdr:to>
    <xdr:pic>
      <xdr:nvPicPr>
        <xdr:cNvPr id="13" name="Picture 3">
          <a:hlinkClick xmlns:r="http://schemas.openxmlformats.org/officeDocument/2006/relationships" r:id="rId3"/>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93518</xdr:colOff>
      <xdr:row>0</xdr:row>
      <xdr:rowOff>76199</xdr:rowOff>
    </xdr:from>
    <xdr:to>
      <xdr:col>2</xdr:col>
      <xdr:colOff>445077</xdr:colOff>
      <xdr:row>2</xdr:row>
      <xdr:rowOff>12122</xdr:rowOff>
    </xdr:to>
    <xdr:pic>
      <xdr:nvPicPr>
        <xdr:cNvPr id="14" name="Image 13" descr="http://newhaventech.com/wp-content/uploads/2012/11/Direction-sign.png">
          <a:hlinkClick xmlns:r="http://schemas.openxmlformats.org/officeDocument/2006/relationships" r:id="rId5"/>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445078</xdr:colOff>
      <xdr:row>0</xdr:row>
      <xdr:rowOff>76199</xdr:rowOff>
    </xdr:from>
    <xdr:to>
      <xdr:col>3</xdr:col>
      <xdr:colOff>31324</xdr:colOff>
      <xdr:row>2</xdr:row>
      <xdr:rowOff>12122</xdr:rowOff>
    </xdr:to>
    <xdr:pic>
      <xdr:nvPicPr>
        <xdr:cNvPr id="15" name="Image 14" descr="http://www.zigomatik.org/wp-content/uploads/2014/01/PENDULE.jpg">
          <a:hlinkClick xmlns:r="http://schemas.openxmlformats.org/officeDocument/2006/relationships" r:id="rId7"/>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391583</xdr:colOff>
      <xdr:row>13</xdr:row>
      <xdr:rowOff>231775</xdr:rowOff>
    </xdr:from>
    <xdr:to>
      <xdr:col>22</xdr:col>
      <xdr:colOff>391583</xdr:colOff>
      <xdr:row>23</xdr:row>
      <xdr:rowOff>0</xdr:rowOff>
    </xdr:to>
    <xdr:graphicFrame macro="">
      <xdr:nvGraphicFramePr>
        <xdr:cNvPr id="2" name="Graphique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391583</xdr:colOff>
      <xdr:row>29</xdr:row>
      <xdr:rowOff>0</xdr:rowOff>
    </xdr:from>
    <xdr:to>
      <xdr:col>22</xdr:col>
      <xdr:colOff>391583</xdr:colOff>
      <xdr:row>31</xdr:row>
      <xdr:rowOff>53975</xdr:rowOff>
    </xdr:to>
    <xdr:graphicFrame macro="">
      <xdr:nvGraphicFramePr>
        <xdr:cNvPr id="7" name="Graphique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14</xdr:col>
      <xdr:colOff>184437</xdr:colOff>
      <xdr:row>0</xdr:row>
      <xdr:rowOff>76200</xdr:rowOff>
    </xdr:from>
    <xdr:to>
      <xdr:col>14</xdr:col>
      <xdr:colOff>553315</xdr:colOff>
      <xdr:row>2</xdr:row>
      <xdr:rowOff>32040</xdr:rowOff>
    </xdr:to>
    <xdr:pic macro="[0]!InscripToDO">
      <xdr:nvPicPr>
        <xdr:cNvPr id="16" name="Image 15" descr="https://cdn2.iconfinder.com/data/icons/picons-essentials/57/checklist-512.png">
          <a:extLst>
            <a:ext uri="{FF2B5EF4-FFF2-40B4-BE49-F238E27FC236}">
              <a16:creationId xmlns:a16="http://schemas.microsoft.com/office/drawing/2014/main" id="{00000000-0008-0000-4F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233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4F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4F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9" name="Image 8" descr="http://www.zigomatik.org/wp-content/uploads/2014/01/PENDULE.jpg">
          <a:hlinkClick xmlns:r="http://schemas.openxmlformats.org/officeDocument/2006/relationships" r:id="rId6"/>
          <a:extLst>
            <a:ext uri="{FF2B5EF4-FFF2-40B4-BE49-F238E27FC236}">
              <a16:creationId xmlns:a16="http://schemas.microsoft.com/office/drawing/2014/main" id="{00000000-0008-0000-4F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14</xdr:col>
      <xdr:colOff>441612</xdr:colOff>
      <xdr:row>0</xdr:row>
      <xdr:rowOff>76200</xdr:rowOff>
    </xdr:from>
    <xdr:to>
      <xdr:col>14</xdr:col>
      <xdr:colOff>810490</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5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668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50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50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14</xdr:col>
      <xdr:colOff>213012</xdr:colOff>
      <xdr:row>0</xdr:row>
      <xdr:rowOff>76200</xdr:rowOff>
    </xdr:from>
    <xdr:to>
      <xdr:col>14</xdr:col>
      <xdr:colOff>581890</xdr:colOff>
      <xdr:row>2</xdr:row>
      <xdr:rowOff>32040</xdr:rowOff>
    </xdr:to>
    <xdr:pic macro="[0]!InscripToDO">
      <xdr:nvPicPr>
        <xdr:cNvPr id="5" name="Image 4" descr="https://cdn2.iconfinder.com/data/icons/picons-essentials/57/checklist-512.png">
          <a:extLst>
            <a:ext uri="{FF2B5EF4-FFF2-40B4-BE49-F238E27FC236}">
              <a16:creationId xmlns:a16="http://schemas.microsoft.com/office/drawing/2014/main" id="{00000000-0008-0000-5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181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51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178377</xdr:colOff>
      <xdr:row>2</xdr:row>
      <xdr:rowOff>12122</xdr:rowOff>
    </xdr:to>
    <xdr:pic>
      <xdr:nvPicPr>
        <xdr:cNvPr id="7" name="Image 6"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1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178378</xdr:colOff>
      <xdr:row>0</xdr:row>
      <xdr:rowOff>76199</xdr:rowOff>
    </xdr:from>
    <xdr:to>
      <xdr:col>2</xdr:col>
      <xdr:colOff>526624</xdr:colOff>
      <xdr:row>2</xdr:row>
      <xdr:rowOff>12122</xdr:rowOff>
    </xdr:to>
    <xdr:pic>
      <xdr:nvPicPr>
        <xdr:cNvPr id="8" name="Image 7" descr="http://www.zigomatik.org/wp-content/uploads/2014/01/PENDULE.jpg">
          <a:hlinkClick xmlns:r="http://schemas.openxmlformats.org/officeDocument/2006/relationships" r:id="rId6"/>
          <a:extLst>
            <a:ext uri="{FF2B5EF4-FFF2-40B4-BE49-F238E27FC236}">
              <a16:creationId xmlns:a16="http://schemas.microsoft.com/office/drawing/2014/main" id="{00000000-0008-0000-5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13</xdr:col>
      <xdr:colOff>213012</xdr:colOff>
      <xdr:row>0</xdr:row>
      <xdr:rowOff>66675</xdr:rowOff>
    </xdr:from>
    <xdr:to>
      <xdr:col>13</xdr:col>
      <xdr:colOff>581890</xdr:colOff>
      <xdr:row>2</xdr:row>
      <xdr:rowOff>22515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5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55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52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2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52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13</xdr:col>
      <xdr:colOff>355887</xdr:colOff>
      <xdr:row>0</xdr:row>
      <xdr:rowOff>66675</xdr:rowOff>
    </xdr:from>
    <xdr:to>
      <xdr:col>13</xdr:col>
      <xdr:colOff>724765</xdr:colOff>
      <xdr:row>2</xdr:row>
      <xdr:rowOff>22515</xdr:rowOff>
    </xdr:to>
    <xdr:pic macro="[0]!InscripToDO">
      <xdr:nvPicPr>
        <xdr:cNvPr id="7" name="Image 6" descr="https://cdn2.iconfinder.com/data/icons/picons-essentials/57/checklist-512.png">
          <a:extLst>
            <a:ext uri="{FF2B5EF4-FFF2-40B4-BE49-F238E27FC236}">
              <a16:creationId xmlns:a16="http://schemas.microsoft.com/office/drawing/2014/main" id="{00000000-0008-0000-5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7612"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779318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53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807893</xdr:colOff>
      <xdr:row>0</xdr:row>
      <xdr:rowOff>76199</xdr:rowOff>
    </xdr:from>
    <xdr:to>
      <xdr:col>2</xdr:col>
      <xdr:colOff>216477</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3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216478</xdr:colOff>
      <xdr:row>0</xdr:row>
      <xdr:rowOff>76199</xdr:rowOff>
    </xdr:from>
    <xdr:to>
      <xdr:col>2</xdr:col>
      <xdr:colOff>564724</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53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6</xdr:col>
      <xdr:colOff>400049</xdr:colOff>
      <xdr:row>59</xdr:row>
      <xdr:rowOff>47624</xdr:rowOff>
    </xdr:from>
    <xdr:to>
      <xdr:col>16</xdr:col>
      <xdr:colOff>219075</xdr:colOff>
      <xdr:row>86</xdr:row>
      <xdr:rowOff>85725</xdr:rowOff>
    </xdr:to>
    <xdr:graphicFrame macro="">
      <xdr:nvGraphicFramePr>
        <xdr:cNvPr id="2" name="Graphique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70</xdr:row>
      <xdr:rowOff>19050</xdr:rowOff>
    </xdr:from>
    <xdr:to>
      <xdr:col>16</xdr:col>
      <xdr:colOff>314326</xdr:colOff>
      <xdr:row>97</xdr:row>
      <xdr:rowOff>57151</xdr:rowOff>
    </xdr:to>
    <xdr:graphicFrame macro="">
      <xdr:nvGraphicFramePr>
        <xdr:cNvPr id="3" name="Graphique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60</xdr:row>
      <xdr:rowOff>0</xdr:rowOff>
    </xdr:from>
    <xdr:to>
      <xdr:col>11</xdr:col>
      <xdr:colOff>542926</xdr:colOff>
      <xdr:row>86</xdr:row>
      <xdr:rowOff>117475</xdr:rowOff>
    </xdr:to>
    <xdr:graphicFrame macro="">
      <xdr:nvGraphicFramePr>
        <xdr:cNvPr id="4" name="Graphique 3">
          <a:extLst>
            <a:ext uri="{FF2B5EF4-FFF2-40B4-BE49-F238E27FC236}">
              <a16:creationId xmlns:a16="http://schemas.microsoft.com/office/drawing/2014/main" id="{00000000-0008-0000-5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298737</xdr:colOff>
      <xdr:row>0</xdr:row>
      <xdr:rowOff>76200</xdr:rowOff>
    </xdr:from>
    <xdr:to>
      <xdr:col>13</xdr:col>
      <xdr:colOff>667615</xdr:colOff>
      <xdr:row>2</xdr:row>
      <xdr:rowOff>32040</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54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28487"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11" name="Picture 3">
          <a:hlinkClick xmlns:r="http://schemas.openxmlformats.org/officeDocument/2006/relationships" r:id="rId5"/>
          <a:extLst>
            <a:ext uri="{FF2B5EF4-FFF2-40B4-BE49-F238E27FC236}">
              <a16:creationId xmlns:a16="http://schemas.microsoft.com/office/drawing/2014/main" id="{00000000-0008-0000-5400-00000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2" name="Image 11" descr="http://newhaventech.com/wp-content/uploads/2012/11/Direction-sign.png">
          <a:hlinkClick xmlns:r="http://schemas.openxmlformats.org/officeDocument/2006/relationships" r:id="rId7"/>
          <a:extLst>
            <a:ext uri="{FF2B5EF4-FFF2-40B4-BE49-F238E27FC236}">
              <a16:creationId xmlns:a16="http://schemas.microsoft.com/office/drawing/2014/main" id="{00000000-0008-0000-54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3" name="Image 12" descr="http://www.zigomatik.org/wp-content/uploads/2014/01/PENDULE.jpg">
          <a:hlinkClick xmlns:r="http://schemas.openxmlformats.org/officeDocument/2006/relationships" r:id="rId9"/>
          <a:extLst>
            <a:ext uri="{FF2B5EF4-FFF2-40B4-BE49-F238E27FC236}">
              <a16:creationId xmlns:a16="http://schemas.microsoft.com/office/drawing/2014/main" id="{00000000-0008-0000-5400-00000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13</xdr:col>
      <xdr:colOff>193962</xdr:colOff>
      <xdr:row>0</xdr:row>
      <xdr:rowOff>76200</xdr:rowOff>
    </xdr:from>
    <xdr:to>
      <xdr:col>13</xdr:col>
      <xdr:colOff>562840</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5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64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55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5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55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133351</xdr:colOff>
      <xdr:row>80</xdr:row>
      <xdr:rowOff>129198</xdr:rowOff>
    </xdr:from>
    <xdr:to>
      <xdr:col>11</xdr:col>
      <xdr:colOff>516385</xdr:colOff>
      <xdr:row>106</xdr:row>
      <xdr:rowOff>49069</xdr:rowOff>
    </xdr:to>
    <xdr:graphicFrame macro="">
      <xdr:nvGraphicFramePr>
        <xdr:cNvPr id="6" name="Graphique 5">
          <a:extLst>
            <a:ext uri="{FF2B5EF4-FFF2-40B4-BE49-F238E27FC236}">
              <a16:creationId xmlns:a16="http://schemas.microsoft.com/office/drawing/2014/main" id="{00000000-0008-0000-5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561975</xdr:colOff>
      <xdr:row>45</xdr:row>
      <xdr:rowOff>152400</xdr:rowOff>
    </xdr:from>
    <xdr:to>
      <xdr:col>18</xdr:col>
      <xdr:colOff>533400</xdr:colOff>
      <xdr:row>54</xdr:row>
      <xdr:rowOff>76200</xdr:rowOff>
    </xdr:to>
    <xdr:graphicFrame macro="">
      <xdr:nvGraphicFramePr>
        <xdr:cNvPr id="7" name="Graphique 6">
          <a:extLst>
            <a:ext uri="{FF2B5EF4-FFF2-40B4-BE49-F238E27FC236}">
              <a16:creationId xmlns:a16="http://schemas.microsoft.com/office/drawing/2014/main" id="{00000000-0008-0000-5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361950</xdr:colOff>
      <xdr:row>54</xdr:row>
      <xdr:rowOff>295275</xdr:rowOff>
    </xdr:from>
    <xdr:to>
      <xdr:col>19</xdr:col>
      <xdr:colOff>19050</xdr:colOff>
      <xdr:row>62</xdr:row>
      <xdr:rowOff>100012</xdr:rowOff>
    </xdr:to>
    <xdr:graphicFrame macro="">
      <xdr:nvGraphicFramePr>
        <xdr:cNvPr id="8" name="Graphique 7">
          <a:extLst>
            <a:ext uri="{FF2B5EF4-FFF2-40B4-BE49-F238E27FC236}">
              <a16:creationId xmlns:a16="http://schemas.microsoft.com/office/drawing/2014/main" id="{00000000-0008-0000-5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13</xdr:col>
      <xdr:colOff>203487</xdr:colOff>
      <xdr:row>0</xdr:row>
      <xdr:rowOff>76200</xdr:rowOff>
    </xdr:from>
    <xdr:to>
      <xdr:col>13</xdr:col>
      <xdr:colOff>572365</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5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78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56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6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56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4273</xdr:colOff>
      <xdr:row>88</xdr:row>
      <xdr:rowOff>183782</xdr:rowOff>
    </xdr:from>
    <xdr:to>
      <xdr:col>13</xdr:col>
      <xdr:colOff>104774</xdr:colOff>
      <xdr:row>109</xdr:row>
      <xdr:rowOff>7327</xdr:rowOff>
    </xdr:to>
    <xdr:graphicFrame macro="">
      <xdr:nvGraphicFramePr>
        <xdr:cNvPr id="6" name="Graphique 5">
          <a:extLst>
            <a:ext uri="{FF2B5EF4-FFF2-40B4-BE49-F238E27FC236}">
              <a16:creationId xmlns:a16="http://schemas.microsoft.com/office/drawing/2014/main" id="{00000000-0008-0000-5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13</xdr:col>
      <xdr:colOff>346362</xdr:colOff>
      <xdr:row>0</xdr:row>
      <xdr:rowOff>85725</xdr:rowOff>
    </xdr:from>
    <xdr:to>
      <xdr:col>13</xdr:col>
      <xdr:colOff>715240</xdr:colOff>
      <xdr:row>2</xdr:row>
      <xdr:rowOff>41565</xdr:rowOff>
    </xdr:to>
    <xdr:pic macro="[0]!InscripToDO">
      <xdr:nvPicPr>
        <xdr:cNvPr id="10" name="Image 9" descr="https://cdn2.iconfinder.com/data/icons/picons-essentials/57/checklist-512.png">
          <a:extLst>
            <a:ext uri="{FF2B5EF4-FFF2-40B4-BE49-F238E27FC236}">
              <a16:creationId xmlns:a16="http://schemas.microsoft.com/office/drawing/2014/main" id="{00000000-0008-0000-57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66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57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7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2" name="Image 11" descr="http://www.zigomatik.org/wp-content/uploads/2014/01/PENDULE.jpg">
          <a:hlinkClick xmlns:r="http://schemas.openxmlformats.org/officeDocument/2006/relationships" r:id="rId6"/>
          <a:extLst>
            <a:ext uri="{FF2B5EF4-FFF2-40B4-BE49-F238E27FC236}">
              <a16:creationId xmlns:a16="http://schemas.microsoft.com/office/drawing/2014/main" id="{00000000-0008-0000-57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13</xdr:col>
      <xdr:colOff>346362</xdr:colOff>
      <xdr:row>0</xdr:row>
      <xdr:rowOff>76200</xdr:rowOff>
    </xdr:from>
    <xdr:to>
      <xdr:col>13</xdr:col>
      <xdr:colOff>715240</xdr:colOff>
      <xdr:row>2</xdr:row>
      <xdr:rowOff>32040</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5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285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58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8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58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twoCellAnchor editAs="oneCell">
    <xdr:from>
      <xdr:col>13</xdr:col>
      <xdr:colOff>355887</xdr:colOff>
      <xdr:row>0</xdr:row>
      <xdr:rowOff>73024</xdr:rowOff>
    </xdr:from>
    <xdr:to>
      <xdr:col>13</xdr:col>
      <xdr:colOff>724765</xdr:colOff>
      <xdr:row>2</xdr:row>
      <xdr:rowOff>24631</xdr:rowOff>
    </xdr:to>
    <xdr:pic macro="[0]!InscripToDO">
      <xdr:nvPicPr>
        <xdr:cNvPr id="11" name="Image 10" descr="https://cdn2.iconfinder.com/data/icons/picons-essentials/57/checklist-512.png">
          <a:extLst>
            <a:ext uri="{FF2B5EF4-FFF2-40B4-BE49-F238E27FC236}">
              <a16:creationId xmlns:a16="http://schemas.microsoft.com/office/drawing/2014/main" id="{00000000-0008-0000-59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63637" y="73024"/>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59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8" name="Image 7"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9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59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16</xdr:col>
      <xdr:colOff>342900</xdr:colOff>
      <xdr:row>0</xdr:row>
      <xdr:rowOff>66675</xdr:rowOff>
    </xdr:from>
    <xdr:to>
      <xdr:col>16</xdr:col>
      <xdr:colOff>714375</xdr:colOff>
      <xdr:row>2</xdr:row>
      <xdr:rowOff>19050</xdr:rowOff>
    </xdr:to>
    <xdr:pic macro="[0]!InscripToDO">
      <xdr:nvPicPr>
        <xdr:cNvPr id="9" name="Image 8" descr="https://cdn2.iconfinder.com/data/icons/picons-essentials/57/checklist-512.png">
          <a:extLst>
            <a:ext uri="{FF2B5EF4-FFF2-40B4-BE49-F238E27FC236}">
              <a16:creationId xmlns:a16="http://schemas.microsoft.com/office/drawing/2014/main" id="{00000000-0008-0000-5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96625" y="66675"/>
          <a:ext cx="3714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150668</xdr:colOff>
      <xdr:row>2</xdr:row>
      <xdr:rowOff>64756</xdr:rowOff>
    </xdr:to>
    <xdr:pic>
      <xdr:nvPicPr>
        <xdr:cNvPr id="10" name="Picture 3">
          <a:hlinkClick xmlns:r="http://schemas.openxmlformats.org/officeDocument/2006/relationships" r:id="rId2"/>
          <a:extLst>
            <a:ext uri="{FF2B5EF4-FFF2-40B4-BE49-F238E27FC236}">
              <a16:creationId xmlns:a16="http://schemas.microsoft.com/office/drawing/2014/main" id="{00000000-0008-0000-5A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179243</xdr:colOff>
      <xdr:row>0</xdr:row>
      <xdr:rowOff>76199</xdr:rowOff>
    </xdr:from>
    <xdr:to>
      <xdr:col>2</xdr:col>
      <xdr:colOff>530802</xdr:colOff>
      <xdr:row>2</xdr:row>
      <xdr:rowOff>12122</xdr:rowOff>
    </xdr:to>
    <xdr:pic>
      <xdr:nvPicPr>
        <xdr:cNvPr id="11" name="Image 10"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A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530803</xdr:colOff>
      <xdr:row>0</xdr:row>
      <xdr:rowOff>76199</xdr:rowOff>
    </xdr:from>
    <xdr:to>
      <xdr:col>2</xdr:col>
      <xdr:colOff>879049</xdr:colOff>
      <xdr:row>2</xdr:row>
      <xdr:rowOff>12122</xdr:rowOff>
    </xdr:to>
    <xdr:pic>
      <xdr:nvPicPr>
        <xdr:cNvPr id="13" name="Image 12" descr="http://www.zigomatik.org/wp-content/uploads/2014/01/PENDULE.jpg">
          <a:hlinkClick xmlns:r="http://schemas.openxmlformats.org/officeDocument/2006/relationships" r:id="rId6"/>
          <a:extLst>
            <a:ext uri="{FF2B5EF4-FFF2-40B4-BE49-F238E27FC236}">
              <a16:creationId xmlns:a16="http://schemas.microsoft.com/office/drawing/2014/main" id="{00000000-0008-0000-5A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absoluteAnchor>
    <xdr:pos x="0" y="0"/>
    <xdr:ext cx="9297865" cy="6066692"/>
    <xdr:graphicFrame macro="">
      <xdr:nvGraphicFramePr>
        <xdr:cNvPr id="2" name="Graphique 1">
          <a:extLst>
            <a:ext uri="{FF2B5EF4-FFF2-40B4-BE49-F238E27FC236}">
              <a16:creationId xmlns:a16="http://schemas.microsoft.com/office/drawing/2014/main" id="{00000000-0008-0000-5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xdr:wsDr xmlns:xdr="http://schemas.openxmlformats.org/drawingml/2006/spreadsheetDrawing" xmlns:a="http://schemas.openxmlformats.org/drawingml/2006/main">
  <xdr:twoCellAnchor editAs="oneCell">
    <xdr:from>
      <xdr:col>13</xdr:col>
      <xdr:colOff>346362</xdr:colOff>
      <xdr:row>0</xdr:row>
      <xdr:rowOff>85725</xdr:rowOff>
    </xdr:from>
    <xdr:to>
      <xdr:col>13</xdr:col>
      <xdr:colOff>715240</xdr:colOff>
      <xdr:row>2</xdr:row>
      <xdr:rowOff>41565</xdr:rowOff>
    </xdr:to>
    <xdr:pic macro="[0]!InscripToDO">
      <xdr:nvPicPr>
        <xdr:cNvPr id="2" name="Image 1" descr="https://cdn2.iconfinder.com/data/icons/picons-essentials/57/checklist-512.png">
          <a:extLst>
            <a:ext uri="{FF2B5EF4-FFF2-40B4-BE49-F238E27FC236}">
              <a16:creationId xmlns:a16="http://schemas.microsoft.com/office/drawing/2014/main" id="{00000000-0008-0000-5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38087" y="8572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5C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4" name="Image 3"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C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5" name="Image 4" descr="http://www.zigomatik.org/wp-content/uploads/2014/01/PENDULE.jpg">
          <a:hlinkClick xmlns:r="http://schemas.openxmlformats.org/officeDocument/2006/relationships" r:id="rId6"/>
          <a:extLst>
            <a:ext uri="{FF2B5EF4-FFF2-40B4-BE49-F238E27FC236}">
              <a16:creationId xmlns:a16="http://schemas.microsoft.com/office/drawing/2014/main" id="{00000000-0008-0000-5C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54</xdr:row>
      <xdr:rowOff>0</xdr:rowOff>
    </xdr:from>
    <xdr:to>
      <xdr:col>10</xdr:col>
      <xdr:colOff>9525</xdr:colOff>
      <xdr:row>54</xdr:row>
      <xdr:rowOff>9525</xdr:rowOff>
    </xdr:to>
    <xdr:pic>
      <xdr:nvPicPr>
        <xdr:cNvPr id="8" name="Image 7" descr="http://ib.adnxs.com/seg?add=:NaN&amp;t=2">
          <a:extLst>
            <a:ext uri="{FF2B5EF4-FFF2-40B4-BE49-F238E27FC236}">
              <a16:creationId xmlns:a16="http://schemas.microsoft.com/office/drawing/2014/main" id="{00000000-0008-0000-5C00-00000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39200" y="1060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19050</xdr:colOff>
      <xdr:row>54</xdr:row>
      <xdr:rowOff>0</xdr:rowOff>
    </xdr:from>
    <xdr:to>
      <xdr:col>10</xdr:col>
      <xdr:colOff>28575</xdr:colOff>
      <xdr:row>54</xdr:row>
      <xdr:rowOff>9525</xdr:rowOff>
    </xdr:to>
    <xdr:pic>
      <xdr:nvPicPr>
        <xdr:cNvPr id="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0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58250" y="1060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xdr:colOff>
      <xdr:row>54</xdr:row>
      <xdr:rowOff>0</xdr:rowOff>
    </xdr:from>
    <xdr:to>
      <xdr:col>10</xdr:col>
      <xdr:colOff>47625</xdr:colOff>
      <xdr:row>54</xdr:row>
      <xdr:rowOff>9525</xdr:rowOff>
    </xdr:to>
    <xdr:pic>
      <xdr:nvPicPr>
        <xdr:cNvPr id="10" name="Image 9" descr="http://ib.adnxs.com/seg?add=2491894:99&amp;t=2">
          <a:extLst>
            <a:ext uri="{FF2B5EF4-FFF2-40B4-BE49-F238E27FC236}">
              <a16:creationId xmlns:a16="http://schemas.microsoft.com/office/drawing/2014/main" id="{00000000-0008-0000-5C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77300" y="1060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0</xdr:colOff>
      <xdr:row>54</xdr:row>
      <xdr:rowOff>0</xdr:rowOff>
    </xdr:from>
    <xdr:ext cx="9525" cy="9525"/>
    <xdr:pic>
      <xdr:nvPicPr>
        <xdr:cNvPr id="11" name="Image 10" descr="http://ib.adnxs.com/seg?add=:NaN&amp;t=2">
          <a:extLst>
            <a:ext uri="{FF2B5EF4-FFF2-40B4-BE49-F238E27FC236}">
              <a16:creationId xmlns:a16="http://schemas.microsoft.com/office/drawing/2014/main" id="{00000000-0008-0000-5C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39200"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54</xdr:row>
      <xdr:rowOff>0</xdr:rowOff>
    </xdr:from>
    <xdr:ext cx="9525" cy="9525"/>
    <xdr:pic>
      <xdr:nvPicPr>
        <xdr:cNvPr id="1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58250"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54</xdr:row>
      <xdr:rowOff>0</xdr:rowOff>
    </xdr:from>
    <xdr:ext cx="9525" cy="9525"/>
    <xdr:pic>
      <xdr:nvPicPr>
        <xdr:cNvPr id="13" name="Image 12" descr="http://ib.adnxs.com/seg?add=2491894:99&amp;t=2">
          <a:extLst>
            <a:ext uri="{FF2B5EF4-FFF2-40B4-BE49-F238E27FC236}">
              <a16:creationId xmlns:a16="http://schemas.microsoft.com/office/drawing/2014/main" id="{00000000-0008-0000-5C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77300"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60</xdr:row>
      <xdr:rowOff>0</xdr:rowOff>
    </xdr:from>
    <xdr:ext cx="9525" cy="9525"/>
    <xdr:pic>
      <xdr:nvPicPr>
        <xdr:cNvPr id="14" name="Image 13" descr="http://ib.adnxs.com/seg?add=:NaN&amp;t=2">
          <a:extLst>
            <a:ext uri="{FF2B5EF4-FFF2-40B4-BE49-F238E27FC236}">
              <a16:creationId xmlns:a16="http://schemas.microsoft.com/office/drawing/2014/main" id="{00000000-0008-0000-5C00-00000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39200"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60</xdr:row>
      <xdr:rowOff>0</xdr:rowOff>
    </xdr:from>
    <xdr:ext cx="9525" cy="9525"/>
    <xdr:pic>
      <xdr:nvPicPr>
        <xdr:cNvPr id="1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0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58250"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60</xdr:row>
      <xdr:rowOff>0</xdr:rowOff>
    </xdr:from>
    <xdr:ext cx="9525" cy="9525"/>
    <xdr:pic>
      <xdr:nvPicPr>
        <xdr:cNvPr id="16" name="Image 15" descr="http://ib.adnxs.com/seg?add=2491894:99&amp;t=2">
          <a:extLst>
            <a:ext uri="{FF2B5EF4-FFF2-40B4-BE49-F238E27FC236}">
              <a16:creationId xmlns:a16="http://schemas.microsoft.com/office/drawing/2014/main" id="{00000000-0008-0000-5C00-00001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77300"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60</xdr:row>
      <xdr:rowOff>0</xdr:rowOff>
    </xdr:from>
    <xdr:ext cx="9525" cy="9525"/>
    <xdr:pic>
      <xdr:nvPicPr>
        <xdr:cNvPr id="17" name="Image 16" descr="http://ib.adnxs.com/seg?add=:NaN&amp;t=2">
          <a:extLst>
            <a:ext uri="{FF2B5EF4-FFF2-40B4-BE49-F238E27FC236}">
              <a16:creationId xmlns:a16="http://schemas.microsoft.com/office/drawing/2014/main" id="{00000000-0008-0000-5C00-00001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299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60</xdr:row>
      <xdr:rowOff>0</xdr:rowOff>
    </xdr:from>
    <xdr:ext cx="9525" cy="9525"/>
    <xdr:pic>
      <xdr:nvPicPr>
        <xdr:cNvPr id="1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4897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60</xdr:row>
      <xdr:rowOff>0</xdr:rowOff>
    </xdr:from>
    <xdr:ext cx="9525" cy="9525"/>
    <xdr:pic>
      <xdr:nvPicPr>
        <xdr:cNvPr id="19" name="Image 18" descr="http://ib.adnxs.com/seg?add=2491894:99&amp;t=2">
          <a:extLst>
            <a:ext uri="{FF2B5EF4-FFF2-40B4-BE49-F238E27FC236}">
              <a16:creationId xmlns:a16="http://schemas.microsoft.com/office/drawing/2014/main" id="{00000000-0008-0000-5C00-00001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680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65</xdr:row>
      <xdr:rowOff>0</xdr:rowOff>
    </xdr:from>
    <xdr:ext cx="9525" cy="9525"/>
    <xdr:pic>
      <xdr:nvPicPr>
        <xdr:cNvPr id="20" name="Image 19" descr="http://ib.adnxs.com/seg?add=:NaN&amp;t=2">
          <a:extLst>
            <a:ext uri="{FF2B5EF4-FFF2-40B4-BE49-F238E27FC236}">
              <a16:creationId xmlns:a16="http://schemas.microsoft.com/office/drawing/2014/main" id="{00000000-0008-0000-5C00-00001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39200" y="11534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65</xdr:row>
      <xdr:rowOff>0</xdr:rowOff>
    </xdr:from>
    <xdr:ext cx="9525" cy="9525"/>
    <xdr:pic>
      <xdr:nvPicPr>
        <xdr:cNvPr id="2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5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58250" y="11534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65</xdr:row>
      <xdr:rowOff>0</xdr:rowOff>
    </xdr:from>
    <xdr:ext cx="9525" cy="9525"/>
    <xdr:pic>
      <xdr:nvPicPr>
        <xdr:cNvPr id="22" name="Image 21" descr="http://ib.adnxs.com/seg?add=2491894:99&amp;t=2">
          <a:extLst>
            <a:ext uri="{FF2B5EF4-FFF2-40B4-BE49-F238E27FC236}">
              <a16:creationId xmlns:a16="http://schemas.microsoft.com/office/drawing/2014/main" id="{00000000-0008-0000-5C00-00001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77300" y="11534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65</xdr:row>
      <xdr:rowOff>0</xdr:rowOff>
    </xdr:from>
    <xdr:ext cx="9525" cy="9525"/>
    <xdr:pic>
      <xdr:nvPicPr>
        <xdr:cNvPr id="23" name="Image 22" descr="http://ib.adnxs.com/seg?add=:NaN&amp;t=2">
          <a:extLst>
            <a:ext uri="{FF2B5EF4-FFF2-40B4-BE49-F238E27FC236}">
              <a16:creationId xmlns:a16="http://schemas.microsoft.com/office/drawing/2014/main" id="{00000000-0008-0000-5C00-00001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29925" y="11534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65</xdr:row>
      <xdr:rowOff>0</xdr:rowOff>
    </xdr:from>
    <xdr:ext cx="9525" cy="9525"/>
    <xdr:pic>
      <xdr:nvPicPr>
        <xdr:cNvPr id="2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8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48975" y="11534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65</xdr:row>
      <xdr:rowOff>0</xdr:rowOff>
    </xdr:from>
    <xdr:ext cx="9525" cy="9525"/>
    <xdr:pic>
      <xdr:nvPicPr>
        <xdr:cNvPr id="25" name="Image 24" descr="http://ib.adnxs.com/seg?add=2491894:99&amp;t=2">
          <a:extLst>
            <a:ext uri="{FF2B5EF4-FFF2-40B4-BE49-F238E27FC236}">
              <a16:creationId xmlns:a16="http://schemas.microsoft.com/office/drawing/2014/main" id="{00000000-0008-0000-5C00-00001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68025" y="11534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94</xdr:row>
      <xdr:rowOff>0</xdr:rowOff>
    </xdr:from>
    <xdr:ext cx="9525" cy="9525"/>
    <xdr:pic>
      <xdr:nvPicPr>
        <xdr:cNvPr id="26" name="Image 25" descr="http://ib.adnxs.com/seg?add=:NaN&amp;t=2">
          <a:extLst>
            <a:ext uri="{FF2B5EF4-FFF2-40B4-BE49-F238E27FC236}">
              <a16:creationId xmlns:a16="http://schemas.microsoft.com/office/drawing/2014/main" id="{00000000-0008-0000-5C00-00001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39200" y="12487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94</xdr:row>
      <xdr:rowOff>0</xdr:rowOff>
    </xdr:from>
    <xdr:ext cx="9525" cy="9525"/>
    <xdr:pic>
      <xdr:nvPicPr>
        <xdr:cNvPr id="2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58250" y="12487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94</xdr:row>
      <xdr:rowOff>0</xdr:rowOff>
    </xdr:from>
    <xdr:ext cx="9525" cy="9525"/>
    <xdr:pic>
      <xdr:nvPicPr>
        <xdr:cNvPr id="28" name="Image 27" descr="http://ib.adnxs.com/seg?add=2491894:99&amp;t=2">
          <a:extLst>
            <a:ext uri="{FF2B5EF4-FFF2-40B4-BE49-F238E27FC236}">
              <a16:creationId xmlns:a16="http://schemas.microsoft.com/office/drawing/2014/main" id="{00000000-0008-0000-5C00-00001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77300" y="12487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94</xdr:row>
      <xdr:rowOff>0</xdr:rowOff>
    </xdr:from>
    <xdr:ext cx="9525" cy="9525"/>
    <xdr:pic>
      <xdr:nvPicPr>
        <xdr:cNvPr id="29" name="Image 28" descr="http://ib.adnxs.com/seg?add=:NaN&amp;t=2">
          <a:extLst>
            <a:ext uri="{FF2B5EF4-FFF2-40B4-BE49-F238E27FC236}">
              <a16:creationId xmlns:a16="http://schemas.microsoft.com/office/drawing/2014/main" id="{00000000-0008-0000-5C00-00001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29925" y="12487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94</xdr:row>
      <xdr:rowOff>0</xdr:rowOff>
    </xdr:from>
    <xdr:ext cx="9525" cy="9525"/>
    <xdr:pic>
      <xdr:nvPicPr>
        <xdr:cNvPr id="3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48975" y="12487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94</xdr:row>
      <xdr:rowOff>0</xdr:rowOff>
    </xdr:from>
    <xdr:ext cx="9525" cy="9525"/>
    <xdr:pic>
      <xdr:nvPicPr>
        <xdr:cNvPr id="31" name="Image 30" descr="http://ib.adnxs.com/seg?add=2491894:99&amp;t=2">
          <a:extLst>
            <a:ext uri="{FF2B5EF4-FFF2-40B4-BE49-F238E27FC236}">
              <a16:creationId xmlns:a16="http://schemas.microsoft.com/office/drawing/2014/main" id="{00000000-0008-0000-5C00-00001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68025" y="12487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98</xdr:row>
      <xdr:rowOff>0</xdr:rowOff>
    </xdr:from>
    <xdr:ext cx="9525" cy="9525"/>
    <xdr:pic>
      <xdr:nvPicPr>
        <xdr:cNvPr id="32" name="Image 31" descr="http://ib.adnxs.com/seg?add=:NaN&amp;t=2">
          <a:extLst>
            <a:ext uri="{FF2B5EF4-FFF2-40B4-BE49-F238E27FC236}">
              <a16:creationId xmlns:a16="http://schemas.microsoft.com/office/drawing/2014/main" id="{00000000-0008-0000-5C00-00002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39200"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98</xdr:row>
      <xdr:rowOff>0</xdr:rowOff>
    </xdr:from>
    <xdr:ext cx="9525" cy="9525"/>
    <xdr:pic>
      <xdr:nvPicPr>
        <xdr:cNvPr id="3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58250"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98</xdr:row>
      <xdr:rowOff>0</xdr:rowOff>
    </xdr:from>
    <xdr:ext cx="9525" cy="9525"/>
    <xdr:pic>
      <xdr:nvPicPr>
        <xdr:cNvPr id="34" name="Image 33" descr="http://ib.adnxs.com/seg?add=2491894:99&amp;t=2">
          <a:extLst>
            <a:ext uri="{FF2B5EF4-FFF2-40B4-BE49-F238E27FC236}">
              <a16:creationId xmlns:a16="http://schemas.microsoft.com/office/drawing/2014/main" id="{00000000-0008-0000-5C00-00002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77300"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98</xdr:row>
      <xdr:rowOff>0</xdr:rowOff>
    </xdr:from>
    <xdr:ext cx="9525" cy="9525"/>
    <xdr:pic>
      <xdr:nvPicPr>
        <xdr:cNvPr id="35" name="Image 34" descr="http://ib.adnxs.com/seg?add=:NaN&amp;t=2">
          <a:extLst>
            <a:ext uri="{FF2B5EF4-FFF2-40B4-BE49-F238E27FC236}">
              <a16:creationId xmlns:a16="http://schemas.microsoft.com/office/drawing/2014/main" id="{00000000-0008-0000-5C00-00002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299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98</xdr:row>
      <xdr:rowOff>0</xdr:rowOff>
    </xdr:from>
    <xdr:ext cx="9525" cy="9525"/>
    <xdr:pic>
      <xdr:nvPicPr>
        <xdr:cNvPr id="3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4897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98</xdr:row>
      <xdr:rowOff>0</xdr:rowOff>
    </xdr:from>
    <xdr:ext cx="9525" cy="9525"/>
    <xdr:pic>
      <xdr:nvPicPr>
        <xdr:cNvPr id="37" name="Image 36" descr="http://ib.adnxs.com/seg?add=2491894:99&amp;t=2">
          <a:extLst>
            <a:ext uri="{FF2B5EF4-FFF2-40B4-BE49-F238E27FC236}">
              <a16:creationId xmlns:a16="http://schemas.microsoft.com/office/drawing/2014/main" id="{00000000-0008-0000-5C00-00002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680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60</xdr:row>
      <xdr:rowOff>0</xdr:rowOff>
    </xdr:from>
    <xdr:ext cx="9525" cy="9525"/>
    <xdr:pic>
      <xdr:nvPicPr>
        <xdr:cNvPr id="38" name="Image 37" descr="http://ib.adnxs.com/seg?add=:NaN&amp;t=2">
          <a:extLst>
            <a:ext uri="{FF2B5EF4-FFF2-40B4-BE49-F238E27FC236}">
              <a16:creationId xmlns:a16="http://schemas.microsoft.com/office/drawing/2014/main" id="{00000000-0008-0000-5C00-00002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299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60</xdr:row>
      <xdr:rowOff>0</xdr:rowOff>
    </xdr:from>
    <xdr:ext cx="9525" cy="9525"/>
    <xdr:pic>
      <xdr:nvPicPr>
        <xdr:cNvPr id="3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4897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60</xdr:row>
      <xdr:rowOff>0</xdr:rowOff>
    </xdr:from>
    <xdr:ext cx="9525" cy="9525"/>
    <xdr:pic>
      <xdr:nvPicPr>
        <xdr:cNvPr id="40" name="Image 39" descr="http://ib.adnxs.com/seg?add=2491894:99&amp;t=2">
          <a:extLst>
            <a:ext uri="{FF2B5EF4-FFF2-40B4-BE49-F238E27FC236}">
              <a16:creationId xmlns:a16="http://schemas.microsoft.com/office/drawing/2014/main" id="{00000000-0008-0000-5C00-00002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680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65</xdr:row>
      <xdr:rowOff>0</xdr:rowOff>
    </xdr:from>
    <xdr:ext cx="9525" cy="9525"/>
    <xdr:pic>
      <xdr:nvPicPr>
        <xdr:cNvPr id="41" name="Image 40" descr="http://ib.adnxs.com/seg?add=:NaN&amp;t=2">
          <a:extLst>
            <a:ext uri="{FF2B5EF4-FFF2-40B4-BE49-F238E27FC236}">
              <a16:creationId xmlns:a16="http://schemas.microsoft.com/office/drawing/2014/main" id="{00000000-0008-0000-5C00-00002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299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65</xdr:row>
      <xdr:rowOff>0</xdr:rowOff>
    </xdr:from>
    <xdr:ext cx="9525" cy="9525"/>
    <xdr:pic>
      <xdr:nvPicPr>
        <xdr:cNvPr id="4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4897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65</xdr:row>
      <xdr:rowOff>0</xdr:rowOff>
    </xdr:from>
    <xdr:ext cx="9525" cy="9525"/>
    <xdr:pic>
      <xdr:nvPicPr>
        <xdr:cNvPr id="43" name="Image 42" descr="http://ib.adnxs.com/seg?add=2491894:99&amp;t=2">
          <a:extLst>
            <a:ext uri="{FF2B5EF4-FFF2-40B4-BE49-F238E27FC236}">
              <a16:creationId xmlns:a16="http://schemas.microsoft.com/office/drawing/2014/main" id="{00000000-0008-0000-5C00-00002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680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94</xdr:row>
      <xdr:rowOff>0</xdr:rowOff>
    </xdr:from>
    <xdr:ext cx="9525" cy="9525"/>
    <xdr:pic>
      <xdr:nvPicPr>
        <xdr:cNvPr id="44" name="Image 43" descr="http://ib.adnxs.com/seg?add=:NaN&amp;t=2">
          <a:extLst>
            <a:ext uri="{FF2B5EF4-FFF2-40B4-BE49-F238E27FC236}">
              <a16:creationId xmlns:a16="http://schemas.microsoft.com/office/drawing/2014/main" id="{00000000-0008-0000-5C00-00002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299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94</xdr:row>
      <xdr:rowOff>0</xdr:rowOff>
    </xdr:from>
    <xdr:ext cx="9525" cy="9525"/>
    <xdr:pic>
      <xdr:nvPicPr>
        <xdr:cNvPr id="4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4897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94</xdr:row>
      <xdr:rowOff>0</xdr:rowOff>
    </xdr:from>
    <xdr:ext cx="9525" cy="9525"/>
    <xdr:pic>
      <xdr:nvPicPr>
        <xdr:cNvPr id="46" name="Image 45" descr="http://ib.adnxs.com/seg?add=2491894:99&amp;t=2">
          <a:extLst>
            <a:ext uri="{FF2B5EF4-FFF2-40B4-BE49-F238E27FC236}">
              <a16:creationId xmlns:a16="http://schemas.microsoft.com/office/drawing/2014/main" id="{00000000-0008-0000-5C00-00002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680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98</xdr:row>
      <xdr:rowOff>0</xdr:rowOff>
    </xdr:from>
    <xdr:ext cx="9525" cy="9525"/>
    <xdr:pic>
      <xdr:nvPicPr>
        <xdr:cNvPr id="47" name="Image 46" descr="http://ib.adnxs.com/seg?add=:NaN&amp;t=2">
          <a:extLst>
            <a:ext uri="{FF2B5EF4-FFF2-40B4-BE49-F238E27FC236}">
              <a16:creationId xmlns:a16="http://schemas.microsoft.com/office/drawing/2014/main" id="{00000000-0008-0000-5C00-00002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299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98</xdr:row>
      <xdr:rowOff>0</xdr:rowOff>
    </xdr:from>
    <xdr:ext cx="9525" cy="9525"/>
    <xdr:pic>
      <xdr:nvPicPr>
        <xdr:cNvPr id="4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4897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98</xdr:row>
      <xdr:rowOff>0</xdr:rowOff>
    </xdr:from>
    <xdr:ext cx="9525" cy="9525"/>
    <xdr:pic>
      <xdr:nvPicPr>
        <xdr:cNvPr id="49" name="Image 48" descr="http://ib.adnxs.com/seg?add=2491894:99&amp;t=2">
          <a:extLst>
            <a:ext uri="{FF2B5EF4-FFF2-40B4-BE49-F238E27FC236}">
              <a16:creationId xmlns:a16="http://schemas.microsoft.com/office/drawing/2014/main" id="{00000000-0008-0000-5C00-00003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68025" y="10582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0</xdr:colOff>
      <xdr:row>47</xdr:row>
      <xdr:rowOff>0</xdr:rowOff>
    </xdr:from>
    <xdr:to>
      <xdr:col>10</xdr:col>
      <xdr:colOff>9525</xdr:colOff>
      <xdr:row>47</xdr:row>
      <xdr:rowOff>9525</xdr:rowOff>
    </xdr:to>
    <xdr:pic>
      <xdr:nvPicPr>
        <xdr:cNvPr id="50" name="Image 49" descr="http://ib.adnxs.com/seg?add=:NaN&amp;t=2">
          <a:extLst>
            <a:ext uri="{FF2B5EF4-FFF2-40B4-BE49-F238E27FC236}">
              <a16:creationId xmlns:a16="http://schemas.microsoft.com/office/drawing/2014/main" id="{00000000-0008-0000-5C00-00003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3096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19050</xdr:colOff>
      <xdr:row>47</xdr:row>
      <xdr:rowOff>0</xdr:rowOff>
    </xdr:from>
    <xdr:to>
      <xdr:col>10</xdr:col>
      <xdr:colOff>28575</xdr:colOff>
      <xdr:row>47</xdr:row>
      <xdr:rowOff>9525</xdr:rowOff>
    </xdr:to>
    <xdr:pic>
      <xdr:nvPicPr>
        <xdr:cNvPr id="5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3096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xdr:colOff>
      <xdr:row>47</xdr:row>
      <xdr:rowOff>0</xdr:rowOff>
    </xdr:from>
    <xdr:to>
      <xdr:col>10</xdr:col>
      <xdr:colOff>47625</xdr:colOff>
      <xdr:row>47</xdr:row>
      <xdr:rowOff>9525</xdr:rowOff>
    </xdr:to>
    <xdr:pic>
      <xdr:nvPicPr>
        <xdr:cNvPr id="52" name="Image 51" descr="http://ib.adnxs.com/seg?add=2491894:99&amp;t=2">
          <a:extLst>
            <a:ext uri="{FF2B5EF4-FFF2-40B4-BE49-F238E27FC236}">
              <a16:creationId xmlns:a16="http://schemas.microsoft.com/office/drawing/2014/main" id="{00000000-0008-0000-5C00-00003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3096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0</xdr:colOff>
      <xdr:row>47</xdr:row>
      <xdr:rowOff>0</xdr:rowOff>
    </xdr:from>
    <xdr:ext cx="9525" cy="9525"/>
    <xdr:pic>
      <xdr:nvPicPr>
        <xdr:cNvPr id="53" name="Image 52" descr="http://ib.adnxs.com/seg?add=:NaN&amp;t=2">
          <a:extLst>
            <a:ext uri="{FF2B5EF4-FFF2-40B4-BE49-F238E27FC236}">
              <a16:creationId xmlns:a16="http://schemas.microsoft.com/office/drawing/2014/main" id="{00000000-0008-0000-5C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58450" y="13096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47</xdr:row>
      <xdr:rowOff>0</xdr:rowOff>
    </xdr:from>
    <xdr:ext cx="9525" cy="9525"/>
    <xdr:pic>
      <xdr:nvPicPr>
        <xdr:cNvPr id="5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77500" y="13096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47</xdr:row>
      <xdr:rowOff>0</xdr:rowOff>
    </xdr:from>
    <xdr:ext cx="9525" cy="9525"/>
    <xdr:pic>
      <xdr:nvPicPr>
        <xdr:cNvPr id="55" name="Image 54" descr="http://ib.adnxs.com/seg?add=2491894:99&amp;t=2">
          <a:extLst>
            <a:ext uri="{FF2B5EF4-FFF2-40B4-BE49-F238E27FC236}">
              <a16:creationId xmlns:a16="http://schemas.microsoft.com/office/drawing/2014/main" id="{00000000-0008-0000-5C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96550" y="13096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48</xdr:row>
      <xdr:rowOff>0</xdr:rowOff>
    </xdr:from>
    <xdr:ext cx="9525" cy="9525"/>
    <xdr:pic>
      <xdr:nvPicPr>
        <xdr:cNvPr id="56" name="Image 55" descr="http://ib.adnxs.com/seg?add=:NaN&amp;t=2">
          <a:extLst>
            <a:ext uri="{FF2B5EF4-FFF2-40B4-BE49-F238E27FC236}">
              <a16:creationId xmlns:a16="http://schemas.microsoft.com/office/drawing/2014/main" id="{00000000-0008-0000-5C00-00003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58450" y="13287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48</xdr:row>
      <xdr:rowOff>0</xdr:rowOff>
    </xdr:from>
    <xdr:ext cx="9525" cy="9525"/>
    <xdr:pic>
      <xdr:nvPicPr>
        <xdr:cNvPr id="5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77500" y="13287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48</xdr:row>
      <xdr:rowOff>0</xdr:rowOff>
    </xdr:from>
    <xdr:ext cx="9525" cy="9525"/>
    <xdr:pic>
      <xdr:nvPicPr>
        <xdr:cNvPr id="58" name="Image 57" descr="http://ib.adnxs.com/seg?add=2491894:99&amp;t=2">
          <a:extLst>
            <a:ext uri="{FF2B5EF4-FFF2-40B4-BE49-F238E27FC236}">
              <a16:creationId xmlns:a16="http://schemas.microsoft.com/office/drawing/2014/main" id="{00000000-0008-0000-5C00-00003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96550" y="13287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49</xdr:row>
      <xdr:rowOff>0</xdr:rowOff>
    </xdr:from>
    <xdr:ext cx="9525" cy="9525"/>
    <xdr:pic>
      <xdr:nvPicPr>
        <xdr:cNvPr id="59" name="Image 58" descr="http://ib.adnxs.com/seg?add=:NaN&amp;t=2">
          <a:extLst>
            <a:ext uri="{FF2B5EF4-FFF2-40B4-BE49-F238E27FC236}">
              <a16:creationId xmlns:a16="http://schemas.microsoft.com/office/drawing/2014/main" id="{00000000-0008-0000-5C00-00003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3477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49</xdr:row>
      <xdr:rowOff>0</xdr:rowOff>
    </xdr:from>
    <xdr:ext cx="9525" cy="9525"/>
    <xdr:pic>
      <xdr:nvPicPr>
        <xdr:cNvPr id="6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3477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49</xdr:row>
      <xdr:rowOff>0</xdr:rowOff>
    </xdr:from>
    <xdr:ext cx="9525" cy="9525"/>
    <xdr:pic>
      <xdr:nvPicPr>
        <xdr:cNvPr id="61" name="Image 60" descr="http://ib.adnxs.com/seg?add=2491894:99&amp;t=2">
          <a:extLst>
            <a:ext uri="{FF2B5EF4-FFF2-40B4-BE49-F238E27FC236}">
              <a16:creationId xmlns:a16="http://schemas.microsoft.com/office/drawing/2014/main" id="{00000000-0008-0000-5C00-00003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3477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49</xdr:row>
      <xdr:rowOff>0</xdr:rowOff>
    </xdr:from>
    <xdr:ext cx="9525" cy="9525"/>
    <xdr:pic>
      <xdr:nvPicPr>
        <xdr:cNvPr id="62" name="Image 61" descr="http://ib.adnxs.com/seg?add=:NaN&amp;t=2">
          <a:extLst>
            <a:ext uri="{FF2B5EF4-FFF2-40B4-BE49-F238E27FC236}">
              <a16:creationId xmlns:a16="http://schemas.microsoft.com/office/drawing/2014/main" id="{00000000-0008-0000-5C00-00003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58450" y="13477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49</xdr:row>
      <xdr:rowOff>0</xdr:rowOff>
    </xdr:from>
    <xdr:ext cx="9525" cy="9525"/>
    <xdr:pic>
      <xdr:nvPicPr>
        <xdr:cNvPr id="6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77500" y="13477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49</xdr:row>
      <xdr:rowOff>0</xdr:rowOff>
    </xdr:from>
    <xdr:ext cx="9525" cy="9525"/>
    <xdr:pic>
      <xdr:nvPicPr>
        <xdr:cNvPr id="64" name="Image 63" descr="http://ib.adnxs.com/seg?add=2491894:99&amp;t=2">
          <a:extLst>
            <a:ext uri="{FF2B5EF4-FFF2-40B4-BE49-F238E27FC236}">
              <a16:creationId xmlns:a16="http://schemas.microsoft.com/office/drawing/2014/main" id="{00000000-0008-0000-5C00-00004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96550" y="13477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48</xdr:row>
      <xdr:rowOff>0</xdr:rowOff>
    </xdr:from>
    <xdr:ext cx="9525" cy="9525"/>
    <xdr:pic>
      <xdr:nvPicPr>
        <xdr:cNvPr id="65" name="Image 64" descr="http://ib.adnxs.com/seg?add=:NaN&amp;t=2">
          <a:extLst>
            <a:ext uri="{FF2B5EF4-FFF2-40B4-BE49-F238E27FC236}">
              <a16:creationId xmlns:a16="http://schemas.microsoft.com/office/drawing/2014/main" id="{00000000-0008-0000-5C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3287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48</xdr:row>
      <xdr:rowOff>0</xdr:rowOff>
    </xdr:from>
    <xdr:ext cx="9525" cy="9525"/>
    <xdr:pic>
      <xdr:nvPicPr>
        <xdr:cNvPr id="6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4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3287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48</xdr:row>
      <xdr:rowOff>0</xdr:rowOff>
    </xdr:from>
    <xdr:ext cx="9525" cy="9525"/>
    <xdr:pic>
      <xdr:nvPicPr>
        <xdr:cNvPr id="67" name="Image 66" descr="http://ib.adnxs.com/seg?add=2491894:99&amp;t=2">
          <a:extLst>
            <a:ext uri="{FF2B5EF4-FFF2-40B4-BE49-F238E27FC236}">
              <a16:creationId xmlns:a16="http://schemas.microsoft.com/office/drawing/2014/main" id="{00000000-0008-0000-5C00-00004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3287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48</xdr:row>
      <xdr:rowOff>0</xdr:rowOff>
    </xdr:from>
    <xdr:ext cx="9525" cy="9525"/>
    <xdr:pic>
      <xdr:nvPicPr>
        <xdr:cNvPr id="68" name="Image 67" descr="http://ib.adnxs.com/seg?add=:NaN&amp;t=2">
          <a:extLst>
            <a:ext uri="{FF2B5EF4-FFF2-40B4-BE49-F238E27FC236}">
              <a16:creationId xmlns:a16="http://schemas.microsoft.com/office/drawing/2014/main" id="{00000000-0008-0000-5C00-00004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3287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48</xdr:row>
      <xdr:rowOff>0</xdr:rowOff>
    </xdr:from>
    <xdr:ext cx="9525" cy="9525"/>
    <xdr:pic>
      <xdr:nvPicPr>
        <xdr:cNvPr id="6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4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3287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48</xdr:row>
      <xdr:rowOff>0</xdr:rowOff>
    </xdr:from>
    <xdr:ext cx="9525" cy="9525"/>
    <xdr:pic>
      <xdr:nvPicPr>
        <xdr:cNvPr id="70" name="Image 69" descr="http://ib.adnxs.com/seg?add=2491894:99&amp;t=2">
          <a:extLst>
            <a:ext uri="{FF2B5EF4-FFF2-40B4-BE49-F238E27FC236}">
              <a16:creationId xmlns:a16="http://schemas.microsoft.com/office/drawing/2014/main" id="{00000000-0008-0000-5C00-00004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3287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9525" cy="9525"/>
    <xdr:pic>
      <xdr:nvPicPr>
        <xdr:cNvPr id="71" name="Image 70" descr="http://ib.adnxs.com/seg?add=:NaN&amp;t=2">
          <a:extLst>
            <a:ext uri="{FF2B5EF4-FFF2-40B4-BE49-F238E27FC236}">
              <a16:creationId xmlns:a16="http://schemas.microsoft.com/office/drawing/2014/main" id="{00000000-0008-0000-5C00-00004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068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55</xdr:row>
      <xdr:rowOff>0</xdr:rowOff>
    </xdr:from>
    <xdr:ext cx="9525" cy="9525"/>
    <xdr:pic>
      <xdr:nvPicPr>
        <xdr:cNvPr id="7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4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068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55</xdr:row>
      <xdr:rowOff>0</xdr:rowOff>
    </xdr:from>
    <xdr:ext cx="9525" cy="9525"/>
    <xdr:pic>
      <xdr:nvPicPr>
        <xdr:cNvPr id="73" name="Image 72" descr="http://ib.adnxs.com/seg?add=2491894:99&amp;t=2">
          <a:extLst>
            <a:ext uri="{FF2B5EF4-FFF2-40B4-BE49-F238E27FC236}">
              <a16:creationId xmlns:a16="http://schemas.microsoft.com/office/drawing/2014/main" id="{00000000-0008-0000-5C00-00004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068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55</xdr:row>
      <xdr:rowOff>0</xdr:rowOff>
    </xdr:from>
    <xdr:ext cx="9525" cy="9525"/>
    <xdr:pic>
      <xdr:nvPicPr>
        <xdr:cNvPr id="74" name="Image 73" descr="http://ib.adnxs.com/seg?add=:NaN&amp;t=2">
          <a:extLst>
            <a:ext uri="{FF2B5EF4-FFF2-40B4-BE49-F238E27FC236}">
              <a16:creationId xmlns:a16="http://schemas.microsoft.com/office/drawing/2014/main" id="{00000000-0008-0000-5C00-00004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068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55</xdr:row>
      <xdr:rowOff>0</xdr:rowOff>
    </xdr:from>
    <xdr:ext cx="9525" cy="9525"/>
    <xdr:pic>
      <xdr:nvPicPr>
        <xdr:cNvPr id="7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068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55</xdr:row>
      <xdr:rowOff>0</xdr:rowOff>
    </xdr:from>
    <xdr:ext cx="9525" cy="9525"/>
    <xdr:pic>
      <xdr:nvPicPr>
        <xdr:cNvPr id="76" name="Image 75" descr="http://ib.adnxs.com/seg?add=2491894:99&amp;t=2">
          <a:extLst>
            <a:ext uri="{FF2B5EF4-FFF2-40B4-BE49-F238E27FC236}">
              <a16:creationId xmlns:a16="http://schemas.microsoft.com/office/drawing/2014/main" id="{00000000-0008-0000-5C00-00004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068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56</xdr:row>
      <xdr:rowOff>0</xdr:rowOff>
    </xdr:from>
    <xdr:ext cx="9525" cy="9525"/>
    <xdr:pic>
      <xdr:nvPicPr>
        <xdr:cNvPr id="77" name="Image 76" descr="http://ib.adnxs.com/seg?add=:NaN&amp;t=2">
          <a:extLst>
            <a:ext uri="{FF2B5EF4-FFF2-40B4-BE49-F238E27FC236}">
              <a16:creationId xmlns:a16="http://schemas.microsoft.com/office/drawing/2014/main" id="{00000000-0008-0000-5C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08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56</xdr:row>
      <xdr:rowOff>0</xdr:rowOff>
    </xdr:from>
    <xdr:ext cx="9525" cy="9525"/>
    <xdr:pic>
      <xdr:nvPicPr>
        <xdr:cNvPr id="7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4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08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56</xdr:row>
      <xdr:rowOff>0</xdr:rowOff>
    </xdr:from>
    <xdr:ext cx="9525" cy="9525"/>
    <xdr:pic>
      <xdr:nvPicPr>
        <xdr:cNvPr id="79" name="Image 78" descr="http://ib.adnxs.com/seg?add=2491894:99&amp;t=2">
          <a:extLst>
            <a:ext uri="{FF2B5EF4-FFF2-40B4-BE49-F238E27FC236}">
              <a16:creationId xmlns:a16="http://schemas.microsoft.com/office/drawing/2014/main" id="{00000000-0008-0000-5C00-00004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08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57</xdr:row>
      <xdr:rowOff>0</xdr:rowOff>
    </xdr:from>
    <xdr:ext cx="9525" cy="9525"/>
    <xdr:pic>
      <xdr:nvPicPr>
        <xdr:cNvPr id="80" name="Image 79" descr="http://ib.adnxs.com/seg?add=:NaN&amp;t=2">
          <a:extLst>
            <a:ext uri="{FF2B5EF4-FFF2-40B4-BE49-F238E27FC236}">
              <a16:creationId xmlns:a16="http://schemas.microsoft.com/office/drawing/2014/main" id="{00000000-0008-0000-5C00-00005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10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57</xdr:row>
      <xdr:rowOff>0</xdr:rowOff>
    </xdr:from>
    <xdr:ext cx="9525" cy="9525"/>
    <xdr:pic>
      <xdr:nvPicPr>
        <xdr:cNvPr id="8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10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57</xdr:row>
      <xdr:rowOff>0</xdr:rowOff>
    </xdr:from>
    <xdr:ext cx="9525" cy="9525"/>
    <xdr:pic>
      <xdr:nvPicPr>
        <xdr:cNvPr id="82" name="Image 81" descr="http://ib.adnxs.com/seg?add=2491894:99&amp;t=2">
          <a:extLst>
            <a:ext uri="{FF2B5EF4-FFF2-40B4-BE49-F238E27FC236}">
              <a16:creationId xmlns:a16="http://schemas.microsoft.com/office/drawing/2014/main" id="{00000000-0008-0000-5C00-00005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10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57</xdr:row>
      <xdr:rowOff>0</xdr:rowOff>
    </xdr:from>
    <xdr:ext cx="9525" cy="9525"/>
    <xdr:pic>
      <xdr:nvPicPr>
        <xdr:cNvPr id="83" name="Image 82" descr="http://ib.adnxs.com/seg?add=:NaN&amp;t=2">
          <a:extLst>
            <a:ext uri="{FF2B5EF4-FFF2-40B4-BE49-F238E27FC236}">
              <a16:creationId xmlns:a16="http://schemas.microsoft.com/office/drawing/2014/main" id="{00000000-0008-0000-5C00-00005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10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57</xdr:row>
      <xdr:rowOff>0</xdr:rowOff>
    </xdr:from>
    <xdr:ext cx="9525" cy="9525"/>
    <xdr:pic>
      <xdr:nvPicPr>
        <xdr:cNvPr id="8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10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57</xdr:row>
      <xdr:rowOff>0</xdr:rowOff>
    </xdr:from>
    <xdr:ext cx="9525" cy="9525"/>
    <xdr:pic>
      <xdr:nvPicPr>
        <xdr:cNvPr id="85" name="Image 84" descr="http://ib.adnxs.com/seg?add=2491894:99&amp;t=2">
          <a:extLst>
            <a:ext uri="{FF2B5EF4-FFF2-40B4-BE49-F238E27FC236}">
              <a16:creationId xmlns:a16="http://schemas.microsoft.com/office/drawing/2014/main" id="{00000000-0008-0000-5C00-00005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10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56</xdr:row>
      <xdr:rowOff>0</xdr:rowOff>
    </xdr:from>
    <xdr:ext cx="9525" cy="9525"/>
    <xdr:pic>
      <xdr:nvPicPr>
        <xdr:cNvPr id="86" name="Image 85" descr="http://ib.adnxs.com/seg?add=:NaN&amp;t=2">
          <a:extLst>
            <a:ext uri="{FF2B5EF4-FFF2-40B4-BE49-F238E27FC236}">
              <a16:creationId xmlns:a16="http://schemas.microsoft.com/office/drawing/2014/main" id="{00000000-0008-0000-5C00-00005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08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56</xdr:row>
      <xdr:rowOff>0</xdr:rowOff>
    </xdr:from>
    <xdr:ext cx="9525" cy="9525"/>
    <xdr:pic>
      <xdr:nvPicPr>
        <xdr:cNvPr id="8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08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56</xdr:row>
      <xdr:rowOff>0</xdr:rowOff>
    </xdr:from>
    <xdr:ext cx="9525" cy="9525"/>
    <xdr:pic>
      <xdr:nvPicPr>
        <xdr:cNvPr id="88" name="Image 87" descr="http://ib.adnxs.com/seg?add=2491894:99&amp;t=2">
          <a:extLst>
            <a:ext uri="{FF2B5EF4-FFF2-40B4-BE49-F238E27FC236}">
              <a16:creationId xmlns:a16="http://schemas.microsoft.com/office/drawing/2014/main" id="{00000000-0008-0000-5C00-00005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08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56</xdr:row>
      <xdr:rowOff>0</xdr:rowOff>
    </xdr:from>
    <xdr:ext cx="9525" cy="9525"/>
    <xdr:pic>
      <xdr:nvPicPr>
        <xdr:cNvPr id="89" name="Image 88" descr="http://ib.adnxs.com/seg?add=:NaN&amp;t=2">
          <a:extLst>
            <a:ext uri="{FF2B5EF4-FFF2-40B4-BE49-F238E27FC236}">
              <a16:creationId xmlns:a16="http://schemas.microsoft.com/office/drawing/2014/main" id="{00000000-0008-0000-5C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08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56</xdr:row>
      <xdr:rowOff>0</xdr:rowOff>
    </xdr:from>
    <xdr:ext cx="9525" cy="9525"/>
    <xdr:pic>
      <xdr:nvPicPr>
        <xdr:cNvPr id="9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08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56</xdr:row>
      <xdr:rowOff>0</xdr:rowOff>
    </xdr:from>
    <xdr:ext cx="9525" cy="9525"/>
    <xdr:pic>
      <xdr:nvPicPr>
        <xdr:cNvPr id="91" name="Image 90" descr="http://ib.adnxs.com/seg?add=2491894:99&amp;t=2">
          <a:extLst>
            <a:ext uri="{FF2B5EF4-FFF2-40B4-BE49-F238E27FC236}">
              <a16:creationId xmlns:a16="http://schemas.microsoft.com/office/drawing/2014/main" id="{00000000-0008-0000-5C00-00005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08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62</xdr:row>
      <xdr:rowOff>0</xdr:rowOff>
    </xdr:from>
    <xdr:ext cx="9525" cy="9525"/>
    <xdr:pic>
      <xdr:nvPicPr>
        <xdr:cNvPr id="92" name="Image 91" descr="http://ib.adnxs.com/seg?add=:NaN&amp;t=2">
          <a:extLst>
            <a:ext uri="{FF2B5EF4-FFF2-40B4-BE49-F238E27FC236}">
              <a16:creationId xmlns:a16="http://schemas.microsoft.com/office/drawing/2014/main" id="{00000000-0008-0000-5C00-00005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05875" y="1202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62</xdr:row>
      <xdr:rowOff>0</xdr:rowOff>
    </xdr:from>
    <xdr:ext cx="9525" cy="9525"/>
    <xdr:pic>
      <xdr:nvPicPr>
        <xdr:cNvPr id="9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924925" y="1202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62</xdr:row>
      <xdr:rowOff>0</xdr:rowOff>
    </xdr:from>
    <xdr:ext cx="9525" cy="9525"/>
    <xdr:pic>
      <xdr:nvPicPr>
        <xdr:cNvPr id="94" name="Image 93" descr="http://ib.adnxs.com/seg?add=2491894:99&amp;t=2">
          <a:extLst>
            <a:ext uri="{FF2B5EF4-FFF2-40B4-BE49-F238E27FC236}">
              <a16:creationId xmlns:a16="http://schemas.microsoft.com/office/drawing/2014/main" id="{00000000-0008-0000-5C00-00005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43975" y="1202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62</xdr:row>
      <xdr:rowOff>0</xdr:rowOff>
    </xdr:from>
    <xdr:ext cx="9525" cy="9525"/>
    <xdr:pic>
      <xdr:nvPicPr>
        <xdr:cNvPr id="95" name="Image 94" descr="http://ib.adnxs.com/seg?add=:NaN&amp;t=2">
          <a:extLst>
            <a:ext uri="{FF2B5EF4-FFF2-40B4-BE49-F238E27FC236}">
              <a16:creationId xmlns:a16="http://schemas.microsoft.com/office/drawing/2014/main" id="{00000000-0008-0000-5C00-00005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25125" y="1202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62</xdr:row>
      <xdr:rowOff>0</xdr:rowOff>
    </xdr:from>
    <xdr:ext cx="9525" cy="9525"/>
    <xdr:pic>
      <xdr:nvPicPr>
        <xdr:cNvPr id="9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44175" y="1202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62</xdr:row>
      <xdr:rowOff>0</xdr:rowOff>
    </xdr:from>
    <xdr:ext cx="9525" cy="9525"/>
    <xdr:pic>
      <xdr:nvPicPr>
        <xdr:cNvPr id="97" name="Image 96" descr="http://ib.adnxs.com/seg?add=2491894:99&amp;t=2">
          <a:extLst>
            <a:ext uri="{FF2B5EF4-FFF2-40B4-BE49-F238E27FC236}">
              <a16:creationId xmlns:a16="http://schemas.microsoft.com/office/drawing/2014/main" id="{00000000-0008-0000-5C00-00006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63225" y="1202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63</xdr:row>
      <xdr:rowOff>0</xdr:rowOff>
    </xdr:from>
    <xdr:ext cx="9525" cy="9525"/>
    <xdr:pic>
      <xdr:nvPicPr>
        <xdr:cNvPr id="98" name="Image 97" descr="http://ib.adnxs.com/seg?add=:NaN&amp;t=2">
          <a:extLst>
            <a:ext uri="{FF2B5EF4-FFF2-40B4-BE49-F238E27FC236}">
              <a16:creationId xmlns:a16="http://schemas.microsoft.com/office/drawing/2014/main" id="{00000000-0008-0000-5C00-00006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22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63</xdr:row>
      <xdr:rowOff>0</xdr:rowOff>
    </xdr:from>
    <xdr:ext cx="9525" cy="9525"/>
    <xdr:pic>
      <xdr:nvPicPr>
        <xdr:cNvPr id="9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22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63</xdr:row>
      <xdr:rowOff>0</xdr:rowOff>
    </xdr:from>
    <xdr:ext cx="9525" cy="9525"/>
    <xdr:pic>
      <xdr:nvPicPr>
        <xdr:cNvPr id="100" name="Image 99" descr="http://ib.adnxs.com/seg?add=2491894:99&amp;t=2">
          <a:extLst>
            <a:ext uri="{FF2B5EF4-FFF2-40B4-BE49-F238E27FC236}">
              <a16:creationId xmlns:a16="http://schemas.microsoft.com/office/drawing/2014/main" id="{00000000-0008-0000-5C00-00006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22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63</xdr:row>
      <xdr:rowOff>0</xdr:rowOff>
    </xdr:from>
    <xdr:ext cx="9525" cy="9525"/>
    <xdr:pic>
      <xdr:nvPicPr>
        <xdr:cNvPr id="101" name="Image 100" descr="http://ib.adnxs.com/seg?add=:NaN&amp;t=2">
          <a:extLst>
            <a:ext uri="{FF2B5EF4-FFF2-40B4-BE49-F238E27FC236}">
              <a16:creationId xmlns:a16="http://schemas.microsoft.com/office/drawing/2014/main" id="{00000000-0008-0000-5C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22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63</xdr:row>
      <xdr:rowOff>0</xdr:rowOff>
    </xdr:from>
    <xdr:ext cx="9525" cy="9525"/>
    <xdr:pic>
      <xdr:nvPicPr>
        <xdr:cNvPr id="10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22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63</xdr:row>
      <xdr:rowOff>0</xdr:rowOff>
    </xdr:from>
    <xdr:ext cx="9525" cy="9525"/>
    <xdr:pic>
      <xdr:nvPicPr>
        <xdr:cNvPr id="103" name="Image 102" descr="http://ib.adnxs.com/seg?add=2491894:99&amp;t=2">
          <a:extLst>
            <a:ext uri="{FF2B5EF4-FFF2-40B4-BE49-F238E27FC236}">
              <a16:creationId xmlns:a16="http://schemas.microsoft.com/office/drawing/2014/main" id="{00000000-0008-0000-5C00-00006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22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64</xdr:row>
      <xdr:rowOff>0</xdr:rowOff>
    </xdr:from>
    <xdr:ext cx="9525" cy="9525"/>
    <xdr:pic>
      <xdr:nvPicPr>
        <xdr:cNvPr id="104" name="Image 103" descr="http://ib.adnxs.com/seg?add=:NaN&amp;t=2">
          <a:extLst>
            <a:ext uri="{FF2B5EF4-FFF2-40B4-BE49-F238E27FC236}">
              <a16:creationId xmlns:a16="http://schemas.microsoft.com/office/drawing/2014/main" id="{00000000-0008-0000-5C00-00006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24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64</xdr:row>
      <xdr:rowOff>0</xdr:rowOff>
    </xdr:from>
    <xdr:ext cx="9525" cy="9525"/>
    <xdr:pic>
      <xdr:nvPicPr>
        <xdr:cNvPr id="10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24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64</xdr:row>
      <xdr:rowOff>0</xdr:rowOff>
    </xdr:from>
    <xdr:ext cx="9525" cy="9525"/>
    <xdr:pic>
      <xdr:nvPicPr>
        <xdr:cNvPr id="106" name="Image 105" descr="http://ib.adnxs.com/seg?add=2491894:99&amp;t=2">
          <a:extLst>
            <a:ext uri="{FF2B5EF4-FFF2-40B4-BE49-F238E27FC236}">
              <a16:creationId xmlns:a16="http://schemas.microsoft.com/office/drawing/2014/main" id="{00000000-0008-0000-5C00-00006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24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65</xdr:row>
      <xdr:rowOff>0</xdr:rowOff>
    </xdr:from>
    <xdr:ext cx="9525" cy="9525"/>
    <xdr:pic>
      <xdr:nvPicPr>
        <xdr:cNvPr id="107" name="Image 106" descr="http://ib.adnxs.com/seg?add=:NaN&amp;t=2">
          <a:extLst>
            <a:ext uri="{FF2B5EF4-FFF2-40B4-BE49-F238E27FC236}">
              <a16:creationId xmlns:a16="http://schemas.microsoft.com/office/drawing/2014/main" id="{00000000-0008-0000-5C00-00006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259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65</xdr:row>
      <xdr:rowOff>0</xdr:rowOff>
    </xdr:from>
    <xdr:ext cx="9525" cy="9525"/>
    <xdr:pic>
      <xdr:nvPicPr>
        <xdr:cNvPr id="10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259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65</xdr:row>
      <xdr:rowOff>0</xdr:rowOff>
    </xdr:from>
    <xdr:ext cx="9525" cy="9525"/>
    <xdr:pic>
      <xdr:nvPicPr>
        <xdr:cNvPr id="109" name="Image 108" descr="http://ib.adnxs.com/seg?add=2491894:99&amp;t=2">
          <a:extLst>
            <a:ext uri="{FF2B5EF4-FFF2-40B4-BE49-F238E27FC236}">
              <a16:creationId xmlns:a16="http://schemas.microsoft.com/office/drawing/2014/main" id="{00000000-0008-0000-5C00-00006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259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65</xdr:row>
      <xdr:rowOff>0</xdr:rowOff>
    </xdr:from>
    <xdr:ext cx="9525" cy="9525"/>
    <xdr:pic>
      <xdr:nvPicPr>
        <xdr:cNvPr id="110" name="Image 109" descr="http://ib.adnxs.com/seg?add=:NaN&amp;t=2">
          <a:extLst>
            <a:ext uri="{FF2B5EF4-FFF2-40B4-BE49-F238E27FC236}">
              <a16:creationId xmlns:a16="http://schemas.microsoft.com/office/drawing/2014/main" id="{00000000-0008-0000-5C00-00006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259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65</xdr:row>
      <xdr:rowOff>0</xdr:rowOff>
    </xdr:from>
    <xdr:ext cx="9525" cy="9525"/>
    <xdr:pic>
      <xdr:nvPicPr>
        <xdr:cNvPr id="11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259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65</xdr:row>
      <xdr:rowOff>0</xdr:rowOff>
    </xdr:from>
    <xdr:ext cx="9525" cy="9525"/>
    <xdr:pic>
      <xdr:nvPicPr>
        <xdr:cNvPr id="112" name="Image 111" descr="http://ib.adnxs.com/seg?add=2491894:99&amp;t=2">
          <a:extLst>
            <a:ext uri="{FF2B5EF4-FFF2-40B4-BE49-F238E27FC236}">
              <a16:creationId xmlns:a16="http://schemas.microsoft.com/office/drawing/2014/main" id="{00000000-0008-0000-5C00-00007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259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64</xdr:row>
      <xdr:rowOff>0</xdr:rowOff>
    </xdr:from>
    <xdr:ext cx="9525" cy="9525"/>
    <xdr:pic>
      <xdr:nvPicPr>
        <xdr:cNvPr id="113" name="Image 112" descr="http://ib.adnxs.com/seg?add=:NaN&amp;t=2">
          <a:extLst>
            <a:ext uri="{FF2B5EF4-FFF2-40B4-BE49-F238E27FC236}">
              <a16:creationId xmlns:a16="http://schemas.microsoft.com/office/drawing/2014/main" id="{00000000-0008-0000-5C00-00007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24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64</xdr:row>
      <xdr:rowOff>0</xdr:rowOff>
    </xdr:from>
    <xdr:ext cx="9525" cy="9525"/>
    <xdr:pic>
      <xdr:nvPicPr>
        <xdr:cNvPr id="11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7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24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64</xdr:row>
      <xdr:rowOff>0</xdr:rowOff>
    </xdr:from>
    <xdr:ext cx="9525" cy="9525"/>
    <xdr:pic>
      <xdr:nvPicPr>
        <xdr:cNvPr id="115" name="Image 114" descr="http://ib.adnxs.com/seg?add=2491894:99&amp;t=2">
          <a:extLst>
            <a:ext uri="{FF2B5EF4-FFF2-40B4-BE49-F238E27FC236}">
              <a16:creationId xmlns:a16="http://schemas.microsoft.com/office/drawing/2014/main" id="{00000000-0008-0000-5C00-00007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24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64</xdr:row>
      <xdr:rowOff>0</xdr:rowOff>
    </xdr:from>
    <xdr:ext cx="9525" cy="9525"/>
    <xdr:pic>
      <xdr:nvPicPr>
        <xdr:cNvPr id="116" name="Image 115" descr="http://ib.adnxs.com/seg?add=:NaN&amp;t=2">
          <a:extLst>
            <a:ext uri="{FF2B5EF4-FFF2-40B4-BE49-F238E27FC236}">
              <a16:creationId xmlns:a16="http://schemas.microsoft.com/office/drawing/2014/main" id="{00000000-0008-0000-5C00-00007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24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64</xdr:row>
      <xdr:rowOff>0</xdr:rowOff>
    </xdr:from>
    <xdr:ext cx="9525" cy="9525"/>
    <xdr:pic>
      <xdr:nvPicPr>
        <xdr:cNvPr id="11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7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24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64</xdr:row>
      <xdr:rowOff>0</xdr:rowOff>
    </xdr:from>
    <xdr:ext cx="9525" cy="9525"/>
    <xdr:pic>
      <xdr:nvPicPr>
        <xdr:cNvPr id="118" name="Image 117" descr="http://ib.adnxs.com/seg?add=2491894:99&amp;t=2">
          <a:extLst>
            <a:ext uri="{FF2B5EF4-FFF2-40B4-BE49-F238E27FC236}">
              <a16:creationId xmlns:a16="http://schemas.microsoft.com/office/drawing/2014/main" id="{00000000-0008-0000-5C00-00007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24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92</xdr:row>
      <xdr:rowOff>0</xdr:rowOff>
    </xdr:from>
    <xdr:ext cx="9525" cy="9525"/>
    <xdr:pic>
      <xdr:nvPicPr>
        <xdr:cNvPr id="119" name="Image 118" descr="http://ib.adnxs.com/seg?add=:NaN&amp;t=2">
          <a:extLst>
            <a:ext uri="{FF2B5EF4-FFF2-40B4-BE49-F238E27FC236}">
              <a16:creationId xmlns:a16="http://schemas.microsoft.com/office/drawing/2014/main" id="{00000000-0008-0000-5C00-00007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92</xdr:row>
      <xdr:rowOff>0</xdr:rowOff>
    </xdr:from>
    <xdr:ext cx="9525" cy="9525"/>
    <xdr:pic>
      <xdr:nvPicPr>
        <xdr:cNvPr id="12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78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92</xdr:row>
      <xdr:rowOff>0</xdr:rowOff>
    </xdr:from>
    <xdr:ext cx="9525" cy="9525"/>
    <xdr:pic>
      <xdr:nvPicPr>
        <xdr:cNvPr id="121" name="Image 120" descr="http://ib.adnxs.com/seg?add=2491894:99&amp;t=2">
          <a:extLst>
            <a:ext uri="{FF2B5EF4-FFF2-40B4-BE49-F238E27FC236}">
              <a16:creationId xmlns:a16="http://schemas.microsoft.com/office/drawing/2014/main" id="{00000000-0008-0000-5C00-00007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97</xdr:row>
      <xdr:rowOff>0</xdr:rowOff>
    </xdr:from>
    <xdr:ext cx="9525" cy="9525"/>
    <xdr:pic>
      <xdr:nvPicPr>
        <xdr:cNvPr id="122" name="Image 121" descr="http://ib.adnxs.com/seg?add=:NaN&amp;t=2">
          <a:extLst>
            <a:ext uri="{FF2B5EF4-FFF2-40B4-BE49-F238E27FC236}">
              <a16:creationId xmlns:a16="http://schemas.microsoft.com/office/drawing/2014/main" id="{00000000-0008-0000-5C00-00007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97</xdr:row>
      <xdr:rowOff>0</xdr:rowOff>
    </xdr:from>
    <xdr:ext cx="9525" cy="9525"/>
    <xdr:pic>
      <xdr:nvPicPr>
        <xdr:cNvPr id="12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7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97</xdr:row>
      <xdr:rowOff>0</xdr:rowOff>
    </xdr:from>
    <xdr:ext cx="9525" cy="9525"/>
    <xdr:pic>
      <xdr:nvPicPr>
        <xdr:cNvPr id="124" name="Image 123" descr="http://ib.adnxs.com/seg?add=2491894:99&amp;t=2">
          <a:extLst>
            <a:ext uri="{FF2B5EF4-FFF2-40B4-BE49-F238E27FC236}">
              <a16:creationId xmlns:a16="http://schemas.microsoft.com/office/drawing/2014/main" id="{00000000-0008-0000-5C00-00007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92</xdr:row>
      <xdr:rowOff>0</xdr:rowOff>
    </xdr:from>
    <xdr:ext cx="9525" cy="9525"/>
    <xdr:pic>
      <xdr:nvPicPr>
        <xdr:cNvPr id="125" name="Image 124" descr="http://ib.adnxs.com/seg?add=:NaN&amp;t=2">
          <a:extLst>
            <a:ext uri="{FF2B5EF4-FFF2-40B4-BE49-F238E27FC236}">
              <a16:creationId xmlns:a16="http://schemas.microsoft.com/office/drawing/2014/main" id="{00000000-0008-0000-5C00-00007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92</xdr:row>
      <xdr:rowOff>0</xdr:rowOff>
    </xdr:from>
    <xdr:ext cx="9525" cy="9525"/>
    <xdr:pic>
      <xdr:nvPicPr>
        <xdr:cNvPr id="12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7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92</xdr:row>
      <xdr:rowOff>0</xdr:rowOff>
    </xdr:from>
    <xdr:ext cx="9525" cy="9525"/>
    <xdr:pic>
      <xdr:nvPicPr>
        <xdr:cNvPr id="127" name="Image 126" descr="http://ib.adnxs.com/seg?add=2491894:99&amp;t=2">
          <a:extLst>
            <a:ext uri="{FF2B5EF4-FFF2-40B4-BE49-F238E27FC236}">
              <a16:creationId xmlns:a16="http://schemas.microsoft.com/office/drawing/2014/main" id="{00000000-0008-0000-5C00-00007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97</xdr:row>
      <xdr:rowOff>0</xdr:rowOff>
    </xdr:from>
    <xdr:ext cx="9525" cy="9525"/>
    <xdr:pic>
      <xdr:nvPicPr>
        <xdr:cNvPr id="128" name="Image 127" descr="http://ib.adnxs.com/seg?add=:NaN&amp;t=2">
          <a:extLst>
            <a:ext uri="{FF2B5EF4-FFF2-40B4-BE49-F238E27FC236}">
              <a16:creationId xmlns:a16="http://schemas.microsoft.com/office/drawing/2014/main" id="{00000000-0008-0000-5C00-00008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97</xdr:row>
      <xdr:rowOff>0</xdr:rowOff>
    </xdr:from>
    <xdr:ext cx="9525" cy="9525"/>
    <xdr:pic>
      <xdr:nvPicPr>
        <xdr:cNvPr id="12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8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97</xdr:row>
      <xdr:rowOff>0</xdr:rowOff>
    </xdr:from>
    <xdr:ext cx="9525" cy="9525"/>
    <xdr:pic>
      <xdr:nvPicPr>
        <xdr:cNvPr id="130" name="Image 129" descr="http://ib.adnxs.com/seg?add=2491894:99&amp;t=2">
          <a:extLst>
            <a:ext uri="{FF2B5EF4-FFF2-40B4-BE49-F238E27FC236}">
              <a16:creationId xmlns:a16="http://schemas.microsoft.com/office/drawing/2014/main" id="{00000000-0008-0000-5C00-00008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98</xdr:row>
      <xdr:rowOff>0</xdr:rowOff>
    </xdr:from>
    <xdr:ext cx="9525" cy="9525"/>
    <xdr:pic>
      <xdr:nvPicPr>
        <xdr:cNvPr id="131" name="Image 130" descr="http://ib.adnxs.com/seg?add=:NaN&amp;t=2">
          <a:extLst>
            <a:ext uri="{FF2B5EF4-FFF2-40B4-BE49-F238E27FC236}">
              <a16:creationId xmlns:a16="http://schemas.microsoft.com/office/drawing/2014/main" id="{00000000-0008-0000-5C00-00008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98</xdr:row>
      <xdr:rowOff>0</xdr:rowOff>
    </xdr:from>
    <xdr:ext cx="9525" cy="9525"/>
    <xdr:pic>
      <xdr:nvPicPr>
        <xdr:cNvPr id="13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8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98</xdr:row>
      <xdr:rowOff>0</xdr:rowOff>
    </xdr:from>
    <xdr:ext cx="9525" cy="9525"/>
    <xdr:pic>
      <xdr:nvPicPr>
        <xdr:cNvPr id="133" name="Image 132" descr="http://ib.adnxs.com/seg?add=2491894:99&amp;t=2">
          <a:extLst>
            <a:ext uri="{FF2B5EF4-FFF2-40B4-BE49-F238E27FC236}">
              <a16:creationId xmlns:a16="http://schemas.microsoft.com/office/drawing/2014/main" id="{00000000-0008-0000-5C00-00008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101</xdr:row>
      <xdr:rowOff>0</xdr:rowOff>
    </xdr:from>
    <xdr:ext cx="9525" cy="9525"/>
    <xdr:pic>
      <xdr:nvPicPr>
        <xdr:cNvPr id="134" name="Image 133" descr="http://ib.adnxs.com/seg?add=:NaN&amp;t=2">
          <a:extLst>
            <a:ext uri="{FF2B5EF4-FFF2-40B4-BE49-F238E27FC236}">
              <a16:creationId xmlns:a16="http://schemas.microsoft.com/office/drawing/2014/main" id="{00000000-0008-0000-5C00-00008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101</xdr:row>
      <xdr:rowOff>0</xdr:rowOff>
    </xdr:from>
    <xdr:ext cx="9525" cy="9525"/>
    <xdr:pic>
      <xdr:nvPicPr>
        <xdr:cNvPr id="13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8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101</xdr:row>
      <xdr:rowOff>0</xdr:rowOff>
    </xdr:from>
    <xdr:ext cx="9525" cy="9525"/>
    <xdr:pic>
      <xdr:nvPicPr>
        <xdr:cNvPr id="136" name="Image 135" descr="http://ib.adnxs.com/seg?add=2491894:99&amp;t=2">
          <a:extLst>
            <a:ext uri="{FF2B5EF4-FFF2-40B4-BE49-F238E27FC236}">
              <a16:creationId xmlns:a16="http://schemas.microsoft.com/office/drawing/2014/main" id="{00000000-0008-0000-5C00-00008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98</xdr:row>
      <xdr:rowOff>0</xdr:rowOff>
    </xdr:from>
    <xdr:ext cx="9525" cy="9525"/>
    <xdr:pic>
      <xdr:nvPicPr>
        <xdr:cNvPr id="137" name="Image 136" descr="http://ib.adnxs.com/seg?add=:NaN&amp;t=2">
          <a:extLst>
            <a:ext uri="{FF2B5EF4-FFF2-40B4-BE49-F238E27FC236}">
              <a16:creationId xmlns:a16="http://schemas.microsoft.com/office/drawing/2014/main" id="{00000000-0008-0000-5C00-00008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98</xdr:row>
      <xdr:rowOff>0</xdr:rowOff>
    </xdr:from>
    <xdr:ext cx="9525" cy="9525"/>
    <xdr:pic>
      <xdr:nvPicPr>
        <xdr:cNvPr id="13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8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98</xdr:row>
      <xdr:rowOff>0</xdr:rowOff>
    </xdr:from>
    <xdr:ext cx="9525" cy="9525"/>
    <xdr:pic>
      <xdr:nvPicPr>
        <xdr:cNvPr id="139" name="Image 138" descr="http://ib.adnxs.com/seg?add=2491894:99&amp;t=2">
          <a:extLst>
            <a:ext uri="{FF2B5EF4-FFF2-40B4-BE49-F238E27FC236}">
              <a16:creationId xmlns:a16="http://schemas.microsoft.com/office/drawing/2014/main" id="{00000000-0008-0000-5C00-00008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101</xdr:row>
      <xdr:rowOff>0</xdr:rowOff>
    </xdr:from>
    <xdr:ext cx="9525" cy="9525"/>
    <xdr:pic>
      <xdr:nvPicPr>
        <xdr:cNvPr id="140" name="Image 139" descr="http://ib.adnxs.com/seg?add=:NaN&amp;t=2">
          <a:extLst>
            <a:ext uri="{FF2B5EF4-FFF2-40B4-BE49-F238E27FC236}">
              <a16:creationId xmlns:a16="http://schemas.microsoft.com/office/drawing/2014/main" id="{00000000-0008-0000-5C00-00008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101</xdr:row>
      <xdr:rowOff>0</xdr:rowOff>
    </xdr:from>
    <xdr:ext cx="9525" cy="9525"/>
    <xdr:pic>
      <xdr:nvPicPr>
        <xdr:cNvPr id="14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8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101</xdr:row>
      <xdr:rowOff>0</xdr:rowOff>
    </xdr:from>
    <xdr:ext cx="9525" cy="9525"/>
    <xdr:pic>
      <xdr:nvPicPr>
        <xdr:cNvPr id="142" name="Image 141" descr="http://ib.adnxs.com/seg?add=2491894:99&amp;t=2">
          <a:extLst>
            <a:ext uri="{FF2B5EF4-FFF2-40B4-BE49-F238E27FC236}">
              <a16:creationId xmlns:a16="http://schemas.microsoft.com/office/drawing/2014/main" id="{00000000-0008-0000-5C00-00008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68</xdr:row>
      <xdr:rowOff>0</xdr:rowOff>
    </xdr:from>
    <xdr:ext cx="9525" cy="9525"/>
    <xdr:pic>
      <xdr:nvPicPr>
        <xdr:cNvPr id="143" name="Image 142" descr="http://ib.adnxs.com/seg?add=:NaN&amp;t=2">
          <a:extLst>
            <a:ext uri="{FF2B5EF4-FFF2-40B4-BE49-F238E27FC236}">
              <a16:creationId xmlns:a16="http://schemas.microsoft.com/office/drawing/2014/main" id="{00000000-0008-0000-5C00-00008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77200"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68</xdr:row>
      <xdr:rowOff>0</xdr:rowOff>
    </xdr:from>
    <xdr:ext cx="9525" cy="9525"/>
    <xdr:pic>
      <xdr:nvPicPr>
        <xdr:cNvPr id="14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9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96250"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68</xdr:row>
      <xdr:rowOff>0</xdr:rowOff>
    </xdr:from>
    <xdr:ext cx="9525" cy="9525"/>
    <xdr:pic>
      <xdr:nvPicPr>
        <xdr:cNvPr id="145" name="Image 144" descr="http://ib.adnxs.com/seg?add=2491894:99&amp;t=2">
          <a:extLst>
            <a:ext uri="{FF2B5EF4-FFF2-40B4-BE49-F238E27FC236}">
              <a16:creationId xmlns:a16="http://schemas.microsoft.com/office/drawing/2014/main" id="{00000000-0008-0000-5C00-00009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15300"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68</xdr:row>
      <xdr:rowOff>0</xdr:rowOff>
    </xdr:from>
    <xdr:ext cx="9525" cy="9525"/>
    <xdr:pic>
      <xdr:nvPicPr>
        <xdr:cNvPr id="146" name="Image 145" descr="http://ib.adnxs.com/seg?add=:NaN&amp;t=2">
          <a:extLst>
            <a:ext uri="{FF2B5EF4-FFF2-40B4-BE49-F238E27FC236}">
              <a16:creationId xmlns:a16="http://schemas.microsoft.com/office/drawing/2014/main" id="{00000000-0008-0000-5C00-00009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68</xdr:row>
      <xdr:rowOff>0</xdr:rowOff>
    </xdr:from>
    <xdr:ext cx="9525" cy="9525"/>
    <xdr:pic>
      <xdr:nvPicPr>
        <xdr:cNvPr id="14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9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68</xdr:row>
      <xdr:rowOff>0</xdr:rowOff>
    </xdr:from>
    <xdr:ext cx="9525" cy="9525"/>
    <xdr:pic>
      <xdr:nvPicPr>
        <xdr:cNvPr id="148" name="Image 147" descr="http://ib.adnxs.com/seg?add=2491894:99&amp;t=2">
          <a:extLst>
            <a:ext uri="{FF2B5EF4-FFF2-40B4-BE49-F238E27FC236}">
              <a16:creationId xmlns:a16="http://schemas.microsoft.com/office/drawing/2014/main" id="{00000000-0008-0000-5C00-00009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73</xdr:row>
      <xdr:rowOff>0</xdr:rowOff>
    </xdr:from>
    <xdr:ext cx="9525" cy="9525"/>
    <xdr:pic>
      <xdr:nvPicPr>
        <xdr:cNvPr id="149" name="Image 148" descr="http://ib.adnxs.com/seg?add=:NaN&amp;t=2">
          <a:extLst>
            <a:ext uri="{FF2B5EF4-FFF2-40B4-BE49-F238E27FC236}">
              <a16:creationId xmlns:a16="http://schemas.microsoft.com/office/drawing/2014/main" id="{00000000-0008-0000-5C00-00009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77200"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73</xdr:row>
      <xdr:rowOff>0</xdr:rowOff>
    </xdr:from>
    <xdr:ext cx="9525" cy="9525"/>
    <xdr:pic>
      <xdr:nvPicPr>
        <xdr:cNvPr id="15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9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96250"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73</xdr:row>
      <xdr:rowOff>0</xdr:rowOff>
    </xdr:from>
    <xdr:ext cx="9525" cy="9525"/>
    <xdr:pic>
      <xdr:nvPicPr>
        <xdr:cNvPr id="151" name="Image 150" descr="http://ib.adnxs.com/seg?add=2491894:99&amp;t=2">
          <a:extLst>
            <a:ext uri="{FF2B5EF4-FFF2-40B4-BE49-F238E27FC236}">
              <a16:creationId xmlns:a16="http://schemas.microsoft.com/office/drawing/2014/main" id="{00000000-0008-0000-5C00-00009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15300"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73</xdr:row>
      <xdr:rowOff>0</xdr:rowOff>
    </xdr:from>
    <xdr:ext cx="9525" cy="9525"/>
    <xdr:pic>
      <xdr:nvPicPr>
        <xdr:cNvPr id="152" name="Image 151" descr="http://ib.adnxs.com/seg?add=:NaN&amp;t=2">
          <a:extLst>
            <a:ext uri="{FF2B5EF4-FFF2-40B4-BE49-F238E27FC236}">
              <a16:creationId xmlns:a16="http://schemas.microsoft.com/office/drawing/2014/main" id="{00000000-0008-0000-5C00-00009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73</xdr:row>
      <xdr:rowOff>0</xdr:rowOff>
    </xdr:from>
    <xdr:ext cx="9525" cy="9525"/>
    <xdr:pic>
      <xdr:nvPicPr>
        <xdr:cNvPr id="15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9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73</xdr:row>
      <xdr:rowOff>0</xdr:rowOff>
    </xdr:from>
    <xdr:ext cx="9525" cy="9525"/>
    <xdr:pic>
      <xdr:nvPicPr>
        <xdr:cNvPr id="154" name="Image 153" descr="http://ib.adnxs.com/seg?add=2491894:99&amp;t=2">
          <a:extLst>
            <a:ext uri="{FF2B5EF4-FFF2-40B4-BE49-F238E27FC236}">
              <a16:creationId xmlns:a16="http://schemas.microsoft.com/office/drawing/2014/main" id="{00000000-0008-0000-5C00-00009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68</xdr:row>
      <xdr:rowOff>0</xdr:rowOff>
    </xdr:from>
    <xdr:ext cx="9525" cy="9525"/>
    <xdr:pic>
      <xdr:nvPicPr>
        <xdr:cNvPr id="155" name="Image 154" descr="http://ib.adnxs.com/seg?add=:NaN&amp;t=2">
          <a:extLst>
            <a:ext uri="{FF2B5EF4-FFF2-40B4-BE49-F238E27FC236}">
              <a16:creationId xmlns:a16="http://schemas.microsoft.com/office/drawing/2014/main" id="{00000000-0008-0000-5C00-00009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68</xdr:row>
      <xdr:rowOff>0</xdr:rowOff>
    </xdr:from>
    <xdr:ext cx="9525" cy="9525"/>
    <xdr:pic>
      <xdr:nvPicPr>
        <xdr:cNvPr id="15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9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68</xdr:row>
      <xdr:rowOff>0</xdr:rowOff>
    </xdr:from>
    <xdr:ext cx="9525" cy="9525"/>
    <xdr:pic>
      <xdr:nvPicPr>
        <xdr:cNvPr id="157" name="Image 156" descr="http://ib.adnxs.com/seg?add=2491894:99&amp;t=2">
          <a:extLst>
            <a:ext uri="{FF2B5EF4-FFF2-40B4-BE49-F238E27FC236}">
              <a16:creationId xmlns:a16="http://schemas.microsoft.com/office/drawing/2014/main" id="{00000000-0008-0000-5C00-00009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31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73</xdr:row>
      <xdr:rowOff>0</xdr:rowOff>
    </xdr:from>
    <xdr:ext cx="9525" cy="9525"/>
    <xdr:pic>
      <xdr:nvPicPr>
        <xdr:cNvPr id="158" name="Image 157" descr="http://ib.adnxs.com/seg?add=:NaN&amp;t=2">
          <a:extLst>
            <a:ext uri="{FF2B5EF4-FFF2-40B4-BE49-F238E27FC236}">
              <a16:creationId xmlns:a16="http://schemas.microsoft.com/office/drawing/2014/main" id="{00000000-0008-0000-5C00-00009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73</xdr:row>
      <xdr:rowOff>0</xdr:rowOff>
    </xdr:from>
    <xdr:ext cx="9525" cy="9525"/>
    <xdr:pic>
      <xdr:nvPicPr>
        <xdr:cNvPr id="15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9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73</xdr:row>
      <xdr:rowOff>0</xdr:rowOff>
    </xdr:from>
    <xdr:ext cx="9525" cy="9525"/>
    <xdr:pic>
      <xdr:nvPicPr>
        <xdr:cNvPr id="160" name="Image 159" descr="http://ib.adnxs.com/seg?add=2491894:99&amp;t=2">
          <a:extLst>
            <a:ext uri="{FF2B5EF4-FFF2-40B4-BE49-F238E27FC236}">
              <a16:creationId xmlns:a16="http://schemas.microsoft.com/office/drawing/2014/main" id="{00000000-0008-0000-5C00-0000A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70</xdr:row>
      <xdr:rowOff>0</xdr:rowOff>
    </xdr:from>
    <xdr:ext cx="9525" cy="9525"/>
    <xdr:pic>
      <xdr:nvPicPr>
        <xdr:cNvPr id="161" name="Image 160" descr="http://ib.adnxs.com/seg?add=:NaN&amp;t=2">
          <a:extLst>
            <a:ext uri="{FF2B5EF4-FFF2-40B4-BE49-F238E27FC236}">
              <a16:creationId xmlns:a16="http://schemas.microsoft.com/office/drawing/2014/main" id="{00000000-0008-0000-5C00-0000A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05875" y="1354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70</xdr:row>
      <xdr:rowOff>0</xdr:rowOff>
    </xdr:from>
    <xdr:ext cx="9525" cy="9525"/>
    <xdr:pic>
      <xdr:nvPicPr>
        <xdr:cNvPr id="16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A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924925" y="1354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70</xdr:row>
      <xdr:rowOff>0</xdr:rowOff>
    </xdr:from>
    <xdr:ext cx="9525" cy="9525"/>
    <xdr:pic>
      <xdr:nvPicPr>
        <xdr:cNvPr id="163" name="Image 162" descr="http://ib.adnxs.com/seg?add=2491894:99&amp;t=2">
          <a:extLst>
            <a:ext uri="{FF2B5EF4-FFF2-40B4-BE49-F238E27FC236}">
              <a16:creationId xmlns:a16="http://schemas.microsoft.com/office/drawing/2014/main" id="{00000000-0008-0000-5C00-0000A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43975" y="1354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70</xdr:row>
      <xdr:rowOff>0</xdr:rowOff>
    </xdr:from>
    <xdr:ext cx="9525" cy="9525"/>
    <xdr:pic>
      <xdr:nvPicPr>
        <xdr:cNvPr id="164" name="Image 163" descr="http://ib.adnxs.com/seg?add=:NaN&amp;t=2">
          <a:extLst>
            <a:ext uri="{FF2B5EF4-FFF2-40B4-BE49-F238E27FC236}">
              <a16:creationId xmlns:a16="http://schemas.microsoft.com/office/drawing/2014/main" id="{00000000-0008-0000-5C00-0000A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25125" y="1354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70</xdr:row>
      <xdr:rowOff>0</xdr:rowOff>
    </xdr:from>
    <xdr:ext cx="9525" cy="9525"/>
    <xdr:pic>
      <xdr:nvPicPr>
        <xdr:cNvPr id="16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A5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44175" y="1354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70</xdr:row>
      <xdr:rowOff>0</xdr:rowOff>
    </xdr:from>
    <xdr:ext cx="9525" cy="9525"/>
    <xdr:pic>
      <xdr:nvPicPr>
        <xdr:cNvPr id="166" name="Image 165" descr="http://ib.adnxs.com/seg?add=2491894:99&amp;t=2">
          <a:extLst>
            <a:ext uri="{FF2B5EF4-FFF2-40B4-BE49-F238E27FC236}">
              <a16:creationId xmlns:a16="http://schemas.microsoft.com/office/drawing/2014/main" id="{00000000-0008-0000-5C00-0000A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63225" y="1354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71</xdr:row>
      <xdr:rowOff>0</xdr:rowOff>
    </xdr:from>
    <xdr:ext cx="9525" cy="9525"/>
    <xdr:pic>
      <xdr:nvPicPr>
        <xdr:cNvPr id="167" name="Image 166" descr="http://ib.adnxs.com/seg?add=:NaN&amp;t=2">
          <a:extLst>
            <a:ext uri="{FF2B5EF4-FFF2-40B4-BE49-F238E27FC236}">
              <a16:creationId xmlns:a16="http://schemas.microsoft.com/office/drawing/2014/main" id="{00000000-0008-0000-5C00-0000A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373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71</xdr:row>
      <xdr:rowOff>0</xdr:rowOff>
    </xdr:from>
    <xdr:ext cx="9525" cy="9525"/>
    <xdr:pic>
      <xdr:nvPicPr>
        <xdr:cNvPr id="16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A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373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71</xdr:row>
      <xdr:rowOff>0</xdr:rowOff>
    </xdr:from>
    <xdr:ext cx="9525" cy="9525"/>
    <xdr:pic>
      <xdr:nvPicPr>
        <xdr:cNvPr id="169" name="Image 168" descr="http://ib.adnxs.com/seg?add=2491894:99&amp;t=2">
          <a:extLst>
            <a:ext uri="{FF2B5EF4-FFF2-40B4-BE49-F238E27FC236}">
              <a16:creationId xmlns:a16="http://schemas.microsoft.com/office/drawing/2014/main" id="{00000000-0008-0000-5C00-0000A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373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71</xdr:row>
      <xdr:rowOff>0</xdr:rowOff>
    </xdr:from>
    <xdr:ext cx="9525" cy="9525"/>
    <xdr:pic>
      <xdr:nvPicPr>
        <xdr:cNvPr id="170" name="Image 169" descr="http://ib.adnxs.com/seg?add=:NaN&amp;t=2">
          <a:extLst>
            <a:ext uri="{FF2B5EF4-FFF2-40B4-BE49-F238E27FC236}">
              <a16:creationId xmlns:a16="http://schemas.microsoft.com/office/drawing/2014/main" id="{00000000-0008-0000-5C00-0000A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373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71</xdr:row>
      <xdr:rowOff>0</xdr:rowOff>
    </xdr:from>
    <xdr:ext cx="9525" cy="9525"/>
    <xdr:pic>
      <xdr:nvPicPr>
        <xdr:cNvPr id="17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A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373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71</xdr:row>
      <xdr:rowOff>0</xdr:rowOff>
    </xdr:from>
    <xdr:ext cx="9525" cy="9525"/>
    <xdr:pic>
      <xdr:nvPicPr>
        <xdr:cNvPr id="172" name="Image 171" descr="http://ib.adnxs.com/seg?add=2491894:99&amp;t=2">
          <a:extLst>
            <a:ext uri="{FF2B5EF4-FFF2-40B4-BE49-F238E27FC236}">
              <a16:creationId xmlns:a16="http://schemas.microsoft.com/office/drawing/2014/main" id="{00000000-0008-0000-5C00-0000A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373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72</xdr:row>
      <xdr:rowOff>0</xdr:rowOff>
    </xdr:from>
    <xdr:ext cx="9525" cy="9525"/>
    <xdr:pic>
      <xdr:nvPicPr>
        <xdr:cNvPr id="173" name="Image 172" descr="http://ib.adnxs.com/seg?add=:NaN&amp;t=2">
          <a:extLst>
            <a:ext uri="{FF2B5EF4-FFF2-40B4-BE49-F238E27FC236}">
              <a16:creationId xmlns:a16="http://schemas.microsoft.com/office/drawing/2014/main" id="{00000000-0008-0000-5C00-0000A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392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72</xdr:row>
      <xdr:rowOff>0</xdr:rowOff>
    </xdr:from>
    <xdr:ext cx="9525" cy="9525"/>
    <xdr:pic>
      <xdr:nvPicPr>
        <xdr:cNvPr id="17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A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392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72</xdr:row>
      <xdr:rowOff>0</xdr:rowOff>
    </xdr:from>
    <xdr:ext cx="9525" cy="9525"/>
    <xdr:pic>
      <xdr:nvPicPr>
        <xdr:cNvPr id="175" name="Image 174" descr="http://ib.adnxs.com/seg?add=2491894:99&amp;t=2">
          <a:extLst>
            <a:ext uri="{FF2B5EF4-FFF2-40B4-BE49-F238E27FC236}">
              <a16:creationId xmlns:a16="http://schemas.microsoft.com/office/drawing/2014/main" id="{00000000-0008-0000-5C00-0000A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392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73</xdr:row>
      <xdr:rowOff>0</xdr:rowOff>
    </xdr:from>
    <xdr:ext cx="9525" cy="9525"/>
    <xdr:pic>
      <xdr:nvPicPr>
        <xdr:cNvPr id="176" name="Image 175" descr="http://ib.adnxs.com/seg?add=:NaN&amp;t=2">
          <a:extLst>
            <a:ext uri="{FF2B5EF4-FFF2-40B4-BE49-F238E27FC236}">
              <a16:creationId xmlns:a16="http://schemas.microsoft.com/office/drawing/2014/main" id="{00000000-0008-0000-5C00-0000B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73</xdr:row>
      <xdr:rowOff>0</xdr:rowOff>
    </xdr:from>
    <xdr:ext cx="9525" cy="9525"/>
    <xdr:pic>
      <xdr:nvPicPr>
        <xdr:cNvPr id="17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B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73</xdr:row>
      <xdr:rowOff>0</xdr:rowOff>
    </xdr:from>
    <xdr:ext cx="9525" cy="9525"/>
    <xdr:pic>
      <xdr:nvPicPr>
        <xdr:cNvPr id="178" name="Image 177" descr="http://ib.adnxs.com/seg?add=2491894:99&amp;t=2">
          <a:extLst>
            <a:ext uri="{FF2B5EF4-FFF2-40B4-BE49-F238E27FC236}">
              <a16:creationId xmlns:a16="http://schemas.microsoft.com/office/drawing/2014/main" id="{00000000-0008-0000-5C00-0000B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73</xdr:row>
      <xdr:rowOff>0</xdr:rowOff>
    </xdr:from>
    <xdr:ext cx="9525" cy="9525"/>
    <xdr:pic>
      <xdr:nvPicPr>
        <xdr:cNvPr id="179" name="Image 178" descr="http://ib.adnxs.com/seg?add=:NaN&amp;t=2">
          <a:extLst>
            <a:ext uri="{FF2B5EF4-FFF2-40B4-BE49-F238E27FC236}">
              <a16:creationId xmlns:a16="http://schemas.microsoft.com/office/drawing/2014/main" id="{00000000-0008-0000-5C00-0000B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73</xdr:row>
      <xdr:rowOff>0</xdr:rowOff>
    </xdr:from>
    <xdr:ext cx="9525" cy="9525"/>
    <xdr:pic>
      <xdr:nvPicPr>
        <xdr:cNvPr id="18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B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73</xdr:row>
      <xdr:rowOff>0</xdr:rowOff>
    </xdr:from>
    <xdr:ext cx="9525" cy="9525"/>
    <xdr:pic>
      <xdr:nvPicPr>
        <xdr:cNvPr id="181" name="Image 180" descr="http://ib.adnxs.com/seg?add=2491894:99&amp;t=2">
          <a:extLst>
            <a:ext uri="{FF2B5EF4-FFF2-40B4-BE49-F238E27FC236}">
              <a16:creationId xmlns:a16="http://schemas.microsoft.com/office/drawing/2014/main" id="{00000000-0008-0000-5C00-0000B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41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72</xdr:row>
      <xdr:rowOff>0</xdr:rowOff>
    </xdr:from>
    <xdr:ext cx="9525" cy="9525"/>
    <xdr:pic>
      <xdr:nvPicPr>
        <xdr:cNvPr id="182" name="Image 181" descr="http://ib.adnxs.com/seg?add=:NaN&amp;t=2">
          <a:extLst>
            <a:ext uri="{FF2B5EF4-FFF2-40B4-BE49-F238E27FC236}">
              <a16:creationId xmlns:a16="http://schemas.microsoft.com/office/drawing/2014/main" id="{00000000-0008-0000-5C00-0000B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392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72</xdr:row>
      <xdr:rowOff>0</xdr:rowOff>
    </xdr:from>
    <xdr:ext cx="9525" cy="9525"/>
    <xdr:pic>
      <xdr:nvPicPr>
        <xdr:cNvPr id="18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B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392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72</xdr:row>
      <xdr:rowOff>0</xdr:rowOff>
    </xdr:from>
    <xdr:ext cx="9525" cy="9525"/>
    <xdr:pic>
      <xdr:nvPicPr>
        <xdr:cNvPr id="184" name="Image 183" descr="http://ib.adnxs.com/seg?add=2491894:99&amp;t=2">
          <a:extLst>
            <a:ext uri="{FF2B5EF4-FFF2-40B4-BE49-F238E27FC236}">
              <a16:creationId xmlns:a16="http://schemas.microsoft.com/office/drawing/2014/main" id="{00000000-0008-0000-5C00-0000B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392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72</xdr:row>
      <xdr:rowOff>0</xdr:rowOff>
    </xdr:from>
    <xdr:ext cx="9525" cy="9525"/>
    <xdr:pic>
      <xdr:nvPicPr>
        <xdr:cNvPr id="185" name="Image 184" descr="http://ib.adnxs.com/seg?add=:NaN&amp;t=2">
          <a:extLst>
            <a:ext uri="{FF2B5EF4-FFF2-40B4-BE49-F238E27FC236}">
              <a16:creationId xmlns:a16="http://schemas.microsoft.com/office/drawing/2014/main" id="{00000000-0008-0000-5C00-0000B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392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72</xdr:row>
      <xdr:rowOff>0</xdr:rowOff>
    </xdr:from>
    <xdr:ext cx="9525" cy="9525"/>
    <xdr:pic>
      <xdr:nvPicPr>
        <xdr:cNvPr id="18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B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392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72</xdr:row>
      <xdr:rowOff>0</xdr:rowOff>
    </xdr:from>
    <xdr:ext cx="9525" cy="9525"/>
    <xdr:pic>
      <xdr:nvPicPr>
        <xdr:cNvPr id="187" name="Image 186" descr="http://ib.adnxs.com/seg?add=2491894:99&amp;t=2">
          <a:extLst>
            <a:ext uri="{FF2B5EF4-FFF2-40B4-BE49-F238E27FC236}">
              <a16:creationId xmlns:a16="http://schemas.microsoft.com/office/drawing/2014/main" id="{00000000-0008-0000-5C00-0000B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392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76</xdr:row>
      <xdr:rowOff>0</xdr:rowOff>
    </xdr:from>
    <xdr:ext cx="9525" cy="9525"/>
    <xdr:pic>
      <xdr:nvPicPr>
        <xdr:cNvPr id="188" name="Image 187" descr="http://ib.adnxs.com/seg?add=:NaN&amp;t=2">
          <a:extLst>
            <a:ext uri="{FF2B5EF4-FFF2-40B4-BE49-F238E27FC236}">
              <a16:creationId xmlns:a16="http://schemas.microsoft.com/office/drawing/2014/main" id="{00000000-0008-0000-5C00-0000B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77200" y="1468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76</xdr:row>
      <xdr:rowOff>0</xdr:rowOff>
    </xdr:from>
    <xdr:ext cx="9525" cy="9525"/>
    <xdr:pic>
      <xdr:nvPicPr>
        <xdr:cNvPr id="18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B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96250" y="1468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76</xdr:row>
      <xdr:rowOff>0</xdr:rowOff>
    </xdr:from>
    <xdr:ext cx="9525" cy="9525"/>
    <xdr:pic>
      <xdr:nvPicPr>
        <xdr:cNvPr id="190" name="Image 189" descr="http://ib.adnxs.com/seg?add=2491894:99&amp;t=2">
          <a:extLst>
            <a:ext uri="{FF2B5EF4-FFF2-40B4-BE49-F238E27FC236}">
              <a16:creationId xmlns:a16="http://schemas.microsoft.com/office/drawing/2014/main" id="{00000000-0008-0000-5C00-0000B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15300" y="1468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76</xdr:row>
      <xdr:rowOff>0</xdr:rowOff>
    </xdr:from>
    <xdr:ext cx="9525" cy="9525"/>
    <xdr:pic>
      <xdr:nvPicPr>
        <xdr:cNvPr id="191" name="Image 190" descr="http://ib.adnxs.com/seg?add=:NaN&amp;t=2">
          <a:extLst>
            <a:ext uri="{FF2B5EF4-FFF2-40B4-BE49-F238E27FC236}">
              <a16:creationId xmlns:a16="http://schemas.microsoft.com/office/drawing/2014/main" id="{00000000-0008-0000-5C00-0000B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468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76</xdr:row>
      <xdr:rowOff>0</xdr:rowOff>
    </xdr:from>
    <xdr:ext cx="9525" cy="9525"/>
    <xdr:pic>
      <xdr:nvPicPr>
        <xdr:cNvPr id="19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C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468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76</xdr:row>
      <xdr:rowOff>0</xdr:rowOff>
    </xdr:from>
    <xdr:ext cx="9525" cy="9525"/>
    <xdr:pic>
      <xdr:nvPicPr>
        <xdr:cNvPr id="193" name="Image 192" descr="http://ib.adnxs.com/seg?add=2491894:99&amp;t=2">
          <a:extLst>
            <a:ext uri="{FF2B5EF4-FFF2-40B4-BE49-F238E27FC236}">
              <a16:creationId xmlns:a16="http://schemas.microsoft.com/office/drawing/2014/main" id="{00000000-0008-0000-5C00-0000C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468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81</xdr:row>
      <xdr:rowOff>0</xdr:rowOff>
    </xdr:from>
    <xdr:ext cx="9525" cy="9525"/>
    <xdr:pic>
      <xdr:nvPicPr>
        <xdr:cNvPr id="194" name="Image 193" descr="http://ib.adnxs.com/seg?add=:NaN&amp;t=2">
          <a:extLst>
            <a:ext uri="{FF2B5EF4-FFF2-40B4-BE49-F238E27FC236}">
              <a16:creationId xmlns:a16="http://schemas.microsoft.com/office/drawing/2014/main" id="{00000000-0008-0000-5C00-0000C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77200"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81</xdr:row>
      <xdr:rowOff>0</xdr:rowOff>
    </xdr:from>
    <xdr:ext cx="9525" cy="9525"/>
    <xdr:pic>
      <xdr:nvPicPr>
        <xdr:cNvPr id="19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C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96250"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81</xdr:row>
      <xdr:rowOff>0</xdr:rowOff>
    </xdr:from>
    <xdr:ext cx="9525" cy="9525"/>
    <xdr:pic>
      <xdr:nvPicPr>
        <xdr:cNvPr id="196" name="Image 195" descr="http://ib.adnxs.com/seg?add=2491894:99&amp;t=2">
          <a:extLst>
            <a:ext uri="{FF2B5EF4-FFF2-40B4-BE49-F238E27FC236}">
              <a16:creationId xmlns:a16="http://schemas.microsoft.com/office/drawing/2014/main" id="{00000000-0008-0000-5C00-0000C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15300"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81</xdr:row>
      <xdr:rowOff>0</xdr:rowOff>
    </xdr:from>
    <xdr:ext cx="9525" cy="9525"/>
    <xdr:pic>
      <xdr:nvPicPr>
        <xdr:cNvPr id="197" name="Image 196" descr="http://ib.adnxs.com/seg?add=:NaN&amp;t=2">
          <a:extLst>
            <a:ext uri="{FF2B5EF4-FFF2-40B4-BE49-F238E27FC236}">
              <a16:creationId xmlns:a16="http://schemas.microsoft.com/office/drawing/2014/main" id="{00000000-0008-0000-5C00-0000C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81</xdr:row>
      <xdr:rowOff>0</xdr:rowOff>
    </xdr:from>
    <xdr:ext cx="9525" cy="9525"/>
    <xdr:pic>
      <xdr:nvPicPr>
        <xdr:cNvPr id="19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C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81</xdr:row>
      <xdr:rowOff>0</xdr:rowOff>
    </xdr:from>
    <xdr:ext cx="9525" cy="9525"/>
    <xdr:pic>
      <xdr:nvPicPr>
        <xdr:cNvPr id="199" name="Image 198" descr="http://ib.adnxs.com/seg?add=2491894:99&amp;t=2">
          <a:extLst>
            <a:ext uri="{FF2B5EF4-FFF2-40B4-BE49-F238E27FC236}">
              <a16:creationId xmlns:a16="http://schemas.microsoft.com/office/drawing/2014/main" id="{00000000-0008-0000-5C00-0000C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76</xdr:row>
      <xdr:rowOff>0</xdr:rowOff>
    </xdr:from>
    <xdr:ext cx="9525" cy="9525"/>
    <xdr:pic>
      <xdr:nvPicPr>
        <xdr:cNvPr id="200" name="Image 199" descr="http://ib.adnxs.com/seg?add=:NaN&amp;t=2">
          <a:extLst>
            <a:ext uri="{FF2B5EF4-FFF2-40B4-BE49-F238E27FC236}">
              <a16:creationId xmlns:a16="http://schemas.microsoft.com/office/drawing/2014/main" id="{00000000-0008-0000-5C00-0000C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468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76</xdr:row>
      <xdr:rowOff>0</xdr:rowOff>
    </xdr:from>
    <xdr:ext cx="9525" cy="9525"/>
    <xdr:pic>
      <xdr:nvPicPr>
        <xdr:cNvPr id="20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C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468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76</xdr:row>
      <xdr:rowOff>0</xdr:rowOff>
    </xdr:from>
    <xdr:ext cx="9525" cy="9525"/>
    <xdr:pic>
      <xdr:nvPicPr>
        <xdr:cNvPr id="202" name="Image 201" descr="http://ib.adnxs.com/seg?add=2491894:99&amp;t=2">
          <a:extLst>
            <a:ext uri="{FF2B5EF4-FFF2-40B4-BE49-F238E27FC236}">
              <a16:creationId xmlns:a16="http://schemas.microsoft.com/office/drawing/2014/main" id="{00000000-0008-0000-5C00-0000C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468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81</xdr:row>
      <xdr:rowOff>0</xdr:rowOff>
    </xdr:from>
    <xdr:ext cx="9525" cy="9525"/>
    <xdr:pic>
      <xdr:nvPicPr>
        <xdr:cNvPr id="203" name="Image 202" descr="http://ib.adnxs.com/seg?add=:NaN&amp;t=2">
          <a:extLst>
            <a:ext uri="{FF2B5EF4-FFF2-40B4-BE49-F238E27FC236}">
              <a16:creationId xmlns:a16="http://schemas.microsoft.com/office/drawing/2014/main" id="{00000000-0008-0000-5C00-0000C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81</xdr:row>
      <xdr:rowOff>0</xdr:rowOff>
    </xdr:from>
    <xdr:ext cx="9525" cy="9525"/>
    <xdr:pic>
      <xdr:nvPicPr>
        <xdr:cNvPr id="20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C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81</xdr:row>
      <xdr:rowOff>0</xdr:rowOff>
    </xdr:from>
    <xdr:ext cx="9525" cy="9525"/>
    <xdr:pic>
      <xdr:nvPicPr>
        <xdr:cNvPr id="205" name="Image 204" descr="http://ib.adnxs.com/seg?add=2491894:99&amp;t=2">
          <a:extLst>
            <a:ext uri="{FF2B5EF4-FFF2-40B4-BE49-F238E27FC236}">
              <a16:creationId xmlns:a16="http://schemas.microsoft.com/office/drawing/2014/main" id="{00000000-0008-0000-5C00-0000C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78</xdr:row>
      <xdr:rowOff>0</xdr:rowOff>
    </xdr:from>
    <xdr:ext cx="9525" cy="9525"/>
    <xdr:pic>
      <xdr:nvPicPr>
        <xdr:cNvPr id="206" name="Image 205" descr="http://ib.adnxs.com/seg?add=:NaN&amp;t=2">
          <a:extLst>
            <a:ext uri="{FF2B5EF4-FFF2-40B4-BE49-F238E27FC236}">
              <a16:creationId xmlns:a16="http://schemas.microsoft.com/office/drawing/2014/main" id="{00000000-0008-0000-5C00-0000C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05875" y="1506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78</xdr:row>
      <xdr:rowOff>0</xdr:rowOff>
    </xdr:from>
    <xdr:ext cx="9525" cy="9525"/>
    <xdr:pic>
      <xdr:nvPicPr>
        <xdr:cNvPr id="20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C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924925" y="1506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78</xdr:row>
      <xdr:rowOff>0</xdr:rowOff>
    </xdr:from>
    <xdr:ext cx="9525" cy="9525"/>
    <xdr:pic>
      <xdr:nvPicPr>
        <xdr:cNvPr id="208" name="Image 207" descr="http://ib.adnxs.com/seg?add=2491894:99&amp;t=2">
          <a:extLst>
            <a:ext uri="{FF2B5EF4-FFF2-40B4-BE49-F238E27FC236}">
              <a16:creationId xmlns:a16="http://schemas.microsoft.com/office/drawing/2014/main" id="{00000000-0008-0000-5C00-0000D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43975" y="1506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78</xdr:row>
      <xdr:rowOff>0</xdr:rowOff>
    </xdr:from>
    <xdr:ext cx="9525" cy="9525"/>
    <xdr:pic>
      <xdr:nvPicPr>
        <xdr:cNvPr id="209" name="Image 208" descr="http://ib.adnxs.com/seg?add=:NaN&amp;t=2">
          <a:extLst>
            <a:ext uri="{FF2B5EF4-FFF2-40B4-BE49-F238E27FC236}">
              <a16:creationId xmlns:a16="http://schemas.microsoft.com/office/drawing/2014/main" id="{00000000-0008-0000-5C00-0000D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25125" y="1506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78</xdr:row>
      <xdr:rowOff>0</xdr:rowOff>
    </xdr:from>
    <xdr:ext cx="9525" cy="9525"/>
    <xdr:pic>
      <xdr:nvPicPr>
        <xdr:cNvPr id="21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D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44175" y="1506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78</xdr:row>
      <xdr:rowOff>0</xdr:rowOff>
    </xdr:from>
    <xdr:ext cx="9525" cy="9525"/>
    <xdr:pic>
      <xdr:nvPicPr>
        <xdr:cNvPr id="211" name="Image 210" descr="http://ib.adnxs.com/seg?add=2491894:99&amp;t=2">
          <a:extLst>
            <a:ext uri="{FF2B5EF4-FFF2-40B4-BE49-F238E27FC236}">
              <a16:creationId xmlns:a16="http://schemas.microsoft.com/office/drawing/2014/main" id="{00000000-0008-0000-5C00-0000D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63225" y="1506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79</xdr:row>
      <xdr:rowOff>0</xdr:rowOff>
    </xdr:from>
    <xdr:ext cx="9525" cy="9525"/>
    <xdr:pic>
      <xdr:nvPicPr>
        <xdr:cNvPr id="212" name="Image 211" descr="http://ib.adnxs.com/seg?add=:NaN&amp;t=2">
          <a:extLst>
            <a:ext uri="{FF2B5EF4-FFF2-40B4-BE49-F238E27FC236}">
              <a16:creationId xmlns:a16="http://schemas.microsoft.com/office/drawing/2014/main" id="{00000000-0008-0000-5C00-0000D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525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79</xdr:row>
      <xdr:rowOff>0</xdr:rowOff>
    </xdr:from>
    <xdr:ext cx="9525" cy="9525"/>
    <xdr:pic>
      <xdr:nvPicPr>
        <xdr:cNvPr id="21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D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525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79</xdr:row>
      <xdr:rowOff>0</xdr:rowOff>
    </xdr:from>
    <xdr:ext cx="9525" cy="9525"/>
    <xdr:pic>
      <xdr:nvPicPr>
        <xdr:cNvPr id="214" name="Image 213" descr="http://ib.adnxs.com/seg?add=2491894:99&amp;t=2">
          <a:extLst>
            <a:ext uri="{FF2B5EF4-FFF2-40B4-BE49-F238E27FC236}">
              <a16:creationId xmlns:a16="http://schemas.microsoft.com/office/drawing/2014/main" id="{00000000-0008-0000-5C00-0000D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525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79</xdr:row>
      <xdr:rowOff>0</xdr:rowOff>
    </xdr:from>
    <xdr:ext cx="9525" cy="9525"/>
    <xdr:pic>
      <xdr:nvPicPr>
        <xdr:cNvPr id="215" name="Image 214" descr="http://ib.adnxs.com/seg?add=:NaN&amp;t=2">
          <a:extLst>
            <a:ext uri="{FF2B5EF4-FFF2-40B4-BE49-F238E27FC236}">
              <a16:creationId xmlns:a16="http://schemas.microsoft.com/office/drawing/2014/main" id="{00000000-0008-0000-5C00-0000D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525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79</xdr:row>
      <xdr:rowOff>0</xdr:rowOff>
    </xdr:from>
    <xdr:ext cx="9525" cy="9525"/>
    <xdr:pic>
      <xdr:nvPicPr>
        <xdr:cNvPr id="21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D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525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79</xdr:row>
      <xdr:rowOff>0</xdr:rowOff>
    </xdr:from>
    <xdr:ext cx="9525" cy="9525"/>
    <xdr:pic>
      <xdr:nvPicPr>
        <xdr:cNvPr id="217" name="Image 216" descr="http://ib.adnxs.com/seg?add=2491894:99&amp;t=2">
          <a:extLst>
            <a:ext uri="{FF2B5EF4-FFF2-40B4-BE49-F238E27FC236}">
              <a16:creationId xmlns:a16="http://schemas.microsoft.com/office/drawing/2014/main" id="{00000000-0008-0000-5C00-0000D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525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80</xdr:row>
      <xdr:rowOff>0</xdr:rowOff>
    </xdr:from>
    <xdr:ext cx="9525" cy="9525"/>
    <xdr:pic>
      <xdr:nvPicPr>
        <xdr:cNvPr id="218" name="Image 217" descr="http://ib.adnxs.com/seg?add=:NaN&amp;t=2">
          <a:extLst>
            <a:ext uri="{FF2B5EF4-FFF2-40B4-BE49-F238E27FC236}">
              <a16:creationId xmlns:a16="http://schemas.microsoft.com/office/drawing/2014/main" id="{00000000-0008-0000-5C00-0000D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544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80</xdr:row>
      <xdr:rowOff>0</xdr:rowOff>
    </xdr:from>
    <xdr:ext cx="9525" cy="9525"/>
    <xdr:pic>
      <xdr:nvPicPr>
        <xdr:cNvPr id="21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D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544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80</xdr:row>
      <xdr:rowOff>0</xdr:rowOff>
    </xdr:from>
    <xdr:ext cx="9525" cy="9525"/>
    <xdr:pic>
      <xdr:nvPicPr>
        <xdr:cNvPr id="220" name="Image 219" descr="http://ib.adnxs.com/seg?add=2491894:99&amp;t=2">
          <a:extLst>
            <a:ext uri="{FF2B5EF4-FFF2-40B4-BE49-F238E27FC236}">
              <a16:creationId xmlns:a16="http://schemas.microsoft.com/office/drawing/2014/main" id="{00000000-0008-0000-5C00-0000D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544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81</xdr:row>
      <xdr:rowOff>0</xdr:rowOff>
    </xdr:from>
    <xdr:ext cx="9525" cy="9525"/>
    <xdr:pic>
      <xdr:nvPicPr>
        <xdr:cNvPr id="221" name="Image 220" descr="http://ib.adnxs.com/seg?add=:NaN&amp;t=2">
          <a:extLst>
            <a:ext uri="{FF2B5EF4-FFF2-40B4-BE49-F238E27FC236}">
              <a16:creationId xmlns:a16="http://schemas.microsoft.com/office/drawing/2014/main" id="{00000000-0008-0000-5C00-0000D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81</xdr:row>
      <xdr:rowOff>0</xdr:rowOff>
    </xdr:from>
    <xdr:ext cx="9525" cy="9525"/>
    <xdr:pic>
      <xdr:nvPicPr>
        <xdr:cNvPr id="22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D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81</xdr:row>
      <xdr:rowOff>0</xdr:rowOff>
    </xdr:from>
    <xdr:ext cx="9525" cy="9525"/>
    <xdr:pic>
      <xdr:nvPicPr>
        <xdr:cNvPr id="223" name="Image 222" descr="http://ib.adnxs.com/seg?add=2491894:99&amp;t=2">
          <a:extLst>
            <a:ext uri="{FF2B5EF4-FFF2-40B4-BE49-F238E27FC236}">
              <a16:creationId xmlns:a16="http://schemas.microsoft.com/office/drawing/2014/main" id="{00000000-0008-0000-5C00-0000D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81</xdr:row>
      <xdr:rowOff>0</xdr:rowOff>
    </xdr:from>
    <xdr:ext cx="9525" cy="9525"/>
    <xdr:pic>
      <xdr:nvPicPr>
        <xdr:cNvPr id="224" name="Image 223" descr="http://ib.adnxs.com/seg?add=:NaN&amp;t=2">
          <a:extLst>
            <a:ext uri="{FF2B5EF4-FFF2-40B4-BE49-F238E27FC236}">
              <a16:creationId xmlns:a16="http://schemas.microsoft.com/office/drawing/2014/main" id="{00000000-0008-0000-5C00-0000E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81</xdr:row>
      <xdr:rowOff>0</xdr:rowOff>
    </xdr:from>
    <xdr:ext cx="9525" cy="9525"/>
    <xdr:pic>
      <xdr:nvPicPr>
        <xdr:cNvPr id="22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E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81</xdr:row>
      <xdr:rowOff>0</xdr:rowOff>
    </xdr:from>
    <xdr:ext cx="9525" cy="9525"/>
    <xdr:pic>
      <xdr:nvPicPr>
        <xdr:cNvPr id="226" name="Image 225" descr="http://ib.adnxs.com/seg?add=2491894:99&amp;t=2">
          <a:extLst>
            <a:ext uri="{FF2B5EF4-FFF2-40B4-BE49-F238E27FC236}">
              <a16:creationId xmlns:a16="http://schemas.microsoft.com/office/drawing/2014/main" id="{00000000-0008-0000-5C00-0000E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564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9525" cy="9525"/>
    <xdr:pic>
      <xdr:nvPicPr>
        <xdr:cNvPr id="227" name="Image 226" descr="http://ib.adnxs.com/seg?add=:NaN&amp;t=2">
          <a:extLst>
            <a:ext uri="{FF2B5EF4-FFF2-40B4-BE49-F238E27FC236}">
              <a16:creationId xmlns:a16="http://schemas.microsoft.com/office/drawing/2014/main" id="{00000000-0008-0000-5C00-0000E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544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80</xdr:row>
      <xdr:rowOff>0</xdr:rowOff>
    </xdr:from>
    <xdr:ext cx="9525" cy="9525"/>
    <xdr:pic>
      <xdr:nvPicPr>
        <xdr:cNvPr id="22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E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544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80</xdr:row>
      <xdr:rowOff>0</xdr:rowOff>
    </xdr:from>
    <xdr:ext cx="9525" cy="9525"/>
    <xdr:pic>
      <xdr:nvPicPr>
        <xdr:cNvPr id="229" name="Image 228" descr="http://ib.adnxs.com/seg?add=2491894:99&amp;t=2">
          <a:extLst>
            <a:ext uri="{FF2B5EF4-FFF2-40B4-BE49-F238E27FC236}">
              <a16:creationId xmlns:a16="http://schemas.microsoft.com/office/drawing/2014/main" id="{00000000-0008-0000-5C00-0000E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544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9525" cy="9525"/>
    <xdr:pic>
      <xdr:nvPicPr>
        <xdr:cNvPr id="230" name="Image 229" descr="http://ib.adnxs.com/seg?add=:NaN&amp;t=2">
          <a:extLst>
            <a:ext uri="{FF2B5EF4-FFF2-40B4-BE49-F238E27FC236}">
              <a16:creationId xmlns:a16="http://schemas.microsoft.com/office/drawing/2014/main" id="{00000000-0008-0000-5C00-0000E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544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80</xdr:row>
      <xdr:rowOff>0</xdr:rowOff>
    </xdr:from>
    <xdr:ext cx="9525" cy="9525"/>
    <xdr:pic>
      <xdr:nvPicPr>
        <xdr:cNvPr id="23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E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544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80</xdr:row>
      <xdr:rowOff>0</xdr:rowOff>
    </xdr:from>
    <xdr:ext cx="9525" cy="9525"/>
    <xdr:pic>
      <xdr:nvPicPr>
        <xdr:cNvPr id="232" name="Image 231" descr="http://ib.adnxs.com/seg?add=2491894:99&amp;t=2">
          <a:extLst>
            <a:ext uri="{FF2B5EF4-FFF2-40B4-BE49-F238E27FC236}">
              <a16:creationId xmlns:a16="http://schemas.microsoft.com/office/drawing/2014/main" id="{00000000-0008-0000-5C00-0000E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544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84</xdr:row>
      <xdr:rowOff>0</xdr:rowOff>
    </xdr:from>
    <xdr:ext cx="9525" cy="9525"/>
    <xdr:pic>
      <xdr:nvPicPr>
        <xdr:cNvPr id="233" name="Image 232" descr="http://ib.adnxs.com/seg?add=:NaN&amp;t=2">
          <a:extLst>
            <a:ext uri="{FF2B5EF4-FFF2-40B4-BE49-F238E27FC236}">
              <a16:creationId xmlns:a16="http://schemas.microsoft.com/office/drawing/2014/main" id="{00000000-0008-0000-5C00-0000E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77200" y="162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84</xdr:row>
      <xdr:rowOff>0</xdr:rowOff>
    </xdr:from>
    <xdr:ext cx="9525" cy="9525"/>
    <xdr:pic>
      <xdr:nvPicPr>
        <xdr:cNvPr id="23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E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96250" y="162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84</xdr:row>
      <xdr:rowOff>0</xdr:rowOff>
    </xdr:from>
    <xdr:ext cx="9525" cy="9525"/>
    <xdr:pic>
      <xdr:nvPicPr>
        <xdr:cNvPr id="235" name="Image 234" descr="http://ib.adnxs.com/seg?add=2491894:99&amp;t=2">
          <a:extLst>
            <a:ext uri="{FF2B5EF4-FFF2-40B4-BE49-F238E27FC236}">
              <a16:creationId xmlns:a16="http://schemas.microsoft.com/office/drawing/2014/main" id="{00000000-0008-0000-5C00-0000E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15300" y="162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84</xdr:row>
      <xdr:rowOff>0</xdr:rowOff>
    </xdr:from>
    <xdr:ext cx="9525" cy="9525"/>
    <xdr:pic>
      <xdr:nvPicPr>
        <xdr:cNvPr id="236" name="Image 235" descr="http://ib.adnxs.com/seg?add=:NaN&amp;t=2">
          <a:extLst>
            <a:ext uri="{FF2B5EF4-FFF2-40B4-BE49-F238E27FC236}">
              <a16:creationId xmlns:a16="http://schemas.microsoft.com/office/drawing/2014/main" id="{00000000-0008-0000-5C00-0000E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62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84</xdr:row>
      <xdr:rowOff>0</xdr:rowOff>
    </xdr:from>
    <xdr:ext cx="9525" cy="9525"/>
    <xdr:pic>
      <xdr:nvPicPr>
        <xdr:cNvPr id="23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E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62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84</xdr:row>
      <xdr:rowOff>0</xdr:rowOff>
    </xdr:from>
    <xdr:ext cx="9525" cy="9525"/>
    <xdr:pic>
      <xdr:nvPicPr>
        <xdr:cNvPr id="238" name="Image 237" descr="http://ib.adnxs.com/seg?add=2491894:99&amp;t=2">
          <a:extLst>
            <a:ext uri="{FF2B5EF4-FFF2-40B4-BE49-F238E27FC236}">
              <a16:creationId xmlns:a16="http://schemas.microsoft.com/office/drawing/2014/main" id="{00000000-0008-0000-5C00-0000E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62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89</xdr:row>
      <xdr:rowOff>0</xdr:rowOff>
    </xdr:from>
    <xdr:ext cx="9525" cy="9525"/>
    <xdr:pic>
      <xdr:nvPicPr>
        <xdr:cNvPr id="239" name="Image 238" descr="http://ib.adnxs.com/seg?add=:NaN&amp;t=2">
          <a:extLst>
            <a:ext uri="{FF2B5EF4-FFF2-40B4-BE49-F238E27FC236}">
              <a16:creationId xmlns:a16="http://schemas.microsoft.com/office/drawing/2014/main" id="{00000000-0008-0000-5C00-0000E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77200"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89</xdr:row>
      <xdr:rowOff>0</xdr:rowOff>
    </xdr:from>
    <xdr:ext cx="9525" cy="9525"/>
    <xdr:pic>
      <xdr:nvPicPr>
        <xdr:cNvPr id="24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F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96250"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89</xdr:row>
      <xdr:rowOff>0</xdr:rowOff>
    </xdr:from>
    <xdr:ext cx="9525" cy="9525"/>
    <xdr:pic>
      <xdr:nvPicPr>
        <xdr:cNvPr id="241" name="Image 240" descr="http://ib.adnxs.com/seg?add=2491894:99&amp;t=2">
          <a:extLst>
            <a:ext uri="{FF2B5EF4-FFF2-40B4-BE49-F238E27FC236}">
              <a16:creationId xmlns:a16="http://schemas.microsoft.com/office/drawing/2014/main" id="{00000000-0008-0000-5C00-0000F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15300"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89</xdr:row>
      <xdr:rowOff>0</xdr:rowOff>
    </xdr:from>
    <xdr:ext cx="9525" cy="9525"/>
    <xdr:pic>
      <xdr:nvPicPr>
        <xdr:cNvPr id="242" name="Image 241" descr="http://ib.adnxs.com/seg?add=:NaN&amp;t=2">
          <a:extLst>
            <a:ext uri="{FF2B5EF4-FFF2-40B4-BE49-F238E27FC236}">
              <a16:creationId xmlns:a16="http://schemas.microsoft.com/office/drawing/2014/main" id="{00000000-0008-0000-5C00-0000F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89</xdr:row>
      <xdr:rowOff>0</xdr:rowOff>
    </xdr:from>
    <xdr:ext cx="9525" cy="9525"/>
    <xdr:pic>
      <xdr:nvPicPr>
        <xdr:cNvPr id="24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F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89</xdr:row>
      <xdr:rowOff>0</xdr:rowOff>
    </xdr:from>
    <xdr:ext cx="9525" cy="9525"/>
    <xdr:pic>
      <xdr:nvPicPr>
        <xdr:cNvPr id="244" name="Image 243" descr="http://ib.adnxs.com/seg?add=2491894:99&amp;t=2">
          <a:extLst>
            <a:ext uri="{FF2B5EF4-FFF2-40B4-BE49-F238E27FC236}">
              <a16:creationId xmlns:a16="http://schemas.microsoft.com/office/drawing/2014/main" id="{00000000-0008-0000-5C00-0000F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84</xdr:row>
      <xdr:rowOff>0</xdr:rowOff>
    </xdr:from>
    <xdr:ext cx="9525" cy="9525"/>
    <xdr:pic>
      <xdr:nvPicPr>
        <xdr:cNvPr id="245" name="Image 244" descr="http://ib.adnxs.com/seg?add=:NaN&amp;t=2">
          <a:extLst>
            <a:ext uri="{FF2B5EF4-FFF2-40B4-BE49-F238E27FC236}">
              <a16:creationId xmlns:a16="http://schemas.microsoft.com/office/drawing/2014/main" id="{00000000-0008-0000-5C00-0000F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62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84</xdr:row>
      <xdr:rowOff>0</xdr:rowOff>
    </xdr:from>
    <xdr:ext cx="9525" cy="9525"/>
    <xdr:pic>
      <xdr:nvPicPr>
        <xdr:cNvPr id="24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F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62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84</xdr:row>
      <xdr:rowOff>0</xdr:rowOff>
    </xdr:from>
    <xdr:ext cx="9525" cy="9525"/>
    <xdr:pic>
      <xdr:nvPicPr>
        <xdr:cNvPr id="247" name="Image 246" descr="http://ib.adnxs.com/seg?add=2491894:99&amp;t=2">
          <a:extLst>
            <a:ext uri="{FF2B5EF4-FFF2-40B4-BE49-F238E27FC236}">
              <a16:creationId xmlns:a16="http://schemas.microsoft.com/office/drawing/2014/main" id="{00000000-0008-0000-5C00-0000F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62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89</xdr:row>
      <xdr:rowOff>0</xdr:rowOff>
    </xdr:from>
    <xdr:ext cx="9525" cy="9525"/>
    <xdr:pic>
      <xdr:nvPicPr>
        <xdr:cNvPr id="248" name="Image 247" descr="http://ib.adnxs.com/seg?add=:NaN&amp;t=2">
          <a:extLst>
            <a:ext uri="{FF2B5EF4-FFF2-40B4-BE49-F238E27FC236}">
              <a16:creationId xmlns:a16="http://schemas.microsoft.com/office/drawing/2014/main" id="{00000000-0008-0000-5C00-0000F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89</xdr:row>
      <xdr:rowOff>0</xdr:rowOff>
    </xdr:from>
    <xdr:ext cx="9525" cy="9525"/>
    <xdr:pic>
      <xdr:nvPicPr>
        <xdr:cNvPr id="24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F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89</xdr:row>
      <xdr:rowOff>0</xdr:rowOff>
    </xdr:from>
    <xdr:ext cx="9525" cy="9525"/>
    <xdr:pic>
      <xdr:nvPicPr>
        <xdr:cNvPr id="250" name="Image 249" descr="http://ib.adnxs.com/seg?add=2491894:99&amp;t=2">
          <a:extLst>
            <a:ext uri="{FF2B5EF4-FFF2-40B4-BE49-F238E27FC236}">
              <a16:creationId xmlns:a16="http://schemas.microsoft.com/office/drawing/2014/main" id="{00000000-0008-0000-5C00-0000F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86</xdr:row>
      <xdr:rowOff>0</xdr:rowOff>
    </xdr:from>
    <xdr:ext cx="9525" cy="9525"/>
    <xdr:pic>
      <xdr:nvPicPr>
        <xdr:cNvPr id="251" name="Image 250" descr="http://ib.adnxs.com/seg?add=:NaN&amp;t=2">
          <a:extLst>
            <a:ext uri="{FF2B5EF4-FFF2-40B4-BE49-F238E27FC236}">
              <a16:creationId xmlns:a16="http://schemas.microsoft.com/office/drawing/2014/main" id="{00000000-0008-0000-5C00-0000F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05875" y="1659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86</xdr:row>
      <xdr:rowOff>0</xdr:rowOff>
    </xdr:from>
    <xdr:ext cx="9525" cy="9525"/>
    <xdr:pic>
      <xdr:nvPicPr>
        <xdr:cNvPr id="25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F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924925" y="1659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86</xdr:row>
      <xdr:rowOff>0</xdr:rowOff>
    </xdr:from>
    <xdr:ext cx="9525" cy="9525"/>
    <xdr:pic>
      <xdr:nvPicPr>
        <xdr:cNvPr id="253" name="Image 252" descr="http://ib.adnxs.com/seg?add=2491894:99&amp;t=2">
          <a:extLst>
            <a:ext uri="{FF2B5EF4-FFF2-40B4-BE49-F238E27FC236}">
              <a16:creationId xmlns:a16="http://schemas.microsoft.com/office/drawing/2014/main" id="{00000000-0008-0000-5C00-0000F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43975" y="1659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86</xdr:row>
      <xdr:rowOff>0</xdr:rowOff>
    </xdr:from>
    <xdr:ext cx="9525" cy="9525"/>
    <xdr:pic>
      <xdr:nvPicPr>
        <xdr:cNvPr id="254" name="Image 253" descr="http://ib.adnxs.com/seg?add=:NaN&amp;t=2">
          <a:extLst>
            <a:ext uri="{FF2B5EF4-FFF2-40B4-BE49-F238E27FC236}">
              <a16:creationId xmlns:a16="http://schemas.microsoft.com/office/drawing/2014/main" id="{00000000-0008-0000-5C00-0000F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25125" y="1659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86</xdr:row>
      <xdr:rowOff>0</xdr:rowOff>
    </xdr:from>
    <xdr:ext cx="9525" cy="9525"/>
    <xdr:pic>
      <xdr:nvPicPr>
        <xdr:cNvPr id="25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F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44175" y="1659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86</xdr:row>
      <xdr:rowOff>0</xdr:rowOff>
    </xdr:from>
    <xdr:ext cx="9525" cy="9525"/>
    <xdr:pic>
      <xdr:nvPicPr>
        <xdr:cNvPr id="256" name="Image 255" descr="http://ib.adnxs.com/seg?add=2491894:99&amp;t=2">
          <a:extLst>
            <a:ext uri="{FF2B5EF4-FFF2-40B4-BE49-F238E27FC236}">
              <a16:creationId xmlns:a16="http://schemas.microsoft.com/office/drawing/2014/main" id="{00000000-0008-0000-5C00-000000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63225" y="1659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87</xdr:row>
      <xdr:rowOff>0</xdr:rowOff>
    </xdr:from>
    <xdr:ext cx="9525" cy="9525"/>
    <xdr:pic>
      <xdr:nvPicPr>
        <xdr:cNvPr id="257" name="Image 256" descr="http://ib.adnxs.com/seg?add=:NaN&amp;t=2">
          <a:extLst>
            <a:ext uri="{FF2B5EF4-FFF2-40B4-BE49-F238E27FC236}">
              <a16:creationId xmlns:a16="http://schemas.microsoft.com/office/drawing/2014/main" id="{00000000-0008-0000-5C00-000001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678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87</xdr:row>
      <xdr:rowOff>0</xdr:rowOff>
    </xdr:from>
    <xdr:ext cx="9525" cy="9525"/>
    <xdr:pic>
      <xdr:nvPicPr>
        <xdr:cNvPr id="25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0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678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87</xdr:row>
      <xdr:rowOff>0</xdr:rowOff>
    </xdr:from>
    <xdr:ext cx="9525" cy="9525"/>
    <xdr:pic>
      <xdr:nvPicPr>
        <xdr:cNvPr id="259" name="Image 258" descr="http://ib.adnxs.com/seg?add=2491894:99&amp;t=2">
          <a:extLst>
            <a:ext uri="{FF2B5EF4-FFF2-40B4-BE49-F238E27FC236}">
              <a16:creationId xmlns:a16="http://schemas.microsoft.com/office/drawing/2014/main" id="{00000000-0008-0000-5C00-00000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678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87</xdr:row>
      <xdr:rowOff>0</xdr:rowOff>
    </xdr:from>
    <xdr:ext cx="9525" cy="9525"/>
    <xdr:pic>
      <xdr:nvPicPr>
        <xdr:cNvPr id="260" name="Image 259" descr="http://ib.adnxs.com/seg?add=:NaN&amp;t=2">
          <a:extLst>
            <a:ext uri="{FF2B5EF4-FFF2-40B4-BE49-F238E27FC236}">
              <a16:creationId xmlns:a16="http://schemas.microsoft.com/office/drawing/2014/main" id="{00000000-0008-0000-5C00-00000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678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87</xdr:row>
      <xdr:rowOff>0</xdr:rowOff>
    </xdr:from>
    <xdr:ext cx="9525" cy="9525"/>
    <xdr:pic>
      <xdr:nvPicPr>
        <xdr:cNvPr id="26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0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678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87</xdr:row>
      <xdr:rowOff>0</xdr:rowOff>
    </xdr:from>
    <xdr:ext cx="9525" cy="9525"/>
    <xdr:pic>
      <xdr:nvPicPr>
        <xdr:cNvPr id="262" name="Image 261" descr="http://ib.adnxs.com/seg?add=2491894:99&amp;t=2">
          <a:extLst>
            <a:ext uri="{FF2B5EF4-FFF2-40B4-BE49-F238E27FC236}">
              <a16:creationId xmlns:a16="http://schemas.microsoft.com/office/drawing/2014/main" id="{00000000-0008-0000-5C00-00000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678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88</xdr:row>
      <xdr:rowOff>0</xdr:rowOff>
    </xdr:from>
    <xdr:ext cx="9525" cy="9525"/>
    <xdr:pic>
      <xdr:nvPicPr>
        <xdr:cNvPr id="263" name="Image 262" descr="http://ib.adnxs.com/seg?add=:NaN&amp;t=2">
          <a:extLst>
            <a:ext uri="{FF2B5EF4-FFF2-40B4-BE49-F238E27FC236}">
              <a16:creationId xmlns:a16="http://schemas.microsoft.com/office/drawing/2014/main" id="{00000000-0008-0000-5C00-000007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697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88</xdr:row>
      <xdr:rowOff>0</xdr:rowOff>
    </xdr:from>
    <xdr:ext cx="9525" cy="9525"/>
    <xdr:pic>
      <xdr:nvPicPr>
        <xdr:cNvPr id="26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0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697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88</xdr:row>
      <xdr:rowOff>0</xdr:rowOff>
    </xdr:from>
    <xdr:ext cx="9525" cy="9525"/>
    <xdr:pic>
      <xdr:nvPicPr>
        <xdr:cNvPr id="265" name="Image 264" descr="http://ib.adnxs.com/seg?add=2491894:99&amp;t=2">
          <a:extLst>
            <a:ext uri="{FF2B5EF4-FFF2-40B4-BE49-F238E27FC236}">
              <a16:creationId xmlns:a16="http://schemas.microsoft.com/office/drawing/2014/main" id="{00000000-0008-0000-5C00-00000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697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89</xdr:row>
      <xdr:rowOff>0</xdr:rowOff>
    </xdr:from>
    <xdr:ext cx="9525" cy="9525"/>
    <xdr:pic>
      <xdr:nvPicPr>
        <xdr:cNvPr id="266" name="Image 265" descr="http://ib.adnxs.com/seg?add=:NaN&amp;t=2">
          <a:extLst>
            <a:ext uri="{FF2B5EF4-FFF2-40B4-BE49-F238E27FC236}">
              <a16:creationId xmlns:a16="http://schemas.microsoft.com/office/drawing/2014/main" id="{00000000-0008-0000-5C00-00000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89</xdr:row>
      <xdr:rowOff>0</xdr:rowOff>
    </xdr:from>
    <xdr:ext cx="9525" cy="9525"/>
    <xdr:pic>
      <xdr:nvPicPr>
        <xdr:cNvPr id="26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0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89</xdr:row>
      <xdr:rowOff>0</xdr:rowOff>
    </xdr:from>
    <xdr:ext cx="9525" cy="9525"/>
    <xdr:pic>
      <xdr:nvPicPr>
        <xdr:cNvPr id="268" name="Image 267" descr="http://ib.adnxs.com/seg?add=2491894:99&amp;t=2">
          <a:extLst>
            <a:ext uri="{FF2B5EF4-FFF2-40B4-BE49-F238E27FC236}">
              <a16:creationId xmlns:a16="http://schemas.microsoft.com/office/drawing/2014/main" id="{00000000-0008-0000-5C00-00000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89</xdr:row>
      <xdr:rowOff>0</xdr:rowOff>
    </xdr:from>
    <xdr:ext cx="9525" cy="9525"/>
    <xdr:pic>
      <xdr:nvPicPr>
        <xdr:cNvPr id="269" name="Image 268" descr="http://ib.adnxs.com/seg?add=:NaN&amp;t=2">
          <a:extLst>
            <a:ext uri="{FF2B5EF4-FFF2-40B4-BE49-F238E27FC236}">
              <a16:creationId xmlns:a16="http://schemas.microsoft.com/office/drawing/2014/main" id="{00000000-0008-0000-5C00-00000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89</xdr:row>
      <xdr:rowOff>0</xdr:rowOff>
    </xdr:from>
    <xdr:ext cx="9525" cy="9525"/>
    <xdr:pic>
      <xdr:nvPicPr>
        <xdr:cNvPr id="27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0E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89</xdr:row>
      <xdr:rowOff>0</xdr:rowOff>
    </xdr:from>
    <xdr:ext cx="9525" cy="9525"/>
    <xdr:pic>
      <xdr:nvPicPr>
        <xdr:cNvPr id="271" name="Image 270" descr="http://ib.adnxs.com/seg?add=2491894:99&amp;t=2">
          <a:extLst>
            <a:ext uri="{FF2B5EF4-FFF2-40B4-BE49-F238E27FC236}">
              <a16:creationId xmlns:a16="http://schemas.microsoft.com/office/drawing/2014/main" id="{00000000-0008-0000-5C00-00000F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716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88</xdr:row>
      <xdr:rowOff>0</xdr:rowOff>
    </xdr:from>
    <xdr:ext cx="9525" cy="9525"/>
    <xdr:pic>
      <xdr:nvPicPr>
        <xdr:cNvPr id="272" name="Image 271" descr="http://ib.adnxs.com/seg?add=:NaN&amp;t=2">
          <a:extLst>
            <a:ext uri="{FF2B5EF4-FFF2-40B4-BE49-F238E27FC236}">
              <a16:creationId xmlns:a16="http://schemas.microsoft.com/office/drawing/2014/main" id="{00000000-0008-0000-5C00-00001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697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88</xdr:row>
      <xdr:rowOff>0</xdr:rowOff>
    </xdr:from>
    <xdr:ext cx="9525" cy="9525"/>
    <xdr:pic>
      <xdr:nvPicPr>
        <xdr:cNvPr id="27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1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697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88</xdr:row>
      <xdr:rowOff>0</xdr:rowOff>
    </xdr:from>
    <xdr:ext cx="9525" cy="9525"/>
    <xdr:pic>
      <xdr:nvPicPr>
        <xdr:cNvPr id="274" name="Image 273" descr="http://ib.adnxs.com/seg?add=2491894:99&amp;t=2">
          <a:extLst>
            <a:ext uri="{FF2B5EF4-FFF2-40B4-BE49-F238E27FC236}">
              <a16:creationId xmlns:a16="http://schemas.microsoft.com/office/drawing/2014/main" id="{00000000-0008-0000-5C00-00001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697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88</xdr:row>
      <xdr:rowOff>0</xdr:rowOff>
    </xdr:from>
    <xdr:ext cx="9525" cy="9525"/>
    <xdr:pic>
      <xdr:nvPicPr>
        <xdr:cNvPr id="275" name="Image 274" descr="http://ib.adnxs.com/seg?add=:NaN&amp;t=2">
          <a:extLst>
            <a:ext uri="{FF2B5EF4-FFF2-40B4-BE49-F238E27FC236}">
              <a16:creationId xmlns:a16="http://schemas.microsoft.com/office/drawing/2014/main" id="{00000000-0008-0000-5C00-00001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697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88</xdr:row>
      <xdr:rowOff>0</xdr:rowOff>
    </xdr:from>
    <xdr:ext cx="9525" cy="9525"/>
    <xdr:pic>
      <xdr:nvPicPr>
        <xdr:cNvPr id="27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697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88</xdr:row>
      <xdr:rowOff>0</xdr:rowOff>
    </xdr:from>
    <xdr:ext cx="9525" cy="9525"/>
    <xdr:pic>
      <xdr:nvPicPr>
        <xdr:cNvPr id="277" name="Image 276" descr="http://ib.adnxs.com/seg?add=2491894:99&amp;t=2">
          <a:extLst>
            <a:ext uri="{FF2B5EF4-FFF2-40B4-BE49-F238E27FC236}">
              <a16:creationId xmlns:a16="http://schemas.microsoft.com/office/drawing/2014/main" id="{00000000-0008-0000-5C00-00001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697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92</xdr:row>
      <xdr:rowOff>0</xdr:rowOff>
    </xdr:from>
    <xdr:ext cx="9525" cy="9525"/>
    <xdr:pic>
      <xdr:nvPicPr>
        <xdr:cNvPr id="278" name="Image 277" descr="http://ib.adnxs.com/seg?add=:NaN&amp;t=2">
          <a:extLst>
            <a:ext uri="{FF2B5EF4-FFF2-40B4-BE49-F238E27FC236}">
              <a16:creationId xmlns:a16="http://schemas.microsoft.com/office/drawing/2014/main" id="{00000000-0008-0000-5C00-000016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77200" y="1773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92</xdr:row>
      <xdr:rowOff>0</xdr:rowOff>
    </xdr:from>
    <xdr:ext cx="9525" cy="9525"/>
    <xdr:pic>
      <xdr:nvPicPr>
        <xdr:cNvPr id="27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7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96250" y="1773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92</xdr:row>
      <xdr:rowOff>0</xdr:rowOff>
    </xdr:from>
    <xdr:ext cx="9525" cy="9525"/>
    <xdr:pic>
      <xdr:nvPicPr>
        <xdr:cNvPr id="280" name="Image 279" descr="http://ib.adnxs.com/seg?add=2491894:99&amp;t=2">
          <a:extLst>
            <a:ext uri="{FF2B5EF4-FFF2-40B4-BE49-F238E27FC236}">
              <a16:creationId xmlns:a16="http://schemas.microsoft.com/office/drawing/2014/main" id="{00000000-0008-0000-5C00-000018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15300" y="1773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92</xdr:row>
      <xdr:rowOff>0</xdr:rowOff>
    </xdr:from>
    <xdr:ext cx="9525" cy="9525"/>
    <xdr:pic>
      <xdr:nvPicPr>
        <xdr:cNvPr id="281" name="Image 280" descr="http://ib.adnxs.com/seg?add=:NaN&amp;t=2">
          <a:extLst>
            <a:ext uri="{FF2B5EF4-FFF2-40B4-BE49-F238E27FC236}">
              <a16:creationId xmlns:a16="http://schemas.microsoft.com/office/drawing/2014/main" id="{00000000-0008-0000-5C00-000019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773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92</xdr:row>
      <xdr:rowOff>0</xdr:rowOff>
    </xdr:from>
    <xdr:ext cx="9525" cy="9525"/>
    <xdr:pic>
      <xdr:nvPicPr>
        <xdr:cNvPr id="28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A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773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92</xdr:row>
      <xdr:rowOff>0</xdr:rowOff>
    </xdr:from>
    <xdr:ext cx="9525" cy="9525"/>
    <xdr:pic>
      <xdr:nvPicPr>
        <xdr:cNvPr id="283" name="Image 282" descr="http://ib.adnxs.com/seg?add=2491894:99&amp;t=2">
          <a:extLst>
            <a:ext uri="{FF2B5EF4-FFF2-40B4-BE49-F238E27FC236}">
              <a16:creationId xmlns:a16="http://schemas.microsoft.com/office/drawing/2014/main" id="{00000000-0008-0000-5C00-00001B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773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97</xdr:row>
      <xdr:rowOff>0</xdr:rowOff>
    </xdr:from>
    <xdr:ext cx="9525" cy="9525"/>
    <xdr:pic>
      <xdr:nvPicPr>
        <xdr:cNvPr id="284" name="Image 283" descr="http://ib.adnxs.com/seg?add=:NaN&amp;t=2">
          <a:extLst>
            <a:ext uri="{FF2B5EF4-FFF2-40B4-BE49-F238E27FC236}">
              <a16:creationId xmlns:a16="http://schemas.microsoft.com/office/drawing/2014/main" id="{00000000-0008-0000-5C00-00001C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77200"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97</xdr:row>
      <xdr:rowOff>0</xdr:rowOff>
    </xdr:from>
    <xdr:ext cx="9525" cy="9525"/>
    <xdr:pic>
      <xdr:nvPicPr>
        <xdr:cNvPr id="28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1D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96250"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97</xdr:row>
      <xdr:rowOff>0</xdr:rowOff>
    </xdr:from>
    <xdr:ext cx="9525" cy="9525"/>
    <xdr:pic>
      <xdr:nvPicPr>
        <xdr:cNvPr id="286" name="Image 285" descr="http://ib.adnxs.com/seg?add=2491894:99&amp;t=2">
          <a:extLst>
            <a:ext uri="{FF2B5EF4-FFF2-40B4-BE49-F238E27FC236}">
              <a16:creationId xmlns:a16="http://schemas.microsoft.com/office/drawing/2014/main" id="{00000000-0008-0000-5C00-00001E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15300"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97</xdr:row>
      <xdr:rowOff>0</xdr:rowOff>
    </xdr:from>
    <xdr:ext cx="9525" cy="9525"/>
    <xdr:pic>
      <xdr:nvPicPr>
        <xdr:cNvPr id="287" name="Image 286" descr="http://ib.adnxs.com/seg?add=:NaN&amp;t=2">
          <a:extLst>
            <a:ext uri="{FF2B5EF4-FFF2-40B4-BE49-F238E27FC236}">
              <a16:creationId xmlns:a16="http://schemas.microsoft.com/office/drawing/2014/main" id="{00000000-0008-0000-5C00-00001F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97</xdr:row>
      <xdr:rowOff>0</xdr:rowOff>
    </xdr:from>
    <xdr:ext cx="9525" cy="9525"/>
    <xdr:pic>
      <xdr:nvPicPr>
        <xdr:cNvPr id="28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0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97</xdr:row>
      <xdr:rowOff>0</xdr:rowOff>
    </xdr:from>
    <xdr:ext cx="9525" cy="9525"/>
    <xdr:pic>
      <xdr:nvPicPr>
        <xdr:cNvPr id="289" name="Image 288" descr="http://ib.adnxs.com/seg?add=2491894:99&amp;t=2">
          <a:extLst>
            <a:ext uri="{FF2B5EF4-FFF2-40B4-BE49-F238E27FC236}">
              <a16:creationId xmlns:a16="http://schemas.microsoft.com/office/drawing/2014/main" id="{00000000-0008-0000-5C00-000021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92</xdr:row>
      <xdr:rowOff>0</xdr:rowOff>
    </xdr:from>
    <xdr:ext cx="9525" cy="9525"/>
    <xdr:pic>
      <xdr:nvPicPr>
        <xdr:cNvPr id="290" name="Image 289" descr="http://ib.adnxs.com/seg?add=:NaN&amp;t=2">
          <a:extLst>
            <a:ext uri="{FF2B5EF4-FFF2-40B4-BE49-F238E27FC236}">
              <a16:creationId xmlns:a16="http://schemas.microsoft.com/office/drawing/2014/main" id="{00000000-0008-0000-5C00-000022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773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92</xdr:row>
      <xdr:rowOff>0</xdr:rowOff>
    </xdr:from>
    <xdr:ext cx="9525" cy="9525"/>
    <xdr:pic>
      <xdr:nvPicPr>
        <xdr:cNvPr id="29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3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773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92</xdr:row>
      <xdr:rowOff>0</xdr:rowOff>
    </xdr:from>
    <xdr:ext cx="9525" cy="9525"/>
    <xdr:pic>
      <xdr:nvPicPr>
        <xdr:cNvPr id="292" name="Image 291" descr="http://ib.adnxs.com/seg?add=2491894:99&amp;t=2">
          <a:extLst>
            <a:ext uri="{FF2B5EF4-FFF2-40B4-BE49-F238E27FC236}">
              <a16:creationId xmlns:a16="http://schemas.microsoft.com/office/drawing/2014/main" id="{00000000-0008-0000-5C00-000024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773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97</xdr:row>
      <xdr:rowOff>0</xdr:rowOff>
    </xdr:from>
    <xdr:ext cx="9525" cy="9525"/>
    <xdr:pic>
      <xdr:nvPicPr>
        <xdr:cNvPr id="293" name="Image 292" descr="http://ib.adnxs.com/seg?add=:NaN&amp;t=2">
          <a:extLst>
            <a:ext uri="{FF2B5EF4-FFF2-40B4-BE49-F238E27FC236}">
              <a16:creationId xmlns:a16="http://schemas.microsoft.com/office/drawing/2014/main" id="{00000000-0008-0000-5C00-000025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7875"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97</xdr:row>
      <xdr:rowOff>0</xdr:rowOff>
    </xdr:from>
    <xdr:ext cx="9525" cy="9525"/>
    <xdr:pic>
      <xdr:nvPicPr>
        <xdr:cNvPr id="29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6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6925"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38100</xdr:colOff>
      <xdr:row>97</xdr:row>
      <xdr:rowOff>0</xdr:rowOff>
    </xdr:from>
    <xdr:ext cx="9525" cy="9525"/>
    <xdr:pic>
      <xdr:nvPicPr>
        <xdr:cNvPr id="295" name="Image 294" descr="http://ib.adnxs.com/seg?add=2491894:99&amp;t=2">
          <a:extLst>
            <a:ext uri="{FF2B5EF4-FFF2-40B4-BE49-F238E27FC236}">
              <a16:creationId xmlns:a16="http://schemas.microsoft.com/office/drawing/2014/main" id="{00000000-0008-0000-5C00-000027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05975"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94</xdr:row>
      <xdr:rowOff>0</xdr:rowOff>
    </xdr:from>
    <xdr:ext cx="9525" cy="9525"/>
    <xdr:pic>
      <xdr:nvPicPr>
        <xdr:cNvPr id="296" name="Image 295" descr="http://ib.adnxs.com/seg?add=:NaN&amp;t=2">
          <a:extLst>
            <a:ext uri="{FF2B5EF4-FFF2-40B4-BE49-F238E27FC236}">
              <a16:creationId xmlns:a16="http://schemas.microsoft.com/office/drawing/2014/main" id="{00000000-0008-0000-5C00-000028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05875" y="18116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94</xdr:row>
      <xdr:rowOff>0</xdr:rowOff>
    </xdr:from>
    <xdr:ext cx="9525" cy="9525"/>
    <xdr:pic>
      <xdr:nvPicPr>
        <xdr:cNvPr id="29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9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924925" y="18116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94</xdr:row>
      <xdr:rowOff>0</xdr:rowOff>
    </xdr:from>
    <xdr:ext cx="9525" cy="9525"/>
    <xdr:pic>
      <xdr:nvPicPr>
        <xdr:cNvPr id="298" name="Image 297" descr="http://ib.adnxs.com/seg?add=2491894:99&amp;t=2">
          <a:extLst>
            <a:ext uri="{FF2B5EF4-FFF2-40B4-BE49-F238E27FC236}">
              <a16:creationId xmlns:a16="http://schemas.microsoft.com/office/drawing/2014/main" id="{00000000-0008-0000-5C00-00002A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43975" y="18116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94</xdr:row>
      <xdr:rowOff>0</xdr:rowOff>
    </xdr:from>
    <xdr:ext cx="9525" cy="9525"/>
    <xdr:pic>
      <xdr:nvPicPr>
        <xdr:cNvPr id="299" name="Image 298" descr="http://ib.adnxs.com/seg?add=:NaN&amp;t=2">
          <a:extLst>
            <a:ext uri="{FF2B5EF4-FFF2-40B4-BE49-F238E27FC236}">
              <a16:creationId xmlns:a16="http://schemas.microsoft.com/office/drawing/2014/main" id="{00000000-0008-0000-5C00-00002B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25125" y="18116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94</xdr:row>
      <xdr:rowOff>0</xdr:rowOff>
    </xdr:from>
    <xdr:ext cx="9525" cy="9525"/>
    <xdr:pic>
      <xdr:nvPicPr>
        <xdr:cNvPr id="30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C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44175" y="18116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94</xdr:row>
      <xdr:rowOff>0</xdr:rowOff>
    </xdr:from>
    <xdr:ext cx="9525" cy="9525"/>
    <xdr:pic>
      <xdr:nvPicPr>
        <xdr:cNvPr id="301" name="Image 300" descr="http://ib.adnxs.com/seg?add=2491894:99&amp;t=2">
          <a:extLst>
            <a:ext uri="{FF2B5EF4-FFF2-40B4-BE49-F238E27FC236}">
              <a16:creationId xmlns:a16="http://schemas.microsoft.com/office/drawing/2014/main" id="{00000000-0008-0000-5C00-00002D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63225" y="18116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95</xdr:row>
      <xdr:rowOff>0</xdr:rowOff>
    </xdr:from>
    <xdr:ext cx="9525" cy="9525"/>
    <xdr:pic>
      <xdr:nvPicPr>
        <xdr:cNvPr id="302" name="Image 301" descr="http://ib.adnxs.com/seg?add=:NaN&amp;t=2">
          <a:extLst>
            <a:ext uri="{FF2B5EF4-FFF2-40B4-BE49-F238E27FC236}">
              <a16:creationId xmlns:a16="http://schemas.microsoft.com/office/drawing/2014/main" id="{00000000-0008-0000-5C00-00002E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830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95</xdr:row>
      <xdr:rowOff>0</xdr:rowOff>
    </xdr:from>
    <xdr:ext cx="9525" cy="9525"/>
    <xdr:pic>
      <xdr:nvPicPr>
        <xdr:cNvPr id="30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2F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830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95</xdr:row>
      <xdr:rowOff>0</xdr:rowOff>
    </xdr:from>
    <xdr:ext cx="9525" cy="9525"/>
    <xdr:pic>
      <xdr:nvPicPr>
        <xdr:cNvPr id="304" name="Image 303" descr="http://ib.adnxs.com/seg?add=2491894:99&amp;t=2">
          <a:extLst>
            <a:ext uri="{FF2B5EF4-FFF2-40B4-BE49-F238E27FC236}">
              <a16:creationId xmlns:a16="http://schemas.microsoft.com/office/drawing/2014/main" id="{00000000-0008-0000-5C00-00003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830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95</xdr:row>
      <xdr:rowOff>0</xdr:rowOff>
    </xdr:from>
    <xdr:ext cx="9525" cy="9525"/>
    <xdr:pic>
      <xdr:nvPicPr>
        <xdr:cNvPr id="305" name="Image 304" descr="http://ib.adnxs.com/seg?add=:NaN&amp;t=2">
          <a:extLst>
            <a:ext uri="{FF2B5EF4-FFF2-40B4-BE49-F238E27FC236}">
              <a16:creationId xmlns:a16="http://schemas.microsoft.com/office/drawing/2014/main" id="{00000000-0008-0000-5C00-000031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830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95</xdr:row>
      <xdr:rowOff>0</xdr:rowOff>
    </xdr:from>
    <xdr:ext cx="9525" cy="9525"/>
    <xdr:pic>
      <xdr:nvPicPr>
        <xdr:cNvPr id="30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830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95</xdr:row>
      <xdr:rowOff>0</xdr:rowOff>
    </xdr:from>
    <xdr:ext cx="9525" cy="9525"/>
    <xdr:pic>
      <xdr:nvPicPr>
        <xdr:cNvPr id="307" name="Image 306" descr="http://ib.adnxs.com/seg?add=2491894:99&amp;t=2">
          <a:extLst>
            <a:ext uri="{FF2B5EF4-FFF2-40B4-BE49-F238E27FC236}">
              <a16:creationId xmlns:a16="http://schemas.microsoft.com/office/drawing/2014/main" id="{00000000-0008-0000-5C00-00003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830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96</xdr:row>
      <xdr:rowOff>0</xdr:rowOff>
    </xdr:from>
    <xdr:ext cx="9525" cy="9525"/>
    <xdr:pic>
      <xdr:nvPicPr>
        <xdr:cNvPr id="308" name="Image 307" descr="http://ib.adnxs.com/seg?add=:NaN&amp;t=2">
          <a:extLst>
            <a:ext uri="{FF2B5EF4-FFF2-40B4-BE49-F238E27FC236}">
              <a16:creationId xmlns:a16="http://schemas.microsoft.com/office/drawing/2014/main" id="{00000000-0008-0000-5C00-00003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849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96</xdr:row>
      <xdr:rowOff>0</xdr:rowOff>
    </xdr:from>
    <xdr:ext cx="9525" cy="9525"/>
    <xdr:pic>
      <xdr:nvPicPr>
        <xdr:cNvPr id="30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849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96</xdr:row>
      <xdr:rowOff>0</xdr:rowOff>
    </xdr:from>
    <xdr:ext cx="9525" cy="9525"/>
    <xdr:pic>
      <xdr:nvPicPr>
        <xdr:cNvPr id="310" name="Image 309" descr="http://ib.adnxs.com/seg?add=2491894:99&amp;t=2">
          <a:extLst>
            <a:ext uri="{FF2B5EF4-FFF2-40B4-BE49-F238E27FC236}">
              <a16:creationId xmlns:a16="http://schemas.microsoft.com/office/drawing/2014/main" id="{00000000-0008-0000-5C00-00003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849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97</xdr:row>
      <xdr:rowOff>0</xdr:rowOff>
    </xdr:from>
    <xdr:ext cx="9525" cy="9525"/>
    <xdr:pic>
      <xdr:nvPicPr>
        <xdr:cNvPr id="311" name="Image 310" descr="http://ib.adnxs.com/seg?add=:NaN&amp;t=2">
          <a:extLst>
            <a:ext uri="{FF2B5EF4-FFF2-40B4-BE49-F238E27FC236}">
              <a16:creationId xmlns:a16="http://schemas.microsoft.com/office/drawing/2014/main" id="{00000000-0008-0000-5C00-000037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97</xdr:row>
      <xdr:rowOff>0</xdr:rowOff>
    </xdr:from>
    <xdr:ext cx="9525" cy="9525"/>
    <xdr:pic>
      <xdr:nvPicPr>
        <xdr:cNvPr id="31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97</xdr:row>
      <xdr:rowOff>0</xdr:rowOff>
    </xdr:from>
    <xdr:ext cx="9525" cy="9525"/>
    <xdr:pic>
      <xdr:nvPicPr>
        <xdr:cNvPr id="313" name="Image 312" descr="http://ib.adnxs.com/seg?add=2491894:99&amp;t=2">
          <a:extLst>
            <a:ext uri="{FF2B5EF4-FFF2-40B4-BE49-F238E27FC236}">
              <a16:creationId xmlns:a16="http://schemas.microsoft.com/office/drawing/2014/main" id="{00000000-0008-0000-5C00-00003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97</xdr:row>
      <xdr:rowOff>0</xdr:rowOff>
    </xdr:from>
    <xdr:ext cx="9525" cy="9525"/>
    <xdr:pic>
      <xdr:nvPicPr>
        <xdr:cNvPr id="314" name="Image 313" descr="http://ib.adnxs.com/seg?add=:NaN&amp;t=2">
          <a:extLst>
            <a:ext uri="{FF2B5EF4-FFF2-40B4-BE49-F238E27FC236}">
              <a16:creationId xmlns:a16="http://schemas.microsoft.com/office/drawing/2014/main" id="{00000000-0008-0000-5C00-00003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25125"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97</xdr:row>
      <xdr:rowOff>0</xdr:rowOff>
    </xdr:from>
    <xdr:ext cx="9525" cy="9525"/>
    <xdr:pic>
      <xdr:nvPicPr>
        <xdr:cNvPr id="31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44175"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97</xdr:row>
      <xdr:rowOff>0</xdr:rowOff>
    </xdr:from>
    <xdr:ext cx="9525" cy="9525"/>
    <xdr:pic>
      <xdr:nvPicPr>
        <xdr:cNvPr id="316" name="Image 315" descr="http://ib.adnxs.com/seg?add=2491894:99&amp;t=2">
          <a:extLst>
            <a:ext uri="{FF2B5EF4-FFF2-40B4-BE49-F238E27FC236}">
              <a16:creationId xmlns:a16="http://schemas.microsoft.com/office/drawing/2014/main" id="{00000000-0008-0000-5C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63225" y="1868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96</xdr:row>
      <xdr:rowOff>0</xdr:rowOff>
    </xdr:from>
    <xdr:ext cx="9525" cy="9525"/>
    <xdr:pic>
      <xdr:nvPicPr>
        <xdr:cNvPr id="317" name="Image 316" descr="http://ib.adnxs.com/seg?add=:NaN&amp;t=2">
          <a:extLst>
            <a:ext uri="{FF2B5EF4-FFF2-40B4-BE49-F238E27FC236}">
              <a16:creationId xmlns:a16="http://schemas.microsoft.com/office/drawing/2014/main" id="{00000000-0008-0000-5C00-00003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849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96</xdr:row>
      <xdr:rowOff>0</xdr:rowOff>
    </xdr:from>
    <xdr:ext cx="9525" cy="9525"/>
    <xdr:pic>
      <xdr:nvPicPr>
        <xdr:cNvPr id="31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3E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849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96</xdr:row>
      <xdr:rowOff>0</xdr:rowOff>
    </xdr:from>
    <xdr:ext cx="9525" cy="9525"/>
    <xdr:pic>
      <xdr:nvPicPr>
        <xdr:cNvPr id="319" name="Image 318" descr="http://ib.adnxs.com/seg?add=2491894:99&amp;t=2">
          <a:extLst>
            <a:ext uri="{FF2B5EF4-FFF2-40B4-BE49-F238E27FC236}">
              <a16:creationId xmlns:a16="http://schemas.microsoft.com/office/drawing/2014/main" id="{00000000-0008-0000-5C00-00003F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849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96</xdr:row>
      <xdr:rowOff>0</xdr:rowOff>
    </xdr:from>
    <xdr:ext cx="9525" cy="9525"/>
    <xdr:pic>
      <xdr:nvPicPr>
        <xdr:cNvPr id="320" name="Image 319" descr="http://ib.adnxs.com/seg?add=:NaN&amp;t=2">
          <a:extLst>
            <a:ext uri="{FF2B5EF4-FFF2-40B4-BE49-F238E27FC236}">
              <a16:creationId xmlns:a16="http://schemas.microsoft.com/office/drawing/2014/main" id="{00000000-0008-0000-5C00-00004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1849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96</xdr:row>
      <xdr:rowOff>0</xdr:rowOff>
    </xdr:from>
    <xdr:ext cx="9525" cy="9525"/>
    <xdr:pic>
      <xdr:nvPicPr>
        <xdr:cNvPr id="32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41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1849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96</xdr:row>
      <xdr:rowOff>0</xdr:rowOff>
    </xdr:from>
    <xdr:ext cx="9525" cy="9525"/>
    <xdr:pic>
      <xdr:nvPicPr>
        <xdr:cNvPr id="322" name="Image 321" descr="http://ib.adnxs.com/seg?add=2491894:99&amp;t=2">
          <a:extLst>
            <a:ext uri="{FF2B5EF4-FFF2-40B4-BE49-F238E27FC236}">
              <a16:creationId xmlns:a16="http://schemas.microsoft.com/office/drawing/2014/main" id="{00000000-0008-0000-5C00-00004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1849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99</xdr:row>
      <xdr:rowOff>0</xdr:rowOff>
    </xdr:from>
    <xdr:ext cx="9525" cy="9525"/>
    <xdr:pic>
      <xdr:nvPicPr>
        <xdr:cNvPr id="326" name="Image 325" descr="http://ib.adnxs.com/seg?add=:NaN&amp;t=2">
          <a:extLst>
            <a:ext uri="{FF2B5EF4-FFF2-40B4-BE49-F238E27FC236}">
              <a16:creationId xmlns:a16="http://schemas.microsoft.com/office/drawing/2014/main" id="{00000000-0008-0000-5C00-00004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77200" y="2453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19050</xdr:colOff>
      <xdr:row>99</xdr:row>
      <xdr:rowOff>0</xdr:rowOff>
    </xdr:from>
    <xdr:ext cx="9525" cy="9525"/>
    <xdr:pic>
      <xdr:nvPicPr>
        <xdr:cNvPr id="32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47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96250" y="2453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38100</xdr:colOff>
      <xdr:row>99</xdr:row>
      <xdr:rowOff>0</xdr:rowOff>
    </xdr:from>
    <xdr:ext cx="9525" cy="9525"/>
    <xdr:pic>
      <xdr:nvPicPr>
        <xdr:cNvPr id="328" name="Image 327" descr="http://ib.adnxs.com/seg?add=2491894:99&amp;t=2">
          <a:extLst>
            <a:ext uri="{FF2B5EF4-FFF2-40B4-BE49-F238E27FC236}">
              <a16:creationId xmlns:a16="http://schemas.microsoft.com/office/drawing/2014/main" id="{00000000-0008-0000-5C00-00004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115300" y="2453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97</xdr:row>
      <xdr:rowOff>0</xdr:rowOff>
    </xdr:from>
    <xdr:ext cx="9525" cy="9525"/>
    <xdr:pic>
      <xdr:nvPicPr>
        <xdr:cNvPr id="329" name="Image 328" descr="http://ib.adnxs.com/seg?add=:NaN&amp;t=2">
          <a:extLst>
            <a:ext uri="{FF2B5EF4-FFF2-40B4-BE49-F238E27FC236}">
              <a16:creationId xmlns:a16="http://schemas.microsoft.com/office/drawing/2014/main" id="{00000000-0008-0000-5C00-00004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97</xdr:row>
      <xdr:rowOff>0</xdr:rowOff>
    </xdr:from>
    <xdr:ext cx="9525" cy="9525"/>
    <xdr:pic>
      <xdr:nvPicPr>
        <xdr:cNvPr id="33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97</xdr:row>
      <xdr:rowOff>0</xdr:rowOff>
    </xdr:from>
    <xdr:ext cx="9525" cy="9525"/>
    <xdr:pic>
      <xdr:nvPicPr>
        <xdr:cNvPr id="331" name="Image 330" descr="http://ib.adnxs.com/seg?add=2491894:99&amp;t=2">
          <a:extLst>
            <a:ext uri="{FF2B5EF4-FFF2-40B4-BE49-F238E27FC236}">
              <a16:creationId xmlns:a16="http://schemas.microsoft.com/office/drawing/2014/main" id="{00000000-0008-0000-5C00-00004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98</xdr:row>
      <xdr:rowOff>0</xdr:rowOff>
    </xdr:from>
    <xdr:ext cx="9525" cy="9525"/>
    <xdr:pic>
      <xdr:nvPicPr>
        <xdr:cNvPr id="332" name="Image 331" descr="http://ib.adnxs.com/seg?add=:NaN&amp;t=2">
          <a:extLst>
            <a:ext uri="{FF2B5EF4-FFF2-40B4-BE49-F238E27FC236}">
              <a16:creationId xmlns:a16="http://schemas.microsoft.com/office/drawing/2014/main" id="{00000000-0008-0000-5C00-00004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98</xdr:row>
      <xdr:rowOff>0</xdr:rowOff>
    </xdr:from>
    <xdr:ext cx="9525" cy="9525"/>
    <xdr:pic>
      <xdr:nvPicPr>
        <xdr:cNvPr id="33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4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98</xdr:row>
      <xdr:rowOff>0</xdr:rowOff>
    </xdr:from>
    <xdr:ext cx="9525" cy="9525"/>
    <xdr:pic>
      <xdr:nvPicPr>
        <xdr:cNvPr id="334" name="Image 333" descr="http://ib.adnxs.com/seg?add=2491894:99&amp;t=2">
          <a:extLst>
            <a:ext uri="{FF2B5EF4-FFF2-40B4-BE49-F238E27FC236}">
              <a16:creationId xmlns:a16="http://schemas.microsoft.com/office/drawing/2014/main" id="{00000000-0008-0000-5C00-00004E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99</xdr:row>
      <xdr:rowOff>0</xdr:rowOff>
    </xdr:from>
    <xdr:ext cx="9525" cy="9525"/>
    <xdr:pic>
      <xdr:nvPicPr>
        <xdr:cNvPr id="335" name="Image 334" descr="http://ib.adnxs.com/seg?add=:NaN&amp;t=2">
          <a:extLst>
            <a:ext uri="{FF2B5EF4-FFF2-40B4-BE49-F238E27FC236}">
              <a16:creationId xmlns:a16="http://schemas.microsoft.com/office/drawing/2014/main" id="{00000000-0008-0000-5C00-00004F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99</xdr:row>
      <xdr:rowOff>0</xdr:rowOff>
    </xdr:from>
    <xdr:ext cx="9525" cy="9525"/>
    <xdr:pic>
      <xdr:nvPicPr>
        <xdr:cNvPr id="33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99</xdr:row>
      <xdr:rowOff>0</xdr:rowOff>
    </xdr:from>
    <xdr:ext cx="9525" cy="9525"/>
    <xdr:pic>
      <xdr:nvPicPr>
        <xdr:cNvPr id="337" name="Image 336" descr="http://ib.adnxs.com/seg?add=2491894:99&amp;t=2">
          <a:extLst>
            <a:ext uri="{FF2B5EF4-FFF2-40B4-BE49-F238E27FC236}">
              <a16:creationId xmlns:a16="http://schemas.microsoft.com/office/drawing/2014/main" id="{00000000-0008-0000-5C00-000051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100</xdr:row>
      <xdr:rowOff>0</xdr:rowOff>
    </xdr:from>
    <xdr:ext cx="9525" cy="9525"/>
    <xdr:pic>
      <xdr:nvPicPr>
        <xdr:cNvPr id="338" name="Image 337" descr="http://ib.adnxs.com/seg?add=:NaN&amp;t=2">
          <a:extLst>
            <a:ext uri="{FF2B5EF4-FFF2-40B4-BE49-F238E27FC236}">
              <a16:creationId xmlns:a16="http://schemas.microsoft.com/office/drawing/2014/main" id="{00000000-0008-0000-5C00-00005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100</xdr:row>
      <xdr:rowOff>0</xdr:rowOff>
    </xdr:from>
    <xdr:ext cx="9525" cy="9525"/>
    <xdr:pic>
      <xdr:nvPicPr>
        <xdr:cNvPr id="339"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100</xdr:row>
      <xdr:rowOff>0</xdr:rowOff>
    </xdr:from>
    <xdr:ext cx="9525" cy="9525"/>
    <xdr:pic>
      <xdr:nvPicPr>
        <xdr:cNvPr id="340" name="Image 339" descr="http://ib.adnxs.com/seg?add=2491894:99&amp;t=2">
          <a:extLst>
            <a:ext uri="{FF2B5EF4-FFF2-40B4-BE49-F238E27FC236}">
              <a16:creationId xmlns:a16="http://schemas.microsoft.com/office/drawing/2014/main" id="{00000000-0008-0000-5C00-00005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101</xdr:row>
      <xdr:rowOff>0</xdr:rowOff>
    </xdr:from>
    <xdr:ext cx="9525" cy="9525"/>
    <xdr:pic>
      <xdr:nvPicPr>
        <xdr:cNvPr id="341" name="Image 340" descr="http://ib.adnxs.com/seg?add=:NaN&amp;t=2">
          <a:extLst>
            <a:ext uri="{FF2B5EF4-FFF2-40B4-BE49-F238E27FC236}">
              <a16:creationId xmlns:a16="http://schemas.microsoft.com/office/drawing/2014/main" id="{00000000-0008-0000-5C00-00005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101</xdr:row>
      <xdr:rowOff>0</xdr:rowOff>
    </xdr:from>
    <xdr:ext cx="9525" cy="9525"/>
    <xdr:pic>
      <xdr:nvPicPr>
        <xdr:cNvPr id="342"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101</xdr:row>
      <xdr:rowOff>0</xdr:rowOff>
    </xdr:from>
    <xdr:ext cx="9525" cy="9525"/>
    <xdr:pic>
      <xdr:nvPicPr>
        <xdr:cNvPr id="343" name="Image 342" descr="http://ib.adnxs.com/seg?add=2491894:99&amp;t=2">
          <a:extLst>
            <a:ext uri="{FF2B5EF4-FFF2-40B4-BE49-F238E27FC236}">
              <a16:creationId xmlns:a16="http://schemas.microsoft.com/office/drawing/2014/main" id="{00000000-0008-0000-5C00-000057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102</xdr:row>
      <xdr:rowOff>0</xdr:rowOff>
    </xdr:from>
    <xdr:ext cx="9525" cy="9525"/>
    <xdr:pic>
      <xdr:nvPicPr>
        <xdr:cNvPr id="344" name="Image 343" descr="http://ib.adnxs.com/seg?add=:NaN&amp;t=2">
          <a:extLst>
            <a:ext uri="{FF2B5EF4-FFF2-40B4-BE49-F238E27FC236}">
              <a16:creationId xmlns:a16="http://schemas.microsoft.com/office/drawing/2014/main" id="{00000000-0008-0000-5C00-00005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102</xdr:row>
      <xdr:rowOff>0</xdr:rowOff>
    </xdr:from>
    <xdr:ext cx="9525" cy="9525"/>
    <xdr:pic>
      <xdr:nvPicPr>
        <xdr:cNvPr id="345"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102</xdr:row>
      <xdr:rowOff>0</xdr:rowOff>
    </xdr:from>
    <xdr:ext cx="9525" cy="9525"/>
    <xdr:pic>
      <xdr:nvPicPr>
        <xdr:cNvPr id="346" name="Image 345" descr="http://ib.adnxs.com/seg?add=2491894:99&amp;t=2">
          <a:extLst>
            <a:ext uri="{FF2B5EF4-FFF2-40B4-BE49-F238E27FC236}">
              <a16:creationId xmlns:a16="http://schemas.microsoft.com/office/drawing/2014/main" id="{00000000-0008-0000-5C00-00005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103</xdr:row>
      <xdr:rowOff>0</xdr:rowOff>
    </xdr:from>
    <xdr:ext cx="9525" cy="9525"/>
    <xdr:pic>
      <xdr:nvPicPr>
        <xdr:cNvPr id="347" name="Image 346" descr="http://ib.adnxs.com/seg?add=:NaN&amp;t=2">
          <a:extLst>
            <a:ext uri="{FF2B5EF4-FFF2-40B4-BE49-F238E27FC236}">
              <a16:creationId xmlns:a16="http://schemas.microsoft.com/office/drawing/2014/main" id="{00000000-0008-0000-5C00-00005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103</xdr:row>
      <xdr:rowOff>0</xdr:rowOff>
    </xdr:from>
    <xdr:ext cx="9525" cy="9525"/>
    <xdr:pic>
      <xdr:nvPicPr>
        <xdr:cNvPr id="348"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103</xdr:row>
      <xdr:rowOff>0</xdr:rowOff>
    </xdr:from>
    <xdr:ext cx="9525" cy="9525"/>
    <xdr:pic>
      <xdr:nvPicPr>
        <xdr:cNvPr id="349" name="Image 348" descr="http://ib.adnxs.com/seg?add=2491894:99&amp;t=2">
          <a:extLst>
            <a:ext uri="{FF2B5EF4-FFF2-40B4-BE49-F238E27FC236}">
              <a16:creationId xmlns:a16="http://schemas.microsoft.com/office/drawing/2014/main" id="{00000000-0008-0000-5C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02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103</xdr:row>
      <xdr:rowOff>0</xdr:rowOff>
    </xdr:from>
    <xdr:ext cx="9525" cy="9525"/>
    <xdr:pic>
      <xdr:nvPicPr>
        <xdr:cNvPr id="350" name="Image 349" descr="http://ib.adnxs.com/seg?add=:NaN&amp;t=2">
          <a:extLst>
            <a:ext uri="{FF2B5EF4-FFF2-40B4-BE49-F238E27FC236}">
              <a16:creationId xmlns:a16="http://schemas.microsoft.com/office/drawing/2014/main" id="{00000000-0008-0000-5C00-00005E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103</xdr:row>
      <xdr:rowOff>0</xdr:rowOff>
    </xdr:from>
    <xdr:ext cx="9525" cy="9525"/>
    <xdr:pic>
      <xdr:nvPicPr>
        <xdr:cNvPr id="351"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5F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103</xdr:row>
      <xdr:rowOff>0</xdr:rowOff>
    </xdr:from>
    <xdr:ext cx="9525" cy="9525"/>
    <xdr:pic>
      <xdr:nvPicPr>
        <xdr:cNvPr id="352" name="Image 351" descr="http://ib.adnxs.com/seg?add=2491894:99&amp;t=2">
          <a:extLst>
            <a:ext uri="{FF2B5EF4-FFF2-40B4-BE49-F238E27FC236}">
              <a16:creationId xmlns:a16="http://schemas.microsoft.com/office/drawing/2014/main" id="{00000000-0008-0000-5C00-00006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104</xdr:row>
      <xdr:rowOff>0</xdr:rowOff>
    </xdr:from>
    <xdr:ext cx="9525" cy="9525"/>
    <xdr:pic>
      <xdr:nvPicPr>
        <xdr:cNvPr id="353" name="Image 352" descr="http://ib.adnxs.com/seg?add=:NaN&amp;t=2">
          <a:extLst>
            <a:ext uri="{FF2B5EF4-FFF2-40B4-BE49-F238E27FC236}">
              <a16:creationId xmlns:a16="http://schemas.microsoft.com/office/drawing/2014/main" id="{00000000-0008-0000-5C00-000061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104</xdr:row>
      <xdr:rowOff>0</xdr:rowOff>
    </xdr:from>
    <xdr:ext cx="9525" cy="9525"/>
    <xdr:pic>
      <xdr:nvPicPr>
        <xdr:cNvPr id="354"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104</xdr:row>
      <xdr:rowOff>0</xdr:rowOff>
    </xdr:from>
    <xdr:ext cx="9525" cy="9525"/>
    <xdr:pic>
      <xdr:nvPicPr>
        <xdr:cNvPr id="355" name="Image 354" descr="http://ib.adnxs.com/seg?add=2491894:99&amp;t=2">
          <a:extLst>
            <a:ext uri="{FF2B5EF4-FFF2-40B4-BE49-F238E27FC236}">
              <a16:creationId xmlns:a16="http://schemas.microsoft.com/office/drawing/2014/main" id="{00000000-0008-0000-5C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105</xdr:row>
      <xdr:rowOff>0</xdr:rowOff>
    </xdr:from>
    <xdr:ext cx="9525" cy="9525"/>
    <xdr:pic>
      <xdr:nvPicPr>
        <xdr:cNvPr id="356" name="Image 355" descr="http://ib.adnxs.com/seg?add=:NaN&amp;t=2">
          <a:extLst>
            <a:ext uri="{FF2B5EF4-FFF2-40B4-BE49-F238E27FC236}">
              <a16:creationId xmlns:a16="http://schemas.microsoft.com/office/drawing/2014/main" id="{00000000-0008-0000-5C00-00006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105</xdr:row>
      <xdr:rowOff>0</xdr:rowOff>
    </xdr:from>
    <xdr:ext cx="9525" cy="9525"/>
    <xdr:pic>
      <xdr:nvPicPr>
        <xdr:cNvPr id="357"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105</xdr:row>
      <xdr:rowOff>0</xdr:rowOff>
    </xdr:from>
    <xdr:ext cx="9525" cy="9525"/>
    <xdr:pic>
      <xdr:nvPicPr>
        <xdr:cNvPr id="358" name="Image 357" descr="http://ib.adnxs.com/seg?add=2491894:99&amp;t=2">
          <a:extLst>
            <a:ext uri="{FF2B5EF4-FFF2-40B4-BE49-F238E27FC236}">
              <a16:creationId xmlns:a16="http://schemas.microsoft.com/office/drawing/2014/main" id="{00000000-0008-0000-5C00-00006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106</xdr:row>
      <xdr:rowOff>0</xdr:rowOff>
    </xdr:from>
    <xdr:ext cx="45719" cy="45719"/>
    <xdr:pic>
      <xdr:nvPicPr>
        <xdr:cNvPr id="359" name="Image 358" descr="http://ib.adnxs.com/seg?add=:NaN&amp;t=2">
          <a:extLst>
            <a:ext uri="{FF2B5EF4-FFF2-40B4-BE49-F238E27FC236}">
              <a16:creationId xmlns:a16="http://schemas.microsoft.com/office/drawing/2014/main" id="{00000000-0008-0000-5C00-000067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2431375"/>
          <a:ext cx="45719" cy="457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106</xdr:row>
      <xdr:rowOff>0</xdr:rowOff>
    </xdr:from>
    <xdr:ext cx="9525" cy="9525"/>
    <xdr:pic>
      <xdr:nvPicPr>
        <xdr:cNvPr id="360"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106</xdr:row>
      <xdr:rowOff>0</xdr:rowOff>
    </xdr:from>
    <xdr:ext cx="9525" cy="9525"/>
    <xdr:pic>
      <xdr:nvPicPr>
        <xdr:cNvPr id="361" name="Image 360" descr="http://ib.adnxs.com/seg?add=2491894:99&amp;t=2">
          <a:extLst>
            <a:ext uri="{FF2B5EF4-FFF2-40B4-BE49-F238E27FC236}">
              <a16:creationId xmlns:a16="http://schemas.microsoft.com/office/drawing/2014/main" id="{00000000-0008-0000-5C00-00006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107</xdr:row>
      <xdr:rowOff>0</xdr:rowOff>
    </xdr:from>
    <xdr:ext cx="9525" cy="9525"/>
    <xdr:pic>
      <xdr:nvPicPr>
        <xdr:cNvPr id="362" name="Image 361" descr="http://ib.adnxs.com/seg?add=:NaN&amp;t=2">
          <a:extLst>
            <a:ext uri="{FF2B5EF4-FFF2-40B4-BE49-F238E27FC236}">
              <a16:creationId xmlns:a16="http://schemas.microsoft.com/office/drawing/2014/main" id="{00000000-0008-0000-5C00-00006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107</xdr:row>
      <xdr:rowOff>0</xdr:rowOff>
    </xdr:from>
    <xdr:ext cx="9525" cy="9525"/>
    <xdr:pic>
      <xdr:nvPicPr>
        <xdr:cNvPr id="363"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107</xdr:row>
      <xdr:rowOff>0</xdr:rowOff>
    </xdr:from>
    <xdr:ext cx="9525" cy="9525"/>
    <xdr:pic>
      <xdr:nvPicPr>
        <xdr:cNvPr id="364" name="Image 363" descr="http://ib.adnxs.com/seg?add=2491894:99&amp;t=2">
          <a:extLst>
            <a:ext uri="{FF2B5EF4-FFF2-40B4-BE49-F238E27FC236}">
              <a16:creationId xmlns:a16="http://schemas.microsoft.com/office/drawing/2014/main" id="{00000000-0008-0000-5C00-00006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108</xdr:row>
      <xdr:rowOff>0</xdr:rowOff>
    </xdr:from>
    <xdr:ext cx="9525" cy="9525"/>
    <xdr:pic>
      <xdr:nvPicPr>
        <xdr:cNvPr id="365" name="Image 364" descr="http://ib.adnxs.com/seg?add=:NaN&amp;t=2">
          <a:extLst>
            <a:ext uri="{FF2B5EF4-FFF2-40B4-BE49-F238E27FC236}">
              <a16:creationId xmlns:a16="http://schemas.microsoft.com/office/drawing/2014/main" id="{00000000-0008-0000-5C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203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xdr:colOff>
      <xdr:row>108</xdr:row>
      <xdr:rowOff>0</xdr:rowOff>
    </xdr:from>
    <xdr:ext cx="9525" cy="9525"/>
    <xdr:pic>
      <xdr:nvPicPr>
        <xdr:cNvPr id="366" name="imgTa_1075968913332225163" descr="http://its.tradelab.fr/?type=imp&amp;cnt=0&amp;location=http%3A%2F%2Fwww.commentcamarche.net%2Fforum%2Faffich-10795164-excel-resultat-negatif-egale-a-zero&amp;ua=Mozilla%2F5.0%20(Windows%20NT%206.1%3B%20WOW64%3B%20Trident%2F7.0%3B%20SLCC2%3B%20.NET%20CLR%202.0.50727%3B%20.NET%20CLR%203.5.30729%3B%20.NET%20CLR%203.0.30729%3B%20Media%20Center%20PC%206.0%3B%20.NET4.0C%3B%20AlexaToolbar%2Famzni-3.0%3B%20.NET4.0E%3B%20InfoPath.3%3B%20GWX%3AQUALIFIED%3B%20rv%3A11.0)%20like%20Gecko&amp;it=1448916081&amp;advid=346414&amp;lineid=2414709&amp;cpgid=10837529&amp;aucid=1075968913332225163&amp;plid=1201498&amp;creid=37761548&amp;ecp=2.905&amp;rpce=0.2113&amp;sfq=-1&amp;age=0&amp;gnd=u&amp;pce=0.31917&amp;rurl=&amp;bid=1.278124&amp;inv=&amp;uuid2=179535349271941099&amp;uip=82.240.30.0&amp;zip=78000&amp;afq=0&amp;rmk=0&amp;seg=&amp;city=Versailles&amp;state=FR%3AA8&amp;seller=1608&amp;site=321096&amp;pub=&amp;sz=300x250">
          <a:extLst>
            <a:ext uri="{FF2B5EF4-FFF2-40B4-BE49-F238E27FC236}">
              <a16:creationId xmlns:a16="http://schemas.microsoft.com/office/drawing/2014/main" id="{00000000-0008-0000-5C00-00006E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3942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38100</xdr:colOff>
      <xdr:row>108</xdr:row>
      <xdr:rowOff>0</xdr:rowOff>
    </xdr:from>
    <xdr:ext cx="9525" cy="9525"/>
    <xdr:pic>
      <xdr:nvPicPr>
        <xdr:cNvPr id="367" name="Image 366" descr="http://ib.adnxs.com/seg?add=2491894:99&amp;t=2">
          <a:extLst>
            <a:ext uri="{FF2B5EF4-FFF2-40B4-BE49-F238E27FC236}">
              <a16:creationId xmlns:a16="http://schemas.microsoft.com/office/drawing/2014/main" id="{00000000-0008-0000-5C00-00006F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8475" y="21212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4.xml><?xml version="1.0" encoding="utf-8"?>
<xdr:wsDr xmlns:xdr="http://schemas.openxmlformats.org/drawingml/2006/spreadsheetDrawing" xmlns:a="http://schemas.openxmlformats.org/drawingml/2006/main">
  <xdr:twoCellAnchor editAs="oneCell">
    <xdr:from>
      <xdr:col>13</xdr:col>
      <xdr:colOff>203487</xdr:colOff>
      <xdr:row>0</xdr:row>
      <xdr:rowOff>76200</xdr:rowOff>
    </xdr:from>
    <xdr:to>
      <xdr:col>13</xdr:col>
      <xdr:colOff>572365</xdr:colOff>
      <xdr:row>2</xdr:row>
      <xdr:rowOff>32040</xdr:rowOff>
    </xdr:to>
    <xdr:pic macro="[0]!InscripToDO">
      <xdr:nvPicPr>
        <xdr:cNvPr id="12" name="Image 11" descr="https://cdn2.iconfinder.com/data/icons/picons-essentials/57/checklist-512.png">
          <a:extLst>
            <a:ext uri="{FF2B5EF4-FFF2-40B4-BE49-F238E27FC236}">
              <a16:creationId xmlns:a16="http://schemas.microsoft.com/office/drawing/2014/main" id="{00000000-0008-0000-5D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7862" y="76200"/>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131618</xdr:colOff>
      <xdr:row>2</xdr:row>
      <xdr:rowOff>64756</xdr:rowOff>
    </xdr:to>
    <xdr:pic>
      <xdr:nvPicPr>
        <xdr:cNvPr id="8" name="Picture 3">
          <a:hlinkClick xmlns:r="http://schemas.openxmlformats.org/officeDocument/2006/relationships" r:id="rId2"/>
          <a:extLst>
            <a:ext uri="{FF2B5EF4-FFF2-40B4-BE49-F238E27FC236}">
              <a16:creationId xmlns:a16="http://schemas.microsoft.com/office/drawing/2014/main" id="{00000000-0008-0000-5D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2</xdr:col>
      <xdr:colOff>160193</xdr:colOff>
      <xdr:row>0</xdr:row>
      <xdr:rowOff>76199</xdr:rowOff>
    </xdr:from>
    <xdr:to>
      <xdr:col>2</xdr:col>
      <xdr:colOff>511752</xdr:colOff>
      <xdr:row>2</xdr:row>
      <xdr:rowOff>12122</xdr:rowOff>
    </xdr:to>
    <xdr:pic>
      <xdr:nvPicPr>
        <xdr:cNvPr id="9" name="Image 8"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D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511753</xdr:colOff>
      <xdr:row>0</xdr:row>
      <xdr:rowOff>76199</xdr:rowOff>
    </xdr:from>
    <xdr:to>
      <xdr:col>2</xdr:col>
      <xdr:colOff>859999</xdr:colOff>
      <xdr:row>2</xdr:row>
      <xdr:rowOff>12122</xdr:rowOff>
    </xdr:to>
    <xdr:pic>
      <xdr:nvPicPr>
        <xdr:cNvPr id="10" name="Image 9" descr="http://www.zigomatik.org/wp-content/uploads/2014/01/PENDULE.jpg">
          <a:hlinkClick xmlns:r="http://schemas.openxmlformats.org/officeDocument/2006/relationships" r:id="rId6"/>
          <a:extLst>
            <a:ext uri="{FF2B5EF4-FFF2-40B4-BE49-F238E27FC236}">
              <a16:creationId xmlns:a16="http://schemas.microsoft.com/office/drawing/2014/main" id="{00000000-0008-0000-5D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13</xdr:col>
      <xdr:colOff>213012</xdr:colOff>
      <xdr:row>0</xdr:row>
      <xdr:rowOff>66675</xdr:rowOff>
    </xdr:from>
    <xdr:to>
      <xdr:col>13</xdr:col>
      <xdr:colOff>581890</xdr:colOff>
      <xdr:row>2</xdr:row>
      <xdr:rowOff>22515</xdr:rowOff>
    </xdr:to>
    <xdr:pic macro="[0]!InscripToDO">
      <xdr:nvPicPr>
        <xdr:cNvPr id="14" name="Image 13" descr="https://cdn2.iconfinder.com/data/icons/picons-essentials/57/checklist-512.png">
          <a:extLst>
            <a:ext uri="{FF2B5EF4-FFF2-40B4-BE49-F238E27FC236}">
              <a16:creationId xmlns:a16="http://schemas.microsoft.com/office/drawing/2014/main" id="{00000000-0008-0000-5E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5587" y="66675"/>
          <a:ext cx="368878" cy="37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588818</xdr:colOff>
      <xdr:row>2</xdr:row>
      <xdr:rowOff>64756</xdr:rowOff>
    </xdr:to>
    <xdr:pic>
      <xdr:nvPicPr>
        <xdr:cNvPr id="6" name="Picture 3">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350818" cy="483856"/>
        </a:xfrm>
        <a:prstGeom prst="rect">
          <a:avLst/>
        </a:prstGeom>
        <a:noFill/>
        <a:ln w="9525">
          <a:noFill/>
          <a:miter lim="800000"/>
          <a:headEnd/>
          <a:tailEnd/>
        </a:ln>
      </xdr:spPr>
    </xdr:pic>
    <xdr:clientData/>
  </xdr:twoCellAnchor>
  <xdr:twoCellAnchor editAs="oneCell">
    <xdr:from>
      <xdr:col>1</xdr:col>
      <xdr:colOff>617393</xdr:colOff>
      <xdr:row>0</xdr:row>
      <xdr:rowOff>76199</xdr:rowOff>
    </xdr:from>
    <xdr:to>
      <xdr:col>2</xdr:col>
      <xdr:colOff>206952</xdr:colOff>
      <xdr:row>2</xdr:row>
      <xdr:rowOff>12122</xdr:rowOff>
    </xdr:to>
    <xdr:pic>
      <xdr:nvPicPr>
        <xdr:cNvPr id="7" name="Image 6" descr="http://newhaventech.com/wp-content/uploads/2012/11/Direction-sign.png">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9393" y="76199"/>
          <a:ext cx="351559"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206953</xdr:colOff>
      <xdr:row>0</xdr:row>
      <xdr:rowOff>76199</xdr:rowOff>
    </xdr:from>
    <xdr:to>
      <xdr:col>2</xdr:col>
      <xdr:colOff>555199</xdr:colOff>
      <xdr:row>2</xdr:row>
      <xdr:rowOff>12122</xdr:rowOff>
    </xdr:to>
    <xdr:pic>
      <xdr:nvPicPr>
        <xdr:cNvPr id="9" name="Image 8" descr="http://www.zigomatik.org/wp-content/uploads/2014/01/PENDULE.jpg">
          <a:hlinkClick xmlns:r="http://schemas.openxmlformats.org/officeDocument/2006/relationships" r:id="rId6"/>
          <a:extLst>
            <a:ext uri="{FF2B5EF4-FFF2-40B4-BE49-F238E27FC236}">
              <a16:creationId xmlns:a16="http://schemas.microsoft.com/office/drawing/2014/main" id="{00000000-0008-0000-5E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30953" y="76199"/>
          <a:ext cx="348246" cy="3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6.xml><?xml version="1.0" encoding="utf-8"?>
<xdr:wsDr xmlns:xdr="http://schemas.openxmlformats.org/drawingml/2006/spreadsheetDrawing" xmlns:a="http://schemas.openxmlformats.org/drawingml/2006/main">
  <xdr:absoluteAnchor>
    <xdr:pos x="0" y="0"/>
    <xdr:ext cx="9298983" cy="6078242"/>
    <xdr:graphicFrame macro="">
      <xdr:nvGraphicFramePr>
        <xdr:cNvPr id="2" name="Graphique 1">
          <a:extLst>
            <a:ext uri="{FF2B5EF4-FFF2-40B4-BE49-F238E27FC236}">
              <a16:creationId xmlns:a16="http://schemas.microsoft.com/office/drawing/2014/main" id="{00000000-0008-0000-5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xdr:wsDr xmlns:xdr="http://schemas.openxmlformats.org/drawingml/2006/spreadsheetDrawing" xmlns:a="http://schemas.openxmlformats.org/drawingml/2006/main">
  <xdr:absoluteAnchor>
    <xdr:pos x="0" y="0"/>
    <xdr:ext cx="9298983" cy="6078242"/>
    <xdr:graphicFrame macro="">
      <xdr:nvGraphicFramePr>
        <xdr:cNvPr id="2" name="Graphique 1">
          <a:extLst>
            <a:ext uri="{FF2B5EF4-FFF2-40B4-BE49-F238E27FC236}">
              <a16:creationId xmlns:a16="http://schemas.microsoft.com/office/drawing/2014/main" id="{00000000-0008-0000-6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xdr:wsDr xmlns:xdr="http://schemas.openxmlformats.org/drawingml/2006/spreadsheetDrawing" xmlns:a="http://schemas.openxmlformats.org/drawingml/2006/main">
  <xdr:absoluteAnchor>
    <xdr:pos x="0" y="0"/>
    <xdr:ext cx="9296797" cy="6072188"/>
    <xdr:graphicFrame macro="">
      <xdr:nvGraphicFramePr>
        <xdr:cNvPr id="2" name="Graphique 1">
          <a:extLst>
            <a:ext uri="{FF2B5EF4-FFF2-40B4-BE49-F238E27FC236}">
              <a16:creationId xmlns:a16="http://schemas.microsoft.com/office/drawing/2014/main" id="{00000000-0008-0000-6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9.xml><?xml version="1.0" encoding="utf-8"?>
<xdr:wsDr xmlns:xdr="http://schemas.openxmlformats.org/drawingml/2006/spreadsheetDrawing" xmlns:a="http://schemas.openxmlformats.org/drawingml/2006/main">
  <xdr:absoluteAnchor>
    <xdr:pos x="0" y="0"/>
    <xdr:ext cx="9292167" cy="6064250"/>
    <xdr:graphicFrame macro="">
      <xdr:nvGraphicFramePr>
        <xdr:cNvPr id="2" name="Graphique 1">
          <a:extLst>
            <a:ext uri="{FF2B5EF4-FFF2-40B4-BE49-F238E27FC236}">
              <a16:creationId xmlns:a16="http://schemas.microsoft.com/office/drawing/2014/main" id="{00000000-0008-0000-6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20C/OneDrive%20-%20PAD%20Consulting/PAD%20-%20Partners%20&amp;%20Alliance%20Development/PAD%20BUSINESS/Clients%20PAD/Equinix/Workshop/Workshop%20Equinix%206avril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20C/Dropbox/PAD%20-%20Partners%20&amp;%20Alliance%20Development/PAD%20BUSINESS/Clients%20PAD/Equinix/Copie%20de%20Workshop%20Equinix%20JLM%20(Enregistr&#233;%20automatiquemen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heBoss/Dropbox/03_WorkInProgress/000_Consulting/030_PAD/ELOB%20SMW%20R&#233;f&#233;rence%203rd%20V1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SUMMARY"/>
      <sheetName val="CHRONO"/>
      <sheetName val="00-ACTORS"/>
      <sheetName val="POSITIONING-OFR1"/>
      <sheetName val="SWOT"/>
      <sheetName val="EXPECTATIONS"/>
      <sheetName val="Graph Expectations"/>
      <sheetName val="ASSESMENT"/>
      <sheetName val="VISION"/>
      <sheetName val="BUSINESSCARD"/>
      <sheetName val="Graph BIC"/>
      <sheetName val="INTERLOCUTORS"/>
      <sheetName val="CRITICITY"/>
      <sheetName val="COMPETITION"/>
      <sheetName val="CHANNELREADY"/>
      <sheetName val="Radar Channel ready"/>
      <sheetName val="MARKETSPECIFICITIES"/>
      <sheetName val="SECTORMARKET"/>
      <sheetName val="DOMESTICMARKET"/>
      <sheetName val="FOREIGNMARKET"/>
      <sheetName val="TYPOPARTNER"/>
      <sheetName val="PROFILPARTNER"/>
      <sheetName val="SALESPLAN"/>
      <sheetName val="Graph Plan de vente"/>
      <sheetName val="Graph New biz 3 ans"/>
      <sheetName val="Graph CA  indirect 3 ans "/>
      <sheetName val="Graph recrutement par channel"/>
      <sheetName val="FASTSTART"/>
      <sheetName val="10-BUDGETPROGRAM-OFR2"/>
      <sheetName val="10-BUDGETPROGRAM-OFR3"/>
      <sheetName val="PARTNERSALESKIT"/>
      <sheetName val="05-CHANNELTEAM-OFR2"/>
      <sheetName val="05-CHANNELTEAM-OFR3"/>
      <sheetName val="02-CHANNELCAPACITY-LIC-OFR1"/>
      <sheetName val="PRICINGSTRATEGY"/>
      <sheetName val="10-PARTNERSALESKIT-OFR2"/>
      <sheetName val="10-PARTNERSALESKIT-OFR3"/>
      <sheetName val="PROGRAMPARTNER"/>
      <sheetName val="BUDGETPROGRAM"/>
      <sheetName val="Graph Budget"/>
      <sheetName val="03-BUSINESSCARD-OFR2"/>
      <sheetName val="03-MARKETREADY-OFR2"/>
      <sheetName val="03-POSITIONING-OFR2"/>
      <sheetName val="03-CRITICITY-OFR2"/>
      <sheetName val="03-COMPETITION-OFR2"/>
      <sheetName val="03-CHANNELREADY-OFR2"/>
      <sheetName val="04-SECTORMARKET-OFR2"/>
      <sheetName val="04-DOMESTICMARKET-OFR2"/>
      <sheetName val="04-FOREIGNMARKET-OFR2"/>
      <sheetName val="06-TYPOPARTNER-OFR2"/>
      <sheetName val="06-RESPONSABPARTNER-OFR2"/>
      <sheetName val="06-PROFILPARTNER-OFR2"/>
      <sheetName val="08-VALUEAD4PARTNER-OFR2"/>
      <sheetName val="07-RECRUITMENTPLAN-OFR2"/>
      <sheetName val="02-SALESPLAN-OFR2"/>
      <sheetName val="02-BUSINESS4PARTNER-OFR2"/>
      <sheetName val="02-CHANNELCAPACITY-SAAS-OFR2"/>
      <sheetName val="02-CHANNELCAPACITY-LIC-OFR2"/>
      <sheetName val="09-PROFITPARTNER-OFR2"/>
      <sheetName val="10-LEADSCOVERAGE-OFR2"/>
      <sheetName val="03-BUSINESSCARD-OFR3"/>
      <sheetName val="09-PROFITPARTNER-OFR3"/>
      <sheetName val="03-MARKETREADY-OFR3"/>
      <sheetName val="03-POSITIONING-OFR3"/>
      <sheetName val="03-CRITICITY-OFR3"/>
      <sheetName val="03-COMPETITION-OFR3"/>
      <sheetName val="03-CHANNELREADY-OFR3"/>
      <sheetName val="04-SECTORMARKET-OFR3"/>
      <sheetName val="04-FOREIGNMARKET-OFR3"/>
      <sheetName val="04-DOMESTICMARKET-OFR3"/>
      <sheetName val="06-TYPOPARTNER-OFR3"/>
      <sheetName val="06-RESPONSABPARTNER-OFR3"/>
      <sheetName val="06-PROFILPARTNER-OFR3"/>
      <sheetName val="07-RECRUITMENTPLAN-OFR3"/>
      <sheetName val="10-LEADSCOVERAGE-OFR3"/>
      <sheetName val="08-VALUEAD4PARTNER-OFR3"/>
      <sheetName val="02-SALESPLAN-OFR3"/>
      <sheetName val="02-BUSINESS4PARTNER-OFR3"/>
      <sheetName val="02-CHANNELCAPACITY-SAAS-OFR3"/>
      <sheetName val="02-CHANNELCAPACITY-LIC-OFR3"/>
      <sheetName val="TODO"/>
      <sheetName val="GOVERNANCE"/>
      <sheetName val="CRITICALFACTORS"/>
      <sheetName val="12- Graph Critical factors"/>
      <sheetName val="00-PARAMETERS"/>
      <sheetName val="Parametre"/>
      <sheetName val="12-SWOT"/>
      <sheetName val="02-CHANNELSTRATEGY"/>
      <sheetName val="06-RESPONSABPARTNER-OFR1"/>
      <sheetName val="03-MARKETREADY-OFR1"/>
      <sheetName val="Martg Ready"/>
      <sheetName val="02-CHANNELCAPACITY-SAAS-OFR1"/>
      <sheetName val="02-BUSINESS4PARTNER-OFR1"/>
      <sheetName val="07-RECRUITMENTPLAN-OFR1"/>
      <sheetName val="Graph New biz par canal"/>
      <sheetName val="Graph No partenaires 3 ans "/>
      <sheetName val="Graph CA des Partenaires"/>
      <sheetName val="Graph Plan de recrutement 3 ans"/>
      <sheetName val="05-GOTOMARKET"/>
      <sheetName val="05-CHANNELTEAM-OFR1"/>
      <sheetName val="08-VALUEAD4PARTNER-OFR1"/>
      <sheetName val="Value Add 1"/>
      <sheetName val="Value Add 2"/>
      <sheetName val="Value Add 3"/>
      <sheetName val="09-PROFITPARTNER-OFR1"/>
      <sheetName val="Graph Profitabilité partenaire"/>
      <sheetName val="10-LEADSCOVERAGE-OFR1"/>
      <sheetName val="08-DISCOUNTSTRATEGY"/>
      <sheetName val="05-SOURCECONFLICT"/>
      <sheetName val="Graph Conflits"/>
      <sheetName val="11-KPIsFOLLOWUP"/>
      <sheetName val="11-GUIDE4VALUEPROP"/>
      <sheetName val="INPROGRESS"/>
      <sheetName val="Feuil1"/>
      <sheetName val="Feuil2"/>
      <sheetName val="Workshop Equinix 6avril17"/>
    </sheetNames>
    <definedNames>
      <definedName name="InscripToDO"/>
    </definedNames>
    <sheetDataSet>
      <sheetData sheetId="0"/>
      <sheetData sheetId="1"/>
      <sheetData sheetId="2"/>
      <sheetData sheetId="3">
        <row r="8">
          <cell r="A8" t="str">
            <v>RCA</v>
          </cell>
        </row>
        <row r="9">
          <cell r="A9" t="str">
            <v>FMA</v>
          </cell>
        </row>
        <row r="10">
          <cell r="A10" t="str">
            <v>YTA</v>
          </cell>
        </row>
        <row r="11">
          <cell r="A11" t="str">
            <v>SGA</v>
          </cell>
        </row>
        <row r="12">
          <cell r="A12" t="str">
            <v>ABE</v>
          </cell>
        </row>
        <row r="13">
          <cell r="A13" t="str">
            <v>JGO</v>
          </cell>
        </row>
        <row r="14">
          <cell r="A14"/>
        </row>
      </sheetData>
      <sheetData sheetId="4"/>
      <sheetData sheetId="5"/>
      <sheetData sheetId="6"/>
      <sheetData sheetId="7" refreshError="1"/>
      <sheetData sheetId="8"/>
      <sheetData sheetId="9"/>
      <sheetData sheetId="10"/>
      <sheetData sheetId="11" refreshError="1"/>
      <sheetData sheetId="12"/>
      <sheetData sheetId="13">
        <row r="32">
          <cell r="A32" t="str">
            <v>Slide "solution": mettez en avant vos différenciateurs et surtout vos singularités</v>
          </cell>
        </row>
        <row r="42">
          <cell r="A42"/>
        </row>
      </sheetData>
      <sheetData sheetId="14">
        <row r="56">
          <cell r="A56" t="str">
            <v>voir guide</v>
          </cell>
        </row>
        <row r="63">
          <cell r="A63" t="str">
            <v xml:space="preserve">Reprendre le tableau 1 fois par an </v>
          </cell>
        </row>
      </sheetData>
      <sheetData sheetId="15"/>
      <sheetData sheetId="16" refreshError="1"/>
      <sheetData sheetId="17"/>
      <sheetData sheetId="18">
        <row r="24">
          <cell r="A24" t="str">
            <v>Slide: "les cibles marchés " : Marchés prioritaires, Marchés à ouvrir</v>
          </cell>
        </row>
        <row r="30">
          <cell r="A30" t="str">
            <v xml:space="preserve">Ventilation des partenaires par marché. 1 fois par an </v>
          </cell>
        </row>
      </sheetData>
      <sheetData sheetId="19">
        <row r="25">
          <cell r="A25" t="str">
            <v>Idem que précédent</v>
          </cell>
        </row>
        <row r="31">
          <cell r="A31" t="str">
            <v>idem que précédent</v>
          </cell>
        </row>
      </sheetData>
      <sheetData sheetId="20">
        <row r="23">
          <cell r="A23" t="str">
            <v>Marchés prioritaires
Marchés à ouvrir</v>
          </cell>
        </row>
        <row r="29">
          <cell r="A29" t="str">
            <v>Marchés prioritaires
Marchés à ouvrir</v>
          </cell>
        </row>
      </sheetData>
      <sheetData sheetId="21">
        <row r="29">
          <cell r="A29" t="str">
            <v xml:space="preserve">Slide "type de partenaires ". Les partenaires qui ont une VA correspondant aux attentes du marché. </v>
          </cell>
        </row>
        <row r="36">
          <cell r="A36"/>
        </row>
      </sheetData>
      <sheetData sheetId="22">
        <row r="108">
          <cell r="A108" t="str">
            <v xml:space="preserve">Slide "types de partenaires" et slide "critères de recrutement" </v>
          </cell>
        </row>
        <row r="114">
          <cell r="A114" t="str">
            <v>Mesurer le gap entre les partenaires réels et les partenaires idéaux . Tous les 6 mois après 12 mois</v>
          </cell>
        </row>
      </sheetData>
      <sheetData sheetId="23"/>
      <sheetData sheetId="24" refreshError="1"/>
      <sheetData sheetId="25" refreshError="1"/>
      <sheetData sheetId="26" refreshError="1"/>
      <sheetData sheetId="27" refreshError="1"/>
      <sheetData sheetId="28"/>
      <sheetData sheetId="29">
        <row r="68">
          <cell r="A68" t="str">
            <v>Pas nécessaire à insérer dans la proposition de valeur. Par contre, fondamental pour calculer la rentabilité du programme partenaire</v>
          </cell>
        </row>
        <row r="74">
          <cell r="A74" t="str">
            <v xml:space="preserve">Reprendre le tableau des key metrics qui donne le point mort </v>
          </cell>
        </row>
      </sheetData>
      <sheetData sheetId="30">
        <row r="68">
          <cell r="A68" t="str">
            <v>Pas nécessaire à insérer dans la proposition de valeur. Par contre, fondamental pour calculer la rentabilité du programme partenaire</v>
          </cell>
        </row>
        <row r="74">
          <cell r="A74" t="str">
            <v xml:space="preserve">Reprendre le tableau des key metrics qui donne le point mort </v>
          </cell>
        </row>
      </sheetData>
      <sheetData sheetId="31"/>
      <sheetData sheetId="32">
        <row r="16">
          <cell r="A16" t="str">
            <v>Des frontières et territoires clairs pour éviter les conflits de canaux
Des champions par secteur</v>
          </cell>
        </row>
        <row r="22">
          <cell r="A22" t="str">
            <v>Voir radar des conflits de canaux</v>
          </cell>
        </row>
      </sheetData>
      <sheetData sheetId="33">
        <row r="16">
          <cell r="A16" t="str">
            <v>Des frontières et territoires clairs pour éviter les conflits de canaux
Des champions par secteur</v>
          </cell>
        </row>
        <row r="22">
          <cell r="A22" t="str">
            <v>Voir radar des conflits de canaux</v>
          </cell>
        </row>
      </sheetData>
      <sheetData sheetId="34"/>
      <sheetData sheetId="35">
        <row r="59">
          <cell r="A59" t="str">
            <v xml:space="preserve">Expliquer la cohérence de votre stratégie de prix, son architecture, ses points forts, ses différenciateurs, </v>
          </cell>
        </row>
        <row r="65">
          <cell r="A65" t="str">
            <v>analyse concurrence , analyse affaires perdues à cause des prix</v>
          </cell>
        </row>
      </sheetData>
      <sheetData sheetId="36">
        <row r="84">
          <cell r="A84" t="str">
            <v>Engagements et investissements réciproques, dans la durée, pour une relation gagnant-gagnant 
Engagements du partenaires sur les résultats et les moyens
Engagements de l'éditeur sur les moyens ( ie, infrastructure extranet ) et le suivi régulier</v>
          </cell>
        </row>
        <row r="90">
          <cell r="A90" t="str">
            <v>Le respect du planning
L'efficacité des outils 
Le budget</v>
          </cell>
        </row>
      </sheetData>
      <sheetData sheetId="37">
        <row r="84">
          <cell r="A84" t="str">
            <v>Engagements et investissements réciproques, dans la durée, pour une relation gagnant-gagnant 
Engagements du partenaires sur les résultats et les moyens
Engagements de l'éditeur sur les moyens ( ie, infrastructure extranet ) et le suivi régulier</v>
          </cell>
        </row>
        <row r="90">
          <cell r="A90" t="str">
            <v>Le respect du planning
L'efficacité des outils 
Le budget</v>
          </cell>
        </row>
      </sheetData>
      <sheetData sheetId="38"/>
      <sheetData sheetId="39">
        <row r="59">
          <cell r="A59" t="str">
            <v>Pas nécessaire à insérer dans la proposition de valeur. Par contre, fondamental pour calculer la rentabilité du programme partenaire</v>
          </cell>
        </row>
        <row r="65">
          <cell r="A65" t="str">
            <v xml:space="preserve">Reprendre le tableau des key metrics qui donne le point mort </v>
          </cell>
        </row>
      </sheetData>
      <sheetData sheetId="40" refreshError="1"/>
      <sheetData sheetId="41">
        <row r="102">
          <cell r="A102" t="str">
            <v xml:space="preserve">Démontrer l'opportunité de business sur une affaire moyenne: CA total, CA pour le partenaire, commissions versées et CA récurrent . 
Démontrer les caractéristiques du cycle commercial </v>
          </cell>
        </row>
        <row r="109">
          <cell r="A109" t="str">
            <v>Panier moyen client 
Pourcentage CA Partenaire / CA fournisseur</v>
          </cell>
        </row>
      </sheetData>
      <sheetData sheetId="42">
        <row r="68">
          <cell r="A68" t="str">
            <v>Répond à un besoin critique 
Parfaite maîtrise technique
Solution parfaitement intégrée avec les ERPs</v>
          </cell>
        </row>
        <row r="75">
          <cell r="A75" t="str">
            <v>Analyse des besoins / process achat / usage à afire auprès des clients</v>
          </cell>
        </row>
      </sheetData>
      <sheetData sheetId="43">
        <row r="26">
          <cell r="A26" t="str">
            <v>Argumentaire par interlocuteur</v>
          </cell>
        </row>
        <row r="36">
          <cell r="A36" t="str">
            <v>Faire l'exercice pour les différents interlocuteurs comemrciaux</v>
          </cell>
        </row>
      </sheetData>
      <sheetData sheetId="44">
        <row r="25">
          <cell r="A25" t="str">
            <v>Argumentaire par interlocuteur</v>
          </cell>
        </row>
        <row r="35">
          <cell r="A35" t="str">
            <v>Faire l'exercice pour les différents interlocuteurs comemrciaux</v>
          </cell>
        </row>
      </sheetData>
      <sheetData sheetId="45">
        <row r="56">
          <cell r="A56" t="str">
            <v>Reprendre les points forts, les différenciateurs et surtout les singularités
Bon taux de signature</v>
          </cell>
        </row>
        <row r="63">
          <cell r="A63" t="str">
            <v>Tableau d'Analyse de la concurrence 1 fois par an . A partager avec les partenaires. Reprendre le tableau</v>
          </cell>
        </row>
      </sheetData>
      <sheetData sheetId="46">
        <row r="90">
          <cell r="A90" t="str">
            <v xml:space="preserve">Slide </v>
          </cell>
        </row>
        <row r="98">
          <cell r="A98" t="str">
            <v>Reprendre les notes faibles &lt; 6</v>
          </cell>
        </row>
      </sheetData>
      <sheetData sheetId="47">
        <row r="25">
          <cell r="A25" t="str">
            <v>Marchés prioritaires
Marchés à ouvrir</v>
          </cell>
        </row>
        <row r="31">
          <cell r="A31" t="str">
            <v>Ventilation des partenaires par marché</v>
          </cell>
        </row>
      </sheetData>
      <sheetData sheetId="48">
        <row r="23">
          <cell r="A23" t="str">
            <v>Idem que précédent</v>
          </cell>
        </row>
        <row r="29">
          <cell r="A29" t="str">
            <v>idem que précédent</v>
          </cell>
        </row>
      </sheetData>
      <sheetData sheetId="49">
        <row r="21">
          <cell r="A21" t="str">
            <v>Marchés prioritaires
Marchés à ouvrir</v>
          </cell>
        </row>
        <row r="27">
          <cell r="A27" t="str">
            <v>Marchés prioritaires
Marchés à ouvrir</v>
          </cell>
        </row>
      </sheetData>
      <sheetData sheetId="50">
        <row r="31">
          <cell r="A31" t="str">
            <v>Priorité aux éditeurs de solutions complémentaires en mode OEM</v>
          </cell>
        </row>
        <row r="38">
          <cell r="A38"/>
        </row>
      </sheetData>
      <sheetData sheetId="51">
        <row r="33">
          <cell r="A33"/>
        </row>
        <row r="39">
          <cell r="A39" t="str">
            <v>Coût de support avant-vente et après-vente par partenaire</v>
          </cell>
        </row>
      </sheetData>
      <sheetData sheetId="52">
        <row r="111">
          <cell r="A111"/>
        </row>
        <row r="117">
          <cell r="A117" t="str">
            <v>kkkkkkkkkkkkkkkkkkkkkkkkkkkkkkkkkkkkkkkk</v>
          </cell>
        </row>
      </sheetData>
      <sheetData sheetId="53">
        <row r="49">
          <cell r="A49" t="str">
            <v>Easy to do business + Opportunités de développement pour les partenaires</v>
          </cell>
        </row>
        <row r="55">
          <cell r="A55" t="str">
            <v>Attractivité de l'offre : 5,81 sur 10
Le radar</v>
          </cell>
        </row>
      </sheetData>
      <sheetData sheetId="54">
        <row r="32">
          <cell r="A32" t="str">
            <v>35 Partenaires actifs soit un recrutement de 50 à 60 
Le nombre de partenaires actuels et à recruter
Les engagements des partenaires</v>
          </cell>
        </row>
        <row r="38">
          <cell r="A38" t="str">
            <v>le nombre de partenaires et l'effort de recrutement</v>
          </cell>
        </row>
      </sheetData>
      <sheetData sheetId="55">
        <row r="161">
          <cell r="A161"/>
        </row>
        <row r="168">
          <cell r="A168" t="str">
            <v>Voir tableau du CA par canal de vente à 3 an</v>
          </cell>
        </row>
      </sheetData>
      <sheetData sheetId="56">
        <row r="123">
          <cell r="A123" t="str">
            <v>XX M€ mis sur le marché pour un nombre limité de partenaires
L'importance du Service pour les partenaires, principale source de leurs revenus</v>
          </cell>
        </row>
        <row r="130">
          <cell r="A130" t="str">
            <v>Tableau du CA service des partenaires. 
Par canal de vente, le rapport CA partenaire / CA fournisseur</v>
          </cell>
        </row>
      </sheetData>
      <sheetData sheetId="57">
        <row r="50">
          <cell r="A50"/>
        </row>
        <row r="57">
          <cell r="A57" t="str">
            <v>Voir le tableau ci-après</v>
          </cell>
        </row>
      </sheetData>
      <sheetData sheetId="58">
        <row r="51">
          <cell r="A51" t="str">
            <v>dddddddddd</v>
          </cell>
        </row>
        <row r="58">
          <cell r="A58" t="str">
            <v>Voir tableau ci-après</v>
          </cell>
        </row>
      </sheetData>
      <sheetData sheetId="59">
        <row r="162">
          <cell r="A162" t="str">
            <v xml:space="preserve">Point mort: à la xx° affaire
CA Total cumulé 3 ans: xxxM €
CA prestations partenaire 3 ans: xxxM€ 
Commissions touchées par le partenaire: xxx K 
Marge nette : xxx K
</v>
          </cell>
        </row>
        <row r="168">
          <cell r="A168" t="str">
            <v xml:space="preserve">Investissement initial partenaire
CA net par affaire partenaire
Coût de vente et marketing partenaire
Marge nette  partenaire
Pourcentage de business récurrent partenaire
</v>
          </cell>
        </row>
      </sheetData>
      <sheetData sheetId="60">
        <row r="20">
          <cell r="A20"/>
        </row>
        <row r="26">
          <cell r="A26"/>
        </row>
      </sheetData>
      <sheetData sheetId="61">
        <row r="103">
          <cell r="A103" t="str">
            <v xml:space="preserve">Démontrer l'opportunité de business sur une affaire moyenne: CA total, CA pour le partenaire, commissions versées et CA récurrent . 
Démontrer les caractéristiques du cycle commercial </v>
          </cell>
        </row>
        <row r="110">
          <cell r="A110" t="str">
            <v>Panier moyen client 
Pourcentage CA Partenaire / CA fournisseur</v>
          </cell>
        </row>
      </sheetData>
      <sheetData sheetId="62">
        <row r="160">
          <cell r="A160" t="str">
            <v xml:space="preserve">Point mort: à la xx° affaire
CA Total cumulé 3 ans: xxxM €
CA prestations partenaire 3 ans: xxxM€ 
Commissions touchées par le partenaire: xxx K 
Marge nette : xxx K
</v>
          </cell>
        </row>
        <row r="166">
          <cell r="A166" t="str">
            <v xml:space="preserve">Investissement initial partenaire
CA net par affaire partenaire
Coût de vente et marketing partenaire
Marge nette  partenaire
Pourcentage de business récurrent partenaire
</v>
          </cell>
        </row>
      </sheetData>
      <sheetData sheetId="63">
        <row r="68">
          <cell r="A68" t="str">
            <v>Répond à un besoin critique 
Parfaite maîtrise technique
Solution parfaitement intégrée avec les ERPs</v>
          </cell>
        </row>
        <row r="75">
          <cell r="A75" t="str">
            <v>Analyse des besoins / process achat / usage à afire auprès des clients</v>
          </cell>
        </row>
      </sheetData>
      <sheetData sheetId="64">
        <row r="26">
          <cell r="A26" t="str">
            <v>Argumentaire par interlocuteur</v>
          </cell>
        </row>
        <row r="36">
          <cell r="A36" t="str">
            <v>Faire l'exercice pour les différents interlocuteurs comemrciaux</v>
          </cell>
        </row>
      </sheetData>
      <sheetData sheetId="65">
        <row r="25">
          <cell r="A25" t="str">
            <v>Argumentaire par interlocuteur</v>
          </cell>
        </row>
        <row r="35">
          <cell r="A35" t="str">
            <v>Faire l'exercice pour les différents interlocuteurs comemrciaux</v>
          </cell>
        </row>
      </sheetData>
      <sheetData sheetId="66">
        <row r="56">
          <cell r="A56" t="str">
            <v>Reprendre les points forts, les différenciateurs et surtout les singularités
Bon taux de signature</v>
          </cell>
        </row>
        <row r="63">
          <cell r="A63" t="str">
            <v>Tableau d'Analyse de la concurrence 1 fois par an . A partager avec les partenaires. Reprendre le tableau</v>
          </cell>
        </row>
      </sheetData>
      <sheetData sheetId="67">
        <row r="90">
          <cell r="A90" t="str">
            <v>Slide avec points forts et singularités pour le partenaire</v>
          </cell>
        </row>
        <row r="98">
          <cell r="A98" t="str">
            <v>Reprendre les notes faibles &lt; 6</v>
          </cell>
        </row>
      </sheetData>
      <sheetData sheetId="68">
        <row r="25">
          <cell r="A25" t="str">
            <v>Marchés prioritaires
Marchés à ouvrir</v>
          </cell>
        </row>
        <row r="31">
          <cell r="A31" t="str">
            <v>Ventilation des partenaires par marché</v>
          </cell>
        </row>
      </sheetData>
      <sheetData sheetId="69">
        <row r="21">
          <cell r="A21" t="str">
            <v>Marchés prioritaires
Marchés à ouvrir</v>
          </cell>
        </row>
        <row r="27">
          <cell r="A27" t="str">
            <v>Marchés prioritaires
Marchés à ouvrir</v>
          </cell>
        </row>
      </sheetData>
      <sheetData sheetId="70">
        <row r="23">
          <cell r="A23" t="str">
            <v>Idem que précédent</v>
          </cell>
        </row>
        <row r="29">
          <cell r="A29" t="str">
            <v>idem que précédent</v>
          </cell>
        </row>
      </sheetData>
      <sheetData sheetId="71">
        <row r="31">
          <cell r="A31" t="str">
            <v>Priorité aux éditeurs de solutions complémentaires en mode OEM</v>
          </cell>
        </row>
        <row r="38">
          <cell r="A38"/>
        </row>
      </sheetData>
      <sheetData sheetId="72">
        <row r="33">
          <cell r="A33"/>
        </row>
        <row r="39">
          <cell r="A39" t="str">
            <v>Coût de support avant-vente et après-vente par partenaire</v>
          </cell>
        </row>
      </sheetData>
      <sheetData sheetId="73">
        <row r="29">
          <cell r="A29" t="str">
            <v>Les critères de recrutement</v>
          </cell>
        </row>
        <row r="35">
          <cell r="A35" t="str">
            <v>Profiling de chaque partenaire vs vos critères de recrutement</v>
          </cell>
        </row>
      </sheetData>
      <sheetData sheetId="74">
        <row r="32">
          <cell r="A32" t="str">
            <v>35 Partenaires actifs soit un recrutement de 50 à 60 
Le nombre de partenaires actuels et à recruter
Les engagements des partenaires</v>
          </cell>
        </row>
        <row r="38">
          <cell r="A38" t="str">
            <v>le nombre de partenaires et l'effort de recrutement</v>
          </cell>
        </row>
      </sheetData>
      <sheetData sheetId="75">
        <row r="20">
          <cell r="A20"/>
        </row>
        <row r="26">
          <cell r="A26"/>
        </row>
      </sheetData>
      <sheetData sheetId="76">
        <row r="49">
          <cell r="A49" t="str">
            <v>Easy to do business + Opportunités de développement pour les partenaires</v>
          </cell>
        </row>
        <row r="55">
          <cell r="A55" t="str">
            <v>Attractivité de l'offre : 5,81 sur 10
Le radar</v>
          </cell>
        </row>
      </sheetData>
      <sheetData sheetId="77">
        <row r="161">
          <cell r="A161" t="str">
            <v xml:space="preserve">sont incontournables pour le développement de la société
x % du CA dans 3 ans 
Progression vs direct 
...
</v>
          </cell>
        </row>
        <row r="168">
          <cell r="A168" t="str">
            <v>Voir tableau du CA par canal de vente à 3 ans</v>
          </cell>
        </row>
      </sheetData>
      <sheetData sheetId="78">
        <row r="150">
          <cell r="A150" t="str">
            <v>XX M€ mis sur le marché pour un nombre limité de partenaires
L'importance du Service pour les partenaires, principale source de leurs revenus</v>
          </cell>
        </row>
      </sheetData>
      <sheetData sheetId="79">
        <row r="50">
          <cell r="A50"/>
        </row>
        <row r="57">
          <cell r="A57" t="str">
            <v>Voir le tableau ci-après</v>
          </cell>
        </row>
      </sheetData>
      <sheetData sheetId="80">
        <row r="51">
          <cell r="A51" t="str">
            <v>dddddddddd</v>
          </cell>
        </row>
        <row r="58">
          <cell r="A58" t="str">
            <v>Voir tableau ci-après</v>
          </cell>
        </row>
      </sheetData>
      <sheetData sheetId="81"/>
      <sheetData sheetId="82"/>
      <sheetData sheetId="83">
        <row r="67">
          <cell r="A67" t="str">
            <v>Reprendre les points critiques dans la présentation au Comité de direction</v>
          </cell>
        </row>
        <row r="73">
          <cell r="A73" t="str">
            <v>Rôle du Consultant : aider à la réalisation du plan d'action</v>
          </cell>
        </row>
      </sheetData>
      <sheetData sheetId="84" refreshError="1"/>
      <sheetData sheetId="85">
        <row r="8">
          <cell r="E8">
            <v>2017</v>
          </cell>
        </row>
        <row r="9">
          <cell r="E9">
            <v>3</v>
          </cell>
        </row>
        <row r="11">
          <cell r="E11">
            <v>1</v>
          </cell>
        </row>
        <row r="12">
          <cell r="E12" t="str">
            <v>EQUINIX</v>
          </cell>
        </row>
        <row r="13">
          <cell r="E13" t="str">
            <v>PARTENAIRE</v>
          </cell>
        </row>
        <row r="14">
          <cell r="E14"/>
        </row>
        <row r="16">
          <cell r="E16" t="str">
            <v>EQUINIX</v>
          </cell>
        </row>
        <row r="17">
          <cell r="E17" t="str">
            <v>PARTENAIRE</v>
          </cell>
        </row>
      </sheetData>
      <sheetData sheetId="86">
        <row r="3">
          <cell r="B3" t="str">
            <v>0-Non nécessaire</v>
          </cell>
        </row>
        <row r="4">
          <cell r="B4" t="str">
            <v>1-A traiter</v>
          </cell>
        </row>
        <row r="5">
          <cell r="B5" t="str">
            <v>2-En cours</v>
          </cell>
        </row>
        <row r="6">
          <cell r="B6" t="str">
            <v>3-A revalider</v>
          </cell>
        </row>
        <row r="7">
          <cell r="B7" t="str">
            <v>4-Validé</v>
          </cell>
        </row>
        <row r="19">
          <cell r="B19" t="str">
            <v>EQUINIX + PARTENAIRE</v>
          </cell>
          <cell r="C19" t="str">
            <v>EQUNIX &amp;  PARTENAIRE</v>
          </cell>
        </row>
        <row r="37">
          <cell r="A37">
            <v>10</v>
          </cell>
        </row>
        <row r="40">
          <cell r="A40">
            <v>10</v>
          </cell>
        </row>
      </sheetData>
      <sheetData sheetId="87"/>
      <sheetData sheetId="88">
        <row r="91">
          <cell r="A91" t="str">
            <v>Slide "stratégie de distribution sélective" reprenant les principes majeurs de votre stratégie partenaire</v>
          </cell>
        </row>
      </sheetData>
      <sheetData sheetId="89">
        <row r="33">
          <cell r="A33" t="str">
            <v>Slide "périmètre d'intervention". Démontrez les opportunités de business pour les partenaires</v>
          </cell>
        </row>
        <row r="39">
          <cell r="A39" t="str">
            <v xml:space="preserve">Coûts de support. Assurez-vous que tout le monde au sein de votre organisation a bien compris le "qui fait quoi" !!! </v>
          </cell>
        </row>
      </sheetData>
      <sheetData sheetId="90">
        <row r="107">
          <cell r="A107" t="str">
            <v>Slide présentation de l'offre. Voir guide</v>
          </cell>
        </row>
        <row r="114">
          <cell r="A114" t="str">
            <v>Voir guide</v>
          </cell>
        </row>
      </sheetData>
      <sheetData sheetId="91" refreshError="1"/>
      <sheetData sheetId="92"/>
      <sheetData sheetId="93">
        <row r="68">
          <cell r="A68" t="str">
            <v>Slide "opportunité de CA pour les partenaires" : XX M€ mis sur le marché pour un nombre limité de partenaires
L'importance du Service pour les partenaires, principale source de leurs revenus</v>
          </cell>
        </row>
        <row r="75">
          <cell r="A75" t="str">
            <v>Tableau du CA service des partenaires. 
Par canal de vente, le rapport CA partenaire / CA fournisseur</v>
          </cell>
        </row>
      </sheetData>
      <sheetData sheetId="94">
        <row r="30">
          <cell r="A30" t="str">
            <v>Slide "strategie partenaire" 
XXX Partenaires actifsdans 3 ans
Nos champions sur les marchés sélectionnés
Les meilleurs du marché
Qui s'engagent et gagnent de l'argent</v>
          </cell>
        </row>
        <row r="36">
          <cell r="A36" t="str">
            <v>Suivez les KPIs du process de recrutement. 
Voir tableau ci-dessous</v>
          </cell>
        </row>
      </sheetData>
      <sheetData sheetId="95" refreshError="1"/>
      <sheetData sheetId="96" refreshError="1"/>
      <sheetData sheetId="97" refreshError="1"/>
      <sheetData sheetId="98" refreshError="1"/>
      <sheetData sheetId="99">
        <row r="25">
          <cell r="A25" t="str">
            <v>Des frontières et territoires clairs pour éviter les conflits de canaux
Des champions par secteur</v>
          </cell>
        </row>
        <row r="31">
          <cell r="A31" t="str">
            <v>Voir radar des conflits de canaux</v>
          </cell>
        </row>
      </sheetData>
      <sheetData sheetId="100">
        <row r="16">
          <cell r="A16" t="str">
            <v>Des frontières et territoires clairs pour éviter les conflits de canaux
Des champions par secteur</v>
          </cell>
        </row>
        <row r="22">
          <cell r="A22" t="str">
            <v>Voir radar des conflits de canaux</v>
          </cell>
        </row>
      </sheetData>
      <sheetData sheetId="101">
        <row r="49">
          <cell r="A49" t="str">
            <v>Easy to do business + Opportunités de développement business pour les partenaires</v>
          </cell>
        </row>
        <row r="55">
          <cell r="A55" t="str">
            <v>Mesurer le taux d'Attractivité de l'offre : en interne et par les partenaires eux-mêmes
Le radar</v>
          </cell>
        </row>
      </sheetData>
      <sheetData sheetId="102" refreshError="1"/>
      <sheetData sheetId="103" refreshError="1"/>
      <sheetData sheetId="104" refreshError="1"/>
      <sheetData sheetId="105">
        <row r="166">
          <cell r="A166" t="str">
            <v xml:space="preserve">Point mort: à la xx° affaire
CA Total cumulé 3 ans: xxxM €
CA prestations partenaire 3 ans: xxxM€ 
Commissions touchées par le partenaire: xxx K 
Marge nette : xxx K
</v>
          </cell>
        </row>
        <row r="172">
          <cell r="A172" t="str">
            <v xml:space="preserve">Investissement initial partenaire
CA net par affaire partenaire
Coût de vente et marketing partenaire
Marge nette  partenaire
Pourcentage de business récurrent partenaire
</v>
          </cell>
        </row>
      </sheetData>
      <sheetData sheetId="106" refreshError="1"/>
      <sheetData sheetId="107">
        <row r="20">
          <cell r="A20" t="str">
            <v>Démontrer votre maîtrise du cycle comemrcial et notamment le nombre de leads ou CA nécessaires pour atteindre les objectifs de CA</v>
          </cell>
        </row>
        <row r="26">
          <cell r="A26" t="str">
            <v>Tableau ci-dessous</v>
          </cell>
        </row>
      </sheetData>
      <sheetData sheetId="108">
        <row r="33">
          <cell r="A33" t="str">
            <v>Bien expliquer au partenaire les règles de commissionement</v>
          </cell>
        </row>
        <row r="39">
          <cell r="A39" t="str">
            <v>Analyse concurrence; test de satisfaction auprès des partenaires</v>
          </cell>
        </row>
      </sheetData>
      <sheetData sheetId="109">
        <row r="29">
          <cell r="A29" t="str">
            <v>stratégie selective avec un champion par région / secteur</v>
          </cell>
        </row>
        <row r="35">
          <cell r="A35" t="str">
            <v>Le nombre et % de conflits.
Le radar
 Analyse 1 fois par an  avec plan d'action si nécessaire</v>
          </cell>
        </row>
      </sheetData>
      <sheetData sheetId="110" refreshError="1"/>
      <sheetData sheetId="111"/>
      <sheetData sheetId="112"/>
      <sheetData sheetId="113"/>
      <sheetData sheetId="114"/>
      <sheetData sheetId="115"/>
      <sheetData sheetId="1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RONO"/>
      <sheetName val="00-ACTORS"/>
      <sheetName val="PARTNERS CVs"/>
      <sheetName val="EXPECTATIONS"/>
      <sheetName val="Graph Expectations"/>
      <sheetName val="CRITICITY"/>
      <sheetName val="POSITIONING-OFR1"/>
      <sheetName val="MARKETSPECIFICITIES"/>
      <sheetName val="SECTORMARKET"/>
      <sheetName val="DOMESTICMARKET"/>
      <sheetName val="FOREIGNMARKET"/>
      <sheetName val="COMPETITION"/>
      <sheetName val="BUSINESSCARD"/>
      <sheetName val="Graph BIC"/>
      <sheetName val="VISION 3 YEARS"/>
      <sheetName val="BIZ PLAN FIRST YEAR"/>
      <sheetName val="FASTSTART"/>
      <sheetName val="BUDGETPROGRAM"/>
      <sheetName val="SWOT"/>
      <sheetName val="INTERLOCUTORS"/>
      <sheetName val="CHANNELREADY"/>
      <sheetName val="Radar Channel ready"/>
      <sheetName val="TYPOPARTNER"/>
      <sheetName val="PROFILPARTNER"/>
      <sheetName val="SALESPLAN"/>
      <sheetName val="Graph Plan de vente"/>
      <sheetName val="Graph New biz 3 ans"/>
      <sheetName val="Graph CA  indirect 3 ans "/>
      <sheetName val="Graph recrutement par channel"/>
      <sheetName val="10-BUDGETPROGRAM-OFR2"/>
      <sheetName val="10-BUDGETPROGRAM-OFR3"/>
      <sheetName val="PARTNERSALESKIT"/>
      <sheetName val="05-CHANNELTEAM-OFR2"/>
      <sheetName val="05-CHANNELTEAM-OFR3"/>
      <sheetName val="02-CHANNELCAPACITY-LIC-OFR1"/>
      <sheetName val="PRICINGSTRATEGY"/>
      <sheetName val="10-PARTNERSALESKIT-OFR2"/>
      <sheetName val="10-PARTNERSALESKIT-OFR3"/>
      <sheetName val="PROGRAMPARTNER"/>
      <sheetName val="Graph Budget"/>
      <sheetName val="03-BUSINESSCARD-OFR2"/>
      <sheetName val="03-MARKETREADY-OFR2"/>
      <sheetName val="03-POSITIONING-OFR2"/>
      <sheetName val="03-CRITICITY-OFR2"/>
      <sheetName val="03-COMPETITION-OFR2"/>
      <sheetName val="03-CHANNELREADY-OFR2"/>
      <sheetName val="04-SECTORMARKET-OFR2"/>
      <sheetName val="04-DOMESTICMARKET-OFR2"/>
      <sheetName val="04-FOREIGNMARKET-OFR2"/>
      <sheetName val="06-TYPOPARTNER-OFR2"/>
      <sheetName val="06-RESPONSABPARTNER-OFR2"/>
      <sheetName val="06-PROFILPARTNER-OFR2"/>
      <sheetName val="08-VALUEAD4PARTNER-OFR2"/>
      <sheetName val="07-RECRUITMENTPLAN-OFR2"/>
      <sheetName val="02-SALESPLAN-OFR2"/>
      <sheetName val="02-BUSINESS4PARTNER-OFR2"/>
      <sheetName val="02-CHANNELCAPACITY-SAAS-OFR2"/>
      <sheetName val="02-CHANNELCAPACITY-LIC-OFR2"/>
      <sheetName val="09-PROFITPARTNER-OFR2"/>
      <sheetName val="10-LEADSCOVERAGE-OFR2"/>
      <sheetName val="03-BUSINESSCARD-OFR3"/>
      <sheetName val="09-PROFITPARTNER-OFR3"/>
      <sheetName val="03-MARKETREADY-OFR3"/>
      <sheetName val="03-POSITIONING-OFR3"/>
      <sheetName val="03-CRITICITY-OFR3"/>
      <sheetName val="03-COMPETITION-OFR3"/>
      <sheetName val="03-CHANNELREADY-OFR3"/>
      <sheetName val="04-SECTORMARKET-OFR3"/>
      <sheetName val="04-FOREIGNMARKET-OFR3"/>
      <sheetName val="04-DOMESTICMARKET-OFR3"/>
      <sheetName val="06-TYPOPARTNER-OFR3"/>
      <sheetName val="06-RESPONSABPARTNER-OFR3"/>
      <sheetName val="06-PROFILPARTNER-OFR3"/>
      <sheetName val="07-RECRUITMENTPLAN-OFR3"/>
      <sheetName val="10-LEADSCOVERAGE-OFR3"/>
      <sheetName val="08-VALUEAD4PARTNER-OFR3"/>
      <sheetName val="02-SALESPLAN-OFR3"/>
      <sheetName val="02-BUSINESS4PARTNER-OFR3"/>
      <sheetName val="02-CHANNELCAPACITY-SAAS-OFR3"/>
      <sheetName val="02-CHANNELCAPACITY-LIC-OFR3"/>
      <sheetName val="TODO"/>
      <sheetName val="GOVERNANCE"/>
      <sheetName val="CRITICALFACTORS"/>
      <sheetName val="12- Graph Critical factors"/>
      <sheetName val="00-PARAMETERS"/>
      <sheetName val="Parametre"/>
      <sheetName val="12-SWOT"/>
      <sheetName val="02-CHANNELSTRATEGY"/>
      <sheetName val="06-RESPONSABPARTNER-OFR1"/>
      <sheetName val="03-MARKETREADY-OFR1"/>
      <sheetName val="Martg Ready"/>
      <sheetName val="02-CHANNELCAPACITY-SAAS-OFR1"/>
      <sheetName val="02-BUSINESS4PARTNER-OFR1"/>
      <sheetName val="07-RECRUITMENTPLAN-OFR1"/>
      <sheetName val="Graph New biz par canal"/>
      <sheetName val="Graph No partenaires 3 ans "/>
      <sheetName val="Graph CA des Partenaires"/>
      <sheetName val="Graph Plan de recrutement 3 ans"/>
      <sheetName val="05-GOTOMARKET"/>
      <sheetName val="05-CHANNELTEAM-OFR1"/>
      <sheetName val="08-VALUEAD4PARTNER-OFR1"/>
      <sheetName val="Value Add 1"/>
      <sheetName val="Value Add 2"/>
      <sheetName val="Value Add 3"/>
      <sheetName val="09-PROFITPARTNER-OFR1"/>
      <sheetName val="Graph Profitabilité partenaire"/>
      <sheetName val="10-LEADSCOVERAGE-OFR1"/>
      <sheetName val="08-DISCOUNTSTRATEGY"/>
      <sheetName val="05-SOURCECONFLICT"/>
      <sheetName val="Graph Conflits"/>
      <sheetName val="11-KPIsFOLLOWUP"/>
      <sheetName val="11-GUIDE4VALUEPROP"/>
      <sheetName val="INPROGRESS"/>
      <sheetName val="Feuil1"/>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8">
          <cell r="E8">
            <v>2017</v>
          </cell>
        </row>
        <row r="9">
          <cell r="E9">
            <v>3</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OB Schedule"/>
      <sheetName val="METHODOLOGY"/>
      <sheetName val="SUMMARY"/>
      <sheetName val="CHRONO"/>
      <sheetName val="INPROGRESS"/>
      <sheetName val="00-ACTORS"/>
      <sheetName val="01-SWOT"/>
      <sheetName val="01-ASSESMENT"/>
      <sheetName val="02-VISION"/>
      <sheetName val="02-EXPECTATIONS"/>
      <sheetName val="02-CHANNELSTRATEGY"/>
      <sheetName val="03-BUSINESSCARD-OFR1"/>
      <sheetName val="03-POSITIONING-OFR1"/>
      <sheetName val="03-INTERLOCUTORS"/>
      <sheetName val="03-CRITICITY-OFR1"/>
      <sheetName val="03-COMPETITION-OFR1"/>
      <sheetName val="03-MARKETREADY-OFR1"/>
      <sheetName val="Martg Ready"/>
      <sheetName val="03-CHANNELREADY-OFR1"/>
      <sheetName val="Map Channel ready"/>
      <sheetName val="04-MARKETSPECIFICITIES"/>
      <sheetName val="04-SECTORMARKET-OFR1"/>
      <sheetName val="04-DOMESTICMARKET-OFR1"/>
      <sheetName val="04-FOREIGNMARKET-OFR1"/>
      <sheetName val="02-SALESPLAN-OFR1"/>
      <sheetName val="02-CHANNELCAPACITY-SAAS-OFR1"/>
      <sheetName val="06-TYPOPARTNER-OFR1"/>
      <sheetName val="06-RESPONSABPARTNER-OFR1"/>
      <sheetName val="06-PROFILPARTNER-OFR1"/>
      <sheetName val="07-RECRUITMENTPLAN-OFR1"/>
      <sheetName val="07-FASTSTART"/>
      <sheetName val="02-BUSINESS4PARTNER-OFR1"/>
      <sheetName val="02-CHANNELCAPACITY-LIC-OFR1"/>
      <sheetName val="08-VALUEAD4PARTNER-OFR1"/>
      <sheetName val="Value Add 1"/>
      <sheetName val="Value Add 2 "/>
      <sheetName val="Value Add 3"/>
      <sheetName val="08-PRICINGSTRATEGY"/>
      <sheetName val="08-DISCOUNTSTRATEGY"/>
      <sheetName val="09-PROFITPARTNER-OFR1"/>
      <sheetName val="10-PARTNERSALESKIT-OFR1"/>
      <sheetName val="10-LEADSCOVERAGE-OFR1"/>
      <sheetName val="10-PROGRAMPARTNER"/>
      <sheetName val="10-BUDGETPROGRAM-OFR1"/>
      <sheetName val="05-SALESTERRITORIES"/>
      <sheetName val="05-CHANNELTEAM-OFR1"/>
      <sheetName val="05-CHANNELTEAM-OFR2"/>
      <sheetName val="05-CHANNELTEAM-OFR3"/>
      <sheetName val="05-SOURCECONFLICT"/>
      <sheetName val="03-BUSINESSCARD-OFR2"/>
      <sheetName val="03-MARKETREADY-OFR2"/>
      <sheetName val="03-POSITIONING-OFR2"/>
      <sheetName val="03-CRITICITY-OFR2"/>
      <sheetName val="03-COMPETITION-OFR2"/>
      <sheetName val="03-CHANNELREADY-OFR2"/>
      <sheetName val="04-SECTORMARKET-OFR2"/>
      <sheetName val="04-DOMESTICMARKET-OFR2"/>
      <sheetName val="04-FOREIGNMARKET-OFR2"/>
      <sheetName val="06-TYPOPARTNER-OFR2"/>
      <sheetName val="06-RESPONSABPARTNER-OFR2"/>
      <sheetName val="06-PROFILPARTNER-OFR2"/>
      <sheetName val="08-VALUEAD4PARTNER-OFR2"/>
      <sheetName val="07-RECRUITMENTPLAN-OFR2"/>
      <sheetName val="02-SALESPLAN-OFR2"/>
      <sheetName val="02-BUSINESS4PARTNER-OFR2"/>
      <sheetName val="02-CHANNELCAPACITY-SAAS-OFR2"/>
      <sheetName val="02-CHANNELCAPACITY-LIC-OFR2"/>
      <sheetName val="09-PROFITPARTNER-OFR2"/>
      <sheetName val="10-BUDGETPROGRAM-OFR2"/>
      <sheetName val="10-PARTNERSALESKIT-OFR2"/>
      <sheetName val="10-LEADSCOVERAGE-OFR2"/>
      <sheetName val="03-BUSINESSCARD-OFR3"/>
      <sheetName val="03-MARKETREADY-OFR3"/>
      <sheetName val="03-POSITIONING-OFR3"/>
      <sheetName val="03-CRITICITY-OFR3"/>
      <sheetName val="03-COMPETITION-OFR3"/>
      <sheetName val="03-CHANNELREADY-OFR3"/>
      <sheetName val="04-SECTORMARKET-OFR3"/>
      <sheetName val="04-FOREIGNMARKET-OFR3"/>
      <sheetName val="04-DOMESTICMARKET-OFR3"/>
      <sheetName val="06-TYPOPARTNER-OFR3"/>
      <sheetName val="06-RESPONSABPARTNER-OFR3"/>
      <sheetName val="06-PROFILPARTNER-OFR3"/>
      <sheetName val="07-RECRUITMENTPLAN-OFR3"/>
      <sheetName val="10-BUDGETPROGRAM-OFR3"/>
      <sheetName val="10-LEADSCOVERAGE-OFR3"/>
      <sheetName val="10-PARTNERSALESKIT-OFR3"/>
      <sheetName val="08-VALUEAD4PARTNER-OFR3"/>
      <sheetName val="02-SALESPLAN-OFR3"/>
      <sheetName val="02-BUSINESS4PARTNER-OFR3"/>
      <sheetName val="02-CHANNELCAPACITY-SAAS-OFR3"/>
      <sheetName val="02-CHANNELCAPACITY-LIC-OFR3"/>
      <sheetName val="09-PROFITPARTNER-OFR3"/>
      <sheetName val="11-TODO"/>
      <sheetName val="11-GOVERNANCE"/>
      <sheetName val="11-KPIsFOLLOWUP"/>
      <sheetName val="11-GUIDE4VALUEPROP"/>
      <sheetName val="12-CRITICALFACTORS"/>
      <sheetName val="12- Critical factors"/>
      <sheetName val="12-SWOT"/>
      <sheetName val="00-PARAMETERS"/>
      <sheetName val="Parametre"/>
    </sheetNames>
    <sheetDataSet>
      <sheetData sheetId="0"/>
      <sheetData sheetId="1"/>
      <sheetData sheetId="2"/>
      <sheetData sheetId="3"/>
      <sheetData sheetId="4">
        <row r="73">
          <cell r="M73" t="str">
            <v xml:space="preserve">Channel team sizing </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sheetData sheetId="21"/>
      <sheetData sheetId="22"/>
      <sheetData sheetId="23"/>
      <sheetData sheetId="24"/>
      <sheetData sheetId="25"/>
      <sheetData sheetId="26"/>
      <sheetData sheetId="27"/>
      <sheetData sheetId="28"/>
      <sheetData sheetId="29"/>
      <sheetData sheetId="30">
        <row r="82">
          <cell r="A82" t="str">
            <v xml:space="preserve">Slde " fastsart program" </v>
          </cell>
        </row>
        <row r="88">
          <cell r="A88" t="str">
            <v>Delays for the first customer contract signed by the partner  …</v>
          </cell>
        </row>
      </sheetData>
      <sheetData sheetId="3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row r="21">
          <cell r="A21" t="str">
            <v xml:space="preserve">Slide "indirect strategy" to explain the split of territories between direct &amp; indirect </v>
          </cell>
        </row>
        <row r="27">
          <cell r="A27" t="str">
            <v xml:space="preserve">see number of conflicts: good alert . 
Channel manager yeld / productivity </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sheetData sheetId="10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6.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6.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Florence.Gregoire@eu.equinix.com" TargetMode="External"/><Relationship Id="rId7" Type="http://schemas.openxmlformats.org/officeDocument/2006/relationships/hyperlink" Target="mailto:Marek.Moszynski@eu.equinix.com" TargetMode="External"/><Relationship Id="rId2" Type="http://schemas.openxmlformats.org/officeDocument/2006/relationships/hyperlink" Target="mailto:Jean-Christophe.Lelay@eu.equinix.com" TargetMode="External"/><Relationship Id="rId1" Type="http://schemas.openxmlformats.org/officeDocument/2006/relationships/hyperlink" Target="mailto:rene.causse@pad-partners.com" TargetMode="External"/><Relationship Id="rId6" Type="http://schemas.openxmlformats.org/officeDocument/2006/relationships/hyperlink" Target="mailto:Jean-Pierre.Tournemaine@eu.equinix.com" TargetMode="External"/><Relationship Id="rId5" Type="http://schemas.openxmlformats.org/officeDocument/2006/relationships/hyperlink" Target="mailto:Pascal.Catelineau@eu.equinix.com" TargetMode="External"/><Relationship Id="rId4" Type="http://schemas.openxmlformats.org/officeDocument/2006/relationships/hyperlink" Target="mailto:severine@alantaya.com" TargetMode="External"/><Relationship Id="rId9"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4.xml"/><Relationship Id="rId1" Type="http://schemas.openxmlformats.org/officeDocument/2006/relationships/printerSettings" Target="../printerSettings/printerSettings53.bin"/><Relationship Id="rId4" Type="http://schemas.openxmlformats.org/officeDocument/2006/relationships/comments" Target="../comments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8.xml"/><Relationship Id="rId1" Type="http://schemas.openxmlformats.org/officeDocument/2006/relationships/printerSettings" Target="../printerSettings/printerSettings57.bin"/><Relationship Id="rId4" Type="http://schemas.openxmlformats.org/officeDocument/2006/relationships/comments" Target="../comments7.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0.xml"/><Relationship Id="rId1" Type="http://schemas.openxmlformats.org/officeDocument/2006/relationships/printerSettings" Target="../printerSettings/printerSettings59.bin"/><Relationship Id="rId4" Type="http://schemas.openxmlformats.org/officeDocument/2006/relationships/comments" Target="../comments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1.xml"/><Relationship Id="rId1" Type="http://schemas.openxmlformats.org/officeDocument/2006/relationships/printerSettings" Target="../printerSettings/printerSettings60.bin"/><Relationship Id="rId4" Type="http://schemas.openxmlformats.org/officeDocument/2006/relationships/comments" Target="../comments9.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6.xml"/><Relationship Id="rId1" Type="http://schemas.openxmlformats.org/officeDocument/2006/relationships/printerSettings" Target="../printerSettings/printerSettings75.bin"/><Relationship Id="rId4" Type="http://schemas.openxmlformats.org/officeDocument/2006/relationships/comments" Target="../comments10.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3.xml"/><Relationship Id="rId1" Type="http://schemas.openxmlformats.org/officeDocument/2006/relationships/printerSettings" Target="../printerSettings/printerSettings81.bin"/><Relationship Id="rId4" Type="http://schemas.openxmlformats.org/officeDocument/2006/relationships/comments" Target="../comments11.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4.xml"/><Relationship Id="rId1" Type="http://schemas.openxmlformats.org/officeDocument/2006/relationships/printerSettings" Target="../printerSettings/printerSettings82.bin"/><Relationship Id="rId4" Type="http://schemas.openxmlformats.org/officeDocument/2006/relationships/comments" Target="../comments12.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6.xml"/><Relationship Id="rId1" Type="http://schemas.openxmlformats.org/officeDocument/2006/relationships/printerSettings" Target="../printerSettings/printerSettings87.bin"/><Relationship Id="rId4" Type="http://schemas.openxmlformats.org/officeDocument/2006/relationships/comments" Target="../comments13.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4.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86">
    <pageSetUpPr fitToPage="1"/>
  </sheetPr>
  <dimension ref="A1:L48"/>
  <sheetViews>
    <sheetView showGridLines="0" zoomScaleNormal="100" workbookViewId="0">
      <selection activeCell="F36" sqref="F36:H37"/>
    </sheetView>
  </sheetViews>
  <sheetFormatPr baseColWidth="10" defaultRowHeight="14.5" x14ac:dyDescent="0.35"/>
  <cols>
    <col min="1" max="1" width="15.453125" customWidth="1"/>
    <col min="2" max="2" width="5.54296875" customWidth="1"/>
    <col min="3" max="3" width="22.54296875" customWidth="1"/>
    <col min="5" max="5" width="18.26953125" customWidth="1"/>
    <col min="7" max="7" width="19.7265625" customWidth="1"/>
    <col min="9" max="9" width="20.54296875" customWidth="1"/>
    <col min="11" max="11" width="19.81640625" customWidth="1"/>
    <col min="12" max="12" width="5.1796875" customWidth="1"/>
  </cols>
  <sheetData>
    <row r="1" spans="1:12" s="54" customFormat="1" ht="15" customHeight="1" x14ac:dyDescent="0.35">
      <c r="A1" s="1018"/>
      <c r="B1" s="958"/>
      <c r="C1" s="958"/>
      <c r="D1" s="3262" t="s">
        <v>5</v>
      </c>
      <c r="E1" s="3262"/>
      <c r="F1" s="3262"/>
      <c r="G1" s="3262"/>
      <c r="H1" s="3262"/>
      <c r="I1" s="3262"/>
      <c r="J1" s="3262"/>
      <c r="K1" s="3262"/>
      <c r="L1" s="3262"/>
    </row>
    <row r="2" spans="1:12" s="58" customFormat="1" ht="17.25" customHeight="1" x14ac:dyDescent="0.35">
      <c r="A2" s="55"/>
      <c r="B2" s="55"/>
      <c r="C2" s="55"/>
      <c r="D2" s="3263" t="str">
        <f>NomClient</f>
        <v xml:space="preserve">EQUINIX </v>
      </c>
      <c r="E2" s="3264"/>
      <c r="F2" s="3264"/>
      <c r="G2" s="3265"/>
      <c r="H2" s="3262"/>
      <c r="I2" s="3262"/>
      <c r="J2" s="3262"/>
      <c r="K2" s="3262"/>
      <c r="L2" s="3262"/>
    </row>
    <row r="3" spans="1:12" s="60" customFormat="1" ht="12" customHeight="1" x14ac:dyDescent="0.35">
      <c r="A3" s="59"/>
      <c r="B3" s="59"/>
      <c r="C3" s="59"/>
      <c r="D3" s="59"/>
      <c r="E3" s="3273" t="s">
        <v>1792</v>
      </c>
      <c r="F3" s="3273"/>
      <c r="G3" s="59"/>
      <c r="H3" s="3262"/>
      <c r="I3" s="3262"/>
      <c r="J3" s="3262"/>
      <c r="K3" s="3262"/>
      <c r="L3" s="3262"/>
    </row>
    <row r="4" spans="1:12" s="297" customFormat="1" ht="19.5" customHeight="1" thickBot="1" x14ac:dyDescent="0.4">
      <c r="A4" s="376" t="s">
        <v>958</v>
      </c>
      <c r="C4" s="303"/>
      <c r="E4" s="304"/>
      <c r="F4" s="304"/>
      <c r="G4" s="304"/>
      <c r="H4" s="304"/>
      <c r="I4" s="304"/>
      <c r="J4" s="304"/>
      <c r="K4" s="304"/>
    </row>
    <row r="5" spans="1:12" s="297" customFormat="1" ht="21" customHeight="1" x14ac:dyDescent="0.3">
      <c r="C5" s="303"/>
      <c r="E5" s="3266" t="s">
        <v>2468</v>
      </c>
      <c r="F5" s="3267"/>
      <c r="G5" s="3267"/>
      <c r="H5" s="3267"/>
      <c r="I5" s="3268"/>
      <c r="J5" s="304"/>
      <c r="K5" s="304"/>
    </row>
    <row r="6" spans="1:12" s="297" customFormat="1" ht="9.75" customHeight="1" thickBot="1" x14ac:dyDescent="0.35">
      <c r="C6" s="303"/>
      <c r="E6" s="3269"/>
      <c r="F6" s="3270"/>
      <c r="G6" s="3270"/>
      <c r="H6" s="3270"/>
      <c r="I6" s="3271"/>
      <c r="J6" s="304"/>
      <c r="K6" s="304"/>
    </row>
    <row r="8" spans="1:12" ht="21" x14ac:dyDescent="0.5">
      <c r="C8" s="326"/>
      <c r="E8" s="3272" t="s">
        <v>1097</v>
      </c>
      <c r="F8" s="3272"/>
      <c r="G8" s="3272"/>
      <c r="H8" s="3272"/>
      <c r="I8" s="3272"/>
    </row>
    <row r="9" spans="1:12" ht="21.5" thickBot="1" x14ac:dyDescent="0.55000000000000004">
      <c r="C9" s="326"/>
    </row>
    <row r="10" spans="1:12" ht="22" thickTop="1" thickBot="1" x14ac:dyDescent="0.55000000000000004">
      <c r="C10" s="3259" t="s">
        <v>2469</v>
      </c>
      <c r="D10" s="3260"/>
      <c r="E10" s="3260"/>
      <c r="F10" s="3260"/>
      <c r="G10" s="3260"/>
      <c r="H10" s="3260"/>
      <c r="I10" s="3260"/>
      <c r="J10" s="3260"/>
      <c r="K10" s="3261"/>
    </row>
    <row r="11" spans="1:12" ht="23.25" customHeight="1" thickTop="1" thickBot="1" x14ac:dyDescent="0.55000000000000004">
      <c r="C11" s="327"/>
    </row>
    <row r="12" spans="1:12" ht="21" customHeight="1" thickTop="1" x14ac:dyDescent="0.35">
      <c r="C12" s="3247" t="s">
        <v>1098</v>
      </c>
      <c r="D12" s="3248"/>
      <c r="E12" s="3249"/>
      <c r="I12" s="3247" t="s">
        <v>1099</v>
      </c>
      <c r="J12" s="3248"/>
      <c r="K12" s="3249"/>
    </row>
    <row r="13" spans="1:12" ht="21" customHeight="1" x14ac:dyDescent="0.35">
      <c r="C13" s="3250"/>
      <c r="D13" s="3251"/>
      <c r="E13" s="3252"/>
      <c r="I13" s="3250"/>
      <c r="J13" s="3251"/>
      <c r="K13" s="3252"/>
    </row>
    <row r="14" spans="1:12" ht="10.5" customHeight="1" x14ac:dyDescent="0.35">
      <c r="C14" s="3250"/>
      <c r="D14" s="3251"/>
      <c r="E14" s="3252"/>
      <c r="I14" s="3250"/>
      <c r="J14" s="3251"/>
      <c r="K14" s="3252"/>
    </row>
    <row r="15" spans="1:12" ht="7.5" customHeight="1" thickBot="1" x14ac:dyDescent="0.4">
      <c r="C15" s="3253"/>
      <c r="D15" s="3254"/>
      <c r="E15" s="3255"/>
      <c r="I15" s="3253"/>
      <c r="J15" s="3254"/>
      <c r="K15" s="3255"/>
    </row>
    <row r="16" spans="1:12" ht="21.5" thickTop="1" x14ac:dyDescent="0.5">
      <c r="C16" s="326"/>
    </row>
    <row r="17" spans="3:8" ht="14.25" customHeight="1" thickBot="1" x14ac:dyDescent="0.55000000000000004">
      <c r="C17" s="326"/>
    </row>
    <row r="18" spans="3:8" ht="21.5" thickTop="1" x14ac:dyDescent="0.5">
      <c r="C18" s="326"/>
      <c r="F18" s="3241" t="s">
        <v>2470</v>
      </c>
      <c r="G18" s="3242"/>
      <c r="H18" s="3243"/>
    </row>
    <row r="19" spans="3:8" ht="21" x14ac:dyDescent="0.5">
      <c r="C19" s="326"/>
      <c r="F19" s="3256"/>
      <c r="G19" s="3257"/>
      <c r="H19" s="3258"/>
    </row>
    <row r="20" spans="3:8" ht="7.5" customHeight="1" thickBot="1" x14ac:dyDescent="0.55000000000000004">
      <c r="C20" s="326"/>
      <c r="F20" s="3244"/>
      <c r="G20" s="3245"/>
      <c r="H20" s="3246"/>
    </row>
    <row r="21" spans="3:8" ht="44.25" customHeight="1" thickTop="1" thickBot="1" x14ac:dyDescent="0.55000000000000004">
      <c r="C21" s="326"/>
    </row>
    <row r="22" spans="3:8" ht="21.5" thickTop="1" x14ac:dyDescent="0.5">
      <c r="C22" s="326"/>
      <c r="F22" s="3241" t="s">
        <v>2471</v>
      </c>
      <c r="G22" s="3242"/>
      <c r="H22" s="3243"/>
    </row>
    <row r="23" spans="3:8" ht="21.5" thickBot="1" x14ac:dyDescent="0.55000000000000004">
      <c r="C23" s="327"/>
      <c r="F23" s="3244"/>
      <c r="G23" s="3245"/>
      <c r="H23" s="3246"/>
    </row>
    <row r="24" spans="3:8" ht="55.5" customHeight="1" thickTop="1" thickBot="1" x14ac:dyDescent="0.55000000000000004">
      <c r="C24" s="326"/>
    </row>
    <row r="25" spans="3:8" ht="21.5" thickTop="1" x14ac:dyDescent="0.5">
      <c r="C25" s="326"/>
      <c r="F25" s="3241" t="s">
        <v>2472</v>
      </c>
      <c r="G25" s="3242"/>
      <c r="H25" s="3243"/>
    </row>
    <row r="26" spans="3:8" ht="21.5" thickBot="1" x14ac:dyDescent="0.55000000000000004">
      <c r="C26" s="326"/>
      <c r="F26" s="3244"/>
      <c r="G26" s="3245"/>
      <c r="H26" s="3246"/>
    </row>
    <row r="27" spans="3:8" ht="21.5" thickTop="1" x14ac:dyDescent="0.5">
      <c r="C27" s="326"/>
    </row>
    <row r="28" spans="3:8" ht="21" x14ac:dyDescent="0.5">
      <c r="C28" s="326"/>
    </row>
    <row r="29" spans="3:8" ht="21.5" thickBot="1" x14ac:dyDescent="0.55000000000000004">
      <c r="C29" s="326"/>
    </row>
    <row r="30" spans="3:8" ht="21.5" thickTop="1" x14ac:dyDescent="0.5">
      <c r="C30" s="326"/>
      <c r="F30" s="3241" t="s">
        <v>2473</v>
      </c>
      <c r="G30" s="3242"/>
      <c r="H30" s="3243"/>
    </row>
    <row r="31" spans="3:8" ht="21.5" thickBot="1" x14ac:dyDescent="0.55000000000000004">
      <c r="C31" s="326"/>
      <c r="F31" s="3244"/>
      <c r="G31" s="3245"/>
      <c r="H31" s="3246"/>
    </row>
    <row r="32" spans="3:8" ht="15" thickTop="1" x14ac:dyDescent="0.35"/>
    <row r="35" spans="3:8" ht="15" thickBot="1" x14ac:dyDescent="0.4"/>
    <row r="36" spans="3:8" ht="15" thickTop="1" x14ac:dyDescent="0.35">
      <c r="F36" s="3241" t="s">
        <v>2474</v>
      </c>
      <c r="G36" s="3242"/>
      <c r="H36" s="3243"/>
    </row>
    <row r="37" spans="3:8" ht="15" thickBot="1" x14ac:dyDescent="0.4">
      <c r="F37" s="3244"/>
      <c r="G37" s="3245"/>
      <c r="H37" s="3246"/>
    </row>
    <row r="38" spans="3:8" ht="15" thickTop="1" x14ac:dyDescent="0.35">
      <c r="F38" s="344"/>
      <c r="G38" s="344"/>
      <c r="H38" s="344"/>
    </row>
    <row r="39" spans="3:8" x14ac:dyDescent="0.35">
      <c r="F39" s="344"/>
      <c r="G39" s="344"/>
      <c r="H39" s="344"/>
    </row>
    <row r="40" spans="3:8" x14ac:dyDescent="0.35">
      <c r="F40" s="344"/>
      <c r="G40" s="344"/>
      <c r="H40" s="344"/>
    </row>
    <row r="48" spans="3:8" ht="21" x14ac:dyDescent="0.5">
      <c r="C48" s="326"/>
    </row>
  </sheetData>
  <mergeCells count="14">
    <mergeCell ref="C10:K10"/>
    <mergeCell ref="D1:G1"/>
    <mergeCell ref="H1:L3"/>
    <mergeCell ref="D2:G2"/>
    <mergeCell ref="E5:I6"/>
    <mergeCell ref="E8:I8"/>
    <mergeCell ref="E3:F3"/>
    <mergeCell ref="F36:H37"/>
    <mergeCell ref="C12:E15"/>
    <mergeCell ref="I12:K15"/>
    <mergeCell ref="F18:H20"/>
    <mergeCell ref="F22:H23"/>
    <mergeCell ref="F25:H26"/>
    <mergeCell ref="F30:H31"/>
  </mergeCells>
  <hyperlinks>
    <hyperlink ref="A4" location="Parametre!A1" display=" " xr:uid="{00000000-0004-0000-0000-000000000000}"/>
  </hyperlinks>
  <pageMargins left="0.70866141732283472" right="0.70866141732283472" top="0.74803149606299213" bottom="0.74803149606299213" header="0.31496062992125984" footer="0.31496062992125984"/>
  <pageSetup paperSize="9" scale="50" orientation="portrait" r:id="rId1"/>
  <headerFooter>
    <oddHeader>&amp;LPAD Methodology (c) 2013-2014&amp;RStrategic Management Workshop</oddHeader>
    <oddFooter>&amp;L&amp;F&amp;C&amp;A&amp;RSituation au : &amp;D - page : &amp;P/&amp;N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32">
    <tabColor rgb="FFFFC000"/>
    <pageSetUpPr fitToPage="1"/>
  </sheetPr>
  <dimension ref="A1:AB67"/>
  <sheetViews>
    <sheetView showGridLines="0" topLeftCell="A2" zoomScaleNormal="100" workbookViewId="0"/>
  </sheetViews>
  <sheetFormatPr baseColWidth="10" defaultColWidth="11.453125" defaultRowHeight="14.5" x14ac:dyDescent="0.35"/>
  <cols>
    <col min="1" max="1" width="11.453125" style="60" customWidth="1"/>
    <col min="2" max="2" width="11.26953125" style="60" customWidth="1"/>
    <col min="3" max="3" width="8.54296875" style="60" customWidth="1"/>
    <col min="4" max="26" width="6.7265625" style="60" customWidth="1"/>
    <col min="27" max="27" width="11.453125" style="60" customWidth="1"/>
    <col min="28" max="16384" width="11.453125" style="60"/>
  </cols>
  <sheetData>
    <row r="1" spans="1:27"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c r="Y1" s="479"/>
      <c r="Z1" s="389"/>
      <c r="AA1" s="458"/>
    </row>
    <row r="2" spans="1:27" s="58" customFormat="1" ht="18" customHeight="1" x14ac:dyDescent="0.35">
      <c r="A2" s="393"/>
      <c r="B2" s="393"/>
      <c r="C2" s="393"/>
      <c r="D2" s="393"/>
      <c r="E2" s="3822" t="str">
        <f>NomClient</f>
        <v xml:space="preserve">EQUINIX </v>
      </c>
      <c r="F2" s="3823"/>
      <c r="G2" s="3823"/>
      <c r="H2" s="3823"/>
      <c r="I2" s="3823"/>
      <c r="J2" s="3824"/>
      <c r="K2" s="393"/>
      <c r="L2" s="3345" t="s">
        <v>410</v>
      </c>
      <c r="M2" s="3826"/>
      <c r="N2" s="3826"/>
      <c r="O2" s="3346"/>
      <c r="P2" s="393"/>
      <c r="Q2" s="393"/>
      <c r="R2" s="3347">
        <v>42426.396874999999</v>
      </c>
      <c r="S2" s="3825"/>
      <c r="T2" s="3825"/>
      <c r="U2" s="3348"/>
      <c r="V2" s="699"/>
      <c r="W2" s="699"/>
      <c r="X2" s="451"/>
      <c r="Y2" s="451"/>
      <c r="Z2" s="699"/>
      <c r="AA2" s="459"/>
    </row>
    <row r="3" spans="1:27" ht="12.75" customHeight="1" thickBot="1" x14ac:dyDescent="0.4">
      <c r="A3" s="396"/>
      <c r="B3" s="396"/>
      <c r="C3" s="396"/>
      <c r="D3" s="3835" t="s">
        <v>1792</v>
      </c>
      <c r="E3" s="3835"/>
      <c r="F3" s="3835"/>
      <c r="G3" s="3835"/>
      <c r="H3" s="3835"/>
      <c r="I3" s="3835"/>
      <c r="J3" s="3835"/>
      <c r="K3" s="396"/>
      <c r="L3" s="396"/>
      <c r="M3" s="396"/>
      <c r="N3" s="396"/>
      <c r="O3" s="396"/>
      <c r="P3" s="396"/>
      <c r="Q3" s="393"/>
      <c r="R3" s="393"/>
      <c r="S3" s="393"/>
      <c r="T3" s="393"/>
      <c r="U3" s="393"/>
      <c r="V3" s="393"/>
      <c r="W3" s="393"/>
      <c r="X3" s="393"/>
      <c r="Y3" s="393"/>
      <c r="Z3" s="393"/>
    </row>
    <row r="4" spans="1:27" s="1" customFormat="1" ht="24.75" customHeight="1" thickBot="1" x14ac:dyDescent="0.4">
      <c r="A4" s="3842" t="str">
        <f>Parametre!B26  &amp; "  : "</f>
        <v xml:space="preserve">Marchés cibles  : </v>
      </c>
      <c r="B4" s="3842"/>
      <c r="C4" s="3842"/>
      <c r="D4" s="3842"/>
      <c r="E4" s="3842"/>
      <c r="F4" s="3842"/>
      <c r="G4" s="3842"/>
      <c r="H4" s="3842"/>
      <c r="I4" s="3842"/>
      <c r="J4" s="3842"/>
      <c r="K4" s="3840" t="s">
        <v>2345</v>
      </c>
      <c r="L4" s="3840"/>
      <c r="M4" s="3840"/>
      <c r="N4" s="3840"/>
      <c r="O4" s="3840"/>
      <c r="P4" s="3840"/>
      <c r="Q4" s="3840"/>
      <c r="R4" s="3840"/>
      <c r="S4" s="3840"/>
      <c r="T4" s="3840"/>
      <c r="U4" s="3840"/>
      <c r="V4" s="3840"/>
      <c r="W4" s="3840"/>
      <c r="X4" s="3840"/>
      <c r="Y4" s="3840"/>
      <c r="Z4" s="3841"/>
      <c r="AA4" s="444"/>
    </row>
    <row r="5" spans="1:27" ht="37.5" customHeight="1" thickBot="1" x14ac:dyDescent="0.4">
      <c r="A5" s="3438" t="s">
        <v>14</v>
      </c>
      <c r="B5" s="3438"/>
      <c r="C5" s="3843" t="s">
        <v>2119</v>
      </c>
      <c r="D5" s="3843"/>
      <c r="E5" s="3843"/>
      <c r="F5" s="3843"/>
      <c r="G5" s="3843"/>
      <c r="H5" s="3843"/>
      <c r="I5" s="3843"/>
      <c r="J5" s="3843"/>
      <c r="K5" s="3843"/>
      <c r="L5" s="3843"/>
      <c r="M5" s="3843"/>
      <c r="N5" s="3843"/>
      <c r="O5" s="3843"/>
      <c r="P5" s="3843"/>
      <c r="Q5" s="3843"/>
      <c r="R5" s="3843"/>
      <c r="S5" s="3843"/>
      <c r="T5" s="3843"/>
      <c r="U5" s="3843"/>
      <c r="V5" s="3843"/>
      <c r="W5" s="3843"/>
      <c r="X5" s="3843"/>
      <c r="Y5" s="3843"/>
      <c r="Z5" s="3843"/>
      <c r="AA5" s="64"/>
    </row>
    <row r="6" spans="1:27" ht="27.75" customHeight="1" x14ac:dyDescent="0.35">
      <c r="A6" s="3836"/>
      <c r="B6" s="3837" t="s">
        <v>359</v>
      </c>
      <c r="C6" s="3832"/>
      <c r="D6" s="3831" t="s">
        <v>573</v>
      </c>
      <c r="E6" s="3831"/>
      <c r="F6" s="3831" t="s">
        <v>523</v>
      </c>
      <c r="G6" s="3831"/>
      <c r="H6" s="3831" t="s">
        <v>352</v>
      </c>
      <c r="I6" s="3831"/>
      <c r="J6" s="3831" t="s">
        <v>574</v>
      </c>
      <c r="K6" s="3831"/>
      <c r="L6" s="3832" t="s">
        <v>575</v>
      </c>
      <c r="M6" s="3833"/>
      <c r="N6" s="3829"/>
      <c r="O6" s="3830"/>
      <c r="P6" s="3837" t="s">
        <v>577</v>
      </c>
      <c r="Q6" s="3832"/>
      <c r="R6" s="3832"/>
      <c r="S6" s="3831" t="s">
        <v>355</v>
      </c>
      <c r="T6" s="3831"/>
      <c r="U6" s="3831" t="s">
        <v>356</v>
      </c>
      <c r="V6" s="3831"/>
      <c r="W6" s="3831" t="s">
        <v>357</v>
      </c>
      <c r="X6" s="3831"/>
      <c r="Y6" s="3831" t="s">
        <v>578</v>
      </c>
      <c r="Z6" s="3845"/>
      <c r="AA6" s="3828"/>
    </row>
    <row r="7" spans="1:27" ht="18" customHeight="1" thickBot="1" x14ac:dyDescent="0.4">
      <c r="A7" s="3836"/>
      <c r="B7" s="3838"/>
      <c r="C7" s="3839"/>
      <c r="D7" s="3834">
        <v>1</v>
      </c>
      <c r="E7" s="3834"/>
      <c r="F7" s="3834">
        <v>2</v>
      </c>
      <c r="G7" s="3834"/>
      <c r="H7" s="3834">
        <v>3</v>
      </c>
      <c r="I7" s="3834"/>
      <c r="J7" s="3834">
        <v>4</v>
      </c>
      <c r="K7" s="3834"/>
      <c r="L7" s="3834">
        <v>5</v>
      </c>
      <c r="M7" s="3844"/>
      <c r="N7" s="3829"/>
      <c r="O7" s="3830"/>
      <c r="P7" s="3838"/>
      <c r="Q7" s="3839"/>
      <c r="R7" s="3839"/>
      <c r="S7" s="3846"/>
      <c r="T7" s="3846"/>
      <c r="U7" s="3847"/>
      <c r="V7" s="3847"/>
      <c r="W7" s="3848"/>
      <c r="X7" s="3848"/>
      <c r="Y7" s="3849"/>
      <c r="Z7" s="3850"/>
      <c r="AA7" s="3828"/>
    </row>
    <row r="8" spans="1:27" ht="36" customHeight="1" x14ac:dyDescent="0.35">
      <c r="A8" s="3827" t="s">
        <v>2346</v>
      </c>
      <c r="B8" s="3827"/>
      <c r="C8" s="3827"/>
      <c r="D8" s="3827"/>
      <c r="E8" s="3827"/>
      <c r="F8" s="3827"/>
      <c r="G8" s="3827"/>
      <c r="H8" s="3827"/>
      <c r="I8" s="3827"/>
      <c r="J8" s="3827"/>
      <c r="K8" s="3827"/>
      <c r="L8" s="3827"/>
      <c r="M8" s="3827"/>
      <c r="N8" s="3827"/>
      <c r="O8" s="3827"/>
      <c r="P8" s="3827"/>
      <c r="Q8" s="3827"/>
      <c r="R8" s="3827"/>
      <c r="S8" s="3827"/>
      <c r="T8" s="3827"/>
      <c r="U8" s="3827"/>
      <c r="V8" s="3827"/>
      <c r="W8" s="3827"/>
      <c r="X8" s="3827"/>
      <c r="Y8" s="3827"/>
      <c r="Z8" s="3827"/>
      <c r="AA8" s="3827"/>
    </row>
    <row r="9" spans="1:27" s="2838" customFormat="1" ht="33.75" hidden="1" customHeight="1" x14ac:dyDescent="0.25">
      <c r="A9" s="3790" t="s">
        <v>2669</v>
      </c>
      <c r="B9" s="3790"/>
      <c r="C9" s="3790"/>
      <c r="D9" s="3790"/>
      <c r="E9" s="3790"/>
      <c r="F9" s="3790"/>
      <c r="G9" s="3790"/>
      <c r="H9" s="3790"/>
      <c r="I9" s="3790"/>
      <c r="J9" s="3790"/>
      <c r="K9" s="3790"/>
      <c r="L9" s="3790"/>
      <c r="M9" s="3790"/>
      <c r="N9" s="3790"/>
      <c r="O9" s="3790"/>
      <c r="P9" s="3790"/>
      <c r="Q9" s="3790"/>
      <c r="R9" s="3790"/>
      <c r="S9" s="3790"/>
      <c r="T9" s="3790"/>
      <c r="U9" s="3790"/>
      <c r="V9" s="3790"/>
      <c r="W9" s="3790"/>
      <c r="X9" s="3790"/>
      <c r="Y9" s="3790"/>
      <c r="Z9" s="3790"/>
    </row>
    <row r="10" spans="1:27" s="2840" customFormat="1" ht="15.5" hidden="1" x14ac:dyDescent="0.35">
      <c r="A10" s="2839"/>
      <c r="B10" s="2839"/>
      <c r="C10" s="2839"/>
      <c r="D10" s="2839"/>
      <c r="E10" s="2839"/>
      <c r="F10" s="2839"/>
      <c r="G10" s="2839"/>
      <c r="H10" s="2839"/>
      <c r="I10" s="2839"/>
      <c r="J10" s="2839"/>
      <c r="K10" s="2839"/>
      <c r="L10" s="2839"/>
      <c r="M10" s="2839"/>
    </row>
    <row r="11" spans="1:27" s="2840" customFormat="1" ht="16" hidden="1" thickBot="1" x14ac:dyDescent="0.4">
      <c r="A11" s="2839"/>
      <c r="B11" s="2839"/>
      <c r="C11" s="2839"/>
      <c r="D11" s="2839"/>
      <c r="E11" s="2839"/>
      <c r="F11" s="2839"/>
      <c r="G11" s="2839"/>
      <c r="H11" s="2839"/>
      <c r="I11" s="2839"/>
      <c r="J11" s="2839"/>
      <c r="K11" s="2839"/>
      <c r="L11" s="2839"/>
      <c r="M11" s="2839"/>
    </row>
    <row r="12" spans="1:27" s="192" customFormat="1" ht="77.25" hidden="1" customHeight="1" thickTop="1" thickBot="1" x14ac:dyDescent="0.4">
      <c r="A12" s="3818" t="str">
        <f>NomProd1
&amp;
" Repartition Sectorielle"</f>
        <v>EQUINIX Repartition Sectorielle</v>
      </c>
      <c r="B12" s="3819"/>
      <c r="C12" s="2841" t="s">
        <v>222</v>
      </c>
      <c r="D12" s="771" t="s">
        <v>327</v>
      </c>
      <c r="E12" s="772" t="s">
        <v>299</v>
      </c>
      <c r="F12" s="772" t="s">
        <v>328</v>
      </c>
      <c r="G12" s="772" t="s">
        <v>329</v>
      </c>
      <c r="H12" s="772" t="s">
        <v>330</v>
      </c>
      <c r="I12" s="772" t="s">
        <v>331</v>
      </c>
      <c r="J12" s="772" t="s">
        <v>332</v>
      </c>
      <c r="K12" s="772" t="s">
        <v>333</v>
      </c>
      <c r="L12" s="772" t="s">
        <v>334</v>
      </c>
      <c r="M12" s="772" t="s">
        <v>335</v>
      </c>
      <c r="N12" s="772" t="s">
        <v>336</v>
      </c>
      <c r="O12" s="772" t="s">
        <v>337</v>
      </c>
      <c r="P12" s="772" t="s">
        <v>338</v>
      </c>
      <c r="Q12" s="772" t="s">
        <v>339</v>
      </c>
      <c r="R12" s="772" t="s">
        <v>340</v>
      </c>
      <c r="S12" s="772" t="s">
        <v>341</v>
      </c>
      <c r="T12" s="772" t="s">
        <v>342</v>
      </c>
      <c r="U12" s="772" t="s">
        <v>343</v>
      </c>
      <c r="V12" s="772" t="s">
        <v>349</v>
      </c>
      <c r="W12" s="772" t="s">
        <v>344</v>
      </c>
      <c r="X12" s="772" t="s">
        <v>345</v>
      </c>
      <c r="Y12" s="772" t="s">
        <v>346</v>
      </c>
      <c r="Z12" s="773" t="s">
        <v>347</v>
      </c>
      <c r="AA12" s="701"/>
    </row>
    <row r="13" spans="1:27" ht="3.75" hidden="1" customHeight="1" thickBot="1" x14ac:dyDescent="0.4">
      <c r="A13" s="774"/>
      <c r="B13" s="775"/>
      <c r="C13" s="776"/>
      <c r="D13" s="777"/>
      <c r="E13" s="778"/>
      <c r="F13" s="778"/>
      <c r="G13" s="778"/>
      <c r="H13" s="778"/>
      <c r="I13" s="778"/>
      <c r="J13" s="778"/>
      <c r="K13" s="778"/>
      <c r="L13" s="778"/>
      <c r="M13" s="778"/>
      <c r="N13" s="778"/>
      <c r="O13" s="778"/>
      <c r="P13" s="778"/>
      <c r="Q13" s="778"/>
      <c r="R13" s="778"/>
      <c r="S13" s="778"/>
      <c r="T13" s="778"/>
      <c r="U13" s="778"/>
      <c r="V13" s="778"/>
      <c r="W13" s="778"/>
      <c r="X13" s="778"/>
      <c r="Y13" s="778"/>
      <c r="Z13" s="779"/>
      <c r="AA13" s="64"/>
    </row>
    <row r="14" spans="1:27" ht="34.5" hidden="1" customHeight="1" thickBot="1" x14ac:dyDescent="0.4">
      <c r="A14" s="3816" t="s">
        <v>2663</v>
      </c>
      <c r="B14" s="3817"/>
      <c r="C14" s="783"/>
      <c r="D14" s="2929"/>
      <c r="E14" s="2930"/>
      <c r="F14" s="2930"/>
      <c r="G14" s="2930"/>
      <c r="H14" s="2930"/>
      <c r="I14" s="2930"/>
      <c r="J14" s="2930"/>
      <c r="K14" s="2930"/>
      <c r="L14" s="2930"/>
      <c r="M14" s="2930"/>
      <c r="N14" s="2930"/>
      <c r="O14" s="2930"/>
      <c r="P14" s="2930"/>
      <c r="Q14" s="2930"/>
      <c r="R14" s="2930"/>
      <c r="S14" s="2930"/>
      <c r="T14" s="2930"/>
      <c r="U14" s="2930"/>
      <c r="V14" s="2930"/>
      <c r="W14" s="234"/>
      <c r="X14" s="234"/>
      <c r="Y14" s="234"/>
      <c r="Z14" s="235"/>
      <c r="AA14" s="64"/>
    </row>
    <row r="15" spans="1:27" ht="34.5" hidden="1" customHeight="1" x14ac:dyDescent="0.35">
      <c r="A15" s="3816" t="s">
        <v>2666</v>
      </c>
      <c r="B15" s="3817"/>
      <c r="C15" s="783"/>
      <c r="D15" s="353"/>
      <c r="E15" s="234"/>
      <c r="F15" s="234"/>
      <c r="G15" s="234"/>
      <c r="H15" s="234"/>
      <c r="I15" s="234"/>
      <c r="J15" s="234"/>
      <c r="K15" s="234"/>
      <c r="L15" s="234"/>
      <c r="M15" s="234"/>
      <c r="N15" s="234"/>
      <c r="O15" s="234"/>
      <c r="P15" s="234"/>
      <c r="Q15" s="234"/>
      <c r="R15" s="234"/>
      <c r="S15" s="234"/>
      <c r="T15" s="234"/>
      <c r="U15" s="234"/>
      <c r="V15" s="234"/>
      <c r="W15" s="234"/>
      <c r="X15" s="234"/>
      <c r="Y15" s="234"/>
      <c r="Z15" s="235"/>
      <c r="AA15" s="64"/>
    </row>
    <row r="16" spans="1:27" s="66" customFormat="1" ht="9.75" hidden="1" customHeight="1" thickBot="1" x14ac:dyDescent="0.4">
      <c r="A16" s="807"/>
      <c r="B16" s="807"/>
      <c r="C16" s="2842"/>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397"/>
    </row>
    <row r="17" spans="1:27" ht="34.5" hidden="1" customHeight="1" thickTop="1" x14ac:dyDescent="0.35">
      <c r="A17" s="3805" t="s">
        <v>2662</v>
      </c>
      <c r="B17" s="3806"/>
      <c r="C17" s="2853">
        <f>SUM(D17:Z17)</f>
        <v>0</v>
      </c>
      <c r="D17" s="2855"/>
      <c r="E17" s="2856"/>
      <c r="F17" s="2856"/>
      <c r="G17" s="2856"/>
      <c r="H17" s="2856"/>
      <c r="I17" s="2856"/>
      <c r="J17" s="2856"/>
      <c r="K17" s="2856"/>
      <c r="L17" s="2856"/>
      <c r="M17" s="2856"/>
      <c r="N17" s="2856"/>
      <c r="O17" s="2856"/>
      <c r="P17" s="2856"/>
      <c r="Q17" s="2856"/>
      <c r="R17" s="2856"/>
      <c r="S17" s="2856"/>
      <c r="T17" s="2856"/>
      <c r="U17" s="2856"/>
      <c r="V17" s="2856"/>
      <c r="W17" s="2856"/>
      <c r="X17" s="2856"/>
      <c r="Y17" s="2856"/>
      <c r="Z17" s="2857"/>
      <c r="AA17" s="64"/>
    </row>
    <row r="18" spans="1:27" ht="34.5" hidden="1" customHeight="1" x14ac:dyDescent="0.35">
      <c r="A18" s="3807" t="s">
        <v>2667</v>
      </c>
      <c r="B18" s="3808"/>
      <c r="C18" s="2854">
        <f>SUM(D18:Z18)</f>
        <v>0</v>
      </c>
      <c r="D18" s="2858"/>
      <c r="E18" s="2859"/>
      <c r="F18" s="2859"/>
      <c r="G18" s="2859"/>
      <c r="H18" s="2859"/>
      <c r="I18" s="2859"/>
      <c r="J18" s="2859"/>
      <c r="K18" s="2859"/>
      <c r="L18" s="2859"/>
      <c r="M18" s="2859"/>
      <c r="N18" s="2859"/>
      <c r="O18" s="2859"/>
      <c r="P18" s="2859"/>
      <c r="Q18" s="2859"/>
      <c r="R18" s="2859"/>
      <c r="S18" s="2859"/>
      <c r="T18" s="2859"/>
      <c r="U18" s="2859"/>
      <c r="V18" s="2859"/>
      <c r="W18" s="2859"/>
      <c r="X18" s="2859"/>
      <c r="Y18" s="2859"/>
      <c r="Z18" s="2860"/>
      <c r="AA18" s="64"/>
    </row>
    <row r="19" spans="1:27" ht="34.5" hidden="1" customHeight="1" thickBot="1" x14ac:dyDescent="0.4">
      <c r="A19" s="3809" t="s">
        <v>2665</v>
      </c>
      <c r="B19" s="3810"/>
      <c r="C19" s="2861">
        <f>SUM(D19:Z19)</f>
        <v>0</v>
      </c>
      <c r="D19" s="2862"/>
      <c r="E19" s="2863"/>
      <c r="F19" s="2863"/>
      <c r="G19" s="2863"/>
      <c r="H19" s="2863"/>
      <c r="I19" s="2863"/>
      <c r="J19" s="2863"/>
      <c r="K19" s="2863"/>
      <c r="L19" s="2863"/>
      <c r="M19" s="2863"/>
      <c r="N19" s="2863"/>
      <c r="O19" s="2863"/>
      <c r="P19" s="2863"/>
      <c r="Q19" s="2863"/>
      <c r="R19" s="2863"/>
      <c r="S19" s="2863"/>
      <c r="T19" s="2863"/>
      <c r="U19" s="2863"/>
      <c r="V19" s="2863"/>
      <c r="W19" s="2863"/>
      <c r="X19" s="2863"/>
      <c r="Y19" s="2863"/>
      <c r="Z19" s="2864"/>
      <c r="AA19" s="64"/>
    </row>
    <row r="20" spans="1:27" ht="49.5" hidden="1" customHeight="1" thickTop="1" thickBot="1" x14ac:dyDescent="0.4">
      <c r="A20" s="3811" t="s">
        <v>2668</v>
      </c>
      <c r="B20" s="3812"/>
      <c r="C20" s="2865">
        <f>SUM(D20:Z20)</f>
        <v>0</v>
      </c>
      <c r="D20" s="2866">
        <f t="shared" ref="D20:Z20" si="0">E19-E18</f>
        <v>0</v>
      </c>
      <c r="E20" s="2867">
        <f>E19-E18</f>
        <v>0</v>
      </c>
      <c r="F20" s="2867">
        <f t="shared" ref="F20:Y20" si="1">F19-F18</f>
        <v>0</v>
      </c>
      <c r="G20" s="2867">
        <f t="shared" si="1"/>
        <v>0</v>
      </c>
      <c r="H20" s="2867">
        <f t="shared" si="1"/>
        <v>0</v>
      </c>
      <c r="I20" s="2867">
        <f t="shared" si="1"/>
        <v>0</v>
      </c>
      <c r="J20" s="2867">
        <f t="shared" si="1"/>
        <v>0</v>
      </c>
      <c r="K20" s="2867">
        <f t="shared" si="1"/>
        <v>0</v>
      </c>
      <c r="L20" s="2867">
        <f t="shared" si="1"/>
        <v>0</v>
      </c>
      <c r="M20" s="2867">
        <f t="shared" si="1"/>
        <v>0</v>
      </c>
      <c r="N20" s="2867">
        <f t="shared" si="1"/>
        <v>0</v>
      </c>
      <c r="O20" s="2867">
        <f t="shared" si="1"/>
        <v>0</v>
      </c>
      <c r="P20" s="2867">
        <f t="shared" si="1"/>
        <v>0</v>
      </c>
      <c r="Q20" s="2867">
        <f t="shared" si="1"/>
        <v>0</v>
      </c>
      <c r="R20" s="2867">
        <f t="shared" si="1"/>
        <v>0</v>
      </c>
      <c r="S20" s="2867">
        <f t="shared" si="1"/>
        <v>0</v>
      </c>
      <c r="T20" s="2867">
        <f t="shared" si="1"/>
        <v>0</v>
      </c>
      <c r="U20" s="2867">
        <f t="shared" si="1"/>
        <v>0</v>
      </c>
      <c r="V20" s="2867">
        <f t="shared" si="1"/>
        <v>0</v>
      </c>
      <c r="W20" s="2867">
        <f t="shared" si="1"/>
        <v>0</v>
      </c>
      <c r="X20" s="2867">
        <f t="shared" si="1"/>
        <v>0</v>
      </c>
      <c r="Y20" s="2867">
        <f t="shared" si="1"/>
        <v>0</v>
      </c>
      <c r="Z20" s="2868">
        <f t="shared" si="0"/>
        <v>0</v>
      </c>
      <c r="AA20" s="64"/>
    </row>
    <row r="21" spans="1:27" s="66" customFormat="1" ht="34.5" customHeight="1" x14ac:dyDescent="0.35">
      <c r="A21" s="807"/>
      <c r="B21" s="807"/>
      <c r="C21" s="2842"/>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397"/>
    </row>
    <row r="22" spans="1:27" s="2838" customFormat="1" ht="33.75" customHeight="1" x14ac:dyDescent="0.25">
      <c r="A22" s="3790" t="s">
        <v>2814</v>
      </c>
      <c r="B22" s="3790"/>
      <c r="C22" s="3790"/>
      <c r="D22" s="3790"/>
      <c r="E22" s="3790"/>
      <c r="F22" s="3790"/>
      <c r="G22" s="3790"/>
      <c r="H22" s="3790"/>
      <c r="I22" s="3790"/>
      <c r="J22" s="3790"/>
      <c r="K22" s="3790"/>
      <c r="L22" s="3790"/>
      <c r="M22" s="3790"/>
      <c r="N22" s="3790"/>
      <c r="O22" s="3790"/>
      <c r="P22" s="3790"/>
      <c r="Q22" s="3790"/>
      <c r="R22" s="3790"/>
      <c r="S22" s="3790"/>
      <c r="T22" s="3790"/>
      <c r="U22" s="3790"/>
      <c r="V22" s="3790"/>
      <c r="W22" s="3790"/>
      <c r="X22" s="3790"/>
      <c r="Y22" s="3790"/>
      <c r="Z22" s="3790"/>
    </row>
    <row r="23" spans="1:27" ht="34.5" customHeight="1" thickBot="1" x14ac:dyDescent="0.4">
      <c r="A23" s="826"/>
      <c r="B23" s="826"/>
      <c r="C23" s="2843"/>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64"/>
    </row>
    <row r="24" spans="1:27" s="192" customFormat="1" ht="90.75" customHeight="1" thickTop="1" thickBot="1" x14ac:dyDescent="0.4">
      <c r="A24" s="3820" t="s">
        <v>2790</v>
      </c>
      <c r="B24" s="3821"/>
      <c r="C24" s="2844" t="s">
        <v>222</v>
      </c>
      <c r="D24" s="771" t="s">
        <v>362</v>
      </c>
      <c r="E24" s="771" t="s">
        <v>363</v>
      </c>
      <c r="F24" s="771" t="s">
        <v>2791</v>
      </c>
      <c r="G24" s="771" t="s">
        <v>365</v>
      </c>
      <c r="H24" s="771" t="s">
        <v>366</v>
      </c>
      <c r="I24" s="771"/>
      <c r="J24" s="771" t="s">
        <v>368</v>
      </c>
      <c r="K24" s="771" t="s">
        <v>369</v>
      </c>
      <c r="L24" s="771" t="s">
        <v>370</v>
      </c>
      <c r="M24" s="771" t="s">
        <v>371</v>
      </c>
      <c r="N24" s="771" t="s">
        <v>372</v>
      </c>
      <c r="O24" s="771" t="s">
        <v>373</v>
      </c>
      <c r="P24" s="771" t="s">
        <v>374</v>
      </c>
      <c r="Q24" s="771" t="s">
        <v>375</v>
      </c>
      <c r="R24" s="771" t="s">
        <v>376</v>
      </c>
      <c r="S24" s="771" t="s">
        <v>377</v>
      </c>
      <c r="T24" s="771" t="s">
        <v>378</v>
      </c>
      <c r="U24" s="771" t="s">
        <v>379</v>
      </c>
      <c r="V24" s="771" t="s">
        <v>380</v>
      </c>
      <c r="W24" s="771" t="s">
        <v>381</v>
      </c>
      <c r="X24" s="771" t="s">
        <v>1059</v>
      </c>
      <c r="Y24" s="701"/>
      <c r="Z24" s="701"/>
      <c r="AA24" s="701"/>
    </row>
    <row r="25" spans="1:27" s="66" customFormat="1" ht="3.75" customHeight="1" thickBot="1" x14ac:dyDescent="0.4">
      <c r="A25" s="806"/>
      <c r="B25" s="807"/>
      <c r="C25" s="808"/>
      <c r="D25" s="809"/>
      <c r="E25" s="810"/>
      <c r="F25" s="810"/>
      <c r="G25" s="810"/>
      <c r="H25" s="810"/>
      <c r="I25" s="810"/>
      <c r="J25" s="810"/>
      <c r="K25" s="810"/>
      <c r="L25" s="810"/>
      <c r="M25" s="810"/>
      <c r="N25" s="810"/>
      <c r="O25" s="810"/>
      <c r="P25" s="810"/>
      <c r="Q25" s="810"/>
      <c r="R25" s="810"/>
      <c r="S25" s="810"/>
      <c r="T25" s="810"/>
      <c r="U25" s="810"/>
      <c r="V25" s="810"/>
      <c r="W25" s="810"/>
      <c r="X25" s="811"/>
      <c r="Y25" s="64"/>
      <c r="Z25" s="397"/>
      <c r="AA25" s="397"/>
    </row>
    <row r="26" spans="1:27" ht="34.5" customHeight="1" thickBot="1" x14ac:dyDescent="0.4">
      <c r="A26" s="3816" t="s">
        <v>2663</v>
      </c>
      <c r="B26" s="3817"/>
      <c r="C26" s="783"/>
      <c r="D26" s="2928">
        <v>5</v>
      </c>
      <c r="E26" s="2850">
        <v>4</v>
      </c>
      <c r="F26" s="2928">
        <v>4</v>
      </c>
      <c r="G26" s="2852">
        <v>2</v>
      </c>
      <c r="H26" s="2928">
        <v>4</v>
      </c>
      <c r="I26" s="2928"/>
      <c r="J26" s="2851">
        <v>3</v>
      </c>
      <c r="K26" s="2852">
        <v>1</v>
      </c>
      <c r="L26" s="2851">
        <v>1</v>
      </c>
      <c r="M26" s="2928">
        <v>2</v>
      </c>
      <c r="N26" s="2928">
        <v>2</v>
      </c>
      <c r="O26" s="2850">
        <v>2</v>
      </c>
      <c r="P26" s="2851">
        <v>2</v>
      </c>
      <c r="Q26" s="2851">
        <v>1</v>
      </c>
      <c r="R26" s="2850">
        <v>2</v>
      </c>
      <c r="S26" s="2850">
        <v>2</v>
      </c>
      <c r="T26" s="2850">
        <v>1</v>
      </c>
      <c r="U26" s="2850">
        <v>1</v>
      </c>
      <c r="V26" s="2850">
        <v>2</v>
      </c>
      <c r="W26" s="2850">
        <v>1</v>
      </c>
      <c r="X26" s="2850">
        <v>1</v>
      </c>
      <c r="Y26" s="234"/>
      <c r="Z26" s="235"/>
      <c r="AA26" s="64"/>
    </row>
    <row r="27" spans="1:27" ht="34.5" customHeight="1" x14ac:dyDescent="0.35">
      <c r="A27" s="3816" t="s">
        <v>2666</v>
      </c>
      <c r="B27" s="3817"/>
      <c r="C27" s="783"/>
      <c r="D27" s="353" t="s">
        <v>2042</v>
      </c>
      <c r="E27" s="234" t="s">
        <v>2042</v>
      </c>
      <c r="F27" s="234" t="s">
        <v>2042</v>
      </c>
      <c r="G27" s="234"/>
      <c r="H27" s="234" t="s">
        <v>2042</v>
      </c>
      <c r="I27" s="234"/>
      <c r="J27" s="234" t="s">
        <v>2043</v>
      </c>
      <c r="K27" s="234"/>
      <c r="L27" s="234"/>
      <c r="M27" s="234" t="s">
        <v>2043</v>
      </c>
      <c r="N27" s="234" t="s">
        <v>2664</v>
      </c>
      <c r="O27" s="234"/>
      <c r="P27" s="234"/>
      <c r="Q27" s="234"/>
      <c r="R27" s="234"/>
      <c r="S27" s="234"/>
      <c r="T27" s="234"/>
      <c r="U27" s="234"/>
      <c r="V27" s="234"/>
      <c r="W27" s="234"/>
      <c r="X27" s="234"/>
      <c r="Y27" s="234"/>
      <c r="Z27" s="235"/>
      <c r="AA27" s="64"/>
    </row>
    <row r="28" spans="1:27" s="66" customFormat="1" ht="9.75" customHeight="1" x14ac:dyDescent="0.35">
      <c r="A28" s="807"/>
      <c r="B28" s="807"/>
      <c r="C28" s="2842"/>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397"/>
    </row>
    <row r="29" spans="1:27" ht="34.5" customHeight="1" x14ac:dyDescent="0.35">
      <c r="A29" s="3807" t="s">
        <v>2667</v>
      </c>
      <c r="B29" s="3808"/>
      <c r="C29" s="2854">
        <f>SUM(D29:Z29)</f>
        <v>0</v>
      </c>
      <c r="D29" s="2858"/>
      <c r="E29" s="2859"/>
      <c r="F29" s="2859"/>
      <c r="G29" s="2859"/>
      <c r="H29" s="2859"/>
      <c r="I29" s="2859"/>
      <c r="J29" s="2859"/>
      <c r="K29" s="2859"/>
      <c r="L29" s="2859"/>
      <c r="M29" s="2859"/>
      <c r="N29" s="2859"/>
      <c r="O29" s="2859"/>
      <c r="P29" s="2859"/>
      <c r="Q29" s="2859"/>
      <c r="R29" s="2859"/>
      <c r="S29" s="2859"/>
      <c r="T29" s="2859"/>
      <c r="U29" s="2859"/>
      <c r="V29" s="2859"/>
      <c r="W29" s="2859"/>
      <c r="X29" s="2859"/>
      <c r="Y29" s="2859"/>
      <c r="Z29" s="2860"/>
      <c r="AA29" s="64"/>
    </row>
    <row r="30" spans="1:27" ht="34.5" customHeight="1" thickBot="1" x14ac:dyDescent="0.4">
      <c r="A30" s="3809" t="s">
        <v>2665</v>
      </c>
      <c r="B30" s="3810"/>
      <c r="C30" s="2861">
        <f>SUM(D30:Z30)</f>
        <v>0</v>
      </c>
      <c r="D30" s="2862"/>
      <c r="E30" s="2863"/>
      <c r="F30" s="2863"/>
      <c r="G30" s="2863"/>
      <c r="H30" s="2863"/>
      <c r="I30" s="2863"/>
      <c r="J30" s="2863"/>
      <c r="K30" s="2863"/>
      <c r="L30" s="2863"/>
      <c r="M30" s="2863"/>
      <c r="N30" s="2863"/>
      <c r="O30" s="2863"/>
      <c r="P30" s="2863"/>
      <c r="Q30" s="2863"/>
      <c r="R30" s="2863"/>
      <c r="S30" s="2863"/>
      <c r="T30" s="2863"/>
      <c r="U30" s="2863"/>
      <c r="V30" s="2863"/>
      <c r="W30" s="2863"/>
      <c r="X30" s="2863"/>
      <c r="Y30" s="2863"/>
      <c r="Z30" s="2864"/>
      <c r="AA30" s="64"/>
    </row>
    <row r="31" spans="1:27" ht="49.5" customHeight="1" thickTop="1" thickBot="1" x14ac:dyDescent="0.4">
      <c r="A31" s="3811" t="s">
        <v>2668</v>
      </c>
      <c r="B31" s="3812"/>
      <c r="C31" s="2865">
        <f>SUM(D31:Z31)</f>
        <v>0</v>
      </c>
      <c r="D31" s="2866">
        <f t="shared" ref="D31" si="2">E30-E29</f>
        <v>0</v>
      </c>
      <c r="E31" s="2867">
        <f>E30-E29</f>
        <v>0</v>
      </c>
      <c r="F31" s="2867">
        <f t="shared" ref="F31" si="3">F30-F29</f>
        <v>0</v>
      </c>
      <c r="G31" s="2867">
        <f t="shared" ref="G31" si="4">G30-G29</f>
        <v>0</v>
      </c>
      <c r="H31" s="2867">
        <f t="shared" ref="H31" si="5">H30-H29</f>
        <v>0</v>
      </c>
      <c r="I31" s="2867">
        <f t="shared" ref="I31" si="6">I30-I29</f>
        <v>0</v>
      </c>
      <c r="J31" s="2867">
        <f t="shared" ref="J31" si="7">J30-J29</f>
        <v>0</v>
      </c>
      <c r="K31" s="2867">
        <f t="shared" ref="K31" si="8">K30-K29</f>
        <v>0</v>
      </c>
      <c r="L31" s="2867">
        <f t="shared" ref="L31" si="9">L30-L29</f>
        <v>0</v>
      </c>
      <c r="M31" s="2867">
        <f t="shared" ref="M31" si="10">M30-M29</f>
        <v>0</v>
      </c>
      <c r="N31" s="2867">
        <f t="shared" ref="N31" si="11">N30-N29</f>
        <v>0</v>
      </c>
      <c r="O31" s="2867">
        <f t="shared" ref="O31" si="12">O30-O29</f>
        <v>0</v>
      </c>
      <c r="P31" s="2867">
        <f t="shared" ref="P31" si="13">P30-P29</f>
        <v>0</v>
      </c>
      <c r="Q31" s="2867">
        <f t="shared" ref="Q31" si="14">Q30-Q29</f>
        <v>0</v>
      </c>
      <c r="R31" s="2867">
        <f t="shared" ref="R31" si="15">R30-R29</f>
        <v>0</v>
      </c>
      <c r="S31" s="2867">
        <f t="shared" ref="S31" si="16">S30-S29</f>
        <v>0</v>
      </c>
      <c r="T31" s="2867">
        <f t="shared" ref="T31" si="17">T30-T29</f>
        <v>0</v>
      </c>
      <c r="U31" s="2867">
        <f t="shared" ref="U31" si="18">U30-U29</f>
        <v>0</v>
      </c>
      <c r="V31" s="2867">
        <f t="shared" ref="V31" si="19">V30-V29</f>
        <v>0</v>
      </c>
      <c r="W31" s="2867">
        <f t="shared" ref="W31" si="20">W30-W29</f>
        <v>0</v>
      </c>
      <c r="X31" s="2867">
        <f t="shared" ref="X31" si="21">X30-X29</f>
        <v>0</v>
      </c>
      <c r="Y31" s="2867">
        <f t="shared" ref="Y31" si="22">Y30-Y29</f>
        <v>0</v>
      </c>
      <c r="Z31" s="2868">
        <f t="shared" ref="Z31" si="23">AA30-AA29</f>
        <v>0</v>
      </c>
      <c r="AA31" s="64"/>
    </row>
    <row r="32" spans="1:27" s="66" customFormat="1" ht="39" customHeight="1" thickTop="1" x14ac:dyDescent="0.35">
      <c r="A32" s="807"/>
      <c r="B32" s="807"/>
      <c r="C32" s="269"/>
      <c r="D32" s="269"/>
      <c r="E32" s="269"/>
      <c r="F32" s="269"/>
      <c r="G32" s="269"/>
      <c r="H32" s="269"/>
      <c r="I32" s="269"/>
      <c r="J32" s="269"/>
      <c r="K32" s="269"/>
      <c r="L32" s="269"/>
      <c r="M32" s="269"/>
      <c r="N32" s="269"/>
      <c r="O32" s="269"/>
      <c r="P32" s="269"/>
      <c r="Q32" s="269"/>
      <c r="R32" s="269"/>
      <c r="S32" s="269"/>
      <c r="T32" s="269"/>
      <c r="U32" s="269"/>
      <c r="V32" s="269"/>
      <c r="W32" s="269"/>
      <c r="X32" s="269"/>
      <c r="Y32" s="397"/>
      <c r="Z32" s="397"/>
      <c r="AA32" s="397"/>
    </row>
    <row r="33" spans="1:28" s="2838" customFormat="1" ht="33.75" hidden="1" customHeight="1" thickBot="1" x14ac:dyDescent="0.3">
      <c r="A33" s="3813" t="s">
        <v>2670</v>
      </c>
      <c r="B33" s="3813"/>
      <c r="C33" s="3813"/>
      <c r="D33" s="3813"/>
      <c r="E33" s="3813"/>
      <c r="F33" s="3813"/>
      <c r="G33" s="3813"/>
      <c r="H33" s="3813"/>
      <c r="I33" s="3813"/>
      <c r="J33" s="3813"/>
      <c r="K33" s="3813"/>
      <c r="L33" s="3813"/>
      <c r="M33" s="3813"/>
      <c r="N33" s="3813"/>
      <c r="O33" s="3813"/>
      <c r="P33" s="3813"/>
      <c r="Q33" s="3813"/>
      <c r="R33" s="3813"/>
      <c r="S33" s="3813"/>
      <c r="T33" s="3813"/>
      <c r="U33" s="3813"/>
      <c r="V33" s="3813"/>
      <c r="W33" s="3813"/>
      <c r="X33" s="3813"/>
      <c r="Y33" s="3813"/>
      <c r="Z33" s="3813"/>
    </row>
    <row r="34" spans="1:28" s="103" customFormat="1" ht="25.5" hidden="1" customHeight="1" thickTop="1" thickBot="1" x14ac:dyDescent="0.4">
      <c r="A34" s="2845"/>
      <c r="B34" s="2845"/>
      <c r="C34" s="2846"/>
      <c r="D34" s="2846"/>
      <c r="E34" s="2846"/>
      <c r="F34" s="2846"/>
      <c r="G34" s="2846"/>
      <c r="H34" s="2846"/>
      <c r="I34" s="2846"/>
      <c r="J34" s="2846"/>
      <c r="K34" s="2846"/>
      <c r="L34" s="2846"/>
      <c r="M34" s="2846"/>
      <c r="N34" s="2846"/>
      <c r="O34" s="2846"/>
      <c r="P34" s="2846"/>
      <c r="Q34" s="2846"/>
      <c r="R34" s="2846"/>
      <c r="S34" s="2846"/>
      <c r="T34" s="2846"/>
      <c r="U34" s="2846"/>
      <c r="V34" s="2846"/>
      <c r="W34" s="2846"/>
      <c r="X34" s="2846"/>
      <c r="Y34" s="112"/>
      <c r="Z34" s="112"/>
      <c r="AA34" s="112"/>
    </row>
    <row r="35" spans="1:28" s="192" customFormat="1" ht="90.75" hidden="1" customHeight="1" thickTop="1" thickBot="1" x14ac:dyDescent="0.4">
      <c r="A35" s="3814" t="str">
        <f>NomProd1 &amp;
" Repartition Export"</f>
        <v>EQUINIX Repartition Export</v>
      </c>
      <c r="B35" s="3815"/>
      <c r="C35" s="2847" t="s">
        <v>222</v>
      </c>
      <c r="D35" s="771" t="s">
        <v>382</v>
      </c>
      <c r="E35" s="771" t="s">
        <v>383</v>
      </c>
      <c r="F35" s="771" t="s">
        <v>384</v>
      </c>
      <c r="G35" s="771" t="s">
        <v>385</v>
      </c>
      <c r="H35" s="771" t="s">
        <v>386</v>
      </c>
      <c r="I35" s="771" t="s">
        <v>387</v>
      </c>
      <c r="J35" s="771" t="s">
        <v>388</v>
      </c>
      <c r="K35" s="771" t="s">
        <v>389</v>
      </c>
      <c r="L35" s="771" t="s">
        <v>390</v>
      </c>
      <c r="M35" s="771" t="s">
        <v>391</v>
      </c>
      <c r="N35" s="771" t="s">
        <v>392</v>
      </c>
      <c r="O35" s="771" t="s">
        <v>393</v>
      </c>
      <c r="P35" s="771" t="s">
        <v>394</v>
      </c>
      <c r="Q35" s="771" t="s">
        <v>395</v>
      </c>
      <c r="R35" s="771" t="s">
        <v>396</v>
      </c>
      <c r="S35" s="771" t="s">
        <v>397</v>
      </c>
      <c r="T35" s="771" t="s">
        <v>398</v>
      </c>
      <c r="U35" s="771" t="s">
        <v>399</v>
      </c>
      <c r="V35" s="771" t="s">
        <v>400</v>
      </c>
      <c r="W35" s="771" t="s">
        <v>401</v>
      </c>
      <c r="X35" s="771" t="s">
        <v>402</v>
      </c>
      <c r="Y35" s="771" t="s">
        <v>403</v>
      </c>
      <c r="Z35" s="771" t="s">
        <v>404</v>
      </c>
      <c r="AA35" s="771" t="s">
        <v>405</v>
      </c>
      <c r="AB35" s="701"/>
    </row>
    <row r="36" spans="1:28" ht="9.75" hidden="1" customHeight="1" thickBot="1" x14ac:dyDescent="0.4">
      <c r="A36" s="1162"/>
      <c r="B36" s="1162"/>
      <c r="C36" s="1162"/>
      <c r="D36" s="2828"/>
      <c r="E36" s="2828"/>
      <c r="F36" s="2828"/>
      <c r="G36" s="2828"/>
      <c r="H36" s="2828"/>
      <c r="I36" s="2828"/>
      <c r="J36" s="2828"/>
      <c r="K36" s="2828"/>
      <c r="L36" s="2828"/>
      <c r="M36" s="2828"/>
      <c r="N36" s="2828"/>
      <c r="O36" s="2828"/>
      <c r="P36" s="2828"/>
      <c r="Q36" s="2828"/>
      <c r="R36" s="2828"/>
      <c r="S36" s="2828"/>
      <c r="T36" s="2828"/>
      <c r="U36" s="2828"/>
      <c r="V36" s="2828"/>
      <c r="W36" s="2828"/>
      <c r="X36" s="2828"/>
      <c r="Y36" s="2828"/>
      <c r="Z36" s="2828"/>
      <c r="AA36" s="229"/>
      <c r="AB36" s="64"/>
    </row>
    <row r="37" spans="1:28" ht="20.25" hidden="1" customHeight="1" x14ac:dyDescent="0.35">
      <c r="A37" s="826"/>
      <c r="B37" s="826"/>
      <c r="C37" s="827"/>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64"/>
    </row>
    <row r="38" spans="1:28" ht="34.5" hidden="1" customHeight="1" thickBot="1" x14ac:dyDescent="0.4">
      <c r="A38" s="3816" t="s">
        <v>2663</v>
      </c>
      <c r="B38" s="3817"/>
      <c r="C38" s="783"/>
      <c r="D38" s="2848">
        <v>5</v>
      </c>
      <c r="E38" s="2851">
        <v>4</v>
      </c>
      <c r="F38" s="2849">
        <v>2</v>
      </c>
      <c r="G38" s="2850">
        <v>1</v>
      </c>
      <c r="H38" s="2850">
        <v>2</v>
      </c>
      <c r="I38" s="2852">
        <v>1</v>
      </c>
      <c r="J38" s="2851">
        <v>4</v>
      </c>
      <c r="K38" s="2851">
        <v>5</v>
      </c>
      <c r="L38" s="234">
        <v>1</v>
      </c>
      <c r="M38" s="2849">
        <v>5</v>
      </c>
      <c r="N38" s="2851">
        <v>4</v>
      </c>
      <c r="O38" s="234">
        <v>3</v>
      </c>
      <c r="P38" s="2851">
        <v>4</v>
      </c>
      <c r="Q38" s="2850">
        <v>5</v>
      </c>
      <c r="R38" s="234">
        <v>2</v>
      </c>
      <c r="S38" s="234">
        <v>1</v>
      </c>
      <c r="T38" s="2850">
        <v>4</v>
      </c>
      <c r="U38" s="234">
        <v>3</v>
      </c>
      <c r="V38" s="234">
        <v>1</v>
      </c>
      <c r="W38" s="234">
        <v>2</v>
      </c>
      <c r="X38" s="234">
        <v>1</v>
      </c>
      <c r="Y38" s="234">
        <v>1</v>
      </c>
      <c r="Z38" s="235">
        <v>1</v>
      </c>
      <c r="AA38" s="64"/>
    </row>
    <row r="39" spans="1:28" ht="34.5" hidden="1" customHeight="1" x14ac:dyDescent="0.35">
      <c r="A39" s="3816" t="s">
        <v>2666</v>
      </c>
      <c r="B39" s="3817"/>
      <c r="C39" s="783"/>
      <c r="D39" s="353" t="s">
        <v>2042</v>
      </c>
      <c r="E39" s="234" t="s">
        <v>2043</v>
      </c>
      <c r="F39" s="234"/>
      <c r="G39" s="234"/>
      <c r="H39" s="234"/>
      <c r="I39" s="234"/>
      <c r="J39" s="234" t="s">
        <v>2043</v>
      </c>
      <c r="K39" s="234" t="s">
        <v>2042</v>
      </c>
      <c r="L39" s="234"/>
      <c r="M39" s="234" t="s">
        <v>2042</v>
      </c>
      <c r="N39" s="234" t="s">
        <v>2043</v>
      </c>
      <c r="O39" s="234"/>
      <c r="P39" s="234" t="s">
        <v>2043</v>
      </c>
      <c r="Q39" s="234" t="s">
        <v>2664</v>
      </c>
      <c r="R39" s="234"/>
      <c r="S39" s="234"/>
      <c r="T39" s="234" t="s">
        <v>2664</v>
      </c>
      <c r="U39" s="234"/>
      <c r="V39" s="234"/>
      <c r="W39" s="234"/>
      <c r="X39" s="234"/>
      <c r="Y39" s="234"/>
      <c r="Z39" s="235"/>
      <c r="AA39" s="64"/>
    </row>
    <row r="40" spans="1:28" s="66" customFormat="1" ht="9.75" hidden="1" customHeight="1" thickBot="1" x14ac:dyDescent="0.4">
      <c r="A40" s="807"/>
      <c r="B40" s="807"/>
      <c r="C40" s="2842"/>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397"/>
    </row>
    <row r="41" spans="1:28" ht="34.5" hidden="1" customHeight="1" thickTop="1" x14ac:dyDescent="0.35">
      <c r="A41" s="3805" t="s">
        <v>2662</v>
      </c>
      <c r="B41" s="3806"/>
      <c r="C41" s="2853">
        <f>SUM(D41:Z41)</f>
        <v>133</v>
      </c>
      <c r="D41" s="2855">
        <v>10</v>
      </c>
      <c r="E41" s="2856">
        <v>8</v>
      </c>
      <c r="F41" s="2856"/>
      <c r="G41" s="2856"/>
      <c r="H41" s="2856"/>
      <c r="I41" s="2856"/>
      <c r="J41" s="2856">
        <v>15</v>
      </c>
      <c r="K41" s="2856">
        <v>30</v>
      </c>
      <c r="L41" s="2856"/>
      <c r="M41" s="2856">
        <v>20</v>
      </c>
      <c r="N41" s="2856">
        <v>10</v>
      </c>
      <c r="O41" s="2856"/>
      <c r="P41" s="2856">
        <v>15</v>
      </c>
      <c r="Q41" s="2856">
        <v>20</v>
      </c>
      <c r="R41" s="2856"/>
      <c r="S41" s="2856"/>
      <c r="T41" s="2856">
        <v>5</v>
      </c>
      <c r="U41" s="2856"/>
      <c r="V41" s="2856"/>
      <c r="W41" s="2856"/>
      <c r="X41" s="2856"/>
      <c r="Y41" s="2856"/>
      <c r="Z41" s="2857"/>
      <c r="AA41" s="64"/>
    </row>
    <row r="42" spans="1:28" ht="34.5" hidden="1" customHeight="1" x14ac:dyDescent="0.35">
      <c r="A42" s="3807" t="s">
        <v>2667</v>
      </c>
      <c r="B42" s="3808"/>
      <c r="C42" s="2854">
        <f>SUM(D42:Z42)</f>
        <v>9</v>
      </c>
      <c r="D42" s="2858">
        <v>1</v>
      </c>
      <c r="E42" s="2859">
        <v>1</v>
      </c>
      <c r="F42" s="2859"/>
      <c r="G42" s="2859"/>
      <c r="H42" s="2859"/>
      <c r="I42" s="2859"/>
      <c r="J42" s="2859">
        <v>2</v>
      </c>
      <c r="K42" s="2859">
        <v>1</v>
      </c>
      <c r="L42" s="2859"/>
      <c r="M42" s="2859">
        <v>2</v>
      </c>
      <c r="N42" s="2859">
        <v>1</v>
      </c>
      <c r="O42" s="2859"/>
      <c r="P42" s="2859">
        <v>1</v>
      </c>
      <c r="Q42" s="2859"/>
      <c r="R42" s="2859"/>
      <c r="S42" s="2859"/>
      <c r="T42" s="2859"/>
      <c r="U42" s="2859"/>
      <c r="V42" s="2859"/>
      <c r="W42" s="2859"/>
      <c r="X42" s="2859"/>
      <c r="Y42" s="2859"/>
      <c r="Z42" s="2860"/>
      <c r="AA42" s="64"/>
    </row>
    <row r="43" spans="1:28" ht="34.5" hidden="1" customHeight="1" thickBot="1" x14ac:dyDescent="0.4">
      <c r="A43" s="3809" t="s">
        <v>2665</v>
      </c>
      <c r="B43" s="3810"/>
      <c r="C43" s="2861">
        <f>SUM(D43:Z43)</f>
        <v>18</v>
      </c>
      <c r="D43" s="2862">
        <v>2</v>
      </c>
      <c r="E43" s="2863">
        <v>2</v>
      </c>
      <c r="F43" s="2863">
        <f t="shared" ref="F43" si="24">F41-F42</f>
        <v>0</v>
      </c>
      <c r="G43" s="2863">
        <f t="shared" ref="G43" si="25">G41-G42</f>
        <v>0</v>
      </c>
      <c r="H43" s="2863">
        <f t="shared" ref="H43" si="26">H41-H42</f>
        <v>0</v>
      </c>
      <c r="I43" s="2863">
        <f t="shared" ref="I43" si="27">I41-I42</f>
        <v>0</v>
      </c>
      <c r="J43" s="2863">
        <v>2</v>
      </c>
      <c r="K43" s="2863">
        <v>3</v>
      </c>
      <c r="L43" s="2863">
        <f t="shared" ref="L43" si="28">L41-L42</f>
        <v>0</v>
      </c>
      <c r="M43" s="2863">
        <v>3</v>
      </c>
      <c r="N43" s="2863">
        <v>2</v>
      </c>
      <c r="O43" s="2863">
        <f t="shared" ref="O43" si="29">O41-O42</f>
        <v>0</v>
      </c>
      <c r="P43" s="2863">
        <v>2</v>
      </c>
      <c r="Q43" s="2863">
        <v>1</v>
      </c>
      <c r="R43" s="2863">
        <f t="shared" ref="R43" si="30">R41-R42</f>
        <v>0</v>
      </c>
      <c r="S43" s="2863">
        <f t="shared" ref="S43" si="31">S41-S42</f>
        <v>0</v>
      </c>
      <c r="T43" s="2863">
        <v>1</v>
      </c>
      <c r="U43" s="2863">
        <f t="shared" ref="U43" si="32">U41-U42</f>
        <v>0</v>
      </c>
      <c r="V43" s="2863">
        <f t="shared" ref="V43" si="33">V41-V42</f>
        <v>0</v>
      </c>
      <c r="W43" s="2863">
        <f t="shared" ref="W43" si="34">W41-W42</f>
        <v>0</v>
      </c>
      <c r="X43" s="2863">
        <f t="shared" ref="X43" si="35">X41-X42</f>
        <v>0</v>
      </c>
      <c r="Y43" s="2863">
        <f t="shared" ref="Y43" si="36">Y41-Y42</f>
        <v>0</v>
      </c>
      <c r="Z43" s="2864">
        <f t="shared" ref="Z43" si="37">Z41-Z42</f>
        <v>0</v>
      </c>
      <c r="AA43" s="64"/>
    </row>
    <row r="44" spans="1:28" ht="49.5" hidden="1" customHeight="1" thickTop="1" thickBot="1" x14ac:dyDescent="0.4">
      <c r="A44" s="3811" t="s">
        <v>2668</v>
      </c>
      <c r="B44" s="3812"/>
      <c r="C44" s="2865">
        <f>SUM(D44:Z44)</f>
        <v>9</v>
      </c>
      <c r="D44" s="2866">
        <f t="shared" ref="D44" si="38">E43-E42</f>
        <v>1</v>
      </c>
      <c r="E44" s="2867">
        <f>E43-E42</f>
        <v>1</v>
      </c>
      <c r="F44" s="2867">
        <f t="shared" ref="F44" si="39">F43-F42</f>
        <v>0</v>
      </c>
      <c r="G44" s="2867">
        <f t="shared" ref="G44" si="40">G43-G42</f>
        <v>0</v>
      </c>
      <c r="H44" s="2867">
        <f t="shared" ref="H44" si="41">H43-H42</f>
        <v>0</v>
      </c>
      <c r="I44" s="2867">
        <f t="shared" ref="I44" si="42">I43-I42</f>
        <v>0</v>
      </c>
      <c r="J44" s="2867">
        <f t="shared" ref="J44" si="43">J43-J42</f>
        <v>0</v>
      </c>
      <c r="K44" s="2867">
        <f t="shared" ref="K44" si="44">K43-K42</f>
        <v>2</v>
      </c>
      <c r="L44" s="2867">
        <f t="shared" ref="L44" si="45">L43-L42</f>
        <v>0</v>
      </c>
      <c r="M44" s="2867">
        <f t="shared" ref="M44" si="46">M43-M42</f>
        <v>1</v>
      </c>
      <c r="N44" s="2867">
        <f t="shared" ref="N44" si="47">N43-N42</f>
        <v>1</v>
      </c>
      <c r="O44" s="2867">
        <f t="shared" ref="O44" si="48">O43-O42</f>
        <v>0</v>
      </c>
      <c r="P44" s="2867">
        <f t="shared" ref="P44" si="49">P43-P42</f>
        <v>1</v>
      </c>
      <c r="Q44" s="2867">
        <f t="shared" ref="Q44" si="50">Q43-Q42</f>
        <v>1</v>
      </c>
      <c r="R44" s="2867">
        <f t="shared" ref="R44" si="51">R43-R42</f>
        <v>0</v>
      </c>
      <c r="S44" s="2867">
        <f t="shared" ref="S44" si="52">S43-S42</f>
        <v>0</v>
      </c>
      <c r="T44" s="2867">
        <f t="shared" ref="T44" si="53">T43-T42</f>
        <v>1</v>
      </c>
      <c r="U44" s="2867">
        <f t="shared" ref="U44" si="54">U43-U42</f>
        <v>0</v>
      </c>
      <c r="V44" s="2867">
        <f t="shared" ref="V44" si="55">V43-V42</f>
        <v>0</v>
      </c>
      <c r="W44" s="2867">
        <f t="shared" ref="W44" si="56">W43-W42</f>
        <v>0</v>
      </c>
      <c r="X44" s="2867">
        <f t="shared" ref="X44" si="57">X43-X42</f>
        <v>0</v>
      </c>
      <c r="Y44" s="2867">
        <f t="shared" ref="Y44" si="58">Y43-Y42</f>
        <v>0</v>
      </c>
      <c r="Z44" s="2868">
        <f t="shared" ref="Z44" si="59">AA43-AA42</f>
        <v>0</v>
      </c>
      <c r="AA44" s="64"/>
    </row>
    <row r="45" spans="1:28" s="2838" customFormat="1" ht="33.75" customHeight="1" x14ac:dyDescent="0.25">
      <c r="A45" s="3790" t="s">
        <v>2669</v>
      </c>
      <c r="B45" s="3790"/>
      <c r="C45" s="3790"/>
      <c r="D45" s="3790"/>
      <c r="E45" s="3790"/>
      <c r="F45" s="3790"/>
      <c r="G45" s="3790"/>
      <c r="H45" s="3790"/>
      <c r="I45" s="3790"/>
      <c r="J45" s="3790"/>
      <c r="K45" s="3790"/>
      <c r="L45" s="3790"/>
      <c r="M45" s="3790"/>
      <c r="N45" s="3790"/>
      <c r="O45" s="3790"/>
      <c r="P45" s="3790"/>
      <c r="Q45" s="3790"/>
      <c r="R45" s="3790"/>
      <c r="S45" s="3790"/>
      <c r="T45" s="3790"/>
      <c r="U45" s="3790"/>
      <c r="V45" s="3790"/>
      <c r="W45" s="3790"/>
      <c r="X45" s="3790"/>
      <c r="Y45" s="3790"/>
      <c r="Z45" s="3790"/>
    </row>
    <row r="46" spans="1:28" ht="23.25" customHeight="1" thickBot="1" x14ac:dyDescent="0.4">
      <c r="A46" s="826"/>
      <c r="B46" s="826"/>
      <c r="C46" s="2843"/>
      <c r="D46" s="269"/>
      <c r="E46" s="269"/>
      <c r="F46" s="269"/>
      <c r="G46" s="269"/>
      <c r="H46" s="269"/>
      <c r="I46" s="269"/>
      <c r="J46" s="269"/>
      <c r="K46" s="269"/>
      <c r="L46" s="269"/>
      <c r="M46" s="269"/>
      <c r="N46" s="269"/>
      <c r="O46" s="269"/>
      <c r="P46" s="269"/>
      <c r="Q46" s="269"/>
      <c r="R46" s="269"/>
      <c r="S46" s="269"/>
      <c r="T46" s="269"/>
      <c r="U46" s="269"/>
      <c r="V46" s="269"/>
      <c r="W46" s="269"/>
      <c r="X46" s="269"/>
      <c r="Y46" s="269"/>
      <c r="Z46" s="269"/>
      <c r="AA46" s="269"/>
      <c r="AB46" s="64"/>
    </row>
    <row r="47" spans="1:28" s="192" customFormat="1" ht="77.25" customHeight="1" thickTop="1" thickBot="1" x14ac:dyDescent="0.4">
      <c r="A47" s="3802" t="s">
        <v>2813</v>
      </c>
      <c r="B47" s="3803"/>
      <c r="C47" s="3804" t="s">
        <v>222</v>
      </c>
      <c r="D47" s="771" t="s">
        <v>327</v>
      </c>
      <c r="E47" s="772" t="s">
        <v>299</v>
      </c>
      <c r="F47" s="772" t="s">
        <v>328</v>
      </c>
      <c r="G47" s="772" t="s">
        <v>329</v>
      </c>
      <c r="H47" s="772" t="s">
        <v>330</v>
      </c>
      <c r="I47" s="772" t="s">
        <v>331</v>
      </c>
      <c r="J47" s="772" t="s">
        <v>332</v>
      </c>
      <c r="K47" s="772" t="s">
        <v>333</v>
      </c>
      <c r="L47" s="772" t="s">
        <v>2809</v>
      </c>
      <c r="M47" s="772" t="s">
        <v>2810</v>
      </c>
      <c r="N47" s="772" t="s">
        <v>2811</v>
      </c>
      <c r="O47" s="772" t="s">
        <v>337</v>
      </c>
      <c r="P47" s="772" t="s">
        <v>338</v>
      </c>
      <c r="Q47" s="772" t="s">
        <v>339</v>
      </c>
      <c r="R47" s="772" t="s">
        <v>340</v>
      </c>
      <c r="S47" s="772" t="s">
        <v>2812</v>
      </c>
      <c r="T47" s="772" t="s">
        <v>342</v>
      </c>
      <c r="U47" s="772" t="s">
        <v>343</v>
      </c>
      <c r="V47" s="772" t="s">
        <v>349</v>
      </c>
      <c r="W47" s="772" t="s">
        <v>344</v>
      </c>
      <c r="X47" s="772" t="s">
        <v>345</v>
      </c>
      <c r="Y47" s="772" t="s">
        <v>346</v>
      </c>
      <c r="Z47" s="773" t="s">
        <v>347</v>
      </c>
      <c r="AA47" s="701"/>
    </row>
    <row r="48" spans="1:28" ht="7.5" customHeight="1" thickBot="1" x14ac:dyDescent="0.4">
      <c r="A48" s="3797"/>
      <c r="B48" s="3798"/>
      <c r="C48" s="3798"/>
      <c r="D48" s="3798"/>
      <c r="E48" s="3798"/>
      <c r="F48" s="3798"/>
      <c r="G48" s="3798"/>
      <c r="H48" s="3798"/>
      <c r="I48" s="3798"/>
      <c r="J48" s="3798"/>
      <c r="K48" s="3798"/>
      <c r="L48" s="3798"/>
      <c r="M48" s="3798"/>
      <c r="N48" s="3798"/>
      <c r="O48" s="3798"/>
      <c r="P48" s="3798"/>
      <c r="Q48" s="3798"/>
      <c r="R48" s="3798"/>
      <c r="S48" s="3798"/>
      <c r="T48" s="3798"/>
      <c r="U48" s="3798"/>
      <c r="V48" s="3798"/>
      <c r="W48" s="3798"/>
      <c r="X48" s="3798"/>
      <c r="Y48" s="3798"/>
      <c r="Z48" s="3799"/>
      <c r="AA48" s="165"/>
    </row>
    <row r="49" spans="1:28" ht="31.5" customHeight="1" thickBot="1" x14ac:dyDescent="0.4">
      <c r="A49" s="3791" t="s">
        <v>576</v>
      </c>
      <c r="B49" s="3792"/>
      <c r="C49" s="3792"/>
      <c r="D49" s="2978"/>
      <c r="E49" s="2965"/>
      <c r="F49" s="2965"/>
      <c r="G49" s="2965"/>
      <c r="H49" s="2965"/>
      <c r="I49" s="2965"/>
      <c r="J49" s="2965"/>
      <c r="K49" s="2965"/>
      <c r="L49" s="2965"/>
      <c r="M49" s="2965"/>
      <c r="N49" s="2965"/>
      <c r="O49" s="2965"/>
      <c r="P49" s="2965"/>
      <c r="Q49" s="2965"/>
      <c r="R49" s="2965"/>
      <c r="S49" s="2965"/>
      <c r="T49" s="2965"/>
      <c r="U49" s="2965"/>
      <c r="V49" s="2965"/>
      <c r="W49" s="2965"/>
      <c r="X49" s="2965"/>
      <c r="Y49" s="2965"/>
      <c r="Z49" s="2966"/>
      <c r="AA49" s="165"/>
    </row>
    <row r="50" spans="1:28" ht="22.5" customHeight="1" thickBot="1" x14ac:dyDescent="0.4">
      <c r="A50" s="3794" t="s">
        <v>462</v>
      </c>
      <c r="B50" s="3795"/>
      <c r="C50" s="3795"/>
      <c r="D50" s="2979"/>
      <c r="E50" s="2967"/>
      <c r="F50" s="2967"/>
      <c r="G50" s="2967"/>
      <c r="H50" s="2967"/>
      <c r="I50" s="2967"/>
      <c r="J50" s="2967"/>
      <c r="K50" s="2967"/>
      <c r="L50" s="2967"/>
      <c r="M50" s="2967"/>
      <c r="N50" s="2967"/>
      <c r="O50" s="2967"/>
      <c r="P50" s="2967"/>
      <c r="Q50" s="2967"/>
      <c r="R50" s="2967"/>
      <c r="S50" s="2967"/>
      <c r="T50" s="2967"/>
      <c r="U50" s="2967"/>
      <c r="V50" s="2967"/>
      <c r="W50" s="2967"/>
      <c r="X50" s="2967"/>
      <c r="Y50" s="2967"/>
      <c r="Z50" s="2968"/>
      <c r="AA50" s="165"/>
    </row>
    <row r="51" spans="1:28" ht="22.5" customHeight="1" thickBot="1" x14ac:dyDescent="0.4">
      <c r="A51" s="3782" t="s">
        <v>2815</v>
      </c>
      <c r="B51" s="3783"/>
      <c r="C51" s="2969">
        <f>SUM(D51:Z51)</f>
        <v>4</v>
      </c>
      <c r="D51" s="2980">
        <v>4</v>
      </c>
      <c r="E51" s="2970">
        <v>0</v>
      </c>
      <c r="F51" s="2970">
        <v>0</v>
      </c>
      <c r="G51" s="2970">
        <v>0</v>
      </c>
      <c r="H51" s="2970">
        <v>0</v>
      </c>
      <c r="I51" s="2970">
        <v>0</v>
      </c>
      <c r="J51" s="2970">
        <v>0</v>
      </c>
      <c r="K51" s="2970">
        <v>0</v>
      </c>
      <c r="L51" s="2970">
        <v>0</v>
      </c>
      <c r="M51" s="2970">
        <v>0</v>
      </c>
      <c r="N51" s="2970">
        <v>0</v>
      </c>
      <c r="O51" s="2970">
        <v>0</v>
      </c>
      <c r="P51" s="2970">
        <v>0</v>
      </c>
      <c r="Q51" s="2970">
        <v>0</v>
      </c>
      <c r="R51" s="2970">
        <v>0</v>
      </c>
      <c r="S51" s="2970">
        <v>0</v>
      </c>
      <c r="T51" s="2970">
        <v>0</v>
      </c>
      <c r="U51" s="2970">
        <v>0</v>
      </c>
      <c r="V51" s="2970">
        <v>0</v>
      </c>
      <c r="W51" s="2970">
        <v>0</v>
      </c>
      <c r="X51" s="2970">
        <v>0</v>
      </c>
      <c r="Y51" s="2970">
        <v>0</v>
      </c>
      <c r="Z51" s="2970">
        <v>0</v>
      </c>
      <c r="AA51" s="64"/>
    </row>
    <row r="52" spans="1:28" ht="22.5" customHeight="1" thickTop="1" x14ac:dyDescent="0.35">
      <c r="A52" s="3784" t="s">
        <v>2816</v>
      </c>
      <c r="B52" s="3785"/>
      <c r="C52" s="2971">
        <v>0</v>
      </c>
      <c r="D52" s="2981">
        <v>0</v>
      </c>
      <c r="E52" s="2972">
        <v>0</v>
      </c>
      <c r="F52" s="2972">
        <v>0</v>
      </c>
      <c r="G52" s="2972">
        <v>0</v>
      </c>
      <c r="H52" s="2972">
        <v>0</v>
      </c>
      <c r="I52" s="2972">
        <v>0</v>
      </c>
      <c r="J52" s="2972">
        <v>0</v>
      </c>
      <c r="K52" s="2972">
        <v>0</v>
      </c>
      <c r="L52" s="2972">
        <v>0</v>
      </c>
      <c r="M52" s="2972">
        <v>0</v>
      </c>
      <c r="N52" s="2972">
        <v>0</v>
      </c>
      <c r="O52" s="2972">
        <v>0</v>
      </c>
      <c r="P52" s="2972">
        <v>0</v>
      </c>
      <c r="Q52" s="2972">
        <v>0</v>
      </c>
      <c r="R52" s="2972">
        <v>0</v>
      </c>
      <c r="S52" s="2972">
        <v>0</v>
      </c>
      <c r="T52" s="2972">
        <v>0</v>
      </c>
      <c r="U52" s="2972">
        <v>0</v>
      </c>
      <c r="V52" s="2972">
        <v>0</v>
      </c>
      <c r="W52" s="2972">
        <v>0</v>
      </c>
      <c r="X52" s="2972">
        <v>0</v>
      </c>
      <c r="Y52" s="2972">
        <v>0</v>
      </c>
      <c r="Z52" s="2972">
        <v>0</v>
      </c>
      <c r="AA52" s="64"/>
    </row>
    <row r="53" spans="1:28" ht="35.25" customHeight="1" thickBot="1" x14ac:dyDescent="0.4">
      <c r="A53" s="3786" t="s">
        <v>2817</v>
      </c>
      <c r="B53" s="3787"/>
      <c r="C53" s="2973">
        <f>SUM(D53:Z53)</f>
        <v>0</v>
      </c>
      <c r="D53" s="2982">
        <v>0</v>
      </c>
      <c r="E53" s="2974">
        <v>0</v>
      </c>
      <c r="F53" s="2974">
        <v>0</v>
      </c>
      <c r="G53" s="2974">
        <v>0</v>
      </c>
      <c r="H53" s="2974">
        <v>0</v>
      </c>
      <c r="I53" s="2974">
        <v>0</v>
      </c>
      <c r="J53" s="2974">
        <v>0</v>
      </c>
      <c r="K53" s="2974">
        <v>0</v>
      </c>
      <c r="L53" s="2974">
        <v>0</v>
      </c>
      <c r="M53" s="2974">
        <v>0</v>
      </c>
      <c r="N53" s="2974">
        <v>0</v>
      </c>
      <c r="O53" s="2974">
        <v>0</v>
      </c>
      <c r="P53" s="2974">
        <v>0</v>
      </c>
      <c r="Q53" s="2974">
        <v>0</v>
      </c>
      <c r="R53" s="2974">
        <v>0</v>
      </c>
      <c r="S53" s="2974">
        <v>0</v>
      </c>
      <c r="T53" s="2974">
        <v>0</v>
      </c>
      <c r="U53" s="2974">
        <v>0</v>
      </c>
      <c r="V53" s="2974">
        <v>0</v>
      </c>
      <c r="W53" s="2974">
        <v>0</v>
      </c>
      <c r="X53" s="2974">
        <v>0</v>
      </c>
      <c r="Y53" s="2974">
        <v>0</v>
      </c>
      <c r="Z53" s="2974">
        <v>0</v>
      </c>
      <c r="AA53" s="64"/>
    </row>
    <row r="54" spans="1:28" ht="39" customHeight="1" thickTop="1" thickBot="1" x14ac:dyDescent="0.4">
      <c r="A54" s="3788" t="s">
        <v>2827</v>
      </c>
      <c r="B54" s="3789"/>
      <c r="C54" s="2975">
        <f>C51-C53-C52</f>
        <v>4</v>
      </c>
      <c r="D54" s="2983">
        <f>D51-D53-D52</f>
        <v>4</v>
      </c>
      <c r="E54" s="2976">
        <f t="shared" ref="E54:Z54" si="60">E51-E53-E52</f>
        <v>0</v>
      </c>
      <c r="F54" s="2976">
        <f t="shared" si="60"/>
        <v>0</v>
      </c>
      <c r="G54" s="2976">
        <f t="shared" si="60"/>
        <v>0</v>
      </c>
      <c r="H54" s="2976">
        <f t="shared" si="60"/>
        <v>0</v>
      </c>
      <c r="I54" s="2976">
        <f t="shared" si="60"/>
        <v>0</v>
      </c>
      <c r="J54" s="2976">
        <f t="shared" si="60"/>
        <v>0</v>
      </c>
      <c r="K54" s="2976">
        <f t="shared" si="60"/>
        <v>0</v>
      </c>
      <c r="L54" s="2976">
        <f t="shared" si="60"/>
        <v>0</v>
      </c>
      <c r="M54" s="2976">
        <f t="shared" si="60"/>
        <v>0</v>
      </c>
      <c r="N54" s="2976">
        <f t="shared" si="60"/>
        <v>0</v>
      </c>
      <c r="O54" s="2976">
        <f t="shared" si="60"/>
        <v>0</v>
      </c>
      <c r="P54" s="2976">
        <f t="shared" si="60"/>
        <v>0</v>
      </c>
      <c r="Q54" s="2976">
        <f t="shared" si="60"/>
        <v>0</v>
      </c>
      <c r="R54" s="2976">
        <f t="shared" si="60"/>
        <v>0</v>
      </c>
      <c r="S54" s="2976">
        <f t="shared" si="60"/>
        <v>0</v>
      </c>
      <c r="T54" s="2976">
        <f t="shared" si="60"/>
        <v>0</v>
      </c>
      <c r="U54" s="2976">
        <f t="shared" si="60"/>
        <v>0</v>
      </c>
      <c r="V54" s="2976">
        <f t="shared" si="60"/>
        <v>0</v>
      </c>
      <c r="W54" s="2976">
        <f t="shared" si="60"/>
        <v>0</v>
      </c>
      <c r="X54" s="2976">
        <f t="shared" si="60"/>
        <v>0</v>
      </c>
      <c r="Y54" s="2976">
        <f t="shared" si="60"/>
        <v>0</v>
      </c>
      <c r="Z54" s="2977">
        <f t="shared" si="60"/>
        <v>0</v>
      </c>
      <c r="AA54" s="64"/>
    </row>
    <row r="55" spans="1:28" ht="15" thickTop="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row>
    <row r="56" spans="1:28" s="2838" customFormat="1" ht="33.75" customHeight="1" x14ac:dyDescent="0.25">
      <c r="A56" s="3790" t="s">
        <v>2670</v>
      </c>
      <c r="B56" s="3790"/>
      <c r="C56" s="3790"/>
      <c r="D56" s="3790"/>
      <c r="E56" s="3790"/>
      <c r="F56" s="3790"/>
      <c r="G56" s="3790"/>
      <c r="H56" s="3790"/>
      <c r="I56" s="3790"/>
      <c r="J56" s="3790"/>
      <c r="K56" s="3790"/>
      <c r="L56" s="3790"/>
      <c r="M56" s="3790"/>
      <c r="N56" s="3790"/>
      <c r="O56" s="3790"/>
      <c r="P56" s="3790"/>
      <c r="Q56" s="3790"/>
      <c r="R56" s="3790"/>
      <c r="S56" s="3790"/>
      <c r="T56" s="3790"/>
      <c r="U56" s="3790"/>
      <c r="V56" s="3790"/>
      <c r="W56" s="3790"/>
      <c r="X56" s="3790"/>
      <c r="Y56" s="3790"/>
      <c r="Z56" s="3790"/>
    </row>
    <row r="58" spans="1:28" ht="15" thickBot="1" x14ac:dyDescent="0.4"/>
    <row r="59" spans="1:28" s="192" customFormat="1" ht="90.75" customHeight="1" thickTop="1" thickBot="1" x14ac:dyDescent="0.4">
      <c r="A59" s="3800" t="s">
        <v>2826</v>
      </c>
      <c r="B59" s="3801"/>
      <c r="C59" s="2984" t="s">
        <v>127</v>
      </c>
      <c r="D59" s="771" t="s">
        <v>382</v>
      </c>
      <c r="E59" s="771" t="s">
        <v>383</v>
      </c>
      <c r="F59" s="771" t="s">
        <v>384</v>
      </c>
      <c r="G59" s="771" t="s">
        <v>385</v>
      </c>
      <c r="H59" s="771" t="s">
        <v>386</v>
      </c>
      <c r="I59" s="771" t="s">
        <v>387</v>
      </c>
      <c r="J59" s="771" t="s">
        <v>2818</v>
      </c>
      <c r="K59" s="771" t="s">
        <v>389</v>
      </c>
      <c r="L59" s="771" t="s">
        <v>390</v>
      </c>
      <c r="M59" s="771" t="s">
        <v>2819</v>
      </c>
      <c r="N59" s="771" t="s">
        <v>2820</v>
      </c>
      <c r="O59" s="771" t="s">
        <v>393</v>
      </c>
      <c r="P59" s="771" t="s">
        <v>2821</v>
      </c>
      <c r="Q59" s="771" t="s">
        <v>395</v>
      </c>
      <c r="R59" s="771" t="s">
        <v>396</v>
      </c>
      <c r="S59" s="771" t="s">
        <v>397</v>
      </c>
      <c r="T59" s="771" t="s">
        <v>2822</v>
      </c>
      <c r="U59" s="771" t="s">
        <v>2823</v>
      </c>
      <c r="V59" s="771" t="s">
        <v>2824</v>
      </c>
      <c r="W59" s="771" t="s">
        <v>401</v>
      </c>
      <c r="X59" s="771" t="s">
        <v>2044</v>
      </c>
      <c r="Y59" s="771" t="s">
        <v>403</v>
      </c>
      <c r="Z59" s="771"/>
      <c r="AA59" s="771" t="s">
        <v>405</v>
      </c>
      <c r="AB59" s="701"/>
    </row>
    <row r="60" spans="1:28" ht="6.75" customHeight="1" thickBot="1" x14ac:dyDescent="0.4">
      <c r="A60" s="3797"/>
      <c r="B60" s="3798"/>
      <c r="C60" s="3798"/>
      <c r="D60" s="3798"/>
      <c r="E60" s="3798"/>
      <c r="F60" s="3798"/>
      <c r="G60" s="3798"/>
      <c r="H60" s="3798"/>
      <c r="I60" s="3798"/>
      <c r="J60" s="3798"/>
      <c r="K60" s="3798"/>
      <c r="L60" s="3798"/>
      <c r="M60" s="3798"/>
      <c r="N60" s="3798"/>
      <c r="O60" s="3798"/>
      <c r="P60" s="3798"/>
      <c r="Q60" s="3798"/>
      <c r="R60" s="3798"/>
      <c r="S60" s="3798"/>
      <c r="T60" s="3798"/>
      <c r="U60" s="3798"/>
      <c r="V60" s="3798"/>
      <c r="W60" s="3798"/>
      <c r="X60" s="3798"/>
      <c r="Y60" s="3798"/>
      <c r="Z60" s="3799"/>
      <c r="AA60" s="165"/>
    </row>
    <row r="61" spans="1:28" ht="31.5" customHeight="1" thickBot="1" x14ac:dyDescent="0.4">
      <c r="A61" s="3791" t="s">
        <v>2825</v>
      </c>
      <c r="B61" s="3792"/>
      <c r="C61" s="3793"/>
      <c r="D61" s="2994"/>
      <c r="E61" s="2995"/>
      <c r="F61" s="2995"/>
      <c r="G61" s="2995"/>
      <c r="H61" s="2995"/>
      <c r="I61" s="2995"/>
      <c r="J61" s="2995"/>
      <c r="K61" s="2995"/>
      <c r="L61" s="2995"/>
      <c r="M61" s="2995"/>
      <c r="N61" s="2995"/>
      <c r="O61" s="2995"/>
      <c r="P61" s="2995"/>
      <c r="Q61" s="2995"/>
      <c r="R61" s="2995"/>
      <c r="S61" s="2995"/>
      <c r="T61" s="2995"/>
      <c r="U61" s="2995"/>
      <c r="V61" s="2995"/>
      <c r="W61" s="2995"/>
      <c r="X61" s="2995"/>
      <c r="Y61" s="2995"/>
      <c r="Z61" s="2996"/>
      <c r="AA61" s="165"/>
    </row>
    <row r="62" spans="1:28" ht="22.5" customHeight="1" thickBot="1" x14ac:dyDescent="0.4">
      <c r="A62" s="3794" t="s">
        <v>462</v>
      </c>
      <c r="B62" s="3795"/>
      <c r="C62" s="3796"/>
      <c r="D62" s="2997"/>
      <c r="E62" s="2998"/>
      <c r="F62" s="2998"/>
      <c r="G62" s="2998"/>
      <c r="H62" s="2998"/>
      <c r="I62" s="2998"/>
      <c r="J62" s="2998"/>
      <c r="K62" s="2998"/>
      <c r="L62" s="2998"/>
      <c r="M62" s="2998"/>
      <c r="N62" s="2998"/>
      <c r="O62" s="2998"/>
      <c r="P62" s="2998"/>
      <c r="Q62" s="2998"/>
      <c r="R62" s="2998"/>
      <c r="S62" s="2998"/>
      <c r="T62" s="2998"/>
      <c r="U62" s="2998"/>
      <c r="V62" s="2998"/>
      <c r="W62" s="2998"/>
      <c r="X62" s="2998"/>
      <c r="Y62" s="2998"/>
      <c r="Z62" s="2999"/>
      <c r="AA62" s="165"/>
    </row>
    <row r="63" spans="1:28" ht="22.5" customHeight="1" thickBot="1" x14ac:dyDescent="0.4">
      <c r="A63" s="3782" t="s">
        <v>2815</v>
      </c>
      <c r="B63" s="3783"/>
      <c r="C63" s="2969">
        <f>SUM(D63:Z63)</f>
        <v>4</v>
      </c>
      <c r="D63" s="2980">
        <v>4</v>
      </c>
      <c r="E63" s="2970">
        <v>0</v>
      </c>
      <c r="F63" s="2970">
        <v>0</v>
      </c>
      <c r="G63" s="2970">
        <v>0</v>
      </c>
      <c r="H63" s="2970">
        <v>0</v>
      </c>
      <c r="I63" s="2970">
        <v>0</v>
      </c>
      <c r="J63" s="2970">
        <v>0</v>
      </c>
      <c r="K63" s="2970">
        <v>0</v>
      </c>
      <c r="L63" s="2970">
        <v>0</v>
      </c>
      <c r="M63" s="2970">
        <v>0</v>
      </c>
      <c r="N63" s="2970">
        <v>0</v>
      </c>
      <c r="O63" s="2970">
        <v>0</v>
      </c>
      <c r="P63" s="2970">
        <v>0</v>
      </c>
      <c r="Q63" s="2970">
        <v>0</v>
      </c>
      <c r="R63" s="2970">
        <v>0</v>
      </c>
      <c r="S63" s="2970">
        <v>0</v>
      </c>
      <c r="T63" s="2970">
        <v>0</v>
      </c>
      <c r="U63" s="2970">
        <v>0</v>
      </c>
      <c r="V63" s="2970">
        <v>0</v>
      </c>
      <c r="W63" s="2970">
        <v>0</v>
      </c>
      <c r="X63" s="2970">
        <v>0</v>
      </c>
      <c r="Y63" s="2970">
        <v>0</v>
      </c>
      <c r="Z63" s="2970">
        <v>0</v>
      </c>
      <c r="AA63" s="64"/>
    </row>
    <row r="64" spans="1:28" ht="22.5" customHeight="1" thickTop="1" x14ac:dyDescent="0.35">
      <c r="A64" s="3784" t="s">
        <v>2816</v>
      </c>
      <c r="B64" s="3785"/>
      <c r="C64" s="2985">
        <f>SUM(D64:Z64)</f>
        <v>0</v>
      </c>
      <c r="D64" s="2981"/>
      <c r="E64" s="2986"/>
      <c r="F64" s="2986"/>
      <c r="G64" s="2986"/>
      <c r="H64" s="2986"/>
      <c r="I64" s="2986"/>
      <c r="J64" s="2986"/>
      <c r="K64" s="2986"/>
      <c r="L64" s="2986"/>
      <c r="M64" s="2986"/>
      <c r="N64" s="2986"/>
      <c r="O64" s="2986"/>
      <c r="P64" s="2986"/>
      <c r="Q64" s="2986"/>
      <c r="R64" s="2986"/>
      <c r="S64" s="2986"/>
      <c r="T64" s="2986"/>
      <c r="U64" s="2986"/>
      <c r="V64" s="2986"/>
      <c r="W64" s="2986"/>
      <c r="X64" s="2986"/>
      <c r="Y64" s="2986"/>
      <c r="Z64" s="2987"/>
      <c r="AA64" s="64"/>
    </row>
    <row r="65" spans="1:27" ht="38.25" customHeight="1" thickBot="1" x14ac:dyDescent="0.4">
      <c r="A65" s="3786" t="s">
        <v>2817</v>
      </c>
      <c r="B65" s="3787"/>
      <c r="C65" s="2988">
        <f>SUM(D65:Z65)</f>
        <v>0</v>
      </c>
      <c r="D65" s="2989"/>
      <c r="E65" s="2990"/>
      <c r="F65" s="2990"/>
      <c r="G65" s="2990"/>
      <c r="H65" s="2990"/>
      <c r="I65" s="2990"/>
      <c r="J65" s="2990"/>
      <c r="K65" s="2990"/>
      <c r="L65" s="2990"/>
      <c r="M65" s="2990"/>
      <c r="N65" s="2990"/>
      <c r="O65" s="2990"/>
      <c r="P65" s="2990"/>
      <c r="Q65" s="2990"/>
      <c r="R65" s="2990"/>
      <c r="S65" s="2990"/>
      <c r="T65" s="2990"/>
      <c r="U65" s="2990"/>
      <c r="V65" s="2990"/>
      <c r="W65" s="2990"/>
      <c r="X65" s="2990"/>
      <c r="Y65" s="2990"/>
      <c r="Z65" s="2991"/>
      <c r="AA65" s="64"/>
    </row>
    <row r="66" spans="1:27" ht="39" customHeight="1" thickTop="1" thickBot="1" x14ac:dyDescent="0.4">
      <c r="A66" s="3788" t="s">
        <v>2827</v>
      </c>
      <c r="B66" s="3789"/>
      <c r="C66" s="2975">
        <f>C63-C65-C64</f>
        <v>4</v>
      </c>
      <c r="D66" s="2976">
        <f>D63-D65-D64</f>
        <v>4</v>
      </c>
      <c r="E66" s="2976">
        <f t="shared" ref="E66:Z66" si="61">E63-E65-E64</f>
        <v>0</v>
      </c>
      <c r="F66" s="2976">
        <f t="shared" si="61"/>
        <v>0</v>
      </c>
      <c r="G66" s="2976">
        <f t="shared" si="61"/>
        <v>0</v>
      </c>
      <c r="H66" s="2976">
        <f t="shared" si="61"/>
        <v>0</v>
      </c>
      <c r="I66" s="2976">
        <f t="shared" si="61"/>
        <v>0</v>
      </c>
      <c r="J66" s="2976">
        <f t="shared" si="61"/>
        <v>0</v>
      </c>
      <c r="K66" s="2976">
        <f t="shared" si="61"/>
        <v>0</v>
      </c>
      <c r="L66" s="2976">
        <f t="shared" si="61"/>
        <v>0</v>
      </c>
      <c r="M66" s="2976">
        <f t="shared" si="61"/>
        <v>0</v>
      </c>
      <c r="N66" s="2976">
        <f t="shared" si="61"/>
        <v>0</v>
      </c>
      <c r="O66" s="2976">
        <f t="shared" si="61"/>
        <v>0</v>
      </c>
      <c r="P66" s="2976">
        <f t="shared" si="61"/>
        <v>0</v>
      </c>
      <c r="Q66" s="2976">
        <f t="shared" si="61"/>
        <v>0</v>
      </c>
      <c r="R66" s="2976">
        <f t="shared" si="61"/>
        <v>0</v>
      </c>
      <c r="S66" s="2976">
        <f t="shared" si="61"/>
        <v>0</v>
      </c>
      <c r="T66" s="2976">
        <f t="shared" si="61"/>
        <v>0</v>
      </c>
      <c r="U66" s="2976">
        <f t="shared" si="61"/>
        <v>0</v>
      </c>
      <c r="V66" s="2976">
        <f t="shared" si="61"/>
        <v>0</v>
      </c>
      <c r="W66" s="2976">
        <f t="shared" si="61"/>
        <v>0</v>
      </c>
      <c r="X66" s="2976">
        <f t="shared" si="61"/>
        <v>0</v>
      </c>
      <c r="Y66" s="2976">
        <f t="shared" si="61"/>
        <v>0</v>
      </c>
      <c r="Z66" s="2977">
        <f t="shared" si="61"/>
        <v>0</v>
      </c>
      <c r="AA66" s="64"/>
    </row>
    <row r="67" spans="1:27" ht="15" thickTop="1" x14ac:dyDescent="0.35"/>
  </sheetData>
  <mergeCells count="76">
    <mergeCell ref="K4:Z4"/>
    <mergeCell ref="A4:J4"/>
    <mergeCell ref="C5:Z5"/>
    <mergeCell ref="H6:I6"/>
    <mergeCell ref="S6:T6"/>
    <mergeCell ref="P6:R7"/>
    <mergeCell ref="U6:V6"/>
    <mergeCell ref="W6:X6"/>
    <mergeCell ref="D6:E6"/>
    <mergeCell ref="F6:G6"/>
    <mergeCell ref="L7:M7"/>
    <mergeCell ref="Y6:Z6"/>
    <mergeCell ref="S7:T7"/>
    <mergeCell ref="U7:V7"/>
    <mergeCell ref="W7:X7"/>
    <mergeCell ref="Y7:Z7"/>
    <mergeCell ref="D3:J3"/>
    <mergeCell ref="A6:A7"/>
    <mergeCell ref="B6:C7"/>
    <mergeCell ref="A5:B5"/>
    <mergeCell ref="D7:E7"/>
    <mergeCell ref="F7:G7"/>
    <mergeCell ref="A9:Z9"/>
    <mergeCell ref="A15:B15"/>
    <mergeCell ref="A14:B14"/>
    <mergeCell ref="E2:J2"/>
    <mergeCell ref="E1:J1"/>
    <mergeCell ref="R1:U1"/>
    <mergeCell ref="R2:U2"/>
    <mergeCell ref="L1:O1"/>
    <mergeCell ref="L2:O2"/>
    <mergeCell ref="A8:AA8"/>
    <mergeCell ref="AA6:AA7"/>
    <mergeCell ref="N6:O7"/>
    <mergeCell ref="J6:K6"/>
    <mergeCell ref="L6:M6"/>
    <mergeCell ref="H7:I7"/>
    <mergeCell ref="J7:K7"/>
    <mergeCell ref="A29:B29"/>
    <mergeCell ref="A30:B30"/>
    <mergeCell ref="A31:B31"/>
    <mergeCell ref="A22:Z22"/>
    <mergeCell ref="A12:B12"/>
    <mergeCell ref="A17:B17"/>
    <mergeCell ref="A18:B18"/>
    <mergeCell ref="A19:B19"/>
    <mergeCell ref="A20:B20"/>
    <mergeCell ref="A24:B24"/>
    <mergeCell ref="A26:B26"/>
    <mergeCell ref="A27:B27"/>
    <mergeCell ref="A41:B41"/>
    <mergeCell ref="A42:B42"/>
    <mergeCell ref="A43:B43"/>
    <mergeCell ref="A44:B44"/>
    <mergeCell ref="A33:Z33"/>
    <mergeCell ref="A35:B35"/>
    <mergeCell ref="A38:B38"/>
    <mergeCell ref="A39:B39"/>
    <mergeCell ref="A53:B53"/>
    <mergeCell ref="A54:B54"/>
    <mergeCell ref="A45:Z45"/>
    <mergeCell ref="A60:Z60"/>
    <mergeCell ref="A59:B59"/>
    <mergeCell ref="A51:B51"/>
    <mergeCell ref="A52:B52"/>
    <mergeCell ref="A50:C50"/>
    <mergeCell ref="A47:C47"/>
    <mergeCell ref="A48:Z48"/>
    <mergeCell ref="A49:C49"/>
    <mergeCell ref="A63:B63"/>
    <mergeCell ref="A64:B64"/>
    <mergeCell ref="A65:B65"/>
    <mergeCell ref="A66:B66"/>
    <mergeCell ref="A56:Z56"/>
    <mergeCell ref="A61:C61"/>
    <mergeCell ref="A62:C62"/>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disablePrompts="1" count="1">
    <dataValidation type="list" allowBlank="1" showInputMessage="1" showErrorMessage="1" sqref="L2" xr:uid="{00000000-0002-0000-0A00-000000000000}">
      <formula1>AvancementTheme</formula1>
    </dataValidation>
  </dataValidation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Feuil17">
    <tabColor rgb="FFFFC000"/>
    <pageSetUpPr fitToPage="1"/>
  </sheetPr>
  <dimension ref="A1:AF61"/>
  <sheetViews>
    <sheetView showGridLines="0" showRowColHeaders="0" zoomScale="80" zoomScaleNormal="80" workbookViewId="0">
      <pane ySplit="6" topLeftCell="A7" activePane="bottomLeft" state="frozen"/>
      <selection activeCell="C5" sqref="C5:P5"/>
      <selection pane="bottomLeft"/>
    </sheetView>
  </sheetViews>
  <sheetFormatPr baseColWidth="10" defaultColWidth="11.453125" defaultRowHeight="14.5" x14ac:dyDescent="0.35"/>
  <cols>
    <col min="1" max="1" width="6.54296875" style="60" customWidth="1"/>
    <col min="2" max="2" width="12.1796875" style="60" customWidth="1"/>
    <col min="3" max="11" width="11.453125" style="60"/>
    <col min="12" max="12" width="12.81640625" style="60" customWidth="1"/>
    <col min="13" max="14" width="11.453125" style="60"/>
    <col min="15" max="15" width="11.453125" style="60" customWidth="1"/>
    <col min="16" max="20" width="11.453125" style="60"/>
    <col min="21" max="21" width="17.7265625" style="60" customWidth="1"/>
    <col min="22" max="16384" width="11.453125" style="60"/>
  </cols>
  <sheetData>
    <row r="1" spans="1:32" s="54" customFormat="1" ht="15" customHeight="1" x14ac:dyDescent="0.35">
      <c r="A1" s="389"/>
      <c r="B1" s="389"/>
      <c r="C1" s="389"/>
      <c r="D1" s="3341" t="s">
        <v>5</v>
      </c>
      <c r="E1" s="3341"/>
      <c r="F1" s="3341"/>
      <c r="G1" s="3341"/>
      <c r="H1" s="391"/>
      <c r="I1" s="3341" t="s">
        <v>6</v>
      </c>
      <c r="J1" s="3341"/>
      <c r="K1" s="389"/>
      <c r="L1" s="3341" t="s">
        <v>9</v>
      </c>
      <c r="M1" s="3341"/>
      <c r="N1" s="389"/>
      <c r="O1" s="479"/>
      <c r="P1" s="479"/>
      <c r="Q1" s="458"/>
      <c r="R1" s="458"/>
      <c r="S1" s="458"/>
      <c r="T1" s="458"/>
      <c r="U1" s="458"/>
      <c r="V1" s="458"/>
    </row>
    <row r="2" spans="1:32" s="58" customFormat="1" ht="18" customHeight="1" x14ac:dyDescent="0.35">
      <c r="A2" s="393"/>
      <c r="B2" s="393"/>
      <c r="C2" s="393"/>
      <c r="D2" s="3342" t="str">
        <f>NomClient</f>
        <v xml:space="preserve">EQUINIX </v>
      </c>
      <c r="E2" s="3343"/>
      <c r="F2" s="3343"/>
      <c r="G2" s="3344"/>
      <c r="H2" s="393"/>
      <c r="I2" s="3345" t="s">
        <v>407</v>
      </c>
      <c r="J2" s="3346"/>
      <c r="K2" s="393"/>
      <c r="L2" s="3347">
        <v>42971.839131944442</v>
      </c>
      <c r="M2" s="3348"/>
      <c r="N2" s="394"/>
      <c r="O2" s="451"/>
      <c r="P2" s="451"/>
      <c r="Q2" s="459"/>
      <c r="R2" s="459"/>
      <c r="S2" s="459"/>
      <c r="T2" s="459"/>
      <c r="U2" s="459"/>
      <c r="V2" s="459"/>
    </row>
    <row r="3" spans="1:32" ht="12.75" customHeight="1" thickBot="1" x14ac:dyDescent="0.4">
      <c r="A3" s="396"/>
      <c r="B3" s="396"/>
      <c r="C3" s="396"/>
      <c r="D3" s="3937" t="s">
        <v>1792</v>
      </c>
      <c r="E3" s="3937"/>
      <c r="F3" s="3937"/>
      <c r="G3" s="3937"/>
      <c r="H3" s="396"/>
      <c r="I3" s="396"/>
      <c r="J3" s="396"/>
      <c r="K3" s="396"/>
      <c r="L3" s="396"/>
      <c r="M3" s="396"/>
      <c r="N3" s="396"/>
      <c r="O3" s="396"/>
      <c r="P3" s="396"/>
      <c r="Q3" s="64"/>
      <c r="R3" s="64"/>
      <c r="S3" s="64"/>
      <c r="T3" s="64"/>
      <c r="U3" s="64"/>
      <c r="V3" s="64"/>
    </row>
    <row r="4" spans="1:32" s="1" customFormat="1" ht="24.75" customHeight="1" thickBot="1" x14ac:dyDescent="0.4">
      <c r="A4" s="3507" t="str">
        <f>Parametre!B25  &amp; "  : "</f>
        <v xml:space="preserve">Positionnement de l'offre  : </v>
      </c>
      <c r="B4" s="3507"/>
      <c r="C4" s="3507"/>
      <c r="D4" s="3507"/>
      <c r="E4" s="3507"/>
      <c r="F4" s="3507"/>
      <c r="G4" s="3507"/>
      <c r="H4" s="5416" t="s">
        <v>2660</v>
      </c>
      <c r="I4" s="5416"/>
      <c r="J4" s="5416"/>
      <c r="K4" s="5416"/>
      <c r="L4" s="5416"/>
      <c r="M4" s="5416"/>
      <c r="N4" s="5416"/>
      <c r="O4" s="5416"/>
      <c r="P4" s="5417"/>
      <c r="Q4" s="444"/>
      <c r="R4" s="444"/>
      <c r="S4" s="444"/>
      <c r="T4" s="444"/>
      <c r="U4" s="444"/>
      <c r="V4" s="444"/>
    </row>
    <row r="5" spans="1:32" s="193" customFormat="1" ht="59.25" customHeight="1" thickBot="1" x14ac:dyDescent="0.4">
      <c r="A5" s="3438" t="s">
        <v>14</v>
      </c>
      <c r="B5" s="3438"/>
      <c r="C5" s="3508" t="s">
        <v>1981</v>
      </c>
      <c r="D5" s="3439"/>
      <c r="E5" s="3439"/>
      <c r="F5" s="3439"/>
      <c r="G5" s="3439"/>
      <c r="H5" s="3439"/>
      <c r="I5" s="3439"/>
      <c r="J5" s="3439"/>
      <c r="K5" s="3439"/>
      <c r="L5" s="3439"/>
      <c r="M5" s="3439"/>
      <c r="N5" s="3439"/>
      <c r="O5" s="3439"/>
      <c r="P5" s="3439"/>
      <c r="Q5" s="460"/>
      <c r="R5" s="460"/>
      <c r="S5" s="460"/>
      <c r="T5" s="460"/>
      <c r="U5" s="460"/>
      <c r="V5" s="460"/>
    </row>
    <row r="6" spans="1:32" s="11" customFormat="1" ht="33.75" customHeight="1" thickTop="1" x14ac:dyDescent="0.35">
      <c r="A6" s="7126" t="s">
        <v>171</v>
      </c>
      <c r="B6" s="7127"/>
      <c r="C6" s="7137" t="s">
        <v>2478</v>
      </c>
      <c r="D6" s="7127"/>
      <c r="E6" s="7127"/>
      <c r="F6" s="7127"/>
      <c r="G6" s="7127"/>
      <c r="H6" s="7127"/>
      <c r="I6" s="7138"/>
      <c r="J6" s="7123" t="s">
        <v>878</v>
      </c>
      <c r="K6" s="7124"/>
      <c r="L6" s="7124"/>
      <c r="M6" s="7124"/>
      <c r="N6" s="7124"/>
      <c r="O6" s="7124"/>
      <c r="P6" s="7125"/>
      <c r="Q6" s="7139" t="s">
        <v>562</v>
      </c>
      <c r="R6" s="7124"/>
      <c r="S6" s="7124"/>
      <c r="T6" s="7124"/>
      <c r="U6" s="7140"/>
      <c r="V6" s="766"/>
      <c r="W6" s="12"/>
      <c r="X6" s="366"/>
      <c r="Y6" s="344"/>
      <c r="Z6" s="344"/>
      <c r="AA6" s="12"/>
      <c r="AB6" s="12"/>
      <c r="AC6" s="12"/>
      <c r="AD6" s="12"/>
      <c r="AE6" s="12"/>
      <c r="AF6" s="12"/>
    </row>
    <row r="7" spans="1:32" s="343" customFormat="1" ht="6.75" customHeight="1" x14ac:dyDescent="0.35">
      <c r="A7" s="5478"/>
      <c r="B7" s="5479"/>
      <c r="C7" s="5479"/>
      <c r="D7" s="5479"/>
      <c r="E7" s="5479"/>
      <c r="F7" s="5479"/>
      <c r="G7" s="5479"/>
      <c r="H7" s="5479"/>
      <c r="I7" s="5479"/>
      <c r="J7" s="5479"/>
      <c r="K7" s="5479"/>
      <c r="L7" s="5479"/>
      <c r="M7" s="5479"/>
      <c r="N7" s="5479"/>
      <c r="O7" s="5479"/>
      <c r="P7" s="5479"/>
      <c r="Q7" s="5479"/>
      <c r="R7" s="5479"/>
      <c r="S7" s="5479"/>
      <c r="T7" s="5479"/>
      <c r="U7" s="5480"/>
      <c r="V7" s="1131"/>
      <c r="W7" s="1132"/>
      <c r="X7" s="1133"/>
      <c r="Y7" s="1134"/>
      <c r="Z7" s="1134"/>
      <c r="AA7" s="1132"/>
      <c r="AB7" s="1132"/>
      <c r="AC7" s="1132"/>
      <c r="AD7" s="1132"/>
      <c r="AE7" s="1132"/>
      <c r="AF7" s="1132"/>
    </row>
    <row r="8" spans="1:32" s="343" customFormat="1" ht="123.75" customHeight="1" x14ac:dyDescent="0.35">
      <c r="A8" s="7141" t="s">
        <v>2031</v>
      </c>
      <c r="B8" s="7142"/>
      <c r="C8" s="5502" t="s">
        <v>2032</v>
      </c>
      <c r="D8" s="5503"/>
      <c r="E8" s="5503"/>
      <c r="F8" s="5503"/>
      <c r="G8" s="5503"/>
      <c r="H8" s="5503"/>
      <c r="I8" s="5504"/>
      <c r="J8" s="5505" t="s">
        <v>2034</v>
      </c>
      <c r="K8" s="5506"/>
      <c r="L8" s="5506"/>
      <c r="M8" s="5506"/>
      <c r="N8" s="5506"/>
      <c r="O8" s="5506"/>
      <c r="P8" s="5507"/>
      <c r="Q8" s="5522" t="s">
        <v>2033</v>
      </c>
      <c r="R8" s="5509"/>
      <c r="S8" s="5509"/>
      <c r="T8" s="5510"/>
      <c r="U8" s="5511"/>
      <c r="V8" s="1131"/>
      <c r="W8" s="1132"/>
      <c r="X8" s="1133"/>
      <c r="Y8" s="1134"/>
      <c r="Z8" s="1134"/>
      <c r="AA8" s="1132"/>
      <c r="AB8" s="1132"/>
      <c r="AC8" s="1132"/>
      <c r="AD8" s="1132"/>
      <c r="AE8" s="1132"/>
      <c r="AF8" s="1132"/>
    </row>
    <row r="9" spans="1:32" s="343" customFormat="1" ht="6.75" customHeight="1" x14ac:dyDescent="0.35">
      <c r="A9" s="5478"/>
      <c r="B9" s="5479"/>
      <c r="C9" s="5479"/>
      <c r="D9" s="5479"/>
      <c r="E9" s="5479"/>
      <c r="F9" s="5479"/>
      <c r="G9" s="5479"/>
      <c r="H9" s="5479"/>
      <c r="I9" s="5479"/>
      <c r="J9" s="5479"/>
      <c r="K9" s="5479"/>
      <c r="L9" s="5479"/>
      <c r="M9" s="5479"/>
      <c r="N9" s="5479"/>
      <c r="O9" s="5479"/>
      <c r="P9" s="5479"/>
      <c r="Q9" s="5479"/>
      <c r="R9" s="5479"/>
      <c r="S9" s="5479"/>
      <c r="T9" s="5479"/>
      <c r="U9" s="5480"/>
      <c r="V9" s="1131"/>
      <c r="W9" s="1132"/>
      <c r="X9" s="1133"/>
      <c r="Y9" s="1134"/>
      <c r="Z9" s="1134"/>
      <c r="AA9" s="1132"/>
      <c r="AB9" s="1132"/>
      <c r="AC9" s="1132"/>
      <c r="AD9" s="1132"/>
      <c r="AE9" s="1132"/>
      <c r="AF9" s="1132"/>
    </row>
    <row r="10" spans="1:32" s="343" customFormat="1" ht="102.75" customHeight="1" x14ac:dyDescent="0.35">
      <c r="A10" s="7121" t="s">
        <v>1809</v>
      </c>
      <c r="B10" s="7122"/>
      <c r="C10" s="5502"/>
      <c r="D10" s="5503"/>
      <c r="E10" s="5503"/>
      <c r="F10" s="5503"/>
      <c r="G10" s="5503"/>
      <c r="H10" s="5503"/>
      <c r="I10" s="5504"/>
      <c r="J10" s="5505"/>
      <c r="K10" s="5506"/>
      <c r="L10" s="5506"/>
      <c r="M10" s="5506"/>
      <c r="N10" s="5506"/>
      <c r="O10" s="5506"/>
      <c r="P10" s="5507"/>
      <c r="Q10" s="5516"/>
      <c r="R10" s="5517"/>
      <c r="S10" s="5517"/>
      <c r="T10" s="5517"/>
      <c r="U10" s="5518"/>
      <c r="V10" s="1131"/>
      <c r="W10" s="1132"/>
      <c r="X10" s="1133"/>
      <c r="Y10" s="1134"/>
      <c r="Z10" s="1134"/>
      <c r="AA10" s="1132"/>
      <c r="AB10" s="1132"/>
      <c r="AC10" s="1132"/>
      <c r="AD10" s="1132"/>
      <c r="AE10" s="1132"/>
      <c r="AF10" s="1132"/>
    </row>
    <row r="11" spans="1:32" s="343" customFormat="1" ht="6.75" customHeight="1" x14ac:dyDescent="0.35">
      <c r="A11" s="5478"/>
      <c r="B11" s="5479"/>
      <c r="C11" s="5479"/>
      <c r="D11" s="5479"/>
      <c r="E11" s="5479"/>
      <c r="F11" s="5479"/>
      <c r="G11" s="5479"/>
      <c r="H11" s="5479"/>
      <c r="I11" s="5479"/>
      <c r="J11" s="5479"/>
      <c r="K11" s="5479"/>
      <c r="L11" s="5479"/>
      <c r="M11" s="5479"/>
      <c r="N11" s="5479"/>
      <c r="O11" s="5479"/>
      <c r="P11" s="5479"/>
      <c r="Q11" s="5479"/>
      <c r="R11" s="5479"/>
      <c r="S11" s="5479"/>
      <c r="T11" s="5479"/>
      <c r="U11" s="5480"/>
      <c r="V11" s="1131"/>
      <c r="W11" s="1132"/>
      <c r="X11" s="1133"/>
      <c r="Y11" s="1134"/>
      <c r="Z11" s="1134"/>
      <c r="AA11" s="1132"/>
      <c r="AB11" s="1132"/>
      <c r="AC11" s="1132"/>
      <c r="AD11" s="1132"/>
      <c r="AE11" s="1132"/>
      <c r="AF11" s="1132"/>
    </row>
    <row r="12" spans="1:32" s="343" customFormat="1" ht="116.25" customHeight="1" x14ac:dyDescent="0.35">
      <c r="A12" s="7121" t="s">
        <v>1808</v>
      </c>
      <c r="B12" s="7122"/>
      <c r="C12" s="5502"/>
      <c r="D12" s="5503"/>
      <c r="E12" s="5503"/>
      <c r="F12" s="5503"/>
      <c r="G12" s="5503"/>
      <c r="H12" s="5503"/>
      <c r="I12" s="5504"/>
      <c r="J12" s="5505"/>
      <c r="K12" s="5506"/>
      <c r="L12" s="5506"/>
      <c r="M12" s="5506"/>
      <c r="N12" s="5506"/>
      <c r="O12" s="5506"/>
      <c r="P12" s="5507"/>
      <c r="Q12" s="5508"/>
      <c r="R12" s="5509"/>
      <c r="S12" s="5509"/>
      <c r="T12" s="5510"/>
      <c r="U12" s="5511"/>
      <c r="V12" s="1131"/>
      <c r="W12" s="1132"/>
      <c r="X12" s="1133"/>
      <c r="Y12" s="1134"/>
      <c r="Z12" s="1134"/>
      <c r="AA12" s="1132"/>
      <c r="AB12" s="1132"/>
      <c r="AC12" s="1132"/>
      <c r="AD12" s="1132"/>
      <c r="AE12" s="1132"/>
      <c r="AF12" s="1132"/>
    </row>
    <row r="13" spans="1:32" s="343" customFormat="1" ht="6.75" customHeight="1" x14ac:dyDescent="0.35">
      <c r="A13" s="5478"/>
      <c r="B13" s="5479"/>
      <c r="C13" s="5479"/>
      <c r="D13" s="5479"/>
      <c r="E13" s="5479"/>
      <c r="F13" s="5479"/>
      <c r="G13" s="5479"/>
      <c r="H13" s="5479"/>
      <c r="I13" s="5479"/>
      <c r="J13" s="5479"/>
      <c r="K13" s="5479"/>
      <c r="L13" s="5479"/>
      <c r="M13" s="5479"/>
      <c r="N13" s="5479"/>
      <c r="O13" s="5479"/>
      <c r="P13" s="5479"/>
      <c r="Q13" s="5479"/>
      <c r="R13" s="5479"/>
      <c r="S13" s="5479"/>
      <c r="T13" s="5479"/>
      <c r="U13" s="5480"/>
      <c r="V13" s="1131"/>
      <c r="W13" s="1132"/>
      <c r="X13" s="1133"/>
      <c r="Y13" s="1134"/>
      <c r="Z13" s="1134"/>
      <c r="AA13" s="1132"/>
      <c r="AB13" s="1132"/>
      <c r="AC13" s="1132"/>
      <c r="AD13" s="1132"/>
      <c r="AE13" s="1132"/>
      <c r="AF13" s="1132"/>
    </row>
    <row r="14" spans="1:32" s="11" customFormat="1" ht="125.25" customHeight="1" x14ac:dyDescent="0.35">
      <c r="A14" s="7121" t="s">
        <v>976</v>
      </c>
      <c r="B14" s="7122"/>
      <c r="C14" s="5502"/>
      <c r="D14" s="5503"/>
      <c r="E14" s="5503"/>
      <c r="F14" s="5503"/>
      <c r="G14" s="5503"/>
      <c r="H14" s="5503"/>
      <c r="I14" s="5504"/>
      <c r="J14" s="5505"/>
      <c r="K14" s="5506"/>
      <c r="L14" s="5506"/>
      <c r="M14" s="5506"/>
      <c r="N14" s="5506"/>
      <c r="O14" s="5506"/>
      <c r="P14" s="5507"/>
      <c r="Q14" s="5512"/>
      <c r="R14" s="5513"/>
      <c r="S14" s="5513"/>
      <c r="T14" s="5514"/>
      <c r="U14" s="5515"/>
      <c r="V14" s="766"/>
      <c r="W14" s="12"/>
      <c r="X14" s="366"/>
      <c r="Y14" s="344"/>
      <c r="Z14" s="344"/>
      <c r="AA14" s="12"/>
      <c r="AB14" s="12"/>
      <c r="AC14" s="12"/>
      <c r="AD14" s="12"/>
      <c r="AE14" s="12"/>
      <c r="AF14" s="12"/>
    </row>
    <row r="15" spans="1:32" s="343" customFormat="1" ht="6.75" customHeight="1" x14ac:dyDescent="0.35">
      <c r="A15" s="5478"/>
      <c r="B15" s="5479"/>
      <c r="C15" s="5479"/>
      <c r="D15" s="5479"/>
      <c r="E15" s="5479"/>
      <c r="F15" s="5479"/>
      <c r="G15" s="5479"/>
      <c r="H15" s="5479"/>
      <c r="I15" s="5479"/>
      <c r="J15" s="5479"/>
      <c r="K15" s="5479"/>
      <c r="L15" s="5479"/>
      <c r="M15" s="5479"/>
      <c r="N15" s="5479"/>
      <c r="O15" s="5479"/>
      <c r="P15" s="5479"/>
      <c r="Q15" s="5479"/>
      <c r="R15" s="5479"/>
      <c r="S15" s="5479"/>
      <c r="T15" s="5479"/>
      <c r="U15" s="5480"/>
      <c r="V15" s="1131"/>
      <c r="W15" s="1132"/>
      <c r="X15" s="1133"/>
      <c r="Y15" s="1134"/>
      <c r="Z15" s="1134"/>
      <c r="AA15" s="1132"/>
      <c r="AB15" s="1132"/>
      <c r="AC15" s="1132"/>
      <c r="AD15" s="1132"/>
      <c r="AE15" s="1132"/>
      <c r="AF15" s="1132"/>
    </row>
    <row r="16" spans="1:32" s="343" customFormat="1" ht="15.5" x14ac:dyDescent="0.35">
      <c r="A16" s="7121"/>
      <c r="B16" s="7122"/>
      <c r="C16" s="5502"/>
      <c r="D16" s="5503"/>
      <c r="E16" s="5503"/>
      <c r="F16" s="5503"/>
      <c r="G16" s="5503"/>
      <c r="H16" s="5503"/>
      <c r="I16" s="5504"/>
      <c r="J16" s="5505"/>
      <c r="K16" s="5506"/>
      <c r="L16" s="5506"/>
      <c r="M16" s="5506"/>
      <c r="N16" s="5506"/>
      <c r="O16" s="5506"/>
      <c r="P16" s="5507"/>
      <c r="Q16" s="5508"/>
      <c r="R16" s="5509"/>
      <c r="S16" s="5509"/>
      <c r="T16" s="5510"/>
      <c r="U16" s="5511"/>
      <c r="V16" s="1131"/>
      <c r="W16" s="1132"/>
      <c r="X16" s="1133"/>
      <c r="Y16" s="1134"/>
      <c r="Z16" s="1134"/>
      <c r="AA16" s="1132"/>
      <c r="AB16" s="1132"/>
      <c r="AC16" s="1132"/>
      <c r="AD16" s="1132"/>
      <c r="AE16" s="1132"/>
      <c r="AF16" s="1132"/>
    </row>
    <row r="17" spans="1:32" s="343" customFormat="1" ht="6.75" customHeight="1" x14ac:dyDescent="0.35">
      <c r="A17" s="5478"/>
      <c r="B17" s="5479"/>
      <c r="C17" s="5479"/>
      <c r="D17" s="5479"/>
      <c r="E17" s="5479"/>
      <c r="F17" s="5479"/>
      <c r="G17" s="5479"/>
      <c r="H17" s="5479"/>
      <c r="I17" s="5479"/>
      <c r="J17" s="5479"/>
      <c r="K17" s="5479"/>
      <c r="L17" s="5479"/>
      <c r="M17" s="5479"/>
      <c r="N17" s="5479"/>
      <c r="O17" s="5479"/>
      <c r="P17" s="5479"/>
      <c r="Q17" s="5479"/>
      <c r="R17" s="5479"/>
      <c r="S17" s="5479"/>
      <c r="T17" s="5479"/>
      <c r="U17" s="5480"/>
      <c r="V17" s="1131"/>
      <c r="W17" s="1132"/>
      <c r="X17" s="1133"/>
      <c r="Y17" s="1134"/>
      <c r="Z17" s="1134"/>
      <c r="AA17" s="1132"/>
      <c r="AB17" s="1132"/>
      <c r="AC17" s="1132"/>
      <c r="AD17" s="1132"/>
      <c r="AE17" s="1132"/>
      <c r="AF17" s="1132"/>
    </row>
    <row r="18" spans="1:32" s="343" customFormat="1" ht="22.5" customHeight="1" x14ac:dyDescent="0.35">
      <c r="A18" s="7121"/>
      <c r="B18" s="7122"/>
      <c r="C18" s="5502"/>
      <c r="D18" s="5503"/>
      <c r="E18" s="5503"/>
      <c r="F18" s="5503"/>
      <c r="G18" s="5503"/>
      <c r="H18" s="5503"/>
      <c r="I18" s="5504"/>
      <c r="J18" s="5505"/>
      <c r="K18" s="5506"/>
      <c r="L18" s="5506"/>
      <c r="M18" s="5506"/>
      <c r="N18" s="5506"/>
      <c r="O18" s="5506"/>
      <c r="P18" s="5507"/>
      <c r="Q18" s="5508"/>
      <c r="R18" s="5509"/>
      <c r="S18" s="5509"/>
      <c r="T18" s="5510"/>
      <c r="U18" s="5511"/>
      <c r="V18" s="1131"/>
      <c r="W18" s="1132"/>
      <c r="X18" s="1133"/>
      <c r="Y18" s="1134"/>
      <c r="Z18" s="1134"/>
      <c r="AA18" s="1132"/>
      <c r="AB18" s="1132"/>
      <c r="AC18" s="1132"/>
      <c r="AD18" s="1132"/>
      <c r="AE18" s="1132"/>
      <c r="AF18" s="1132"/>
    </row>
    <row r="19" spans="1:32" s="343" customFormat="1" ht="6.75" customHeight="1" x14ac:dyDescent="0.35">
      <c r="A19" s="5478"/>
      <c r="B19" s="5479"/>
      <c r="C19" s="5479"/>
      <c r="D19" s="5479"/>
      <c r="E19" s="5479"/>
      <c r="F19" s="5479"/>
      <c r="G19" s="5479"/>
      <c r="H19" s="5479"/>
      <c r="I19" s="5479"/>
      <c r="J19" s="5479"/>
      <c r="K19" s="5479"/>
      <c r="L19" s="5479"/>
      <c r="M19" s="5479"/>
      <c r="N19" s="5479"/>
      <c r="O19" s="5479"/>
      <c r="P19" s="5479"/>
      <c r="Q19" s="5479"/>
      <c r="R19" s="5479"/>
      <c r="S19" s="5479"/>
      <c r="T19" s="5479"/>
      <c r="U19" s="5480"/>
      <c r="V19" s="1131"/>
      <c r="W19" s="1132"/>
      <c r="X19" s="1133"/>
      <c r="Y19" s="1134"/>
      <c r="Z19" s="1134"/>
      <c r="AA19" s="1132"/>
      <c r="AB19" s="1132"/>
      <c r="AC19" s="1132"/>
      <c r="AD19" s="1132"/>
      <c r="AE19" s="1132"/>
      <c r="AF19" s="1132"/>
    </row>
    <row r="20" spans="1:32" s="343" customFormat="1" ht="25.5" customHeight="1" x14ac:dyDescent="0.35">
      <c r="A20" s="7121"/>
      <c r="B20" s="7122"/>
      <c r="C20" s="5502"/>
      <c r="D20" s="5503"/>
      <c r="E20" s="5503"/>
      <c r="F20" s="5503"/>
      <c r="G20" s="5503"/>
      <c r="H20" s="5503"/>
      <c r="I20" s="5504"/>
      <c r="J20" s="5505"/>
      <c r="K20" s="5506"/>
      <c r="L20" s="5506"/>
      <c r="M20" s="5506"/>
      <c r="N20" s="5506"/>
      <c r="O20" s="5506"/>
      <c r="P20" s="5507"/>
      <c r="Q20" s="5508"/>
      <c r="R20" s="5509"/>
      <c r="S20" s="5509"/>
      <c r="T20" s="5510"/>
      <c r="U20" s="5511"/>
      <c r="V20" s="1131"/>
      <c r="W20" s="1132"/>
      <c r="X20" s="1133"/>
      <c r="Y20" s="1134"/>
      <c r="Z20" s="1134"/>
      <c r="AA20" s="1132"/>
      <c r="AB20" s="1132"/>
      <c r="AC20" s="1132"/>
      <c r="AD20" s="1132"/>
      <c r="AE20" s="1132"/>
      <c r="AF20" s="1132"/>
    </row>
    <row r="21" spans="1:32" s="343" customFormat="1" ht="6.75" customHeight="1" x14ac:dyDescent="0.35">
      <c r="A21" s="5478"/>
      <c r="B21" s="5479"/>
      <c r="C21" s="5479"/>
      <c r="D21" s="5479"/>
      <c r="E21" s="5479"/>
      <c r="F21" s="5479"/>
      <c r="G21" s="5479"/>
      <c r="H21" s="5479"/>
      <c r="I21" s="5479"/>
      <c r="J21" s="5479"/>
      <c r="K21" s="5479"/>
      <c r="L21" s="5479"/>
      <c r="M21" s="5479"/>
      <c r="N21" s="5479"/>
      <c r="O21" s="5479"/>
      <c r="P21" s="5479"/>
      <c r="Q21" s="5479"/>
      <c r="R21" s="5479"/>
      <c r="S21" s="5479"/>
      <c r="T21" s="5479"/>
      <c r="U21" s="5480"/>
      <c r="V21" s="1131"/>
      <c r="W21" s="1132"/>
      <c r="X21" s="1133"/>
      <c r="Y21" s="1134"/>
      <c r="Z21" s="1134"/>
      <c r="AA21" s="1132"/>
      <c r="AB21" s="1132"/>
      <c r="AC21" s="1132"/>
      <c r="AD21" s="1132"/>
      <c r="AE21" s="1132"/>
      <c r="AF21" s="1132"/>
    </row>
    <row r="22" spans="1:32" s="343" customFormat="1" ht="24" customHeight="1" x14ac:dyDescent="0.35">
      <c r="A22" s="7121"/>
      <c r="B22" s="7122"/>
      <c r="C22" s="5502"/>
      <c r="D22" s="5503"/>
      <c r="E22" s="5503"/>
      <c r="F22" s="5503"/>
      <c r="G22" s="5503"/>
      <c r="H22" s="5503"/>
      <c r="I22" s="5504"/>
      <c r="J22" s="5505"/>
      <c r="K22" s="5506"/>
      <c r="L22" s="5506"/>
      <c r="M22" s="5506"/>
      <c r="N22" s="5506"/>
      <c r="O22" s="5506"/>
      <c r="P22" s="5507"/>
      <c r="Q22" s="5508"/>
      <c r="R22" s="5509"/>
      <c r="S22" s="5509"/>
      <c r="T22" s="5510"/>
      <c r="U22" s="5511"/>
      <c r="V22" s="1131"/>
      <c r="W22" s="1132"/>
      <c r="X22" s="1133"/>
      <c r="Y22" s="1134"/>
      <c r="Z22" s="1134"/>
      <c r="AA22" s="1132"/>
      <c r="AB22" s="1132"/>
      <c r="AC22" s="1132"/>
      <c r="AD22" s="1132"/>
      <c r="AE22" s="1132"/>
      <c r="AF22" s="1132"/>
    </row>
    <row r="23" spans="1:32" s="1137" customFormat="1" ht="33.75" customHeight="1" x14ac:dyDescent="0.35">
      <c r="A23" s="7121"/>
      <c r="B23" s="7122"/>
      <c r="C23" s="7128"/>
      <c r="D23" s="7129"/>
      <c r="E23" s="7129"/>
      <c r="F23" s="7129"/>
      <c r="G23" s="7129"/>
      <c r="H23" s="7129"/>
      <c r="I23" s="7130"/>
      <c r="J23" s="7118"/>
      <c r="K23" s="7119"/>
      <c r="L23" s="7119"/>
      <c r="M23" s="7119"/>
      <c r="N23" s="7119"/>
      <c r="O23" s="7119"/>
      <c r="P23" s="7120"/>
      <c r="Q23" s="7110"/>
      <c r="R23" s="7111"/>
      <c r="S23" s="7111"/>
      <c r="T23" s="7112"/>
      <c r="U23" s="7113"/>
      <c r="V23" s="400"/>
      <c r="W23" s="1135"/>
      <c r="X23" s="1136"/>
      <c r="Y23" s="1136"/>
      <c r="Z23" s="1136"/>
      <c r="AA23" s="1135"/>
      <c r="AB23" s="1135"/>
      <c r="AC23" s="1135"/>
      <c r="AD23" s="1135"/>
      <c r="AE23" s="1135"/>
      <c r="AF23" s="1135"/>
    </row>
    <row r="24" spans="1:32" s="343" customFormat="1" ht="33.75" customHeight="1" x14ac:dyDescent="0.35">
      <c r="A24" s="7121"/>
      <c r="B24" s="7122"/>
      <c r="C24" s="7128"/>
      <c r="D24" s="7129"/>
      <c r="E24" s="7129"/>
      <c r="F24" s="7129"/>
      <c r="G24" s="7129"/>
      <c r="H24" s="7129"/>
      <c r="I24" s="7130"/>
      <c r="J24" s="7118"/>
      <c r="K24" s="7119"/>
      <c r="L24" s="7119"/>
      <c r="M24" s="7119"/>
      <c r="N24" s="7119"/>
      <c r="O24" s="7119"/>
      <c r="P24" s="7120"/>
      <c r="Q24" s="7114"/>
      <c r="R24" s="7115"/>
      <c r="S24" s="7115"/>
      <c r="T24" s="7116"/>
      <c r="U24" s="7117"/>
      <c r="V24" s="1131"/>
      <c r="W24" s="1132"/>
      <c r="X24" s="1133"/>
      <c r="Y24" s="1134"/>
      <c r="Z24" s="1134"/>
      <c r="AA24" s="1132"/>
      <c r="AB24" s="1132"/>
      <c r="AC24" s="1132"/>
      <c r="AD24" s="1132"/>
      <c r="AE24" s="1132"/>
      <c r="AF24" s="1132"/>
    </row>
    <row r="25" spans="1:32" s="343" customFormat="1" ht="31.5" customHeight="1" x14ac:dyDescent="0.35">
      <c r="A25" s="7121"/>
      <c r="B25" s="7122"/>
      <c r="C25" s="7128"/>
      <c r="D25" s="7129"/>
      <c r="E25" s="7129"/>
      <c r="F25" s="7129"/>
      <c r="G25" s="7129"/>
      <c r="H25" s="7129"/>
      <c r="I25" s="7130"/>
      <c r="J25" s="7118"/>
      <c r="K25" s="7119"/>
      <c r="L25" s="7119"/>
      <c r="M25" s="7119"/>
      <c r="N25" s="7119"/>
      <c r="O25" s="7119"/>
      <c r="P25" s="7120"/>
      <c r="Q25" s="7114"/>
      <c r="R25" s="7115"/>
      <c r="S25" s="7115"/>
      <c r="T25" s="7116"/>
      <c r="U25" s="7117"/>
      <c r="V25" s="1131"/>
      <c r="W25" s="1132"/>
      <c r="X25" s="1133"/>
      <c r="Y25" s="1134"/>
      <c r="Z25" s="1134"/>
      <c r="AA25" s="1132"/>
      <c r="AB25" s="1132"/>
      <c r="AC25" s="1132"/>
      <c r="AD25" s="1132"/>
      <c r="AE25" s="1132"/>
      <c r="AF25" s="1132"/>
    </row>
    <row r="26" spans="1:32" s="343" customFormat="1" ht="15.5" x14ac:dyDescent="0.35">
      <c r="A26" s="7121"/>
      <c r="B26" s="7122"/>
      <c r="C26" s="7128"/>
      <c r="D26" s="7129"/>
      <c r="E26" s="7129"/>
      <c r="F26" s="7129"/>
      <c r="G26" s="7129"/>
      <c r="H26" s="7129"/>
      <c r="I26" s="7130"/>
      <c r="J26" s="7118"/>
      <c r="K26" s="7119"/>
      <c r="L26" s="7119"/>
      <c r="M26" s="7119"/>
      <c r="N26" s="7119"/>
      <c r="O26" s="7119"/>
      <c r="P26" s="7120"/>
      <c r="Q26" s="7114"/>
      <c r="R26" s="7115"/>
      <c r="S26" s="7115"/>
      <c r="T26" s="7116"/>
      <c r="U26" s="7117"/>
      <c r="V26" s="1131"/>
      <c r="W26" s="1132"/>
      <c r="X26" s="1133"/>
      <c r="Y26" s="1134"/>
      <c r="Z26" s="1134"/>
      <c r="AA26" s="1132"/>
      <c r="AB26" s="1132"/>
      <c r="AC26" s="1132"/>
      <c r="AD26" s="1132"/>
      <c r="AE26" s="1132"/>
      <c r="AF26" s="1132"/>
    </row>
    <row r="27" spans="1:32" s="343" customFormat="1" ht="15.5" x14ac:dyDescent="0.35">
      <c r="A27" s="7121"/>
      <c r="B27" s="7122"/>
      <c r="C27" s="7128"/>
      <c r="D27" s="7129"/>
      <c r="E27" s="7129"/>
      <c r="F27" s="7129"/>
      <c r="G27" s="7129"/>
      <c r="H27" s="7129"/>
      <c r="I27" s="7130"/>
      <c r="J27" s="7118"/>
      <c r="K27" s="7119"/>
      <c r="L27" s="7119"/>
      <c r="M27" s="7119"/>
      <c r="N27" s="7119"/>
      <c r="O27" s="7119"/>
      <c r="P27" s="7120"/>
      <c r="Q27" s="7114"/>
      <c r="R27" s="7115"/>
      <c r="S27" s="7115"/>
      <c r="T27" s="7116"/>
      <c r="U27" s="7117"/>
      <c r="V27" s="1131"/>
      <c r="W27" s="1132"/>
      <c r="X27" s="1133"/>
      <c r="Y27" s="1134"/>
      <c r="Z27" s="1134"/>
      <c r="AA27" s="1132"/>
      <c r="AB27" s="1132"/>
      <c r="AC27" s="1132"/>
      <c r="AD27" s="1132"/>
      <c r="AE27" s="1132"/>
      <c r="AF27" s="1132"/>
    </row>
    <row r="28" spans="1:32" s="343" customFormat="1" ht="16" thickBot="1" x14ac:dyDescent="0.4">
      <c r="A28" s="7133"/>
      <c r="B28" s="7134"/>
      <c r="C28" s="7135"/>
      <c r="D28" s="7136"/>
      <c r="E28" s="7136"/>
      <c r="F28" s="7136"/>
      <c r="G28" s="7136"/>
      <c r="H28" s="7136"/>
      <c r="I28" s="7134"/>
      <c r="J28" s="7131"/>
      <c r="K28" s="7131"/>
      <c r="L28" s="7131"/>
      <c r="M28" s="7131"/>
      <c r="N28" s="7131"/>
      <c r="O28" s="7131"/>
      <c r="P28" s="7132"/>
      <c r="Q28" s="7089"/>
      <c r="R28" s="7090"/>
      <c r="S28" s="7090"/>
      <c r="T28" s="7091"/>
      <c r="U28" s="7092"/>
      <c r="V28" s="1131"/>
      <c r="W28" s="1132"/>
      <c r="X28" s="1133"/>
      <c r="Y28" s="1134"/>
      <c r="Z28" s="1134"/>
      <c r="AA28" s="1132"/>
      <c r="AB28" s="1132"/>
      <c r="AC28" s="1132"/>
      <c r="AD28" s="1132"/>
      <c r="AE28" s="1132"/>
      <c r="AF28" s="1132"/>
    </row>
    <row r="29" spans="1:32" s="343" customFormat="1" ht="15" thickTop="1" x14ac:dyDescent="0.35">
      <c r="A29" s="1138"/>
      <c r="B29" s="1138"/>
      <c r="C29" s="1138"/>
      <c r="D29" s="1138"/>
      <c r="E29" s="1138"/>
      <c r="F29" s="1138"/>
      <c r="G29" s="1138"/>
      <c r="H29" s="1138"/>
      <c r="I29" s="1138"/>
      <c r="J29" s="1138"/>
      <c r="K29" s="1138"/>
      <c r="L29" s="1138"/>
      <c r="M29" s="1138"/>
      <c r="N29" s="1138"/>
      <c r="O29" s="1138"/>
      <c r="P29" s="1138"/>
      <c r="Q29" s="1139"/>
      <c r="R29" s="1139"/>
      <c r="S29" s="1140"/>
      <c r="T29" s="1140"/>
      <c r="U29" s="1140"/>
      <c r="V29" s="1131"/>
      <c r="W29" s="1132"/>
      <c r="X29" s="1133"/>
      <c r="Y29" s="1134"/>
      <c r="Z29" s="1134"/>
      <c r="AA29" s="1132"/>
      <c r="AB29" s="1132"/>
      <c r="AC29" s="1132"/>
      <c r="AD29" s="1132"/>
      <c r="AE29" s="1132"/>
      <c r="AF29" s="1132"/>
    </row>
    <row r="30" spans="1:32" s="343" customFormat="1" ht="15" thickBot="1" x14ac:dyDescent="0.4">
      <c r="A30" s="1140"/>
      <c r="B30" s="1140"/>
      <c r="C30" s="1140"/>
      <c r="D30" s="1140"/>
      <c r="E30" s="1140"/>
      <c r="F30" s="1140"/>
      <c r="G30" s="1140"/>
      <c r="H30" s="1140"/>
      <c r="I30" s="1140"/>
      <c r="J30" s="1140"/>
      <c r="K30" s="1140"/>
      <c r="L30" s="1140"/>
      <c r="M30" s="1140"/>
      <c r="N30" s="1140"/>
      <c r="O30" s="1140"/>
      <c r="P30" s="1140"/>
      <c r="Q30" s="1140"/>
      <c r="R30" s="1140"/>
      <c r="S30" s="1140"/>
      <c r="T30" s="1140"/>
      <c r="U30" s="1140"/>
      <c r="V30" s="1140"/>
    </row>
    <row r="31" spans="1:32" s="343" customFormat="1" ht="19.5" thickTop="1" thickBot="1" x14ac:dyDescent="0.4">
      <c r="A31" s="3883" t="s">
        <v>10</v>
      </c>
      <c r="B31" s="3884"/>
      <c r="C31" s="3884"/>
      <c r="D31" s="3884"/>
      <c r="E31" s="3884"/>
      <c r="F31" s="3884"/>
      <c r="G31" s="3884"/>
      <c r="H31" s="3884"/>
      <c r="I31" s="3884"/>
      <c r="J31" s="3884"/>
      <c r="K31" s="3884"/>
      <c r="L31" s="30"/>
      <c r="M31" s="3725" t="s">
        <v>748</v>
      </c>
      <c r="N31" s="3726"/>
      <c r="O31" s="3727"/>
      <c r="P31" s="31"/>
      <c r="Q31" s="1140"/>
      <c r="R31" s="1140"/>
      <c r="S31" s="1140"/>
      <c r="T31" s="1140"/>
      <c r="U31" s="1140"/>
      <c r="V31" s="1140"/>
    </row>
    <row r="32" spans="1:32" s="343" customFormat="1" ht="19.5" customHeight="1" x14ac:dyDescent="0.35">
      <c r="A32" s="7093" t="s">
        <v>2227</v>
      </c>
      <c r="B32" s="7094"/>
      <c r="C32" s="7094"/>
      <c r="D32" s="7094"/>
      <c r="E32" s="7094"/>
      <c r="F32" s="7094"/>
      <c r="G32" s="7094"/>
      <c r="H32" s="7094"/>
      <c r="I32" s="7094"/>
      <c r="J32" s="7094"/>
      <c r="K32" s="7095"/>
      <c r="L32" s="33"/>
      <c r="M32" s="7101" t="s">
        <v>756</v>
      </c>
      <c r="N32" s="7102"/>
      <c r="O32" s="7103"/>
      <c r="P32" s="33"/>
      <c r="Q32" s="1140"/>
      <c r="R32" s="1140"/>
      <c r="S32" s="1140"/>
      <c r="T32" s="1140"/>
      <c r="U32" s="1140"/>
      <c r="V32" s="1140"/>
    </row>
    <row r="33" spans="1:22" s="343" customFormat="1" ht="19.5" customHeight="1" x14ac:dyDescent="0.35">
      <c r="A33" s="7096"/>
      <c r="B33" s="4578"/>
      <c r="C33" s="4578"/>
      <c r="D33" s="4578"/>
      <c r="E33" s="4578"/>
      <c r="F33" s="4578"/>
      <c r="G33" s="4578"/>
      <c r="H33" s="4578"/>
      <c r="I33" s="4578"/>
      <c r="J33" s="4578"/>
      <c r="K33" s="7097"/>
      <c r="L33" s="33"/>
      <c r="M33" s="7104"/>
      <c r="N33" s="7105"/>
      <c r="O33" s="7106"/>
      <c r="P33" s="33"/>
      <c r="Q33" s="1140"/>
      <c r="R33" s="1140"/>
      <c r="S33" s="1140"/>
      <c r="T33" s="1140"/>
      <c r="U33" s="1140"/>
      <c r="V33" s="1140"/>
    </row>
    <row r="34" spans="1:22" s="343" customFormat="1" ht="19.5" customHeight="1" x14ac:dyDescent="0.35">
      <c r="A34" s="7096"/>
      <c r="B34" s="4578"/>
      <c r="C34" s="4578"/>
      <c r="D34" s="4578"/>
      <c r="E34" s="4578"/>
      <c r="F34" s="4578"/>
      <c r="G34" s="4578"/>
      <c r="H34" s="4578"/>
      <c r="I34" s="4578"/>
      <c r="J34" s="4578"/>
      <c r="K34" s="7097"/>
      <c r="L34" s="33"/>
      <c r="M34" s="7104"/>
      <c r="N34" s="7105"/>
      <c r="O34" s="7106"/>
      <c r="P34" s="33"/>
      <c r="Q34" s="1140"/>
      <c r="R34" s="1140"/>
      <c r="S34" s="1140"/>
      <c r="T34" s="1140"/>
      <c r="U34" s="1140"/>
      <c r="V34" s="1140"/>
    </row>
    <row r="35" spans="1:22" s="343" customFormat="1" ht="19.5" customHeight="1" x14ac:dyDescent="0.35">
      <c r="A35" s="7096"/>
      <c r="B35" s="4578"/>
      <c r="C35" s="4578"/>
      <c r="D35" s="4578"/>
      <c r="E35" s="4578"/>
      <c r="F35" s="4578"/>
      <c r="G35" s="4578"/>
      <c r="H35" s="4578"/>
      <c r="I35" s="4578"/>
      <c r="J35" s="4578"/>
      <c r="K35" s="7097"/>
      <c r="L35" s="33"/>
      <c r="M35" s="7104"/>
      <c r="N35" s="7105"/>
      <c r="O35" s="7106"/>
      <c r="P35" s="33"/>
      <c r="Q35" s="1140"/>
      <c r="R35" s="1140"/>
      <c r="S35" s="1140"/>
      <c r="T35" s="1140"/>
      <c r="U35" s="1140"/>
      <c r="V35" s="1140"/>
    </row>
    <row r="36" spans="1:22" s="343" customFormat="1" ht="15" customHeight="1" thickBot="1" x14ac:dyDescent="0.4">
      <c r="A36" s="7096"/>
      <c r="B36" s="4578"/>
      <c r="C36" s="4578"/>
      <c r="D36" s="4578"/>
      <c r="E36" s="4578"/>
      <c r="F36" s="4578"/>
      <c r="G36" s="4578"/>
      <c r="H36" s="4578"/>
      <c r="I36" s="4578"/>
      <c r="J36" s="4578"/>
      <c r="K36" s="7097"/>
      <c r="L36" s="1140"/>
      <c r="M36" s="7107"/>
      <c r="N36" s="7108"/>
      <c r="O36" s="7109"/>
      <c r="P36" s="1140"/>
      <c r="Q36" s="1140"/>
      <c r="R36" s="1140"/>
      <c r="S36" s="1140"/>
      <c r="T36" s="1140"/>
      <c r="U36" s="1140"/>
      <c r="V36" s="1140"/>
    </row>
    <row r="37" spans="1:22" s="343" customFormat="1" x14ac:dyDescent="0.35">
      <c r="A37" s="7096"/>
      <c r="B37" s="4578"/>
      <c r="C37" s="4578"/>
      <c r="D37" s="4578"/>
      <c r="E37" s="4578"/>
      <c r="F37" s="4578"/>
      <c r="G37" s="4578"/>
      <c r="H37" s="4578"/>
      <c r="I37" s="4578"/>
      <c r="J37" s="4578"/>
      <c r="K37" s="7097"/>
      <c r="L37" s="31"/>
      <c r="M37" s="1140"/>
      <c r="N37" s="1140"/>
      <c r="O37" s="1140"/>
      <c r="P37" s="31"/>
      <c r="Q37" s="1140"/>
      <c r="R37" s="1140"/>
      <c r="S37" s="1140"/>
      <c r="T37" s="1140"/>
      <c r="U37" s="1140"/>
      <c r="V37" s="1140"/>
    </row>
    <row r="38" spans="1:22" s="343" customFormat="1" ht="19.5" customHeight="1" x14ac:dyDescent="0.35">
      <c r="A38" s="7096"/>
      <c r="B38" s="4578"/>
      <c r="C38" s="4578"/>
      <c r="D38" s="4578"/>
      <c r="E38" s="4578"/>
      <c r="F38" s="4578"/>
      <c r="G38" s="4578"/>
      <c r="H38" s="4578"/>
      <c r="I38" s="4578"/>
      <c r="J38" s="4578"/>
      <c r="K38" s="7097"/>
      <c r="L38" s="31"/>
      <c r="M38" s="1140"/>
      <c r="N38" s="1140"/>
      <c r="O38" s="1140"/>
      <c r="P38" s="31"/>
      <c r="Q38" s="1140"/>
      <c r="R38" s="1140"/>
      <c r="S38" s="1140"/>
      <c r="T38" s="1140"/>
      <c r="U38" s="1140"/>
      <c r="V38" s="1140"/>
    </row>
    <row r="39" spans="1:22" s="343" customFormat="1" ht="19.5" customHeight="1" thickBot="1" x14ac:dyDescent="0.4">
      <c r="A39" s="7098"/>
      <c r="B39" s="7099"/>
      <c r="C39" s="7099"/>
      <c r="D39" s="7099"/>
      <c r="E39" s="7099"/>
      <c r="F39" s="7099"/>
      <c r="G39" s="7099"/>
      <c r="H39" s="7099"/>
      <c r="I39" s="7099"/>
      <c r="J39" s="7099"/>
      <c r="K39" s="7100"/>
      <c r="L39" s="31"/>
      <c r="M39" s="1140"/>
      <c r="N39" s="1140"/>
      <c r="O39" s="1140"/>
      <c r="P39" s="31"/>
      <c r="Q39" s="1140"/>
      <c r="R39" s="1140"/>
      <c r="S39" s="1140"/>
      <c r="T39" s="1140"/>
      <c r="U39" s="1140"/>
      <c r="V39" s="1140"/>
    </row>
    <row r="40" spans="1:22" s="343" customFormat="1" ht="19.5" customHeight="1" thickTop="1" thickBot="1" x14ac:dyDescent="0.4">
      <c r="A40" s="1140"/>
      <c r="B40" s="1140"/>
      <c r="C40" s="1140"/>
      <c r="D40" s="1140"/>
      <c r="E40" s="1140"/>
      <c r="F40" s="1140"/>
      <c r="G40" s="1140"/>
      <c r="H40" s="1140"/>
      <c r="I40" s="1140"/>
      <c r="J40" s="1140"/>
      <c r="K40" s="1141"/>
      <c r="L40" s="31"/>
      <c r="M40" s="1140"/>
      <c r="N40" s="1140"/>
      <c r="O40" s="1140"/>
      <c r="P40" s="31"/>
      <c r="Q40" s="1140"/>
      <c r="R40" s="1140"/>
      <c r="S40" s="1140"/>
      <c r="T40" s="1140"/>
      <c r="U40" s="1140"/>
      <c r="V40" s="1140"/>
    </row>
    <row r="41" spans="1:22" s="343" customFormat="1" ht="19.5" customHeight="1" thickTop="1" thickBot="1" x14ac:dyDescent="0.4">
      <c r="A41" s="3883" t="s">
        <v>11</v>
      </c>
      <c r="B41" s="3884"/>
      <c r="C41" s="3884"/>
      <c r="D41" s="3884"/>
      <c r="E41" s="3884"/>
      <c r="F41" s="3884"/>
      <c r="G41" s="3884"/>
      <c r="H41" s="3884"/>
      <c r="I41" s="3884"/>
      <c r="J41" s="3884"/>
      <c r="K41" s="5402"/>
      <c r="L41" s="31"/>
      <c r="M41" s="3725" t="s">
        <v>748</v>
      </c>
      <c r="N41" s="3726"/>
      <c r="O41" s="3727"/>
      <c r="P41" s="31"/>
      <c r="Q41" s="1140"/>
      <c r="R41" s="1140"/>
      <c r="S41" s="1140"/>
      <c r="T41" s="1140"/>
      <c r="U41" s="1140"/>
      <c r="V41" s="1140"/>
    </row>
    <row r="42" spans="1:22" s="343" customFormat="1" ht="18.75" customHeight="1" x14ac:dyDescent="0.35">
      <c r="A42" s="7093"/>
      <c r="B42" s="7094"/>
      <c r="C42" s="7094"/>
      <c r="D42" s="7094"/>
      <c r="E42" s="7094"/>
      <c r="F42" s="7094"/>
      <c r="G42" s="7094"/>
      <c r="H42" s="7094"/>
      <c r="I42" s="7094"/>
      <c r="J42" s="7094"/>
      <c r="K42" s="7095"/>
      <c r="L42" s="1140"/>
      <c r="M42" s="7101" t="s">
        <v>1395</v>
      </c>
      <c r="N42" s="7102"/>
      <c r="O42" s="7103"/>
      <c r="P42" s="1140"/>
      <c r="Q42" s="1140"/>
      <c r="R42" s="1140"/>
      <c r="S42" s="1140"/>
      <c r="T42" s="1140"/>
      <c r="U42" s="1140"/>
      <c r="V42" s="1140"/>
    </row>
    <row r="43" spans="1:22" s="343" customFormat="1" x14ac:dyDescent="0.35">
      <c r="A43" s="7096"/>
      <c r="B43" s="4578"/>
      <c r="C43" s="4578"/>
      <c r="D43" s="4578"/>
      <c r="E43" s="4578"/>
      <c r="F43" s="4578"/>
      <c r="G43" s="4578"/>
      <c r="H43" s="4578"/>
      <c r="I43" s="4578"/>
      <c r="J43" s="4578"/>
      <c r="K43" s="7097"/>
      <c r="L43" s="1140"/>
      <c r="M43" s="7104"/>
      <c r="N43" s="7105"/>
      <c r="O43" s="7106"/>
      <c r="P43" s="1140"/>
      <c r="Q43" s="1140"/>
      <c r="R43" s="1140"/>
      <c r="S43" s="1140"/>
      <c r="T43" s="1140"/>
      <c r="U43" s="1140"/>
      <c r="V43" s="1140"/>
    </row>
    <row r="44" spans="1:22" s="343" customFormat="1" ht="15" customHeight="1" x14ac:dyDescent="0.35">
      <c r="A44" s="7096"/>
      <c r="B44" s="4578"/>
      <c r="C44" s="4578"/>
      <c r="D44" s="4578"/>
      <c r="E44" s="4578"/>
      <c r="F44" s="4578"/>
      <c r="G44" s="4578"/>
      <c r="H44" s="4578"/>
      <c r="I44" s="4578"/>
      <c r="J44" s="4578"/>
      <c r="K44" s="7097"/>
      <c r="L44" s="1140"/>
      <c r="M44" s="7104"/>
      <c r="N44" s="7105"/>
      <c r="O44" s="7106"/>
      <c r="P44" s="1140"/>
      <c r="Q44" s="1140"/>
      <c r="R44" s="1140"/>
      <c r="S44" s="1140"/>
      <c r="T44" s="1140"/>
      <c r="U44" s="1140"/>
      <c r="V44" s="1140"/>
    </row>
    <row r="45" spans="1:22" s="343" customFormat="1" x14ac:dyDescent="0.35">
      <c r="A45" s="7096"/>
      <c r="B45" s="4578"/>
      <c r="C45" s="4578"/>
      <c r="D45" s="4578"/>
      <c r="E45" s="4578"/>
      <c r="F45" s="4578"/>
      <c r="G45" s="4578"/>
      <c r="H45" s="4578"/>
      <c r="I45" s="4578"/>
      <c r="J45" s="4578"/>
      <c r="K45" s="7097"/>
      <c r="L45" s="1140"/>
      <c r="M45" s="7104"/>
      <c r="N45" s="7105"/>
      <c r="O45" s="7106"/>
      <c r="P45" s="1140"/>
      <c r="Q45" s="1140"/>
      <c r="R45" s="1140"/>
      <c r="S45" s="1140"/>
      <c r="T45" s="1140"/>
      <c r="U45" s="1140"/>
      <c r="V45" s="1140"/>
    </row>
    <row r="46" spans="1:22" s="343" customFormat="1" ht="15" customHeight="1" x14ac:dyDescent="0.35">
      <c r="A46" s="7096"/>
      <c r="B46" s="4578"/>
      <c r="C46" s="4578"/>
      <c r="D46" s="4578"/>
      <c r="E46" s="4578"/>
      <c r="F46" s="4578"/>
      <c r="G46" s="4578"/>
      <c r="H46" s="4578"/>
      <c r="I46" s="4578"/>
      <c r="J46" s="4578"/>
      <c r="K46" s="7097"/>
      <c r="L46" s="1140"/>
      <c r="M46" s="7104"/>
      <c r="N46" s="7105"/>
      <c r="O46" s="7106"/>
      <c r="P46" s="1140"/>
      <c r="Q46" s="1140"/>
      <c r="R46" s="1140"/>
      <c r="S46" s="1140"/>
      <c r="T46" s="1140"/>
      <c r="U46" s="1140"/>
      <c r="V46" s="1140"/>
    </row>
    <row r="47" spans="1:22" s="343" customFormat="1" x14ac:dyDescent="0.35">
      <c r="A47" s="7096"/>
      <c r="B47" s="4578"/>
      <c r="C47" s="4578"/>
      <c r="D47" s="4578"/>
      <c r="E47" s="4578"/>
      <c r="F47" s="4578"/>
      <c r="G47" s="4578"/>
      <c r="H47" s="4578"/>
      <c r="I47" s="4578"/>
      <c r="J47" s="4578"/>
      <c r="K47" s="7097"/>
      <c r="L47" s="1140"/>
      <c r="M47" s="7104"/>
      <c r="N47" s="7105"/>
      <c r="O47" s="7106"/>
      <c r="P47" s="1140"/>
      <c r="Q47" s="1140"/>
      <c r="R47" s="1140"/>
      <c r="S47" s="1140"/>
      <c r="T47" s="1140"/>
      <c r="U47" s="1140"/>
      <c r="V47" s="1140"/>
    </row>
    <row r="48" spans="1:22" s="343" customFormat="1" ht="15" thickBot="1" x14ac:dyDescent="0.4">
      <c r="A48" s="7096"/>
      <c r="B48" s="4578"/>
      <c r="C48" s="4578"/>
      <c r="D48" s="4578"/>
      <c r="E48" s="4578"/>
      <c r="F48" s="4578"/>
      <c r="G48" s="4578"/>
      <c r="H48" s="4578"/>
      <c r="I48" s="4578"/>
      <c r="J48" s="4578"/>
      <c r="K48" s="7097"/>
      <c r="L48" s="1140"/>
      <c r="M48" s="7107"/>
      <c r="N48" s="7108"/>
      <c r="O48" s="7109"/>
      <c r="P48" s="1140"/>
      <c r="Q48" s="1140"/>
      <c r="R48" s="1140"/>
      <c r="S48" s="1140"/>
      <c r="T48" s="1140"/>
      <c r="U48" s="1140"/>
      <c r="V48" s="1140"/>
    </row>
    <row r="49" spans="1:22" s="343" customFormat="1" ht="15" thickBot="1" x14ac:dyDescent="0.4">
      <c r="A49" s="7098"/>
      <c r="B49" s="7099"/>
      <c r="C49" s="7099"/>
      <c r="D49" s="7099"/>
      <c r="E49" s="7099"/>
      <c r="F49" s="7099"/>
      <c r="G49" s="7099"/>
      <c r="H49" s="7099"/>
      <c r="I49" s="7099"/>
      <c r="J49" s="7099"/>
      <c r="K49" s="7100"/>
      <c r="L49" s="1140"/>
      <c r="M49" s="1140"/>
      <c r="N49" s="1140"/>
      <c r="O49" s="1140"/>
      <c r="P49" s="1140"/>
      <c r="Q49" s="1140"/>
      <c r="R49" s="1140"/>
      <c r="S49" s="1140"/>
      <c r="T49" s="1140"/>
      <c r="U49" s="1140"/>
      <c r="V49" s="1140"/>
    </row>
    <row r="50" spans="1:22" s="343" customFormat="1" ht="15" thickTop="1" x14ac:dyDescent="0.35">
      <c r="A50" s="1140"/>
      <c r="B50" s="1140"/>
      <c r="C50" s="1140"/>
      <c r="D50" s="1140"/>
      <c r="E50" s="1140"/>
      <c r="F50" s="1140"/>
      <c r="G50" s="1140"/>
      <c r="H50" s="1140"/>
      <c r="I50" s="1140"/>
      <c r="J50" s="1140"/>
      <c r="K50" s="1140"/>
      <c r="L50" s="1140"/>
      <c r="M50" s="1140"/>
      <c r="N50" s="1140"/>
      <c r="O50" s="1140"/>
      <c r="P50" s="1140"/>
      <c r="Q50" s="1140"/>
      <c r="R50" s="1140"/>
      <c r="S50" s="1140"/>
      <c r="T50" s="1140"/>
      <c r="U50" s="1140"/>
      <c r="V50" s="1140"/>
    </row>
    <row r="51" spans="1:22" s="343" customFormat="1" x14ac:dyDescent="0.35"/>
    <row r="52" spans="1:22" s="343" customFormat="1" x14ac:dyDescent="0.35"/>
    <row r="53" spans="1:22" s="343" customFormat="1" x14ac:dyDescent="0.35"/>
    <row r="54" spans="1:22" s="343" customFormat="1" x14ac:dyDescent="0.35"/>
    <row r="55" spans="1:22" s="343" customFormat="1" x14ac:dyDescent="0.35"/>
    <row r="56" spans="1:22" s="343" customFormat="1" x14ac:dyDescent="0.35"/>
    <row r="57" spans="1:22" s="343" customFormat="1" x14ac:dyDescent="0.35"/>
    <row r="58" spans="1:22" s="343" customFormat="1" x14ac:dyDescent="0.35"/>
    <row r="59" spans="1:22" s="343" customFormat="1" x14ac:dyDescent="0.35"/>
    <row r="60" spans="1:22" s="343" customFormat="1" x14ac:dyDescent="0.35"/>
    <row r="61" spans="1:22" s="343" customFormat="1" x14ac:dyDescent="0.35"/>
  </sheetData>
  <mergeCells count="87">
    <mergeCell ref="A11:U11"/>
    <mergeCell ref="A13:U13"/>
    <mergeCell ref="A15:U15"/>
    <mergeCell ref="C6:I6"/>
    <mergeCell ref="J14:P14"/>
    <mergeCell ref="Q6:U6"/>
    <mergeCell ref="Q8:U8"/>
    <mergeCell ref="Q10:U10"/>
    <mergeCell ref="Q12:U12"/>
    <mergeCell ref="A7:U7"/>
    <mergeCell ref="J12:P12"/>
    <mergeCell ref="A12:B12"/>
    <mergeCell ref="C12:I12"/>
    <mergeCell ref="J8:P8"/>
    <mergeCell ref="J10:P10"/>
    <mergeCell ref="A8:B8"/>
    <mergeCell ref="L1:M1"/>
    <mergeCell ref="D2:G2"/>
    <mergeCell ref="I2:J2"/>
    <mergeCell ref="L2:M2"/>
    <mergeCell ref="A5:B5"/>
    <mergeCell ref="C5:P5"/>
    <mergeCell ref="D1:G1"/>
    <mergeCell ref="I1:J1"/>
    <mergeCell ref="H4:P4"/>
    <mergeCell ref="A4:G4"/>
    <mergeCell ref="D3:G3"/>
    <mergeCell ref="J16:P16"/>
    <mergeCell ref="A14:B14"/>
    <mergeCell ref="A16:B16"/>
    <mergeCell ref="C14:I14"/>
    <mergeCell ref="J24:P24"/>
    <mergeCell ref="C24:I24"/>
    <mergeCell ref="A18:B18"/>
    <mergeCell ref="A20:B20"/>
    <mergeCell ref="A22:B22"/>
    <mergeCell ref="A23:B23"/>
    <mergeCell ref="A24:B24"/>
    <mergeCell ref="J27:P27"/>
    <mergeCell ref="J28:P28"/>
    <mergeCell ref="J25:P25"/>
    <mergeCell ref="A25:B25"/>
    <mergeCell ref="A26:B26"/>
    <mergeCell ref="A27:B27"/>
    <mergeCell ref="C25:I25"/>
    <mergeCell ref="C26:I26"/>
    <mergeCell ref="C27:I27"/>
    <mergeCell ref="A28:B28"/>
    <mergeCell ref="C28:I28"/>
    <mergeCell ref="Q16:U16"/>
    <mergeCell ref="Q18:U18"/>
    <mergeCell ref="Q20:U20"/>
    <mergeCell ref="Q22:U22"/>
    <mergeCell ref="J23:P23"/>
    <mergeCell ref="J22:P22"/>
    <mergeCell ref="J18:P18"/>
    <mergeCell ref="J20:P20"/>
    <mergeCell ref="A17:U17"/>
    <mergeCell ref="A19:U19"/>
    <mergeCell ref="A21:U21"/>
    <mergeCell ref="C18:I18"/>
    <mergeCell ref="C16:I16"/>
    <mergeCell ref="C20:I20"/>
    <mergeCell ref="C22:I22"/>
    <mergeCell ref="C23:I23"/>
    <mergeCell ref="A10:B10"/>
    <mergeCell ref="C8:I8"/>
    <mergeCell ref="C10:I10"/>
    <mergeCell ref="J6:P6"/>
    <mergeCell ref="A6:B6"/>
    <mergeCell ref="A9:U9"/>
    <mergeCell ref="Q14:U14"/>
    <mergeCell ref="Q28:U28"/>
    <mergeCell ref="A32:K39"/>
    <mergeCell ref="A42:K49"/>
    <mergeCell ref="M31:O31"/>
    <mergeCell ref="M32:O36"/>
    <mergeCell ref="M42:O48"/>
    <mergeCell ref="M41:O41"/>
    <mergeCell ref="A31:K31"/>
    <mergeCell ref="A41:K41"/>
    <mergeCell ref="Q23:U23"/>
    <mergeCell ref="Q24:U24"/>
    <mergeCell ref="Q25:U25"/>
    <mergeCell ref="Q26:U26"/>
    <mergeCell ref="Q27:U27"/>
    <mergeCell ref="J26:P26"/>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7600-000000000000}">
      <formula1>AvancementTheme</formula1>
    </dataValidation>
  </dataValidation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Feuil20">
    <tabColor rgb="FFFFC000"/>
    <pageSetUpPr fitToPage="1"/>
  </sheetPr>
  <dimension ref="A1:XBT22"/>
  <sheetViews>
    <sheetView showGridLines="0" zoomScale="80" zoomScaleNormal="80" workbookViewId="0">
      <pane ySplit="5" topLeftCell="A6" activePane="bottomLeft" state="frozen"/>
      <selection activeCell="C5" sqref="C5:P5"/>
      <selection pane="bottomLeft" activeCell="F25" sqref="F25"/>
    </sheetView>
  </sheetViews>
  <sheetFormatPr baseColWidth="10" defaultColWidth="11.453125" defaultRowHeight="14.5" x14ac:dyDescent="0.35"/>
  <cols>
    <col min="1" max="5" width="11.453125" style="60"/>
    <col min="6" max="6" width="45" style="60" customWidth="1"/>
    <col min="7" max="11" width="11.453125" style="60"/>
    <col min="12" max="12" width="12.81640625" style="60" customWidth="1"/>
    <col min="13" max="14" width="11.453125" style="60"/>
    <col min="15" max="15" width="11.453125" style="60" customWidth="1"/>
    <col min="16" max="16384" width="11.453125" style="60"/>
  </cols>
  <sheetData>
    <row r="1" spans="1:16296" s="54" customFormat="1" ht="7.5" customHeight="1" x14ac:dyDescent="0.35">
      <c r="A1" s="389"/>
      <c r="B1" s="389"/>
      <c r="C1" s="389"/>
      <c r="D1" s="3341" t="s">
        <v>5</v>
      </c>
      <c r="E1" s="3341"/>
      <c r="F1" s="3341"/>
      <c r="G1" s="3341"/>
      <c r="H1" s="391"/>
      <c r="I1" s="3341" t="s">
        <v>6</v>
      </c>
      <c r="J1" s="3341"/>
      <c r="K1" s="389"/>
      <c r="L1" s="3341" t="s">
        <v>9</v>
      </c>
      <c r="M1" s="3341"/>
      <c r="N1" s="389"/>
      <c r="O1" s="479"/>
      <c r="P1" s="479"/>
      <c r="Q1" s="458"/>
      <c r="R1" s="458"/>
    </row>
    <row r="2" spans="1:16296" s="58" customFormat="1" ht="18" customHeight="1" x14ac:dyDescent="0.35">
      <c r="A2" s="393"/>
      <c r="B2" s="393"/>
      <c r="C2" s="393"/>
      <c r="D2" s="3342" t="str">
        <f>NomClient</f>
        <v xml:space="preserve">EQUINIX </v>
      </c>
      <c r="E2" s="3343"/>
      <c r="F2" s="3343"/>
      <c r="G2" s="3344"/>
      <c r="H2" s="393"/>
      <c r="I2" s="3345" t="s">
        <v>409</v>
      </c>
      <c r="J2" s="3346"/>
      <c r="K2" s="393"/>
      <c r="L2" s="3347">
        <v>42971.841180555559</v>
      </c>
      <c r="M2" s="3348"/>
      <c r="N2" s="394"/>
      <c r="O2" s="451"/>
      <c r="P2" s="451"/>
      <c r="Q2" s="459"/>
      <c r="R2" s="459"/>
    </row>
    <row r="3" spans="1:16296" ht="12.75" customHeight="1" thickBot="1" x14ac:dyDescent="0.4">
      <c r="A3" s="396"/>
      <c r="B3" s="396"/>
      <c r="C3" s="396"/>
      <c r="D3" s="3937" t="s">
        <v>1792</v>
      </c>
      <c r="E3" s="3937"/>
      <c r="F3" s="3937"/>
      <c r="G3" s="3937"/>
      <c r="H3" s="396"/>
      <c r="I3" s="396"/>
      <c r="J3" s="396"/>
      <c r="K3" s="396"/>
      <c r="L3" s="396"/>
      <c r="M3" s="396"/>
      <c r="N3" s="396"/>
      <c r="O3" s="396"/>
      <c r="P3" s="396"/>
      <c r="Q3" s="64"/>
      <c r="R3" s="64"/>
      <c r="S3" s="64"/>
      <c r="T3" s="64"/>
      <c r="U3" s="64"/>
      <c r="V3" s="64"/>
    </row>
    <row r="4" spans="1:16296" s="1" customFormat="1" ht="24.75" customHeight="1" thickBot="1" x14ac:dyDescent="0.4">
      <c r="A4" s="7174" t="str">
        <f>Parametre!B26  &amp; "  : "</f>
        <v xml:space="preserve">Marchés cibles  : </v>
      </c>
      <c r="B4" s="7174"/>
      <c r="C4" s="7174"/>
      <c r="D4" s="7174"/>
      <c r="E4" s="7174"/>
      <c r="F4" s="7174"/>
      <c r="G4" s="7174"/>
      <c r="H4" s="7172" t="s">
        <v>1009</v>
      </c>
      <c r="I4" s="7172"/>
      <c r="J4" s="7172"/>
      <c r="K4" s="7172"/>
      <c r="L4" s="7172"/>
      <c r="M4" s="7172"/>
      <c r="N4" s="7172"/>
      <c r="O4" s="7172"/>
      <c r="P4" s="7173"/>
      <c r="Q4" s="444"/>
      <c r="R4" s="444"/>
    </row>
    <row r="5" spans="1:16296" s="25" customFormat="1" ht="24" customHeight="1" x14ac:dyDescent="0.35">
      <c r="A5" s="3438" t="s">
        <v>14</v>
      </c>
      <c r="B5" s="3438"/>
      <c r="C5" s="3439" t="s">
        <v>2343</v>
      </c>
      <c r="D5" s="3439"/>
      <c r="E5" s="3439"/>
      <c r="F5" s="3439"/>
      <c r="G5" s="3439"/>
      <c r="H5" s="3439"/>
      <c r="I5" s="3439"/>
      <c r="J5" s="3439"/>
      <c r="K5" s="3439"/>
      <c r="L5" s="3439"/>
      <c r="M5" s="3439"/>
      <c r="N5" s="3439"/>
      <c r="O5" s="3439"/>
      <c r="P5" s="3439"/>
      <c r="Q5" s="767"/>
      <c r="R5" s="767"/>
    </row>
    <row r="6" spans="1:16296" ht="18" customHeight="1" thickBot="1" x14ac:dyDescent="0.4">
      <c r="A6" s="7168"/>
      <c r="B6" s="7169"/>
      <c r="C6" s="7169"/>
      <c r="D6" s="7169"/>
      <c r="E6" s="7143"/>
      <c r="F6" s="7143"/>
      <c r="G6" s="7143"/>
      <c r="H6" s="7143"/>
      <c r="I6" s="7143"/>
      <c r="J6" s="7143"/>
      <c r="K6" s="7144"/>
      <c r="L6" s="7144"/>
      <c r="M6" s="7144"/>
      <c r="N6" s="7144"/>
      <c r="O6" s="7144"/>
      <c r="P6" s="7145"/>
      <c r="Q6" s="64"/>
      <c r="R6" s="64"/>
    </row>
    <row r="7" spans="1:16296" ht="20.25" customHeight="1" thickTop="1" thickBot="1" x14ac:dyDescent="0.4">
      <c r="A7" s="7160" t="s">
        <v>1009</v>
      </c>
      <c r="B7" s="7161"/>
      <c r="C7" s="7161"/>
      <c r="D7" s="7161"/>
      <c r="E7" s="7162" t="s">
        <v>1011</v>
      </c>
      <c r="F7" s="7162"/>
      <c r="G7" s="7162" t="s">
        <v>1010</v>
      </c>
      <c r="H7" s="7162"/>
      <c r="I7" s="768"/>
      <c r="J7" s="768"/>
      <c r="K7" s="768"/>
      <c r="L7" s="768"/>
      <c r="M7" s="768"/>
      <c r="N7" s="768"/>
      <c r="O7" s="768"/>
      <c r="P7" s="769"/>
      <c r="Q7" s="64"/>
      <c r="R7" s="64"/>
    </row>
    <row r="8" spans="1:16296" ht="18" customHeight="1" x14ac:dyDescent="0.35">
      <c r="A8" s="7146" t="s">
        <v>1815</v>
      </c>
      <c r="B8" s="7147"/>
      <c r="C8" s="7147"/>
      <c r="D8" s="7147"/>
      <c r="E8" s="7148"/>
      <c r="F8" s="7148"/>
      <c r="G8" s="7149">
        <v>2810</v>
      </c>
      <c r="H8" s="7149"/>
      <c r="I8" s="7148"/>
      <c r="J8" s="7148"/>
      <c r="K8" s="7150" t="s">
        <v>2189</v>
      </c>
      <c r="L8" s="7150"/>
      <c r="M8" s="7150"/>
      <c r="N8" s="7150"/>
      <c r="O8" s="7150"/>
      <c r="P8" s="7151"/>
      <c r="Q8" s="64"/>
      <c r="R8" s="64"/>
    </row>
    <row r="9" spans="1:16296" ht="34.5" customHeight="1" x14ac:dyDescent="0.35">
      <c r="A9" s="7184" t="s">
        <v>1862</v>
      </c>
      <c r="B9" s="7185"/>
      <c r="C9" s="7185"/>
      <c r="D9" s="7186"/>
      <c r="E9" s="7166">
        <v>0.5</v>
      </c>
      <c r="F9" s="7167"/>
      <c r="G9" s="7156">
        <f>E9*G8</f>
        <v>1405</v>
      </c>
      <c r="H9" s="7156"/>
      <c r="I9" s="7157"/>
      <c r="J9" s="7157"/>
      <c r="K9" s="7187" t="s">
        <v>1236</v>
      </c>
      <c r="L9" s="7188"/>
      <c r="M9" s="7188"/>
      <c r="N9" s="7188"/>
      <c r="O9" s="7188"/>
      <c r="P9" s="7189"/>
      <c r="Q9" s="7178"/>
      <c r="R9" s="7179"/>
      <c r="S9" s="7176"/>
      <c r="T9" s="7176"/>
      <c r="U9" s="7176"/>
      <c r="V9" s="7176"/>
      <c r="W9" s="7176"/>
      <c r="X9" s="7176"/>
      <c r="Y9" s="7180"/>
      <c r="Z9" s="7181"/>
      <c r="AA9" s="7181"/>
      <c r="AB9" s="7181"/>
      <c r="AC9" s="7182"/>
      <c r="AD9" s="7182"/>
      <c r="AE9" s="7175"/>
      <c r="AF9" s="7175"/>
      <c r="AG9" s="7175"/>
      <c r="AH9" s="7175"/>
      <c r="AI9" s="7176"/>
      <c r="AJ9" s="7176"/>
      <c r="AK9" s="7176"/>
      <c r="AL9" s="7176"/>
      <c r="AM9" s="7176"/>
      <c r="AN9" s="7176"/>
      <c r="AO9" s="7177" t="s">
        <v>1012</v>
      </c>
      <c r="AP9" s="7153"/>
      <c r="AQ9" s="7153"/>
      <c r="AR9" s="7153"/>
      <c r="AS9" s="7163">
        <v>0.05</v>
      </c>
      <c r="AT9" s="7164"/>
      <c r="AU9" s="7157">
        <f>AS9*AU7</f>
        <v>0</v>
      </c>
      <c r="AV9" s="7157"/>
      <c r="AW9" s="7157"/>
      <c r="AX9" s="7157"/>
      <c r="AY9" s="7158"/>
      <c r="AZ9" s="7158"/>
      <c r="BA9" s="7158"/>
      <c r="BB9" s="7158"/>
      <c r="BC9" s="7158"/>
      <c r="BD9" s="7159"/>
      <c r="BE9" s="7152" t="s">
        <v>1012</v>
      </c>
      <c r="BF9" s="7153"/>
      <c r="BG9" s="7153"/>
      <c r="BH9" s="7153"/>
      <c r="BI9" s="7163">
        <v>0.05</v>
      </c>
      <c r="BJ9" s="7164"/>
      <c r="BK9" s="7157">
        <f>BI9*BK7</f>
        <v>0</v>
      </c>
      <c r="BL9" s="7157"/>
      <c r="BM9" s="7157"/>
      <c r="BN9" s="7157"/>
      <c r="BO9" s="7158"/>
      <c r="BP9" s="7158"/>
      <c r="BQ9" s="7158"/>
      <c r="BR9" s="7158"/>
      <c r="BS9" s="7158"/>
      <c r="BT9" s="7159"/>
      <c r="BU9" s="7152" t="s">
        <v>1012</v>
      </c>
      <c r="BV9" s="7153"/>
      <c r="BW9" s="7153"/>
      <c r="BX9" s="7153"/>
      <c r="BY9" s="7163">
        <v>0.05</v>
      </c>
      <c r="BZ9" s="7164"/>
      <c r="CA9" s="7157">
        <f>BY9*CA7</f>
        <v>0</v>
      </c>
      <c r="CB9" s="7157"/>
      <c r="CC9" s="7157"/>
      <c r="CD9" s="7157"/>
      <c r="CE9" s="7158"/>
      <c r="CF9" s="7158"/>
      <c r="CG9" s="7158"/>
      <c r="CH9" s="7158"/>
      <c r="CI9" s="7158"/>
      <c r="CJ9" s="7159"/>
      <c r="CK9" s="7152" t="s">
        <v>1012</v>
      </c>
      <c r="CL9" s="7153"/>
      <c r="CM9" s="7153"/>
      <c r="CN9" s="7153"/>
      <c r="CO9" s="7163">
        <v>0.05</v>
      </c>
      <c r="CP9" s="7164"/>
      <c r="CQ9" s="7157">
        <f>CO9*CQ7</f>
        <v>0</v>
      </c>
      <c r="CR9" s="7157"/>
      <c r="CS9" s="7157"/>
      <c r="CT9" s="7157"/>
      <c r="CU9" s="7158"/>
      <c r="CV9" s="7158"/>
      <c r="CW9" s="7158"/>
      <c r="CX9" s="7158"/>
      <c r="CY9" s="7158"/>
      <c r="CZ9" s="7159"/>
      <c r="DA9" s="7152" t="s">
        <v>1012</v>
      </c>
      <c r="DB9" s="7153"/>
      <c r="DC9" s="7153"/>
      <c r="DD9" s="7153"/>
      <c r="DE9" s="7163">
        <v>0.05</v>
      </c>
      <c r="DF9" s="7164"/>
      <c r="DG9" s="7157">
        <f>DE9*DG7</f>
        <v>0</v>
      </c>
      <c r="DH9" s="7157"/>
      <c r="DI9" s="7157"/>
      <c r="DJ9" s="7157"/>
      <c r="DK9" s="7158"/>
      <c r="DL9" s="7158"/>
      <c r="DM9" s="7158"/>
      <c r="DN9" s="7158"/>
      <c r="DO9" s="7158"/>
      <c r="DP9" s="7159"/>
      <c r="DQ9" s="7152" t="s">
        <v>1012</v>
      </c>
      <c r="DR9" s="7153"/>
      <c r="DS9" s="7153"/>
      <c r="DT9" s="7153"/>
      <c r="DU9" s="7163">
        <v>0.05</v>
      </c>
      <c r="DV9" s="7164"/>
      <c r="DW9" s="7157">
        <f>DU9*DW7</f>
        <v>0</v>
      </c>
      <c r="DX9" s="7157"/>
      <c r="DY9" s="7157"/>
      <c r="DZ9" s="7157"/>
      <c r="EA9" s="7158"/>
      <c r="EB9" s="7158"/>
      <c r="EC9" s="7158"/>
      <c r="ED9" s="7158"/>
      <c r="EE9" s="7158"/>
      <c r="EF9" s="7159"/>
      <c r="EG9" s="7152" t="s">
        <v>1012</v>
      </c>
      <c r="EH9" s="7153"/>
      <c r="EI9" s="7153"/>
      <c r="EJ9" s="7153"/>
      <c r="EK9" s="7163">
        <v>0.05</v>
      </c>
      <c r="EL9" s="7164"/>
      <c r="EM9" s="7157">
        <f>EK9*EM7</f>
        <v>0</v>
      </c>
      <c r="EN9" s="7157"/>
      <c r="EO9" s="7157"/>
      <c r="EP9" s="7157"/>
      <c r="EQ9" s="7158"/>
      <c r="ER9" s="7158"/>
      <c r="ES9" s="7158"/>
      <c r="ET9" s="7158"/>
      <c r="EU9" s="7158"/>
      <c r="EV9" s="7159"/>
      <c r="EW9" s="7152" t="s">
        <v>1012</v>
      </c>
      <c r="EX9" s="7153"/>
      <c r="EY9" s="7153"/>
      <c r="EZ9" s="7153"/>
      <c r="FA9" s="7163">
        <v>0.05</v>
      </c>
      <c r="FB9" s="7164"/>
      <c r="FC9" s="7157">
        <f>FA9*FC7</f>
        <v>0</v>
      </c>
      <c r="FD9" s="7157"/>
      <c r="FE9" s="7157"/>
      <c r="FF9" s="7157"/>
      <c r="FG9" s="7158"/>
      <c r="FH9" s="7158"/>
      <c r="FI9" s="7158"/>
      <c r="FJ9" s="7158"/>
      <c r="FK9" s="7158"/>
      <c r="FL9" s="7159"/>
      <c r="FM9" s="7152" t="s">
        <v>1012</v>
      </c>
      <c r="FN9" s="7153"/>
      <c r="FO9" s="7153"/>
      <c r="FP9" s="7153"/>
      <c r="FQ9" s="7163">
        <v>0.05</v>
      </c>
      <c r="FR9" s="7164"/>
      <c r="FS9" s="7157">
        <f>FQ9*FS7</f>
        <v>0</v>
      </c>
      <c r="FT9" s="7157"/>
      <c r="FU9" s="7157"/>
      <c r="FV9" s="7157"/>
      <c r="FW9" s="7158"/>
      <c r="FX9" s="7158"/>
      <c r="FY9" s="7158"/>
      <c r="FZ9" s="7158"/>
      <c r="GA9" s="7158"/>
      <c r="GB9" s="7159"/>
      <c r="GC9" s="7152" t="s">
        <v>1012</v>
      </c>
      <c r="GD9" s="7153"/>
      <c r="GE9" s="7153"/>
      <c r="GF9" s="7153"/>
      <c r="GG9" s="7163">
        <v>0.05</v>
      </c>
      <c r="GH9" s="7164"/>
      <c r="GI9" s="7157">
        <f>GG9*GI7</f>
        <v>0</v>
      </c>
      <c r="GJ9" s="7157"/>
      <c r="GK9" s="7157"/>
      <c r="GL9" s="7157"/>
      <c r="GM9" s="7158"/>
      <c r="GN9" s="7158"/>
      <c r="GO9" s="7158"/>
      <c r="GP9" s="7158"/>
      <c r="GQ9" s="7158"/>
      <c r="GR9" s="7159"/>
      <c r="GS9" s="7152" t="s">
        <v>1012</v>
      </c>
      <c r="GT9" s="7153"/>
      <c r="GU9" s="7153"/>
      <c r="GV9" s="7153"/>
      <c r="GW9" s="7163">
        <v>0.05</v>
      </c>
      <c r="GX9" s="7164"/>
      <c r="GY9" s="7157">
        <f>GW9*GY7</f>
        <v>0</v>
      </c>
      <c r="GZ9" s="7157"/>
      <c r="HA9" s="7157"/>
      <c r="HB9" s="7157"/>
      <c r="HC9" s="7158"/>
      <c r="HD9" s="7158"/>
      <c r="HE9" s="7158"/>
      <c r="HF9" s="7158"/>
      <c r="HG9" s="7158"/>
      <c r="HH9" s="7159"/>
      <c r="HI9" s="7152" t="s">
        <v>1012</v>
      </c>
      <c r="HJ9" s="7153"/>
      <c r="HK9" s="7153"/>
      <c r="HL9" s="7153"/>
      <c r="HM9" s="7163">
        <v>0.05</v>
      </c>
      <c r="HN9" s="7164"/>
      <c r="HO9" s="7157">
        <f>HM9*HO7</f>
        <v>0</v>
      </c>
      <c r="HP9" s="7157"/>
      <c r="HQ9" s="7157"/>
      <c r="HR9" s="7157"/>
      <c r="HS9" s="7158"/>
      <c r="HT9" s="7158"/>
      <c r="HU9" s="7158"/>
      <c r="HV9" s="7158"/>
      <c r="HW9" s="7158"/>
      <c r="HX9" s="7159"/>
      <c r="HY9" s="7152" t="s">
        <v>1012</v>
      </c>
      <c r="HZ9" s="7153"/>
      <c r="IA9" s="7153"/>
      <c r="IB9" s="7153"/>
      <c r="IC9" s="7163">
        <v>0.05</v>
      </c>
      <c r="ID9" s="7164"/>
      <c r="IE9" s="7157">
        <f>IC9*IE7</f>
        <v>0</v>
      </c>
      <c r="IF9" s="7157"/>
      <c r="IG9" s="7157"/>
      <c r="IH9" s="7157"/>
      <c r="II9" s="7158"/>
      <c r="IJ9" s="7158"/>
      <c r="IK9" s="7158"/>
      <c r="IL9" s="7158"/>
      <c r="IM9" s="7158"/>
      <c r="IN9" s="7159"/>
      <c r="IO9" s="7152" t="s">
        <v>1012</v>
      </c>
      <c r="IP9" s="7153"/>
      <c r="IQ9" s="7153"/>
      <c r="IR9" s="7153"/>
      <c r="IS9" s="7163">
        <v>0.05</v>
      </c>
      <c r="IT9" s="7164"/>
      <c r="IU9" s="7157">
        <f>IS9*IU7</f>
        <v>0</v>
      </c>
      <c r="IV9" s="7157"/>
      <c r="IW9" s="7157"/>
      <c r="IX9" s="7157"/>
      <c r="IY9" s="7158"/>
      <c r="IZ9" s="7158"/>
      <c r="JA9" s="7158"/>
      <c r="JB9" s="7158"/>
      <c r="JC9" s="7158"/>
      <c r="JD9" s="7159"/>
      <c r="JE9" s="7152" t="s">
        <v>1012</v>
      </c>
      <c r="JF9" s="7153"/>
      <c r="JG9" s="7153"/>
      <c r="JH9" s="7153"/>
      <c r="JI9" s="7163">
        <v>0.05</v>
      </c>
      <c r="JJ9" s="7164"/>
      <c r="JK9" s="7157">
        <f>JI9*JK7</f>
        <v>0</v>
      </c>
      <c r="JL9" s="7157"/>
      <c r="JM9" s="7157"/>
      <c r="JN9" s="7157"/>
      <c r="JO9" s="7158"/>
      <c r="JP9" s="7158"/>
      <c r="JQ9" s="7158"/>
      <c r="JR9" s="7158"/>
      <c r="JS9" s="7158"/>
      <c r="JT9" s="7159"/>
      <c r="JU9" s="7152" t="s">
        <v>1012</v>
      </c>
      <c r="JV9" s="7153"/>
      <c r="JW9" s="7153"/>
      <c r="JX9" s="7153"/>
      <c r="JY9" s="7163">
        <v>0.05</v>
      </c>
      <c r="JZ9" s="7164"/>
      <c r="KA9" s="7157">
        <f>JY9*KA7</f>
        <v>0</v>
      </c>
      <c r="KB9" s="7157"/>
      <c r="KC9" s="7157"/>
      <c r="KD9" s="7157"/>
      <c r="KE9" s="7158"/>
      <c r="KF9" s="7158"/>
      <c r="KG9" s="7158"/>
      <c r="KH9" s="7158"/>
      <c r="KI9" s="7158"/>
      <c r="KJ9" s="7159"/>
      <c r="KK9" s="7152" t="s">
        <v>1012</v>
      </c>
      <c r="KL9" s="7153"/>
      <c r="KM9" s="7153"/>
      <c r="KN9" s="7153"/>
      <c r="KO9" s="7163">
        <v>0.05</v>
      </c>
      <c r="KP9" s="7164"/>
      <c r="KQ9" s="7157">
        <f>KO9*KQ7</f>
        <v>0</v>
      </c>
      <c r="KR9" s="7157"/>
      <c r="KS9" s="7157"/>
      <c r="KT9" s="7157"/>
      <c r="KU9" s="7158"/>
      <c r="KV9" s="7158"/>
      <c r="KW9" s="7158"/>
      <c r="KX9" s="7158"/>
      <c r="KY9" s="7158"/>
      <c r="KZ9" s="7159"/>
      <c r="LA9" s="7152" t="s">
        <v>1012</v>
      </c>
      <c r="LB9" s="7153"/>
      <c r="LC9" s="7153"/>
      <c r="LD9" s="7153"/>
      <c r="LE9" s="7163">
        <v>0.05</v>
      </c>
      <c r="LF9" s="7164"/>
      <c r="LG9" s="7157">
        <f>LE9*LG7</f>
        <v>0</v>
      </c>
      <c r="LH9" s="7157"/>
      <c r="LI9" s="7157"/>
      <c r="LJ9" s="7157"/>
      <c r="LK9" s="7158"/>
      <c r="LL9" s="7158"/>
      <c r="LM9" s="7158"/>
      <c r="LN9" s="7158"/>
      <c r="LO9" s="7158"/>
      <c r="LP9" s="7159"/>
      <c r="LQ9" s="7152" t="s">
        <v>1012</v>
      </c>
      <c r="LR9" s="7153"/>
      <c r="LS9" s="7153"/>
      <c r="LT9" s="7153"/>
      <c r="LU9" s="7163">
        <v>0.05</v>
      </c>
      <c r="LV9" s="7164"/>
      <c r="LW9" s="7157">
        <f>LU9*LW7</f>
        <v>0</v>
      </c>
      <c r="LX9" s="7157"/>
      <c r="LY9" s="7157"/>
      <c r="LZ9" s="7157"/>
      <c r="MA9" s="7158"/>
      <c r="MB9" s="7158"/>
      <c r="MC9" s="7158"/>
      <c r="MD9" s="7158"/>
      <c r="ME9" s="7158"/>
      <c r="MF9" s="7159"/>
      <c r="MG9" s="7152" t="s">
        <v>1012</v>
      </c>
      <c r="MH9" s="7153"/>
      <c r="MI9" s="7153"/>
      <c r="MJ9" s="7153"/>
      <c r="MK9" s="7163">
        <v>0.05</v>
      </c>
      <c r="ML9" s="7164"/>
      <c r="MM9" s="7157">
        <f>MK9*MM7</f>
        <v>0</v>
      </c>
      <c r="MN9" s="7157"/>
      <c r="MO9" s="7157"/>
      <c r="MP9" s="7157"/>
      <c r="MQ9" s="7158"/>
      <c r="MR9" s="7158"/>
      <c r="MS9" s="7158"/>
      <c r="MT9" s="7158"/>
      <c r="MU9" s="7158"/>
      <c r="MV9" s="7159"/>
      <c r="MW9" s="7152" t="s">
        <v>1012</v>
      </c>
      <c r="MX9" s="7153"/>
      <c r="MY9" s="7153"/>
      <c r="MZ9" s="7153"/>
      <c r="NA9" s="7163">
        <v>0.05</v>
      </c>
      <c r="NB9" s="7164"/>
      <c r="NC9" s="7157">
        <f>NA9*NC7</f>
        <v>0</v>
      </c>
      <c r="ND9" s="7157"/>
      <c r="NE9" s="7157"/>
      <c r="NF9" s="7157"/>
      <c r="NG9" s="7158"/>
      <c r="NH9" s="7158"/>
      <c r="NI9" s="7158"/>
      <c r="NJ9" s="7158"/>
      <c r="NK9" s="7158"/>
      <c r="NL9" s="7159"/>
      <c r="NM9" s="7152" t="s">
        <v>1012</v>
      </c>
      <c r="NN9" s="7153"/>
      <c r="NO9" s="7153"/>
      <c r="NP9" s="7153"/>
      <c r="NQ9" s="7163">
        <v>0.05</v>
      </c>
      <c r="NR9" s="7164"/>
      <c r="NS9" s="7157">
        <f>NQ9*NS7</f>
        <v>0</v>
      </c>
      <c r="NT9" s="7157"/>
      <c r="NU9" s="7157"/>
      <c r="NV9" s="7157"/>
      <c r="NW9" s="7158"/>
      <c r="NX9" s="7158"/>
      <c r="NY9" s="7158"/>
      <c r="NZ9" s="7158"/>
      <c r="OA9" s="7158"/>
      <c r="OB9" s="7159"/>
      <c r="OC9" s="7152" t="s">
        <v>1012</v>
      </c>
      <c r="OD9" s="7153"/>
      <c r="OE9" s="7153"/>
      <c r="OF9" s="7153"/>
      <c r="OG9" s="7163">
        <v>0.05</v>
      </c>
      <c r="OH9" s="7164"/>
      <c r="OI9" s="7157">
        <f>OG9*OI7</f>
        <v>0</v>
      </c>
      <c r="OJ9" s="7157"/>
      <c r="OK9" s="7157"/>
      <c r="OL9" s="7157"/>
      <c r="OM9" s="7158"/>
      <c r="ON9" s="7158"/>
      <c r="OO9" s="7158"/>
      <c r="OP9" s="7158"/>
      <c r="OQ9" s="7158"/>
      <c r="OR9" s="7159"/>
      <c r="OS9" s="7152" t="s">
        <v>1012</v>
      </c>
      <c r="OT9" s="7153"/>
      <c r="OU9" s="7153"/>
      <c r="OV9" s="7153"/>
      <c r="OW9" s="7163">
        <v>0.05</v>
      </c>
      <c r="OX9" s="7164"/>
      <c r="OY9" s="7157">
        <f>OW9*OY7</f>
        <v>0</v>
      </c>
      <c r="OZ9" s="7157"/>
      <c r="PA9" s="7157"/>
      <c r="PB9" s="7157"/>
      <c r="PC9" s="7158"/>
      <c r="PD9" s="7158"/>
      <c r="PE9" s="7158"/>
      <c r="PF9" s="7158"/>
      <c r="PG9" s="7158"/>
      <c r="PH9" s="7159"/>
      <c r="PI9" s="7152" t="s">
        <v>1012</v>
      </c>
      <c r="PJ9" s="7153"/>
      <c r="PK9" s="7153"/>
      <c r="PL9" s="7153"/>
      <c r="PM9" s="7163">
        <v>0.05</v>
      </c>
      <c r="PN9" s="7164"/>
      <c r="PO9" s="7157">
        <f>PM9*PO7</f>
        <v>0</v>
      </c>
      <c r="PP9" s="7157"/>
      <c r="PQ9" s="7157"/>
      <c r="PR9" s="7157"/>
      <c r="PS9" s="7158"/>
      <c r="PT9" s="7158"/>
      <c r="PU9" s="7158"/>
      <c r="PV9" s="7158"/>
      <c r="PW9" s="7158"/>
      <c r="PX9" s="7159"/>
      <c r="PY9" s="7152" t="s">
        <v>1012</v>
      </c>
      <c r="PZ9" s="7153"/>
      <c r="QA9" s="7153"/>
      <c r="QB9" s="7153"/>
      <c r="QC9" s="7163">
        <v>0.05</v>
      </c>
      <c r="QD9" s="7164"/>
      <c r="QE9" s="7157">
        <f>QC9*QE7</f>
        <v>0</v>
      </c>
      <c r="QF9" s="7157"/>
      <c r="QG9" s="7157"/>
      <c r="QH9" s="7157"/>
      <c r="QI9" s="7158"/>
      <c r="QJ9" s="7158"/>
      <c r="QK9" s="7158"/>
      <c r="QL9" s="7158"/>
      <c r="QM9" s="7158"/>
      <c r="QN9" s="7159"/>
      <c r="QO9" s="7152" t="s">
        <v>1012</v>
      </c>
      <c r="QP9" s="7153"/>
      <c r="QQ9" s="7153"/>
      <c r="QR9" s="7153"/>
      <c r="QS9" s="7163">
        <v>0.05</v>
      </c>
      <c r="QT9" s="7164"/>
      <c r="QU9" s="7157">
        <f>QS9*QU7</f>
        <v>0</v>
      </c>
      <c r="QV9" s="7157"/>
      <c r="QW9" s="7157"/>
      <c r="QX9" s="7157"/>
      <c r="QY9" s="7158"/>
      <c r="QZ9" s="7158"/>
      <c r="RA9" s="7158"/>
      <c r="RB9" s="7158"/>
      <c r="RC9" s="7158"/>
      <c r="RD9" s="7159"/>
      <c r="RE9" s="7152" t="s">
        <v>1012</v>
      </c>
      <c r="RF9" s="7153"/>
      <c r="RG9" s="7153"/>
      <c r="RH9" s="7153"/>
      <c r="RI9" s="7163">
        <v>0.05</v>
      </c>
      <c r="RJ9" s="7164"/>
      <c r="RK9" s="7157">
        <f>RI9*RK7</f>
        <v>0</v>
      </c>
      <c r="RL9" s="7157"/>
      <c r="RM9" s="7157"/>
      <c r="RN9" s="7157"/>
      <c r="RO9" s="7158"/>
      <c r="RP9" s="7158"/>
      <c r="RQ9" s="7158"/>
      <c r="RR9" s="7158"/>
      <c r="RS9" s="7158"/>
      <c r="RT9" s="7159"/>
      <c r="RU9" s="7152" t="s">
        <v>1012</v>
      </c>
      <c r="RV9" s="7153"/>
      <c r="RW9" s="7153"/>
      <c r="RX9" s="7153"/>
      <c r="RY9" s="7163">
        <v>0.05</v>
      </c>
      <c r="RZ9" s="7164"/>
      <c r="SA9" s="7157">
        <f>RY9*SA7</f>
        <v>0</v>
      </c>
      <c r="SB9" s="7157"/>
      <c r="SC9" s="7157"/>
      <c r="SD9" s="7157"/>
      <c r="SE9" s="7158"/>
      <c r="SF9" s="7158"/>
      <c r="SG9" s="7158"/>
      <c r="SH9" s="7158"/>
      <c r="SI9" s="7158"/>
      <c r="SJ9" s="7159"/>
      <c r="SK9" s="7152" t="s">
        <v>1012</v>
      </c>
      <c r="SL9" s="7153"/>
      <c r="SM9" s="7153"/>
      <c r="SN9" s="7153"/>
      <c r="SO9" s="7163">
        <v>0.05</v>
      </c>
      <c r="SP9" s="7164"/>
      <c r="SQ9" s="7157">
        <f>SO9*SQ7</f>
        <v>0</v>
      </c>
      <c r="SR9" s="7157"/>
      <c r="SS9" s="7157"/>
      <c r="ST9" s="7157"/>
      <c r="SU9" s="7158"/>
      <c r="SV9" s="7158"/>
      <c r="SW9" s="7158"/>
      <c r="SX9" s="7158"/>
      <c r="SY9" s="7158"/>
      <c r="SZ9" s="7159"/>
      <c r="TA9" s="7152" t="s">
        <v>1012</v>
      </c>
      <c r="TB9" s="7153"/>
      <c r="TC9" s="7153"/>
      <c r="TD9" s="7153"/>
      <c r="TE9" s="7163">
        <v>0.05</v>
      </c>
      <c r="TF9" s="7164"/>
      <c r="TG9" s="7157">
        <f>TE9*TG7</f>
        <v>0</v>
      </c>
      <c r="TH9" s="7157"/>
      <c r="TI9" s="7157"/>
      <c r="TJ9" s="7157"/>
      <c r="TK9" s="7158"/>
      <c r="TL9" s="7158"/>
      <c r="TM9" s="7158"/>
      <c r="TN9" s="7158"/>
      <c r="TO9" s="7158"/>
      <c r="TP9" s="7159"/>
      <c r="TQ9" s="7152" t="s">
        <v>1012</v>
      </c>
      <c r="TR9" s="7153"/>
      <c r="TS9" s="7153"/>
      <c r="TT9" s="7153"/>
      <c r="TU9" s="7163">
        <v>0.05</v>
      </c>
      <c r="TV9" s="7164"/>
      <c r="TW9" s="7157">
        <f>TU9*TW7</f>
        <v>0</v>
      </c>
      <c r="TX9" s="7157"/>
      <c r="TY9" s="7157"/>
      <c r="TZ9" s="7157"/>
      <c r="UA9" s="7158"/>
      <c r="UB9" s="7158"/>
      <c r="UC9" s="7158"/>
      <c r="UD9" s="7158"/>
      <c r="UE9" s="7158"/>
      <c r="UF9" s="7159"/>
      <c r="UG9" s="7152" t="s">
        <v>1012</v>
      </c>
      <c r="UH9" s="7153"/>
      <c r="UI9" s="7153"/>
      <c r="UJ9" s="7153"/>
      <c r="UK9" s="7163">
        <v>0.05</v>
      </c>
      <c r="UL9" s="7164"/>
      <c r="UM9" s="7157">
        <f>UK9*UM7</f>
        <v>0</v>
      </c>
      <c r="UN9" s="7157"/>
      <c r="UO9" s="7157"/>
      <c r="UP9" s="7157"/>
      <c r="UQ9" s="7158"/>
      <c r="UR9" s="7158"/>
      <c r="US9" s="7158"/>
      <c r="UT9" s="7158"/>
      <c r="UU9" s="7158"/>
      <c r="UV9" s="7159"/>
      <c r="UW9" s="7152" t="s">
        <v>1012</v>
      </c>
      <c r="UX9" s="7153"/>
      <c r="UY9" s="7153"/>
      <c r="UZ9" s="7153"/>
      <c r="VA9" s="7163">
        <v>0.05</v>
      </c>
      <c r="VB9" s="7164"/>
      <c r="VC9" s="7157">
        <f>VA9*VC7</f>
        <v>0</v>
      </c>
      <c r="VD9" s="7157"/>
      <c r="VE9" s="7157"/>
      <c r="VF9" s="7157"/>
      <c r="VG9" s="7158"/>
      <c r="VH9" s="7158"/>
      <c r="VI9" s="7158"/>
      <c r="VJ9" s="7158"/>
      <c r="VK9" s="7158"/>
      <c r="VL9" s="7159"/>
      <c r="VM9" s="7152" t="s">
        <v>1012</v>
      </c>
      <c r="VN9" s="7153"/>
      <c r="VO9" s="7153"/>
      <c r="VP9" s="7153"/>
      <c r="VQ9" s="7163">
        <v>0.05</v>
      </c>
      <c r="VR9" s="7164"/>
      <c r="VS9" s="7157">
        <f>VQ9*VS7</f>
        <v>0</v>
      </c>
      <c r="VT9" s="7157"/>
      <c r="VU9" s="7157"/>
      <c r="VV9" s="7157"/>
      <c r="VW9" s="7158"/>
      <c r="VX9" s="7158"/>
      <c r="VY9" s="7158"/>
      <c r="VZ9" s="7158"/>
      <c r="WA9" s="7158"/>
      <c r="WB9" s="7159"/>
      <c r="WC9" s="7152" t="s">
        <v>1012</v>
      </c>
      <c r="WD9" s="7153"/>
      <c r="WE9" s="7153"/>
      <c r="WF9" s="7153"/>
      <c r="WG9" s="7163">
        <v>0.05</v>
      </c>
      <c r="WH9" s="7164"/>
      <c r="WI9" s="7157">
        <f>WG9*WI7</f>
        <v>0</v>
      </c>
      <c r="WJ9" s="7157"/>
      <c r="WK9" s="7157"/>
      <c r="WL9" s="7157"/>
      <c r="WM9" s="7158"/>
      <c r="WN9" s="7158"/>
      <c r="WO9" s="7158"/>
      <c r="WP9" s="7158"/>
      <c r="WQ9" s="7158"/>
      <c r="WR9" s="7159"/>
      <c r="WS9" s="7152" t="s">
        <v>1012</v>
      </c>
      <c r="WT9" s="7153"/>
      <c r="WU9" s="7153"/>
      <c r="WV9" s="7153"/>
      <c r="WW9" s="7163">
        <v>0.05</v>
      </c>
      <c r="WX9" s="7164"/>
      <c r="WY9" s="7157">
        <f>WW9*WY7</f>
        <v>0</v>
      </c>
      <c r="WZ9" s="7157"/>
      <c r="XA9" s="7157"/>
      <c r="XB9" s="7157"/>
      <c r="XC9" s="7158"/>
      <c r="XD9" s="7158"/>
      <c r="XE9" s="7158"/>
      <c r="XF9" s="7158"/>
      <c r="XG9" s="7158"/>
      <c r="XH9" s="7159"/>
      <c r="XI9" s="7152" t="s">
        <v>1012</v>
      </c>
      <c r="XJ9" s="7153"/>
      <c r="XK9" s="7153"/>
      <c r="XL9" s="7153"/>
      <c r="XM9" s="7163">
        <v>0.05</v>
      </c>
      <c r="XN9" s="7164"/>
      <c r="XO9" s="7157">
        <f>XM9*XO7</f>
        <v>0</v>
      </c>
      <c r="XP9" s="7157"/>
      <c r="XQ9" s="7157"/>
      <c r="XR9" s="7157"/>
      <c r="XS9" s="7158"/>
      <c r="XT9" s="7158"/>
      <c r="XU9" s="7158"/>
      <c r="XV9" s="7158"/>
      <c r="XW9" s="7158"/>
      <c r="XX9" s="7159"/>
      <c r="XY9" s="7152" t="s">
        <v>1012</v>
      </c>
      <c r="XZ9" s="7153"/>
      <c r="YA9" s="7153"/>
      <c r="YB9" s="7153"/>
      <c r="YC9" s="7163">
        <v>0.05</v>
      </c>
      <c r="YD9" s="7164"/>
      <c r="YE9" s="7157">
        <f>YC9*YE7</f>
        <v>0</v>
      </c>
      <c r="YF9" s="7157"/>
      <c r="YG9" s="7157"/>
      <c r="YH9" s="7157"/>
      <c r="YI9" s="7158"/>
      <c r="YJ9" s="7158"/>
      <c r="YK9" s="7158"/>
      <c r="YL9" s="7158"/>
      <c r="YM9" s="7158"/>
      <c r="YN9" s="7159"/>
      <c r="YO9" s="7152" t="s">
        <v>1012</v>
      </c>
      <c r="YP9" s="7153"/>
      <c r="YQ9" s="7153"/>
      <c r="YR9" s="7153"/>
      <c r="YS9" s="7163">
        <v>0.05</v>
      </c>
      <c r="YT9" s="7164"/>
      <c r="YU9" s="7157">
        <f>YS9*YU7</f>
        <v>0</v>
      </c>
      <c r="YV9" s="7157"/>
      <c r="YW9" s="7157"/>
      <c r="YX9" s="7157"/>
      <c r="YY9" s="7158"/>
      <c r="YZ9" s="7158"/>
      <c r="ZA9" s="7158"/>
      <c r="ZB9" s="7158"/>
      <c r="ZC9" s="7158"/>
      <c r="ZD9" s="7159"/>
      <c r="ZE9" s="7152" t="s">
        <v>1012</v>
      </c>
      <c r="ZF9" s="7153"/>
      <c r="ZG9" s="7153"/>
      <c r="ZH9" s="7153"/>
      <c r="ZI9" s="7163">
        <v>0.05</v>
      </c>
      <c r="ZJ9" s="7164"/>
      <c r="ZK9" s="7157">
        <f>ZI9*ZK7</f>
        <v>0</v>
      </c>
      <c r="ZL9" s="7157"/>
      <c r="ZM9" s="7157"/>
      <c r="ZN9" s="7157"/>
      <c r="ZO9" s="7158"/>
      <c r="ZP9" s="7158"/>
      <c r="ZQ9" s="7158"/>
      <c r="ZR9" s="7158"/>
      <c r="ZS9" s="7158"/>
      <c r="ZT9" s="7159"/>
      <c r="ZU9" s="7152" t="s">
        <v>1012</v>
      </c>
      <c r="ZV9" s="7153"/>
      <c r="ZW9" s="7153"/>
      <c r="ZX9" s="7153"/>
      <c r="ZY9" s="7163">
        <v>0.05</v>
      </c>
      <c r="ZZ9" s="7164"/>
      <c r="AAA9" s="7157">
        <f>ZY9*AAA7</f>
        <v>0</v>
      </c>
      <c r="AAB9" s="7157"/>
      <c r="AAC9" s="7157"/>
      <c r="AAD9" s="7157"/>
      <c r="AAE9" s="7158"/>
      <c r="AAF9" s="7158"/>
      <c r="AAG9" s="7158"/>
      <c r="AAH9" s="7158"/>
      <c r="AAI9" s="7158"/>
      <c r="AAJ9" s="7159"/>
      <c r="AAK9" s="7152" t="s">
        <v>1012</v>
      </c>
      <c r="AAL9" s="7153"/>
      <c r="AAM9" s="7153"/>
      <c r="AAN9" s="7153"/>
      <c r="AAO9" s="7163">
        <v>0.05</v>
      </c>
      <c r="AAP9" s="7164"/>
      <c r="AAQ9" s="7157">
        <f>AAO9*AAQ7</f>
        <v>0</v>
      </c>
      <c r="AAR9" s="7157"/>
      <c r="AAS9" s="7157"/>
      <c r="AAT9" s="7157"/>
      <c r="AAU9" s="7158"/>
      <c r="AAV9" s="7158"/>
      <c r="AAW9" s="7158"/>
      <c r="AAX9" s="7158"/>
      <c r="AAY9" s="7158"/>
      <c r="AAZ9" s="7159"/>
      <c r="ABA9" s="7152" t="s">
        <v>1012</v>
      </c>
      <c r="ABB9" s="7153"/>
      <c r="ABC9" s="7153"/>
      <c r="ABD9" s="7153"/>
      <c r="ABE9" s="7163">
        <v>0.05</v>
      </c>
      <c r="ABF9" s="7164"/>
      <c r="ABG9" s="7157">
        <f>ABE9*ABG7</f>
        <v>0</v>
      </c>
      <c r="ABH9" s="7157"/>
      <c r="ABI9" s="7157"/>
      <c r="ABJ9" s="7157"/>
      <c r="ABK9" s="7158"/>
      <c r="ABL9" s="7158"/>
      <c r="ABM9" s="7158"/>
      <c r="ABN9" s="7158"/>
      <c r="ABO9" s="7158"/>
      <c r="ABP9" s="7159"/>
      <c r="ABQ9" s="7152" t="s">
        <v>1012</v>
      </c>
      <c r="ABR9" s="7153"/>
      <c r="ABS9" s="7153"/>
      <c r="ABT9" s="7153"/>
      <c r="ABU9" s="7163">
        <v>0.05</v>
      </c>
      <c r="ABV9" s="7164"/>
      <c r="ABW9" s="7157">
        <f>ABU9*ABW7</f>
        <v>0</v>
      </c>
      <c r="ABX9" s="7157"/>
      <c r="ABY9" s="7157"/>
      <c r="ABZ9" s="7157"/>
      <c r="ACA9" s="7158"/>
      <c r="ACB9" s="7158"/>
      <c r="ACC9" s="7158"/>
      <c r="ACD9" s="7158"/>
      <c r="ACE9" s="7158"/>
      <c r="ACF9" s="7159"/>
      <c r="ACG9" s="7152" t="s">
        <v>1012</v>
      </c>
      <c r="ACH9" s="7153"/>
      <c r="ACI9" s="7153"/>
      <c r="ACJ9" s="7153"/>
      <c r="ACK9" s="7163">
        <v>0.05</v>
      </c>
      <c r="ACL9" s="7164"/>
      <c r="ACM9" s="7157">
        <f>ACK9*ACM7</f>
        <v>0</v>
      </c>
      <c r="ACN9" s="7157"/>
      <c r="ACO9" s="7157"/>
      <c r="ACP9" s="7157"/>
      <c r="ACQ9" s="7158"/>
      <c r="ACR9" s="7158"/>
      <c r="ACS9" s="7158"/>
      <c r="ACT9" s="7158"/>
      <c r="ACU9" s="7158"/>
      <c r="ACV9" s="7159"/>
      <c r="ACW9" s="7152" t="s">
        <v>1012</v>
      </c>
      <c r="ACX9" s="7153"/>
      <c r="ACY9" s="7153"/>
      <c r="ACZ9" s="7153"/>
      <c r="ADA9" s="7163">
        <v>0.05</v>
      </c>
      <c r="ADB9" s="7164"/>
      <c r="ADC9" s="7157">
        <f>ADA9*ADC7</f>
        <v>0</v>
      </c>
      <c r="ADD9" s="7157"/>
      <c r="ADE9" s="7157"/>
      <c r="ADF9" s="7157"/>
      <c r="ADG9" s="7158"/>
      <c r="ADH9" s="7158"/>
      <c r="ADI9" s="7158"/>
      <c r="ADJ9" s="7158"/>
      <c r="ADK9" s="7158"/>
      <c r="ADL9" s="7159"/>
      <c r="ADM9" s="7152" t="s">
        <v>1012</v>
      </c>
      <c r="ADN9" s="7153"/>
      <c r="ADO9" s="7153"/>
      <c r="ADP9" s="7153"/>
      <c r="ADQ9" s="7163">
        <v>0.05</v>
      </c>
      <c r="ADR9" s="7164"/>
      <c r="ADS9" s="7157">
        <f>ADQ9*ADS7</f>
        <v>0</v>
      </c>
      <c r="ADT9" s="7157"/>
      <c r="ADU9" s="7157"/>
      <c r="ADV9" s="7157"/>
      <c r="ADW9" s="7158"/>
      <c r="ADX9" s="7158"/>
      <c r="ADY9" s="7158"/>
      <c r="ADZ9" s="7158"/>
      <c r="AEA9" s="7158"/>
      <c r="AEB9" s="7159"/>
      <c r="AEC9" s="7152" t="s">
        <v>1012</v>
      </c>
      <c r="AED9" s="7153"/>
      <c r="AEE9" s="7153"/>
      <c r="AEF9" s="7153"/>
      <c r="AEG9" s="7163">
        <v>0.05</v>
      </c>
      <c r="AEH9" s="7164"/>
      <c r="AEI9" s="7157">
        <f>AEG9*AEI7</f>
        <v>0</v>
      </c>
      <c r="AEJ9" s="7157"/>
      <c r="AEK9" s="7157"/>
      <c r="AEL9" s="7157"/>
      <c r="AEM9" s="7158"/>
      <c r="AEN9" s="7158"/>
      <c r="AEO9" s="7158"/>
      <c r="AEP9" s="7158"/>
      <c r="AEQ9" s="7158"/>
      <c r="AER9" s="7159"/>
      <c r="AES9" s="7152" t="s">
        <v>1012</v>
      </c>
      <c r="AET9" s="7153"/>
      <c r="AEU9" s="7153"/>
      <c r="AEV9" s="7153"/>
      <c r="AEW9" s="7163">
        <v>0.05</v>
      </c>
      <c r="AEX9" s="7164"/>
      <c r="AEY9" s="7157">
        <f>AEW9*AEY7</f>
        <v>0</v>
      </c>
      <c r="AEZ9" s="7157"/>
      <c r="AFA9" s="7157"/>
      <c r="AFB9" s="7157"/>
      <c r="AFC9" s="7158"/>
      <c r="AFD9" s="7158"/>
      <c r="AFE9" s="7158"/>
      <c r="AFF9" s="7158"/>
      <c r="AFG9" s="7158"/>
      <c r="AFH9" s="7159"/>
      <c r="AFI9" s="7152" t="s">
        <v>1012</v>
      </c>
      <c r="AFJ9" s="7153"/>
      <c r="AFK9" s="7153"/>
      <c r="AFL9" s="7153"/>
      <c r="AFM9" s="7163">
        <v>0.05</v>
      </c>
      <c r="AFN9" s="7164"/>
      <c r="AFO9" s="7157">
        <f>AFM9*AFO7</f>
        <v>0</v>
      </c>
      <c r="AFP9" s="7157"/>
      <c r="AFQ9" s="7157"/>
      <c r="AFR9" s="7157"/>
      <c r="AFS9" s="7158"/>
      <c r="AFT9" s="7158"/>
      <c r="AFU9" s="7158"/>
      <c r="AFV9" s="7158"/>
      <c r="AFW9" s="7158"/>
      <c r="AFX9" s="7159"/>
      <c r="AFY9" s="7152" t="s">
        <v>1012</v>
      </c>
      <c r="AFZ9" s="7153"/>
      <c r="AGA9" s="7153"/>
      <c r="AGB9" s="7153"/>
      <c r="AGC9" s="7163">
        <v>0.05</v>
      </c>
      <c r="AGD9" s="7164"/>
      <c r="AGE9" s="7157">
        <f>AGC9*AGE7</f>
        <v>0</v>
      </c>
      <c r="AGF9" s="7157"/>
      <c r="AGG9" s="7157"/>
      <c r="AGH9" s="7157"/>
      <c r="AGI9" s="7158"/>
      <c r="AGJ9" s="7158"/>
      <c r="AGK9" s="7158"/>
      <c r="AGL9" s="7158"/>
      <c r="AGM9" s="7158"/>
      <c r="AGN9" s="7159"/>
      <c r="AGO9" s="7152" t="s">
        <v>1012</v>
      </c>
      <c r="AGP9" s="7153"/>
      <c r="AGQ9" s="7153"/>
      <c r="AGR9" s="7153"/>
      <c r="AGS9" s="7163">
        <v>0.05</v>
      </c>
      <c r="AGT9" s="7164"/>
      <c r="AGU9" s="7157">
        <f>AGS9*AGU7</f>
        <v>0</v>
      </c>
      <c r="AGV9" s="7157"/>
      <c r="AGW9" s="7157"/>
      <c r="AGX9" s="7157"/>
      <c r="AGY9" s="7158"/>
      <c r="AGZ9" s="7158"/>
      <c r="AHA9" s="7158"/>
      <c r="AHB9" s="7158"/>
      <c r="AHC9" s="7158"/>
      <c r="AHD9" s="7159"/>
      <c r="AHE9" s="7152" t="s">
        <v>1012</v>
      </c>
      <c r="AHF9" s="7153"/>
      <c r="AHG9" s="7153"/>
      <c r="AHH9" s="7153"/>
      <c r="AHI9" s="7163">
        <v>0.05</v>
      </c>
      <c r="AHJ9" s="7164"/>
      <c r="AHK9" s="7157">
        <f>AHI9*AHK7</f>
        <v>0</v>
      </c>
      <c r="AHL9" s="7157"/>
      <c r="AHM9" s="7157"/>
      <c r="AHN9" s="7157"/>
      <c r="AHO9" s="7158"/>
      <c r="AHP9" s="7158"/>
      <c r="AHQ9" s="7158"/>
      <c r="AHR9" s="7158"/>
      <c r="AHS9" s="7158"/>
      <c r="AHT9" s="7159"/>
      <c r="AHU9" s="7152" t="s">
        <v>1012</v>
      </c>
      <c r="AHV9" s="7153"/>
      <c r="AHW9" s="7153"/>
      <c r="AHX9" s="7153"/>
      <c r="AHY9" s="7163">
        <v>0.05</v>
      </c>
      <c r="AHZ9" s="7164"/>
      <c r="AIA9" s="7157">
        <f>AHY9*AIA7</f>
        <v>0</v>
      </c>
      <c r="AIB9" s="7157"/>
      <c r="AIC9" s="7157"/>
      <c r="AID9" s="7157"/>
      <c r="AIE9" s="7158"/>
      <c r="AIF9" s="7158"/>
      <c r="AIG9" s="7158"/>
      <c r="AIH9" s="7158"/>
      <c r="AII9" s="7158"/>
      <c r="AIJ9" s="7159"/>
      <c r="AIK9" s="7152" t="s">
        <v>1012</v>
      </c>
      <c r="AIL9" s="7153"/>
      <c r="AIM9" s="7153"/>
      <c r="AIN9" s="7153"/>
      <c r="AIO9" s="7163">
        <v>0.05</v>
      </c>
      <c r="AIP9" s="7164"/>
      <c r="AIQ9" s="7157">
        <f>AIO9*AIQ7</f>
        <v>0</v>
      </c>
      <c r="AIR9" s="7157"/>
      <c r="AIS9" s="7157"/>
      <c r="AIT9" s="7157"/>
      <c r="AIU9" s="7158"/>
      <c r="AIV9" s="7158"/>
      <c r="AIW9" s="7158"/>
      <c r="AIX9" s="7158"/>
      <c r="AIY9" s="7158"/>
      <c r="AIZ9" s="7159"/>
      <c r="AJA9" s="7152" t="s">
        <v>1012</v>
      </c>
      <c r="AJB9" s="7153"/>
      <c r="AJC9" s="7153"/>
      <c r="AJD9" s="7153"/>
      <c r="AJE9" s="7163">
        <v>0.05</v>
      </c>
      <c r="AJF9" s="7164"/>
      <c r="AJG9" s="7157">
        <f>AJE9*AJG7</f>
        <v>0</v>
      </c>
      <c r="AJH9" s="7157"/>
      <c r="AJI9" s="7157"/>
      <c r="AJJ9" s="7157"/>
      <c r="AJK9" s="7158"/>
      <c r="AJL9" s="7158"/>
      <c r="AJM9" s="7158"/>
      <c r="AJN9" s="7158"/>
      <c r="AJO9" s="7158"/>
      <c r="AJP9" s="7159"/>
      <c r="AJQ9" s="7152" t="s">
        <v>1012</v>
      </c>
      <c r="AJR9" s="7153"/>
      <c r="AJS9" s="7153"/>
      <c r="AJT9" s="7153"/>
      <c r="AJU9" s="7163">
        <v>0.05</v>
      </c>
      <c r="AJV9" s="7164"/>
      <c r="AJW9" s="7157">
        <f>AJU9*AJW7</f>
        <v>0</v>
      </c>
      <c r="AJX9" s="7157"/>
      <c r="AJY9" s="7157"/>
      <c r="AJZ9" s="7157"/>
      <c r="AKA9" s="7158"/>
      <c r="AKB9" s="7158"/>
      <c r="AKC9" s="7158"/>
      <c r="AKD9" s="7158"/>
      <c r="AKE9" s="7158"/>
      <c r="AKF9" s="7159"/>
      <c r="AKG9" s="7152" t="s">
        <v>1012</v>
      </c>
      <c r="AKH9" s="7153"/>
      <c r="AKI9" s="7153"/>
      <c r="AKJ9" s="7153"/>
      <c r="AKK9" s="7163">
        <v>0.05</v>
      </c>
      <c r="AKL9" s="7164"/>
      <c r="AKM9" s="7157">
        <f>AKK9*AKM7</f>
        <v>0</v>
      </c>
      <c r="AKN9" s="7157"/>
      <c r="AKO9" s="7157"/>
      <c r="AKP9" s="7157"/>
      <c r="AKQ9" s="7158"/>
      <c r="AKR9" s="7158"/>
      <c r="AKS9" s="7158"/>
      <c r="AKT9" s="7158"/>
      <c r="AKU9" s="7158"/>
      <c r="AKV9" s="7159"/>
      <c r="AKW9" s="7152" t="s">
        <v>1012</v>
      </c>
      <c r="AKX9" s="7153"/>
      <c r="AKY9" s="7153"/>
      <c r="AKZ9" s="7153"/>
      <c r="ALA9" s="7163">
        <v>0.05</v>
      </c>
      <c r="ALB9" s="7164"/>
      <c r="ALC9" s="7157">
        <f>ALA9*ALC7</f>
        <v>0</v>
      </c>
      <c r="ALD9" s="7157"/>
      <c r="ALE9" s="7157"/>
      <c r="ALF9" s="7157"/>
      <c r="ALG9" s="7158"/>
      <c r="ALH9" s="7158"/>
      <c r="ALI9" s="7158"/>
      <c r="ALJ9" s="7158"/>
      <c r="ALK9" s="7158"/>
      <c r="ALL9" s="7159"/>
      <c r="ALM9" s="7152" t="s">
        <v>1012</v>
      </c>
      <c r="ALN9" s="7153"/>
      <c r="ALO9" s="7153"/>
      <c r="ALP9" s="7153"/>
      <c r="ALQ9" s="7163">
        <v>0.05</v>
      </c>
      <c r="ALR9" s="7164"/>
      <c r="ALS9" s="7157">
        <f>ALQ9*ALS7</f>
        <v>0</v>
      </c>
      <c r="ALT9" s="7157"/>
      <c r="ALU9" s="7157"/>
      <c r="ALV9" s="7157"/>
      <c r="ALW9" s="7158"/>
      <c r="ALX9" s="7158"/>
      <c r="ALY9" s="7158"/>
      <c r="ALZ9" s="7158"/>
      <c r="AMA9" s="7158"/>
      <c r="AMB9" s="7159"/>
      <c r="AMC9" s="7152" t="s">
        <v>1012</v>
      </c>
      <c r="AMD9" s="7153"/>
      <c r="AME9" s="7153"/>
      <c r="AMF9" s="7153"/>
      <c r="AMG9" s="7163">
        <v>0.05</v>
      </c>
      <c r="AMH9" s="7164"/>
      <c r="AMI9" s="7157">
        <f>AMG9*AMI7</f>
        <v>0</v>
      </c>
      <c r="AMJ9" s="7157"/>
      <c r="AMK9" s="7157"/>
      <c r="AML9" s="7157"/>
      <c r="AMM9" s="7158"/>
      <c r="AMN9" s="7158"/>
      <c r="AMO9" s="7158"/>
      <c r="AMP9" s="7158"/>
      <c r="AMQ9" s="7158"/>
      <c r="AMR9" s="7159"/>
      <c r="AMS9" s="7152" t="s">
        <v>1012</v>
      </c>
      <c r="AMT9" s="7153"/>
      <c r="AMU9" s="7153"/>
      <c r="AMV9" s="7153"/>
      <c r="AMW9" s="7163">
        <v>0.05</v>
      </c>
      <c r="AMX9" s="7164"/>
      <c r="AMY9" s="7157">
        <f>AMW9*AMY7</f>
        <v>0</v>
      </c>
      <c r="AMZ9" s="7157"/>
      <c r="ANA9" s="7157"/>
      <c r="ANB9" s="7157"/>
      <c r="ANC9" s="7158"/>
      <c r="AND9" s="7158"/>
      <c r="ANE9" s="7158"/>
      <c r="ANF9" s="7158"/>
      <c r="ANG9" s="7158"/>
      <c r="ANH9" s="7159"/>
      <c r="ANI9" s="7152" t="s">
        <v>1012</v>
      </c>
      <c r="ANJ9" s="7153"/>
      <c r="ANK9" s="7153"/>
      <c r="ANL9" s="7153"/>
      <c r="ANM9" s="7163">
        <v>0.05</v>
      </c>
      <c r="ANN9" s="7164"/>
      <c r="ANO9" s="7157">
        <f>ANM9*ANO7</f>
        <v>0</v>
      </c>
      <c r="ANP9" s="7157"/>
      <c r="ANQ9" s="7157"/>
      <c r="ANR9" s="7157"/>
      <c r="ANS9" s="7158"/>
      <c r="ANT9" s="7158"/>
      <c r="ANU9" s="7158"/>
      <c r="ANV9" s="7158"/>
      <c r="ANW9" s="7158"/>
      <c r="ANX9" s="7159"/>
      <c r="ANY9" s="7152" t="s">
        <v>1012</v>
      </c>
      <c r="ANZ9" s="7153"/>
      <c r="AOA9" s="7153"/>
      <c r="AOB9" s="7153"/>
      <c r="AOC9" s="7163">
        <v>0.05</v>
      </c>
      <c r="AOD9" s="7164"/>
      <c r="AOE9" s="7157">
        <f>AOC9*AOE7</f>
        <v>0</v>
      </c>
      <c r="AOF9" s="7157"/>
      <c r="AOG9" s="7157"/>
      <c r="AOH9" s="7157"/>
      <c r="AOI9" s="7158"/>
      <c r="AOJ9" s="7158"/>
      <c r="AOK9" s="7158"/>
      <c r="AOL9" s="7158"/>
      <c r="AOM9" s="7158"/>
      <c r="AON9" s="7159"/>
      <c r="AOO9" s="7152" t="s">
        <v>1012</v>
      </c>
      <c r="AOP9" s="7153"/>
      <c r="AOQ9" s="7153"/>
      <c r="AOR9" s="7153"/>
      <c r="AOS9" s="7163">
        <v>0.05</v>
      </c>
      <c r="AOT9" s="7164"/>
      <c r="AOU9" s="7157">
        <f>AOS9*AOU7</f>
        <v>0</v>
      </c>
      <c r="AOV9" s="7157"/>
      <c r="AOW9" s="7157"/>
      <c r="AOX9" s="7157"/>
      <c r="AOY9" s="7158"/>
      <c r="AOZ9" s="7158"/>
      <c r="APA9" s="7158"/>
      <c r="APB9" s="7158"/>
      <c r="APC9" s="7158"/>
      <c r="APD9" s="7159"/>
      <c r="APE9" s="7152" t="s">
        <v>1012</v>
      </c>
      <c r="APF9" s="7153"/>
      <c r="APG9" s="7153"/>
      <c r="APH9" s="7153"/>
      <c r="API9" s="7163">
        <v>0.05</v>
      </c>
      <c r="APJ9" s="7164"/>
      <c r="APK9" s="7157">
        <f>API9*APK7</f>
        <v>0</v>
      </c>
      <c r="APL9" s="7157"/>
      <c r="APM9" s="7157"/>
      <c r="APN9" s="7157"/>
      <c r="APO9" s="7158"/>
      <c r="APP9" s="7158"/>
      <c r="APQ9" s="7158"/>
      <c r="APR9" s="7158"/>
      <c r="APS9" s="7158"/>
      <c r="APT9" s="7159"/>
      <c r="APU9" s="7152" t="s">
        <v>1012</v>
      </c>
      <c r="APV9" s="7153"/>
      <c r="APW9" s="7153"/>
      <c r="APX9" s="7153"/>
      <c r="APY9" s="7163">
        <v>0.05</v>
      </c>
      <c r="APZ9" s="7164"/>
      <c r="AQA9" s="7157">
        <f>APY9*AQA7</f>
        <v>0</v>
      </c>
      <c r="AQB9" s="7157"/>
      <c r="AQC9" s="7157"/>
      <c r="AQD9" s="7157"/>
      <c r="AQE9" s="7158"/>
      <c r="AQF9" s="7158"/>
      <c r="AQG9" s="7158"/>
      <c r="AQH9" s="7158"/>
      <c r="AQI9" s="7158"/>
      <c r="AQJ9" s="7159"/>
      <c r="AQK9" s="7152" t="s">
        <v>1012</v>
      </c>
      <c r="AQL9" s="7153"/>
      <c r="AQM9" s="7153"/>
      <c r="AQN9" s="7153"/>
      <c r="AQO9" s="7163">
        <v>0.05</v>
      </c>
      <c r="AQP9" s="7164"/>
      <c r="AQQ9" s="7157">
        <f>AQO9*AQQ7</f>
        <v>0</v>
      </c>
      <c r="AQR9" s="7157"/>
      <c r="AQS9" s="7157"/>
      <c r="AQT9" s="7157"/>
      <c r="AQU9" s="7158"/>
      <c r="AQV9" s="7158"/>
      <c r="AQW9" s="7158"/>
      <c r="AQX9" s="7158"/>
      <c r="AQY9" s="7158"/>
      <c r="AQZ9" s="7159"/>
      <c r="ARA9" s="7152" t="s">
        <v>1012</v>
      </c>
      <c r="ARB9" s="7153"/>
      <c r="ARC9" s="7153"/>
      <c r="ARD9" s="7153"/>
      <c r="ARE9" s="7163">
        <v>0.05</v>
      </c>
      <c r="ARF9" s="7164"/>
      <c r="ARG9" s="7157">
        <f>ARE9*ARG7</f>
        <v>0</v>
      </c>
      <c r="ARH9" s="7157"/>
      <c r="ARI9" s="7157"/>
      <c r="ARJ9" s="7157"/>
      <c r="ARK9" s="7158"/>
      <c r="ARL9" s="7158"/>
      <c r="ARM9" s="7158"/>
      <c r="ARN9" s="7158"/>
      <c r="ARO9" s="7158"/>
      <c r="ARP9" s="7159"/>
      <c r="ARQ9" s="7152" t="s">
        <v>1012</v>
      </c>
      <c r="ARR9" s="7153"/>
      <c r="ARS9" s="7153"/>
      <c r="ART9" s="7153"/>
      <c r="ARU9" s="7163">
        <v>0.05</v>
      </c>
      <c r="ARV9" s="7164"/>
      <c r="ARW9" s="7157">
        <f>ARU9*ARW7</f>
        <v>0</v>
      </c>
      <c r="ARX9" s="7157"/>
      <c r="ARY9" s="7157"/>
      <c r="ARZ9" s="7157"/>
      <c r="ASA9" s="7158"/>
      <c r="ASB9" s="7158"/>
      <c r="ASC9" s="7158"/>
      <c r="ASD9" s="7158"/>
      <c r="ASE9" s="7158"/>
      <c r="ASF9" s="7159"/>
      <c r="ASG9" s="7152" t="s">
        <v>1012</v>
      </c>
      <c r="ASH9" s="7153"/>
      <c r="ASI9" s="7153"/>
      <c r="ASJ9" s="7153"/>
      <c r="ASK9" s="7163">
        <v>0.05</v>
      </c>
      <c r="ASL9" s="7164"/>
      <c r="ASM9" s="7157">
        <f>ASK9*ASM7</f>
        <v>0</v>
      </c>
      <c r="ASN9" s="7157"/>
      <c r="ASO9" s="7157"/>
      <c r="ASP9" s="7157"/>
      <c r="ASQ9" s="7158"/>
      <c r="ASR9" s="7158"/>
      <c r="ASS9" s="7158"/>
      <c r="AST9" s="7158"/>
      <c r="ASU9" s="7158"/>
      <c r="ASV9" s="7159"/>
      <c r="ASW9" s="7152" t="s">
        <v>1012</v>
      </c>
      <c r="ASX9" s="7153"/>
      <c r="ASY9" s="7153"/>
      <c r="ASZ9" s="7153"/>
      <c r="ATA9" s="7163">
        <v>0.05</v>
      </c>
      <c r="ATB9" s="7164"/>
      <c r="ATC9" s="7157">
        <f>ATA9*ATC7</f>
        <v>0</v>
      </c>
      <c r="ATD9" s="7157"/>
      <c r="ATE9" s="7157"/>
      <c r="ATF9" s="7157"/>
      <c r="ATG9" s="7158"/>
      <c r="ATH9" s="7158"/>
      <c r="ATI9" s="7158"/>
      <c r="ATJ9" s="7158"/>
      <c r="ATK9" s="7158"/>
      <c r="ATL9" s="7159"/>
      <c r="ATM9" s="7152" t="s">
        <v>1012</v>
      </c>
      <c r="ATN9" s="7153"/>
      <c r="ATO9" s="7153"/>
      <c r="ATP9" s="7153"/>
      <c r="ATQ9" s="7163">
        <v>0.05</v>
      </c>
      <c r="ATR9" s="7164"/>
      <c r="ATS9" s="7157">
        <f>ATQ9*ATS7</f>
        <v>0</v>
      </c>
      <c r="ATT9" s="7157"/>
      <c r="ATU9" s="7157"/>
      <c r="ATV9" s="7157"/>
      <c r="ATW9" s="7158"/>
      <c r="ATX9" s="7158"/>
      <c r="ATY9" s="7158"/>
      <c r="ATZ9" s="7158"/>
      <c r="AUA9" s="7158"/>
      <c r="AUB9" s="7159"/>
      <c r="AUC9" s="7152" t="s">
        <v>1012</v>
      </c>
      <c r="AUD9" s="7153"/>
      <c r="AUE9" s="7153"/>
      <c r="AUF9" s="7153"/>
      <c r="AUG9" s="7163">
        <v>0.05</v>
      </c>
      <c r="AUH9" s="7164"/>
      <c r="AUI9" s="7157">
        <f>AUG9*AUI7</f>
        <v>0</v>
      </c>
      <c r="AUJ9" s="7157"/>
      <c r="AUK9" s="7157"/>
      <c r="AUL9" s="7157"/>
      <c r="AUM9" s="7158"/>
      <c r="AUN9" s="7158"/>
      <c r="AUO9" s="7158"/>
      <c r="AUP9" s="7158"/>
      <c r="AUQ9" s="7158"/>
      <c r="AUR9" s="7159"/>
      <c r="AUS9" s="7152" t="s">
        <v>1012</v>
      </c>
      <c r="AUT9" s="7153"/>
      <c r="AUU9" s="7153"/>
      <c r="AUV9" s="7153"/>
      <c r="AUW9" s="7163">
        <v>0.05</v>
      </c>
      <c r="AUX9" s="7164"/>
      <c r="AUY9" s="7157">
        <f>AUW9*AUY7</f>
        <v>0</v>
      </c>
      <c r="AUZ9" s="7157"/>
      <c r="AVA9" s="7157"/>
      <c r="AVB9" s="7157"/>
      <c r="AVC9" s="7158"/>
      <c r="AVD9" s="7158"/>
      <c r="AVE9" s="7158"/>
      <c r="AVF9" s="7158"/>
      <c r="AVG9" s="7158"/>
      <c r="AVH9" s="7159"/>
      <c r="AVI9" s="7152" t="s">
        <v>1012</v>
      </c>
      <c r="AVJ9" s="7153"/>
      <c r="AVK9" s="7153"/>
      <c r="AVL9" s="7153"/>
      <c r="AVM9" s="7163">
        <v>0.05</v>
      </c>
      <c r="AVN9" s="7164"/>
      <c r="AVO9" s="7157">
        <f>AVM9*AVO7</f>
        <v>0</v>
      </c>
      <c r="AVP9" s="7157"/>
      <c r="AVQ9" s="7157"/>
      <c r="AVR9" s="7157"/>
      <c r="AVS9" s="7158"/>
      <c r="AVT9" s="7158"/>
      <c r="AVU9" s="7158"/>
      <c r="AVV9" s="7158"/>
      <c r="AVW9" s="7158"/>
      <c r="AVX9" s="7159"/>
      <c r="AVY9" s="7152" t="s">
        <v>1012</v>
      </c>
      <c r="AVZ9" s="7153"/>
      <c r="AWA9" s="7153"/>
      <c r="AWB9" s="7153"/>
      <c r="AWC9" s="7163">
        <v>0.05</v>
      </c>
      <c r="AWD9" s="7164"/>
      <c r="AWE9" s="7157">
        <f>AWC9*AWE7</f>
        <v>0</v>
      </c>
      <c r="AWF9" s="7157"/>
      <c r="AWG9" s="7157"/>
      <c r="AWH9" s="7157"/>
      <c r="AWI9" s="7158"/>
      <c r="AWJ9" s="7158"/>
      <c r="AWK9" s="7158"/>
      <c r="AWL9" s="7158"/>
      <c r="AWM9" s="7158"/>
      <c r="AWN9" s="7159"/>
      <c r="AWO9" s="7152" t="s">
        <v>1012</v>
      </c>
      <c r="AWP9" s="7153"/>
      <c r="AWQ9" s="7153"/>
      <c r="AWR9" s="7153"/>
      <c r="AWS9" s="7163">
        <v>0.05</v>
      </c>
      <c r="AWT9" s="7164"/>
      <c r="AWU9" s="7157">
        <f>AWS9*AWU7</f>
        <v>0</v>
      </c>
      <c r="AWV9" s="7157"/>
      <c r="AWW9" s="7157"/>
      <c r="AWX9" s="7157"/>
      <c r="AWY9" s="7158"/>
      <c r="AWZ9" s="7158"/>
      <c r="AXA9" s="7158"/>
      <c r="AXB9" s="7158"/>
      <c r="AXC9" s="7158"/>
      <c r="AXD9" s="7159"/>
      <c r="AXE9" s="7152" t="s">
        <v>1012</v>
      </c>
      <c r="AXF9" s="7153"/>
      <c r="AXG9" s="7153"/>
      <c r="AXH9" s="7153"/>
      <c r="AXI9" s="7163">
        <v>0.05</v>
      </c>
      <c r="AXJ9" s="7164"/>
      <c r="AXK9" s="7157">
        <f>AXI9*AXK7</f>
        <v>0</v>
      </c>
      <c r="AXL9" s="7157"/>
      <c r="AXM9" s="7157"/>
      <c r="AXN9" s="7157"/>
      <c r="AXO9" s="7158"/>
      <c r="AXP9" s="7158"/>
      <c r="AXQ9" s="7158"/>
      <c r="AXR9" s="7158"/>
      <c r="AXS9" s="7158"/>
      <c r="AXT9" s="7159"/>
      <c r="AXU9" s="7152" t="s">
        <v>1012</v>
      </c>
      <c r="AXV9" s="7153"/>
      <c r="AXW9" s="7153"/>
      <c r="AXX9" s="7153"/>
      <c r="AXY9" s="7163">
        <v>0.05</v>
      </c>
      <c r="AXZ9" s="7164"/>
      <c r="AYA9" s="7157">
        <f>AXY9*AYA7</f>
        <v>0</v>
      </c>
      <c r="AYB9" s="7157"/>
      <c r="AYC9" s="7157"/>
      <c r="AYD9" s="7157"/>
      <c r="AYE9" s="7158"/>
      <c r="AYF9" s="7158"/>
      <c r="AYG9" s="7158"/>
      <c r="AYH9" s="7158"/>
      <c r="AYI9" s="7158"/>
      <c r="AYJ9" s="7159"/>
      <c r="AYK9" s="7152" t="s">
        <v>1012</v>
      </c>
      <c r="AYL9" s="7153"/>
      <c r="AYM9" s="7153"/>
      <c r="AYN9" s="7153"/>
      <c r="AYO9" s="7163">
        <v>0.05</v>
      </c>
      <c r="AYP9" s="7164"/>
      <c r="AYQ9" s="7157">
        <f>AYO9*AYQ7</f>
        <v>0</v>
      </c>
      <c r="AYR9" s="7157"/>
      <c r="AYS9" s="7157"/>
      <c r="AYT9" s="7157"/>
      <c r="AYU9" s="7158"/>
      <c r="AYV9" s="7158"/>
      <c r="AYW9" s="7158"/>
      <c r="AYX9" s="7158"/>
      <c r="AYY9" s="7158"/>
      <c r="AYZ9" s="7159"/>
      <c r="AZA9" s="7152" t="s">
        <v>1012</v>
      </c>
      <c r="AZB9" s="7153"/>
      <c r="AZC9" s="7153"/>
      <c r="AZD9" s="7153"/>
      <c r="AZE9" s="7163">
        <v>0.05</v>
      </c>
      <c r="AZF9" s="7164"/>
      <c r="AZG9" s="7157">
        <f>AZE9*AZG7</f>
        <v>0</v>
      </c>
      <c r="AZH9" s="7157"/>
      <c r="AZI9" s="7157"/>
      <c r="AZJ9" s="7157"/>
      <c r="AZK9" s="7158"/>
      <c r="AZL9" s="7158"/>
      <c r="AZM9" s="7158"/>
      <c r="AZN9" s="7158"/>
      <c r="AZO9" s="7158"/>
      <c r="AZP9" s="7159"/>
      <c r="AZQ9" s="7152" t="s">
        <v>1012</v>
      </c>
      <c r="AZR9" s="7153"/>
      <c r="AZS9" s="7153"/>
      <c r="AZT9" s="7153"/>
      <c r="AZU9" s="7163">
        <v>0.05</v>
      </c>
      <c r="AZV9" s="7164"/>
      <c r="AZW9" s="7157">
        <f>AZU9*AZW7</f>
        <v>0</v>
      </c>
      <c r="AZX9" s="7157"/>
      <c r="AZY9" s="7157"/>
      <c r="AZZ9" s="7157"/>
      <c r="BAA9" s="7158"/>
      <c r="BAB9" s="7158"/>
      <c r="BAC9" s="7158"/>
      <c r="BAD9" s="7158"/>
      <c r="BAE9" s="7158"/>
      <c r="BAF9" s="7159"/>
      <c r="BAG9" s="7152" t="s">
        <v>1012</v>
      </c>
      <c r="BAH9" s="7153"/>
      <c r="BAI9" s="7153"/>
      <c r="BAJ9" s="7153"/>
      <c r="BAK9" s="7163">
        <v>0.05</v>
      </c>
      <c r="BAL9" s="7164"/>
      <c r="BAM9" s="7157">
        <f>BAK9*BAM7</f>
        <v>0</v>
      </c>
      <c r="BAN9" s="7157"/>
      <c r="BAO9" s="7157"/>
      <c r="BAP9" s="7157"/>
      <c r="BAQ9" s="7158"/>
      <c r="BAR9" s="7158"/>
      <c r="BAS9" s="7158"/>
      <c r="BAT9" s="7158"/>
      <c r="BAU9" s="7158"/>
      <c r="BAV9" s="7159"/>
      <c r="BAW9" s="7152" t="s">
        <v>1012</v>
      </c>
      <c r="BAX9" s="7153"/>
      <c r="BAY9" s="7153"/>
      <c r="BAZ9" s="7153"/>
      <c r="BBA9" s="7163">
        <v>0.05</v>
      </c>
      <c r="BBB9" s="7164"/>
      <c r="BBC9" s="7157">
        <f>BBA9*BBC7</f>
        <v>0</v>
      </c>
      <c r="BBD9" s="7157"/>
      <c r="BBE9" s="7157"/>
      <c r="BBF9" s="7157"/>
      <c r="BBG9" s="7158"/>
      <c r="BBH9" s="7158"/>
      <c r="BBI9" s="7158"/>
      <c r="BBJ9" s="7158"/>
      <c r="BBK9" s="7158"/>
      <c r="BBL9" s="7159"/>
      <c r="BBM9" s="7152" t="s">
        <v>1012</v>
      </c>
      <c r="BBN9" s="7153"/>
      <c r="BBO9" s="7153"/>
      <c r="BBP9" s="7153"/>
      <c r="BBQ9" s="7163">
        <v>0.05</v>
      </c>
      <c r="BBR9" s="7164"/>
      <c r="BBS9" s="7157">
        <f>BBQ9*BBS7</f>
        <v>0</v>
      </c>
      <c r="BBT9" s="7157"/>
      <c r="BBU9" s="7157"/>
      <c r="BBV9" s="7157"/>
      <c r="BBW9" s="7158"/>
      <c r="BBX9" s="7158"/>
      <c r="BBY9" s="7158"/>
      <c r="BBZ9" s="7158"/>
      <c r="BCA9" s="7158"/>
      <c r="BCB9" s="7159"/>
      <c r="BCC9" s="7152" t="s">
        <v>1012</v>
      </c>
      <c r="BCD9" s="7153"/>
      <c r="BCE9" s="7153"/>
      <c r="BCF9" s="7153"/>
      <c r="BCG9" s="7163">
        <v>0.05</v>
      </c>
      <c r="BCH9" s="7164"/>
      <c r="BCI9" s="7157">
        <f>BCG9*BCI7</f>
        <v>0</v>
      </c>
      <c r="BCJ9" s="7157"/>
      <c r="BCK9" s="7157"/>
      <c r="BCL9" s="7157"/>
      <c r="BCM9" s="7158"/>
      <c r="BCN9" s="7158"/>
      <c r="BCO9" s="7158"/>
      <c r="BCP9" s="7158"/>
      <c r="BCQ9" s="7158"/>
      <c r="BCR9" s="7159"/>
      <c r="BCS9" s="7152" t="s">
        <v>1012</v>
      </c>
      <c r="BCT9" s="7153"/>
      <c r="BCU9" s="7153"/>
      <c r="BCV9" s="7153"/>
      <c r="BCW9" s="7163">
        <v>0.05</v>
      </c>
      <c r="BCX9" s="7164"/>
      <c r="BCY9" s="7157">
        <f>BCW9*BCY7</f>
        <v>0</v>
      </c>
      <c r="BCZ9" s="7157"/>
      <c r="BDA9" s="7157"/>
      <c r="BDB9" s="7157"/>
      <c r="BDC9" s="7158"/>
      <c r="BDD9" s="7158"/>
      <c r="BDE9" s="7158"/>
      <c r="BDF9" s="7158"/>
      <c r="BDG9" s="7158"/>
      <c r="BDH9" s="7159"/>
      <c r="BDI9" s="7152" t="s">
        <v>1012</v>
      </c>
      <c r="BDJ9" s="7153"/>
      <c r="BDK9" s="7153"/>
      <c r="BDL9" s="7153"/>
      <c r="BDM9" s="7163">
        <v>0.05</v>
      </c>
      <c r="BDN9" s="7164"/>
      <c r="BDO9" s="7157">
        <f>BDM9*BDO7</f>
        <v>0</v>
      </c>
      <c r="BDP9" s="7157"/>
      <c r="BDQ9" s="7157"/>
      <c r="BDR9" s="7157"/>
      <c r="BDS9" s="7158"/>
      <c r="BDT9" s="7158"/>
      <c r="BDU9" s="7158"/>
      <c r="BDV9" s="7158"/>
      <c r="BDW9" s="7158"/>
      <c r="BDX9" s="7159"/>
      <c r="BDY9" s="7152" t="s">
        <v>1012</v>
      </c>
      <c r="BDZ9" s="7153"/>
      <c r="BEA9" s="7153"/>
      <c r="BEB9" s="7153"/>
      <c r="BEC9" s="7163">
        <v>0.05</v>
      </c>
      <c r="BED9" s="7164"/>
      <c r="BEE9" s="7157">
        <f>BEC9*BEE7</f>
        <v>0</v>
      </c>
      <c r="BEF9" s="7157"/>
      <c r="BEG9" s="7157"/>
      <c r="BEH9" s="7157"/>
      <c r="BEI9" s="7158"/>
      <c r="BEJ9" s="7158"/>
      <c r="BEK9" s="7158"/>
      <c r="BEL9" s="7158"/>
      <c r="BEM9" s="7158"/>
      <c r="BEN9" s="7159"/>
      <c r="BEO9" s="7152" t="s">
        <v>1012</v>
      </c>
      <c r="BEP9" s="7153"/>
      <c r="BEQ9" s="7153"/>
      <c r="BER9" s="7153"/>
      <c r="BES9" s="7163">
        <v>0.05</v>
      </c>
      <c r="BET9" s="7164"/>
      <c r="BEU9" s="7157">
        <f>BES9*BEU7</f>
        <v>0</v>
      </c>
      <c r="BEV9" s="7157"/>
      <c r="BEW9" s="7157"/>
      <c r="BEX9" s="7157"/>
      <c r="BEY9" s="7158"/>
      <c r="BEZ9" s="7158"/>
      <c r="BFA9" s="7158"/>
      <c r="BFB9" s="7158"/>
      <c r="BFC9" s="7158"/>
      <c r="BFD9" s="7159"/>
      <c r="BFE9" s="7152" t="s">
        <v>1012</v>
      </c>
      <c r="BFF9" s="7153"/>
      <c r="BFG9" s="7153"/>
      <c r="BFH9" s="7153"/>
      <c r="BFI9" s="7163">
        <v>0.05</v>
      </c>
      <c r="BFJ9" s="7164"/>
      <c r="BFK9" s="7157">
        <f>BFI9*BFK7</f>
        <v>0</v>
      </c>
      <c r="BFL9" s="7157"/>
      <c r="BFM9" s="7157"/>
      <c r="BFN9" s="7157"/>
      <c r="BFO9" s="7158"/>
      <c r="BFP9" s="7158"/>
      <c r="BFQ9" s="7158"/>
      <c r="BFR9" s="7158"/>
      <c r="BFS9" s="7158"/>
      <c r="BFT9" s="7159"/>
      <c r="BFU9" s="7152" t="s">
        <v>1012</v>
      </c>
      <c r="BFV9" s="7153"/>
      <c r="BFW9" s="7153"/>
      <c r="BFX9" s="7153"/>
      <c r="BFY9" s="7163">
        <v>0.05</v>
      </c>
      <c r="BFZ9" s="7164"/>
      <c r="BGA9" s="7157">
        <f>BFY9*BGA7</f>
        <v>0</v>
      </c>
      <c r="BGB9" s="7157"/>
      <c r="BGC9" s="7157"/>
      <c r="BGD9" s="7157"/>
      <c r="BGE9" s="7158"/>
      <c r="BGF9" s="7158"/>
      <c r="BGG9" s="7158"/>
      <c r="BGH9" s="7158"/>
      <c r="BGI9" s="7158"/>
      <c r="BGJ9" s="7159"/>
      <c r="BGK9" s="7152" t="s">
        <v>1012</v>
      </c>
      <c r="BGL9" s="7153"/>
      <c r="BGM9" s="7153"/>
      <c r="BGN9" s="7153"/>
      <c r="BGO9" s="7163">
        <v>0.05</v>
      </c>
      <c r="BGP9" s="7164"/>
      <c r="BGQ9" s="7157">
        <f>BGO9*BGQ7</f>
        <v>0</v>
      </c>
      <c r="BGR9" s="7157"/>
      <c r="BGS9" s="7157"/>
      <c r="BGT9" s="7157"/>
      <c r="BGU9" s="7158"/>
      <c r="BGV9" s="7158"/>
      <c r="BGW9" s="7158"/>
      <c r="BGX9" s="7158"/>
      <c r="BGY9" s="7158"/>
      <c r="BGZ9" s="7159"/>
      <c r="BHA9" s="7152" t="s">
        <v>1012</v>
      </c>
      <c r="BHB9" s="7153"/>
      <c r="BHC9" s="7153"/>
      <c r="BHD9" s="7153"/>
      <c r="BHE9" s="7163">
        <v>0.05</v>
      </c>
      <c r="BHF9" s="7164"/>
      <c r="BHG9" s="7157">
        <f>BHE9*BHG7</f>
        <v>0</v>
      </c>
      <c r="BHH9" s="7157"/>
      <c r="BHI9" s="7157"/>
      <c r="BHJ9" s="7157"/>
      <c r="BHK9" s="7158"/>
      <c r="BHL9" s="7158"/>
      <c r="BHM9" s="7158"/>
      <c r="BHN9" s="7158"/>
      <c r="BHO9" s="7158"/>
      <c r="BHP9" s="7159"/>
      <c r="BHQ9" s="7152" t="s">
        <v>1012</v>
      </c>
      <c r="BHR9" s="7153"/>
      <c r="BHS9" s="7153"/>
      <c r="BHT9" s="7153"/>
      <c r="BHU9" s="7163">
        <v>0.05</v>
      </c>
      <c r="BHV9" s="7164"/>
      <c r="BHW9" s="7157">
        <f>BHU9*BHW7</f>
        <v>0</v>
      </c>
      <c r="BHX9" s="7157"/>
      <c r="BHY9" s="7157"/>
      <c r="BHZ9" s="7157"/>
      <c r="BIA9" s="7158"/>
      <c r="BIB9" s="7158"/>
      <c r="BIC9" s="7158"/>
      <c r="BID9" s="7158"/>
      <c r="BIE9" s="7158"/>
      <c r="BIF9" s="7159"/>
      <c r="BIG9" s="7152" t="s">
        <v>1012</v>
      </c>
      <c r="BIH9" s="7153"/>
      <c r="BII9" s="7153"/>
      <c r="BIJ9" s="7153"/>
      <c r="BIK9" s="7163">
        <v>0.05</v>
      </c>
      <c r="BIL9" s="7164"/>
      <c r="BIM9" s="7157">
        <f>BIK9*BIM7</f>
        <v>0</v>
      </c>
      <c r="BIN9" s="7157"/>
      <c r="BIO9" s="7157"/>
      <c r="BIP9" s="7157"/>
      <c r="BIQ9" s="7158"/>
      <c r="BIR9" s="7158"/>
      <c r="BIS9" s="7158"/>
      <c r="BIT9" s="7158"/>
      <c r="BIU9" s="7158"/>
      <c r="BIV9" s="7159"/>
      <c r="BIW9" s="7152" t="s">
        <v>1012</v>
      </c>
      <c r="BIX9" s="7153"/>
      <c r="BIY9" s="7153"/>
      <c r="BIZ9" s="7153"/>
      <c r="BJA9" s="7163">
        <v>0.05</v>
      </c>
      <c r="BJB9" s="7164"/>
      <c r="BJC9" s="7157">
        <f>BJA9*BJC7</f>
        <v>0</v>
      </c>
      <c r="BJD9" s="7157"/>
      <c r="BJE9" s="7157"/>
      <c r="BJF9" s="7157"/>
      <c r="BJG9" s="7158"/>
      <c r="BJH9" s="7158"/>
      <c r="BJI9" s="7158"/>
      <c r="BJJ9" s="7158"/>
      <c r="BJK9" s="7158"/>
      <c r="BJL9" s="7159"/>
      <c r="BJM9" s="7152" t="s">
        <v>1012</v>
      </c>
      <c r="BJN9" s="7153"/>
      <c r="BJO9" s="7153"/>
      <c r="BJP9" s="7153"/>
      <c r="BJQ9" s="7163">
        <v>0.05</v>
      </c>
      <c r="BJR9" s="7164"/>
      <c r="BJS9" s="7157">
        <f>BJQ9*BJS7</f>
        <v>0</v>
      </c>
      <c r="BJT9" s="7157"/>
      <c r="BJU9" s="7157"/>
      <c r="BJV9" s="7157"/>
      <c r="BJW9" s="7158"/>
      <c r="BJX9" s="7158"/>
      <c r="BJY9" s="7158"/>
      <c r="BJZ9" s="7158"/>
      <c r="BKA9" s="7158"/>
      <c r="BKB9" s="7159"/>
      <c r="BKC9" s="7152" t="s">
        <v>1012</v>
      </c>
      <c r="BKD9" s="7153"/>
      <c r="BKE9" s="7153"/>
      <c r="BKF9" s="7153"/>
      <c r="BKG9" s="7163">
        <v>0.05</v>
      </c>
      <c r="BKH9" s="7164"/>
      <c r="BKI9" s="7157">
        <f>BKG9*BKI7</f>
        <v>0</v>
      </c>
      <c r="BKJ9" s="7157"/>
      <c r="BKK9" s="7157"/>
      <c r="BKL9" s="7157"/>
      <c r="BKM9" s="7158"/>
      <c r="BKN9" s="7158"/>
      <c r="BKO9" s="7158"/>
      <c r="BKP9" s="7158"/>
      <c r="BKQ9" s="7158"/>
      <c r="BKR9" s="7159"/>
      <c r="BKS9" s="7152" t="s">
        <v>1012</v>
      </c>
      <c r="BKT9" s="7153"/>
      <c r="BKU9" s="7153"/>
      <c r="BKV9" s="7153"/>
      <c r="BKW9" s="7163">
        <v>0.05</v>
      </c>
      <c r="BKX9" s="7164"/>
      <c r="BKY9" s="7157">
        <f>BKW9*BKY7</f>
        <v>0</v>
      </c>
      <c r="BKZ9" s="7157"/>
      <c r="BLA9" s="7157"/>
      <c r="BLB9" s="7157"/>
      <c r="BLC9" s="7158"/>
      <c r="BLD9" s="7158"/>
      <c r="BLE9" s="7158"/>
      <c r="BLF9" s="7158"/>
      <c r="BLG9" s="7158"/>
      <c r="BLH9" s="7159"/>
      <c r="BLI9" s="7152" t="s">
        <v>1012</v>
      </c>
      <c r="BLJ9" s="7153"/>
      <c r="BLK9" s="7153"/>
      <c r="BLL9" s="7153"/>
      <c r="BLM9" s="7163">
        <v>0.05</v>
      </c>
      <c r="BLN9" s="7164"/>
      <c r="BLO9" s="7157">
        <f>BLM9*BLO7</f>
        <v>0</v>
      </c>
      <c r="BLP9" s="7157"/>
      <c r="BLQ9" s="7157"/>
      <c r="BLR9" s="7157"/>
      <c r="BLS9" s="7158"/>
      <c r="BLT9" s="7158"/>
      <c r="BLU9" s="7158"/>
      <c r="BLV9" s="7158"/>
      <c r="BLW9" s="7158"/>
      <c r="BLX9" s="7159"/>
      <c r="BLY9" s="7152" t="s">
        <v>1012</v>
      </c>
      <c r="BLZ9" s="7153"/>
      <c r="BMA9" s="7153"/>
      <c r="BMB9" s="7153"/>
      <c r="BMC9" s="7163">
        <v>0.05</v>
      </c>
      <c r="BMD9" s="7164"/>
      <c r="BME9" s="7157">
        <f>BMC9*BME7</f>
        <v>0</v>
      </c>
      <c r="BMF9" s="7157"/>
      <c r="BMG9" s="7157"/>
      <c r="BMH9" s="7157"/>
      <c r="BMI9" s="7158"/>
      <c r="BMJ9" s="7158"/>
      <c r="BMK9" s="7158"/>
      <c r="BML9" s="7158"/>
      <c r="BMM9" s="7158"/>
      <c r="BMN9" s="7159"/>
      <c r="BMO9" s="7152" t="s">
        <v>1012</v>
      </c>
      <c r="BMP9" s="7153"/>
      <c r="BMQ9" s="7153"/>
      <c r="BMR9" s="7153"/>
      <c r="BMS9" s="7163">
        <v>0.05</v>
      </c>
      <c r="BMT9" s="7164"/>
      <c r="BMU9" s="7157">
        <f>BMS9*BMU7</f>
        <v>0</v>
      </c>
      <c r="BMV9" s="7157"/>
      <c r="BMW9" s="7157"/>
      <c r="BMX9" s="7157"/>
      <c r="BMY9" s="7158"/>
      <c r="BMZ9" s="7158"/>
      <c r="BNA9" s="7158"/>
      <c r="BNB9" s="7158"/>
      <c r="BNC9" s="7158"/>
      <c r="BND9" s="7159"/>
      <c r="BNE9" s="7152" t="s">
        <v>1012</v>
      </c>
      <c r="BNF9" s="7153"/>
      <c r="BNG9" s="7153"/>
      <c r="BNH9" s="7153"/>
      <c r="BNI9" s="7163">
        <v>0.05</v>
      </c>
      <c r="BNJ9" s="7164"/>
      <c r="BNK9" s="7157">
        <f>BNI9*BNK7</f>
        <v>0</v>
      </c>
      <c r="BNL9" s="7157"/>
      <c r="BNM9" s="7157"/>
      <c r="BNN9" s="7157"/>
      <c r="BNO9" s="7158"/>
      <c r="BNP9" s="7158"/>
      <c r="BNQ9" s="7158"/>
      <c r="BNR9" s="7158"/>
      <c r="BNS9" s="7158"/>
      <c r="BNT9" s="7159"/>
      <c r="BNU9" s="7152" t="s">
        <v>1012</v>
      </c>
      <c r="BNV9" s="7153"/>
      <c r="BNW9" s="7153"/>
      <c r="BNX9" s="7153"/>
      <c r="BNY9" s="7163">
        <v>0.05</v>
      </c>
      <c r="BNZ9" s="7164"/>
      <c r="BOA9" s="7157">
        <f>BNY9*BOA7</f>
        <v>0</v>
      </c>
      <c r="BOB9" s="7157"/>
      <c r="BOC9" s="7157"/>
      <c r="BOD9" s="7157"/>
      <c r="BOE9" s="7158"/>
      <c r="BOF9" s="7158"/>
      <c r="BOG9" s="7158"/>
      <c r="BOH9" s="7158"/>
      <c r="BOI9" s="7158"/>
      <c r="BOJ9" s="7159"/>
      <c r="BOK9" s="7152" t="s">
        <v>1012</v>
      </c>
      <c r="BOL9" s="7153"/>
      <c r="BOM9" s="7153"/>
      <c r="BON9" s="7153"/>
      <c r="BOO9" s="7163">
        <v>0.05</v>
      </c>
      <c r="BOP9" s="7164"/>
      <c r="BOQ9" s="7157">
        <f>BOO9*BOQ7</f>
        <v>0</v>
      </c>
      <c r="BOR9" s="7157"/>
      <c r="BOS9" s="7157"/>
      <c r="BOT9" s="7157"/>
      <c r="BOU9" s="7158"/>
      <c r="BOV9" s="7158"/>
      <c r="BOW9" s="7158"/>
      <c r="BOX9" s="7158"/>
      <c r="BOY9" s="7158"/>
      <c r="BOZ9" s="7159"/>
      <c r="BPA9" s="7152" t="s">
        <v>1012</v>
      </c>
      <c r="BPB9" s="7153"/>
      <c r="BPC9" s="7153"/>
      <c r="BPD9" s="7153"/>
      <c r="BPE9" s="7163">
        <v>0.05</v>
      </c>
      <c r="BPF9" s="7164"/>
      <c r="BPG9" s="7157">
        <f>BPE9*BPG7</f>
        <v>0</v>
      </c>
      <c r="BPH9" s="7157"/>
      <c r="BPI9" s="7157"/>
      <c r="BPJ9" s="7157"/>
      <c r="BPK9" s="7158"/>
      <c r="BPL9" s="7158"/>
      <c r="BPM9" s="7158"/>
      <c r="BPN9" s="7158"/>
      <c r="BPO9" s="7158"/>
      <c r="BPP9" s="7159"/>
      <c r="BPQ9" s="7152" t="s">
        <v>1012</v>
      </c>
      <c r="BPR9" s="7153"/>
      <c r="BPS9" s="7153"/>
      <c r="BPT9" s="7153"/>
      <c r="BPU9" s="7163">
        <v>0.05</v>
      </c>
      <c r="BPV9" s="7164"/>
      <c r="BPW9" s="7157">
        <f>BPU9*BPW7</f>
        <v>0</v>
      </c>
      <c r="BPX9" s="7157"/>
      <c r="BPY9" s="7157"/>
      <c r="BPZ9" s="7157"/>
      <c r="BQA9" s="7158"/>
      <c r="BQB9" s="7158"/>
      <c r="BQC9" s="7158"/>
      <c r="BQD9" s="7158"/>
      <c r="BQE9" s="7158"/>
      <c r="BQF9" s="7159"/>
      <c r="BQG9" s="7152" t="s">
        <v>1012</v>
      </c>
      <c r="BQH9" s="7153"/>
      <c r="BQI9" s="7153"/>
      <c r="BQJ9" s="7153"/>
      <c r="BQK9" s="7163">
        <v>0.05</v>
      </c>
      <c r="BQL9" s="7164"/>
      <c r="BQM9" s="7157">
        <f>BQK9*BQM7</f>
        <v>0</v>
      </c>
      <c r="BQN9" s="7157"/>
      <c r="BQO9" s="7157"/>
      <c r="BQP9" s="7157"/>
      <c r="BQQ9" s="7158"/>
      <c r="BQR9" s="7158"/>
      <c r="BQS9" s="7158"/>
      <c r="BQT9" s="7158"/>
      <c r="BQU9" s="7158"/>
      <c r="BQV9" s="7159"/>
      <c r="BQW9" s="7152" t="s">
        <v>1012</v>
      </c>
      <c r="BQX9" s="7153"/>
      <c r="BQY9" s="7153"/>
      <c r="BQZ9" s="7153"/>
      <c r="BRA9" s="7163">
        <v>0.05</v>
      </c>
      <c r="BRB9" s="7164"/>
      <c r="BRC9" s="7157">
        <f>BRA9*BRC7</f>
        <v>0</v>
      </c>
      <c r="BRD9" s="7157"/>
      <c r="BRE9" s="7157"/>
      <c r="BRF9" s="7157"/>
      <c r="BRG9" s="7158"/>
      <c r="BRH9" s="7158"/>
      <c r="BRI9" s="7158"/>
      <c r="BRJ9" s="7158"/>
      <c r="BRK9" s="7158"/>
      <c r="BRL9" s="7159"/>
      <c r="BRM9" s="7152" t="s">
        <v>1012</v>
      </c>
      <c r="BRN9" s="7153"/>
      <c r="BRO9" s="7153"/>
      <c r="BRP9" s="7153"/>
      <c r="BRQ9" s="7163">
        <v>0.05</v>
      </c>
      <c r="BRR9" s="7164"/>
      <c r="BRS9" s="7157">
        <f>BRQ9*BRS7</f>
        <v>0</v>
      </c>
      <c r="BRT9" s="7157"/>
      <c r="BRU9" s="7157"/>
      <c r="BRV9" s="7157"/>
      <c r="BRW9" s="7158"/>
      <c r="BRX9" s="7158"/>
      <c r="BRY9" s="7158"/>
      <c r="BRZ9" s="7158"/>
      <c r="BSA9" s="7158"/>
      <c r="BSB9" s="7159"/>
      <c r="BSC9" s="7152" t="s">
        <v>1012</v>
      </c>
      <c r="BSD9" s="7153"/>
      <c r="BSE9" s="7153"/>
      <c r="BSF9" s="7153"/>
      <c r="BSG9" s="7163">
        <v>0.05</v>
      </c>
      <c r="BSH9" s="7164"/>
      <c r="BSI9" s="7157">
        <f>BSG9*BSI7</f>
        <v>0</v>
      </c>
      <c r="BSJ9" s="7157"/>
      <c r="BSK9" s="7157"/>
      <c r="BSL9" s="7157"/>
      <c r="BSM9" s="7158"/>
      <c r="BSN9" s="7158"/>
      <c r="BSO9" s="7158"/>
      <c r="BSP9" s="7158"/>
      <c r="BSQ9" s="7158"/>
      <c r="BSR9" s="7159"/>
      <c r="BSS9" s="7152" t="s">
        <v>1012</v>
      </c>
      <c r="BST9" s="7153"/>
      <c r="BSU9" s="7153"/>
      <c r="BSV9" s="7153"/>
      <c r="BSW9" s="7163">
        <v>0.05</v>
      </c>
      <c r="BSX9" s="7164"/>
      <c r="BSY9" s="7157">
        <f>BSW9*BSY7</f>
        <v>0</v>
      </c>
      <c r="BSZ9" s="7157"/>
      <c r="BTA9" s="7157"/>
      <c r="BTB9" s="7157"/>
      <c r="BTC9" s="7158"/>
      <c r="BTD9" s="7158"/>
      <c r="BTE9" s="7158"/>
      <c r="BTF9" s="7158"/>
      <c r="BTG9" s="7158"/>
      <c r="BTH9" s="7159"/>
      <c r="BTI9" s="7152" t="s">
        <v>1012</v>
      </c>
      <c r="BTJ9" s="7153"/>
      <c r="BTK9" s="7153"/>
      <c r="BTL9" s="7153"/>
      <c r="BTM9" s="7163">
        <v>0.05</v>
      </c>
      <c r="BTN9" s="7164"/>
      <c r="BTO9" s="7157">
        <f>BTM9*BTO7</f>
        <v>0</v>
      </c>
      <c r="BTP9" s="7157"/>
      <c r="BTQ9" s="7157"/>
      <c r="BTR9" s="7157"/>
      <c r="BTS9" s="7158"/>
      <c r="BTT9" s="7158"/>
      <c r="BTU9" s="7158"/>
      <c r="BTV9" s="7158"/>
      <c r="BTW9" s="7158"/>
      <c r="BTX9" s="7159"/>
      <c r="BTY9" s="7152" t="s">
        <v>1012</v>
      </c>
      <c r="BTZ9" s="7153"/>
      <c r="BUA9" s="7153"/>
      <c r="BUB9" s="7153"/>
      <c r="BUC9" s="7163">
        <v>0.05</v>
      </c>
      <c r="BUD9" s="7164"/>
      <c r="BUE9" s="7157">
        <f>BUC9*BUE7</f>
        <v>0</v>
      </c>
      <c r="BUF9" s="7157"/>
      <c r="BUG9" s="7157"/>
      <c r="BUH9" s="7157"/>
      <c r="BUI9" s="7158"/>
      <c r="BUJ9" s="7158"/>
      <c r="BUK9" s="7158"/>
      <c r="BUL9" s="7158"/>
      <c r="BUM9" s="7158"/>
      <c r="BUN9" s="7159"/>
      <c r="BUO9" s="7152" t="s">
        <v>1012</v>
      </c>
      <c r="BUP9" s="7153"/>
      <c r="BUQ9" s="7153"/>
      <c r="BUR9" s="7153"/>
      <c r="BUS9" s="7163">
        <v>0.05</v>
      </c>
      <c r="BUT9" s="7164"/>
      <c r="BUU9" s="7157">
        <f>BUS9*BUU7</f>
        <v>0</v>
      </c>
      <c r="BUV9" s="7157"/>
      <c r="BUW9" s="7157"/>
      <c r="BUX9" s="7157"/>
      <c r="BUY9" s="7158"/>
      <c r="BUZ9" s="7158"/>
      <c r="BVA9" s="7158"/>
      <c r="BVB9" s="7158"/>
      <c r="BVC9" s="7158"/>
      <c r="BVD9" s="7159"/>
      <c r="BVE9" s="7152" t="s">
        <v>1012</v>
      </c>
      <c r="BVF9" s="7153"/>
      <c r="BVG9" s="7153"/>
      <c r="BVH9" s="7153"/>
      <c r="BVI9" s="7163">
        <v>0.05</v>
      </c>
      <c r="BVJ9" s="7164"/>
      <c r="BVK9" s="7157">
        <f>BVI9*BVK7</f>
        <v>0</v>
      </c>
      <c r="BVL9" s="7157"/>
      <c r="BVM9" s="7157"/>
      <c r="BVN9" s="7157"/>
      <c r="BVO9" s="7158"/>
      <c r="BVP9" s="7158"/>
      <c r="BVQ9" s="7158"/>
      <c r="BVR9" s="7158"/>
      <c r="BVS9" s="7158"/>
      <c r="BVT9" s="7159"/>
      <c r="BVU9" s="7152" t="s">
        <v>1012</v>
      </c>
      <c r="BVV9" s="7153"/>
      <c r="BVW9" s="7153"/>
      <c r="BVX9" s="7153"/>
      <c r="BVY9" s="7163">
        <v>0.05</v>
      </c>
      <c r="BVZ9" s="7164"/>
      <c r="BWA9" s="7157">
        <f>BVY9*BWA7</f>
        <v>0</v>
      </c>
      <c r="BWB9" s="7157"/>
      <c r="BWC9" s="7157"/>
      <c r="BWD9" s="7157"/>
      <c r="BWE9" s="7158"/>
      <c r="BWF9" s="7158"/>
      <c r="BWG9" s="7158"/>
      <c r="BWH9" s="7158"/>
      <c r="BWI9" s="7158"/>
      <c r="BWJ9" s="7159"/>
      <c r="BWK9" s="7152" t="s">
        <v>1012</v>
      </c>
      <c r="BWL9" s="7153"/>
      <c r="BWM9" s="7153"/>
      <c r="BWN9" s="7153"/>
      <c r="BWO9" s="7163">
        <v>0.05</v>
      </c>
      <c r="BWP9" s="7164"/>
      <c r="BWQ9" s="7157">
        <f>BWO9*BWQ7</f>
        <v>0</v>
      </c>
      <c r="BWR9" s="7157"/>
      <c r="BWS9" s="7157"/>
      <c r="BWT9" s="7157"/>
      <c r="BWU9" s="7158"/>
      <c r="BWV9" s="7158"/>
      <c r="BWW9" s="7158"/>
      <c r="BWX9" s="7158"/>
      <c r="BWY9" s="7158"/>
      <c r="BWZ9" s="7159"/>
      <c r="BXA9" s="7152" t="s">
        <v>1012</v>
      </c>
      <c r="BXB9" s="7153"/>
      <c r="BXC9" s="7153"/>
      <c r="BXD9" s="7153"/>
      <c r="BXE9" s="7163">
        <v>0.05</v>
      </c>
      <c r="BXF9" s="7164"/>
      <c r="BXG9" s="7157">
        <f>BXE9*BXG7</f>
        <v>0</v>
      </c>
      <c r="BXH9" s="7157"/>
      <c r="BXI9" s="7157"/>
      <c r="BXJ9" s="7157"/>
      <c r="BXK9" s="7158"/>
      <c r="BXL9" s="7158"/>
      <c r="BXM9" s="7158"/>
      <c r="BXN9" s="7158"/>
      <c r="BXO9" s="7158"/>
      <c r="BXP9" s="7159"/>
      <c r="BXQ9" s="7152" t="s">
        <v>1012</v>
      </c>
      <c r="BXR9" s="7153"/>
      <c r="BXS9" s="7153"/>
      <c r="BXT9" s="7153"/>
      <c r="BXU9" s="7163">
        <v>0.05</v>
      </c>
      <c r="BXV9" s="7164"/>
      <c r="BXW9" s="7157">
        <f>BXU9*BXW7</f>
        <v>0</v>
      </c>
      <c r="BXX9" s="7157"/>
      <c r="BXY9" s="7157"/>
      <c r="BXZ9" s="7157"/>
      <c r="BYA9" s="7158"/>
      <c r="BYB9" s="7158"/>
      <c r="BYC9" s="7158"/>
      <c r="BYD9" s="7158"/>
      <c r="BYE9" s="7158"/>
      <c r="BYF9" s="7159"/>
      <c r="BYG9" s="7152" t="s">
        <v>1012</v>
      </c>
      <c r="BYH9" s="7153"/>
      <c r="BYI9" s="7153"/>
      <c r="BYJ9" s="7153"/>
      <c r="BYK9" s="7163">
        <v>0.05</v>
      </c>
      <c r="BYL9" s="7164"/>
      <c r="BYM9" s="7157">
        <f>BYK9*BYM7</f>
        <v>0</v>
      </c>
      <c r="BYN9" s="7157"/>
      <c r="BYO9" s="7157"/>
      <c r="BYP9" s="7157"/>
      <c r="BYQ9" s="7158"/>
      <c r="BYR9" s="7158"/>
      <c r="BYS9" s="7158"/>
      <c r="BYT9" s="7158"/>
      <c r="BYU9" s="7158"/>
      <c r="BYV9" s="7159"/>
      <c r="BYW9" s="7152" t="s">
        <v>1012</v>
      </c>
      <c r="BYX9" s="7153"/>
      <c r="BYY9" s="7153"/>
      <c r="BYZ9" s="7153"/>
      <c r="BZA9" s="7163">
        <v>0.05</v>
      </c>
      <c r="BZB9" s="7164"/>
      <c r="BZC9" s="7157">
        <f>BZA9*BZC7</f>
        <v>0</v>
      </c>
      <c r="BZD9" s="7157"/>
      <c r="BZE9" s="7157"/>
      <c r="BZF9" s="7157"/>
      <c r="BZG9" s="7158"/>
      <c r="BZH9" s="7158"/>
      <c r="BZI9" s="7158"/>
      <c r="BZJ9" s="7158"/>
      <c r="BZK9" s="7158"/>
      <c r="BZL9" s="7159"/>
      <c r="BZM9" s="7152" t="s">
        <v>1012</v>
      </c>
      <c r="BZN9" s="7153"/>
      <c r="BZO9" s="7153"/>
      <c r="BZP9" s="7153"/>
      <c r="BZQ9" s="7163">
        <v>0.05</v>
      </c>
      <c r="BZR9" s="7164"/>
      <c r="BZS9" s="7157">
        <f>BZQ9*BZS7</f>
        <v>0</v>
      </c>
      <c r="BZT9" s="7157"/>
      <c r="BZU9" s="7157"/>
      <c r="BZV9" s="7157"/>
      <c r="BZW9" s="7158"/>
      <c r="BZX9" s="7158"/>
      <c r="BZY9" s="7158"/>
      <c r="BZZ9" s="7158"/>
      <c r="CAA9" s="7158"/>
      <c r="CAB9" s="7159"/>
      <c r="CAC9" s="7152" t="s">
        <v>1012</v>
      </c>
      <c r="CAD9" s="7153"/>
      <c r="CAE9" s="7153"/>
      <c r="CAF9" s="7153"/>
      <c r="CAG9" s="7163">
        <v>0.05</v>
      </c>
      <c r="CAH9" s="7164"/>
      <c r="CAI9" s="7157">
        <f>CAG9*CAI7</f>
        <v>0</v>
      </c>
      <c r="CAJ9" s="7157"/>
      <c r="CAK9" s="7157"/>
      <c r="CAL9" s="7157"/>
      <c r="CAM9" s="7158"/>
      <c r="CAN9" s="7158"/>
      <c r="CAO9" s="7158"/>
      <c r="CAP9" s="7158"/>
      <c r="CAQ9" s="7158"/>
      <c r="CAR9" s="7159"/>
      <c r="CAS9" s="7152" t="s">
        <v>1012</v>
      </c>
      <c r="CAT9" s="7153"/>
      <c r="CAU9" s="7153"/>
      <c r="CAV9" s="7153"/>
      <c r="CAW9" s="7163">
        <v>0.05</v>
      </c>
      <c r="CAX9" s="7164"/>
      <c r="CAY9" s="7157">
        <f>CAW9*CAY7</f>
        <v>0</v>
      </c>
      <c r="CAZ9" s="7157"/>
      <c r="CBA9" s="7157"/>
      <c r="CBB9" s="7157"/>
      <c r="CBC9" s="7158"/>
      <c r="CBD9" s="7158"/>
      <c r="CBE9" s="7158"/>
      <c r="CBF9" s="7158"/>
      <c r="CBG9" s="7158"/>
      <c r="CBH9" s="7159"/>
      <c r="CBI9" s="7152" t="s">
        <v>1012</v>
      </c>
      <c r="CBJ9" s="7153"/>
      <c r="CBK9" s="7153"/>
      <c r="CBL9" s="7153"/>
      <c r="CBM9" s="7163">
        <v>0.05</v>
      </c>
      <c r="CBN9" s="7164"/>
      <c r="CBO9" s="7157">
        <f>CBM9*CBO7</f>
        <v>0</v>
      </c>
      <c r="CBP9" s="7157"/>
      <c r="CBQ9" s="7157"/>
      <c r="CBR9" s="7157"/>
      <c r="CBS9" s="7158"/>
      <c r="CBT9" s="7158"/>
      <c r="CBU9" s="7158"/>
      <c r="CBV9" s="7158"/>
      <c r="CBW9" s="7158"/>
      <c r="CBX9" s="7159"/>
      <c r="CBY9" s="7152" t="s">
        <v>1012</v>
      </c>
      <c r="CBZ9" s="7153"/>
      <c r="CCA9" s="7153"/>
      <c r="CCB9" s="7153"/>
      <c r="CCC9" s="7163">
        <v>0.05</v>
      </c>
      <c r="CCD9" s="7164"/>
      <c r="CCE9" s="7157">
        <f>CCC9*CCE7</f>
        <v>0</v>
      </c>
      <c r="CCF9" s="7157"/>
      <c r="CCG9" s="7157"/>
      <c r="CCH9" s="7157"/>
      <c r="CCI9" s="7158"/>
      <c r="CCJ9" s="7158"/>
      <c r="CCK9" s="7158"/>
      <c r="CCL9" s="7158"/>
      <c r="CCM9" s="7158"/>
      <c r="CCN9" s="7159"/>
      <c r="CCO9" s="7152" t="s">
        <v>1012</v>
      </c>
      <c r="CCP9" s="7153"/>
      <c r="CCQ9" s="7153"/>
      <c r="CCR9" s="7153"/>
      <c r="CCS9" s="7163">
        <v>0.05</v>
      </c>
      <c r="CCT9" s="7164"/>
      <c r="CCU9" s="7157">
        <f>CCS9*CCU7</f>
        <v>0</v>
      </c>
      <c r="CCV9" s="7157"/>
      <c r="CCW9" s="7157"/>
      <c r="CCX9" s="7157"/>
      <c r="CCY9" s="7158"/>
      <c r="CCZ9" s="7158"/>
      <c r="CDA9" s="7158"/>
      <c r="CDB9" s="7158"/>
      <c r="CDC9" s="7158"/>
      <c r="CDD9" s="7159"/>
      <c r="CDE9" s="7152" t="s">
        <v>1012</v>
      </c>
      <c r="CDF9" s="7153"/>
      <c r="CDG9" s="7153"/>
      <c r="CDH9" s="7153"/>
      <c r="CDI9" s="7163">
        <v>0.05</v>
      </c>
      <c r="CDJ9" s="7164"/>
      <c r="CDK9" s="7157">
        <f>CDI9*CDK7</f>
        <v>0</v>
      </c>
      <c r="CDL9" s="7157"/>
      <c r="CDM9" s="7157"/>
      <c r="CDN9" s="7157"/>
      <c r="CDO9" s="7158"/>
      <c r="CDP9" s="7158"/>
      <c r="CDQ9" s="7158"/>
      <c r="CDR9" s="7158"/>
      <c r="CDS9" s="7158"/>
      <c r="CDT9" s="7159"/>
      <c r="CDU9" s="7152" t="s">
        <v>1012</v>
      </c>
      <c r="CDV9" s="7153"/>
      <c r="CDW9" s="7153"/>
      <c r="CDX9" s="7153"/>
      <c r="CDY9" s="7163">
        <v>0.05</v>
      </c>
      <c r="CDZ9" s="7164"/>
      <c r="CEA9" s="7157">
        <f>CDY9*CEA7</f>
        <v>0</v>
      </c>
      <c r="CEB9" s="7157"/>
      <c r="CEC9" s="7157"/>
      <c r="CED9" s="7157"/>
      <c r="CEE9" s="7158"/>
      <c r="CEF9" s="7158"/>
      <c r="CEG9" s="7158"/>
      <c r="CEH9" s="7158"/>
      <c r="CEI9" s="7158"/>
      <c r="CEJ9" s="7159"/>
      <c r="CEK9" s="7152" t="s">
        <v>1012</v>
      </c>
      <c r="CEL9" s="7153"/>
      <c r="CEM9" s="7153"/>
      <c r="CEN9" s="7153"/>
      <c r="CEO9" s="7163">
        <v>0.05</v>
      </c>
      <c r="CEP9" s="7164"/>
      <c r="CEQ9" s="7157">
        <f>CEO9*CEQ7</f>
        <v>0</v>
      </c>
      <c r="CER9" s="7157"/>
      <c r="CES9" s="7157"/>
      <c r="CET9" s="7157"/>
      <c r="CEU9" s="7158"/>
      <c r="CEV9" s="7158"/>
      <c r="CEW9" s="7158"/>
      <c r="CEX9" s="7158"/>
      <c r="CEY9" s="7158"/>
      <c r="CEZ9" s="7159"/>
      <c r="CFA9" s="7152" t="s">
        <v>1012</v>
      </c>
      <c r="CFB9" s="7153"/>
      <c r="CFC9" s="7153"/>
      <c r="CFD9" s="7153"/>
      <c r="CFE9" s="7163">
        <v>0.05</v>
      </c>
      <c r="CFF9" s="7164"/>
      <c r="CFG9" s="7157">
        <f>CFE9*CFG7</f>
        <v>0</v>
      </c>
      <c r="CFH9" s="7157"/>
      <c r="CFI9" s="7157"/>
      <c r="CFJ9" s="7157"/>
      <c r="CFK9" s="7158"/>
      <c r="CFL9" s="7158"/>
      <c r="CFM9" s="7158"/>
      <c r="CFN9" s="7158"/>
      <c r="CFO9" s="7158"/>
      <c r="CFP9" s="7159"/>
      <c r="CFQ9" s="7152" t="s">
        <v>1012</v>
      </c>
      <c r="CFR9" s="7153"/>
      <c r="CFS9" s="7153"/>
      <c r="CFT9" s="7153"/>
      <c r="CFU9" s="7163">
        <v>0.05</v>
      </c>
      <c r="CFV9" s="7164"/>
      <c r="CFW9" s="7157">
        <f>CFU9*CFW7</f>
        <v>0</v>
      </c>
      <c r="CFX9" s="7157"/>
      <c r="CFY9" s="7157"/>
      <c r="CFZ9" s="7157"/>
      <c r="CGA9" s="7158"/>
      <c r="CGB9" s="7158"/>
      <c r="CGC9" s="7158"/>
      <c r="CGD9" s="7158"/>
      <c r="CGE9" s="7158"/>
      <c r="CGF9" s="7159"/>
      <c r="CGG9" s="7152" t="s">
        <v>1012</v>
      </c>
      <c r="CGH9" s="7153"/>
      <c r="CGI9" s="7153"/>
      <c r="CGJ9" s="7153"/>
      <c r="CGK9" s="7163">
        <v>0.05</v>
      </c>
      <c r="CGL9" s="7164"/>
      <c r="CGM9" s="7157">
        <f>CGK9*CGM7</f>
        <v>0</v>
      </c>
      <c r="CGN9" s="7157"/>
      <c r="CGO9" s="7157"/>
      <c r="CGP9" s="7157"/>
      <c r="CGQ9" s="7158"/>
      <c r="CGR9" s="7158"/>
      <c r="CGS9" s="7158"/>
      <c r="CGT9" s="7158"/>
      <c r="CGU9" s="7158"/>
      <c r="CGV9" s="7159"/>
      <c r="CGW9" s="7152" t="s">
        <v>1012</v>
      </c>
      <c r="CGX9" s="7153"/>
      <c r="CGY9" s="7153"/>
      <c r="CGZ9" s="7153"/>
      <c r="CHA9" s="7163">
        <v>0.05</v>
      </c>
      <c r="CHB9" s="7164"/>
      <c r="CHC9" s="7157">
        <f>CHA9*CHC7</f>
        <v>0</v>
      </c>
      <c r="CHD9" s="7157"/>
      <c r="CHE9" s="7157"/>
      <c r="CHF9" s="7157"/>
      <c r="CHG9" s="7158"/>
      <c r="CHH9" s="7158"/>
      <c r="CHI9" s="7158"/>
      <c r="CHJ9" s="7158"/>
      <c r="CHK9" s="7158"/>
      <c r="CHL9" s="7159"/>
      <c r="CHM9" s="7152" t="s">
        <v>1012</v>
      </c>
      <c r="CHN9" s="7153"/>
      <c r="CHO9" s="7153"/>
      <c r="CHP9" s="7153"/>
      <c r="CHQ9" s="7163">
        <v>0.05</v>
      </c>
      <c r="CHR9" s="7164"/>
      <c r="CHS9" s="7157">
        <f>CHQ9*CHS7</f>
        <v>0</v>
      </c>
      <c r="CHT9" s="7157"/>
      <c r="CHU9" s="7157"/>
      <c r="CHV9" s="7157"/>
      <c r="CHW9" s="7158"/>
      <c r="CHX9" s="7158"/>
      <c r="CHY9" s="7158"/>
      <c r="CHZ9" s="7158"/>
      <c r="CIA9" s="7158"/>
      <c r="CIB9" s="7159"/>
      <c r="CIC9" s="7152" t="s">
        <v>1012</v>
      </c>
      <c r="CID9" s="7153"/>
      <c r="CIE9" s="7153"/>
      <c r="CIF9" s="7153"/>
      <c r="CIG9" s="7163">
        <v>0.05</v>
      </c>
      <c r="CIH9" s="7164"/>
      <c r="CII9" s="7157">
        <f>CIG9*CII7</f>
        <v>0</v>
      </c>
      <c r="CIJ9" s="7157"/>
      <c r="CIK9" s="7157"/>
      <c r="CIL9" s="7157"/>
      <c r="CIM9" s="7158"/>
      <c r="CIN9" s="7158"/>
      <c r="CIO9" s="7158"/>
      <c r="CIP9" s="7158"/>
      <c r="CIQ9" s="7158"/>
      <c r="CIR9" s="7159"/>
      <c r="CIS9" s="7152" t="s">
        <v>1012</v>
      </c>
      <c r="CIT9" s="7153"/>
      <c r="CIU9" s="7153"/>
      <c r="CIV9" s="7153"/>
      <c r="CIW9" s="7163">
        <v>0.05</v>
      </c>
      <c r="CIX9" s="7164"/>
      <c r="CIY9" s="7157">
        <f>CIW9*CIY7</f>
        <v>0</v>
      </c>
      <c r="CIZ9" s="7157"/>
      <c r="CJA9" s="7157"/>
      <c r="CJB9" s="7157"/>
      <c r="CJC9" s="7158"/>
      <c r="CJD9" s="7158"/>
      <c r="CJE9" s="7158"/>
      <c r="CJF9" s="7158"/>
      <c r="CJG9" s="7158"/>
      <c r="CJH9" s="7159"/>
      <c r="CJI9" s="7152" t="s">
        <v>1012</v>
      </c>
      <c r="CJJ9" s="7153"/>
      <c r="CJK9" s="7153"/>
      <c r="CJL9" s="7153"/>
      <c r="CJM9" s="7163">
        <v>0.05</v>
      </c>
      <c r="CJN9" s="7164"/>
      <c r="CJO9" s="7157">
        <f>CJM9*CJO7</f>
        <v>0</v>
      </c>
      <c r="CJP9" s="7157"/>
      <c r="CJQ9" s="7157"/>
      <c r="CJR9" s="7157"/>
      <c r="CJS9" s="7158"/>
      <c r="CJT9" s="7158"/>
      <c r="CJU9" s="7158"/>
      <c r="CJV9" s="7158"/>
      <c r="CJW9" s="7158"/>
      <c r="CJX9" s="7159"/>
      <c r="CJY9" s="7152" t="s">
        <v>1012</v>
      </c>
      <c r="CJZ9" s="7153"/>
      <c r="CKA9" s="7153"/>
      <c r="CKB9" s="7153"/>
      <c r="CKC9" s="7163">
        <v>0.05</v>
      </c>
      <c r="CKD9" s="7164"/>
      <c r="CKE9" s="7157">
        <f>CKC9*CKE7</f>
        <v>0</v>
      </c>
      <c r="CKF9" s="7157"/>
      <c r="CKG9" s="7157"/>
      <c r="CKH9" s="7157"/>
      <c r="CKI9" s="7158"/>
      <c r="CKJ9" s="7158"/>
      <c r="CKK9" s="7158"/>
      <c r="CKL9" s="7158"/>
      <c r="CKM9" s="7158"/>
      <c r="CKN9" s="7159"/>
      <c r="CKO9" s="7152" t="s">
        <v>1012</v>
      </c>
      <c r="CKP9" s="7153"/>
      <c r="CKQ9" s="7153"/>
      <c r="CKR9" s="7153"/>
      <c r="CKS9" s="7163">
        <v>0.05</v>
      </c>
      <c r="CKT9" s="7164"/>
      <c r="CKU9" s="7157">
        <f>CKS9*CKU7</f>
        <v>0</v>
      </c>
      <c r="CKV9" s="7157"/>
      <c r="CKW9" s="7157"/>
      <c r="CKX9" s="7157"/>
      <c r="CKY9" s="7158"/>
      <c r="CKZ9" s="7158"/>
      <c r="CLA9" s="7158"/>
      <c r="CLB9" s="7158"/>
      <c r="CLC9" s="7158"/>
      <c r="CLD9" s="7159"/>
      <c r="CLE9" s="7152" t="s">
        <v>1012</v>
      </c>
      <c r="CLF9" s="7153"/>
      <c r="CLG9" s="7153"/>
      <c r="CLH9" s="7153"/>
      <c r="CLI9" s="7163">
        <v>0.05</v>
      </c>
      <c r="CLJ9" s="7164"/>
      <c r="CLK9" s="7157">
        <f>CLI9*CLK7</f>
        <v>0</v>
      </c>
      <c r="CLL9" s="7157"/>
      <c r="CLM9" s="7157"/>
      <c r="CLN9" s="7157"/>
      <c r="CLO9" s="7158"/>
      <c r="CLP9" s="7158"/>
      <c r="CLQ9" s="7158"/>
      <c r="CLR9" s="7158"/>
      <c r="CLS9" s="7158"/>
      <c r="CLT9" s="7159"/>
      <c r="CLU9" s="7152" t="s">
        <v>1012</v>
      </c>
      <c r="CLV9" s="7153"/>
      <c r="CLW9" s="7153"/>
      <c r="CLX9" s="7153"/>
      <c r="CLY9" s="7163">
        <v>0.05</v>
      </c>
      <c r="CLZ9" s="7164"/>
      <c r="CMA9" s="7157">
        <f>CLY9*CMA7</f>
        <v>0</v>
      </c>
      <c r="CMB9" s="7157"/>
      <c r="CMC9" s="7157"/>
      <c r="CMD9" s="7157"/>
      <c r="CME9" s="7158"/>
      <c r="CMF9" s="7158"/>
      <c r="CMG9" s="7158"/>
      <c r="CMH9" s="7158"/>
      <c r="CMI9" s="7158"/>
      <c r="CMJ9" s="7159"/>
      <c r="CMK9" s="7152" t="s">
        <v>1012</v>
      </c>
      <c r="CML9" s="7153"/>
      <c r="CMM9" s="7153"/>
      <c r="CMN9" s="7153"/>
      <c r="CMO9" s="7163">
        <v>0.05</v>
      </c>
      <c r="CMP9" s="7164"/>
      <c r="CMQ9" s="7157">
        <f>CMO9*CMQ7</f>
        <v>0</v>
      </c>
      <c r="CMR9" s="7157"/>
      <c r="CMS9" s="7157"/>
      <c r="CMT9" s="7157"/>
      <c r="CMU9" s="7158"/>
      <c r="CMV9" s="7158"/>
      <c r="CMW9" s="7158"/>
      <c r="CMX9" s="7158"/>
      <c r="CMY9" s="7158"/>
      <c r="CMZ9" s="7159"/>
      <c r="CNA9" s="7152" t="s">
        <v>1012</v>
      </c>
      <c r="CNB9" s="7153"/>
      <c r="CNC9" s="7153"/>
      <c r="CND9" s="7153"/>
      <c r="CNE9" s="7163">
        <v>0.05</v>
      </c>
      <c r="CNF9" s="7164"/>
      <c r="CNG9" s="7157">
        <f>CNE9*CNG7</f>
        <v>0</v>
      </c>
      <c r="CNH9" s="7157"/>
      <c r="CNI9" s="7157"/>
      <c r="CNJ9" s="7157"/>
      <c r="CNK9" s="7158"/>
      <c r="CNL9" s="7158"/>
      <c r="CNM9" s="7158"/>
      <c r="CNN9" s="7158"/>
      <c r="CNO9" s="7158"/>
      <c r="CNP9" s="7159"/>
      <c r="CNQ9" s="7152" t="s">
        <v>1012</v>
      </c>
      <c r="CNR9" s="7153"/>
      <c r="CNS9" s="7153"/>
      <c r="CNT9" s="7153"/>
      <c r="CNU9" s="7163">
        <v>0.05</v>
      </c>
      <c r="CNV9" s="7164"/>
      <c r="CNW9" s="7157">
        <f>CNU9*CNW7</f>
        <v>0</v>
      </c>
      <c r="CNX9" s="7157"/>
      <c r="CNY9" s="7157"/>
      <c r="CNZ9" s="7157"/>
      <c r="COA9" s="7158"/>
      <c r="COB9" s="7158"/>
      <c r="COC9" s="7158"/>
      <c r="COD9" s="7158"/>
      <c r="COE9" s="7158"/>
      <c r="COF9" s="7159"/>
      <c r="COG9" s="7152" t="s">
        <v>1012</v>
      </c>
      <c r="COH9" s="7153"/>
      <c r="COI9" s="7153"/>
      <c r="COJ9" s="7153"/>
      <c r="COK9" s="7163">
        <v>0.05</v>
      </c>
      <c r="COL9" s="7164"/>
      <c r="COM9" s="7157">
        <f>COK9*COM7</f>
        <v>0</v>
      </c>
      <c r="CON9" s="7157"/>
      <c r="COO9" s="7157"/>
      <c r="COP9" s="7157"/>
      <c r="COQ9" s="7158"/>
      <c r="COR9" s="7158"/>
      <c r="COS9" s="7158"/>
      <c r="COT9" s="7158"/>
      <c r="COU9" s="7158"/>
      <c r="COV9" s="7159"/>
      <c r="COW9" s="7152" t="s">
        <v>1012</v>
      </c>
      <c r="COX9" s="7153"/>
      <c r="COY9" s="7153"/>
      <c r="COZ9" s="7153"/>
      <c r="CPA9" s="7163">
        <v>0.05</v>
      </c>
      <c r="CPB9" s="7164"/>
      <c r="CPC9" s="7157">
        <f>CPA9*CPC7</f>
        <v>0</v>
      </c>
      <c r="CPD9" s="7157"/>
      <c r="CPE9" s="7157"/>
      <c r="CPF9" s="7157"/>
      <c r="CPG9" s="7158"/>
      <c r="CPH9" s="7158"/>
      <c r="CPI9" s="7158"/>
      <c r="CPJ9" s="7158"/>
      <c r="CPK9" s="7158"/>
      <c r="CPL9" s="7159"/>
      <c r="CPM9" s="7152" t="s">
        <v>1012</v>
      </c>
      <c r="CPN9" s="7153"/>
      <c r="CPO9" s="7153"/>
      <c r="CPP9" s="7153"/>
      <c r="CPQ9" s="7163">
        <v>0.05</v>
      </c>
      <c r="CPR9" s="7164"/>
      <c r="CPS9" s="7157">
        <f>CPQ9*CPS7</f>
        <v>0</v>
      </c>
      <c r="CPT9" s="7157"/>
      <c r="CPU9" s="7157"/>
      <c r="CPV9" s="7157"/>
      <c r="CPW9" s="7158"/>
      <c r="CPX9" s="7158"/>
      <c r="CPY9" s="7158"/>
      <c r="CPZ9" s="7158"/>
      <c r="CQA9" s="7158"/>
      <c r="CQB9" s="7159"/>
      <c r="CQC9" s="7152" t="s">
        <v>1012</v>
      </c>
      <c r="CQD9" s="7153"/>
      <c r="CQE9" s="7153"/>
      <c r="CQF9" s="7153"/>
      <c r="CQG9" s="7163">
        <v>0.05</v>
      </c>
      <c r="CQH9" s="7164"/>
      <c r="CQI9" s="7157">
        <f>CQG9*CQI7</f>
        <v>0</v>
      </c>
      <c r="CQJ9" s="7157"/>
      <c r="CQK9" s="7157"/>
      <c r="CQL9" s="7157"/>
      <c r="CQM9" s="7158"/>
      <c r="CQN9" s="7158"/>
      <c r="CQO9" s="7158"/>
      <c r="CQP9" s="7158"/>
      <c r="CQQ9" s="7158"/>
      <c r="CQR9" s="7159"/>
      <c r="CQS9" s="7152" t="s">
        <v>1012</v>
      </c>
      <c r="CQT9" s="7153"/>
      <c r="CQU9" s="7153"/>
      <c r="CQV9" s="7153"/>
      <c r="CQW9" s="7163">
        <v>0.05</v>
      </c>
      <c r="CQX9" s="7164"/>
      <c r="CQY9" s="7157">
        <f>CQW9*CQY7</f>
        <v>0</v>
      </c>
      <c r="CQZ9" s="7157"/>
      <c r="CRA9" s="7157"/>
      <c r="CRB9" s="7157"/>
      <c r="CRC9" s="7158"/>
      <c r="CRD9" s="7158"/>
      <c r="CRE9" s="7158"/>
      <c r="CRF9" s="7158"/>
      <c r="CRG9" s="7158"/>
      <c r="CRH9" s="7159"/>
      <c r="CRI9" s="7152" t="s">
        <v>1012</v>
      </c>
      <c r="CRJ9" s="7153"/>
      <c r="CRK9" s="7153"/>
      <c r="CRL9" s="7153"/>
      <c r="CRM9" s="7163">
        <v>0.05</v>
      </c>
      <c r="CRN9" s="7164"/>
      <c r="CRO9" s="7157">
        <f>CRM9*CRO7</f>
        <v>0</v>
      </c>
      <c r="CRP9" s="7157"/>
      <c r="CRQ9" s="7157"/>
      <c r="CRR9" s="7157"/>
      <c r="CRS9" s="7158"/>
      <c r="CRT9" s="7158"/>
      <c r="CRU9" s="7158"/>
      <c r="CRV9" s="7158"/>
      <c r="CRW9" s="7158"/>
      <c r="CRX9" s="7159"/>
      <c r="CRY9" s="7152" t="s">
        <v>1012</v>
      </c>
      <c r="CRZ9" s="7153"/>
      <c r="CSA9" s="7153"/>
      <c r="CSB9" s="7153"/>
      <c r="CSC9" s="7163">
        <v>0.05</v>
      </c>
      <c r="CSD9" s="7164"/>
      <c r="CSE9" s="7157">
        <f>CSC9*CSE7</f>
        <v>0</v>
      </c>
      <c r="CSF9" s="7157"/>
      <c r="CSG9" s="7157"/>
      <c r="CSH9" s="7157"/>
      <c r="CSI9" s="7158"/>
      <c r="CSJ9" s="7158"/>
      <c r="CSK9" s="7158"/>
      <c r="CSL9" s="7158"/>
      <c r="CSM9" s="7158"/>
      <c r="CSN9" s="7159"/>
      <c r="CSO9" s="7152" t="s">
        <v>1012</v>
      </c>
      <c r="CSP9" s="7153"/>
      <c r="CSQ9" s="7153"/>
      <c r="CSR9" s="7153"/>
      <c r="CSS9" s="7163">
        <v>0.05</v>
      </c>
      <c r="CST9" s="7164"/>
      <c r="CSU9" s="7157">
        <f>CSS9*CSU7</f>
        <v>0</v>
      </c>
      <c r="CSV9" s="7157"/>
      <c r="CSW9" s="7157"/>
      <c r="CSX9" s="7157"/>
      <c r="CSY9" s="7158"/>
      <c r="CSZ9" s="7158"/>
      <c r="CTA9" s="7158"/>
      <c r="CTB9" s="7158"/>
      <c r="CTC9" s="7158"/>
      <c r="CTD9" s="7159"/>
      <c r="CTE9" s="7152" t="s">
        <v>1012</v>
      </c>
      <c r="CTF9" s="7153"/>
      <c r="CTG9" s="7153"/>
      <c r="CTH9" s="7153"/>
      <c r="CTI9" s="7163">
        <v>0.05</v>
      </c>
      <c r="CTJ9" s="7164"/>
      <c r="CTK9" s="7157">
        <f>CTI9*CTK7</f>
        <v>0</v>
      </c>
      <c r="CTL9" s="7157"/>
      <c r="CTM9" s="7157"/>
      <c r="CTN9" s="7157"/>
      <c r="CTO9" s="7158"/>
      <c r="CTP9" s="7158"/>
      <c r="CTQ9" s="7158"/>
      <c r="CTR9" s="7158"/>
      <c r="CTS9" s="7158"/>
      <c r="CTT9" s="7159"/>
      <c r="CTU9" s="7152" t="s">
        <v>1012</v>
      </c>
      <c r="CTV9" s="7153"/>
      <c r="CTW9" s="7153"/>
      <c r="CTX9" s="7153"/>
      <c r="CTY9" s="7163">
        <v>0.05</v>
      </c>
      <c r="CTZ9" s="7164"/>
      <c r="CUA9" s="7157">
        <f>CTY9*CUA7</f>
        <v>0</v>
      </c>
      <c r="CUB9" s="7157"/>
      <c r="CUC9" s="7157"/>
      <c r="CUD9" s="7157"/>
      <c r="CUE9" s="7158"/>
      <c r="CUF9" s="7158"/>
      <c r="CUG9" s="7158"/>
      <c r="CUH9" s="7158"/>
      <c r="CUI9" s="7158"/>
      <c r="CUJ9" s="7159"/>
      <c r="CUK9" s="7152" t="s">
        <v>1012</v>
      </c>
      <c r="CUL9" s="7153"/>
      <c r="CUM9" s="7153"/>
      <c r="CUN9" s="7153"/>
      <c r="CUO9" s="7163">
        <v>0.05</v>
      </c>
      <c r="CUP9" s="7164"/>
      <c r="CUQ9" s="7157">
        <f>CUO9*CUQ7</f>
        <v>0</v>
      </c>
      <c r="CUR9" s="7157"/>
      <c r="CUS9" s="7157"/>
      <c r="CUT9" s="7157"/>
      <c r="CUU9" s="7158"/>
      <c r="CUV9" s="7158"/>
      <c r="CUW9" s="7158"/>
      <c r="CUX9" s="7158"/>
      <c r="CUY9" s="7158"/>
      <c r="CUZ9" s="7159"/>
      <c r="CVA9" s="7152" t="s">
        <v>1012</v>
      </c>
      <c r="CVB9" s="7153"/>
      <c r="CVC9" s="7153"/>
      <c r="CVD9" s="7153"/>
      <c r="CVE9" s="7163">
        <v>0.05</v>
      </c>
      <c r="CVF9" s="7164"/>
      <c r="CVG9" s="7157">
        <f>CVE9*CVG7</f>
        <v>0</v>
      </c>
      <c r="CVH9" s="7157"/>
      <c r="CVI9" s="7157"/>
      <c r="CVJ9" s="7157"/>
      <c r="CVK9" s="7158"/>
      <c r="CVL9" s="7158"/>
      <c r="CVM9" s="7158"/>
      <c r="CVN9" s="7158"/>
      <c r="CVO9" s="7158"/>
      <c r="CVP9" s="7159"/>
      <c r="CVQ9" s="7152" t="s">
        <v>1012</v>
      </c>
      <c r="CVR9" s="7153"/>
      <c r="CVS9" s="7153"/>
      <c r="CVT9" s="7153"/>
      <c r="CVU9" s="7163">
        <v>0.05</v>
      </c>
      <c r="CVV9" s="7164"/>
      <c r="CVW9" s="7157">
        <f>CVU9*CVW7</f>
        <v>0</v>
      </c>
      <c r="CVX9" s="7157"/>
      <c r="CVY9" s="7157"/>
      <c r="CVZ9" s="7157"/>
      <c r="CWA9" s="7158"/>
      <c r="CWB9" s="7158"/>
      <c r="CWC9" s="7158"/>
      <c r="CWD9" s="7158"/>
      <c r="CWE9" s="7158"/>
      <c r="CWF9" s="7159"/>
      <c r="CWG9" s="7152" t="s">
        <v>1012</v>
      </c>
      <c r="CWH9" s="7153"/>
      <c r="CWI9" s="7153"/>
      <c r="CWJ9" s="7153"/>
      <c r="CWK9" s="7163">
        <v>0.05</v>
      </c>
      <c r="CWL9" s="7164"/>
      <c r="CWM9" s="7157">
        <f>CWK9*CWM7</f>
        <v>0</v>
      </c>
      <c r="CWN9" s="7157"/>
      <c r="CWO9" s="7157"/>
      <c r="CWP9" s="7157"/>
      <c r="CWQ9" s="7158"/>
      <c r="CWR9" s="7158"/>
      <c r="CWS9" s="7158"/>
      <c r="CWT9" s="7158"/>
      <c r="CWU9" s="7158"/>
      <c r="CWV9" s="7159"/>
      <c r="CWW9" s="7152" t="s">
        <v>1012</v>
      </c>
      <c r="CWX9" s="7153"/>
      <c r="CWY9" s="7153"/>
      <c r="CWZ9" s="7153"/>
      <c r="CXA9" s="7163">
        <v>0.05</v>
      </c>
      <c r="CXB9" s="7164"/>
      <c r="CXC9" s="7157">
        <f>CXA9*CXC7</f>
        <v>0</v>
      </c>
      <c r="CXD9" s="7157"/>
      <c r="CXE9" s="7157"/>
      <c r="CXF9" s="7157"/>
      <c r="CXG9" s="7158"/>
      <c r="CXH9" s="7158"/>
      <c r="CXI9" s="7158"/>
      <c r="CXJ9" s="7158"/>
      <c r="CXK9" s="7158"/>
      <c r="CXL9" s="7159"/>
      <c r="CXM9" s="7152" t="s">
        <v>1012</v>
      </c>
      <c r="CXN9" s="7153"/>
      <c r="CXO9" s="7153"/>
      <c r="CXP9" s="7153"/>
      <c r="CXQ9" s="7163">
        <v>0.05</v>
      </c>
      <c r="CXR9" s="7164"/>
      <c r="CXS9" s="7157">
        <f>CXQ9*CXS7</f>
        <v>0</v>
      </c>
      <c r="CXT9" s="7157"/>
      <c r="CXU9" s="7157"/>
      <c r="CXV9" s="7157"/>
      <c r="CXW9" s="7158"/>
      <c r="CXX9" s="7158"/>
      <c r="CXY9" s="7158"/>
      <c r="CXZ9" s="7158"/>
      <c r="CYA9" s="7158"/>
      <c r="CYB9" s="7159"/>
      <c r="CYC9" s="7152" t="s">
        <v>1012</v>
      </c>
      <c r="CYD9" s="7153"/>
      <c r="CYE9" s="7153"/>
      <c r="CYF9" s="7153"/>
      <c r="CYG9" s="7163">
        <v>0.05</v>
      </c>
      <c r="CYH9" s="7164"/>
      <c r="CYI9" s="7157">
        <f>CYG9*CYI7</f>
        <v>0</v>
      </c>
      <c r="CYJ9" s="7157"/>
      <c r="CYK9" s="7157"/>
      <c r="CYL9" s="7157"/>
      <c r="CYM9" s="7158"/>
      <c r="CYN9" s="7158"/>
      <c r="CYO9" s="7158"/>
      <c r="CYP9" s="7158"/>
      <c r="CYQ9" s="7158"/>
      <c r="CYR9" s="7159"/>
      <c r="CYS9" s="7152" t="s">
        <v>1012</v>
      </c>
      <c r="CYT9" s="7153"/>
      <c r="CYU9" s="7153"/>
      <c r="CYV9" s="7153"/>
      <c r="CYW9" s="7163">
        <v>0.05</v>
      </c>
      <c r="CYX9" s="7164"/>
      <c r="CYY9" s="7157">
        <f>CYW9*CYY7</f>
        <v>0</v>
      </c>
      <c r="CYZ9" s="7157"/>
      <c r="CZA9" s="7157"/>
      <c r="CZB9" s="7157"/>
      <c r="CZC9" s="7158"/>
      <c r="CZD9" s="7158"/>
      <c r="CZE9" s="7158"/>
      <c r="CZF9" s="7158"/>
      <c r="CZG9" s="7158"/>
      <c r="CZH9" s="7159"/>
      <c r="CZI9" s="7152" t="s">
        <v>1012</v>
      </c>
      <c r="CZJ9" s="7153"/>
      <c r="CZK9" s="7153"/>
      <c r="CZL9" s="7153"/>
      <c r="CZM9" s="7163">
        <v>0.05</v>
      </c>
      <c r="CZN9" s="7164"/>
      <c r="CZO9" s="7157">
        <f>CZM9*CZO7</f>
        <v>0</v>
      </c>
      <c r="CZP9" s="7157"/>
      <c r="CZQ9" s="7157"/>
      <c r="CZR9" s="7157"/>
      <c r="CZS9" s="7158"/>
      <c r="CZT9" s="7158"/>
      <c r="CZU9" s="7158"/>
      <c r="CZV9" s="7158"/>
      <c r="CZW9" s="7158"/>
      <c r="CZX9" s="7159"/>
      <c r="CZY9" s="7152" t="s">
        <v>1012</v>
      </c>
      <c r="CZZ9" s="7153"/>
      <c r="DAA9" s="7153"/>
      <c r="DAB9" s="7153"/>
      <c r="DAC9" s="7163">
        <v>0.05</v>
      </c>
      <c r="DAD9" s="7164"/>
      <c r="DAE9" s="7157">
        <f>DAC9*DAE7</f>
        <v>0</v>
      </c>
      <c r="DAF9" s="7157"/>
      <c r="DAG9" s="7157"/>
      <c r="DAH9" s="7157"/>
      <c r="DAI9" s="7158"/>
      <c r="DAJ9" s="7158"/>
      <c r="DAK9" s="7158"/>
      <c r="DAL9" s="7158"/>
      <c r="DAM9" s="7158"/>
      <c r="DAN9" s="7159"/>
      <c r="DAO9" s="7152" t="s">
        <v>1012</v>
      </c>
      <c r="DAP9" s="7153"/>
      <c r="DAQ9" s="7153"/>
      <c r="DAR9" s="7153"/>
      <c r="DAS9" s="7163">
        <v>0.05</v>
      </c>
      <c r="DAT9" s="7164"/>
      <c r="DAU9" s="7157">
        <f>DAS9*DAU7</f>
        <v>0</v>
      </c>
      <c r="DAV9" s="7157"/>
      <c r="DAW9" s="7157"/>
      <c r="DAX9" s="7157"/>
      <c r="DAY9" s="7158"/>
      <c r="DAZ9" s="7158"/>
      <c r="DBA9" s="7158"/>
      <c r="DBB9" s="7158"/>
      <c r="DBC9" s="7158"/>
      <c r="DBD9" s="7159"/>
      <c r="DBE9" s="7152" t="s">
        <v>1012</v>
      </c>
      <c r="DBF9" s="7153"/>
      <c r="DBG9" s="7153"/>
      <c r="DBH9" s="7153"/>
      <c r="DBI9" s="7163">
        <v>0.05</v>
      </c>
      <c r="DBJ9" s="7164"/>
      <c r="DBK9" s="7157">
        <f>DBI9*DBK7</f>
        <v>0</v>
      </c>
      <c r="DBL9" s="7157"/>
      <c r="DBM9" s="7157"/>
      <c r="DBN9" s="7157"/>
      <c r="DBO9" s="7158"/>
      <c r="DBP9" s="7158"/>
      <c r="DBQ9" s="7158"/>
      <c r="DBR9" s="7158"/>
      <c r="DBS9" s="7158"/>
      <c r="DBT9" s="7159"/>
      <c r="DBU9" s="7152" t="s">
        <v>1012</v>
      </c>
      <c r="DBV9" s="7153"/>
      <c r="DBW9" s="7153"/>
      <c r="DBX9" s="7153"/>
      <c r="DBY9" s="7163">
        <v>0.05</v>
      </c>
      <c r="DBZ9" s="7164"/>
      <c r="DCA9" s="7157">
        <f>DBY9*DCA7</f>
        <v>0</v>
      </c>
      <c r="DCB9" s="7157"/>
      <c r="DCC9" s="7157"/>
      <c r="DCD9" s="7157"/>
      <c r="DCE9" s="7158"/>
      <c r="DCF9" s="7158"/>
      <c r="DCG9" s="7158"/>
      <c r="DCH9" s="7158"/>
      <c r="DCI9" s="7158"/>
      <c r="DCJ9" s="7159"/>
      <c r="DCK9" s="7152" t="s">
        <v>1012</v>
      </c>
      <c r="DCL9" s="7153"/>
      <c r="DCM9" s="7153"/>
      <c r="DCN9" s="7153"/>
      <c r="DCO9" s="7163">
        <v>0.05</v>
      </c>
      <c r="DCP9" s="7164"/>
      <c r="DCQ9" s="7157">
        <f>DCO9*DCQ7</f>
        <v>0</v>
      </c>
      <c r="DCR9" s="7157"/>
      <c r="DCS9" s="7157"/>
      <c r="DCT9" s="7157"/>
      <c r="DCU9" s="7158"/>
      <c r="DCV9" s="7158"/>
      <c r="DCW9" s="7158"/>
      <c r="DCX9" s="7158"/>
      <c r="DCY9" s="7158"/>
      <c r="DCZ9" s="7159"/>
      <c r="DDA9" s="7152" t="s">
        <v>1012</v>
      </c>
      <c r="DDB9" s="7153"/>
      <c r="DDC9" s="7153"/>
      <c r="DDD9" s="7153"/>
      <c r="DDE9" s="7163">
        <v>0.05</v>
      </c>
      <c r="DDF9" s="7164"/>
      <c r="DDG9" s="7157">
        <f>DDE9*DDG7</f>
        <v>0</v>
      </c>
      <c r="DDH9" s="7157"/>
      <c r="DDI9" s="7157"/>
      <c r="DDJ9" s="7157"/>
      <c r="DDK9" s="7158"/>
      <c r="DDL9" s="7158"/>
      <c r="DDM9" s="7158"/>
      <c r="DDN9" s="7158"/>
      <c r="DDO9" s="7158"/>
      <c r="DDP9" s="7159"/>
      <c r="DDQ9" s="7152" t="s">
        <v>1012</v>
      </c>
      <c r="DDR9" s="7153"/>
      <c r="DDS9" s="7153"/>
      <c r="DDT9" s="7153"/>
      <c r="DDU9" s="7163">
        <v>0.05</v>
      </c>
      <c r="DDV9" s="7164"/>
      <c r="DDW9" s="7157">
        <f>DDU9*DDW7</f>
        <v>0</v>
      </c>
      <c r="DDX9" s="7157"/>
      <c r="DDY9" s="7157"/>
      <c r="DDZ9" s="7157"/>
      <c r="DEA9" s="7158"/>
      <c r="DEB9" s="7158"/>
      <c r="DEC9" s="7158"/>
      <c r="DED9" s="7158"/>
      <c r="DEE9" s="7158"/>
      <c r="DEF9" s="7159"/>
      <c r="DEG9" s="7152" t="s">
        <v>1012</v>
      </c>
      <c r="DEH9" s="7153"/>
      <c r="DEI9" s="7153"/>
      <c r="DEJ9" s="7153"/>
      <c r="DEK9" s="7163">
        <v>0.05</v>
      </c>
      <c r="DEL9" s="7164"/>
      <c r="DEM9" s="7157">
        <f>DEK9*DEM7</f>
        <v>0</v>
      </c>
      <c r="DEN9" s="7157"/>
      <c r="DEO9" s="7157"/>
      <c r="DEP9" s="7157"/>
      <c r="DEQ9" s="7158"/>
      <c r="DER9" s="7158"/>
      <c r="DES9" s="7158"/>
      <c r="DET9" s="7158"/>
      <c r="DEU9" s="7158"/>
      <c r="DEV9" s="7159"/>
      <c r="DEW9" s="7152" t="s">
        <v>1012</v>
      </c>
      <c r="DEX9" s="7153"/>
      <c r="DEY9" s="7153"/>
      <c r="DEZ9" s="7153"/>
      <c r="DFA9" s="7163">
        <v>0.05</v>
      </c>
      <c r="DFB9" s="7164"/>
      <c r="DFC9" s="7157">
        <f>DFA9*DFC7</f>
        <v>0</v>
      </c>
      <c r="DFD9" s="7157"/>
      <c r="DFE9" s="7157"/>
      <c r="DFF9" s="7157"/>
      <c r="DFG9" s="7158"/>
      <c r="DFH9" s="7158"/>
      <c r="DFI9" s="7158"/>
      <c r="DFJ9" s="7158"/>
      <c r="DFK9" s="7158"/>
      <c r="DFL9" s="7159"/>
      <c r="DFM9" s="7152" t="s">
        <v>1012</v>
      </c>
      <c r="DFN9" s="7153"/>
      <c r="DFO9" s="7153"/>
      <c r="DFP9" s="7153"/>
      <c r="DFQ9" s="7163">
        <v>0.05</v>
      </c>
      <c r="DFR9" s="7164"/>
      <c r="DFS9" s="7157">
        <f>DFQ9*DFS7</f>
        <v>0</v>
      </c>
      <c r="DFT9" s="7157"/>
      <c r="DFU9" s="7157"/>
      <c r="DFV9" s="7157"/>
      <c r="DFW9" s="7158"/>
      <c r="DFX9" s="7158"/>
      <c r="DFY9" s="7158"/>
      <c r="DFZ9" s="7158"/>
      <c r="DGA9" s="7158"/>
      <c r="DGB9" s="7159"/>
      <c r="DGC9" s="7152" t="s">
        <v>1012</v>
      </c>
      <c r="DGD9" s="7153"/>
      <c r="DGE9" s="7153"/>
      <c r="DGF9" s="7153"/>
      <c r="DGG9" s="7163">
        <v>0.05</v>
      </c>
      <c r="DGH9" s="7164"/>
      <c r="DGI9" s="7157">
        <f>DGG9*DGI7</f>
        <v>0</v>
      </c>
      <c r="DGJ9" s="7157"/>
      <c r="DGK9" s="7157"/>
      <c r="DGL9" s="7157"/>
      <c r="DGM9" s="7158"/>
      <c r="DGN9" s="7158"/>
      <c r="DGO9" s="7158"/>
      <c r="DGP9" s="7158"/>
      <c r="DGQ9" s="7158"/>
      <c r="DGR9" s="7159"/>
      <c r="DGS9" s="7152" t="s">
        <v>1012</v>
      </c>
      <c r="DGT9" s="7153"/>
      <c r="DGU9" s="7153"/>
      <c r="DGV9" s="7153"/>
      <c r="DGW9" s="7163">
        <v>0.05</v>
      </c>
      <c r="DGX9" s="7164"/>
      <c r="DGY9" s="7157">
        <f>DGW9*DGY7</f>
        <v>0</v>
      </c>
      <c r="DGZ9" s="7157"/>
      <c r="DHA9" s="7157"/>
      <c r="DHB9" s="7157"/>
      <c r="DHC9" s="7158"/>
      <c r="DHD9" s="7158"/>
      <c r="DHE9" s="7158"/>
      <c r="DHF9" s="7158"/>
      <c r="DHG9" s="7158"/>
      <c r="DHH9" s="7159"/>
      <c r="DHI9" s="7152" t="s">
        <v>1012</v>
      </c>
      <c r="DHJ9" s="7153"/>
      <c r="DHK9" s="7153"/>
      <c r="DHL9" s="7153"/>
      <c r="DHM9" s="7163">
        <v>0.05</v>
      </c>
      <c r="DHN9" s="7164"/>
      <c r="DHO9" s="7157">
        <f>DHM9*DHO7</f>
        <v>0</v>
      </c>
      <c r="DHP9" s="7157"/>
      <c r="DHQ9" s="7157"/>
      <c r="DHR9" s="7157"/>
      <c r="DHS9" s="7158"/>
      <c r="DHT9" s="7158"/>
      <c r="DHU9" s="7158"/>
      <c r="DHV9" s="7158"/>
      <c r="DHW9" s="7158"/>
      <c r="DHX9" s="7159"/>
      <c r="DHY9" s="7152" t="s">
        <v>1012</v>
      </c>
      <c r="DHZ9" s="7153"/>
      <c r="DIA9" s="7153"/>
      <c r="DIB9" s="7153"/>
      <c r="DIC9" s="7163">
        <v>0.05</v>
      </c>
      <c r="DID9" s="7164"/>
      <c r="DIE9" s="7157">
        <f>DIC9*DIE7</f>
        <v>0</v>
      </c>
      <c r="DIF9" s="7157"/>
      <c r="DIG9" s="7157"/>
      <c r="DIH9" s="7157"/>
      <c r="DII9" s="7158"/>
      <c r="DIJ9" s="7158"/>
      <c r="DIK9" s="7158"/>
      <c r="DIL9" s="7158"/>
      <c r="DIM9" s="7158"/>
      <c r="DIN9" s="7159"/>
      <c r="DIO9" s="7152" t="s">
        <v>1012</v>
      </c>
      <c r="DIP9" s="7153"/>
      <c r="DIQ9" s="7153"/>
      <c r="DIR9" s="7153"/>
      <c r="DIS9" s="7163">
        <v>0.05</v>
      </c>
      <c r="DIT9" s="7164"/>
      <c r="DIU9" s="7157">
        <f>DIS9*DIU7</f>
        <v>0</v>
      </c>
      <c r="DIV9" s="7157"/>
      <c r="DIW9" s="7157"/>
      <c r="DIX9" s="7157"/>
      <c r="DIY9" s="7158"/>
      <c r="DIZ9" s="7158"/>
      <c r="DJA9" s="7158"/>
      <c r="DJB9" s="7158"/>
      <c r="DJC9" s="7158"/>
      <c r="DJD9" s="7159"/>
      <c r="DJE9" s="7152" t="s">
        <v>1012</v>
      </c>
      <c r="DJF9" s="7153"/>
      <c r="DJG9" s="7153"/>
      <c r="DJH9" s="7153"/>
      <c r="DJI9" s="7163">
        <v>0.05</v>
      </c>
      <c r="DJJ9" s="7164"/>
      <c r="DJK9" s="7157">
        <f>DJI9*DJK7</f>
        <v>0</v>
      </c>
      <c r="DJL9" s="7157"/>
      <c r="DJM9" s="7157"/>
      <c r="DJN9" s="7157"/>
      <c r="DJO9" s="7158"/>
      <c r="DJP9" s="7158"/>
      <c r="DJQ9" s="7158"/>
      <c r="DJR9" s="7158"/>
      <c r="DJS9" s="7158"/>
      <c r="DJT9" s="7159"/>
      <c r="DJU9" s="7152" t="s">
        <v>1012</v>
      </c>
      <c r="DJV9" s="7153"/>
      <c r="DJW9" s="7153"/>
      <c r="DJX9" s="7153"/>
      <c r="DJY9" s="7163">
        <v>0.05</v>
      </c>
      <c r="DJZ9" s="7164"/>
      <c r="DKA9" s="7157">
        <f>DJY9*DKA7</f>
        <v>0</v>
      </c>
      <c r="DKB9" s="7157"/>
      <c r="DKC9" s="7157"/>
      <c r="DKD9" s="7157"/>
      <c r="DKE9" s="7158"/>
      <c r="DKF9" s="7158"/>
      <c r="DKG9" s="7158"/>
      <c r="DKH9" s="7158"/>
      <c r="DKI9" s="7158"/>
      <c r="DKJ9" s="7159"/>
      <c r="DKK9" s="7152" t="s">
        <v>1012</v>
      </c>
      <c r="DKL9" s="7153"/>
      <c r="DKM9" s="7153"/>
      <c r="DKN9" s="7153"/>
      <c r="DKO9" s="7163">
        <v>0.05</v>
      </c>
      <c r="DKP9" s="7164"/>
      <c r="DKQ9" s="7157">
        <f>DKO9*DKQ7</f>
        <v>0</v>
      </c>
      <c r="DKR9" s="7157"/>
      <c r="DKS9" s="7157"/>
      <c r="DKT9" s="7157"/>
      <c r="DKU9" s="7158"/>
      <c r="DKV9" s="7158"/>
      <c r="DKW9" s="7158"/>
      <c r="DKX9" s="7158"/>
      <c r="DKY9" s="7158"/>
      <c r="DKZ9" s="7159"/>
      <c r="DLA9" s="7152" t="s">
        <v>1012</v>
      </c>
      <c r="DLB9" s="7153"/>
      <c r="DLC9" s="7153"/>
      <c r="DLD9" s="7153"/>
      <c r="DLE9" s="7163">
        <v>0.05</v>
      </c>
      <c r="DLF9" s="7164"/>
      <c r="DLG9" s="7157">
        <f>DLE9*DLG7</f>
        <v>0</v>
      </c>
      <c r="DLH9" s="7157"/>
      <c r="DLI9" s="7157"/>
      <c r="DLJ9" s="7157"/>
      <c r="DLK9" s="7158"/>
      <c r="DLL9" s="7158"/>
      <c r="DLM9" s="7158"/>
      <c r="DLN9" s="7158"/>
      <c r="DLO9" s="7158"/>
      <c r="DLP9" s="7159"/>
      <c r="DLQ9" s="7152" t="s">
        <v>1012</v>
      </c>
      <c r="DLR9" s="7153"/>
      <c r="DLS9" s="7153"/>
      <c r="DLT9" s="7153"/>
      <c r="DLU9" s="7163">
        <v>0.05</v>
      </c>
      <c r="DLV9" s="7164"/>
      <c r="DLW9" s="7157">
        <f>DLU9*DLW7</f>
        <v>0</v>
      </c>
      <c r="DLX9" s="7157"/>
      <c r="DLY9" s="7157"/>
      <c r="DLZ9" s="7157"/>
      <c r="DMA9" s="7158"/>
      <c r="DMB9" s="7158"/>
      <c r="DMC9" s="7158"/>
      <c r="DMD9" s="7158"/>
      <c r="DME9" s="7158"/>
      <c r="DMF9" s="7159"/>
      <c r="DMG9" s="7152" t="s">
        <v>1012</v>
      </c>
      <c r="DMH9" s="7153"/>
      <c r="DMI9" s="7153"/>
      <c r="DMJ9" s="7153"/>
      <c r="DMK9" s="7163">
        <v>0.05</v>
      </c>
      <c r="DML9" s="7164"/>
      <c r="DMM9" s="7157">
        <f>DMK9*DMM7</f>
        <v>0</v>
      </c>
      <c r="DMN9" s="7157"/>
      <c r="DMO9" s="7157"/>
      <c r="DMP9" s="7157"/>
      <c r="DMQ9" s="7158"/>
      <c r="DMR9" s="7158"/>
      <c r="DMS9" s="7158"/>
      <c r="DMT9" s="7158"/>
      <c r="DMU9" s="7158"/>
      <c r="DMV9" s="7159"/>
      <c r="DMW9" s="7152" t="s">
        <v>1012</v>
      </c>
      <c r="DMX9" s="7153"/>
      <c r="DMY9" s="7153"/>
      <c r="DMZ9" s="7153"/>
      <c r="DNA9" s="7163">
        <v>0.05</v>
      </c>
      <c r="DNB9" s="7164"/>
      <c r="DNC9" s="7157">
        <f>DNA9*DNC7</f>
        <v>0</v>
      </c>
      <c r="DND9" s="7157"/>
      <c r="DNE9" s="7157"/>
      <c r="DNF9" s="7157"/>
      <c r="DNG9" s="7158"/>
      <c r="DNH9" s="7158"/>
      <c r="DNI9" s="7158"/>
      <c r="DNJ9" s="7158"/>
      <c r="DNK9" s="7158"/>
      <c r="DNL9" s="7159"/>
      <c r="DNM9" s="7152" t="s">
        <v>1012</v>
      </c>
      <c r="DNN9" s="7153"/>
      <c r="DNO9" s="7153"/>
      <c r="DNP9" s="7153"/>
      <c r="DNQ9" s="7163">
        <v>0.05</v>
      </c>
      <c r="DNR9" s="7164"/>
      <c r="DNS9" s="7157">
        <f>DNQ9*DNS7</f>
        <v>0</v>
      </c>
      <c r="DNT9" s="7157"/>
      <c r="DNU9" s="7157"/>
      <c r="DNV9" s="7157"/>
      <c r="DNW9" s="7158"/>
      <c r="DNX9" s="7158"/>
      <c r="DNY9" s="7158"/>
      <c r="DNZ9" s="7158"/>
      <c r="DOA9" s="7158"/>
      <c r="DOB9" s="7159"/>
      <c r="DOC9" s="7152" t="s">
        <v>1012</v>
      </c>
      <c r="DOD9" s="7153"/>
      <c r="DOE9" s="7153"/>
      <c r="DOF9" s="7153"/>
      <c r="DOG9" s="7163">
        <v>0.05</v>
      </c>
      <c r="DOH9" s="7164"/>
      <c r="DOI9" s="7157">
        <f>DOG9*DOI7</f>
        <v>0</v>
      </c>
      <c r="DOJ9" s="7157"/>
      <c r="DOK9" s="7157"/>
      <c r="DOL9" s="7157"/>
      <c r="DOM9" s="7158"/>
      <c r="DON9" s="7158"/>
      <c r="DOO9" s="7158"/>
      <c r="DOP9" s="7158"/>
      <c r="DOQ9" s="7158"/>
      <c r="DOR9" s="7159"/>
      <c r="DOS9" s="7152" t="s">
        <v>1012</v>
      </c>
      <c r="DOT9" s="7153"/>
      <c r="DOU9" s="7153"/>
      <c r="DOV9" s="7153"/>
      <c r="DOW9" s="7163">
        <v>0.05</v>
      </c>
      <c r="DOX9" s="7164"/>
      <c r="DOY9" s="7157">
        <f>DOW9*DOY7</f>
        <v>0</v>
      </c>
      <c r="DOZ9" s="7157"/>
      <c r="DPA9" s="7157"/>
      <c r="DPB9" s="7157"/>
      <c r="DPC9" s="7158"/>
      <c r="DPD9" s="7158"/>
      <c r="DPE9" s="7158"/>
      <c r="DPF9" s="7158"/>
      <c r="DPG9" s="7158"/>
      <c r="DPH9" s="7159"/>
      <c r="DPI9" s="7152" t="s">
        <v>1012</v>
      </c>
      <c r="DPJ9" s="7153"/>
      <c r="DPK9" s="7153"/>
      <c r="DPL9" s="7153"/>
      <c r="DPM9" s="7163">
        <v>0.05</v>
      </c>
      <c r="DPN9" s="7164"/>
      <c r="DPO9" s="7157">
        <f>DPM9*DPO7</f>
        <v>0</v>
      </c>
      <c r="DPP9" s="7157"/>
      <c r="DPQ9" s="7157"/>
      <c r="DPR9" s="7157"/>
      <c r="DPS9" s="7158"/>
      <c r="DPT9" s="7158"/>
      <c r="DPU9" s="7158"/>
      <c r="DPV9" s="7158"/>
      <c r="DPW9" s="7158"/>
      <c r="DPX9" s="7159"/>
      <c r="DPY9" s="7152" t="s">
        <v>1012</v>
      </c>
      <c r="DPZ9" s="7153"/>
      <c r="DQA9" s="7153"/>
      <c r="DQB9" s="7153"/>
      <c r="DQC9" s="7163">
        <v>0.05</v>
      </c>
      <c r="DQD9" s="7164"/>
      <c r="DQE9" s="7157">
        <f>DQC9*DQE7</f>
        <v>0</v>
      </c>
      <c r="DQF9" s="7157"/>
      <c r="DQG9" s="7157"/>
      <c r="DQH9" s="7157"/>
      <c r="DQI9" s="7158"/>
      <c r="DQJ9" s="7158"/>
      <c r="DQK9" s="7158"/>
      <c r="DQL9" s="7158"/>
      <c r="DQM9" s="7158"/>
      <c r="DQN9" s="7159"/>
      <c r="DQO9" s="7152" t="s">
        <v>1012</v>
      </c>
      <c r="DQP9" s="7153"/>
      <c r="DQQ9" s="7153"/>
      <c r="DQR9" s="7153"/>
      <c r="DQS9" s="7163">
        <v>0.05</v>
      </c>
      <c r="DQT9" s="7164"/>
      <c r="DQU9" s="7157">
        <f>DQS9*DQU7</f>
        <v>0</v>
      </c>
      <c r="DQV9" s="7157"/>
      <c r="DQW9" s="7157"/>
      <c r="DQX9" s="7157"/>
      <c r="DQY9" s="7158"/>
      <c r="DQZ9" s="7158"/>
      <c r="DRA9" s="7158"/>
      <c r="DRB9" s="7158"/>
      <c r="DRC9" s="7158"/>
      <c r="DRD9" s="7159"/>
      <c r="DRE9" s="7152" t="s">
        <v>1012</v>
      </c>
      <c r="DRF9" s="7153"/>
      <c r="DRG9" s="7153"/>
      <c r="DRH9" s="7153"/>
      <c r="DRI9" s="7163">
        <v>0.05</v>
      </c>
      <c r="DRJ9" s="7164"/>
      <c r="DRK9" s="7157">
        <f>DRI9*DRK7</f>
        <v>0</v>
      </c>
      <c r="DRL9" s="7157"/>
      <c r="DRM9" s="7157"/>
      <c r="DRN9" s="7157"/>
      <c r="DRO9" s="7158"/>
      <c r="DRP9" s="7158"/>
      <c r="DRQ9" s="7158"/>
      <c r="DRR9" s="7158"/>
      <c r="DRS9" s="7158"/>
      <c r="DRT9" s="7159"/>
      <c r="DRU9" s="7152" t="s">
        <v>1012</v>
      </c>
      <c r="DRV9" s="7153"/>
      <c r="DRW9" s="7153"/>
      <c r="DRX9" s="7153"/>
      <c r="DRY9" s="7163">
        <v>0.05</v>
      </c>
      <c r="DRZ9" s="7164"/>
      <c r="DSA9" s="7157">
        <f>DRY9*DSA7</f>
        <v>0</v>
      </c>
      <c r="DSB9" s="7157"/>
      <c r="DSC9" s="7157"/>
      <c r="DSD9" s="7157"/>
      <c r="DSE9" s="7158"/>
      <c r="DSF9" s="7158"/>
      <c r="DSG9" s="7158"/>
      <c r="DSH9" s="7158"/>
      <c r="DSI9" s="7158"/>
      <c r="DSJ9" s="7159"/>
      <c r="DSK9" s="7152" t="s">
        <v>1012</v>
      </c>
      <c r="DSL9" s="7153"/>
      <c r="DSM9" s="7153"/>
      <c r="DSN9" s="7153"/>
      <c r="DSO9" s="7163">
        <v>0.05</v>
      </c>
      <c r="DSP9" s="7164"/>
      <c r="DSQ9" s="7157">
        <f>DSO9*DSQ7</f>
        <v>0</v>
      </c>
      <c r="DSR9" s="7157"/>
      <c r="DSS9" s="7157"/>
      <c r="DST9" s="7157"/>
      <c r="DSU9" s="7158"/>
      <c r="DSV9" s="7158"/>
      <c r="DSW9" s="7158"/>
      <c r="DSX9" s="7158"/>
      <c r="DSY9" s="7158"/>
      <c r="DSZ9" s="7159"/>
      <c r="DTA9" s="7152" t="s">
        <v>1012</v>
      </c>
      <c r="DTB9" s="7153"/>
      <c r="DTC9" s="7153"/>
      <c r="DTD9" s="7153"/>
      <c r="DTE9" s="7163">
        <v>0.05</v>
      </c>
      <c r="DTF9" s="7164"/>
      <c r="DTG9" s="7157">
        <f>DTE9*DTG7</f>
        <v>0</v>
      </c>
      <c r="DTH9" s="7157"/>
      <c r="DTI9" s="7157"/>
      <c r="DTJ9" s="7157"/>
      <c r="DTK9" s="7158"/>
      <c r="DTL9" s="7158"/>
      <c r="DTM9" s="7158"/>
      <c r="DTN9" s="7158"/>
      <c r="DTO9" s="7158"/>
      <c r="DTP9" s="7159"/>
      <c r="DTQ9" s="7152" t="s">
        <v>1012</v>
      </c>
      <c r="DTR9" s="7153"/>
      <c r="DTS9" s="7153"/>
      <c r="DTT9" s="7153"/>
      <c r="DTU9" s="7163">
        <v>0.05</v>
      </c>
      <c r="DTV9" s="7164"/>
      <c r="DTW9" s="7157">
        <f>DTU9*DTW7</f>
        <v>0</v>
      </c>
      <c r="DTX9" s="7157"/>
      <c r="DTY9" s="7157"/>
      <c r="DTZ9" s="7157"/>
      <c r="DUA9" s="7158"/>
      <c r="DUB9" s="7158"/>
      <c r="DUC9" s="7158"/>
      <c r="DUD9" s="7158"/>
      <c r="DUE9" s="7158"/>
      <c r="DUF9" s="7159"/>
      <c r="DUG9" s="7152" t="s">
        <v>1012</v>
      </c>
      <c r="DUH9" s="7153"/>
      <c r="DUI9" s="7153"/>
      <c r="DUJ9" s="7153"/>
      <c r="DUK9" s="7163">
        <v>0.05</v>
      </c>
      <c r="DUL9" s="7164"/>
      <c r="DUM9" s="7157">
        <f>DUK9*DUM7</f>
        <v>0</v>
      </c>
      <c r="DUN9" s="7157"/>
      <c r="DUO9" s="7157"/>
      <c r="DUP9" s="7157"/>
      <c r="DUQ9" s="7158"/>
      <c r="DUR9" s="7158"/>
      <c r="DUS9" s="7158"/>
      <c r="DUT9" s="7158"/>
      <c r="DUU9" s="7158"/>
      <c r="DUV9" s="7159"/>
      <c r="DUW9" s="7152" t="s">
        <v>1012</v>
      </c>
      <c r="DUX9" s="7153"/>
      <c r="DUY9" s="7153"/>
      <c r="DUZ9" s="7153"/>
      <c r="DVA9" s="7163">
        <v>0.05</v>
      </c>
      <c r="DVB9" s="7164"/>
      <c r="DVC9" s="7157">
        <f>DVA9*DVC7</f>
        <v>0</v>
      </c>
      <c r="DVD9" s="7157"/>
      <c r="DVE9" s="7157"/>
      <c r="DVF9" s="7157"/>
      <c r="DVG9" s="7158"/>
      <c r="DVH9" s="7158"/>
      <c r="DVI9" s="7158"/>
      <c r="DVJ9" s="7158"/>
      <c r="DVK9" s="7158"/>
      <c r="DVL9" s="7159"/>
      <c r="DVM9" s="7152" t="s">
        <v>1012</v>
      </c>
      <c r="DVN9" s="7153"/>
      <c r="DVO9" s="7153"/>
      <c r="DVP9" s="7153"/>
      <c r="DVQ9" s="7163">
        <v>0.05</v>
      </c>
      <c r="DVR9" s="7164"/>
      <c r="DVS9" s="7157">
        <f>DVQ9*DVS7</f>
        <v>0</v>
      </c>
      <c r="DVT9" s="7157"/>
      <c r="DVU9" s="7157"/>
      <c r="DVV9" s="7157"/>
      <c r="DVW9" s="7158"/>
      <c r="DVX9" s="7158"/>
      <c r="DVY9" s="7158"/>
      <c r="DVZ9" s="7158"/>
      <c r="DWA9" s="7158"/>
      <c r="DWB9" s="7159"/>
      <c r="DWC9" s="7152" t="s">
        <v>1012</v>
      </c>
      <c r="DWD9" s="7153"/>
      <c r="DWE9" s="7153"/>
      <c r="DWF9" s="7153"/>
      <c r="DWG9" s="7163">
        <v>0.05</v>
      </c>
      <c r="DWH9" s="7164"/>
      <c r="DWI9" s="7157">
        <f>DWG9*DWI7</f>
        <v>0</v>
      </c>
      <c r="DWJ9" s="7157"/>
      <c r="DWK9" s="7157"/>
      <c r="DWL9" s="7157"/>
      <c r="DWM9" s="7158"/>
      <c r="DWN9" s="7158"/>
      <c r="DWO9" s="7158"/>
      <c r="DWP9" s="7158"/>
      <c r="DWQ9" s="7158"/>
      <c r="DWR9" s="7159"/>
      <c r="DWS9" s="7152" t="s">
        <v>1012</v>
      </c>
      <c r="DWT9" s="7153"/>
      <c r="DWU9" s="7153"/>
      <c r="DWV9" s="7153"/>
      <c r="DWW9" s="7163">
        <v>0.05</v>
      </c>
      <c r="DWX9" s="7164"/>
      <c r="DWY9" s="7157">
        <f>DWW9*DWY7</f>
        <v>0</v>
      </c>
      <c r="DWZ9" s="7157"/>
      <c r="DXA9" s="7157"/>
      <c r="DXB9" s="7157"/>
      <c r="DXC9" s="7158"/>
      <c r="DXD9" s="7158"/>
      <c r="DXE9" s="7158"/>
      <c r="DXF9" s="7158"/>
      <c r="DXG9" s="7158"/>
      <c r="DXH9" s="7159"/>
      <c r="DXI9" s="7152" t="s">
        <v>1012</v>
      </c>
      <c r="DXJ9" s="7153"/>
      <c r="DXK9" s="7153"/>
      <c r="DXL9" s="7153"/>
      <c r="DXM9" s="7163">
        <v>0.05</v>
      </c>
      <c r="DXN9" s="7164"/>
      <c r="DXO9" s="7157">
        <f>DXM9*DXO7</f>
        <v>0</v>
      </c>
      <c r="DXP9" s="7157"/>
      <c r="DXQ9" s="7157"/>
      <c r="DXR9" s="7157"/>
      <c r="DXS9" s="7158"/>
      <c r="DXT9" s="7158"/>
      <c r="DXU9" s="7158"/>
      <c r="DXV9" s="7158"/>
      <c r="DXW9" s="7158"/>
      <c r="DXX9" s="7159"/>
      <c r="DXY9" s="7152" t="s">
        <v>1012</v>
      </c>
      <c r="DXZ9" s="7153"/>
      <c r="DYA9" s="7153"/>
      <c r="DYB9" s="7153"/>
      <c r="DYC9" s="7163">
        <v>0.05</v>
      </c>
      <c r="DYD9" s="7164"/>
      <c r="DYE9" s="7157">
        <f>DYC9*DYE7</f>
        <v>0</v>
      </c>
      <c r="DYF9" s="7157"/>
      <c r="DYG9" s="7157"/>
      <c r="DYH9" s="7157"/>
      <c r="DYI9" s="7158"/>
      <c r="DYJ9" s="7158"/>
      <c r="DYK9" s="7158"/>
      <c r="DYL9" s="7158"/>
      <c r="DYM9" s="7158"/>
      <c r="DYN9" s="7159"/>
      <c r="DYO9" s="7152" t="s">
        <v>1012</v>
      </c>
      <c r="DYP9" s="7153"/>
      <c r="DYQ9" s="7153"/>
      <c r="DYR9" s="7153"/>
      <c r="DYS9" s="7163">
        <v>0.05</v>
      </c>
      <c r="DYT9" s="7164"/>
      <c r="DYU9" s="7157">
        <f>DYS9*DYU7</f>
        <v>0</v>
      </c>
      <c r="DYV9" s="7157"/>
      <c r="DYW9" s="7157"/>
      <c r="DYX9" s="7157"/>
      <c r="DYY9" s="7158"/>
      <c r="DYZ9" s="7158"/>
      <c r="DZA9" s="7158"/>
      <c r="DZB9" s="7158"/>
      <c r="DZC9" s="7158"/>
      <c r="DZD9" s="7159"/>
      <c r="DZE9" s="7152" t="s">
        <v>1012</v>
      </c>
      <c r="DZF9" s="7153"/>
      <c r="DZG9" s="7153"/>
      <c r="DZH9" s="7153"/>
      <c r="DZI9" s="7163">
        <v>0.05</v>
      </c>
      <c r="DZJ9" s="7164"/>
      <c r="DZK9" s="7157">
        <f>DZI9*DZK7</f>
        <v>0</v>
      </c>
      <c r="DZL9" s="7157"/>
      <c r="DZM9" s="7157"/>
      <c r="DZN9" s="7157"/>
      <c r="DZO9" s="7158"/>
      <c r="DZP9" s="7158"/>
      <c r="DZQ9" s="7158"/>
      <c r="DZR9" s="7158"/>
      <c r="DZS9" s="7158"/>
      <c r="DZT9" s="7159"/>
      <c r="DZU9" s="7152" t="s">
        <v>1012</v>
      </c>
      <c r="DZV9" s="7153"/>
      <c r="DZW9" s="7153"/>
      <c r="DZX9" s="7153"/>
      <c r="DZY9" s="7163">
        <v>0.05</v>
      </c>
      <c r="DZZ9" s="7164"/>
      <c r="EAA9" s="7157">
        <f>DZY9*EAA7</f>
        <v>0</v>
      </c>
      <c r="EAB9" s="7157"/>
      <c r="EAC9" s="7157"/>
      <c r="EAD9" s="7157"/>
      <c r="EAE9" s="7158"/>
      <c r="EAF9" s="7158"/>
      <c r="EAG9" s="7158"/>
      <c r="EAH9" s="7158"/>
      <c r="EAI9" s="7158"/>
      <c r="EAJ9" s="7159"/>
      <c r="EAK9" s="7152" t="s">
        <v>1012</v>
      </c>
      <c r="EAL9" s="7153"/>
      <c r="EAM9" s="7153"/>
      <c r="EAN9" s="7153"/>
      <c r="EAO9" s="7163">
        <v>0.05</v>
      </c>
      <c r="EAP9" s="7164"/>
      <c r="EAQ9" s="7157">
        <f>EAO9*EAQ7</f>
        <v>0</v>
      </c>
      <c r="EAR9" s="7157"/>
      <c r="EAS9" s="7157"/>
      <c r="EAT9" s="7157"/>
      <c r="EAU9" s="7158"/>
      <c r="EAV9" s="7158"/>
      <c r="EAW9" s="7158"/>
      <c r="EAX9" s="7158"/>
      <c r="EAY9" s="7158"/>
      <c r="EAZ9" s="7159"/>
      <c r="EBA9" s="7152" t="s">
        <v>1012</v>
      </c>
      <c r="EBB9" s="7153"/>
      <c r="EBC9" s="7153"/>
      <c r="EBD9" s="7153"/>
      <c r="EBE9" s="7163">
        <v>0.05</v>
      </c>
      <c r="EBF9" s="7164"/>
      <c r="EBG9" s="7157">
        <f>EBE9*EBG7</f>
        <v>0</v>
      </c>
      <c r="EBH9" s="7157"/>
      <c r="EBI9" s="7157"/>
      <c r="EBJ9" s="7157"/>
      <c r="EBK9" s="7158"/>
      <c r="EBL9" s="7158"/>
      <c r="EBM9" s="7158"/>
      <c r="EBN9" s="7158"/>
      <c r="EBO9" s="7158"/>
      <c r="EBP9" s="7159"/>
      <c r="EBQ9" s="7152" t="s">
        <v>1012</v>
      </c>
      <c r="EBR9" s="7153"/>
      <c r="EBS9" s="7153"/>
      <c r="EBT9" s="7153"/>
      <c r="EBU9" s="7163">
        <v>0.05</v>
      </c>
      <c r="EBV9" s="7164"/>
      <c r="EBW9" s="7157">
        <f>EBU9*EBW7</f>
        <v>0</v>
      </c>
      <c r="EBX9" s="7157"/>
      <c r="EBY9" s="7157"/>
      <c r="EBZ9" s="7157"/>
      <c r="ECA9" s="7158"/>
      <c r="ECB9" s="7158"/>
      <c r="ECC9" s="7158"/>
      <c r="ECD9" s="7158"/>
      <c r="ECE9" s="7158"/>
      <c r="ECF9" s="7159"/>
      <c r="ECG9" s="7152" t="s">
        <v>1012</v>
      </c>
      <c r="ECH9" s="7153"/>
      <c r="ECI9" s="7153"/>
      <c r="ECJ9" s="7153"/>
      <c r="ECK9" s="7163">
        <v>0.05</v>
      </c>
      <c r="ECL9" s="7164"/>
      <c r="ECM9" s="7157">
        <f>ECK9*ECM7</f>
        <v>0</v>
      </c>
      <c r="ECN9" s="7157"/>
      <c r="ECO9" s="7157"/>
      <c r="ECP9" s="7157"/>
      <c r="ECQ9" s="7158"/>
      <c r="ECR9" s="7158"/>
      <c r="ECS9" s="7158"/>
      <c r="ECT9" s="7158"/>
      <c r="ECU9" s="7158"/>
      <c r="ECV9" s="7159"/>
      <c r="ECW9" s="7152" t="s">
        <v>1012</v>
      </c>
      <c r="ECX9" s="7153"/>
      <c r="ECY9" s="7153"/>
      <c r="ECZ9" s="7153"/>
      <c r="EDA9" s="7163">
        <v>0.05</v>
      </c>
      <c r="EDB9" s="7164"/>
      <c r="EDC9" s="7157">
        <f>EDA9*EDC7</f>
        <v>0</v>
      </c>
      <c r="EDD9" s="7157"/>
      <c r="EDE9" s="7157"/>
      <c r="EDF9" s="7157"/>
      <c r="EDG9" s="7158"/>
      <c r="EDH9" s="7158"/>
      <c r="EDI9" s="7158"/>
      <c r="EDJ9" s="7158"/>
      <c r="EDK9" s="7158"/>
      <c r="EDL9" s="7159"/>
      <c r="EDM9" s="7152" t="s">
        <v>1012</v>
      </c>
      <c r="EDN9" s="7153"/>
      <c r="EDO9" s="7153"/>
      <c r="EDP9" s="7153"/>
      <c r="EDQ9" s="7163">
        <v>0.05</v>
      </c>
      <c r="EDR9" s="7164"/>
      <c r="EDS9" s="7157">
        <f>EDQ9*EDS7</f>
        <v>0</v>
      </c>
      <c r="EDT9" s="7157"/>
      <c r="EDU9" s="7157"/>
      <c r="EDV9" s="7157"/>
      <c r="EDW9" s="7158"/>
      <c r="EDX9" s="7158"/>
      <c r="EDY9" s="7158"/>
      <c r="EDZ9" s="7158"/>
      <c r="EEA9" s="7158"/>
      <c r="EEB9" s="7159"/>
      <c r="EEC9" s="7152" t="s">
        <v>1012</v>
      </c>
      <c r="EED9" s="7153"/>
      <c r="EEE9" s="7153"/>
      <c r="EEF9" s="7153"/>
      <c r="EEG9" s="7163">
        <v>0.05</v>
      </c>
      <c r="EEH9" s="7164"/>
      <c r="EEI9" s="7157">
        <f>EEG9*EEI7</f>
        <v>0</v>
      </c>
      <c r="EEJ9" s="7157"/>
      <c r="EEK9" s="7157"/>
      <c r="EEL9" s="7157"/>
      <c r="EEM9" s="7158"/>
      <c r="EEN9" s="7158"/>
      <c r="EEO9" s="7158"/>
      <c r="EEP9" s="7158"/>
      <c r="EEQ9" s="7158"/>
      <c r="EER9" s="7159"/>
      <c r="EES9" s="7152" t="s">
        <v>1012</v>
      </c>
      <c r="EET9" s="7153"/>
      <c r="EEU9" s="7153"/>
      <c r="EEV9" s="7153"/>
      <c r="EEW9" s="7163">
        <v>0.05</v>
      </c>
      <c r="EEX9" s="7164"/>
      <c r="EEY9" s="7157">
        <f>EEW9*EEY7</f>
        <v>0</v>
      </c>
      <c r="EEZ9" s="7157"/>
      <c r="EFA9" s="7157"/>
      <c r="EFB9" s="7157"/>
      <c r="EFC9" s="7158"/>
      <c r="EFD9" s="7158"/>
      <c r="EFE9" s="7158"/>
      <c r="EFF9" s="7158"/>
      <c r="EFG9" s="7158"/>
      <c r="EFH9" s="7159"/>
      <c r="EFI9" s="7152" t="s">
        <v>1012</v>
      </c>
      <c r="EFJ9" s="7153"/>
      <c r="EFK9" s="7153"/>
      <c r="EFL9" s="7153"/>
      <c r="EFM9" s="7163">
        <v>0.05</v>
      </c>
      <c r="EFN9" s="7164"/>
      <c r="EFO9" s="7157">
        <f>EFM9*EFO7</f>
        <v>0</v>
      </c>
      <c r="EFP9" s="7157"/>
      <c r="EFQ9" s="7157"/>
      <c r="EFR9" s="7157"/>
      <c r="EFS9" s="7158"/>
      <c r="EFT9" s="7158"/>
      <c r="EFU9" s="7158"/>
      <c r="EFV9" s="7158"/>
      <c r="EFW9" s="7158"/>
      <c r="EFX9" s="7159"/>
      <c r="EFY9" s="7152" t="s">
        <v>1012</v>
      </c>
      <c r="EFZ9" s="7153"/>
      <c r="EGA9" s="7153"/>
      <c r="EGB9" s="7153"/>
      <c r="EGC9" s="7163">
        <v>0.05</v>
      </c>
      <c r="EGD9" s="7164"/>
      <c r="EGE9" s="7157">
        <f>EGC9*EGE7</f>
        <v>0</v>
      </c>
      <c r="EGF9" s="7157"/>
      <c r="EGG9" s="7157"/>
      <c r="EGH9" s="7157"/>
      <c r="EGI9" s="7158"/>
      <c r="EGJ9" s="7158"/>
      <c r="EGK9" s="7158"/>
      <c r="EGL9" s="7158"/>
      <c r="EGM9" s="7158"/>
      <c r="EGN9" s="7159"/>
      <c r="EGO9" s="7152" t="s">
        <v>1012</v>
      </c>
      <c r="EGP9" s="7153"/>
      <c r="EGQ9" s="7153"/>
      <c r="EGR9" s="7153"/>
      <c r="EGS9" s="7163">
        <v>0.05</v>
      </c>
      <c r="EGT9" s="7164"/>
      <c r="EGU9" s="7157">
        <f>EGS9*EGU7</f>
        <v>0</v>
      </c>
      <c r="EGV9" s="7157"/>
      <c r="EGW9" s="7157"/>
      <c r="EGX9" s="7157"/>
      <c r="EGY9" s="7158"/>
      <c r="EGZ9" s="7158"/>
      <c r="EHA9" s="7158"/>
      <c r="EHB9" s="7158"/>
      <c r="EHC9" s="7158"/>
      <c r="EHD9" s="7159"/>
      <c r="EHE9" s="7152" t="s">
        <v>1012</v>
      </c>
      <c r="EHF9" s="7153"/>
      <c r="EHG9" s="7153"/>
      <c r="EHH9" s="7153"/>
      <c r="EHI9" s="7163">
        <v>0.05</v>
      </c>
      <c r="EHJ9" s="7164"/>
      <c r="EHK9" s="7157">
        <f>EHI9*EHK7</f>
        <v>0</v>
      </c>
      <c r="EHL9" s="7157"/>
      <c r="EHM9" s="7157"/>
      <c r="EHN9" s="7157"/>
      <c r="EHO9" s="7158"/>
      <c r="EHP9" s="7158"/>
      <c r="EHQ9" s="7158"/>
      <c r="EHR9" s="7158"/>
      <c r="EHS9" s="7158"/>
      <c r="EHT9" s="7159"/>
      <c r="EHU9" s="7152" t="s">
        <v>1012</v>
      </c>
      <c r="EHV9" s="7153"/>
      <c r="EHW9" s="7153"/>
      <c r="EHX9" s="7153"/>
      <c r="EHY9" s="7163">
        <v>0.05</v>
      </c>
      <c r="EHZ9" s="7164"/>
      <c r="EIA9" s="7157">
        <f>EHY9*EIA7</f>
        <v>0</v>
      </c>
      <c r="EIB9" s="7157"/>
      <c r="EIC9" s="7157"/>
      <c r="EID9" s="7157"/>
      <c r="EIE9" s="7158"/>
      <c r="EIF9" s="7158"/>
      <c r="EIG9" s="7158"/>
      <c r="EIH9" s="7158"/>
      <c r="EII9" s="7158"/>
      <c r="EIJ9" s="7159"/>
      <c r="EIK9" s="7152" t="s">
        <v>1012</v>
      </c>
      <c r="EIL9" s="7153"/>
      <c r="EIM9" s="7153"/>
      <c r="EIN9" s="7153"/>
      <c r="EIO9" s="7163">
        <v>0.05</v>
      </c>
      <c r="EIP9" s="7164"/>
      <c r="EIQ9" s="7157">
        <f>EIO9*EIQ7</f>
        <v>0</v>
      </c>
      <c r="EIR9" s="7157"/>
      <c r="EIS9" s="7157"/>
      <c r="EIT9" s="7157"/>
      <c r="EIU9" s="7158"/>
      <c r="EIV9" s="7158"/>
      <c r="EIW9" s="7158"/>
      <c r="EIX9" s="7158"/>
      <c r="EIY9" s="7158"/>
      <c r="EIZ9" s="7159"/>
      <c r="EJA9" s="7152" t="s">
        <v>1012</v>
      </c>
      <c r="EJB9" s="7153"/>
      <c r="EJC9" s="7153"/>
      <c r="EJD9" s="7153"/>
      <c r="EJE9" s="7163">
        <v>0.05</v>
      </c>
      <c r="EJF9" s="7164"/>
      <c r="EJG9" s="7157">
        <f>EJE9*EJG7</f>
        <v>0</v>
      </c>
      <c r="EJH9" s="7157"/>
      <c r="EJI9" s="7157"/>
      <c r="EJJ9" s="7157"/>
      <c r="EJK9" s="7158"/>
      <c r="EJL9" s="7158"/>
      <c r="EJM9" s="7158"/>
      <c r="EJN9" s="7158"/>
      <c r="EJO9" s="7158"/>
      <c r="EJP9" s="7159"/>
      <c r="EJQ9" s="7152" t="s">
        <v>1012</v>
      </c>
      <c r="EJR9" s="7153"/>
      <c r="EJS9" s="7153"/>
      <c r="EJT9" s="7153"/>
      <c r="EJU9" s="7163">
        <v>0.05</v>
      </c>
      <c r="EJV9" s="7164"/>
      <c r="EJW9" s="7157">
        <f>EJU9*EJW7</f>
        <v>0</v>
      </c>
      <c r="EJX9" s="7157"/>
      <c r="EJY9" s="7157"/>
      <c r="EJZ9" s="7157"/>
      <c r="EKA9" s="7158"/>
      <c r="EKB9" s="7158"/>
      <c r="EKC9" s="7158"/>
      <c r="EKD9" s="7158"/>
      <c r="EKE9" s="7158"/>
      <c r="EKF9" s="7159"/>
      <c r="EKG9" s="7152" t="s">
        <v>1012</v>
      </c>
      <c r="EKH9" s="7153"/>
      <c r="EKI9" s="7153"/>
      <c r="EKJ9" s="7153"/>
      <c r="EKK9" s="7163">
        <v>0.05</v>
      </c>
      <c r="EKL9" s="7164"/>
      <c r="EKM9" s="7157">
        <f>EKK9*EKM7</f>
        <v>0</v>
      </c>
      <c r="EKN9" s="7157"/>
      <c r="EKO9" s="7157"/>
      <c r="EKP9" s="7157"/>
      <c r="EKQ9" s="7158"/>
      <c r="EKR9" s="7158"/>
      <c r="EKS9" s="7158"/>
      <c r="EKT9" s="7158"/>
      <c r="EKU9" s="7158"/>
      <c r="EKV9" s="7159"/>
      <c r="EKW9" s="7152" t="s">
        <v>1012</v>
      </c>
      <c r="EKX9" s="7153"/>
      <c r="EKY9" s="7153"/>
      <c r="EKZ9" s="7153"/>
      <c r="ELA9" s="7163">
        <v>0.05</v>
      </c>
      <c r="ELB9" s="7164"/>
      <c r="ELC9" s="7157">
        <f>ELA9*ELC7</f>
        <v>0</v>
      </c>
      <c r="ELD9" s="7157"/>
      <c r="ELE9" s="7157"/>
      <c r="ELF9" s="7157"/>
      <c r="ELG9" s="7158"/>
      <c r="ELH9" s="7158"/>
      <c r="ELI9" s="7158"/>
      <c r="ELJ9" s="7158"/>
      <c r="ELK9" s="7158"/>
      <c r="ELL9" s="7159"/>
      <c r="ELM9" s="7152" t="s">
        <v>1012</v>
      </c>
      <c r="ELN9" s="7153"/>
      <c r="ELO9" s="7153"/>
      <c r="ELP9" s="7153"/>
      <c r="ELQ9" s="7163">
        <v>0.05</v>
      </c>
      <c r="ELR9" s="7164"/>
      <c r="ELS9" s="7157">
        <f>ELQ9*ELS7</f>
        <v>0</v>
      </c>
      <c r="ELT9" s="7157"/>
      <c r="ELU9" s="7157"/>
      <c r="ELV9" s="7157"/>
      <c r="ELW9" s="7158"/>
      <c r="ELX9" s="7158"/>
      <c r="ELY9" s="7158"/>
      <c r="ELZ9" s="7158"/>
      <c r="EMA9" s="7158"/>
      <c r="EMB9" s="7159"/>
      <c r="EMC9" s="7152" t="s">
        <v>1012</v>
      </c>
      <c r="EMD9" s="7153"/>
      <c r="EME9" s="7153"/>
      <c r="EMF9" s="7153"/>
      <c r="EMG9" s="7163">
        <v>0.05</v>
      </c>
      <c r="EMH9" s="7164"/>
      <c r="EMI9" s="7157">
        <f>EMG9*EMI7</f>
        <v>0</v>
      </c>
      <c r="EMJ9" s="7157"/>
      <c r="EMK9" s="7157"/>
      <c r="EML9" s="7157"/>
      <c r="EMM9" s="7158"/>
      <c r="EMN9" s="7158"/>
      <c r="EMO9" s="7158"/>
      <c r="EMP9" s="7158"/>
      <c r="EMQ9" s="7158"/>
      <c r="EMR9" s="7159"/>
      <c r="EMS9" s="7152" t="s">
        <v>1012</v>
      </c>
      <c r="EMT9" s="7153"/>
      <c r="EMU9" s="7153"/>
      <c r="EMV9" s="7153"/>
      <c r="EMW9" s="7163">
        <v>0.05</v>
      </c>
      <c r="EMX9" s="7164"/>
      <c r="EMY9" s="7157">
        <f>EMW9*EMY7</f>
        <v>0</v>
      </c>
      <c r="EMZ9" s="7157"/>
      <c r="ENA9" s="7157"/>
      <c r="ENB9" s="7157"/>
      <c r="ENC9" s="7158"/>
      <c r="END9" s="7158"/>
      <c r="ENE9" s="7158"/>
      <c r="ENF9" s="7158"/>
      <c r="ENG9" s="7158"/>
      <c r="ENH9" s="7159"/>
      <c r="ENI9" s="7152" t="s">
        <v>1012</v>
      </c>
      <c r="ENJ9" s="7153"/>
      <c r="ENK9" s="7153"/>
      <c r="ENL9" s="7153"/>
      <c r="ENM9" s="7163">
        <v>0.05</v>
      </c>
      <c r="ENN9" s="7164"/>
      <c r="ENO9" s="7157">
        <f>ENM9*ENO7</f>
        <v>0</v>
      </c>
      <c r="ENP9" s="7157"/>
      <c r="ENQ9" s="7157"/>
      <c r="ENR9" s="7157"/>
      <c r="ENS9" s="7158"/>
      <c r="ENT9" s="7158"/>
      <c r="ENU9" s="7158"/>
      <c r="ENV9" s="7158"/>
      <c r="ENW9" s="7158"/>
      <c r="ENX9" s="7159"/>
      <c r="ENY9" s="7152" t="s">
        <v>1012</v>
      </c>
      <c r="ENZ9" s="7153"/>
      <c r="EOA9" s="7153"/>
      <c r="EOB9" s="7153"/>
      <c r="EOC9" s="7163">
        <v>0.05</v>
      </c>
      <c r="EOD9" s="7164"/>
      <c r="EOE9" s="7157">
        <f>EOC9*EOE7</f>
        <v>0</v>
      </c>
      <c r="EOF9" s="7157"/>
      <c r="EOG9" s="7157"/>
      <c r="EOH9" s="7157"/>
      <c r="EOI9" s="7158"/>
      <c r="EOJ9" s="7158"/>
      <c r="EOK9" s="7158"/>
      <c r="EOL9" s="7158"/>
      <c r="EOM9" s="7158"/>
      <c r="EON9" s="7159"/>
      <c r="EOO9" s="7152" t="s">
        <v>1012</v>
      </c>
      <c r="EOP9" s="7153"/>
      <c r="EOQ9" s="7153"/>
      <c r="EOR9" s="7153"/>
      <c r="EOS9" s="7163">
        <v>0.05</v>
      </c>
      <c r="EOT9" s="7164"/>
      <c r="EOU9" s="7157">
        <f>EOS9*EOU7</f>
        <v>0</v>
      </c>
      <c r="EOV9" s="7157"/>
      <c r="EOW9" s="7157"/>
      <c r="EOX9" s="7157"/>
      <c r="EOY9" s="7158"/>
      <c r="EOZ9" s="7158"/>
      <c r="EPA9" s="7158"/>
      <c r="EPB9" s="7158"/>
      <c r="EPC9" s="7158"/>
      <c r="EPD9" s="7159"/>
      <c r="EPE9" s="7152" t="s">
        <v>1012</v>
      </c>
      <c r="EPF9" s="7153"/>
      <c r="EPG9" s="7153"/>
      <c r="EPH9" s="7153"/>
      <c r="EPI9" s="7163">
        <v>0.05</v>
      </c>
      <c r="EPJ9" s="7164"/>
      <c r="EPK9" s="7157">
        <f>EPI9*EPK7</f>
        <v>0</v>
      </c>
      <c r="EPL9" s="7157"/>
      <c r="EPM9" s="7157"/>
      <c r="EPN9" s="7157"/>
      <c r="EPO9" s="7158"/>
      <c r="EPP9" s="7158"/>
      <c r="EPQ9" s="7158"/>
      <c r="EPR9" s="7158"/>
      <c r="EPS9" s="7158"/>
      <c r="EPT9" s="7159"/>
      <c r="EPU9" s="7152" t="s">
        <v>1012</v>
      </c>
      <c r="EPV9" s="7153"/>
      <c r="EPW9" s="7153"/>
      <c r="EPX9" s="7153"/>
      <c r="EPY9" s="7163">
        <v>0.05</v>
      </c>
      <c r="EPZ9" s="7164"/>
      <c r="EQA9" s="7157">
        <f>EPY9*EQA7</f>
        <v>0</v>
      </c>
      <c r="EQB9" s="7157"/>
      <c r="EQC9" s="7157"/>
      <c r="EQD9" s="7157"/>
      <c r="EQE9" s="7158"/>
      <c r="EQF9" s="7158"/>
      <c r="EQG9" s="7158"/>
      <c r="EQH9" s="7158"/>
      <c r="EQI9" s="7158"/>
      <c r="EQJ9" s="7159"/>
      <c r="EQK9" s="7152" t="s">
        <v>1012</v>
      </c>
      <c r="EQL9" s="7153"/>
      <c r="EQM9" s="7153"/>
      <c r="EQN9" s="7153"/>
      <c r="EQO9" s="7163">
        <v>0.05</v>
      </c>
      <c r="EQP9" s="7164"/>
      <c r="EQQ9" s="7157">
        <f>EQO9*EQQ7</f>
        <v>0</v>
      </c>
      <c r="EQR9" s="7157"/>
      <c r="EQS9" s="7157"/>
      <c r="EQT9" s="7157"/>
      <c r="EQU9" s="7158"/>
      <c r="EQV9" s="7158"/>
      <c r="EQW9" s="7158"/>
      <c r="EQX9" s="7158"/>
      <c r="EQY9" s="7158"/>
      <c r="EQZ9" s="7159"/>
      <c r="ERA9" s="7152" t="s">
        <v>1012</v>
      </c>
      <c r="ERB9" s="7153"/>
      <c r="ERC9" s="7153"/>
      <c r="ERD9" s="7153"/>
      <c r="ERE9" s="7163">
        <v>0.05</v>
      </c>
      <c r="ERF9" s="7164"/>
      <c r="ERG9" s="7157">
        <f>ERE9*ERG7</f>
        <v>0</v>
      </c>
      <c r="ERH9" s="7157"/>
      <c r="ERI9" s="7157"/>
      <c r="ERJ9" s="7157"/>
      <c r="ERK9" s="7158"/>
      <c r="ERL9" s="7158"/>
      <c r="ERM9" s="7158"/>
      <c r="ERN9" s="7158"/>
      <c r="ERO9" s="7158"/>
      <c r="ERP9" s="7159"/>
      <c r="ERQ9" s="7152" t="s">
        <v>1012</v>
      </c>
      <c r="ERR9" s="7153"/>
      <c r="ERS9" s="7153"/>
      <c r="ERT9" s="7153"/>
      <c r="ERU9" s="7163">
        <v>0.05</v>
      </c>
      <c r="ERV9" s="7164"/>
      <c r="ERW9" s="7157">
        <f>ERU9*ERW7</f>
        <v>0</v>
      </c>
      <c r="ERX9" s="7157"/>
      <c r="ERY9" s="7157"/>
      <c r="ERZ9" s="7157"/>
      <c r="ESA9" s="7158"/>
      <c r="ESB9" s="7158"/>
      <c r="ESC9" s="7158"/>
      <c r="ESD9" s="7158"/>
      <c r="ESE9" s="7158"/>
      <c r="ESF9" s="7159"/>
      <c r="ESG9" s="7152" t="s">
        <v>1012</v>
      </c>
      <c r="ESH9" s="7153"/>
      <c r="ESI9" s="7153"/>
      <c r="ESJ9" s="7153"/>
      <c r="ESK9" s="7163">
        <v>0.05</v>
      </c>
      <c r="ESL9" s="7164"/>
      <c r="ESM9" s="7157">
        <f>ESK9*ESM7</f>
        <v>0</v>
      </c>
      <c r="ESN9" s="7157"/>
      <c r="ESO9" s="7157"/>
      <c r="ESP9" s="7157"/>
      <c r="ESQ9" s="7158"/>
      <c r="ESR9" s="7158"/>
      <c r="ESS9" s="7158"/>
      <c r="EST9" s="7158"/>
      <c r="ESU9" s="7158"/>
      <c r="ESV9" s="7159"/>
      <c r="ESW9" s="7152" t="s">
        <v>1012</v>
      </c>
      <c r="ESX9" s="7153"/>
      <c r="ESY9" s="7153"/>
      <c r="ESZ9" s="7153"/>
      <c r="ETA9" s="7163">
        <v>0.05</v>
      </c>
      <c r="ETB9" s="7164"/>
      <c r="ETC9" s="7157">
        <f>ETA9*ETC7</f>
        <v>0</v>
      </c>
      <c r="ETD9" s="7157"/>
      <c r="ETE9" s="7157"/>
      <c r="ETF9" s="7157"/>
      <c r="ETG9" s="7158"/>
      <c r="ETH9" s="7158"/>
      <c r="ETI9" s="7158"/>
      <c r="ETJ9" s="7158"/>
      <c r="ETK9" s="7158"/>
      <c r="ETL9" s="7159"/>
      <c r="ETM9" s="7152" t="s">
        <v>1012</v>
      </c>
      <c r="ETN9" s="7153"/>
      <c r="ETO9" s="7153"/>
      <c r="ETP9" s="7153"/>
      <c r="ETQ9" s="7163">
        <v>0.05</v>
      </c>
      <c r="ETR9" s="7164"/>
      <c r="ETS9" s="7157">
        <f>ETQ9*ETS7</f>
        <v>0</v>
      </c>
      <c r="ETT9" s="7157"/>
      <c r="ETU9" s="7157"/>
      <c r="ETV9" s="7157"/>
      <c r="ETW9" s="7158"/>
      <c r="ETX9" s="7158"/>
      <c r="ETY9" s="7158"/>
      <c r="ETZ9" s="7158"/>
      <c r="EUA9" s="7158"/>
      <c r="EUB9" s="7159"/>
      <c r="EUC9" s="7152" t="s">
        <v>1012</v>
      </c>
      <c r="EUD9" s="7153"/>
      <c r="EUE9" s="7153"/>
      <c r="EUF9" s="7153"/>
      <c r="EUG9" s="7163">
        <v>0.05</v>
      </c>
      <c r="EUH9" s="7164"/>
      <c r="EUI9" s="7157">
        <f>EUG9*EUI7</f>
        <v>0</v>
      </c>
      <c r="EUJ9" s="7157"/>
      <c r="EUK9" s="7157"/>
      <c r="EUL9" s="7157"/>
      <c r="EUM9" s="7158"/>
      <c r="EUN9" s="7158"/>
      <c r="EUO9" s="7158"/>
      <c r="EUP9" s="7158"/>
      <c r="EUQ9" s="7158"/>
      <c r="EUR9" s="7159"/>
      <c r="EUS9" s="7152" t="s">
        <v>1012</v>
      </c>
      <c r="EUT9" s="7153"/>
      <c r="EUU9" s="7153"/>
      <c r="EUV9" s="7153"/>
      <c r="EUW9" s="7163">
        <v>0.05</v>
      </c>
      <c r="EUX9" s="7164"/>
      <c r="EUY9" s="7157">
        <f>EUW9*EUY7</f>
        <v>0</v>
      </c>
      <c r="EUZ9" s="7157"/>
      <c r="EVA9" s="7157"/>
      <c r="EVB9" s="7157"/>
      <c r="EVC9" s="7158"/>
      <c r="EVD9" s="7158"/>
      <c r="EVE9" s="7158"/>
      <c r="EVF9" s="7158"/>
      <c r="EVG9" s="7158"/>
      <c r="EVH9" s="7159"/>
      <c r="EVI9" s="7152" t="s">
        <v>1012</v>
      </c>
      <c r="EVJ9" s="7153"/>
      <c r="EVK9" s="7153"/>
      <c r="EVL9" s="7153"/>
      <c r="EVM9" s="7163">
        <v>0.05</v>
      </c>
      <c r="EVN9" s="7164"/>
      <c r="EVO9" s="7157">
        <f>EVM9*EVO7</f>
        <v>0</v>
      </c>
      <c r="EVP9" s="7157"/>
      <c r="EVQ9" s="7157"/>
      <c r="EVR9" s="7157"/>
      <c r="EVS9" s="7158"/>
      <c r="EVT9" s="7158"/>
      <c r="EVU9" s="7158"/>
      <c r="EVV9" s="7158"/>
      <c r="EVW9" s="7158"/>
      <c r="EVX9" s="7159"/>
      <c r="EVY9" s="7152" t="s">
        <v>1012</v>
      </c>
      <c r="EVZ9" s="7153"/>
      <c r="EWA9" s="7153"/>
      <c r="EWB9" s="7153"/>
      <c r="EWC9" s="7163">
        <v>0.05</v>
      </c>
      <c r="EWD9" s="7164"/>
      <c r="EWE9" s="7157">
        <f>EWC9*EWE7</f>
        <v>0</v>
      </c>
      <c r="EWF9" s="7157"/>
      <c r="EWG9" s="7157"/>
      <c r="EWH9" s="7157"/>
      <c r="EWI9" s="7158"/>
      <c r="EWJ9" s="7158"/>
      <c r="EWK9" s="7158"/>
      <c r="EWL9" s="7158"/>
      <c r="EWM9" s="7158"/>
      <c r="EWN9" s="7159"/>
      <c r="EWO9" s="7152" t="s">
        <v>1012</v>
      </c>
      <c r="EWP9" s="7153"/>
      <c r="EWQ9" s="7153"/>
      <c r="EWR9" s="7153"/>
      <c r="EWS9" s="7163">
        <v>0.05</v>
      </c>
      <c r="EWT9" s="7164"/>
      <c r="EWU9" s="7157">
        <f>EWS9*EWU7</f>
        <v>0</v>
      </c>
      <c r="EWV9" s="7157"/>
      <c r="EWW9" s="7157"/>
      <c r="EWX9" s="7157"/>
      <c r="EWY9" s="7158"/>
      <c r="EWZ9" s="7158"/>
      <c r="EXA9" s="7158"/>
      <c r="EXB9" s="7158"/>
      <c r="EXC9" s="7158"/>
      <c r="EXD9" s="7159"/>
      <c r="EXE9" s="7152" t="s">
        <v>1012</v>
      </c>
      <c r="EXF9" s="7153"/>
      <c r="EXG9" s="7153"/>
      <c r="EXH9" s="7153"/>
      <c r="EXI9" s="7163">
        <v>0.05</v>
      </c>
      <c r="EXJ9" s="7164"/>
      <c r="EXK9" s="7157">
        <f>EXI9*EXK7</f>
        <v>0</v>
      </c>
      <c r="EXL9" s="7157"/>
      <c r="EXM9" s="7157"/>
      <c r="EXN9" s="7157"/>
      <c r="EXO9" s="7158"/>
      <c r="EXP9" s="7158"/>
      <c r="EXQ9" s="7158"/>
      <c r="EXR9" s="7158"/>
      <c r="EXS9" s="7158"/>
      <c r="EXT9" s="7159"/>
      <c r="EXU9" s="7152" t="s">
        <v>1012</v>
      </c>
      <c r="EXV9" s="7153"/>
      <c r="EXW9" s="7153"/>
      <c r="EXX9" s="7153"/>
      <c r="EXY9" s="7163">
        <v>0.05</v>
      </c>
      <c r="EXZ9" s="7164"/>
      <c r="EYA9" s="7157">
        <f>EXY9*EYA7</f>
        <v>0</v>
      </c>
      <c r="EYB9" s="7157"/>
      <c r="EYC9" s="7157"/>
      <c r="EYD9" s="7157"/>
      <c r="EYE9" s="7158"/>
      <c r="EYF9" s="7158"/>
      <c r="EYG9" s="7158"/>
      <c r="EYH9" s="7158"/>
      <c r="EYI9" s="7158"/>
      <c r="EYJ9" s="7159"/>
      <c r="EYK9" s="7152" t="s">
        <v>1012</v>
      </c>
      <c r="EYL9" s="7153"/>
      <c r="EYM9" s="7153"/>
      <c r="EYN9" s="7153"/>
      <c r="EYO9" s="7163">
        <v>0.05</v>
      </c>
      <c r="EYP9" s="7164"/>
      <c r="EYQ9" s="7157">
        <f>EYO9*EYQ7</f>
        <v>0</v>
      </c>
      <c r="EYR9" s="7157"/>
      <c r="EYS9" s="7157"/>
      <c r="EYT9" s="7157"/>
      <c r="EYU9" s="7158"/>
      <c r="EYV9" s="7158"/>
      <c r="EYW9" s="7158"/>
      <c r="EYX9" s="7158"/>
      <c r="EYY9" s="7158"/>
      <c r="EYZ9" s="7159"/>
      <c r="EZA9" s="7152" t="s">
        <v>1012</v>
      </c>
      <c r="EZB9" s="7153"/>
      <c r="EZC9" s="7153"/>
      <c r="EZD9" s="7153"/>
      <c r="EZE9" s="7163">
        <v>0.05</v>
      </c>
      <c r="EZF9" s="7164"/>
      <c r="EZG9" s="7157">
        <f>EZE9*EZG7</f>
        <v>0</v>
      </c>
      <c r="EZH9" s="7157"/>
      <c r="EZI9" s="7157"/>
      <c r="EZJ9" s="7157"/>
      <c r="EZK9" s="7158"/>
      <c r="EZL9" s="7158"/>
      <c r="EZM9" s="7158"/>
      <c r="EZN9" s="7158"/>
      <c r="EZO9" s="7158"/>
      <c r="EZP9" s="7159"/>
      <c r="EZQ9" s="7152" t="s">
        <v>1012</v>
      </c>
      <c r="EZR9" s="7153"/>
      <c r="EZS9" s="7153"/>
      <c r="EZT9" s="7153"/>
      <c r="EZU9" s="7163">
        <v>0.05</v>
      </c>
      <c r="EZV9" s="7164"/>
      <c r="EZW9" s="7157">
        <f>EZU9*EZW7</f>
        <v>0</v>
      </c>
      <c r="EZX9" s="7157"/>
      <c r="EZY9" s="7157"/>
      <c r="EZZ9" s="7157"/>
      <c r="FAA9" s="7158"/>
      <c r="FAB9" s="7158"/>
      <c r="FAC9" s="7158"/>
      <c r="FAD9" s="7158"/>
      <c r="FAE9" s="7158"/>
      <c r="FAF9" s="7159"/>
      <c r="FAG9" s="7152" t="s">
        <v>1012</v>
      </c>
      <c r="FAH9" s="7153"/>
      <c r="FAI9" s="7153"/>
      <c r="FAJ9" s="7153"/>
      <c r="FAK9" s="7163">
        <v>0.05</v>
      </c>
      <c r="FAL9" s="7164"/>
      <c r="FAM9" s="7157">
        <f>FAK9*FAM7</f>
        <v>0</v>
      </c>
      <c r="FAN9" s="7157"/>
      <c r="FAO9" s="7157"/>
      <c r="FAP9" s="7157"/>
      <c r="FAQ9" s="7158"/>
      <c r="FAR9" s="7158"/>
      <c r="FAS9" s="7158"/>
      <c r="FAT9" s="7158"/>
      <c r="FAU9" s="7158"/>
      <c r="FAV9" s="7159"/>
      <c r="FAW9" s="7152" t="s">
        <v>1012</v>
      </c>
      <c r="FAX9" s="7153"/>
      <c r="FAY9" s="7153"/>
      <c r="FAZ9" s="7153"/>
      <c r="FBA9" s="7163">
        <v>0.05</v>
      </c>
      <c r="FBB9" s="7164"/>
      <c r="FBC9" s="7157">
        <f>FBA9*FBC7</f>
        <v>0</v>
      </c>
      <c r="FBD9" s="7157"/>
      <c r="FBE9" s="7157"/>
      <c r="FBF9" s="7157"/>
      <c r="FBG9" s="7158"/>
      <c r="FBH9" s="7158"/>
      <c r="FBI9" s="7158"/>
      <c r="FBJ9" s="7158"/>
      <c r="FBK9" s="7158"/>
      <c r="FBL9" s="7159"/>
      <c r="FBM9" s="7152" t="s">
        <v>1012</v>
      </c>
      <c r="FBN9" s="7153"/>
      <c r="FBO9" s="7153"/>
      <c r="FBP9" s="7153"/>
      <c r="FBQ9" s="7163">
        <v>0.05</v>
      </c>
      <c r="FBR9" s="7164"/>
      <c r="FBS9" s="7157">
        <f>FBQ9*FBS7</f>
        <v>0</v>
      </c>
      <c r="FBT9" s="7157"/>
      <c r="FBU9" s="7157"/>
      <c r="FBV9" s="7157"/>
      <c r="FBW9" s="7158"/>
      <c r="FBX9" s="7158"/>
      <c r="FBY9" s="7158"/>
      <c r="FBZ9" s="7158"/>
      <c r="FCA9" s="7158"/>
      <c r="FCB9" s="7159"/>
      <c r="FCC9" s="7152" t="s">
        <v>1012</v>
      </c>
      <c r="FCD9" s="7153"/>
      <c r="FCE9" s="7153"/>
      <c r="FCF9" s="7153"/>
      <c r="FCG9" s="7163">
        <v>0.05</v>
      </c>
      <c r="FCH9" s="7164"/>
      <c r="FCI9" s="7157">
        <f>FCG9*FCI7</f>
        <v>0</v>
      </c>
      <c r="FCJ9" s="7157"/>
      <c r="FCK9" s="7157"/>
      <c r="FCL9" s="7157"/>
      <c r="FCM9" s="7158"/>
      <c r="FCN9" s="7158"/>
      <c r="FCO9" s="7158"/>
      <c r="FCP9" s="7158"/>
      <c r="FCQ9" s="7158"/>
      <c r="FCR9" s="7159"/>
      <c r="FCS9" s="7152" t="s">
        <v>1012</v>
      </c>
      <c r="FCT9" s="7153"/>
      <c r="FCU9" s="7153"/>
      <c r="FCV9" s="7153"/>
      <c r="FCW9" s="7163">
        <v>0.05</v>
      </c>
      <c r="FCX9" s="7164"/>
      <c r="FCY9" s="7157">
        <f>FCW9*FCY7</f>
        <v>0</v>
      </c>
      <c r="FCZ9" s="7157"/>
      <c r="FDA9" s="7157"/>
      <c r="FDB9" s="7157"/>
      <c r="FDC9" s="7158"/>
      <c r="FDD9" s="7158"/>
      <c r="FDE9" s="7158"/>
      <c r="FDF9" s="7158"/>
      <c r="FDG9" s="7158"/>
      <c r="FDH9" s="7159"/>
      <c r="FDI9" s="7152" t="s">
        <v>1012</v>
      </c>
      <c r="FDJ9" s="7153"/>
      <c r="FDK9" s="7153"/>
      <c r="FDL9" s="7153"/>
      <c r="FDM9" s="7163">
        <v>0.05</v>
      </c>
      <c r="FDN9" s="7164"/>
      <c r="FDO9" s="7157">
        <f>FDM9*FDO7</f>
        <v>0</v>
      </c>
      <c r="FDP9" s="7157"/>
      <c r="FDQ9" s="7157"/>
      <c r="FDR9" s="7157"/>
      <c r="FDS9" s="7158"/>
      <c r="FDT9" s="7158"/>
      <c r="FDU9" s="7158"/>
      <c r="FDV9" s="7158"/>
      <c r="FDW9" s="7158"/>
      <c r="FDX9" s="7159"/>
      <c r="FDY9" s="7152" t="s">
        <v>1012</v>
      </c>
      <c r="FDZ9" s="7153"/>
      <c r="FEA9" s="7153"/>
      <c r="FEB9" s="7153"/>
      <c r="FEC9" s="7163">
        <v>0.05</v>
      </c>
      <c r="FED9" s="7164"/>
      <c r="FEE9" s="7157">
        <f>FEC9*FEE7</f>
        <v>0</v>
      </c>
      <c r="FEF9" s="7157"/>
      <c r="FEG9" s="7157"/>
      <c r="FEH9" s="7157"/>
      <c r="FEI9" s="7158"/>
      <c r="FEJ9" s="7158"/>
      <c r="FEK9" s="7158"/>
      <c r="FEL9" s="7158"/>
      <c r="FEM9" s="7158"/>
      <c r="FEN9" s="7159"/>
      <c r="FEO9" s="7152" t="s">
        <v>1012</v>
      </c>
      <c r="FEP9" s="7153"/>
      <c r="FEQ9" s="7153"/>
      <c r="FER9" s="7153"/>
      <c r="FES9" s="7163">
        <v>0.05</v>
      </c>
      <c r="FET9" s="7164"/>
      <c r="FEU9" s="7157">
        <f>FES9*FEU7</f>
        <v>0</v>
      </c>
      <c r="FEV9" s="7157"/>
      <c r="FEW9" s="7157"/>
      <c r="FEX9" s="7157"/>
      <c r="FEY9" s="7158"/>
      <c r="FEZ9" s="7158"/>
      <c r="FFA9" s="7158"/>
      <c r="FFB9" s="7158"/>
      <c r="FFC9" s="7158"/>
      <c r="FFD9" s="7159"/>
      <c r="FFE9" s="7152" t="s">
        <v>1012</v>
      </c>
      <c r="FFF9" s="7153"/>
      <c r="FFG9" s="7153"/>
      <c r="FFH9" s="7153"/>
      <c r="FFI9" s="7163">
        <v>0.05</v>
      </c>
      <c r="FFJ9" s="7164"/>
      <c r="FFK9" s="7157">
        <f>FFI9*FFK7</f>
        <v>0</v>
      </c>
      <c r="FFL9" s="7157"/>
      <c r="FFM9" s="7157"/>
      <c r="FFN9" s="7157"/>
      <c r="FFO9" s="7158"/>
      <c r="FFP9" s="7158"/>
      <c r="FFQ9" s="7158"/>
      <c r="FFR9" s="7158"/>
      <c r="FFS9" s="7158"/>
      <c r="FFT9" s="7159"/>
      <c r="FFU9" s="7152" t="s">
        <v>1012</v>
      </c>
      <c r="FFV9" s="7153"/>
      <c r="FFW9" s="7153"/>
      <c r="FFX9" s="7153"/>
      <c r="FFY9" s="7163">
        <v>0.05</v>
      </c>
      <c r="FFZ9" s="7164"/>
      <c r="FGA9" s="7157">
        <f>FFY9*FGA7</f>
        <v>0</v>
      </c>
      <c r="FGB9" s="7157"/>
      <c r="FGC9" s="7157"/>
      <c r="FGD9" s="7157"/>
      <c r="FGE9" s="7158"/>
      <c r="FGF9" s="7158"/>
      <c r="FGG9" s="7158"/>
      <c r="FGH9" s="7158"/>
      <c r="FGI9" s="7158"/>
      <c r="FGJ9" s="7159"/>
      <c r="FGK9" s="7152" t="s">
        <v>1012</v>
      </c>
      <c r="FGL9" s="7153"/>
      <c r="FGM9" s="7153"/>
      <c r="FGN9" s="7153"/>
      <c r="FGO9" s="7163">
        <v>0.05</v>
      </c>
      <c r="FGP9" s="7164"/>
      <c r="FGQ9" s="7157">
        <f>FGO9*FGQ7</f>
        <v>0</v>
      </c>
      <c r="FGR9" s="7157"/>
      <c r="FGS9" s="7157"/>
      <c r="FGT9" s="7157"/>
      <c r="FGU9" s="7158"/>
      <c r="FGV9" s="7158"/>
      <c r="FGW9" s="7158"/>
      <c r="FGX9" s="7158"/>
      <c r="FGY9" s="7158"/>
      <c r="FGZ9" s="7159"/>
      <c r="FHA9" s="7152" t="s">
        <v>1012</v>
      </c>
      <c r="FHB9" s="7153"/>
      <c r="FHC9" s="7153"/>
      <c r="FHD9" s="7153"/>
      <c r="FHE9" s="7163">
        <v>0.05</v>
      </c>
      <c r="FHF9" s="7164"/>
      <c r="FHG9" s="7157">
        <f>FHE9*FHG7</f>
        <v>0</v>
      </c>
      <c r="FHH9" s="7157"/>
      <c r="FHI9" s="7157"/>
      <c r="FHJ9" s="7157"/>
      <c r="FHK9" s="7158"/>
      <c r="FHL9" s="7158"/>
      <c r="FHM9" s="7158"/>
      <c r="FHN9" s="7158"/>
      <c r="FHO9" s="7158"/>
      <c r="FHP9" s="7159"/>
      <c r="FHQ9" s="7152" t="s">
        <v>1012</v>
      </c>
      <c r="FHR9" s="7153"/>
      <c r="FHS9" s="7153"/>
      <c r="FHT9" s="7153"/>
      <c r="FHU9" s="7163">
        <v>0.05</v>
      </c>
      <c r="FHV9" s="7164"/>
      <c r="FHW9" s="7157">
        <f>FHU9*FHW7</f>
        <v>0</v>
      </c>
      <c r="FHX9" s="7157"/>
      <c r="FHY9" s="7157"/>
      <c r="FHZ9" s="7157"/>
      <c r="FIA9" s="7158"/>
      <c r="FIB9" s="7158"/>
      <c r="FIC9" s="7158"/>
      <c r="FID9" s="7158"/>
      <c r="FIE9" s="7158"/>
      <c r="FIF9" s="7159"/>
      <c r="FIG9" s="7152" t="s">
        <v>1012</v>
      </c>
      <c r="FIH9" s="7153"/>
      <c r="FII9" s="7153"/>
      <c r="FIJ9" s="7153"/>
      <c r="FIK9" s="7163">
        <v>0.05</v>
      </c>
      <c r="FIL9" s="7164"/>
      <c r="FIM9" s="7157">
        <f>FIK9*FIM7</f>
        <v>0</v>
      </c>
      <c r="FIN9" s="7157"/>
      <c r="FIO9" s="7157"/>
      <c r="FIP9" s="7157"/>
      <c r="FIQ9" s="7158"/>
      <c r="FIR9" s="7158"/>
      <c r="FIS9" s="7158"/>
      <c r="FIT9" s="7158"/>
      <c r="FIU9" s="7158"/>
      <c r="FIV9" s="7159"/>
      <c r="FIW9" s="7152" t="s">
        <v>1012</v>
      </c>
      <c r="FIX9" s="7153"/>
      <c r="FIY9" s="7153"/>
      <c r="FIZ9" s="7153"/>
      <c r="FJA9" s="7163">
        <v>0.05</v>
      </c>
      <c r="FJB9" s="7164"/>
      <c r="FJC9" s="7157">
        <f>FJA9*FJC7</f>
        <v>0</v>
      </c>
      <c r="FJD9" s="7157"/>
      <c r="FJE9" s="7157"/>
      <c r="FJF9" s="7157"/>
      <c r="FJG9" s="7158"/>
      <c r="FJH9" s="7158"/>
      <c r="FJI9" s="7158"/>
      <c r="FJJ9" s="7158"/>
      <c r="FJK9" s="7158"/>
      <c r="FJL9" s="7159"/>
      <c r="FJM9" s="7152" t="s">
        <v>1012</v>
      </c>
      <c r="FJN9" s="7153"/>
      <c r="FJO9" s="7153"/>
      <c r="FJP9" s="7153"/>
      <c r="FJQ9" s="7163">
        <v>0.05</v>
      </c>
      <c r="FJR9" s="7164"/>
      <c r="FJS9" s="7157">
        <f>FJQ9*FJS7</f>
        <v>0</v>
      </c>
      <c r="FJT9" s="7157"/>
      <c r="FJU9" s="7157"/>
      <c r="FJV9" s="7157"/>
      <c r="FJW9" s="7158"/>
      <c r="FJX9" s="7158"/>
      <c r="FJY9" s="7158"/>
      <c r="FJZ9" s="7158"/>
      <c r="FKA9" s="7158"/>
      <c r="FKB9" s="7159"/>
      <c r="FKC9" s="7152" t="s">
        <v>1012</v>
      </c>
      <c r="FKD9" s="7153"/>
      <c r="FKE9" s="7153"/>
      <c r="FKF9" s="7153"/>
      <c r="FKG9" s="7163">
        <v>0.05</v>
      </c>
      <c r="FKH9" s="7164"/>
      <c r="FKI9" s="7157">
        <f>FKG9*FKI7</f>
        <v>0</v>
      </c>
      <c r="FKJ9" s="7157"/>
      <c r="FKK9" s="7157"/>
      <c r="FKL9" s="7157"/>
      <c r="FKM9" s="7158"/>
      <c r="FKN9" s="7158"/>
      <c r="FKO9" s="7158"/>
      <c r="FKP9" s="7158"/>
      <c r="FKQ9" s="7158"/>
      <c r="FKR9" s="7159"/>
      <c r="FKS9" s="7152" t="s">
        <v>1012</v>
      </c>
      <c r="FKT9" s="7153"/>
      <c r="FKU9" s="7153"/>
      <c r="FKV9" s="7153"/>
      <c r="FKW9" s="7163">
        <v>0.05</v>
      </c>
      <c r="FKX9" s="7164"/>
      <c r="FKY9" s="7157">
        <f>FKW9*FKY7</f>
        <v>0</v>
      </c>
      <c r="FKZ9" s="7157"/>
      <c r="FLA9" s="7157"/>
      <c r="FLB9" s="7157"/>
      <c r="FLC9" s="7158"/>
      <c r="FLD9" s="7158"/>
      <c r="FLE9" s="7158"/>
      <c r="FLF9" s="7158"/>
      <c r="FLG9" s="7158"/>
      <c r="FLH9" s="7159"/>
      <c r="FLI9" s="7152" t="s">
        <v>1012</v>
      </c>
      <c r="FLJ9" s="7153"/>
      <c r="FLK9" s="7153"/>
      <c r="FLL9" s="7153"/>
      <c r="FLM9" s="7163">
        <v>0.05</v>
      </c>
      <c r="FLN9" s="7164"/>
      <c r="FLO9" s="7157">
        <f>FLM9*FLO7</f>
        <v>0</v>
      </c>
      <c r="FLP9" s="7157"/>
      <c r="FLQ9" s="7157"/>
      <c r="FLR9" s="7157"/>
      <c r="FLS9" s="7158"/>
      <c r="FLT9" s="7158"/>
      <c r="FLU9" s="7158"/>
      <c r="FLV9" s="7158"/>
      <c r="FLW9" s="7158"/>
      <c r="FLX9" s="7159"/>
      <c r="FLY9" s="7152" t="s">
        <v>1012</v>
      </c>
      <c r="FLZ9" s="7153"/>
      <c r="FMA9" s="7153"/>
      <c r="FMB9" s="7153"/>
      <c r="FMC9" s="7163">
        <v>0.05</v>
      </c>
      <c r="FMD9" s="7164"/>
      <c r="FME9" s="7157">
        <f>FMC9*FME7</f>
        <v>0</v>
      </c>
      <c r="FMF9" s="7157"/>
      <c r="FMG9" s="7157"/>
      <c r="FMH9" s="7157"/>
      <c r="FMI9" s="7158"/>
      <c r="FMJ9" s="7158"/>
      <c r="FMK9" s="7158"/>
      <c r="FML9" s="7158"/>
      <c r="FMM9" s="7158"/>
      <c r="FMN9" s="7159"/>
      <c r="FMO9" s="7152" t="s">
        <v>1012</v>
      </c>
      <c r="FMP9" s="7153"/>
      <c r="FMQ9" s="7153"/>
      <c r="FMR9" s="7153"/>
      <c r="FMS9" s="7163">
        <v>0.05</v>
      </c>
      <c r="FMT9" s="7164"/>
      <c r="FMU9" s="7157">
        <f>FMS9*FMU7</f>
        <v>0</v>
      </c>
      <c r="FMV9" s="7157"/>
      <c r="FMW9" s="7157"/>
      <c r="FMX9" s="7157"/>
      <c r="FMY9" s="7158"/>
      <c r="FMZ9" s="7158"/>
      <c r="FNA9" s="7158"/>
      <c r="FNB9" s="7158"/>
      <c r="FNC9" s="7158"/>
      <c r="FND9" s="7159"/>
      <c r="FNE9" s="7152" t="s">
        <v>1012</v>
      </c>
      <c r="FNF9" s="7153"/>
      <c r="FNG9" s="7153"/>
      <c r="FNH9" s="7153"/>
      <c r="FNI9" s="7163">
        <v>0.05</v>
      </c>
      <c r="FNJ9" s="7164"/>
      <c r="FNK9" s="7157">
        <f>FNI9*FNK7</f>
        <v>0</v>
      </c>
      <c r="FNL9" s="7157"/>
      <c r="FNM9" s="7157"/>
      <c r="FNN9" s="7157"/>
      <c r="FNO9" s="7158"/>
      <c r="FNP9" s="7158"/>
      <c r="FNQ9" s="7158"/>
      <c r="FNR9" s="7158"/>
      <c r="FNS9" s="7158"/>
      <c r="FNT9" s="7159"/>
      <c r="FNU9" s="7152" t="s">
        <v>1012</v>
      </c>
      <c r="FNV9" s="7153"/>
      <c r="FNW9" s="7153"/>
      <c r="FNX9" s="7153"/>
      <c r="FNY9" s="7163">
        <v>0.05</v>
      </c>
      <c r="FNZ9" s="7164"/>
      <c r="FOA9" s="7157">
        <f>FNY9*FOA7</f>
        <v>0</v>
      </c>
      <c r="FOB9" s="7157"/>
      <c r="FOC9" s="7157"/>
      <c r="FOD9" s="7157"/>
      <c r="FOE9" s="7158"/>
      <c r="FOF9" s="7158"/>
      <c r="FOG9" s="7158"/>
      <c r="FOH9" s="7158"/>
      <c r="FOI9" s="7158"/>
      <c r="FOJ9" s="7159"/>
      <c r="FOK9" s="7152" t="s">
        <v>1012</v>
      </c>
      <c r="FOL9" s="7153"/>
      <c r="FOM9" s="7153"/>
      <c r="FON9" s="7153"/>
      <c r="FOO9" s="7163">
        <v>0.05</v>
      </c>
      <c r="FOP9" s="7164"/>
      <c r="FOQ9" s="7157">
        <f>FOO9*FOQ7</f>
        <v>0</v>
      </c>
      <c r="FOR9" s="7157"/>
      <c r="FOS9" s="7157"/>
      <c r="FOT9" s="7157"/>
      <c r="FOU9" s="7158"/>
      <c r="FOV9" s="7158"/>
      <c r="FOW9" s="7158"/>
      <c r="FOX9" s="7158"/>
      <c r="FOY9" s="7158"/>
      <c r="FOZ9" s="7159"/>
      <c r="FPA9" s="7152" t="s">
        <v>1012</v>
      </c>
      <c r="FPB9" s="7153"/>
      <c r="FPC9" s="7153"/>
      <c r="FPD9" s="7153"/>
      <c r="FPE9" s="7163">
        <v>0.05</v>
      </c>
      <c r="FPF9" s="7164"/>
      <c r="FPG9" s="7157">
        <f>FPE9*FPG7</f>
        <v>0</v>
      </c>
      <c r="FPH9" s="7157"/>
      <c r="FPI9" s="7157"/>
      <c r="FPJ9" s="7157"/>
      <c r="FPK9" s="7158"/>
      <c r="FPL9" s="7158"/>
      <c r="FPM9" s="7158"/>
      <c r="FPN9" s="7158"/>
      <c r="FPO9" s="7158"/>
      <c r="FPP9" s="7159"/>
      <c r="FPQ9" s="7152" t="s">
        <v>1012</v>
      </c>
      <c r="FPR9" s="7153"/>
      <c r="FPS9" s="7153"/>
      <c r="FPT9" s="7153"/>
      <c r="FPU9" s="7163">
        <v>0.05</v>
      </c>
      <c r="FPV9" s="7164"/>
      <c r="FPW9" s="7157">
        <f>FPU9*FPW7</f>
        <v>0</v>
      </c>
      <c r="FPX9" s="7157"/>
      <c r="FPY9" s="7157"/>
      <c r="FPZ9" s="7157"/>
      <c r="FQA9" s="7158"/>
      <c r="FQB9" s="7158"/>
      <c r="FQC9" s="7158"/>
      <c r="FQD9" s="7158"/>
      <c r="FQE9" s="7158"/>
      <c r="FQF9" s="7159"/>
      <c r="FQG9" s="7152" t="s">
        <v>1012</v>
      </c>
      <c r="FQH9" s="7153"/>
      <c r="FQI9" s="7153"/>
      <c r="FQJ9" s="7153"/>
      <c r="FQK9" s="7163">
        <v>0.05</v>
      </c>
      <c r="FQL9" s="7164"/>
      <c r="FQM9" s="7157">
        <f>FQK9*FQM7</f>
        <v>0</v>
      </c>
      <c r="FQN9" s="7157"/>
      <c r="FQO9" s="7157"/>
      <c r="FQP9" s="7157"/>
      <c r="FQQ9" s="7158"/>
      <c r="FQR9" s="7158"/>
      <c r="FQS9" s="7158"/>
      <c r="FQT9" s="7158"/>
      <c r="FQU9" s="7158"/>
      <c r="FQV9" s="7159"/>
      <c r="FQW9" s="7152" t="s">
        <v>1012</v>
      </c>
      <c r="FQX9" s="7153"/>
      <c r="FQY9" s="7153"/>
      <c r="FQZ9" s="7153"/>
      <c r="FRA9" s="7163">
        <v>0.05</v>
      </c>
      <c r="FRB9" s="7164"/>
      <c r="FRC9" s="7157">
        <f>FRA9*FRC7</f>
        <v>0</v>
      </c>
      <c r="FRD9" s="7157"/>
      <c r="FRE9" s="7157"/>
      <c r="FRF9" s="7157"/>
      <c r="FRG9" s="7158"/>
      <c r="FRH9" s="7158"/>
      <c r="FRI9" s="7158"/>
      <c r="FRJ9" s="7158"/>
      <c r="FRK9" s="7158"/>
      <c r="FRL9" s="7159"/>
      <c r="FRM9" s="7152" t="s">
        <v>1012</v>
      </c>
      <c r="FRN9" s="7153"/>
      <c r="FRO9" s="7153"/>
      <c r="FRP9" s="7153"/>
      <c r="FRQ9" s="7163">
        <v>0.05</v>
      </c>
      <c r="FRR9" s="7164"/>
      <c r="FRS9" s="7157">
        <f>FRQ9*FRS7</f>
        <v>0</v>
      </c>
      <c r="FRT9" s="7157"/>
      <c r="FRU9" s="7157"/>
      <c r="FRV9" s="7157"/>
      <c r="FRW9" s="7158"/>
      <c r="FRX9" s="7158"/>
      <c r="FRY9" s="7158"/>
      <c r="FRZ9" s="7158"/>
      <c r="FSA9" s="7158"/>
      <c r="FSB9" s="7159"/>
      <c r="FSC9" s="7152" t="s">
        <v>1012</v>
      </c>
      <c r="FSD9" s="7153"/>
      <c r="FSE9" s="7153"/>
      <c r="FSF9" s="7153"/>
      <c r="FSG9" s="7163">
        <v>0.05</v>
      </c>
      <c r="FSH9" s="7164"/>
      <c r="FSI9" s="7157">
        <f>FSG9*FSI7</f>
        <v>0</v>
      </c>
      <c r="FSJ9" s="7157"/>
      <c r="FSK9" s="7157"/>
      <c r="FSL9" s="7157"/>
      <c r="FSM9" s="7158"/>
      <c r="FSN9" s="7158"/>
      <c r="FSO9" s="7158"/>
      <c r="FSP9" s="7158"/>
      <c r="FSQ9" s="7158"/>
      <c r="FSR9" s="7159"/>
      <c r="FSS9" s="7152" t="s">
        <v>1012</v>
      </c>
      <c r="FST9" s="7153"/>
      <c r="FSU9" s="7153"/>
      <c r="FSV9" s="7153"/>
      <c r="FSW9" s="7163">
        <v>0.05</v>
      </c>
      <c r="FSX9" s="7164"/>
      <c r="FSY9" s="7157">
        <f>FSW9*FSY7</f>
        <v>0</v>
      </c>
      <c r="FSZ9" s="7157"/>
      <c r="FTA9" s="7157"/>
      <c r="FTB9" s="7157"/>
      <c r="FTC9" s="7158"/>
      <c r="FTD9" s="7158"/>
      <c r="FTE9" s="7158"/>
      <c r="FTF9" s="7158"/>
      <c r="FTG9" s="7158"/>
      <c r="FTH9" s="7159"/>
      <c r="FTI9" s="7152" t="s">
        <v>1012</v>
      </c>
      <c r="FTJ9" s="7153"/>
      <c r="FTK9" s="7153"/>
      <c r="FTL9" s="7153"/>
      <c r="FTM9" s="7163">
        <v>0.05</v>
      </c>
      <c r="FTN9" s="7164"/>
      <c r="FTO9" s="7157">
        <f>FTM9*FTO7</f>
        <v>0</v>
      </c>
      <c r="FTP9" s="7157"/>
      <c r="FTQ9" s="7157"/>
      <c r="FTR9" s="7157"/>
      <c r="FTS9" s="7158"/>
      <c r="FTT9" s="7158"/>
      <c r="FTU9" s="7158"/>
      <c r="FTV9" s="7158"/>
      <c r="FTW9" s="7158"/>
      <c r="FTX9" s="7159"/>
      <c r="FTY9" s="7152" t="s">
        <v>1012</v>
      </c>
      <c r="FTZ9" s="7153"/>
      <c r="FUA9" s="7153"/>
      <c r="FUB9" s="7153"/>
      <c r="FUC9" s="7163">
        <v>0.05</v>
      </c>
      <c r="FUD9" s="7164"/>
      <c r="FUE9" s="7157">
        <f>FUC9*FUE7</f>
        <v>0</v>
      </c>
      <c r="FUF9" s="7157"/>
      <c r="FUG9" s="7157"/>
      <c r="FUH9" s="7157"/>
      <c r="FUI9" s="7158"/>
      <c r="FUJ9" s="7158"/>
      <c r="FUK9" s="7158"/>
      <c r="FUL9" s="7158"/>
      <c r="FUM9" s="7158"/>
      <c r="FUN9" s="7159"/>
      <c r="FUO9" s="7152" t="s">
        <v>1012</v>
      </c>
      <c r="FUP9" s="7153"/>
      <c r="FUQ9" s="7153"/>
      <c r="FUR9" s="7153"/>
      <c r="FUS9" s="7163">
        <v>0.05</v>
      </c>
      <c r="FUT9" s="7164"/>
      <c r="FUU9" s="7157">
        <f>FUS9*FUU7</f>
        <v>0</v>
      </c>
      <c r="FUV9" s="7157"/>
      <c r="FUW9" s="7157"/>
      <c r="FUX9" s="7157"/>
      <c r="FUY9" s="7158"/>
      <c r="FUZ9" s="7158"/>
      <c r="FVA9" s="7158"/>
      <c r="FVB9" s="7158"/>
      <c r="FVC9" s="7158"/>
      <c r="FVD9" s="7159"/>
      <c r="FVE9" s="7152" t="s">
        <v>1012</v>
      </c>
      <c r="FVF9" s="7153"/>
      <c r="FVG9" s="7153"/>
      <c r="FVH9" s="7153"/>
      <c r="FVI9" s="7163">
        <v>0.05</v>
      </c>
      <c r="FVJ9" s="7164"/>
      <c r="FVK9" s="7157">
        <f>FVI9*FVK7</f>
        <v>0</v>
      </c>
      <c r="FVL9" s="7157"/>
      <c r="FVM9" s="7157"/>
      <c r="FVN9" s="7157"/>
      <c r="FVO9" s="7158"/>
      <c r="FVP9" s="7158"/>
      <c r="FVQ9" s="7158"/>
      <c r="FVR9" s="7158"/>
      <c r="FVS9" s="7158"/>
      <c r="FVT9" s="7159"/>
      <c r="FVU9" s="7152" t="s">
        <v>1012</v>
      </c>
      <c r="FVV9" s="7153"/>
      <c r="FVW9" s="7153"/>
      <c r="FVX9" s="7153"/>
      <c r="FVY9" s="7163">
        <v>0.05</v>
      </c>
      <c r="FVZ9" s="7164"/>
      <c r="FWA9" s="7157">
        <f>FVY9*FWA7</f>
        <v>0</v>
      </c>
      <c r="FWB9" s="7157"/>
      <c r="FWC9" s="7157"/>
      <c r="FWD9" s="7157"/>
      <c r="FWE9" s="7158"/>
      <c r="FWF9" s="7158"/>
      <c r="FWG9" s="7158"/>
      <c r="FWH9" s="7158"/>
      <c r="FWI9" s="7158"/>
      <c r="FWJ9" s="7159"/>
      <c r="FWK9" s="7152" t="s">
        <v>1012</v>
      </c>
      <c r="FWL9" s="7153"/>
      <c r="FWM9" s="7153"/>
      <c r="FWN9" s="7153"/>
      <c r="FWO9" s="7163">
        <v>0.05</v>
      </c>
      <c r="FWP9" s="7164"/>
      <c r="FWQ9" s="7157">
        <f>FWO9*FWQ7</f>
        <v>0</v>
      </c>
      <c r="FWR9" s="7157"/>
      <c r="FWS9" s="7157"/>
      <c r="FWT9" s="7157"/>
      <c r="FWU9" s="7158"/>
      <c r="FWV9" s="7158"/>
      <c r="FWW9" s="7158"/>
      <c r="FWX9" s="7158"/>
      <c r="FWY9" s="7158"/>
      <c r="FWZ9" s="7159"/>
      <c r="FXA9" s="7152" t="s">
        <v>1012</v>
      </c>
      <c r="FXB9" s="7153"/>
      <c r="FXC9" s="7153"/>
      <c r="FXD9" s="7153"/>
      <c r="FXE9" s="7163">
        <v>0.05</v>
      </c>
      <c r="FXF9" s="7164"/>
      <c r="FXG9" s="7157">
        <f>FXE9*FXG7</f>
        <v>0</v>
      </c>
      <c r="FXH9" s="7157"/>
      <c r="FXI9" s="7157"/>
      <c r="FXJ9" s="7157"/>
      <c r="FXK9" s="7158"/>
      <c r="FXL9" s="7158"/>
      <c r="FXM9" s="7158"/>
      <c r="FXN9" s="7158"/>
      <c r="FXO9" s="7158"/>
      <c r="FXP9" s="7159"/>
      <c r="FXQ9" s="7152" t="s">
        <v>1012</v>
      </c>
      <c r="FXR9" s="7153"/>
      <c r="FXS9" s="7153"/>
      <c r="FXT9" s="7153"/>
      <c r="FXU9" s="7163">
        <v>0.05</v>
      </c>
      <c r="FXV9" s="7164"/>
      <c r="FXW9" s="7157">
        <f>FXU9*FXW7</f>
        <v>0</v>
      </c>
      <c r="FXX9" s="7157"/>
      <c r="FXY9" s="7157"/>
      <c r="FXZ9" s="7157"/>
      <c r="FYA9" s="7158"/>
      <c r="FYB9" s="7158"/>
      <c r="FYC9" s="7158"/>
      <c r="FYD9" s="7158"/>
      <c r="FYE9" s="7158"/>
      <c r="FYF9" s="7159"/>
      <c r="FYG9" s="7152" t="s">
        <v>1012</v>
      </c>
      <c r="FYH9" s="7153"/>
      <c r="FYI9" s="7153"/>
      <c r="FYJ9" s="7153"/>
      <c r="FYK9" s="7163">
        <v>0.05</v>
      </c>
      <c r="FYL9" s="7164"/>
      <c r="FYM9" s="7157">
        <f>FYK9*FYM7</f>
        <v>0</v>
      </c>
      <c r="FYN9" s="7157"/>
      <c r="FYO9" s="7157"/>
      <c r="FYP9" s="7157"/>
      <c r="FYQ9" s="7158"/>
      <c r="FYR9" s="7158"/>
      <c r="FYS9" s="7158"/>
      <c r="FYT9" s="7158"/>
      <c r="FYU9" s="7158"/>
      <c r="FYV9" s="7159"/>
      <c r="FYW9" s="7152" t="s">
        <v>1012</v>
      </c>
      <c r="FYX9" s="7153"/>
      <c r="FYY9" s="7153"/>
      <c r="FYZ9" s="7153"/>
      <c r="FZA9" s="7163">
        <v>0.05</v>
      </c>
      <c r="FZB9" s="7164"/>
      <c r="FZC9" s="7157">
        <f>FZA9*FZC7</f>
        <v>0</v>
      </c>
      <c r="FZD9" s="7157"/>
      <c r="FZE9" s="7157"/>
      <c r="FZF9" s="7157"/>
      <c r="FZG9" s="7158"/>
      <c r="FZH9" s="7158"/>
      <c r="FZI9" s="7158"/>
      <c r="FZJ9" s="7158"/>
      <c r="FZK9" s="7158"/>
      <c r="FZL9" s="7159"/>
      <c r="FZM9" s="7152" t="s">
        <v>1012</v>
      </c>
      <c r="FZN9" s="7153"/>
      <c r="FZO9" s="7153"/>
      <c r="FZP9" s="7153"/>
      <c r="FZQ9" s="7163">
        <v>0.05</v>
      </c>
      <c r="FZR9" s="7164"/>
      <c r="FZS9" s="7157">
        <f>FZQ9*FZS7</f>
        <v>0</v>
      </c>
      <c r="FZT9" s="7157"/>
      <c r="FZU9" s="7157"/>
      <c r="FZV9" s="7157"/>
      <c r="FZW9" s="7158"/>
      <c r="FZX9" s="7158"/>
      <c r="FZY9" s="7158"/>
      <c r="FZZ9" s="7158"/>
      <c r="GAA9" s="7158"/>
      <c r="GAB9" s="7159"/>
      <c r="GAC9" s="7152" t="s">
        <v>1012</v>
      </c>
      <c r="GAD9" s="7153"/>
      <c r="GAE9" s="7153"/>
      <c r="GAF9" s="7153"/>
      <c r="GAG9" s="7163">
        <v>0.05</v>
      </c>
      <c r="GAH9" s="7164"/>
      <c r="GAI9" s="7157">
        <f>GAG9*GAI7</f>
        <v>0</v>
      </c>
      <c r="GAJ9" s="7157"/>
      <c r="GAK9" s="7157"/>
      <c r="GAL9" s="7157"/>
      <c r="GAM9" s="7158"/>
      <c r="GAN9" s="7158"/>
      <c r="GAO9" s="7158"/>
      <c r="GAP9" s="7158"/>
      <c r="GAQ9" s="7158"/>
      <c r="GAR9" s="7159"/>
      <c r="GAS9" s="7152" t="s">
        <v>1012</v>
      </c>
      <c r="GAT9" s="7153"/>
      <c r="GAU9" s="7153"/>
      <c r="GAV9" s="7153"/>
      <c r="GAW9" s="7163">
        <v>0.05</v>
      </c>
      <c r="GAX9" s="7164"/>
      <c r="GAY9" s="7157">
        <f>GAW9*GAY7</f>
        <v>0</v>
      </c>
      <c r="GAZ9" s="7157"/>
      <c r="GBA9" s="7157"/>
      <c r="GBB9" s="7157"/>
      <c r="GBC9" s="7158"/>
      <c r="GBD9" s="7158"/>
      <c r="GBE9" s="7158"/>
      <c r="GBF9" s="7158"/>
      <c r="GBG9" s="7158"/>
      <c r="GBH9" s="7159"/>
      <c r="GBI9" s="7152" t="s">
        <v>1012</v>
      </c>
      <c r="GBJ9" s="7153"/>
      <c r="GBK9" s="7153"/>
      <c r="GBL9" s="7153"/>
      <c r="GBM9" s="7163">
        <v>0.05</v>
      </c>
      <c r="GBN9" s="7164"/>
      <c r="GBO9" s="7157">
        <f>GBM9*GBO7</f>
        <v>0</v>
      </c>
      <c r="GBP9" s="7157"/>
      <c r="GBQ9" s="7157"/>
      <c r="GBR9" s="7157"/>
      <c r="GBS9" s="7158"/>
      <c r="GBT9" s="7158"/>
      <c r="GBU9" s="7158"/>
      <c r="GBV9" s="7158"/>
      <c r="GBW9" s="7158"/>
      <c r="GBX9" s="7159"/>
      <c r="GBY9" s="7152" t="s">
        <v>1012</v>
      </c>
      <c r="GBZ9" s="7153"/>
      <c r="GCA9" s="7153"/>
      <c r="GCB9" s="7153"/>
      <c r="GCC9" s="7163">
        <v>0.05</v>
      </c>
      <c r="GCD9" s="7164"/>
      <c r="GCE9" s="7157">
        <f>GCC9*GCE7</f>
        <v>0</v>
      </c>
      <c r="GCF9" s="7157"/>
      <c r="GCG9" s="7157"/>
      <c r="GCH9" s="7157"/>
      <c r="GCI9" s="7158"/>
      <c r="GCJ9" s="7158"/>
      <c r="GCK9" s="7158"/>
      <c r="GCL9" s="7158"/>
      <c r="GCM9" s="7158"/>
      <c r="GCN9" s="7159"/>
      <c r="GCO9" s="7152" t="s">
        <v>1012</v>
      </c>
      <c r="GCP9" s="7153"/>
      <c r="GCQ9" s="7153"/>
      <c r="GCR9" s="7153"/>
      <c r="GCS9" s="7163">
        <v>0.05</v>
      </c>
      <c r="GCT9" s="7164"/>
      <c r="GCU9" s="7157">
        <f>GCS9*GCU7</f>
        <v>0</v>
      </c>
      <c r="GCV9" s="7157"/>
      <c r="GCW9" s="7157"/>
      <c r="GCX9" s="7157"/>
      <c r="GCY9" s="7158"/>
      <c r="GCZ9" s="7158"/>
      <c r="GDA9" s="7158"/>
      <c r="GDB9" s="7158"/>
      <c r="GDC9" s="7158"/>
      <c r="GDD9" s="7159"/>
      <c r="GDE9" s="7152" t="s">
        <v>1012</v>
      </c>
      <c r="GDF9" s="7153"/>
      <c r="GDG9" s="7153"/>
      <c r="GDH9" s="7153"/>
      <c r="GDI9" s="7163">
        <v>0.05</v>
      </c>
      <c r="GDJ9" s="7164"/>
      <c r="GDK9" s="7157">
        <f>GDI9*GDK7</f>
        <v>0</v>
      </c>
      <c r="GDL9" s="7157"/>
      <c r="GDM9" s="7157"/>
      <c r="GDN9" s="7157"/>
      <c r="GDO9" s="7158"/>
      <c r="GDP9" s="7158"/>
      <c r="GDQ9" s="7158"/>
      <c r="GDR9" s="7158"/>
      <c r="GDS9" s="7158"/>
      <c r="GDT9" s="7159"/>
      <c r="GDU9" s="7152" t="s">
        <v>1012</v>
      </c>
      <c r="GDV9" s="7153"/>
      <c r="GDW9" s="7153"/>
      <c r="GDX9" s="7153"/>
      <c r="GDY9" s="7163">
        <v>0.05</v>
      </c>
      <c r="GDZ9" s="7164"/>
      <c r="GEA9" s="7157">
        <f>GDY9*GEA7</f>
        <v>0</v>
      </c>
      <c r="GEB9" s="7157"/>
      <c r="GEC9" s="7157"/>
      <c r="GED9" s="7157"/>
      <c r="GEE9" s="7158"/>
      <c r="GEF9" s="7158"/>
      <c r="GEG9" s="7158"/>
      <c r="GEH9" s="7158"/>
      <c r="GEI9" s="7158"/>
      <c r="GEJ9" s="7159"/>
      <c r="GEK9" s="7152" t="s">
        <v>1012</v>
      </c>
      <c r="GEL9" s="7153"/>
      <c r="GEM9" s="7153"/>
      <c r="GEN9" s="7153"/>
      <c r="GEO9" s="7163">
        <v>0.05</v>
      </c>
      <c r="GEP9" s="7164"/>
      <c r="GEQ9" s="7157">
        <f>GEO9*GEQ7</f>
        <v>0</v>
      </c>
      <c r="GER9" s="7157"/>
      <c r="GES9" s="7157"/>
      <c r="GET9" s="7157"/>
      <c r="GEU9" s="7158"/>
      <c r="GEV9" s="7158"/>
      <c r="GEW9" s="7158"/>
      <c r="GEX9" s="7158"/>
      <c r="GEY9" s="7158"/>
      <c r="GEZ9" s="7159"/>
      <c r="GFA9" s="7152" t="s">
        <v>1012</v>
      </c>
      <c r="GFB9" s="7153"/>
      <c r="GFC9" s="7153"/>
      <c r="GFD9" s="7153"/>
      <c r="GFE9" s="7163">
        <v>0.05</v>
      </c>
      <c r="GFF9" s="7164"/>
      <c r="GFG9" s="7157">
        <f>GFE9*GFG7</f>
        <v>0</v>
      </c>
      <c r="GFH9" s="7157"/>
      <c r="GFI9" s="7157"/>
      <c r="GFJ9" s="7157"/>
      <c r="GFK9" s="7158"/>
      <c r="GFL9" s="7158"/>
      <c r="GFM9" s="7158"/>
      <c r="GFN9" s="7158"/>
      <c r="GFO9" s="7158"/>
      <c r="GFP9" s="7159"/>
      <c r="GFQ9" s="7152" t="s">
        <v>1012</v>
      </c>
      <c r="GFR9" s="7153"/>
      <c r="GFS9" s="7153"/>
      <c r="GFT9" s="7153"/>
      <c r="GFU9" s="7163">
        <v>0.05</v>
      </c>
      <c r="GFV9" s="7164"/>
      <c r="GFW9" s="7157">
        <f>GFU9*GFW7</f>
        <v>0</v>
      </c>
      <c r="GFX9" s="7157"/>
      <c r="GFY9" s="7157"/>
      <c r="GFZ9" s="7157"/>
      <c r="GGA9" s="7158"/>
      <c r="GGB9" s="7158"/>
      <c r="GGC9" s="7158"/>
      <c r="GGD9" s="7158"/>
      <c r="GGE9" s="7158"/>
      <c r="GGF9" s="7159"/>
      <c r="GGG9" s="7152" t="s">
        <v>1012</v>
      </c>
      <c r="GGH9" s="7153"/>
      <c r="GGI9" s="7153"/>
      <c r="GGJ9" s="7153"/>
      <c r="GGK9" s="7163">
        <v>0.05</v>
      </c>
      <c r="GGL9" s="7164"/>
      <c r="GGM9" s="7157">
        <f>GGK9*GGM7</f>
        <v>0</v>
      </c>
      <c r="GGN9" s="7157"/>
      <c r="GGO9" s="7157"/>
      <c r="GGP9" s="7157"/>
      <c r="GGQ9" s="7158"/>
      <c r="GGR9" s="7158"/>
      <c r="GGS9" s="7158"/>
      <c r="GGT9" s="7158"/>
      <c r="GGU9" s="7158"/>
      <c r="GGV9" s="7159"/>
      <c r="GGW9" s="7152" t="s">
        <v>1012</v>
      </c>
      <c r="GGX9" s="7153"/>
      <c r="GGY9" s="7153"/>
      <c r="GGZ9" s="7153"/>
      <c r="GHA9" s="7163">
        <v>0.05</v>
      </c>
      <c r="GHB9" s="7164"/>
      <c r="GHC9" s="7157">
        <f>GHA9*GHC7</f>
        <v>0</v>
      </c>
      <c r="GHD9" s="7157"/>
      <c r="GHE9" s="7157"/>
      <c r="GHF9" s="7157"/>
      <c r="GHG9" s="7158"/>
      <c r="GHH9" s="7158"/>
      <c r="GHI9" s="7158"/>
      <c r="GHJ9" s="7158"/>
      <c r="GHK9" s="7158"/>
      <c r="GHL9" s="7159"/>
      <c r="GHM9" s="7152" t="s">
        <v>1012</v>
      </c>
      <c r="GHN9" s="7153"/>
      <c r="GHO9" s="7153"/>
      <c r="GHP9" s="7153"/>
      <c r="GHQ9" s="7163">
        <v>0.05</v>
      </c>
      <c r="GHR9" s="7164"/>
      <c r="GHS9" s="7157">
        <f>GHQ9*GHS7</f>
        <v>0</v>
      </c>
      <c r="GHT9" s="7157"/>
      <c r="GHU9" s="7157"/>
      <c r="GHV9" s="7157"/>
      <c r="GHW9" s="7158"/>
      <c r="GHX9" s="7158"/>
      <c r="GHY9" s="7158"/>
      <c r="GHZ9" s="7158"/>
      <c r="GIA9" s="7158"/>
      <c r="GIB9" s="7159"/>
      <c r="GIC9" s="7152" t="s">
        <v>1012</v>
      </c>
      <c r="GID9" s="7153"/>
      <c r="GIE9" s="7153"/>
      <c r="GIF9" s="7153"/>
      <c r="GIG9" s="7163">
        <v>0.05</v>
      </c>
      <c r="GIH9" s="7164"/>
      <c r="GII9" s="7157">
        <f>GIG9*GII7</f>
        <v>0</v>
      </c>
      <c r="GIJ9" s="7157"/>
      <c r="GIK9" s="7157"/>
      <c r="GIL9" s="7157"/>
      <c r="GIM9" s="7158"/>
      <c r="GIN9" s="7158"/>
      <c r="GIO9" s="7158"/>
      <c r="GIP9" s="7158"/>
      <c r="GIQ9" s="7158"/>
      <c r="GIR9" s="7159"/>
      <c r="GIS9" s="7152" t="s">
        <v>1012</v>
      </c>
      <c r="GIT9" s="7153"/>
      <c r="GIU9" s="7153"/>
      <c r="GIV9" s="7153"/>
      <c r="GIW9" s="7163">
        <v>0.05</v>
      </c>
      <c r="GIX9" s="7164"/>
      <c r="GIY9" s="7157">
        <f>GIW9*GIY7</f>
        <v>0</v>
      </c>
      <c r="GIZ9" s="7157"/>
      <c r="GJA9" s="7157"/>
      <c r="GJB9" s="7157"/>
      <c r="GJC9" s="7158"/>
      <c r="GJD9" s="7158"/>
      <c r="GJE9" s="7158"/>
      <c r="GJF9" s="7158"/>
      <c r="GJG9" s="7158"/>
      <c r="GJH9" s="7159"/>
      <c r="GJI9" s="7152" t="s">
        <v>1012</v>
      </c>
      <c r="GJJ9" s="7153"/>
      <c r="GJK9" s="7153"/>
      <c r="GJL9" s="7153"/>
      <c r="GJM9" s="7163">
        <v>0.05</v>
      </c>
      <c r="GJN9" s="7164"/>
      <c r="GJO9" s="7157">
        <f>GJM9*GJO7</f>
        <v>0</v>
      </c>
      <c r="GJP9" s="7157"/>
      <c r="GJQ9" s="7157"/>
      <c r="GJR9" s="7157"/>
      <c r="GJS9" s="7158"/>
      <c r="GJT9" s="7158"/>
      <c r="GJU9" s="7158"/>
      <c r="GJV9" s="7158"/>
      <c r="GJW9" s="7158"/>
      <c r="GJX9" s="7159"/>
      <c r="GJY9" s="7152" t="s">
        <v>1012</v>
      </c>
      <c r="GJZ9" s="7153"/>
      <c r="GKA9" s="7153"/>
      <c r="GKB9" s="7153"/>
      <c r="GKC9" s="7163">
        <v>0.05</v>
      </c>
      <c r="GKD9" s="7164"/>
      <c r="GKE9" s="7157">
        <f>GKC9*GKE7</f>
        <v>0</v>
      </c>
      <c r="GKF9" s="7157"/>
      <c r="GKG9" s="7157"/>
      <c r="GKH9" s="7157"/>
      <c r="GKI9" s="7158"/>
      <c r="GKJ9" s="7158"/>
      <c r="GKK9" s="7158"/>
      <c r="GKL9" s="7158"/>
      <c r="GKM9" s="7158"/>
      <c r="GKN9" s="7159"/>
      <c r="GKO9" s="7152" t="s">
        <v>1012</v>
      </c>
      <c r="GKP9" s="7153"/>
      <c r="GKQ9" s="7153"/>
      <c r="GKR9" s="7153"/>
      <c r="GKS9" s="7163">
        <v>0.05</v>
      </c>
      <c r="GKT9" s="7164"/>
      <c r="GKU9" s="7157">
        <f>GKS9*GKU7</f>
        <v>0</v>
      </c>
      <c r="GKV9" s="7157"/>
      <c r="GKW9" s="7157"/>
      <c r="GKX9" s="7157"/>
      <c r="GKY9" s="7158"/>
      <c r="GKZ9" s="7158"/>
      <c r="GLA9" s="7158"/>
      <c r="GLB9" s="7158"/>
      <c r="GLC9" s="7158"/>
      <c r="GLD9" s="7159"/>
      <c r="GLE9" s="7152" t="s">
        <v>1012</v>
      </c>
      <c r="GLF9" s="7153"/>
      <c r="GLG9" s="7153"/>
      <c r="GLH9" s="7153"/>
      <c r="GLI9" s="7163">
        <v>0.05</v>
      </c>
      <c r="GLJ9" s="7164"/>
      <c r="GLK9" s="7157">
        <f>GLI9*GLK7</f>
        <v>0</v>
      </c>
      <c r="GLL9" s="7157"/>
      <c r="GLM9" s="7157"/>
      <c r="GLN9" s="7157"/>
      <c r="GLO9" s="7158"/>
      <c r="GLP9" s="7158"/>
      <c r="GLQ9" s="7158"/>
      <c r="GLR9" s="7158"/>
      <c r="GLS9" s="7158"/>
      <c r="GLT9" s="7159"/>
      <c r="GLU9" s="7152" t="s">
        <v>1012</v>
      </c>
      <c r="GLV9" s="7153"/>
      <c r="GLW9" s="7153"/>
      <c r="GLX9" s="7153"/>
      <c r="GLY9" s="7163">
        <v>0.05</v>
      </c>
      <c r="GLZ9" s="7164"/>
      <c r="GMA9" s="7157">
        <f>GLY9*GMA7</f>
        <v>0</v>
      </c>
      <c r="GMB9" s="7157"/>
      <c r="GMC9" s="7157"/>
      <c r="GMD9" s="7157"/>
      <c r="GME9" s="7158"/>
      <c r="GMF9" s="7158"/>
      <c r="GMG9" s="7158"/>
      <c r="GMH9" s="7158"/>
      <c r="GMI9" s="7158"/>
      <c r="GMJ9" s="7159"/>
      <c r="GMK9" s="7152" t="s">
        <v>1012</v>
      </c>
      <c r="GML9" s="7153"/>
      <c r="GMM9" s="7153"/>
      <c r="GMN9" s="7153"/>
      <c r="GMO9" s="7163">
        <v>0.05</v>
      </c>
      <c r="GMP9" s="7164"/>
      <c r="GMQ9" s="7157">
        <f>GMO9*GMQ7</f>
        <v>0</v>
      </c>
      <c r="GMR9" s="7157"/>
      <c r="GMS9" s="7157"/>
      <c r="GMT9" s="7157"/>
      <c r="GMU9" s="7158"/>
      <c r="GMV9" s="7158"/>
      <c r="GMW9" s="7158"/>
      <c r="GMX9" s="7158"/>
      <c r="GMY9" s="7158"/>
      <c r="GMZ9" s="7159"/>
      <c r="GNA9" s="7152" t="s">
        <v>1012</v>
      </c>
      <c r="GNB9" s="7153"/>
      <c r="GNC9" s="7153"/>
      <c r="GND9" s="7153"/>
      <c r="GNE9" s="7163">
        <v>0.05</v>
      </c>
      <c r="GNF9" s="7164"/>
      <c r="GNG9" s="7157">
        <f>GNE9*GNG7</f>
        <v>0</v>
      </c>
      <c r="GNH9" s="7157"/>
      <c r="GNI9" s="7157"/>
      <c r="GNJ9" s="7157"/>
      <c r="GNK9" s="7158"/>
      <c r="GNL9" s="7158"/>
      <c r="GNM9" s="7158"/>
      <c r="GNN9" s="7158"/>
      <c r="GNO9" s="7158"/>
      <c r="GNP9" s="7159"/>
      <c r="GNQ9" s="7152" t="s">
        <v>1012</v>
      </c>
      <c r="GNR9" s="7153"/>
      <c r="GNS9" s="7153"/>
      <c r="GNT9" s="7153"/>
      <c r="GNU9" s="7163">
        <v>0.05</v>
      </c>
      <c r="GNV9" s="7164"/>
      <c r="GNW9" s="7157">
        <f>GNU9*GNW7</f>
        <v>0</v>
      </c>
      <c r="GNX9" s="7157"/>
      <c r="GNY9" s="7157"/>
      <c r="GNZ9" s="7157"/>
      <c r="GOA9" s="7158"/>
      <c r="GOB9" s="7158"/>
      <c r="GOC9" s="7158"/>
      <c r="GOD9" s="7158"/>
      <c r="GOE9" s="7158"/>
      <c r="GOF9" s="7159"/>
      <c r="GOG9" s="7152" t="s">
        <v>1012</v>
      </c>
      <c r="GOH9" s="7153"/>
      <c r="GOI9" s="7153"/>
      <c r="GOJ9" s="7153"/>
      <c r="GOK9" s="7163">
        <v>0.05</v>
      </c>
      <c r="GOL9" s="7164"/>
      <c r="GOM9" s="7157">
        <f>GOK9*GOM7</f>
        <v>0</v>
      </c>
      <c r="GON9" s="7157"/>
      <c r="GOO9" s="7157"/>
      <c r="GOP9" s="7157"/>
      <c r="GOQ9" s="7158"/>
      <c r="GOR9" s="7158"/>
      <c r="GOS9" s="7158"/>
      <c r="GOT9" s="7158"/>
      <c r="GOU9" s="7158"/>
      <c r="GOV9" s="7159"/>
      <c r="GOW9" s="7152" t="s">
        <v>1012</v>
      </c>
      <c r="GOX9" s="7153"/>
      <c r="GOY9" s="7153"/>
      <c r="GOZ9" s="7153"/>
      <c r="GPA9" s="7163">
        <v>0.05</v>
      </c>
      <c r="GPB9" s="7164"/>
      <c r="GPC9" s="7157">
        <f>GPA9*GPC7</f>
        <v>0</v>
      </c>
      <c r="GPD9" s="7157"/>
      <c r="GPE9" s="7157"/>
      <c r="GPF9" s="7157"/>
      <c r="GPG9" s="7158"/>
      <c r="GPH9" s="7158"/>
      <c r="GPI9" s="7158"/>
      <c r="GPJ9" s="7158"/>
      <c r="GPK9" s="7158"/>
      <c r="GPL9" s="7159"/>
      <c r="GPM9" s="7152" t="s">
        <v>1012</v>
      </c>
      <c r="GPN9" s="7153"/>
      <c r="GPO9" s="7153"/>
      <c r="GPP9" s="7153"/>
      <c r="GPQ9" s="7163">
        <v>0.05</v>
      </c>
      <c r="GPR9" s="7164"/>
      <c r="GPS9" s="7157">
        <f>GPQ9*GPS7</f>
        <v>0</v>
      </c>
      <c r="GPT9" s="7157"/>
      <c r="GPU9" s="7157"/>
      <c r="GPV9" s="7157"/>
      <c r="GPW9" s="7158"/>
      <c r="GPX9" s="7158"/>
      <c r="GPY9" s="7158"/>
      <c r="GPZ9" s="7158"/>
      <c r="GQA9" s="7158"/>
      <c r="GQB9" s="7159"/>
      <c r="GQC9" s="7152" t="s">
        <v>1012</v>
      </c>
      <c r="GQD9" s="7153"/>
      <c r="GQE9" s="7153"/>
      <c r="GQF9" s="7153"/>
      <c r="GQG9" s="7163">
        <v>0.05</v>
      </c>
      <c r="GQH9" s="7164"/>
      <c r="GQI9" s="7157">
        <f>GQG9*GQI7</f>
        <v>0</v>
      </c>
      <c r="GQJ9" s="7157"/>
      <c r="GQK9" s="7157"/>
      <c r="GQL9" s="7157"/>
      <c r="GQM9" s="7158"/>
      <c r="GQN9" s="7158"/>
      <c r="GQO9" s="7158"/>
      <c r="GQP9" s="7158"/>
      <c r="GQQ9" s="7158"/>
      <c r="GQR9" s="7159"/>
      <c r="GQS9" s="7152" t="s">
        <v>1012</v>
      </c>
      <c r="GQT9" s="7153"/>
      <c r="GQU9" s="7153"/>
      <c r="GQV9" s="7153"/>
      <c r="GQW9" s="7163">
        <v>0.05</v>
      </c>
      <c r="GQX9" s="7164"/>
      <c r="GQY9" s="7157">
        <f>GQW9*GQY7</f>
        <v>0</v>
      </c>
      <c r="GQZ9" s="7157"/>
      <c r="GRA9" s="7157"/>
      <c r="GRB9" s="7157"/>
      <c r="GRC9" s="7158"/>
      <c r="GRD9" s="7158"/>
      <c r="GRE9" s="7158"/>
      <c r="GRF9" s="7158"/>
      <c r="GRG9" s="7158"/>
      <c r="GRH9" s="7159"/>
      <c r="GRI9" s="7152" t="s">
        <v>1012</v>
      </c>
      <c r="GRJ9" s="7153"/>
      <c r="GRK9" s="7153"/>
      <c r="GRL9" s="7153"/>
      <c r="GRM9" s="7163">
        <v>0.05</v>
      </c>
      <c r="GRN9" s="7164"/>
      <c r="GRO9" s="7157">
        <f>GRM9*GRO7</f>
        <v>0</v>
      </c>
      <c r="GRP9" s="7157"/>
      <c r="GRQ9" s="7157"/>
      <c r="GRR9" s="7157"/>
      <c r="GRS9" s="7158"/>
      <c r="GRT9" s="7158"/>
      <c r="GRU9" s="7158"/>
      <c r="GRV9" s="7158"/>
      <c r="GRW9" s="7158"/>
      <c r="GRX9" s="7159"/>
      <c r="GRY9" s="7152" t="s">
        <v>1012</v>
      </c>
      <c r="GRZ9" s="7153"/>
      <c r="GSA9" s="7153"/>
      <c r="GSB9" s="7153"/>
      <c r="GSC9" s="7163">
        <v>0.05</v>
      </c>
      <c r="GSD9" s="7164"/>
      <c r="GSE9" s="7157">
        <f>GSC9*GSE7</f>
        <v>0</v>
      </c>
      <c r="GSF9" s="7157"/>
      <c r="GSG9" s="7157"/>
      <c r="GSH9" s="7157"/>
      <c r="GSI9" s="7158"/>
      <c r="GSJ9" s="7158"/>
      <c r="GSK9" s="7158"/>
      <c r="GSL9" s="7158"/>
      <c r="GSM9" s="7158"/>
      <c r="GSN9" s="7159"/>
      <c r="GSO9" s="7152" t="s">
        <v>1012</v>
      </c>
      <c r="GSP9" s="7153"/>
      <c r="GSQ9" s="7153"/>
      <c r="GSR9" s="7153"/>
      <c r="GSS9" s="7163">
        <v>0.05</v>
      </c>
      <c r="GST9" s="7164"/>
      <c r="GSU9" s="7157">
        <f>GSS9*GSU7</f>
        <v>0</v>
      </c>
      <c r="GSV9" s="7157"/>
      <c r="GSW9" s="7157"/>
      <c r="GSX9" s="7157"/>
      <c r="GSY9" s="7158"/>
      <c r="GSZ9" s="7158"/>
      <c r="GTA9" s="7158"/>
      <c r="GTB9" s="7158"/>
      <c r="GTC9" s="7158"/>
      <c r="GTD9" s="7159"/>
      <c r="GTE9" s="7152" t="s">
        <v>1012</v>
      </c>
      <c r="GTF9" s="7153"/>
      <c r="GTG9" s="7153"/>
      <c r="GTH9" s="7153"/>
      <c r="GTI9" s="7163">
        <v>0.05</v>
      </c>
      <c r="GTJ9" s="7164"/>
      <c r="GTK9" s="7157">
        <f>GTI9*GTK7</f>
        <v>0</v>
      </c>
      <c r="GTL9" s="7157"/>
      <c r="GTM9" s="7157"/>
      <c r="GTN9" s="7157"/>
      <c r="GTO9" s="7158"/>
      <c r="GTP9" s="7158"/>
      <c r="GTQ9" s="7158"/>
      <c r="GTR9" s="7158"/>
      <c r="GTS9" s="7158"/>
      <c r="GTT9" s="7159"/>
      <c r="GTU9" s="7152" t="s">
        <v>1012</v>
      </c>
      <c r="GTV9" s="7153"/>
      <c r="GTW9" s="7153"/>
      <c r="GTX9" s="7153"/>
      <c r="GTY9" s="7163">
        <v>0.05</v>
      </c>
      <c r="GTZ9" s="7164"/>
      <c r="GUA9" s="7157">
        <f>GTY9*GUA7</f>
        <v>0</v>
      </c>
      <c r="GUB9" s="7157"/>
      <c r="GUC9" s="7157"/>
      <c r="GUD9" s="7157"/>
      <c r="GUE9" s="7158"/>
      <c r="GUF9" s="7158"/>
      <c r="GUG9" s="7158"/>
      <c r="GUH9" s="7158"/>
      <c r="GUI9" s="7158"/>
      <c r="GUJ9" s="7159"/>
      <c r="GUK9" s="7152" t="s">
        <v>1012</v>
      </c>
      <c r="GUL9" s="7153"/>
      <c r="GUM9" s="7153"/>
      <c r="GUN9" s="7153"/>
      <c r="GUO9" s="7163">
        <v>0.05</v>
      </c>
      <c r="GUP9" s="7164"/>
      <c r="GUQ9" s="7157">
        <f>GUO9*GUQ7</f>
        <v>0</v>
      </c>
      <c r="GUR9" s="7157"/>
      <c r="GUS9" s="7157"/>
      <c r="GUT9" s="7157"/>
      <c r="GUU9" s="7158"/>
      <c r="GUV9" s="7158"/>
      <c r="GUW9" s="7158"/>
      <c r="GUX9" s="7158"/>
      <c r="GUY9" s="7158"/>
      <c r="GUZ9" s="7159"/>
      <c r="GVA9" s="7152" t="s">
        <v>1012</v>
      </c>
      <c r="GVB9" s="7153"/>
      <c r="GVC9" s="7153"/>
      <c r="GVD9" s="7153"/>
      <c r="GVE9" s="7163">
        <v>0.05</v>
      </c>
      <c r="GVF9" s="7164"/>
      <c r="GVG9" s="7157">
        <f>GVE9*GVG7</f>
        <v>0</v>
      </c>
      <c r="GVH9" s="7157"/>
      <c r="GVI9" s="7157"/>
      <c r="GVJ9" s="7157"/>
      <c r="GVK9" s="7158"/>
      <c r="GVL9" s="7158"/>
      <c r="GVM9" s="7158"/>
      <c r="GVN9" s="7158"/>
      <c r="GVO9" s="7158"/>
      <c r="GVP9" s="7159"/>
      <c r="GVQ9" s="7152" t="s">
        <v>1012</v>
      </c>
      <c r="GVR9" s="7153"/>
      <c r="GVS9" s="7153"/>
      <c r="GVT9" s="7153"/>
      <c r="GVU9" s="7163">
        <v>0.05</v>
      </c>
      <c r="GVV9" s="7164"/>
      <c r="GVW9" s="7157">
        <f>GVU9*GVW7</f>
        <v>0</v>
      </c>
      <c r="GVX9" s="7157"/>
      <c r="GVY9" s="7157"/>
      <c r="GVZ9" s="7157"/>
      <c r="GWA9" s="7158"/>
      <c r="GWB9" s="7158"/>
      <c r="GWC9" s="7158"/>
      <c r="GWD9" s="7158"/>
      <c r="GWE9" s="7158"/>
      <c r="GWF9" s="7159"/>
      <c r="GWG9" s="7152" t="s">
        <v>1012</v>
      </c>
      <c r="GWH9" s="7153"/>
      <c r="GWI9" s="7153"/>
      <c r="GWJ9" s="7153"/>
      <c r="GWK9" s="7163">
        <v>0.05</v>
      </c>
      <c r="GWL9" s="7164"/>
      <c r="GWM9" s="7157">
        <f>GWK9*GWM7</f>
        <v>0</v>
      </c>
      <c r="GWN9" s="7157"/>
      <c r="GWO9" s="7157"/>
      <c r="GWP9" s="7157"/>
      <c r="GWQ9" s="7158"/>
      <c r="GWR9" s="7158"/>
      <c r="GWS9" s="7158"/>
      <c r="GWT9" s="7158"/>
      <c r="GWU9" s="7158"/>
      <c r="GWV9" s="7159"/>
      <c r="GWW9" s="7152" t="s">
        <v>1012</v>
      </c>
      <c r="GWX9" s="7153"/>
      <c r="GWY9" s="7153"/>
      <c r="GWZ9" s="7153"/>
      <c r="GXA9" s="7163">
        <v>0.05</v>
      </c>
      <c r="GXB9" s="7164"/>
      <c r="GXC9" s="7157">
        <f>GXA9*GXC7</f>
        <v>0</v>
      </c>
      <c r="GXD9" s="7157"/>
      <c r="GXE9" s="7157"/>
      <c r="GXF9" s="7157"/>
      <c r="GXG9" s="7158"/>
      <c r="GXH9" s="7158"/>
      <c r="GXI9" s="7158"/>
      <c r="GXJ9" s="7158"/>
      <c r="GXK9" s="7158"/>
      <c r="GXL9" s="7159"/>
      <c r="GXM9" s="7152" t="s">
        <v>1012</v>
      </c>
      <c r="GXN9" s="7153"/>
      <c r="GXO9" s="7153"/>
      <c r="GXP9" s="7153"/>
      <c r="GXQ9" s="7163">
        <v>0.05</v>
      </c>
      <c r="GXR9" s="7164"/>
      <c r="GXS9" s="7157">
        <f>GXQ9*GXS7</f>
        <v>0</v>
      </c>
      <c r="GXT9" s="7157"/>
      <c r="GXU9" s="7157"/>
      <c r="GXV9" s="7157"/>
      <c r="GXW9" s="7158"/>
      <c r="GXX9" s="7158"/>
      <c r="GXY9" s="7158"/>
      <c r="GXZ9" s="7158"/>
      <c r="GYA9" s="7158"/>
      <c r="GYB9" s="7159"/>
      <c r="GYC9" s="7152" t="s">
        <v>1012</v>
      </c>
      <c r="GYD9" s="7153"/>
      <c r="GYE9" s="7153"/>
      <c r="GYF9" s="7153"/>
      <c r="GYG9" s="7163">
        <v>0.05</v>
      </c>
      <c r="GYH9" s="7164"/>
      <c r="GYI9" s="7157">
        <f>GYG9*GYI7</f>
        <v>0</v>
      </c>
      <c r="GYJ9" s="7157"/>
      <c r="GYK9" s="7157"/>
      <c r="GYL9" s="7157"/>
      <c r="GYM9" s="7158"/>
      <c r="GYN9" s="7158"/>
      <c r="GYO9" s="7158"/>
      <c r="GYP9" s="7158"/>
      <c r="GYQ9" s="7158"/>
      <c r="GYR9" s="7159"/>
      <c r="GYS9" s="7152" t="s">
        <v>1012</v>
      </c>
      <c r="GYT9" s="7153"/>
      <c r="GYU9" s="7153"/>
      <c r="GYV9" s="7153"/>
      <c r="GYW9" s="7163">
        <v>0.05</v>
      </c>
      <c r="GYX9" s="7164"/>
      <c r="GYY9" s="7157">
        <f>GYW9*GYY7</f>
        <v>0</v>
      </c>
      <c r="GYZ9" s="7157"/>
      <c r="GZA9" s="7157"/>
      <c r="GZB9" s="7157"/>
      <c r="GZC9" s="7158"/>
      <c r="GZD9" s="7158"/>
      <c r="GZE9" s="7158"/>
      <c r="GZF9" s="7158"/>
      <c r="GZG9" s="7158"/>
      <c r="GZH9" s="7159"/>
      <c r="GZI9" s="7152" t="s">
        <v>1012</v>
      </c>
      <c r="GZJ9" s="7153"/>
      <c r="GZK9" s="7153"/>
      <c r="GZL9" s="7153"/>
      <c r="GZM9" s="7163">
        <v>0.05</v>
      </c>
      <c r="GZN9" s="7164"/>
      <c r="GZO9" s="7157">
        <f>GZM9*GZO7</f>
        <v>0</v>
      </c>
      <c r="GZP9" s="7157"/>
      <c r="GZQ9" s="7157"/>
      <c r="GZR9" s="7157"/>
      <c r="GZS9" s="7158"/>
      <c r="GZT9" s="7158"/>
      <c r="GZU9" s="7158"/>
      <c r="GZV9" s="7158"/>
      <c r="GZW9" s="7158"/>
      <c r="GZX9" s="7159"/>
      <c r="GZY9" s="7152" t="s">
        <v>1012</v>
      </c>
      <c r="GZZ9" s="7153"/>
      <c r="HAA9" s="7153"/>
      <c r="HAB9" s="7153"/>
      <c r="HAC9" s="7163">
        <v>0.05</v>
      </c>
      <c r="HAD9" s="7164"/>
      <c r="HAE9" s="7157">
        <f>HAC9*HAE7</f>
        <v>0</v>
      </c>
      <c r="HAF9" s="7157"/>
      <c r="HAG9" s="7157"/>
      <c r="HAH9" s="7157"/>
      <c r="HAI9" s="7158"/>
      <c r="HAJ9" s="7158"/>
      <c r="HAK9" s="7158"/>
      <c r="HAL9" s="7158"/>
      <c r="HAM9" s="7158"/>
      <c r="HAN9" s="7159"/>
      <c r="HAO9" s="7152" t="s">
        <v>1012</v>
      </c>
      <c r="HAP9" s="7153"/>
      <c r="HAQ9" s="7153"/>
      <c r="HAR9" s="7153"/>
      <c r="HAS9" s="7163">
        <v>0.05</v>
      </c>
      <c r="HAT9" s="7164"/>
      <c r="HAU9" s="7157">
        <f>HAS9*HAU7</f>
        <v>0</v>
      </c>
      <c r="HAV9" s="7157"/>
      <c r="HAW9" s="7157"/>
      <c r="HAX9" s="7157"/>
      <c r="HAY9" s="7158"/>
      <c r="HAZ9" s="7158"/>
      <c r="HBA9" s="7158"/>
      <c r="HBB9" s="7158"/>
      <c r="HBC9" s="7158"/>
      <c r="HBD9" s="7159"/>
      <c r="HBE9" s="7152" t="s">
        <v>1012</v>
      </c>
      <c r="HBF9" s="7153"/>
      <c r="HBG9" s="7153"/>
      <c r="HBH9" s="7153"/>
      <c r="HBI9" s="7163">
        <v>0.05</v>
      </c>
      <c r="HBJ9" s="7164"/>
      <c r="HBK9" s="7157">
        <f>HBI9*HBK7</f>
        <v>0</v>
      </c>
      <c r="HBL9" s="7157"/>
      <c r="HBM9" s="7157"/>
      <c r="HBN9" s="7157"/>
      <c r="HBO9" s="7158"/>
      <c r="HBP9" s="7158"/>
      <c r="HBQ9" s="7158"/>
      <c r="HBR9" s="7158"/>
      <c r="HBS9" s="7158"/>
      <c r="HBT9" s="7159"/>
      <c r="HBU9" s="7152" t="s">
        <v>1012</v>
      </c>
      <c r="HBV9" s="7153"/>
      <c r="HBW9" s="7153"/>
      <c r="HBX9" s="7153"/>
      <c r="HBY9" s="7163">
        <v>0.05</v>
      </c>
      <c r="HBZ9" s="7164"/>
      <c r="HCA9" s="7157">
        <f>HBY9*HCA7</f>
        <v>0</v>
      </c>
      <c r="HCB9" s="7157"/>
      <c r="HCC9" s="7157"/>
      <c r="HCD9" s="7157"/>
      <c r="HCE9" s="7158"/>
      <c r="HCF9" s="7158"/>
      <c r="HCG9" s="7158"/>
      <c r="HCH9" s="7158"/>
      <c r="HCI9" s="7158"/>
      <c r="HCJ9" s="7159"/>
      <c r="HCK9" s="7152" t="s">
        <v>1012</v>
      </c>
      <c r="HCL9" s="7153"/>
      <c r="HCM9" s="7153"/>
      <c r="HCN9" s="7153"/>
      <c r="HCO9" s="7163">
        <v>0.05</v>
      </c>
      <c r="HCP9" s="7164"/>
      <c r="HCQ9" s="7157">
        <f>HCO9*HCQ7</f>
        <v>0</v>
      </c>
      <c r="HCR9" s="7157"/>
      <c r="HCS9" s="7157"/>
      <c r="HCT9" s="7157"/>
      <c r="HCU9" s="7158"/>
      <c r="HCV9" s="7158"/>
      <c r="HCW9" s="7158"/>
      <c r="HCX9" s="7158"/>
      <c r="HCY9" s="7158"/>
      <c r="HCZ9" s="7159"/>
      <c r="HDA9" s="7152" t="s">
        <v>1012</v>
      </c>
      <c r="HDB9" s="7153"/>
      <c r="HDC9" s="7153"/>
      <c r="HDD9" s="7153"/>
      <c r="HDE9" s="7163">
        <v>0.05</v>
      </c>
      <c r="HDF9" s="7164"/>
      <c r="HDG9" s="7157">
        <f>HDE9*HDG7</f>
        <v>0</v>
      </c>
      <c r="HDH9" s="7157"/>
      <c r="HDI9" s="7157"/>
      <c r="HDJ9" s="7157"/>
      <c r="HDK9" s="7158"/>
      <c r="HDL9" s="7158"/>
      <c r="HDM9" s="7158"/>
      <c r="HDN9" s="7158"/>
      <c r="HDO9" s="7158"/>
      <c r="HDP9" s="7159"/>
      <c r="HDQ9" s="7152" t="s">
        <v>1012</v>
      </c>
      <c r="HDR9" s="7153"/>
      <c r="HDS9" s="7153"/>
      <c r="HDT9" s="7153"/>
      <c r="HDU9" s="7163">
        <v>0.05</v>
      </c>
      <c r="HDV9" s="7164"/>
      <c r="HDW9" s="7157">
        <f>HDU9*HDW7</f>
        <v>0</v>
      </c>
      <c r="HDX9" s="7157"/>
      <c r="HDY9" s="7157"/>
      <c r="HDZ9" s="7157"/>
      <c r="HEA9" s="7158"/>
      <c r="HEB9" s="7158"/>
      <c r="HEC9" s="7158"/>
      <c r="HED9" s="7158"/>
      <c r="HEE9" s="7158"/>
      <c r="HEF9" s="7159"/>
      <c r="HEG9" s="7152" t="s">
        <v>1012</v>
      </c>
      <c r="HEH9" s="7153"/>
      <c r="HEI9" s="7153"/>
      <c r="HEJ9" s="7153"/>
      <c r="HEK9" s="7163">
        <v>0.05</v>
      </c>
      <c r="HEL9" s="7164"/>
      <c r="HEM9" s="7157">
        <f>HEK9*HEM7</f>
        <v>0</v>
      </c>
      <c r="HEN9" s="7157"/>
      <c r="HEO9" s="7157"/>
      <c r="HEP9" s="7157"/>
      <c r="HEQ9" s="7158"/>
      <c r="HER9" s="7158"/>
      <c r="HES9" s="7158"/>
      <c r="HET9" s="7158"/>
      <c r="HEU9" s="7158"/>
      <c r="HEV9" s="7159"/>
      <c r="HEW9" s="7152" t="s">
        <v>1012</v>
      </c>
      <c r="HEX9" s="7153"/>
      <c r="HEY9" s="7153"/>
      <c r="HEZ9" s="7153"/>
      <c r="HFA9" s="7163">
        <v>0.05</v>
      </c>
      <c r="HFB9" s="7164"/>
      <c r="HFC9" s="7157">
        <f>HFA9*HFC7</f>
        <v>0</v>
      </c>
      <c r="HFD9" s="7157"/>
      <c r="HFE9" s="7157"/>
      <c r="HFF9" s="7157"/>
      <c r="HFG9" s="7158"/>
      <c r="HFH9" s="7158"/>
      <c r="HFI9" s="7158"/>
      <c r="HFJ9" s="7158"/>
      <c r="HFK9" s="7158"/>
      <c r="HFL9" s="7159"/>
      <c r="HFM9" s="7152" t="s">
        <v>1012</v>
      </c>
      <c r="HFN9" s="7153"/>
      <c r="HFO9" s="7153"/>
      <c r="HFP9" s="7153"/>
      <c r="HFQ9" s="7163">
        <v>0.05</v>
      </c>
      <c r="HFR9" s="7164"/>
      <c r="HFS9" s="7157">
        <f>HFQ9*HFS7</f>
        <v>0</v>
      </c>
      <c r="HFT9" s="7157"/>
      <c r="HFU9" s="7157"/>
      <c r="HFV9" s="7157"/>
      <c r="HFW9" s="7158"/>
      <c r="HFX9" s="7158"/>
      <c r="HFY9" s="7158"/>
      <c r="HFZ9" s="7158"/>
      <c r="HGA9" s="7158"/>
      <c r="HGB9" s="7159"/>
      <c r="HGC9" s="7152" t="s">
        <v>1012</v>
      </c>
      <c r="HGD9" s="7153"/>
      <c r="HGE9" s="7153"/>
      <c r="HGF9" s="7153"/>
      <c r="HGG9" s="7163">
        <v>0.05</v>
      </c>
      <c r="HGH9" s="7164"/>
      <c r="HGI9" s="7157">
        <f>HGG9*HGI7</f>
        <v>0</v>
      </c>
      <c r="HGJ9" s="7157"/>
      <c r="HGK9" s="7157"/>
      <c r="HGL9" s="7157"/>
      <c r="HGM9" s="7158"/>
      <c r="HGN9" s="7158"/>
      <c r="HGO9" s="7158"/>
      <c r="HGP9" s="7158"/>
      <c r="HGQ9" s="7158"/>
      <c r="HGR9" s="7159"/>
      <c r="HGS9" s="7152" t="s">
        <v>1012</v>
      </c>
      <c r="HGT9" s="7153"/>
      <c r="HGU9" s="7153"/>
      <c r="HGV9" s="7153"/>
      <c r="HGW9" s="7163">
        <v>0.05</v>
      </c>
      <c r="HGX9" s="7164"/>
      <c r="HGY9" s="7157">
        <f>HGW9*HGY7</f>
        <v>0</v>
      </c>
      <c r="HGZ9" s="7157"/>
      <c r="HHA9" s="7157"/>
      <c r="HHB9" s="7157"/>
      <c r="HHC9" s="7158"/>
      <c r="HHD9" s="7158"/>
      <c r="HHE9" s="7158"/>
      <c r="HHF9" s="7158"/>
      <c r="HHG9" s="7158"/>
      <c r="HHH9" s="7159"/>
      <c r="HHI9" s="7152" t="s">
        <v>1012</v>
      </c>
      <c r="HHJ9" s="7153"/>
      <c r="HHK9" s="7153"/>
      <c r="HHL9" s="7153"/>
      <c r="HHM9" s="7163">
        <v>0.05</v>
      </c>
      <c r="HHN9" s="7164"/>
      <c r="HHO9" s="7157">
        <f>HHM9*HHO7</f>
        <v>0</v>
      </c>
      <c r="HHP9" s="7157"/>
      <c r="HHQ9" s="7157"/>
      <c r="HHR9" s="7157"/>
      <c r="HHS9" s="7158"/>
      <c r="HHT9" s="7158"/>
      <c r="HHU9" s="7158"/>
      <c r="HHV9" s="7158"/>
      <c r="HHW9" s="7158"/>
      <c r="HHX9" s="7159"/>
      <c r="HHY9" s="7152" t="s">
        <v>1012</v>
      </c>
      <c r="HHZ9" s="7153"/>
      <c r="HIA9" s="7153"/>
      <c r="HIB9" s="7153"/>
      <c r="HIC9" s="7163">
        <v>0.05</v>
      </c>
      <c r="HID9" s="7164"/>
      <c r="HIE9" s="7157">
        <f>HIC9*HIE7</f>
        <v>0</v>
      </c>
      <c r="HIF9" s="7157"/>
      <c r="HIG9" s="7157"/>
      <c r="HIH9" s="7157"/>
      <c r="HII9" s="7158"/>
      <c r="HIJ9" s="7158"/>
      <c r="HIK9" s="7158"/>
      <c r="HIL9" s="7158"/>
      <c r="HIM9" s="7158"/>
      <c r="HIN9" s="7159"/>
      <c r="HIO9" s="7152" t="s">
        <v>1012</v>
      </c>
      <c r="HIP9" s="7153"/>
      <c r="HIQ9" s="7153"/>
      <c r="HIR9" s="7153"/>
      <c r="HIS9" s="7163">
        <v>0.05</v>
      </c>
      <c r="HIT9" s="7164"/>
      <c r="HIU9" s="7157">
        <f>HIS9*HIU7</f>
        <v>0</v>
      </c>
      <c r="HIV9" s="7157"/>
      <c r="HIW9" s="7157"/>
      <c r="HIX9" s="7157"/>
      <c r="HIY9" s="7158"/>
      <c r="HIZ9" s="7158"/>
      <c r="HJA9" s="7158"/>
      <c r="HJB9" s="7158"/>
      <c r="HJC9" s="7158"/>
      <c r="HJD9" s="7159"/>
      <c r="HJE9" s="7152" t="s">
        <v>1012</v>
      </c>
      <c r="HJF9" s="7153"/>
      <c r="HJG9" s="7153"/>
      <c r="HJH9" s="7153"/>
      <c r="HJI9" s="7163">
        <v>0.05</v>
      </c>
      <c r="HJJ9" s="7164"/>
      <c r="HJK9" s="7157">
        <f>HJI9*HJK7</f>
        <v>0</v>
      </c>
      <c r="HJL9" s="7157"/>
      <c r="HJM9" s="7157"/>
      <c r="HJN9" s="7157"/>
      <c r="HJO9" s="7158"/>
      <c r="HJP9" s="7158"/>
      <c r="HJQ9" s="7158"/>
      <c r="HJR9" s="7158"/>
      <c r="HJS9" s="7158"/>
      <c r="HJT9" s="7159"/>
      <c r="HJU9" s="7152" t="s">
        <v>1012</v>
      </c>
      <c r="HJV9" s="7153"/>
      <c r="HJW9" s="7153"/>
      <c r="HJX9" s="7153"/>
      <c r="HJY9" s="7163">
        <v>0.05</v>
      </c>
      <c r="HJZ9" s="7164"/>
      <c r="HKA9" s="7157">
        <f>HJY9*HKA7</f>
        <v>0</v>
      </c>
      <c r="HKB9" s="7157"/>
      <c r="HKC9" s="7157"/>
      <c r="HKD9" s="7157"/>
      <c r="HKE9" s="7158"/>
      <c r="HKF9" s="7158"/>
      <c r="HKG9" s="7158"/>
      <c r="HKH9" s="7158"/>
      <c r="HKI9" s="7158"/>
      <c r="HKJ9" s="7159"/>
      <c r="HKK9" s="7152" t="s">
        <v>1012</v>
      </c>
      <c r="HKL9" s="7153"/>
      <c r="HKM9" s="7153"/>
      <c r="HKN9" s="7153"/>
      <c r="HKO9" s="7163">
        <v>0.05</v>
      </c>
      <c r="HKP9" s="7164"/>
      <c r="HKQ9" s="7157">
        <f>HKO9*HKQ7</f>
        <v>0</v>
      </c>
      <c r="HKR9" s="7157"/>
      <c r="HKS9" s="7157"/>
      <c r="HKT9" s="7157"/>
      <c r="HKU9" s="7158"/>
      <c r="HKV9" s="7158"/>
      <c r="HKW9" s="7158"/>
      <c r="HKX9" s="7158"/>
      <c r="HKY9" s="7158"/>
      <c r="HKZ9" s="7159"/>
      <c r="HLA9" s="7152" t="s">
        <v>1012</v>
      </c>
      <c r="HLB9" s="7153"/>
      <c r="HLC9" s="7153"/>
      <c r="HLD9" s="7153"/>
      <c r="HLE9" s="7163">
        <v>0.05</v>
      </c>
      <c r="HLF9" s="7164"/>
      <c r="HLG9" s="7157">
        <f>HLE9*HLG7</f>
        <v>0</v>
      </c>
      <c r="HLH9" s="7157"/>
      <c r="HLI9" s="7157"/>
      <c r="HLJ9" s="7157"/>
      <c r="HLK9" s="7158"/>
      <c r="HLL9" s="7158"/>
      <c r="HLM9" s="7158"/>
      <c r="HLN9" s="7158"/>
      <c r="HLO9" s="7158"/>
      <c r="HLP9" s="7159"/>
      <c r="HLQ9" s="7152" t="s">
        <v>1012</v>
      </c>
      <c r="HLR9" s="7153"/>
      <c r="HLS9" s="7153"/>
      <c r="HLT9" s="7153"/>
      <c r="HLU9" s="7163">
        <v>0.05</v>
      </c>
      <c r="HLV9" s="7164"/>
      <c r="HLW9" s="7157">
        <f>HLU9*HLW7</f>
        <v>0</v>
      </c>
      <c r="HLX9" s="7157"/>
      <c r="HLY9" s="7157"/>
      <c r="HLZ9" s="7157"/>
      <c r="HMA9" s="7158"/>
      <c r="HMB9" s="7158"/>
      <c r="HMC9" s="7158"/>
      <c r="HMD9" s="7158"/>
      <c r="HME9" s="7158"/>
      <c r="HMF9" s="7159"/>
      <c r="HMG9" s="7152" t="s">
        <v>1012</v>
      </c>
      <c r="HMH9" s="7153"/>
      <c r="HMI9" s="7153"/>
      <c r="HMJ9" s="7153"/>
      <c r="HMK9" s="7163">
        <v>0.05</v>
      </c>
      <c r="HML9" s="7164"/>
      <c r="HMM9" s="7157">
        <f>HMK9*HMM7</f>
        <v>0</v>
      </c>
      <c r="HMN9" s="7157"/>
      <c r="HMO9" s="7157"/>
      <c r="HMP9" s="7157"/>
      <c r="HMQ9" s="7158"/>
      <c r="HMR9" s="7158"/>
      <c r="HMS9" s="7158"/>
      <c r="HMT9" s="7158"/>
      <c r="HMU9" s="7158"/>
      <c r="HMV9" s="7159"/>
      <c r="HMW9" s="7152" t="s">
        <v>1012</v>
      </c>
      <c r="HMX9" s="7153"/>
      <c r="HMY9" s="7153"/>
      <c r="HMZ9" s="7153"/>
      <c r="HNA9" s="7163">
        <v>0.05</v>
      </c>
      <c r="HNB9" s="7164"/>
      <c r="HNC9" s="7157">
        <f>HNA9*HNC7</f>
        <v>0</v>
      </c>
      <c r="HND9" s="7157"/>
      <c r="HNE9" s="7157"/>
      <c r="HNF9" s="7157"/>
      <c r="HNG9" s="7158"/>
      <c r="HNH9" s="7158"/>
      <c r="HNI9" s="7158"/>
      <c r="HNJ9" s="7158"/>
      <c r="HNK9" s="7158"/>
      <c r="HNL9" s="7159"/>
      <c r="HNM9" s="7152" t="s">
        <v>1012</v>
      </c>
      <c r="HNN9" s="7153"/>
      <c r="HNO9" s="7153"/>
      <c r="HNP9" s="7153"/>
      <c r="HNQ9" s="7163">
        <v>0.05</v>
      </c>
      <c r="HNR9" s="7164"/>
      <c r="HNS9" s="7157">
        <f>HNQ9*HNS7</f>
        <v>0</v>
      </c>
      <c r="HNT9" s="7157"/>
      <c r="HNU9" s="7157"/>
      <c r="HNV9" s="7157"/>
      <c r="HNW9" s="7158"/>
      <c r="HNX9" s="7158"/>
      <c r="HNY9" s="7158"/>
      <c r="HNZ9" s="7158"/>
      <c r="HOA9" s="7158"/>
      <c r="HOB9" s="7159"/>
      <c r="HOC9" s="7152" t="s">
        <v>1012</v>
      </c>
      <c r="HOD9" s="7153"/>
      <c r="HOE9" s="7153"/>
      <c r="HOF9" s="7153"/>
      <c r="HOG9" s="7163">
        <v>0.05</v>
      </c>
      <c r="HOH9" s="7164"/>
      <c r="HOI9" s="7157">
        <f>HOG9*HOI7</f>
        <v>0</v>
      </c>
      <c r="HOJ9" s="7157"/>
      <c r="HOK9" s="7157"/>
      <c r="HOL9" s="7157"/>
      <c r="HOM9" s="7158"/>
      <c r="HON9" s="7158"/>
      <c r="HOO9" s="7158"/>
      <c r="HOP9" s="7158"/>
      <c r="HOQ9" s="7158"/>
      <c r="HOR9" s="7159"/>
      <c r="HOS9" s="7152" t="s">
        <v>1012</v>
      </c>
      <c r="HOT9" s="7153"/>
      <c r="HOU9" s="7153"/>
      <c r="HOV9" s="7153"/>
      <c r="HOW9" s="7163">
        <v>0.05</v>
      </c>
      <c r="HOX9" s="7164"/>
      <c r="HOY9" s="7157">
        <f>HOW9*HOY7</f>
        <v>0</v>
      </c>
      <c r="HOZ9" s="7157"/>
      <c r="HPA9" s="7157"/>
      <c r="HPB9" s="7157"/>
      <c r="HPC9" s="7158"/>
      <c r="HPD9" s="7158"/>
      <c r="HPE9" s="7158"/>
      <c r="HPF9" s="7158"/>
      <c r="HPG9" s="7158"/>
      <c r="HPH9" s="7159"/>
      <c r="HPI9" s="7152" t="s">
        <v>1012</v>
      </c>
      <c r="HPJ9" s="7153"/>
      <c r="HPK9" s="7153"/>
      <c r="HPL9" s="7153"/>
      <c r="HPM9" s="7163">
        <v>0.05</v>
      </c>
      <c r="HPN9" s="7164"/>
      <c r="HPO9" s="7157">
        <f>HPM9*HPO7</f>
        <v>0</v>
      </c>
      <c r="HPP9" s="7157"/>
      <c r="HPQ9" s="7157"/>
      <c r="HPR9" s="7157"/>
      <c r="HPS9" s="7158"/>
      <c r="HPT9" s="7158"/>
      <c r="HPU9" s="7158"/>
      <c r="HPV9" s="7158"/>
      <c r="HPW9" s="7158"/>
      <c r="HPX9" s="7159"/>
      <c r="HPY9" s="7152" t="s">
        <v>1012</v>
      </c>
      <c r="HPZ9" s="7153"/>
      <c r="HQA9" s="7153"/>
      <c r="HQB9" s="7153"/>
      <c r="HQC9" s="7163">
        <v>0.05</v>
      </c>
      <c r="HQD9" s="7164"/>
      <c r="HQE9" s="7157">
        <f>HQC9*HQE7</f>
        <v>0</v>
      </c>
      <c r="HQF9" s="7157"/>
      <c r="HQG9" s="7157"/>
      <c r="HQH9" s="7157"/>
      <c r="HQI9" s="7158"/>
      <c r="HQJ9" s="7158"/>
      <c r="HQK9" s="7158"/>
      <c r="HQL9" s="7158"/>
      <c r="HQM9" s="7158"/>
      <c r="HQN9" s="7159"/>
      <c r="HQO9" s="7152" t="s">
        <v>1012</v>
      </c>
      <c r="HQP9" s="7153"/>
      <c r="HQQ9" s="7153"/>
      <c r="HQR9" s="7153"/>
      <c r="HQS9" s="7163">
        <v>0.05</v>
      </c>
      <c r="HQT9" s="7164"/>
      <c r="HQU9" s="7157">
        <f>HQS9*HQU7</f>
        <v>0</v>
      </c>
      <c r="HQV9" s="7157"/>
      <c r="HQW9" s="7157"/>
      <c r="HQX9" s="7157"/>
      <c r="HQY9" s="7158"/>
      <c r="HQZ9" s="7158"/>
      <c r="HRA9" s="7158"/>
      <c r="HRB9" s="7158"/>
      <c r="HRC9" s="7158"/>
      <c r="HRD9" s="7159"/>
      <c r="HRE9" s="7152" t="s">
        <v>1012</v>
      </c>
      <c r="HRF9" s="7153"/>
      <c r="HRG9" s="7153"/>
      <c r="HRH9" s="7153"/>
      <c r="HRI9" s="7163">
        <v>0.05</v>
      </c>
      <c r="HRJ9" s="7164"/>
      <c r="HRK9" s="7157">
        <f>HRI9*HRK7</f>
        <v>0</v>
      </c>
      <c r="HRL9" s="7157"/>
      <c r="HRM9" s="7157"/>
      <c r="HRN9" s="7157"/>
      <c r="HRO9" s="7158"/>
      <c r="HRP9" s="7158"/>
      <c r="HRQ9" s="7158"/>
      <c r="HRR9" s="7158"/>
      <c r="HRS9" s="7158"/>
      <c r="HRT9" s="7159"/>
      <c r="HRU9" s="7152" t="s">
        <v>1012</v>
      </c>
      <c r="HRV9" s="7153"/>
      <c r="HRW9" s="7153"/>
      <c r="HRX9" s="7153"/>
      <c r="HRY9" s="7163">
        <v>0.05</v>
      </c>
      <c r="HRZ9" s="7164"/>
      <c r="HSA9" s="7157">
        <f>HRY9*HSA7</f>
        <v>0</v>
      </c>
      <c r="HSB9" s="7157"/>
      <c r="HSC9" s="7157"/>
      <c r="HSD9" s="7157"/>
      <c r="HSE9" s="7158"/>
      <c r="HSF9" s="7158"/>
      <c r="HSG9" s="7158"/>
      <c r="HSH9" s="7158"/>
      <c r="HSI9" s="7158"/>
      <c r="HSJ9" s="7159"/>
      <c r="HSK9" s="7152" t="s">
        <v>1012</v>
      </c>
      <c r="HSL9" s="7153"/>
      <c r="HSM9" s="7153"/>
      <c r="HSN9" s="7153"/>
      <c r="HSO9" s="7163">
        <v>0.05</v>
      </c>
      <c r="HSP9" s="7164"/>
      <c r="HSQ9" s="7157">
        <f>HSO9*HSQ7</f>
        <v>0</v>
      </c>
      <c r="HSR9" s="7157"/>
      <c r="HSS9" s="7157"/>
      <c r="HST9" s="7157"/>
      <c r="HSU9" s="7158"/>
      <c r="HSV9" s="7158"/>
      <c r="HSW9" s="7158"/>
      <c r="HSX9" s="7158"/>
      <c r="HSY9" s="7158"/>
      <c r="HSZ9" s="7159"/>
      <c r="HTA9" s="7152" t="s">
        <v>1012</v>
      </c>
      <c r="HTB9" s="7153"/>
      <c r="HTC9" s="7153"/>
      <c r="HTD9" s="7153"/>
      <c r="HTE9" s="7163">
        <v>0.05</v>
      </c>
      <c r="HTF9" s="7164"/>
      <c r="HTG9" s="7157">
        <f>HTE9*HTG7</f>
        <v>0</v>
      </c>
      <c r="HTH9" s="7157"/>
      <c r="HTI9" s="7157"/>
      <c r="HTJ9" s="7157"/>
      <c r="HTK9" s="7158"/>
      <c r="HTL9" s="7158"/>
      <c r="HTM9" s="7158"/>
      <c r="HTN9" s="7158"/>
      <c r="HTO9" s="7158"/>
      <c r="HTP9" s="7159"/>
      <c r="HTQ9" s="7152" t="s">
        <v>1012</v>
      </c>
      <c r="HTR9" s="7153"/>
      <c r="HTS9" s="7153"/>
      <c r="HTT9" s="7153"/>
      <c r="HTU9" s="7163">
        <v>0.05</v>
      </c>
      <c r="HTV9" s="7164"/>
      <c r="HTW9" s="7157">
        <f>HTU9*HTW7</f>
        <v>0</v>
      </c>
      <c r="HTX9" s="7157"/>
      <c r="HTY9" s="7157"/>
      <c r="HTZ9" s="7157"/>
      <c r="HUA9" s="7158"/>
      <c r="HUB9" s="7158"/>
      <c r="HUC9" s="7158"/>
      <c r="HUD9" s="7158"/>
      <c r="HUE9" s="7158"/>
      <c r="HUF9" s="7159"/>
      <c r="HUG9" s="7152" t="s">
        <v>1012</v>
      </c>
      <c r="HUH9" s="7153"/>
      <c r="HUI9" s="7153"/>
      <c r="HUJ9" s="7153"/>
      <c r="HUK9" s="7163">
        <v>0.05</v>
      </c>
      <c r="HUL9" s="7164"/>
      <c r="HUM9" s="7157">
        <f>HUK9*HUM7</f>
        <v>0</v>
      </c>
      <c r="HUN9" s="7157"/>
      <c r="HUO9" s="7157"/>
      <c r="HUP9" s="7157"/>
      <c r="HUQ9" s="7158"/>
      <c r="HUR9" s="7158"/>
      <c r="HUS9" s="7158"/>
      <c r="HUT9" s="7158"/>
      <c r="HUU9" s="7158"/>
      <c r="HUV9" s="7159"/>
      <c r="HUW9" s="7152" t="s">
        <v>1012</v>
      </c>
      <c r="HUX9" s="7153"/>
      <c r="HUY9" s="7153"/>
      <c r="HUZ9" s="7153"/>
      <c r="HVA9" s="7163">
        <v>0.05</v>
      </c>
      <c r="HVB9" s="7164"/>
      <c r="HVC9" s="7157">
        <f>HVA9*HVC7</f>
        <v>0</v>
      </c>
      <c r="HVD9" s="7157"/>
      <c r="HVE9" s="7157"/>
      <c r="HVF9" s="7157"/>
      <c r="HVG9" s="7158"/>
      <c r="HVH9" s="7158"/>
      <c r="HVI9" s="7158"/>
      <c r="HVJ9" s="7158"/>
      <c r="HVK9" s="7158"/>
      <c r="HVL9" s="7159"/>
      <c r="HVM9" s="7152" t="s">
        <v>1012</v>
      </c>
      <c r="HVN9" s="7153"/>
      <c r="HVO9" s="7153"/>
      <c r="HVP9" s="7153"/>
      <c r="HVQ9" s="7163">
        <v>0.05</v>
      </c>
      <c r="HVR9" s="7164"/>
      <c r="HVS9" s="7157">
        <f>HVQ9*HVS7</f>
        <v>0</v>
      </c>
      <c r="HVT9" s="7157"/>
      <c r="HVU9" s="7157"/>
      <c r="HVV9" s="7157"/>
      <c r="HVW9" s="7158"/>
      <c r="HVX9" s="7158"/>
      <c r="HVY9" s="7158"/>
      <c r="HVZ9" s="7158"/>
      <c r="HWA9" s="7158"/>
      <c r="HWB9" s="7159"/>
      <c r="HWC9" s="7152" t="s">
        <v>1012</v>
      </c>
      <c r="HWD9" s="7153"/>
      <c r="HWE9" s="7153"/>
      <c r="HWF9" s="7153"/>
      <c r="HWG9" s="7163">
        <v>0.05</v>
      </c>
      <c r="HWH9" s="7164"/>
      <c r="HWI9" s="7157">
        <f>HWG9*HWI7</f>
        <v>0</v>
      </c>
      <c r="HWJ9" s="7157"/>
      <c r="HWK9" s="7157"/>
      <c r="HWL9" s="7157"/>
      <c r="HWM9" s="7158"/>
      <c r="HWN9" s="7158"/>
      <c r="HWO9" s="7158"/>
      <c r="HWP9" s="7158"/>
      <c r="HWQ9" s="7158"/>
      <c r="HWR9" s="7159"/>
      <c r="HWS9" s="7152" t="s">
        <v>1012</v>
      </c>
      <c r="HWT9" s="7153"/>
      <c r="HWU9" s="7153"/>
      <c r="HWV9" s="7153"/>
      <c r="HWW9" s="7163">
        <v>0.05</v>
      </c>
      <c r="HWX9" s="7164"/>
      <c r="HWY9" s="7157">
        <f>HWW9*HWY7</f>
        <v>0</v>
      </c>
      <c r="HWZ9" s="7157"/>
      <c r="HXA9" s="7157"/>
      <c r="HXB9" s="7157"/>
      <c r="HXC9" s="7158"/>
      <c r="HXD9" s="7158"/>
      <c r="HXE9" s="7158"/>
      <c r="HXF9" s="7158"/>
      <c r="HXG9" s="7158"/>
      <c r="HXH9" s="7159"/>
      <c r="HXI9" s="7152" t="s">
        <v>1012</v>
      </c>
      <c r="HXJ9" s="7153"/>
      <c r="HXK9" s="7153"/>
      <c r="HXL9" s="7153"/>
      <c r="HXM9" s="7163">
        <v>0.05</v>
      </c>
      <c r="HXN9" s="7164"/>
      <c r="HXO9" s="7157">
        <f>HXM9*HXO7</f>
        <v>0</v>
      </c>
      <c r="HXP9" s="7157"/>
      <c r="HXQ9" s="7157"/>
      <c r="HXR9" s="7157"/>
      <c r="HXS9" s="7158"/>
      <c r="HXT9" s="7158"/>
      <c r="HXU9" s="7158"/>
      <c r="HXV9" s="7158"/>
      <c r="HXW9" s="7158"/>
      <c r="HXX9" s="7159"/>
      <c r="HXY9" s="7152" t="s">
        <v>1012</v>
      </c>
      <c r="HXZ9" s="7153"/>
      <c r="HYA9" s="7153"/>
      <c r="HYB9" s="7153"/>
      <c r="HYC9" s="7163">
        <v>0.05</v>
      </c>
      <c r="HYD9" s="7164"/>
      <c r="HYE9" s="7157">
        <f>HYC9*HYE7</f>
        <v>0</v>
      </c>
      <c r="HYF9" s="7157"/>
      <c r="HYG9" s="7157"/>
      <c r="HYH9" s="7157"/>
      <c r="HYI9" s="7158"/>
      <c r="HYJ9" s="7158"/>
      <c r="HYK9" s="7158"/>
      <c r="HYL9" s="7158"/>
      <c r="HYM9" s="7158"/>
      <c r="HYN9" s="7159"/>
      <c r="HYO9" s="7152" t="s">
        <v>1012</v>
      </c>
      <c r="HYP9" s="7153"/>
      <c r="HYQ9" s="7153"/>
      <c r="HYR9" s="7153"/>
      <c r="HYS9" s="7163">
        <v>0.05</v>
      </c>
      <c r="HYT9" s="7164"/>
      <c r="HYU9" s="7157">
        <f>HYS9*HYU7</f>
        <v>0</v>
      </c>
      <c r="HYV9" s="7157"/>
      <c r="HYW9" s="7157"/>
      <c r="HYX9" s="7157"/>
      <c r="HYY9" s="7158"/>
      <c r="HYZ9" s="7158"/>
      <c r="HZA9" s="7158"/>
      <c r="HZB9" s="7158"/>
      <c r="HZC9" s="7158"/>
      <c r="HZD9" s="7159"/>
      <c r="HZE9" s="7152" t="s">
        <v>1012</v>
      </c>
      <c r="HZF9" s="7153"/>
      <c r="HZG9" s="7153"/>
      <c r="HZH9" s="7153"/>
      <c r="HZI9" s="7163">
        <v>0.05</v>
      </c>
      <c r="HZJ9" s="7164"/>
      <c r="HZK9" s="7157">
        <f>HZI9*HZK7</f>
        <v>0</v>
      </c>
      <c r="HZL9" s="7157"/>
      <c r="HZM9" s="7157"/>
      <c r="HZN9" s="7157"/>
      <c r="HZO9" s="7158"/>
      <c r="HZP9" s="7158"/>
      <c r="HZQ9" s="7158"/>
      <c r="HZR9" s="7158"/>
      <c r="HZS9" s="7158"/>
      <c r="HZT9" s="7159"/>
      <c r="HZU9" s="7152" t="s">
        <v>1012</v>
      </c>
      <c r="HZV9" s="7153"/>
      <c r="HZW9" s="7153"/>
      <c r="HZX9" s="7153"/>
      <c r="HZY9" s="7163">
        <v>0.05</v>
      </c>
      <c r="HZZ9" s="7164"/>
      <c r="IAA9" s="7157">
        <f>HZY9*IAA7</f>
        <v>0</v>
      </c>
      <c r="IAB9" s="7157"/>
      <c r="IAC9" s="7157"/>
      <c r="IAD9" s="7157"/>
      <c r="IAE9" s="7158"/>
      <c r="IAF9" s="7158"/>
      <c r="IAG9" s="7158"/>
      <c r="IAH9" s="7158"/>
      <c r="IAI9" s="7158"/>
      <c r="IAJ9" s="7159"/>
      <c r="IAK9" s="7152" t="s">
        <v>1012</v>
      </c>
      <c r="IAL9" s="7153"/>
      <c r="IAM9" s="7153"/>
      <c r="IAN9" s="7153"/>
      <c r="IAO9" s="7163">
        <v>0.05</v>
      </c>
      <c r="IAP9" s="7164"/>
      <c r="IAQ9" s="7157">
        <f>IAO9*IAQ7</f>
        <v>0</v>
      </c>
      <c r="IAR9" s="7157"/>
      <c r="IAS9" s="7157"/>
      <c r="IAT9" s="7157"/>
      <c r="IAU9" s="7158"/>
      <c r="IAV9" s="7158"/>
      <c r="IAW9" s="7158"/>
      <c r="IAX9" s="7158"/>
      <c r="IAY9" s="7158"/>
      <c r="IAZ9" s="7159"/>
      <c r="IBA9" s="7152" t="s">
        <v>1012</v>
      </c>
      <c r="IBB9" s="7153"/>
      <c r="IBC9" s="7153"/>
      <c r="IBD9" s="7153"/>
      <c r="IBE9" s="7163">
        <v>0.05</v>
      </c>
      <c r="IBF9" s="7164"/>
      <c r="IBG9" s="7157">
        <f>IBE9*IBG7</f>
        <v>0</v>
      </c>
      <c r="IBH9" s="7157"/>
      <c r="IBI9" s="7157"/>
      <c r="IBJ9" s="7157"/>
      <c r="IBK9" s="7158"/>
      <c r="IBL9" s="7158"/>
      <c r="IBM9" s="7158"/>
      <c r="IBN9" s="7158"/>
      <c r="IBO9" s="7158"/>
      <c r="IBP9" s="7159"/>
      <c r="IBQ9" s="7152" t="s">
        <v>1012</v>
      </c>
      <c r="IBR9" s="7153"/>
      <c r="IBS9" s="7153"/>
      <c r="IBT9" s="7153"/>
      <c r="IBU9" s="7163">
        <v>0.05</v>
      </c>
      <c r="IBV9" s="7164"/>
      <c r="IBW9" s="7157">
        <f>IBU9*IBW7</f>
        <v>0</v>
      </c>
      <c r="IBX9" s="7157"/>
      <c r="IBY9" s="7157"/>
      <c r="IBZ9" s="7157"/>
      <c r="ICA9" s="7158"/>
      <c r="ICB9" s="7158"/>
      <c r="ICC9" s="7158"/>
      <c r="ICD9" s="7158"/>
      <c r="ICE9" s="7158"/>
      <c r="ICF9" s="7159"/>
      <c r="ICG9" s="7152" t="s">
        <v>1012</v>
      </c>
      <c r="ICH9" s="7153"/>
      <c r="ICI9" s="7153"/>
      <c r="ICJ9" s="7153"/>
      <c r="ICK9" s="7163">
        <v>0.05</v>
      </c>
      <c r="ICL9" s="7164"/>
      <c r="ICM9" s="7157">
        <f>ICK9*ICM7</f>
        <v>0</v>
      </c>
      <c r="ICN9" s="7157"/>
      <c r="ICO9" s="7157"/>
      <c r="ICP9" s="7157"/>
      <c r="ICQ9" s="7158"/>
      <c r="ICR9" s="7158"/>
      <c r="ICS9" s="7158"/>
      <c r="ICT9" s="7158"/>
      <c r="ICU9" s="7158"/>
      <c r="ICV9" s="7159"/>
      <c r="ICW9" s="7152" t="s">
        <v>1012</v>
      </c>
      <c r="ICX9" s="7153"/>
      <c r="ICY9" s="7153"/>
      <c r="ICZ9" s="7153"/>
      <c r="IDA9" s="7163">
        <v>0.05</v>
      </c>
      <c r="IDB9" s="7164"/>
      <c r="IDC9" s="7157">
        <f>IDA9*IDC7</f>
        <v>0</v>
      </c>
      <c r="IDD9" s="7157"/>
      <c r="IDE9" s="7157"/>
      <c r="IDF9" s="7157"/>
      <c r="IDG9" s="7158"/>
      <c r="IDH9" s="7158"/>
      <c r="IDI9" s="7158"/>
      <c r="IDJ9" s="7158"/>
      <c r="IDK9" s="7158"/>
      <c r="IDL9" s="7159"/>
      <c r="IDM9" s="7152" t="s">
        <v>1012</v>
      </c>
      <c r="IDN9" s="7153"/>
      <c r="IDO9" s="7153"/>
      <c r="IDP9" s="7153"/>
      <c r="IDQ9" s="7163">
        <v>0.05</v>
      </c>
      <c r="IDR9" s="7164"/>
      <c r="IDS9" s="7157">
        <f>IDQ9*IDS7</f>
        <v>0</v>
      </c>
      <c r="IDT9" s="7157"/>
      <c r="IDU9" s="7157"/>
      <c r="IDV9" s="7157"/>
      <c r="IDW9" s="7158"/>
      <c r="IDX9" s="7158"/>
      <c r="IDY9" s="7158"/>
      <c r="IDZ9" s="7158"/>
      <c r="IEA9" s="7158"/>
      <c r="IEB9" s="7159"/>
      <c r="IEC9" s="7152" t="s">
        <v>1012</v>
      </c>
      <c r="IED9" s="7153"/>
      <c r="IEE9" s="7153"/>
      <c r="IEF9" s="7153"/>
      <c r="IEG9" s="7163">
        <v>0.05</v>
      </c>
      <c r="IEH9" s="7164"/>
      <c r="IEI9" s="7157">
        <f>IEG9*IEI7</f>
        <v>0</v>
      </c>
      <c r="IEJ9" s="7157"/>
      <c r="IEK9" s="7157"/>
      <c r="IEL9" s="7157"/>
      <c r="IEM9" s="7158"/>
      <c r="IEN9" s="7158"/>
      <c r="IEO9" s="7158"/>
      <c r="IEP9" s="7158"/>
      <c r="IEQ9" s="7158"/>
      <c r="IER9" s="7159"/>
      <c r="IES9" s="7152" t="s">
        <v>1012</v>
      </c>
      <c r="IET9" s="7153"/>
      <c r="IEU9" s="7153"/>
      <c r="IEV9" s="7153"/>
      <c r="IEW9" s="7163">
        <v>0.05</v>
      </c>
      <c r="IEX9" s="7164"/>
      <c r="IEY9" s="7157">
        <f>IEW9*IEY7</f>
        <v>0</v>
      </c>
      <c r="IEZ9" s="7157"/>
      <c r="IFA9" s="7157"/>
      <c r="IFB9" s="7157"/>
      <c r="IFC9" s="7158"/>
      <c r="IFD9" s="7158"/>
      <c r="IFE9" s="7158"/>
      <c r="IFF9" s="7158"/>
      <c r="IFG9" s="7158"/>
      <c r="IFH9" s="7159"/>
      <c r="IFI9" s="7152" t="s">
        <v>1012</v>
      </c>
      <c r="IFJ9" s="7153"/>
      <c r="IFK9" s="7153"/>
      <c r="IFL9" s="7153"/>
      <c r="IFM9" s="7163">
        <v>0.05</v>
      </c>
      <c r="IFN9" s="7164"/>
      <c r="IFO9" s="7157">
        <f>IFM9*IFO7</f>
        <v>0</v>
      </c>
      <c r="IFP9" s="7157"/>
      <c r="IFQ9" s="7157"/>
      <c r="IFR9" s="7157"/>
      <c r="IFS9" s="7158"/>
      <c r="IFT9" s="7158"/>
      <c r="IFU9" s="7158"/>
      <c r="IFV9" s="7158"/>
      <c r="IFW9" s="7158"/>
      <c r="IFX9" s="7159"/>
      <c r="IFY9" s="7152" t="s">
        <v>1012</v>
      </c>
      <c r="IFZ9" s="7153"/>
      <c r="IGA9" s="7153"/>
      <c r="IGB9" s="7153"/>
      <c r="IGC9" s="7163">
        <v>0.05</v>
      </c>
      <c r="IGD9" s="7164"/>
      <c r="IGE9" s="7157">
        <f>IGC9*IGE7</f>
        <v>0</v>
      </c>
      <c r="IGF9" s="7157"/>
      <c r="IGG9" s="7157"/>
      <c r="IGH9" s="7157"/>
      <c r="IGI9" s="7158"/>
      <c r="IGJ9" s="7158"/>
      <c r="IGK9" s="7158"/>
      <c r="IGL9" s="7158"/>
      <c r="IGM9" s="7158"/>
      <c r="IGN9" s="7159"/>
      <c r="IGO9" s="7152" t="s">
        <v>1012</v>
      </c>
      <c r="IGP9" s="7153"/>
      <c r="IGQ9" s="7153"/>
      <c r="IGR9" s="7153"/>
      <c r="IGS9" s="7163">
        <v>0.05</v>
      </c>
      <c r="IGT9" s="7164"/>
      <c r="IGU9" s="7157">
        <f>IGS9*IGU7</f>
        <v>0</v>
      </c>
      <c r="IGV9" s="7157"/>
      <c r="IGW9" s="7157"/>
      <c r="IGX9" s="7157"/>
      <c r="IGY9" s="7158"/>
      <c r="IGZ9" s="7158"/>
      <c r="IHA9" s="7158"/>
      <c r="IHB9" s="7158"/>
      <c r="IHC9" s="7158"/>
      <c r="IHD9" s="7159"/>
      <c r="IHE9" s="7152" t="s">
        <v>1012</v>
      </c>
      <c r="IHF9" s="7153"/>
      <c r="IHG9" s="7153"/>
      <c r="IHH9" s="7153"/>
      <c r="IHI9" s="7163">
        <v>0.05</v>
      </c>
      <c r="IHJ9" s="7164"/>
      <c r="IHK9" s="7157">
        <f>IHI9*IHK7</f>
        <v>0</v>
      </c>
      <c r="IHL9" s="7157"/>
      <c r="IHM9" s="7157"/>
      <c r="IHN9" s="7157"/>
      <c r="IHO9" s="7158"/>
      <c r="IHP9" s="7158"/>
      <c r="IHQ9" s="7158"/>
      <c r="IHR9" s="7158"/>
      <c r="IHS9" s="7158"/>
      <c r="IHT9" s="7159"/>
      <c r="IHU9" s="7152" t="s">
        <v>1012</v>
      </c>
      <c r="IHV9" s="7153"/>
      <c r="IHW9" s="7153"/>
      <c r="IHX9" s="7153"/>
      <c r="IHY9" s="7163">
        <v>0.05</v>
      </c>
      <c r="IHZ9" s="7164"/>
      <c r="IIA9" s="7157">
        <f>IHY9*IIA7</f>
        <v>0</v>
      </c>
      <c r="IIB9" s="7157"/>
      <c r="IIC9" s="7157"/>
      <c r="IID9" s="7157"/>
      <c r="IIE9" s="7158"/>
      <c r="IIF9" s="7158"/>
      <c r="IIG9" s="7158"/>
      <c r="IIH9" s="7158"/>
      <c r="III9" s="7158"/>
      <c r="IIJ9" s="7159"/>
      <c r="IIK9" s="7152" t="s">
        <v>1012</v>
      </c>
      <c r="IIL9" s="7153"/>
      <c r="IIM9" s="7153"/>
      <c r="IIN9" s="7153"/>
      <c r="IIO9" s="7163">
        <v>0.05</v>
      </c>
      <c r="IIP9" s="7164"/>
      <c r="IIQ9" s="7157">
        <f>IIO9*IIQ7</f>
        <v>0</v>
      </c>
      <c r="IIR9" s="7157"/>
      <c r="IIS9" s="7157"/>
      <c r="IIT9" s="7157"/>
      <c r="IIU9" s="7158"/>
      <c r="IIV9" s="7158"/>
      <c r="IIW9" s="7158"/>
      <c r="IIX9" s="7158"/>
      <c r="IIY9" s="7158"/>
      <c r="IIZ9" s="7159"/>
      <c r="IJA9" s="7152" t="s">
        <v>1012</v>
      </c>
      <c r="IJB9" s="7153"/>
      <c r="IJC9" s="7153"/>
      <c r="IJD9" s="7153"/>
      <c r="IJE9" s="7163">
        <v>0.05</v>
      </c>
      <c r="IJF9" s="7164"/>
      <c r="IJG9" s="7157">
        <f>IJE9*IJG7</f>
        <v>0</v>
      </c>
      <c r="IJH9" s="7157"/>
      <c r="IJI9" s="7157"/>
      <c r="IJJ9" s="7157"/>
      <c r="IJK9" s="7158"/>
      <c r="IJL9" s="7158"/>
      <c r="IJM9" s="7158"/>
      <c r="IJN9" s="7158"/>
      <c r="IJO9" s="7158"/>
      <c r="IJP9" s="7159"/>
      <c r="IJQ9" s="7152" t="s">
        <v>1012</v>
      </c>
      <c r="IJR9" s="7153"/>
      <c r="IJS9" s="7153"/>
      <c r="IJT9" s="7153"/>
      <c r="IJU9" s="7163">
        <v>0.05</v>
      </c>
      <c r="IJV9" s="7164"/>
      <c r="IJW9" s="7157">
        <f>IJU9*IJW7</f>
        <v>0</v>
      </c>
      <c r="IJX9" s="7157"/>
      <c r="IJY9" s="7157"/>
      <c r="IJZ9" s="7157"/>
      <c r="IKA9" s="7158"/>
      <c r="IKB9" s="7158"/>
      <c r="IKC9" s="7158"/>
      <c r="IKD9" s="7158"/>
      <c r="IKE9" s="7158"/>
      <c r="IKF9" s="7159"/>
      <c r="IKG9" s="7152" t="s">
        <v>1012</v>
      </c>
      <c r="IKH9" s="7153"/>
      <c r="IKI9" s="7153"/>
      <c r="IKJ9" s="7153"/>
      <c r="IKK9" s="7163">
        <v>0.05</v>
      </c>
      <c r="IKL9" s="7164"/>
      <c r="IKM9" s="7157">
        <f>IKK9*IKM7</f>
        <v>0</v>
      </c>
      <c r="IKN9" s="7157"/>
      <c r="IKO9" s="7157"/>
      <c r="IKP9" s="7157"/>
      <c r="IKQ9" s="7158"/>
      <c r="IKR9" s="7158"/>
      <c r="IKS9" s="7158"/>
      <c r="IKT9" s="7158"/>
      <c r="IKU9" s="7158"/>
      <c r="IKV9" s="7159"/>
      <c r="IKW9" s="7152" t="s">
        <v>1012</v>
      </c>
      <c r="IKX9" s="7153"/>
      <c r="IKY9" s="7153"/>
      <c r="IKZ9" s="7153"/>
      <c r="ILA9" s="7163">
        <v>0.05</v>
      </c>
      <c r="ILB9" s="7164"/>
      <c r="ILC9" s="7157">
        <f>ILA9*ILC7</f>
        <v>0</v>
      </c>
      <c r="ILD9" s="7157"/>
      <c r="ILE9" s="7157"/>
      <c r="ILF9" s="7157"/>
      <c r="ILG9" s="7158"/>
      <c r="ILH9" s="7158"/>
      <c r="ILI9" s="7158"/>
      <c r="ILJ9" s="7158"/>
      <c r="ILK9" s="7158"/>
      <c r="ILL9" s="7159"/>
      <c r="ILM9" s="7152" t="s">
        <v>1012</v>
      </c>
      <c r="ILN9" s="7153"/>
      <c r="ILO9" s="7153"/>
      <c r="ILP9" s="7153"/>
      <c r="ILQ9" s="7163">
        <v>0.05</v>
      </c>
      <c r="ILR9" s="7164"/>
      <c r="ILS9" s="7157">
        <f>ILQ9*ILS7</f>
        <v>0</v>
      </c>
      <c r="ILT9" s="7157"/>
      <c r="ILU9" s="7157"/>
      <c r="ILV9" s="7157"/>
      <c r="ILW9" s="7158"/>
      <c r="ILX9" s="7158"/>
      <c r="ILY9" s="7158"/>
      <c r="ILZ9" s="7158"/>
      <c r="IMA9" s="7158"/>
      <c r="IMB9" s="7159"/>
      <c r="IMC9" s="7152" t="s">
        <v>1012</v>
      </c>
      <c r="IMD9" s="7153"/>
      <c r="IME9" s="7153"/>
      <c r="IMF9" s="7153"/>
      <c r="IMG9" s="7163">
        <v>0.05</v>
      </c>
      <c r="IMH9" s="7164"/>
      <c r="IMI9" s="7157">
        <f>IMG9*IMI7</f>
        <v>0</v>
      </c>
      <c r="IMJ9" s="7157"/>
      <c r="IMK9" s="7157"/>
      <c r="IML9" s="7157"/>
      <c r="IMM9" s="7158"/>
      <c r="IMN9" s="7158"/>
      <c r="IMO9" s="7158"/>
      <c r="IMP9" s="7158"/>
      <c r="IMQ9" s="7158"/>
      <c r="IMR9" s="7159"/>
      <c r="IMS9" s="7152" t="s">
        <v>1012</v>
      </c>
      <c r="IMT9" s="7153"/>
      <c r="IMU9" s="7153"/>
      <c r="IMV9" s="7153"/>
      <c r="IMW9" s="7163">
        <v>0.05</v>
      </c>
      <c r="IMX9" s="7164"/>
      <c r="IMY9" s="7157">
        <f>IMW9*IMY7</f>
        <v>0</v>
      </c>
      <c r="IMZ9" s="7157"/>
      <c r="INA9" s="7157"/>
      <c r="INB9" s="7157"/>
      <c r="INC9" s="7158"/>
      <c r="IND9" s="7158"/>
      <c r="INE9" s="7158"/>
      <c r="INF9" s="7158"/>
      <c r="ING9" s="7158"/>
      <c r="INH9" s="7159"/>
      <c r="INI9" s="7152" t="s">
        <v>1012</v>
      </c>
      <c r="INJ9" s="7153"/>
      <c r="INK9" s="7153"/>
      <c r="INL9" s="7153"/>
      <c r="INM9" s="7163">
        <v>0.05</v>
      </c>
      <c r="INN9" s="7164"/>
      <c r="INO9" s="7157">
        <f>INM9*INO7</f>
        <v>0</v>
      </c>
      <c r="INP9" s="7157"/>
      <c r="INQ9" s="7157"/>
      <c r="INR9" s="7157"/>
      <c r="INS9" s="7158"/>
      <c r="INT9" s="7158"/>
      <c r="INU9" s="7158"/>
      <c r="INV9" s="7158"/>
      <c r="INW9" s="7158"/>
      <c r="INX9" s="7159"/>
      <c r="INY9" s="7152" t="s">
        <v>1012</v>
      </c>
      <c r="INZ9" s="7153"/>
      <c r="IOA9" s="7153"/>
      <c r="IOB9" s="7153"/>
      <c r="IOC9" s="7163">
        <v>0.05</v>
      </c>
      <c r="IOD9" s="7164"/>
      <c r="IOE9" s="7157">
        <f>IOC9*IOE7</f>
        <v>0</v>
      </c>
      <c r="IOF9" s="7157"/>
      <c r="IOG9" s="7157"/>
      <c r="IOH9" s="7157"/>
      <c r="IOI9" s="7158"/>
      <c r="IOJ9" s="7158"/>
      <c r="IOK9" s="7158"/>
      <c r="IOL9" s="7158"/>
      <c r="IOM9" s="7158"/>
      <c r="ION9" s="7159"/>
      <c r="IOO9" s="7152" t="s">
        <v>1012</v>
      </c>
      <c r="IOP9" s="7153"/>
      <c r="IOQ9" s="7153"/>
      <c r="IOR9" s="7153"/>
      <c r="IOS9" s="7163">
        <v>0.05</v>
      </c>
      <c r="IOT9" s="7164"/>
      <c r="IOU9" s="7157">
        <f>IOS9*IOU7</f>
        <v>0</v>
      </c>
      <c r="IOV9" s="7157"/>
      <c r="IOW9" s="7157"/>
      <c r="IOX9" s="7157"/>
      <c r="IOY9" s="7158"/>
      <c r="IOZ9" s="7158"/>
      <c r="IPA9" s="7158"/>
      <c r="IPB9" s="7158"/>
      <c r="IPC9" s="7158"/>
      <c r="IPD9" s="7159"/>
      <c r="IPE9" s="7152" t="s">
        <v>1012</v>
      </c>
      <c r="IPF9" s="7153"/>
      <c r="IPG9" s="7153"/>
      <c r="IPH9" s="7153"/>
      <c r="IPI9" s="7163">
        <v>0.05</v>
      </c>
      <c r="IPJ9" s="7164"/>
      <c r="IPK9" s="7157">
        <f>IPI9*IPK7</f>
        <v>0</v>
      </c>
      <c r="IPL9" s="7157"/>
      <c r="IPM9" s="7157"/>
      <c r="IPN9" s="7157"/>
      <c r="IPO9" s="7158"/>
      <c r="IPP9" s="7158"/>
      <c r="IPQ9" s="7158"/>
      <c r="IPR9" s="7158"/>
      <c r="IPS9" s="7158"/>
      <c r="IPT9" s="7159"/>
      <c r="IPU9" s="7152" t="s">
        <v>1012</v>
      </c>
      <c r="IPV9" s="7153"/>
      <c r="IPW9" s="7153"/>
      <c r="IPX9" s="7153"/>
      <c r="IPY9" s="7163">
        <v>0.05</v>
      </c>
      <c r="IPZ9" s="7164"/>
      <c r="IQA9" s="7157">
        <f>IPY9*IQA7</f>
        <v>0</v>
      </c>
      <c r="IQB9" s="7157"/>
      <c r="IQC9" s="7157"/>
      <c r="IQD9" s="7157"/>
      <c r="IQE9" s="7158"/>
      <c r="IQF9" s="7158"/>
      <c r="IQG9" s="7158"/>
      <c r="IQH9" s="7158"/>
      <c r="IQI9" s="7158"/>
      <c r="IQJ9" s="7159"/>
      <c r="IQK9" s="7152" t="s">
        <v>1012</v>
      </c>
      <c r="IQL9" s="7153"/>
      <c r="IQM9" s="7153"/>
      <c r="IQN9" s="7153"/>
      <c r="IQO9" s="7163">
        <v>0.05</v>
      </c>
      <c r="IQP9" s="7164"/>
      <c r="IQQ9" s="7157">
        <f>IQO9*IQQ7</f>
        <v>0</v>
      </c>
      <c r="IQR9" s="7157"/>
      <c r="IQS9" s="7157"/>
      <c r="IQT9" s="7157"/>
      <c r="IQU9" s="7158"/>
      <c r="IQV9" s="7158"/>
      <c r="IQW9" s="7158"/>
      <c r="IQX9" s="7158"/>
      <c r="IQY9" s="7158"/>
      <c r="IQZ9" s="7159"/>
      <c r="IRA9" s="7152" t="s">
        <v>1012</v>
      </c>
      <c r="IRB9" s="7153"/>
      <c r="IRC9" s="7153"/>
      <c r="IRD9" s="7153"/>
      <c r="IRE9" s="7163">
        <v>0.05</v>
      </c>
      <c r="IRF9" s="7164"/>
      <c r="IRG9" s="7157">
        <f>IRE9*IRG7</f>
        <v>0</v>
      </c>
      <c r="IRH9" s="7157"/>
      <c r="IRI9" s="7157"/>
      <c r="IRJ9" s="7157"/>
      <c r="IRK9" s="7158"/>
      <c r="IRL9" s="7158"/>
      <c r="IRM9" s="7158"/>
      <c r="IRN9" s="7158"/>
      <c r="IRO9" s="7158"/>
      <c r="IRP9" s="7159"/>
      <c r="IRQ9" s="7152" t="s">
        <v>1012</v>
      </c>
      <c r="IRR9" s="7153"/>
      <c r="IRS9" s="7153"/>
      <c r="IRT9" s="7153"/>
      <c r="IRU9" s="7163">
        <v>0.05</v>
      </c>
      <c r="IRV9" s="7164"/>
      <c r="IRW9" s="7157">
        <f>IRU9*IRW7</f>
        <v>0</v>
      </c>
      <c r="IRX9" s="7157"/>
      <c r="IRY9" s="7157"/>
      <c r="IRZ9" s="7157"/>
      <c r="ISA9" s="7158"/>
      <c r="ISB9" s="7158"/>
      <c r="ISC9" s="7158"/>
      <c r="ISD9" s="7158"/>
      <c r="ISE9" s="7158"/>
      <c r="ISF9" s="7159"/>
      <c r="ISG9" s="7152" t="s">
        <v>1012</v>
      </c>
      <c r="ISH9" s="7153"/>
      <c r="ISI9" s="7153"/>
      <c r="ISJ9" s="7153"/>
      <c r="ISK9" s="7163">
        <v>0.05</v>
      </c>
      <c r="ISL9" s="7164"/>
      <c r="ISM9" s="7157">
        <f>ISK9*ISM7</f>
        <v>0</v>
      </c>
      <c r="ISN9" s="7157"/>
      <c r="ISO9" s="7157"/>
      <c r="ISP9" s="7157"/>
      <c r="ISQ9" s="7158"/>
      <c r="ISR9" s="7158"/>
      <c r="ISS9" s="7158"/>
      <c r="IST9" s="7158"/>
      <c r="ISU9" s="7158"/>
      <c r="ISV9" s="7159"/>
      <c r="ISW9" s="7152" t="s">
        <v>1012</v>
      </c>
      <c r="ISX9" s="7153"/>
      <c r="ISY9" s="7153"/>
      <c r="ISZ9" s="7153"/>
      <c r="ITA9" s="7163">
        <v>0.05</v>
      </c>
      <c r="ITB9" s="7164"/>
      <c r="ITC9" s="7157">
        <f>ITA9*ITC7</f>
        <v>0</v>
      </c>
      <c r="ITD9" s="7157"/>
      <c r="ITE9" s="7157"/>
      <c r="ITF9" s="7157"/>
      <c r="ITG9" s="7158"/>
      <c r="ITH9" s="7158"/>
      <c r="ITI9" s="7158"/>
      <c r="ITJ9" s="7158"/>
      <c r="ITK9" s="7158"/>
      <c r="ITL9" s="7159"/>
      <c r="ITM9" s="7152" t="s">
        <v>1012</v>
      </c>
      <c r="ITN9" s="7153"/>
      <c r="ITO9" s="7153"/>
      <c r="ITP9" s="7153"/>
      <c r="ITQ9" s="7163">
        <v>0.05</v>
      </c>
      <c r="ITR9" s="7164"/>
      <c r="ITS9" s="7157">
        <f>ITQ9*ITS7</f>
        <v>0</v>
      </c>
      <c r="ITT9" s="7157"/>
      <c r="ITU9" s="7157"/>
      <c r="ITV9" s="7157"/>
      <c r="ITW9" s="7158"/>
      <c r="ITX9" s="7158"/>
      <c r="ITY9" s="7158"/>
      <c r="ITZ9" s="7158"/>
      <c r="IUA9" s="7158"/>
      <c r="IUB9" s="7159"/>
      <c r="IUC9" s="7152" t="s">
        <v>1012</v>
      </c>
      <c r="IUD9" s="7153"/>
      <c r="IUE9" s="7153"/>
      <c r="IUF9" s="7153"/>
      <c r="IUG9" s="7163">
        <v>0.05</v>
      </c>
      <c r="IUH9" s="7164"/>
      <c r="IUI9" s="7157">
        <f>IUG9*IUI7</f>
        <v>0</v>
      </c>
      <c r="IUJ9" s="7157"/>
      <c r="IUK9" s="7157"/>
      <c r="IUL9" s="7157"/>
      <c r="IUM9" s="7158"/>
      <c r="IUN9" s="7158"/>
      <c r="IUO9" s="7158"/>
      <c r="IUP9" s="7158"/>
      <c r="IUQ9" s="7158"/>
      <c r="IUR9" s="7159"/>
      <c r="IUS9" s="7152" t="s">
        <v>1012</v>
      </c>
      <c r="IUT9" s="7153"/>
      <c r="IUU9" s="7153"/>
      <c r="IUV9" s="7153"/>
      <c r="IUW9" s="7163">
        <v>0.05</v>
      </c>
      <c r="IUX9" s="7164"/>
      <c r="IUY9" s="7157">
        <f>IUW9*IUY7</f>
        <v>0</v>
      </c>
      <c r="IUZ9" s="7157"/>
      <c r="IVA9" s="7157"/>
      <c r="IVB9" s="7157"/>
      <c r="IVC9" s="7158"/>
      <c r="IVD9" s="7158"/>
      <c r="IVE9" s="7158"/>
      <c r="IVF9" s="7158"/>
      <c r="IVG9" s="7158"/>
      <c r="IVH9" s="7159"/>
      <c r="IVI9" s="7152" t="s">
        <v>1012</v>
      </c>
      <c r="IVJ9" s="7153"/>
      <c r="IVK9" s="7153"/>
      <c r="IVL9" s="7153"/>
      <c r="IVM9" s="7163">
        <v>0.05</v>
      </c>
      <c r="IVN9" s="7164"/>
      <c r="IVO9" s="7157">
        <f>IVM9*IVO7</f>
        <v>0</v>
      </c>
      <c r="IVP9" s="7157"/>
      <c r="IVQ9" s="7157"/>
      <c r="IVR9" s="7157"/>
      <c r="IVS9" s="7158"/>
      <c r="IVT9" s="7158"/>
      <c r="IVU9" s="7158"/>
      <c r="IVV9" s="7158"/>
      <c r="IVW9" s="7158"/>
      <c r="IVX9" s="7159"/>
      <c r="IVY9" s="7152" t="s">
        <v>1012</v>
      </c>
      <c r="IVZ9" s="7153"/>
      <c r="IWA9" s="7153"/>
      <c r="IWB9" s="7153"/>
      <c r="IWC9" s="7163">
        <v>0.05</v>
      </c>
      <c r="IWD9" s="7164"/>
      <c r="IWE9" s="7157">
        <f>IWC9*IWE7</f>
        <v>0</v>
      </c>
      <c r="IWF9" s="7157"/>
      <c r="IWG9" s="7157"/>
      <c r="IWH9" s="7157"/>
      <c r="IWI9" s="7158"/>
      <c r="IWJ9" s="7158"/>
      <c r="IWK9" s="7158"/>
      <c r="IWL9" s="7158"/>
      <c r="IWM9" s="7158"/>
      <c r="IWN9" s="7159"/>
      <c r="IWO9" s="7152" t="s">
        <v>1012</v>
      </c>
      <c r="IWP9" s="7153"/>
      <c r="IWQ9" s="7153"/>
      <c r="IWR9" s="7153"/>
      <c r="IWS9" s="7163">
        <v>0.05</v>
      </c>
      <c r="IWT9" s="7164"/>
      <c r="IWU9" s="7157">
        <f>IWS9*IWU7</f>
        <v>0</v>
      </c>
      <c r="IWV9" s="7157"/>
      <c r="IWW9" s="7157"/>
      <c r="IWX9" s="7157"/>
      <c r="IWY9" s="7158"/>
      <c r="IWZ9" s="7158"/>
      <c r="IXA9" s="7158"/>
      <c r="IXB9" s="7158"/>
      <c r="IXC9" s="7158"/>
      <c r="IXD9" s="7159"/>
      <c r="IXE9" s="7152" t="s">
        <v>1012</v>
      </c>
      <c r="IXF9" s="7153"/>
      <c r="IXG9" s="7153"/>
      <c r="IXH9" s="7153"/>
      <c r="IXI9" s="7163">
        <v>0.05</v>
      </c>
      <c r="IXJ9" s="7164"/>
      <c r="IXK9" s="7157">
        <f>IXI9*IXK7</f>
        <v>0</v>
      </c>
      <c r="IXL9" s="7157"/>
      <c r="IXM9" s="7157"/>
      <c r="IXN9" s="7157"/>
      <c r="IXO9" s="7158"/>
      <c r="IXP9" s="7158"/>
      <c r="IXQ9" s="7158"/>
      <c r="IXR9" s="7158"/>
      <c r="IXS9" s="7158"/>
      <c r="IXT9" s="7159"/>
      <c r="IXU9" s="7152" t="s">
        <v>1012</v>
      </c>
      <c r="IXV9" s="7153"/>
      <c r="IXW9" s="7153"/>
      <c r="IXX9" s="7153"/>
      <c r="IXY9" s="7163">
        <v>0.05</v>
      </c>
      <c r="IXZ9" s="7164"/>
      <c r="IYA9" s="7157">
        <f>IXY9*IYA7</f>
        <v>0</v>
      </c>
      <c r="IYB9" s="7157"/>
      <c r="IYC9" s="7157"/>
      <c r="IYD9" s="7157"/>
      <c r="IYE9" s="7158"/>
      <c r="IYF9" s="7158"/>
      <c r="IYG9" s="7158"/>
      <c r="IYH9" s="7158"/>
      <c r="IYI9" s="7158"/>
      <c r="IYJ9" s="7159"/>
      <c r="IYK9" s="7152" t="s">
        <v>1012</v>
      </c>
      <c r="IYL9" s="7153"/>
      <c r="IYM9" s="7153"/>
      <c r="IYN9" s="7153"/>
      <c r="IYO9" s="7163">
        <v>0.05</v>
      </c>
      <c r="IYP9" s="7164"/>
      <c r="IYQ9" s="7157">
        <f>IYO9*IYQ7</f>
        <v>0</v>
      </c>
      <c r="IYR9" s="7157"/>
      <c r="IYS9" s="7157"/>
      <c r="IYT9" s="7157"/>
      <c r="IYU9" s="7158"/>
      <c r="IYV9" s="7158"/>
      <c r="IYW9" s="7158"/>
      <c r="IYX9" s="7158"/>
      <c r="IYY9" s="7158"/>
      <c r="IYZ9" s="7159"/>
      <c r="IZA9" s="7152" t="s">
        <v>1012</v>
      </c>
      <c r="IZB9" s="7153"/>
      <c r="IZC9" s="7153"/>
      <c r="IZD9" s="7153"/>
      <c r="IZE9" s="7163">
        <v>0.05</v>
      </c>
      <c r="IZF9" s="7164"/>
      <c r="IZG9" s="7157">
        <f>IZE9*IZG7</f>
        <v>0</v>
      </c>
      <c r="IZH9" s="7157"/>
      <c r="IZI9" s="7157"/>
      <c r="IZJ9" s="7157"/>
      <c r="IZK9" s="7158"/>
      <c r="IZL9" s="7158"/>
      <c r="IZM9" s="7158"/>
      <c r="IZN9" s="7158"/>
      <c r="IZO9" s="7158"/>
      <c r="IZP9" s="7159"/>
      <c r="IZQ9" s="7152" t="s">
        <v>1012</v>
      </c>
      <c r="IZR9" s="7153"/>
      <c r="IZS9" s="7153"/>
      <c r="IZT9" s="7153"/>
      <c r="IZU9" s="7163">
        <v>0.05</v>
      </c>
      <c r="IZV9" s="7164"/>
      <c r="IZW9" s="7157">
        <f>IZU9*IZW7</f>
        <v>0</v>
      </c>
      <c r="IZX9" s="7157"/>
      <c r="IZY9" s="7157"/>
      <c r="IZZ9" s="7157"/>
      <c r="JAA9" s="7158"/>
      <c r="JAB9" s="7158"/>
      <c r="JAC9" s="7158"/>
      <c r="JAD9" s="7158"/>
      <c r="JAE9" s="7158"/>
      <c r="JAF9" s="7159"/>
      <c r="JAG9" s="7152" t="s">
        <v>1012</v>
      </c>
      <c r="JAH9" s="7153"/>
      <c r="JAI9" s="7153"/>
      <c r="JAJ9" s="7153"/>
      <c r="JAK9" s="7163">
        <v>0.05</v>
      </c>
      <c r="JAL9" s="7164"/>
      <c r="JAM9" s="7157">
        <f>JAK9*JAM7</f>
        <v>0</v>
      </c>
      <c r="JAN9" s="7157"/>
      <c r="JAO9" s="7157"/>
      <c r="JAP9" s="7157"/>
      <c r="JAQ9" s="7158"/>
      <c r="JAR9" s="7158"/>
      <c r="JAS9" s="7158"/>
      <c r="JAT9" s="7158"/>
      <c r="JAU9" s="7158"/>
      <c r="JAV9" s="7159"/>
      <c r="JAW9" s="7152" t="s">
        <v>1012</v>
      </c>
      <c r="JAX9" s="7153"/>
      <c r="JAY9" s="7153"/>
      <c r="JAZ9" s="7153"/>
      <c r="JBA9" s="7163">
        <v>0.05</v>
      </c>
      <c r="JBB9" s="7164"/>
      <c r="JBC9" s="7157">
        <f>JBA9*JBC7</f>
        <v>0</v>
      </c>
      <c r="JBD9" s="7157"/>
      <c r="JBE9" s="7157"/>
      <c r="JBF9" s="7157"/>
      <c r="JBG9" s="7158"/>
      <c r="JBH9" s="7158"/>
      <c r="JBI9" s="7158"/>
      <c r="JBJ9" s="7158"/>
      <c r="JBK9" s="7158"/>
      <c r="JBL9" s="7159"/>
      <c r="JBM9" s="7152" t="s">
        <v>1012</v>
      </c>
      <c r="JBN9" s="7153"/>
      <c r="JBO9" s="7153"/>
      <c r="JBP9" s="7153"/>
      <c r="JBQ9" s="7163">
        <v>0.05</v>
      </c>
      <c r="JBR9" s="7164"/>
      <c r="JBS9" s="7157">
        <f>JBQ9*JBS7</f>
        <v>0</v>
      </c>
      <c r="JBT9" s="7157"/>
      <c r="JBU9" s="7157"/>
      <c r="JBV9" s="7157"/>
      <c r="JBW9" s="7158"/>
      <c r="JBX9" s="7158"/>
      <c r="JBY9" s="7158"/>
      <c r="JBZ9" s="7158"/>
      <c r="JCA9" s="7158"/>
      <c r="JCB9" s="7159"/>
      <c r="JCC9" s="7152" t="s">
        <v>1012</v>
      </c>
      <c r="JCD9" s="7153"/>
      <c r="JCE9" s="7153"/>
      <c r="JCF9" s="7153"/>
      <c r="JCG9" s="7163">
        <v>0.05</v>
      </c>
      <c r="JCH9" s="7164"/>
      <c r="JCI9" s="7157">
        <f>JCG9*JCI7</f>
        <v>0</v>
      </c>
      <c r="JCJ9" s="7157"/>
      <c r="JCK9" s="7157"/>
      <c r="JCL9" s="7157"/>
      <c r="JCM9" s="7158"/>
      <c r="JCN9" s="7158"/>
      <c r="JCO9" s="7158"/>
      <c r="JCP9" s="7158"/>
      <c r="JCQ9" s="7158"/>
      <c r="JCR9" s="7159"/>
      <c r="JCS9" s="7152" t="s">
        <v>1012</v>
      </c>
      <c r="JCT9" s="7153"/>
      <c r="JCU9" s="7153"/>
      <c r="JCV9" s="7153"/>
      <c r="JCW9" s="7163">
        <v>0.05</v>
      </c>
      <c r="JCX9" s="7164"/>
      <c r="JCY9" s="7157">
        <f>JCW9*JCY7</f>
        <v>0</v>
      </c>
      <c r="JCZ9" s="7157"/>
      <c r="JDA9" s="7157"/>
      <c r="JDB9" s="7157"/>
      <c r="JDC9" s="7158"/>
      <c r="JDD9" s="7158"/>
      <c r="JDE9" s="7158"/>
      <c r="JDF9" s="7158"/>
      <c r="JDG9" s="7158"/>
      <c r="JDH9" s="7159"/>
      <c r="JDI9" s="7152" t="s">
        <v>1012</v>
      </c>
      <c r="JDJ9" s="7153"/>
      <c r="JDK9" s="7153"/>
      <c r="JDL9" s="7153"/>
      <c r="JDM9" s="7163">
        <v>0.05</v>
      </c>
      <c r="JDN9" s="7164"/>
      <c r="JDO9" s="7157">
        <f>JDM9*JDO7</f>
        <v>0</v>
      </c>
      <c r="JDP9" s="7157"/>
      <c r="JDQ9" s="7157"/>
      <c r="JDR9" s="7157"/>
      <c r="JDS9" s="7158"/>
      <c r="JDT9" s="7158"/>
      <c r="JDU9" s="7158"/>
      <c r="JDV9" s="7158"/>
      <c r="JDW9" s="7158"/>
      <c r="JDX9" s="7159"/>
      <c r="JDY9" s="7152" t="s">
        <v>1012</v>
      </c>
      <c r="JDZ9" s="7153"/>
      <c r="JEA9" s="7153"/>
      <c r="JEB9" s="7153"/>
      <c r="JEC9" s="7163">
        <v>0.05</v>
      </c>
      <c r="JED9" s="7164"/>
      <c r="JEE9" s="7157">
        <f>JEC9*JEE7</f>
        <v>0</v>
      </c>
      <c r="JEF9" s="7157"/>
      <c r="JEG9" s="7157"/>
      <c r="JEH9" s="7157"/>
      <c r="JEI9" s="7158"/>
      <c r="JEJ9" s="7158"/>
      <c r="JEK9" s="7158"/>
      <c r="JEL9" s="7158"/>
      <c r="JEM9" s="7158"/>
      <c r="JEN9" s="7159"/>
      <c r="JEO9" s="7152" t="s">
        <v>1012</v>
      </c>
      <c r="JEP9" s="7153"/>
      <c r="JEQ9" s="7153"/>
      <c r="JER9" s="7153"/>
      <c r="JES9" s="7163">
        <v>0.05</v>
      </c>
      <c r="JET9" s="7164"/>
      <c r="JEU9" s="7157">
        <f>JES9*JEU7</f>
        <v>0</v>
      </c>
      <c r="JEV9" s="7157"/>
      <c r="JEW9" s="7157"/>
      <c r="JEX9" s="7157"/>
      <c r="JEY9" s="7158"/>
      <c r="JEZ9" s="7158"/>
      <c r="JFA9" s="7158"/>
      <c r="JFB9" s="7158"/>
      <c r="JFC9" s="7158"/>
      <c r="JFD9" s="7159"/>
      <c r="JFE9" s="7152" t="s">
        <v>1012</v>
      </c>
      <c r="JFF9" s="7153"/>
      <c r="JFG9" s="7153"/>
      <c r="JFH9" s="7153"/>
      <c r="JFI9" s="7163">
        <v>0.05</v>
      </c>
      <c r="JFJ9" s="7164"/>
      <c r="JFK9" s="7157">
        <f>JFI9*JFK7</f>
        <v>0</v>
      </c>
      <c r="JFL9" s="7157"/>
      <c r="JFM9" s="7157"/>
      <c r="JFN9" s="7157"/>
      <c r="JFO9" s="7158"/>
      <c r="JFP9" s="7158"/>
      <c r="JFQ9" s="7158"/>
      <c r="JFR9" s="7158"/>
      <c r="JFS9" s="7158"/>
      <c r="JFT9" s="7159"/>
      <c r="JFU9" s="7152" t="s">
        <v>1012</v>
      </c>
      <c r="JFV9" s="7153"/>
      <c r="JFW9" s="7153"/>
      <c r="JFX9" s="7153"/>
      <c r="JFY9" s="7163">
        <v>0.05</v>
      </c>
      <c r="JFZ9" s="7164"/>
      <c r="JGA9" s="7157">
        <f>JFY9*JGA7</f>
        <v>0</v>
      </c>
      <c r="JGB9" s="7157"/>
      <c r="JGC9" s="7157"/>
      <c r="JGD9" s="7157"/>
      <c r="JGE9" s="7158"/>
      <c r="JGF9" s="7158"/>
      <c r="JGG9" s="7158"/>
      <c r="JGH9" s="7158"/>
      <c r="JGI9" s="7158"/>
      <c r="JGJ9" s="7159"/>
      <c r="JGK9" s="7152" t="s">
        <v>1012</v>
      </c>
      <c r="JGL9" s="7153"/>
      <c r="JGM9" s="7153"/>
      <c r="JGN9" s="7153"/>
      <c r="JGO9" s="7163">
        <v>0.05</v>
      </c>
      <c r="JGP9" s="7164"/>
      <c r="JGQ9" s="7157">
        <f>JGO9*JGQ7</f>
        <v>0</v>
      </c>
      <c r="JGR9" s="7157"/>
      <c r="JGS9" s="7157"/>
      <c r="JGT9" s="7157"/>
      <c r="JGU9" s="7158"/>
      <c r="JGV9" s="7158"/>
      <c r="JGW9" s="7158"/>
      <c r="JGX9" s="7158"/>
      <c r="JGY9" s="7158"/>
      <c r="JGZ9" s="7159"/>
      <c r="JHA9" s="7152" t="s">
        <v>1012</v>
      </c>
      <c r="JHB9" s="7153"/>
      <c r="JHC9" s="7153"/>
      <c r="JHD9" s="7153"/>
      <c r="JHE9" s="7163">
        <v>0.05</v>
      </c>
      <c r="JHF9" s="7164"/>
      <c r="JHG9" s="7157">
        <f>JHE9*JHG7</f>
        <v>0</v>
      </c>
      <c r="JHH9" s="7157"/>
      <c r="JHI9" s="7157"/>
      <c r="JHJ9" s="7157"/>
      <c r="JHK9" s="7158"/>
      <c r="JHL9" s="7158"/>
      <c r="JHM9" s="7158"/>
      <c r="JHN9" s="7158"/>
      <c r="JHO9" s="7158"/>
      <c r="JHP9" s="7159"/>
      <c r="JHQ9" s="7152" t="s">
        <v>1012</v>
      </c>
      <c r="JHR9" s="7153"/>
      <c r="JHS9" s="7153"/>
      <c r="JHT9" s="7153"/>
      <c r="JHU9" s="7163">
        <v>0.05</v>
      </c>
      <c r="JHV9" s="7164"/>
      <c r="JHW9" s="7157">
        <f>JHU9*JHW7</f>
        <v>0</v>
      </c>
      <c r="JHX9" s="7157"/>
      <c r="JHY9" s="7157"/>
      <c r="JHZ9" s="7157"/>
      <c r="JIA9" s="7158"/>
      <c r="JIB9" s="7158"/>
      <c r="JIC9" s="7158"/>
      <c r="JID9" s="7158"/>
      <c r="JIE9" s="7158"/>
      <c r="JIF9" s="7159"/>
      <c r="JIG9" s="7152" t="s">
        <v>1012</v>
      </c>
      <c r="JIH9" s="7153"/>
      <c r="JII9" s="7153"/>
      <c r="JIJ9" s="7153"/>
      <c r="JIK9" s="7163">
        <v>0.05</v>
      </c>
      <c r="JIL9" s="7164"/>
      <c r="JIM9" s="7157">
        <f>JIK9*JIM7</f>
        <v>0</v>
      </c>
      <c r="JIN9" s="7157"/>
      <c r="JIO9" s="7157"/>
      <c r="JIP9" s="7157"/>
      <c r="JIQ9" s="7158"/>
      <c r="JIR9" s="7158"/>
      <c r="JIS9" s="7158"/>
      <c r="JIT9" s="7158"/>
      <c r="JIU9" s="7158"/>
      <c r="JIV9" s="7159"/>
      <c r="JIW9" s="7152" t="s">
        <v>1012</v>
      </c>
      <c r="JIX9" s="7153"/>
      <c r="JIY9" s="7153"/>
      <c r="JIZ9" s="7153"/>
      <c r="JJA9" s="7163">
        <v>0.05</v>
      </c>
      <c r="JJB9" s="7164"/>
      <c r="JJC9" s="7157">
        <f>JJA9*JJC7</f>
        <v>0</v>
      </c>
      <c r="JJD9" s="7157"/>
      <c r="JJE9" s="7157"/>
      <c r="JJF9" s="7157"/>
      <c r="JJG9" s="7158"/>
      <c r="JJH9" s="7158"/>
      <c r="JJI9" s="7158"/>
      <c r="JJJ9" s="7158"/>
      <c r="JJK9" s="7158"/>
      <c r="JJL9" s="7159"/>
      <c r="JJM9" s="7152" t="s">
        <v>1012</v>
      </c>
      <c r="JJN9" s="7153"/>
      <c r="JJO9" s="7153"/>
      <c r="JJP9" s="7153"/>
      <c r="JJQ9" s="7163">
        <v>0.05</v>
      </c>
      <c r="JJR9" s="7164"/>
      <c r="JJS9" s="7157">
        <f>JJQ9*JJS7</f>
        <v>0</v>
      </c>
      <c r="JJT9" s="7157"/>
      <c r="JJU9" s="7157"/>
      <c r="JJV9" s="7157"/>
      <c r="JJW9" s="7158"/>
      <c r="JJX9" s="7158"/>
      <c r="JJY9" s="7158"/>
      <c r="JJZ9" s="7158"/>
      <c r="JKA9" s="7158"/>
      <c r="JKB9" s="7159"/>
      <c r="JKC9" s="7152" t="s">
        <v>1012</v>
      </c>
      <c r="JKD9" s="7153"/>
      <c r="JKE9" s="7153"/>
      <c r="JKF9" s="7153"/>
      <c r="JKG9" s="7163">
        <v>0.05</v>
      </c>
      <c r="JKH9" s="7164"/>
      <c r="JKI9" s="7157">
        <f>JKG9*JKI7</f>
        <v>0</v>
      </c>
      <c r="JKJ9" s="7157"/>
      <c r="JKK9" s="7157"/>
      <c r="JKL9" s="7157"/>
      <c r="JKM9" s="7158"/>
      <c r="JKN9" s="7158"/>
      <c r="JKO9" s="7158"/>
      <c r="JKP9" s="7158"/>
      <c r="JKQ9" s="7158"/>
      <c r="JKR9" s="7159"/>
      <c r="JKS9" s="7152" t="s">
        <v>1012</v>
      </c>
      <c r="JKT9" s="7153"/>
      <c r="JKU9" s="7153"/>
      <c r="JKV9" s="7153"/>
      <c r="JKW9" s="7163">
        <v>0.05</v>
      </c>
      <c r="JKX9" s="7164"/>
      <c r="JKY9" s="7157">
        <f>JKW9*JKY7</f>
        <v>0</v>
      </c>
      <c r="JKZ9" s="7157"/>
      <c r="JLA9" s="7157"/>
      <c r="JLB9" s="7157"/>
      <c r="JLC9" s="7158"/>
      <c r="JLD9" s="7158"/>
      <c r="JLE9" s="7158"/>
      <c r="JLF9" s="7158"/>
      <c r="JLG9" s="7158"/>
      <c r="JLH9" s="7159"/>
      <c r="JLI9" s="7152" t="s">
        <v>1012</v>
      </c>
      <c r="JLJ9" s="7153"/>
      <c r="JLK9" s="7153"/>
      <c r="JLL9" s="7153"/>
      <c r="JLM9" s="7163">
        <v>0.05</v>
      </c>
      <c r="JLN9" s="7164"/>
      <c r="JLO9" s="7157">
        <f>JLM9*JLO7</f>
        <v>0</v>
      </c>
      <c r="JLP9" s="7157"/>
      <c r="JLQ9" s="7157"/>
      <c r="JLR9" s="7157"/>
      <c r="JLS9" s="7158"/>
      <c r="JLT9" s="7158"/>
      <c r="JLU9" s="7158"/>
      <c r="JLV9" s="7158"/>
      <c r="JLW9" s="7158"/>
      <c r="JLX9" s="7159"/>
      <c r="JLY9" s="7152" t="s">
        <v>1012</v>
      </c>
      <c r="JLZ9" s="7153"/>
      <c r="JMA9" s="7153"/>
      <c r="JMB9" s="7153"/>
      <c r="JMC9" s="7163">
        <v>0.05</v>
      </c>
      <c r="JMD9" s="7164"/>
      <c r="JME9" s="7157">
        <f>JMC9*JME7</f>
        <v>0</v>
      </c>
      <c r="JMF9" s="7157"/>
      <c r="JMG9" s="7157"/>
      <c r="JMH9" s="7157"/>
      <c r="JMI9" s="7158"/>
      <c r="JMJ9" s="7158"/>
      <c r="JMK9" s="7158"/>
      <c r="JML9" s="7158"/>
      <c r="JMM9" s="7158"/>
      <c r="JMN9" s="7159"/>
      <c r="JMO9" s="7152" t="s">
        <v>1012</v>
      </c>
      <c r="JMP9" s="7153"/>
      <c r="JMQ9" s="7153"/>
      <c r="JMR9" s="7153"/>
      <c r="JMS9" s="7163">
        <v>0.05</v>
      </c>
      <c r="JMT9" s="7164"/>
      <c r="JMU9" s="7157">
        <f>JMS9*JMU7</f>
        <v>0</v>
      </c>
      <c r="JMV9" s="7157"/>
      <c r="JMW9" s="7157"/>
      <c r="JMX9" s="7157"/>
      <c r="JMY9" s="7158"/>
      <c r="JMZ9" s="7158"/>
      <c r="JNA9" s="7158"/>
      <c r="JNB9" s="7158"/>
      <c r="JNC9" s="7158"/>
      <c r="JND9" s="7159"/>
      <c r="JNE9" s="7152" t="s">
        <v>1012</v>
      </c>
      <c r="JNF9" s="7153"/>
      <c r="JNG9" s="7153"/>
      <c r="JNH9" s="7153"/>
      <c r="JNI9" s="7163">
        <v>0.05</v>
      </c>
      <c r="JNJ9" s="7164"/>
      <c r="JNK9" s="7157">
        <f>JNI9*JNK7</f>
        <v>0</v>
      </c>
      <c r="JNL9" s="7157"/>
      <c r="JNM9" s="7157"/>
      <c r="JNN9" s="7157"/>
      <c r="JNO9" s="7158"/>
      <c r="JNP9" s="7158"/>
      <c r="JNQ9" s="7158"/>
      <c r="JNR9" s="7158"/>
      <c r="JNS9" s="7158"/>
      <c r="JNT9" s="7159"/>
      <c r="JNU9" s="7152" t="s">
        <v>1012</v>
      </c>
      <c r="JNV9" s="7153"/>
      <c r="JNW9" s="7153"/>
      <c r="JNX9" s="7153"/>
      <c r="JNY9" s="7163">
        <v>0.05</v>
      </c>
      <c r="JNZ9" s="7164"/>
      <c r="JOA9" s="7157">
        <f>JNY9*JOA7</f>
        <v>0</v>
      </c>
      <c r="JOB9" s="7157"/>
      <c r="JOC9" s="7157"/>
      <c r="JOD9" s="7157"/>
      <c r="JOE9" s="7158"/>
      <c r="JOF9" s="7158"/>
      <c r="JOG9" s="7158"/>
      <c r="JOH9" s="7158"/>
      <c r="JOI9" s="7158"/>
      <c r="JOJ9" s="7159"/>
      <c r="JOK9" s="7152" t="s">
        <v>1012</v>
      </c>
      <c r="JOL9" s="7153"/>
      <c r="JOM9" s="7153"/>
      <c r="JON9" s="7153"/>
      <c r="JOO9" s="7163">
        <v>0.05</v>
      </c>
      <c r="JOP9" s="7164"/>
      <c r="JOQ9" s="7157">
        <f>JOO9*JOQ7</f>
        <v>0</v>
      </c>
      <c r="JOR9" s="7157"/>
      <c r="JOS9" s="7157"/>
      <c r="JOT9" s="7157"/>
      <c r="JOU9" s="7158"/>
      <c r="JOV9" s="7158"/>
      <c r="JOW9" s="7158"/>
      <c r="JOX9" s="7158"/>
      <c r="JOY9" s="7158"/>
      <c r="JOZ9" s="7159"/>
      <c r="JPA9" s="7152" t="s">
        <v>1012</v>
      </c>
      <c r="JPB9" s="7153"/>
      <c r="JPC9" s="7153"/>
      <c r="JPD9" s="7153"/>
      <c r="JPE9" s="7163">
        <v>0.05</v>
      </c>
      <c r="JPF9" s="7164"/>
      <c r="JPG9" s="7157">
        <f>JPE9*JPG7</f>
        <v>0</v>
      </c>
      <c r="JPH9" s="7157"/>
      <c r="JPI9" s="7157"/>
      <c r="JPJ9" s="7157"/>
      <c r="JPK9" s="7158"/>
      <c r="JPL9" s="7158"/>
      <c r="JPM9" s="7158"/>
      <c r="JPN9" s="7158"/>
      <c r="JPO9" s="7158"/>
      <c r="JPP9" s="7159"/>
      <c r="JPQ9" s="7152" t="s">
        <v>1012</v>
      </c>
      <c r="JPR9" s="7153"/>
      <c r="JPS9" s="7153"/>
      <c r="JPT9" s="7153"/>
      <c r="JPU9" s="7163">
        <v>0.05</v>
      </c>
      <c r="JPV9" s="7164"/>
      <c r="JPW9" s="7157">
        <f>JPU9*JPW7</f>
        <v>0</v>
      </c>
      <c r="JPX9" s="7157"/>
      <c r="JPY9" s="7157"/>
      <c r="JPZ9" s="7157"/>
      <c r="JQA9" s="7158"/>
      <c r="JQB9" s="7158"/>
      <c r="JQC9" s="7158"/>
      <c r="JQD9" s="7158"/>
      <c r="JQE9" s="7158"/>
      <c r="JQF9" s="7159"/>
      <c r="JQG9" s="7152" t="s">
        <v>1012</v>
      </c>
      <c r="JQH9" s="7153"/>
      <c r="JQI9" s="7153"/>
      <c r="JQJ9" s="7153"/>
      <c r="JQK9" s="7163">
        <v>0.05</v>
      </c>
      <c r="JQL9" s="7164"/>
      <c r="JQM9" s="7157">
        <f>JQK9*JQM7</f>
        <v>0</v>
      </c>
      <c r="JQN9" s="7157"/>
      <c r="JQO9" s="7157"/>
      <c r="JQP9" s="7157"/>
      <c r="JQQ9" s="7158"/>
      <c r="JQR9" s="7158"/>
      <c r="JQS9" s="7158"/>
      <c r="JQT9" s="7158"/>
      <c r="JQU9" s="7158"/>
      <c r="JQV9" s="7159"/>
      <c r="JQW9" s="7152" t="s">
        <v>1012</v>
      </c>
      <c r="JQX9" s="7153"/>
      <c r="JQY9" s="7153"/>
      <c r="JQZ9" s="7153"/>
      <c r="JRA9" s="7163">
        <v>0.05</v>
      </c>
      <c r="JRB9" s="7164"/>
      <c r="JRC9" s="7157">
        <f>JRA9*JRC7</f>
        <v>0</v>
      </c>
      <c r="JRD9" s="7157"/>
      <c r="JRE9" s="7157"/>
      <c r="JRF9" s="7157"/>
      <c r="JRG9" s="7158"/>
      <c r="JRH9" s="7158"/>
      <c r="JRI9" s="7158"/>
      <c r="JRJ9" s="7158"/>
      <c r="JRK9" s="7158"/>
      <c r="JRL9" s="7159"/>
      <c r="JRM9" s="7152" t="s">
        <v>1012</v>
      </c>
      <c r="JRN9" s="7153"/>
      <c r="JRO9" s="7153"/>
      <c r="JRP9" s="7153"/>
      <c r="JRQ9" s="7163">
        <v>0.05</v>
      </c>
      <c r="JRR9" s="7164"/>
      <c r="JRS9" s="7157">
        <f>JRQ9*JRS7</f>
        <v>0</v>
      </c>
      <c r="JRT9" s="7157"/>
      <c r="JRU9" s="7157"/>
      <c r="JRV9" s="7157"/>
      <c r="JRW9" s="7158"/>
      <c r="JRX9" s="7158"/>
      <c r="JRY9" s="7158"/>
      <c r="JRZ9" s="7158"/>
      <c r="JSA9" s="7158"/>
      <c r="JSB9" s="7159"/>
      <c r="JSC9" s="7152" t="s">
        <v>1012</v>
      </c>
      <c r="JSD9" s="7153"/>
      <c r="JSE9" s="7153"/>
      <c r="JSF9" s="7153"/>
      <c r="JSG9" s="7163">
        <v>0.05</v>
      </c>
      <c r="JSH9" s="7164"/>
      <c r="JSI9" s="7157">
        <f>JSG9*JSI7</f>
        <v>0</v>
      </c>
      <c r="JSJ9" s="7157"/>
      <c r="JSK9" s="7157"/>
      <c r="JSL9" s="7157"/>
      <c r="JSM9" s="7158"/>
      <c r="JSN9" s="7158"/>
      <c r="JSO9" s="7158"/>
      <c r="JSP9" s="7158"/>
      <c r="JSQ9" s="7158"/>
      <c r="JSR9" s="7159"/>
      <c r="JSS9" s="7152" t="s">
        <v>1012</v>
      </c>
      <c r="JST9" s="7153"/>
      <c r="JSU9" s="7153"/>
      <c r="JSV9" s="7153"/>
      <c r="JSW9" s="7163">
        <v>0.05</v>
      </c>
      <c r="JSX9" s="7164"/>
      <c r="JSY9" s="7157">
        <f>JSW9*JSY7</f>
        <v>0</v>
      </c>
      <c r="JSZ9" s="7157"/>
      <c r="JTA9" s="7157"/>
      <c r="JTB9" s="7157"/>
      <c r="JTC9" s="7158"/>
      <c r="JTD9" s="7158"/>
      <c r="JTE9" s="7158"/>
      <c r="JTF9" s="7158"/>
      <c r="JTG9" s="7158"/>
      <c r="JTH9" s="7159"/>
      <c r="JTI9" s="7152" t="s">
        <v>1012</v>
      </c>
      <c r="JTJ9" s="7153"/>
      <c r="JTK9" s="7153"/>
      <c r="JTL9" s="7153"/>
      <c r="JTM9" s="7163">
        <v>0.05</v>
      </c>
      <c r="JTN9" s="7164"/>
      <c r="JTO9" s="7157">
        <f>JTM9*JTO7</f>
        <v>0</v>
      </c>
      <c r="JTP9" s="7157"/>
      <c r="JTQ9" s="7157"/>
      <c r="JTR9" s="7157"/>
      <c r="JTS9" s="7158"/>
      <c r="JTT9" s="7158"/>
      <c r="JTU9" s="7158"/>
      <c r="JTV9" s="7158"/>
      <c r="JTW9" s="7158"/>
      <c r="JTX9" s="7159"/>
      <c r="JTY9" s="7152" t="s">
        <v>1012</v>
      </c>
      <c r="JTZ9" s="7153"/>
      <c r="JUA9" s="7153"/>
      <c r="JUB9" s="7153"/>
      <c r="JUC9" s="7163">
        <v>0.05</v>
      </c>
      <c r="JUD9" s="7164"/>
      <c r="JUE9" s="7157">
        <f>JUC9*JUE7</f>
        <v>0</v>
      </c>
      <c r="JUF9" s="7157"/>
      <c r="JUG9" s="7157"/>
      <c r="JUH9" s="7157"/>
      <c r="JUI9" s="7158"/>
      <c r="JUJ9" s="7158"/>
      <c r="JUK9" s="7158"/>
      <c r="JUL9" s="7158"/>
      <c r="JUM9" s="7158"/>
      <c r="JUN9" s="7159"/>
      <c r="JUO9" s="7152" t="s">
        <v>1012</v>
      </c>
      <c r="JUP9" s="7153"/>
      <c r="JUQ9" s="7153"/>
      <c r="JUR9" s="7153"/>
      <c r="JUS9" s="7163">
        <v>0.05</v>
      </c>
      <c r="JUT9" s="7164"/>
      <c r="JUU9" s="7157">
        <f>JUS9*JUU7</f>
        <v>0</v>
      </c>
      <c r="JUV9" s="7157"/>
      <c r="JUW9" s="7157"/>
      <c r="JUX9" s="7157"/>
      <c r="JUY9" s="7158"/>
      <c r="JUZ9" s="7158"/>
      <c r="JVA9" s="7158"/>
      <c r="JVB9" s="7158"/>
      <c r="JVC9" s="7158"/>
      <c r="JVD9" s="7159"/>
      <c r="JVE9" s="7152" t="s">
        <v>1012</v>
      </c>
      <c r="JVF9" s="7153"/>
      <c r="JVG9" s="7153"/>
      <c r="JVH9" s="7153"/>
      <c r="JVI9" s="7163">
        <v>0.05</v>
      </c>
      <c r="JVJ9" s="7164"/>
      <c r="JVK9" s="7157">
        <f>JVI9*JVK7</f>
        <v>0</v>
      </c>
      <c r="JVL9" s="7157"/>
      <c r="JVM9" s="7157"/>
      <c r="JVN9" s="7157"/>
      <c r="JVO9" s="7158"/>
      <c r="JVP9" s="7158"/>
      <c r="JVQ9" s="7158"/>
      <c r="JVR9" s="7158"/>
      <c r="JVS9" s="7158"/>
      <c r="JVT9" s="7159"/>
      <c r="JVU9" s="7152" t="s">
        <v>1012</v>
      </c>
      <c r="JVV9" s="7153"/>
      <c r="JVW9" s="7153"/>
      <c r="JVX9" s="7153"/>
      <c r="JVY9" s="7163">
        <v>0.05</v>
      </c>
      <c r="JVZ9" s="7164"/>
      <c r="JWA9" s="7157">
        <f>JVY9*JWA7</f>
        <v>0</v>
      </c>
      <c r="JWB9" s="7157"/>
      <c r="JWC9" s="7157"/>
      <c r="JWD9" s="7157"/>
      <c r="JWE9" s="7158"/>
      <c r="JWF9" s="7158"/>
      <c r="JWG9" s="7158"/>
      <c r="JWH9" s="7158"/>
      <c r="JWI9" s="7158"/>
      <c r="JWJ9" s="7159"/>
      <c r="JWK9" s="7152" t="s">
        <v>1012</v>
      </c>
      <c r="JWL9" s="7153"/>
      <c r="JWM9" s="7153"/>
      <c r="JWN9" s="7153"/>
      <c r="JWO9" s="7163">
        <v>0.05</v>
      </c>
      <c r="JWP9" s="7164"/>
      <c r="JWQ9" s="7157">
        <f>JWO9*JWQ7</f>
        <v>0</v>
      </c>
      <c r="JWR9" s="7157"/>
      <c r="JWS9" s="7157"/>
      <c r="JWT9" s="7157"/>
      <c r="JWU9" s="7158"/>
      <c r="JWV9" s="7158"/>
      <c r="JWW9" s="7158"/>
      <c r="JWX9" s="7158"/>
      <c r="JWY9" s="7158"/>
      <c r="JWZ9" s="7159"/>
      <c r="JXA9" s="7152" t="s">
        <v>1012</v>
      </c>
      <c r="JXB9" s="7153"/>
      <c r="JXC9" s="7153"/>
      <c r="JXD9" s="7153"/>
      <c r="JXE9" s="7163">
        <v>0.05</v>
      </c>
      <c r="JXF9" s="7164"/>
      <c r="JXG9" s="7157">
        <f>JXE9*JXG7</f>
        <v>0</v>
      </c>
      <c r="JXH9" s="7157"/>
      <c r="JXI9" s="7157"/>
      <c r="JXJ9" s="7157"/>
      <c r="JXK9" s="7158"/>
      <c r="JXL9" s="7158"/>
      <c r="JXM9" s="7158"/>
      <c r="JXN9" s="7158"/>
      <c r="JXO9" s="7158"/>
      <c r="JXP9" s="7159"/>
      <c r="JXQ9" s="7152" t="s">
        <v>1012</v>
      </c>
      <c r="JXR9" s="7153"/>
      <c r="JXS9" s="7153"/>
      <c r="JXT9" s="7153"/>
      <c r="JXU9" s="7163">
        <v>0.05</v>
      </c>
      <c r="JXV9" s="7164"/>
      <c r="JXW9" s="7157">
        <f>JXU9*JXW7</f>
        <v>0</v>
      </c>
      <c r="JXX9" s="7157"/>
      <c r="JXY9" s="7157"/>
      <c r="JXZ9" s="7157"/>
      <c r="JYA9" s="7158"/>
      <c r="JYB9" s="7158"/>
      <c r="JYC9" s="7158"/>
      <c r="JYD9" s="7158"/>
      <c r="JYE9" s="7158"/>
      <c r="JYF9" s="7159"/>
      <c r="JYG9" s="7152" t="s">
        <v>1012</v>
      </c>
      <c r="JYH9" s="7153"/>
      <c r="JYI9" s="7153"/>
      <c r="JYJ9" s="7153"/>
      <c r="JYK9" s="7163">
        <v>0.05</v>
      </c>
      <c r="JYL9" s="7164"/>
      <c r="JYM9" s="7157">
        <f>JYK9*JYM7</f>
        <v>0</v>
      </c>
      <c r="JYN9" s="7157"/>
      <c r="JYO9" s="7157"/>
      <c r="JYP9" s="7157"/>
      <c r="JYQ9" s="7158"/>
      <c r="JYR9" s="7158"/>
      <c r="JYS9" s="7158"/>
      <c r="JYT9" s="7158"/>
      <c r="JYU9" s="7158"/>
      <c r="JYV9" s="7159"/>
      <c r="JYW9" s="7152" t="s">
        <v>1012</v>
      </c>
      <c r="JYX9" s="7153"/>
      <c r="JYY9" s="7153"/>
      <c r="JYZ9" s="7153"/>
      <c r="JZA9" s="7163">
        <v>0.05</v>
      </c>
      <c r="JZB9" s="7164"/>
      <c r="JZC9" s="7157">
        <f>JZA9*JZC7</f>
        <v>0</v>
      </c>
      <c r="JZD9" s="7157"/>
      <c r="JZE9" s="7157"/>
      <c r="JZF9" s="7157"/>
      <c r="JZG9" s="7158"/>
      <c r="JZH9" s="7158"/>
      <c r="JZI9" s="7158"/>
      <c r="JZJ9" s="7158"/>
      <c r="JZK9" s="7158"/>
      <c r="JZL9" s="7159"/>
      <c r="JZM9" s="7152" t="s">
        <v>1012</v>
      </c>
      <c r="JZN9" s="7153"/>
      <c r="JZO9" s="7153"/>
      <c r="JZP9" s="7153"/>
      <c r="JZQ9" s="7163">
        <v>0.05</v>
      </c>
      <c r="JZR9" s="7164"/>
      <c r="JZS9" s="7157">
        <f>JZQ9*JZS7</f>
        <v>0</v>
      </c>
      <c r="JZT9" s="7157"/>
      <c r="JZU9" s="7157"/>
      <c r="JZV9" s="7157"/>
      <c r="JZW9" s="7158"/>
      <c r="JZX9" s="7158"/>
      <c r="JZY9" s="7158"/>
      <c r="JZZ9" s="7158"/>
      <c r="KAA9" s="7158"/>
      <c r="KAB9" s="7159"/>
      <c r="KAC9" s="7152" t="s">
        <v>1012</v>
      </c>
      <c r="KAD9" s="7153"/>
      <c r="KAE9" s="7153"/>
      <c r="KAF9" s="7153"/>
      <c r="KAG9" s="7163">
        <v>0.05</v>
      </c>
      <c r="KAH9" s="7164"/>
      <c r="KAI9" s="7157">
        <f>KAG9*KAI7</f>
        <v>0</v>
      </c>
      <c r="KAJ9" s="7157"/>
      <c r="KAK9" s="7157"/>
      <c r="KAL9" s="7157"/>
      <c r="KAM9" s="7158"/>
      <c r="KAN9" s="7158"/>
      <c r="KAO9" s="7158"/>
      <c r="KAP9" s="7158"/>
      <c r="KAQ9" s="7158"/>
      <c r="KAR9" s="7159"/>
      <c r="KAS9" s="7152" t="s">
        <v>1012</v>
      </c>
      <c r="KAT9" s="7153"/>
      <c r="KAU9" s="7153"/>
      <c r="KAV9" s="7153"/>
      <c r="KAW9" s="7163">
        <v>0.05</v>
      </c>
      <c r="KAX9" s="7164"/>
      <c r="KAY9" s="7157">
        <f>KAW9*KAY7</f>
        <v>0</v>
      </c>
      <c r="KAZ9" s="7157"/>
      <c r="KBA9" s="7157"/>
      <c r="KBB9" s="7157"/>
      <c r="KBC9" s="7158"/>
      <c r="KBD9" s="7158"/>
      <c r="KBE9" s="7158"/>
      <c r="KBF9" s="7158"/>
      <c r="KBG9" s="7158"/>
      <c r="KBH9" s="7159"/>
      <c r="KBI9" s="7152" t="s">
        <v>1012</v>
      </c>
      <c r="KBJ9" s="7153"/>
      <c r="KBK9" s="7153"/>
      <c r="KBL9" s="7153"/>
      <c r="KBM9" s="7163">
        <v>0.05</v>
      </c>
      <c r="KBN9" s="7164"/>
      <c r="KBO9" s="7157">
        <f>KBM9*KBO7</f>
        <v>0</v>
      </c>
      <c r="KBP9" s="7157"/>
      <c r="KBQ9" s="7157"/>
      <c r="KBR9" s="7157"/>
      <c r="KBS9" s="7158"/>
      <c r="KBT9" s="7158"/>
      <c r="KBU9" s="7158"/>
      <c r="KBV9" s="7158"/>
      <c r="KBW9" s="7158"/>
      <c r="KBX9" s="7159"/>
      <c r="KBY9" s="7152" t="s">
        <v>1012</v>
      </c>
      <c r="KBZ9" s="7153"/>
      <c r="KCA9" s="7153"/>
      <c r="KCB9" s="7153"/>
      <c r="KCC9" s="7163">
        <v>0.05</v>
      </c>
      <c r="KCD9" s="7164"/>
      <c r="KCE9" s="7157">
        <f>KCC9*KCE7</f>
        <v>0</v>
      </c>
      <c r="KCF9" s="7157"/>
      <c r="KCG9" s="7157"/>
      <c r="KCH9" s="7157"/>
      <c r="KCI9" s="7158"/>
      <c r="KCJ9" s="7158"/>
      <c r="KCK9" s="7158"/>
      <c r="KCL9" s="7158"/>
      <c r="KCM9" s="7158"/>
      <c r="KCN9" s="7159"/>
      <c r="KCO9" s="7152" t="s">
        <v>1012</v>
      </c>
      <c r="KCP9" s="7153"/>
      <c r="KCQ9" s="7153"/>
      <c r="KCR9" s="7153"/>
      <c r="KCS9" s="7163">
        <v>0.05</v>
      </c>
      <c r="KCT9" s="7164"/>
      <c r="KCU9" s="7157">
        <f>KCS9*KCU7</f>
        <v>0</v>
      </c>
      <c r="KCV9" s="7157"/>
      <c r="KCW9" s="7157"/>
      <c r="KCX9" s="7157"/>
      <c r="KCY9" s="7158"/>
      <c r="KCZ9" s="7158"/>
      <c r="KDA9" s="7158"/>
      <c r="KDB9" s="7158"/>
      <c r="KDC9" s="7158"/>
      <c r="KDD9" s="7159"/>
      <c r="KDE9" s="7152" t="s">
        <v>1012</v>
      </c>
      <c r="KDF9" s="7153"/>
      <c r="KDG9" s="7153"/>
      <c r="KDH9" s="7153"/>
      <c r="KDI9" s="7163">
        <v>0.05</v>
      </c>
      <c r="KDJ9" s="7164"/>
      <c r="KDK9" s="7157">
        <f>KDI9*KDK7</f>
        <v>0</v>
      </c>
      <c r="KDL9" s="7157"/>
      <c r="KDM9" s="7157"/>
      <c r="KDN9" s="7157"/>
      <c r="KDO9" s="7158"/>
      <c r="KDP9" s="7158"/>
      <c r="KDQ9" s="7158"/>
      <c r="KDR9" s="7158"/>
      <c r="KDS9" s="7158"/>
      <c r="KDT9" s="7159"/>
      <c r="KDU9" s="7152" t="s">
        <v>1012</v>
      </c>
      <c r="KDV9" s="7153"/>
      <c r="KDW9" s="7153"/>
      <c r="KDX9" s="7153"/>
      <c r="KDY9" s="7163">
        <v>0.05</v>
      </c>
      <c r="KDZ9" s="7164"/>
      <c r="KEA9" s="7157">
        <f>KDY9*KEA7</f>
        <v>0</v>
      </c>
      <c r="KEB9" s="7157"/>
      <c r="KEC9" s="7157"/>
      <c r="KED9" s="7157"/>
      <c r="KEE9" s="7158"/>
      <c r="KEF9" s="7158"/>
      <c r="KEG9" s="7158"/>
      <c r="KEH9" s="7158"/>
      <c r="KEI9" s="7158"/>
      <c r="KEJ9" s="7159"/>
      <c r="KEK9" s="7152" t="s">
        <v>1012</v>
      </c>
      <c r="KEL9" s="7153"/>
      <c r="KEM9" s="7153"/>
      <c r="KEN9" s="7153"/>
      <c r="KEO9" s="7163">
        <v>0.05</v>
      </c>
      <c r="KEP9" s="7164"/>
      <c r="KEQ9" s="7157">
        <f>KEO9*KEQ7</f>
        <v>0</v>
      </c>
      <c r="KER9" s="7157"/>
      <c r="KES9" s="7157"/>
      <c r="KET9" s="7157"/>
      <c r="KEU9" s="7158"/>
      <c r="KEV9" s="7158"/>
      <c r="KEW9" s="7158"/>
      <c r="KEX9" s="7158"/>
      <c r="KEY9" s="7158"/>
      <c r="KEZ9" s="7159"/>
      <c r="KFA9" s="7152" t="s">
        <v>1012</v>
      </c>
      <c r="KFB9" s="7153"/>
      <c r="KFC9" s="7153"/>
      <c r="KFD9" s="7153"/>
      <c r="KFE9" s="7163">
        <v>0.05</v>
      </c>
      <c r="KFF9" s="7164"/>
      <c r="KFG9" s="7157">
        <f>KFE9*KFG7</f>
        <v>0</v>
      </c>
      <c r="KFH9" s="7157"/>
      <c r="KFI9" s="7157"/>
      <c r="KFJ9" s="7157"/>
      <c r="KFK9" s="7158"/>
      <c r="KFL9" s="7158"/>
      <c r="KFM9" s="7158"/>
      <c r="KFN9" s="7158"/>
      <c r="KFO9" s="7158"/>
      <c r="KFP9" s="7159"/>
      <c r="KFQ9" s="7152" t="s">
        <v>1012</v>
      </c>
      <c r="KFR9" s="7153"/>
      <c r="KFS9" s="7153"/>
      <c r="KFT9" s="7153"/>
      <c r="KFU9" s="7163">
        <v>0.05</v>
      </c>
      <c r="KFV9" s="7164"/>
      <c r="KFW9" s="7157">
        <f>KFU9*KFW7</f>
        <v>0</v>
      </c>
      <c r="KFX9" s="7157"/>
      <c r="KFY9" s="7157"/>
      <c r="KFZ9" s="7157"/>
      <c r="KGA9" s="7158"/>
      <c r="KGB9" s="7158"/>
      <c r="KGC9" s="7158"/>
      <c r="KGD9" s="7158"/>
      <c r="KGE9" s="7158"/>
      <c r="KGF9" s="7159"/>
      <c r="KGG9" s="7152" t="s">
        <v>1012</v>
      </c>
      <c r="KGH9" s="7153"/>
      <c r="KGI9" s="7153"/>
      <c r="KGJ9" s="7153"/>
      <c r="KGK9" s="7163">
        <v>0.05</v>
      </c>
      <c r="KGL9" s="7164"/>
      <c r="KGM9" s="7157">
        <f>KGK9*KGM7</f>
        <v>0</v>
      </c>
      <c r="KGN9" s="7157"/>
      <c r="KGO9" s="7157"/>
      <c r="KGP9" s="7157"/>
      <c r="KGQ9" s="7158"/>
      <c r="KGR9" s="7158"/>
      <c r="KGS9" s="7158"/>
      <c r="KGT9" s="7158"/>
      <c r="KGU9" s="7158"/>
      <c r="KGV9" s="7159"/>
      <c r="KGW9" s="7152" t="s">
        <v>1012</v>
      </c>
      <c r="KGX9" s="7153"/>
      <c r="KGY9" s="7153"/>
      <c r="KGZ9" s="7153"/>
      <c r="KHA9" s="7163">
        <v>0.05</v>
      </c>
      <c r="KHB9" s="7164"/>
      <c r="KHC9" s="7157">
        <f>KHA9*KHC7</f>
        <v>0</v>
      </c>
      <c r="KHD9" s="7157"/>
      <c r="KHE9" s="7157"/>
      <c r="KHF9" s="7157"/>
      <c r="KHG9" s="7158"/>
      <c r="KHH9" s="7158"/>
      <c r="KHI9" s="7158"/>
      <c r="KHJ9" s="7158"/>
      <c r="KHK9" s="7158"/>
      <c r="KHL9" s="7159"/>
      <c r="KHM9" s="7152" t="s">
        <v>1012</v>
      </c>
      <c r="KHN9" s="7153"/>
      <c r="KHO9" s="7153"/>
      <c r="KHP9" s="7153"/>
      <c r="KHQ9" s="7163">
        <v>0.05</v>
      </c>
      <c r="KHR9" s="7164"/>
      <c r="KHS9" s="7157">
        <f>KHQ9*KHS7</f>
        <v>0</v>
      </c>
      <c r="KHT9" s="7157"/>
      <c r="KHU9" s="7157"/>
      <c r="KHV9" s="7157"/>
      <c r="KHW9" s="7158"/>
      <c r="KHX9" s="7158"/>
      <c r="KHY9" s="7158"/>
      <c r="KHZ9" s="7158"/>
      <c r="KIA9" s="7158"/>
      <c r="KIB9" s="7159"/>
      <c r="KIC9" s="7152" t="s">
        <v>1012</v>
      </c>
      <c r="KID9" s="7153"/>
      <c r="KIE9" s="7153"/>
      <c r="KIF9" s="7153"/>
      <c r="KIG9" s="7163">
        <v>0.05</v>
      </c>
      <c r="KIH9" s="7164"/>
      <c r="KII9" s="7157">
        <f>KIG9*KII7</f>
        <v>0</v>
      </c>
      <c r="KIJ9" s="7157"/>
      <c r="KIK9" s="7157"/>
      <c r="KIL9" s="7157"/>
      <c r="KIM9" s="7158"/>
      <c r="KIN9" s="7158"/>
      <c r="KIO9" s="7158"/>
      <c r="KIP9" s="7158"/>
      <c r="KIQ9" s="7158"/>
      <c r="KIR9" s="7159"/>
      <c r="KIS9" s="7152" t="s">
        <v>1012</v>
      </c>
      <c r="KIT9" s="7153"/>
      <c r="KIU9" s="7153"/>
      <c r="KIV9" s="7153"/>
      <c r="KIW9" s="7163">
        <v>0.05</v>
      </c>
      <c r="KIX9" s="7164"/>
      <c r="KIY9" s="7157">
        <f>KIW9*KIY7</f>
        <v>0</v>
      </c>
      <c r="KIZ9" s="7157"/>
      <c r="KJA9" s="7157"/>
      <c r="KJB9" s="7157"/>
      <c r="KJC9" s="7158"/>
      <c r="KJD9" s="7158"/>
      <c r="KJE9" s="7158"/>
      <c r="KJF9" s="7158"/>
      <c r="KJG9" s="7158"/>
      <c r="KJH9" s="7159"/>
      <c r="KJI9" s="7152" t="s">
        <v>1012</v>
      </c>
      <c r="KJJ9" s="7153"/>
      <c r="KJK9" s="7153"/>
      <c r="KJL9" s="7153"/>
      <c r="KJM9" s="7163">
        <v>0.05</v>
      </c>
      <c r="KJN9" s="7164"/>
      <c r="KJO9" s="7157">
        <f>KJM9*KJO7</f>
        <v>0</v>
      </c>
      <c r="KJP9" s="7157"/>
      <c r="KJQ9" s="7157"/>
      <c r="KJR9" s="7157"/>
      <c r="KJS9" s="7158"/>
      <c r="KJT9" s="7158"/>
      <c r="KJU9" s="7158"/>
      <c r="KJV9" s="7158"/>
      <c r="KJW9" s="7158"/>
      <c r="KJX9" s="7159"/>
      <c r="KJY9" s="7152" t="s">
        <v>1012</v>
      </c>
      <c r="KJZ9" s="7153"/>
      <c r="KKA9" s="7153"/>
      <c r="KKB9" s="7153"/>
      <c r="KKC9" s="7163">
        <v>0.05</v>
      </c>
      <c r="KKD9" s="7164"/>
      <c r="KKE9" s="7157">
        <f>KKC9*KKE7</f>
        <v>0</v>
      </c>
      <c r="KKF9" s="7157"/>
      <c r="KKG9" s="7157"/>
      <c r="KKH9" s="7157"/>
      <c r="KKI9" s="7158"/>
      <c r="KKJ9" s="7158"/>
      <c r="KKK9" s="7158"/>
      <c r="KKL9" s="7158"/>
      <c r="KKM9" s="7158"/>
      <c r="KKN9" s="7159"/>
      <c r="KKO9" s="7152" t="s">
        <v>1012</v>
      </c>
      <c r="KKP9" s="7153"/>
      <c r="KKQ9" s="7153"/>
      <c r="KKR9" s="7153"/>
      <c r="KKS9" s="7163">
        <v>0.05</v>
      </c>
      <c r="KKT9" s="7164"/>
      <c r="KKU9" s="7157">
        <f>KKS9*KKU7</f>
        <v>0</v>
      </c>
      <c r="KKV9" s="7157"/>
      <c r="KKW9" s="7157"/>
      <c r="KKX9" s="7157"/>
      <c r="KKY9" s="7158"/>
      <c r="KKZ9" s="7158"/>
      <c r="KLA9" s="7158"/>
      <c r="KLB9" s="7158"/>
      <c r="KLC9" s="7158"/>
      <c r="KLD9" s="7159"/>
      <c r="KLE9" s="7152" t="s">
        <v>1012</v>
      </c>
      <c r="KLF9" s="7153"/>
      <c r="KLG9" s="7153"/>
      <c r="KLH9" s="7153"/>
      <c r="KLI9" s="7163">
        <v>0.05</v>
      </c>
      <c r="KLJ9" s="7164"/>
      <c r="KLK9" s="7157">
        <f>KLI9*KLK7</f>
        <v>0</v>
      </c>
      <c r="KLL9" s="7157"/>
      <c r="KLM9" s="7157"/>
      <c r="KLN9" s="7157"/>
      <c r="KLO9" s="7158"/>
      <c r="KLP9" s="7158"/>
      <c r="KLQ9" s="7158"/>
      <c r="KLR9" s="7158"/>
      <c r="KLS9" s="7158"/>
      <c r="KLT9" s="7159"/>
      <c r="KLU9" s="7152" t="s">
        <v>1012</v>
      </c>
      <c r="KLV9" s="7153"/>
      <c r="KLW9" s="7153"/>
      <c r="KLX9" s="7153"/>
      <c r="KLY9" s="7163">
        <v>0.05</v>
      </c>
      <c r="KLZ9" s="7164"/>
      <c r="KMA9" s="7157">
        <f>KLY9*KMA7</f>
        <v>0</v>
      </c>
      <c r="KMB9" s="7157"/>
      <c r="KMC9" s="7157"/>
      <c r="KMD9" s="7157"/>
      <c r="KME9" s="7158"/>
      <c r="KMF9" s="7158"/>
      <c r="KMG9" s="7158"/>
      <c r="KMH9" s="7158"/>
      <c r="KMI9" s="7158"/>
      <c r="KMJ9" s="7159"/>
      <c r="KMK9" s="7152" t="s">
        <v>1012</v>
      </c>
      <c r="KML9" s="7153"/>
      <c r="KMM9" s="7153"/>
      <c r="KMN9" s="7153"/>
      <c r="KMO9" s="7163">
        <v>0.05</v>
      </c>
      <c r="KMP9" s="7164"/>
      <c r="KMQ9" s="7157">
        <f>KMO9*KMQ7</f>
        <v>0</v>
      </c>
      <c r="KMR9" s="7157"/>
      <c r="KMS9" s="7157"/>
      <c r="KMT9" s="7157"/>
      <c r="KMU9" s="7158"/>
      <c r="KMV9" s="7158"/>
      <c r="KMW9" s="7158"/>
      <c r="KMX9" s="7158"/>
      <c r="KMY9" s="7158"/>
      <c r="KMZ9" s="7159"/>
      <c r="KNA9" s="7152" t="s">
        <v>1012</v>
      </c>
      <c r="KNB9" s="7153"/>
      <c r="KNC9" s="7153"/>
      <c r="KND9" s="7153"/>
      <c r="KNE9" s="7163">
        <v>0.05</v>
      </c>
      <c r="KNF9" s="7164"/>
      <c r="KNG9" s="7157">
        <f>KNE9*KNG7</f>
        <v>0</v>
      </c>
      <c r="KNH9" s="7157"/>
      <c r="KNI9" s="7157"/>
      <c r="KNJ9" s="7157"/>
      <c r="KNK9" s="7158"/>
      <c r="KNL9" s="7158"/>
      <c r="KNM9" s="7158"/>
      <c r="KNN9" s="7158"/>
      <c r="KNO9" s="7158"/>
      <c r="KNP9" s="7159"/>
      <c r="KNQ9" s="7152" t="s">
        <v>1012</v>
      </c>
      <c r="KNR9" s="7153"/>
      <c r="KNS9" s="7153"/>
      <c r="KNT9" s="7153"/>
      <c r="KNU9" s="7163">
        <v>0.05</v>
      </c>
      <c r="KNV9" s="7164"/>
      <c r="KNW9" s="7157">
        <f>KNU9*KNW7</f>
        <v>0</v>
      </c>
      <c r="KNX9" s="7157"/>
      <c r="KNY9" s="7157"/>
      <c r="KNZ9" s="7157"/>
      <c r="KOA9" s="7158"/>
      <c r="KOB9" s="7158"/>
      <c r="KOC9" s="7158"/>
      <c r="KOD9" s="7158"/>
      <c r="KOE9" s="7158"/>
      <c r="KOF9" s="7159"/>
      <c r="KOG9" s="7152" t="s">
        <v>1012</v>
      </c>
      <c r="KOH9" s="7153"/>
      <c r="KOI9" s="7153"/>
      <c r="KOJ9" s="7153"/>
      <c r="KOK9" s="7163">
        <v>0.05</v>
      </c>
      <c r="KOL9" s="7164"/>
      <c r="KOM9" s="7157">
        <f>KOK9*KOM7</f>
        <v>0</v>
      </c>
      <c r="KON9" s="7157"/>
      <c r="KOO9" s="7157"/>
      <c r="KOP9" s="7157"/>
      <c r="KOQ9" s="7158"/>
      <c r="KOR9" s="7158"/>
      <c r="KOS9" s="7158"/>
      <c r="KOT9" s="7158"/>
      <c r="KOU9" s="7158"/>
      <c r="KOV9" s="7159"/>
      <c r="KOW9" s="7152" t="s">
        <v>1012</v>
      </c>
      <c r="KOX9" s="7153"/>
      <c r="KOY9" s="7153"/>
      <c r="KOZ9" s="7153"/>
      <c r="KPA9" s="7163">
        <v>0.05</v>
      </c>
      <c r="KPB9" s="7164"/>
      <c r="KPC9" s="7157">
        <f>KPA9*KPC7</f>
        <v>0</v>
      </c>
      <c r="KPD9" s="7157"/>
      <c r="KPE9" s="7157"/>
      <c r="KPF9" s="7157"/>
      <c r="KPG9" s="7158"/>
      <c r="KPH9" s="7158"/>
      <c r="KPI9" s="7158"/>
      <c r="KPJ9" s="7158"/>
      <c r="KPK9" s="7158"/>
      <c r="KPL9" s="7159"/>
      <c r="KPM9" s="7152" t="s">
        <v>1012</v>
      </c>
      <c r="KPN9" s="7153"/>
      <c r="KPO9" s="7153"/>
      <c r="KPP9" s="7153"/>
      <c r="KPQ9" s="7163">
        <v>0.05</v>
      </c>
      <c r="KPR9" s="7164"/>
      <c r="KPS9" s="7157">
        <f>KPQ9*KPS7</f>
        <v>0</v>
      </c>
      <c r="KPT9" s="7157"/>
      <c r="KPU9" s="7157"/>
      <c r="KPV9" s="7157"/>
      <c r="KPW9" s="7158"/>
      <c r="KPX9" s="7158"/>
      <c r="KPY9" s="7158"/>
      <c r="KPZ9" s="7158"/>
      <c r="KQA9" s="7158"/>
      <c r="KQB9" s="7159"/>
      <c r="KQC9" s="7152" t="s">
        <v>1012</v>
      </c>
      <c r="KQD9" s="7153"/>
      <c r="KQE9" s="7153"/>
      <c r="KQF9" s="7153"/>
      <c r="KQG9" s="7163">
        <v>0.05</v>
      </c>
      <c r="KQH9" s="7164"/>
      <c r="KQI9" s="7157">
        <f>KQG9*KQI7</f>
        <v>0</v>
      </c>
      <c r="KQJ9" s="7157"/>
      <c r="KQK9" s="7157"/>
      <c r="KQL9" s="7157"/>
      <c r="KQM9" s="7158"/>
      <c r="KQN9" s="7158"/>
      <c r="KQO9" s="7158"/>
      <c r="KQP9" s="7158"/>
      <c r="KQQ9" s="7158"/>
      <c r="KQR9" s="7159"/>
      <c r="KQS9" s="7152" t="s">
        <v>1012</v>
      </c>
      <c r="KQT9" s="7153"/>
      <c r="KQU9" s="7153"/>
      <c r="KQV9" s="7153"/>
      <c r="KQW9" s="7163">
        <v>0.05</v>
      </c>
      <c r="KQX9" s="7164"/>
      <c r="KQY9" s="7157">
        <f>KQW9*KQY7</f>
        <v>0</v>
      </c>
      <c r="KQZ9" s="7157"/>
      <c r="KRA9" s="7157"/>
      <c r="KRB9" s="7157"/>
      <c r="KRC9" s="7158"/>
      <c r="KRD9" s="7158"/>
      <c r="KRE9" s="7158"/>
      <c r="KRF9" s="7158"/>
      <c r="KRG9" s="7158"/>
      <c r="KRH9" s="7159"/>
      <c r="KRI9" s="7152" t="s">
        <v>1012</v>
      </c>
      <c r="KRJ9" s="7153"/>
      <c r="KRK9" s="7153"/>
      <c r="KRL9" s="7153"/>
      <c r="KRM9" s="7163">
        <v>0.05</v>
      </c>
      <c r="KRN9" s="7164"/>
      <c r="KRO9" s="7157">
        <f>KRM9*KRO7</f>
        <v>0</v>
      </c>
      <c r="KRP9" s="7157"/>
      <c r="KRQ9" s="7157"/>
      <c r="KRR9" s="7157"/>
      <c r="KRS9" s="7158"/>
      <c r="KRT9" s="7158"/>
      <c r="KRU9" s="7158"/>
      <c r="KRV9" s="7158"/>
      <c r="KRW9" s="7158"/>
      <c r="KRX9" s="7159"/>
      <c r="KRY9" s="7152" t="s">
        <v>1012</v>
      </c>
      <c r="KRZ9" s="7153"/>
      <c r="KSA9" s="7153"/>
      <c r="KSB9" s="7153"/>
      <c r="KSC9" s="7163">
        <v>0.05</v>
      </c>
      <c r="KSD9" s="7164"/>
      <c r="KSE9" s="7157">
        <f>KSC9*KSE7</f>
        <v>0</v>
      </c>
      <c r="KSF9" s="7157"/>
      <c r="KSG9" s="7157"/>
      <c r="KSH9" s="7157"/>
      <c r="KSI9" s="7158"/>
      <c r="KSJ9" s="7158"/>
      <c r="KSK9" s="7158"/>
      <c r="KSL9" s="7158"/>
      <c r="KSM9" s="7158"/>
      <c r="KSN9" s="7159"/>
      <c r="KSO9" s="7152" t="s">
        <v>1012</v>
      </c>
      <c r="KSP9" s="7153"/>
      <c r="KSQ9" s="7153"/>
      <c r="KSR9" s="7153"/>
      <c r="KSS9" s="7163">
        <v>0.05</v>
      </c>
      <c r="KST9" s="7164"/>
      <c r="KSU9" s="7157">
        <f>KSS9*KSU7</f>
        <v>0</v>
      </c>
      <c r="KSV9" s="7157"/>
      <c r="KSW9" s="7157"/>
      <c r="KSX9" s="7157"/>
      <c r="KSY9" s="7158"/>
      <c r="KSZ9" s="7158"/>
      <c r="KTA9" s="7158"/>
      <c r="KTB9" s="7158"/>
      <c r="KTC9" s="7158"/>
      <c r="KTD9" s="7159"/>
      <c r="KTE9" s="7152" t="s">
        <v>1012</v>
      </c>
      <c r="KTF9" s="7153"/>
      <c r="KTG9" s="7153"/>
      <c r="KTH9" s="7153"/>
      <c r="KTI9" s="7163">
        <v>0.05</v>
      </c>
      <c r="KTJ9" s="7164"/>
      <c r="KTK9" s="7157">
        <f>KTI9*KTK7</f>
        <v>0</v>
      </c>
      <c r="KTL9" s="7157"/>
      <c r="KTM9" s="7157"/>
      <c r="KTN9" s="7157"/>
      <c r="KTO9" s="7158"/>
      <c r="KTP9" s="7158"/>
      <c r="KTQ9" s="7158"/>
      <c r="KTR9" s="7158"/>
      <c r="KTS9" s="7158"/>
      <c r="KTT9" s="7159"/>
      <c r="KTU9" s="7152" t="s">
        <v>1012</v>
      </c>
      <c r="KTV9" s="7153"/>
      <c r="KTW9" s="7153"/>
      <c r="KTX9" s="7153"/>
      <c r="KTY9" s="7163">
        <v>0.05</v>
      </c>
      <c r="KTZ9" s="7164"/>
      <c r="KUA9" s="7157">
        <f>KTY9*KUA7</f>
        <v>0</v>
      </c>
      <c r="KUB9" s="7157"/>
      <c r="KUC9" s="7157"/>
      <c r="KUD9" s="7157"/>
      <c r="KUE9" s="7158"/>
      <c r="KUF9" s="7158"/>
      <c r="KUG9" s="7158"/>
      <c r="KUH9" s="7158"/>
      <c r="KUI9" s="7158"/>
      <c r="KUJ9" s="7159"/>
      <c r="KUK9" s="7152" t="s">
        <v>1012</v>
      </c>
      <c r="KUL9" s="7153"/>
      <c r="KUM9" s="7153"/>
      <c r="KUN9" s="7153"/>
      <c r="KUO9" s="7163">
        <v>0.05</v>
      </c>
      <c r="KUP9" s="7164"/>
      <c r="KUQ9" s="7157">
        <f>KUO9*KUQ7</f>
        <v>0</v>
      </c>
      <c r="KUR9" s="7157"/>
      <c r="KUS9" s="7157"/>
      <c r="KUT9" s="7157"/>
      <c r="KUU9" s="7158"/>
      <c r="KUV9" s="7158"/>
      <c r="KUW9" s="7158"/>
      <c r="KUX9" s="7158"/>
      <c r="KUY9" s="7158"/>
      <c r="KUZ9" s="7159"/>
      <c r="KVA9" s="7152" t="s">
        <v>1012</v>
      </c>
      <c r="KVB9" s="7153"/>
      <c r="KVC9" s="7153"/>
      <c r="KVD9" s="7153"/>
      <c r="KVE9" s="7163">
        <v>0.05</v>
      </c>
      <c r="KVF9" s="7164"/>
      <c r="KVG9" s="7157">
        <f>KVE9*KVG7</f>
        <v>0</v>
      </c>
      <c r="KVH9" s="7157"/>
      <c r="KVI9" s="7157"/>
      <c r="KVJ9" s="7157"/>
      <c r="KVK9" s="7158"/>
      <c r="KVL9" s="7158"/>
      <c r="KVM9" s="7158"/>
      <c r="KVN9" s="7158"/>
      <c r="KVO9" s="7158"/>
      <c r="KVP9" s="7159"/>
      <c r="KVQ9" s="7152" t="s">
        <v>1012</v>
      </c>
      <c r="KVR9" s="7153"/>
      <c r="KVS9" s="7153"/>
      <c r="KVT9" s="7153"/>
      <c r="KVU9" s="7163">
        <v>0.05</v>
      </c>
      <c r="KVV9" s="7164"/>
      <c r="KVW9" s="7157">
        <f>KVU9*KVW7</f>
        <v>0</v>
      </c>
      <c r="KVX9" s="7157"/>
      <c r="KVY9" s="7157"/>
      <c r="KVZ9" s="7157"/>
      <c r="KWA9" s="7158"/>
      <c r="KWB9" s="7158"/>
      <c r="KWC9" s="7158"/>
      <c r="KWD9" s="7158"/>
      <c r="KWE9" s="7158"/>
      <c r="KWF9" s="7159"/>
      <c r="KWG9" s="7152" t="s">
        <v>1012</v>
      </c>
      <c r="KWH9" s="7153"/>
      <c r="KWI9" s="7153"/>
      <c r="KWJ9" s="7153"/>
      <c r="KWK9" s="7163">
        <v>0.05</v>
      </c>
      <c r="KWL9" s="7164"/>
      <c r="KWM9" s="7157">
        <f>KWK9*KWM7</f>
        <v>0</v>
      </c>
      <c r="KWN9" s="7157"/>
      <c r="KWO9" s="7157"/>
      <c r="KWP9" s="7157"/>
      <c r="KWQ9" s="7158"/>
      <c r="KWR9" s="7158"/>
      <c r="KWS9" s="7158"/>
      <c r="KWT9" s="7158"/>
      <c r="KWU9" s="7158"/>
      <c r="KWV9" s="7159"/>
      <c r="KWW9" s="7152" t="s">
        <v>1012</v>
      </c>
      <c r="KWX9" s="7153"/>
      <c r="KWY9" s="7153"/>
      <c r="KWZ9" s="7153"/>
      <c r="KXA9" s="7163">
        <v>0.05</v>
      </c>
      <c r="KXB9" s="7164"/>
      <c r="KXC9" s="7157">
        <f>KXA9*KXC7</f>
        <v>0</v>
      </c>
      <c r="KXD9" s="7157"/>
      <c r="KXE9" s="7157"/>
      <c r="KXF9" s="7157"/>
      <c r="KXG9" s="7158"/>
      <c r="KXH9" s="7158"/>
      <c r="KXI9" s="7158"/>
      <c r="KXJ9" s="7158"/>
      <c r="KXK9" s="7158"/>
      <c r="KXL9" s="7159"/>
      <c r="KXM9" s="7152" t="s">
        <v>1012</v>
      </c>
      <c r="KXN9" s="7153"/>
      <c r="KXO9" s="7153"/>
      <c r="KXP9" s="7153"/>
      <c r="KXQ9" s="7163">
        <v>0.05</v>
      </c>
      <c r="KXR9" s="7164"/>
      <c r="KXS9" s="7157">
        <f>KXQ9*KXS7</f>
        <v>0</v>
      </c>
      <c r="KXT9" s="7157"/>
      <c r="KXU9" s="7157"/>
      <c r="KXV9" s="7157"/>
      <c r="KXW9" s="7158"/>
      <c r="KXX9" s="7158"/>
      <c r="KXY9" s="7158"/>
      <c r="KXZ9" s="7158"/>
      <c r="KYA9" s="7158"/>
      <c r="KYB9" s="7159"/>
      <c r="KYC9" s="7152" t="s">
        <v>1012</v>
      </c>
      <c r="KYD9" s="7153"/>
      <c r="KYE9" s="7153"/>
      <c r="KYF9" s="7153"/>
      <c r="KYG9" s="7163">
        <v>0.05</v>
      </c>
      <c r="KYH9" s="7164"/>
      <c r="KYI9" s="7157">
        <f>KYG9*KYI7</f>
        <v>0</v>
      </c>
      <c r="KYJ9" s="7157"/>
      <c r="KYK9" s="7157"/>
      <c r="KYL9" s="7157"/>
      <c r="KYM9" s="7158"/>
      <c r="KYN9" s="7158"/>
      <c r="KYO9" s="7158"/>
      <c r="KYP9" s="7158"/>
      <c r="KYQ9" s="7158"/>
      <c r="KYR9" s="7159"/>
      <c r="KYS9" s="7152" t="s">
        <v>1012</v>
      </c>
      <c r="KYT9" s="7153"/>
      <c r="KYU9" s="7153"/>
      <c r="KYV9" s="7153"/>
      <c r="KYW9" s="7163">
        <v>0.05</v>
      </c>
      <c r="KYX9" s="7164"/>
      <c r="KYY9" s="7157">
        <f>KYW9*KYY7</f>
        <v>0</v>
      </c>
      <c r="KYZ9" s="7157"/>
      <c r="KZA9" s="7157"/>
      <c r="KZB9" s="7157"/>
      <c r="KZC9" s="7158"/>
      <c r="KZD9" s="7158"/>
      <c r="KZE9" s="7158"/>
      <c r="KZF9" s="7158"/>
      <c r="KZG9" s="7158"/>
      <c r="KZH9" s="7159"/>
      <c r="KZI9" s="7152" t="s">
        <v>1012</v>
      </c>
      <c r="KZJ9" s="7153"/>
      <c r="KZK9" s="7153"/>
      <c r="KZL9" s="7153"/>
      <c r="KZM9" s="7163">
        <v>0.05</v>
      </c>
      <c r="KZN9" s="7164"/>
      <c r="KZO9" s="7157">
        <f>KZM9*KZO7</f>
        <v>0</v>
      </c>
      <c r="KZP9" s="7157"/>
      <c r="KZQ9" s="7157"/>
      <c r="KZR9" s="7157"/>
      <c r="KZS9" s="7158"/>
      <c r="KZT9" s="7158"/>
      <c r="KZU9" s="7158"/>
      <c r="KZV9" s="7158"/>
      <c r="KZW9" s="7158"/>
      <c r="KZX9" s="7159"/>
      <c r="KZY9" s="7152" t="s">
        <v>1012</v>
      </c>
      <c r="KZZ9" s="7153"/>
      <c r="LAA9" s="7153"/>
      <c r="LAB9" s="7153"/>
      <c r="LAC9" s="7163">
        <v>0.05</v>
      </c>
      <c r="LAD9" s="7164"/>
      <c r="LAE9" s="7157">
        <f>LAC9*LAE7</f>
        <v>0</v>
      </c>
      <c r="LAF9" s="7157"/>
      <c r="LAG9" s="7157"/>
      <c r="LAH9" s="7157"/>
      <c r="LAI9" s="7158"/>
      <c r="LAJ9" s="7158"/>
      <c r="LAK9" s="7158"/>
      <c r="LAL9" s="7158"/>
      <c r="LAM9" s="7158"/>
      <c r="LAN9" s="7159"/>
      <c r="LAO9" s="7152" t="s">
        <v>1012</v>
      </c>
      <c r="LAP9" s="7153"/>
      <c r="LAQ9" s="7153"/>
      <c r="LAR9" s="7153"/>
      <c r="LAS9" s="7163">
        <v>0.05</v>
      </c>
      <c r="LAT9" s="7164"/>
      <c r="LAU9" s="7157">
        <f>LAS9*LAU7</f>
        <v>0</v>
      </c>
      <c r="LAV9" s="7157"/>
      <c r="LAW9" s="7157"/>
      <c r="LAX9" s="7157"/>
      <c r="LAY9" s="7158"/>
      <c r="LAZ9" s="7158"/>
      <c r="LBA9" s="7158"/>
      <c r="LBB9" s="7158"/>
      <c r="LBC9" s="7158"/>
      <c r="LBD9" s="7159"/>
      <c r="LBE9" s="7152" t="s">
        <v>1012</v>
      </c>
      <c r="LBF9" s="7153"/>
      <c r="LBG9" s="7153"/>
      <c r="LBH9" s="7153"/>
      <c r="LBI9" s="7163">
        <v>0.05</v>
      </c>
      <c r="LBJ9" s="7164"/>
      <c r="LBK9" s="7157">
        <f>LBI9*LBK7</f>
        <v>0</v>
      </c>
      <c r="LBL9" s="7157"/>
      <c r="LBM9" s="7157"/>
      <c r="LBN9" s="7157"/>
      <c r="LBO9" s="7158"/>
      <c r="LBP9" s="7158"/>
      <c r="LBQ9" s="7158"/>
      <c r="LBR9" s="7158"/>
      <c r="LBS9" s="7158"/>
      <c r="LBT9" s="7159"/>
      <c r="LBU9" s="7152" t="s">
        <v>1012</v>
      </c>
      <c r="LBV9" s="7153"/>
      <c r="LBW9" s="7153"/>
      <c r="LBX9" s="7153"/>
      <c r="LBY9" s="7163">
        <v>0.05</v>
      </c>
      <c r="LBZ9" s="7164"/>
      <c r="LCA9" s="7157">
        <f>LBY9*LCA7</f>
        <v>0</v>
      </c>
      <c r="LCB9" s="7157"/>
      <c r="LCC9" s="7157"/>
      <c r="LCD9" s="7157"/>
      <c r="LCE9" s="7158"/>
      <c r="LCF9" s="7158"/>
      <c r="LCG9" s="7158"/>
      <c r="LCH9" s="7158"/>
      <c r="LCI9" s="7158"/>
      <c r="LCJ9" s="7159"/>
      <c r="LCK9" s="7152" t="s">
        <v>1012</v>
      </c>
      <c r="LCL9" s="7153"/>
      <c r="LCM9" s="7153"/>
      <c r="LCN9" s="7153"/>
      <c r="LCO9" s="7163">
        <v>0.05</v>
      </c>
      <c r="LCP9" s="7164"/>
      <c r="LCQ9" s="7157">
        <f>LCO9*LCQ7</f>
        <v>0</v>
      </c>
      <c r="LCR9" s="7157"/>
      <c r="LCS9" s="7157"/>
      <c r="LCT9" s="7157"/>
      <c r="LCU9" s="7158"/>
      <c r="LCV9" s="7158"/>
      <c r="LCW9" s="7158"/>
      <c r="LCX9" s="7158"/>
      <c r="LCY9" s="7158"/>
      <c r="LCZ9" s="7159"/>
      <c r="LDA9" s="7152" t="s">
        <v>1012</v>
      </c>
      <c r="LDB9" s="7153"/>
      <c r="LDC9" s="7153"/>
      <c r="LDD9" s="7153"/>
      <c r="LDE9" s="7163">
        <v>0.05</v>
      </c>
      <c r="LDF9" s="7164"/>
      <c r="LDG9" s="7157">
        <f>LDE9*LDG7</f>
        <v>0</v>
      </c>
      <c r="LDH9" s="7157"/>
      <c r="LDI9" s="7157"/>
      <c r="LDJ9" s="7157"/>
      <c r="LDK9" s="7158"/>
      <c r="LDL9" s="7158"/>
      <c r="LDM9" s="7158"/>
      <c r="LDN9" s="7158"/>
      <c r="LDO9" s="7158"/>
      <c r="LDP9" s="7159"/>
      <c r="LDQ9" s="7152" t="s">
        <v>1012</v>
      </c>
      <c r="LDR9" s="7153"/>
      <c r="LDS9" s="7153"/>
      <c r="LDT9" s="7153"/>
      <c r="LDU9" s="7163">
        <v>0.05</v>
      </c>
      <c r="LDV9" s="7164"/>
      <c r="LDW9" s="7157">
        <f>LDU9*LDW7</f>
        <v>0</v>
      </c>
      <c r="LDX9" s="7157"/>
      <c r="LDY9" s="7157"/>
      <c r="LDZ9" s="7157"/>
      <c r="LEA9" s="7158"/>
      <c r="LEB9" s="7158"/>
      <c r="LEC9" s="7158"/>
      <c r="LED9" s="7158"/>
      <c r="LEE9" s="7158"/>
      <c r="LEF9" s="7159"/>
      <c r="LEG9" s="7152" t="s">
        <v>1012</v>
      </c>
      <c r="LEH9" s="7153"/>
      <c r="LEI9" s="7153"/>
      <c r="LEJ9" s="7153"/>
      <c r="LEK9" s="7163">
        <v>0.05</v>
      </c>
      <c r="LEL9" s="7164"/>
      <c r="LEM9" s="7157">
        <f>LEK9*LEM7</f>
        <v>0</v>
      </c>
      <c r="LEN9" s="7157"/>
      <c r="LEO9" s="7157"/>
      <c r="LEP9" s="7157"/>
      <c r="LEQ9" s="7158"/>
      <c r="LER9" s="7158"/>
      <c r="LES9" s="7158"/>
      <c r="LET9" s="7158"/>
      <c r="LEU9" s="7158"/>
      <c r="LEV9" s="7159"/>
      <c r="LEW9" s="7152" t="s">
        <v>1012</v>
      </c>
      <c r="LEX9" s="7153"/>
      <c r="LEY9" s="7153"/>
      <c r="LEZ9" s="7153"/>
      <c r="LFA9" s="7163">
        <v>0.05</v>
      </c>
      <c r="LFB9" s="7164"/>
      <c r="LFC9" s="7157">
        <f>LFA9*LFC7</f>
        <v>0</v>
      </c>
      <c r="LFD9" s="7157"/>
      <c r="LFE9" s="7157"/>
      <c r="LFF9" s="7157"/>
      <c r="LFG9" s="7158"/>
      <c r="LFH9" s="7158"/>
      <c r="LFI9" s="7158"/>
      <c r="LFJ9" s="7158"/>
      <c r="LFK9" s="7158"/>
      <c r="LFL9" s="7159"/>
      <c r="LFM9" s="7152" t="s">
        <v>1012</v>
      </c>
      <c r="LFN9" s="7153"/>
      <c r="LFO9" s="7153"/>
      <c r="LFP9" s="7153"/>
      <c r="LFQ9" s="7163">
        <v>0.05</v>
      </c>
      <c r="LFR9" s="7164"/>
      <c r="LFS9" s="7157">
        <f>LFQ9*LFS7</f>
        <v>0</v>
      </c>
      <c r="LFT9" s="7157"/>
      <c r="LFU9" s="7157"/>
      <c r="LFV9" s="7157"/>
      <c r="LFW9" s="7158"/>
      <c r="LFX9" s="7158"/>
      <c r="LFY9" s="7158"/>
      <c r="LFZ9" s="7158"/>
      <c r="LGA9" s="7158"/>
      <c r="LGB9" s="7159"/>
      <c r="LGC9" s="7152" t="s">
        <v>1012</v>
      </c>
      <c r="LGD9" s="7153"/>
      <c r="LGE9" s="7153"/>
      <c r="LGF9" s="7153"/>
      <c r="LGG9" s="7163">
        <v>0.05</v>
      </c>
      <c r="LGH9" s="7164"/>
      <c r="LGI9" s="7157">
        <f>LGG9*LGI7</f>
        <v>0</v>
      </c>
      <c r="LGJ9" s="7157"/>
      <c r="LGK9" s="7157"/>
      <c r="LGL9" s="7157"/>
      <c r="LGM9" s="7158"/>
      <c r="LGN9" s="7158"/>
      <c r="LGO9" s="7158"/>
      <c r="LGP9" s="7158"/>
      <c r="LGQ9" s="7158"/>
      <c r="LGR9" s="7159"/>
      <c r="LGS9" s="7152" t="s">
        <v>1012</v>
      </c>
      <c r="LGT9" s="7153"/>
      <c r="LGU9" s="7153"/>
      <c r="LGV9" s="7153"/>
      <c r="LGW9" s="7163">
        <v>0.05</v>
      </c>
      <c r="LGX9" s="7164"/>
      <c r="LGY9" s="7157">
        <f>LGW9*LGY7</f>
        <v>0</v>
      </c>
      <c r="LGZ9" s="7157"/>
      <c r="LHA9" s="7157"/>
      <c r="LHB9" s="7157"/>
      <c r="LHC9" s="7158"/>
      <c r="LHD9" s="7158"/>
      <c r="LHE9" s="7158"/>
      <c r="LHF9" s="7158"/>
      <c r="LHG9" s="7158"/>
      <c r="LHH9" s="7159"/>
      <c r="LHI9" s="7152" t="s">
        <v>1012</v>
      </c>
      <c r="LHJ9" s="7153"/>
      <c r="LHK9" s="7153"/>
      <c r="LHL9" s="7153"/>
      <c r="LHM9" s="7163">
        <v>0.05</v>
      </c>
      <c r="LHN9" s="7164"/>
      <c r="LHO9" s="7157">
        <f>LHM9*LHO7</f>
        <v>0</v>
      </c>
      <c r="LHP9" s="7157"/>
      <c r="LHQ9" s="7157"/>
      <c r="LHR9" s="7157"/>
      <c r="LHS9" s="7158"/>
      <c r="LHT9" s="7158"/>
      <c r="LHU9" s="7158"/>
      <c r="LHV9" s="7158"/>
      <c r="LHW9" s="7158"/>
      <c r="LHX9" s="7159"/>
      <c r="LHY9" s="7152" t="s">
        <v>1012</v>
      </c>
      <c r="LHZ9" s="7153"/>
      <c r="LIA9" s="7153"/>
      <c r="LIB9" s="7153"/>
      <c r="LIC9" s="7163">
        <v>0.05</v>
      </c>
      <c r="LID9" s="7164"/>
      <c r="LIE9" s="7157">
        <f>LIC9*LIE7</f>
        <v>0</v>
      </c>
      <c r="LIF9" s="7157"/>
      <c r="LIG9" s="7157"/>
      <c r="LIH9" s="7157"/>
      <c r="LII9" s="7158"/>
      <c r="LIJ9" s="7158"/>
      <c r="LIK9" s="7158"/>
      <c r="LIL9" s="7158"/>
      <c r="LIM9" s="7158"/>
      <c r="LIN9" s="7159"/>
      <c r="LIO9" s="7152" t="s">
        <v>1012</v>
      </c>
      <c r="LIP9" s="7153"/>
      <c r="LIQ9" s="7153"/>
      <c r="LIR9" s="7153"/>
      <c r="LIS9" s="7163">
        <v>0.05</v>
      </c>
      <c r="LIT9" s="7164"/>
      <c r="LIU9" s="7157">
        <f>LIS9*LIU7</f>
        <v>0</v>
      </c>
      <c r="LIV9" s="7157"/>
      <c r="LIW9" s="7157"/>
      <c r="LIX9" s="7157"/>
      <c r="LIY9" s="7158"/>
      <c r="LIZ9" s="7158"/>
      <c r="LJA9" s="7158"/>
      <c r="LJB9" s="7158"/>
      <c r="LJC9" s="7158"/>
      <c r="LJD9" s="7159"/>
      <c r="LJE9" s="7152" t="s">
        <v>1012</v>
      </c>
      <c r="LJF9" s="7153"/>
      <c r="LJG9" s="7153"/>
      <c r="LJH9" s="7153"/>
      <c r="LJI9" s="7163">
        <v>0.05</v>
      </c>
      <c r="LJJ9" s="7164"/>
      <c r="LJK9" s="7157">
        <f>LJI9*LJK7</f>
        <v>0</v>
      </c>
      <c r="LJL9" s="7157"/>
      <c r="LJM9" s="7157"/>
      <c r="LJN9" s="7157"/>
      <c r="LJO9" s="7158"/>
      <c r="LJP9" s="7158"/>
      <c r="LJQ9" s="7158"/>
      <c r="LJR9" s="7158"/>
      <c r="LJS9" s="7158"/>
      <c r="LJT9" s="7159"/>
      <c r="LJU9" s="7152" t="s">
        <v>1012</v>
      </c>
      <c r="LJV9" s="7153"/>
      <c r="LJW9" s="7153"/>
      <c r="LJX9" s="7153"/>
      <c r="LJY9" s="7163">
        <v>0.05</v>
      </c>
      <c r="LJZ9" s="7164"/>
      <c r="LKA9" s="7157">
        <f>LJY9*LKA7</f>
        <v>0</v>
      </c>
      <c r="LKB9" s="7157"/>
      <c r="LKC9" s="7157"/>
      <c r="LKD9" s="7157"/>
      <c r="LKE9" s="7158"/>
      <c r="LKF9" s="7158"/>
      <c r="LKG9" s="7158"/>
      <c r="LKH9" s="7158"/>
      <c r="LKI9" s="7158"/>
      <c r="LKJ9" s="7159"/>
      <c r="LKK9" s="7152" t="s">
        <v>1012</v>
      </c>
      <c r="LKL9" s="7153"/>
      <c r="LKM9" s="7153"/>
      <c r="LKN9" s="7153"/>
      <c r="LKO9" s="7163">
        <v>0.05</v>
      </c>
      <c r="LKP9" s="7164"/>
      <c r="LKQ9" s="7157">
        <f>LKO9*LKQ7</f>
        <v>0</v>
      </c>
      <c r="LKR9" s="7157"/>
      <c r="LKS9" s="7157"/>
      <c r="LKT9" s="7157"/>
      <c r="LKU9" s="7158"/>
      <c r="LKV9" s="7158"/>
      <c r="LKW9" s="7158"/>
      <c r="LKX9" s="7158"/>
      <c r="LKY9" s="7158"/>
      <c r="LKZ9" s="7159"/>
      <c r="LLA9" s="7152" t="s">
        <v>1012</v>
      </c>
      <c r="LLB9" s="7153"/>
      <c r="LLC9" s="7153"/>
      <c r="LLD9" s="7153"/>
      <c r="LLE9" s="7163">
        <v>0.05</v>
      </c>
      <c r="LLF9" s="7164"/>
      <c r="LLG9" s="7157">
        <f>LLE9*LLG7</f>
        <v>0</v>
      </c>
      <c r="LLH9" s="7157"/>
      <c r="LLI9" s="7157"/>
      <c r="LLJ9" s="7157"/>
      <c r="LLK9" s="7158"/>
      <c r="LLL9" s="7158"/>
      <c r="LLM9" s="7158"/>
      <c r="LLN9" s="7158"/>
      <c r="LLO9" s="7158"/>
      <c r="LLP9" s="7159"/>
      <c r="LLQ9" s="7152" t="s">
        <v>1012</v>
      </c>
      <c r="LLR9" s="7153"/>
      <c r="LLS9" s="7153"/>
      <c r="LLT9" s="7153"/>
      <c r="LLU9" s="7163">
        <v>0.05</v>
      </c>
      <c r="LLV9" s="7164"/>
      <c r="LLW9" s="7157">
        <f>LLU9*LLW7</f>
        <v>0</v>
      </c>
      <c r="LLX9" s="7157"/>
      <c r="LLY9" s="7157"/>
      <c r="LLZ9" s="7157"/>
      <c r="LMA9" s="7158"/>
      <c r="LMB9" s="7158"/>
      <c r="LMC9" s="7158"/>
      <c r="LMD9" s="7158"/>
      <c r="LME9" s="7158"/>
      <c r="LMF9" s="7159"/>
      <c r="LMG9" s="7152" t="s">
        <v>1012</v>
      </c>
      <c r="LMH9" s="7153"/>
      <c r="LMI9" s="7153"/>
      <c r="LMJ9" s="7153"/>
      <c r="LMK9" s="7163">
        <v>0.05</v>
      </c>
      <c r="LML9" s="7164"/>
      <c r="LMM9" s="7157">
        <f>LMK9*LMM7</f>
        <v>0</v>
      </c>
      <c r="LMN9" s="7157"/>
      <c r="LMO9" s="7157"/>
      <c r="LMP9" s="7157"/>
      <c r="LMQ9" s="7158"/>
      <c r="LMR9" s="7158"/>
      <c r="LMS9" s="7158"/>
      <c r="LMT9" s="7158"/>
      <c r="LMU9" s="7158"/>
      <c r="LMV9" s="7159"/>
      <c r="LMW9" s="7152" t="s">
        <v>1012</v>
      </c>
      <c r="LMX9" s="7153"/>
      <c r="LMY9" s="7153"/>
      <c r="LMZ9" s="7153"/>
      <c r="LNA9" s="7163">
        <v>0.05</v>
      </c>
      <c r="LNB9" s="7164"/>
      <c r="LNC9" s="7157">
        <f>LNA9*LNC7</f>
        <v>0</v>
      </c>
      <c r="LND9" s="7157"/>
      <c r="LNE9" s="7157"/>
      <c r="LNF9" s="7157"/>
      <c r="LNG9" s="7158"/>
      <c r="LNH9" s="7158"/>
      <c r="LNI9" s="7158"/>
      <c r="LNJ9" s="7158"/>
      <c r="LNK9" s="7158"/>
      <c r="LNL9" s="7159"/>
      <c r="LNM9" s="7152" t="s">
        <v>1012</v>
      </c>
      <c r="LNN9" s="7153"/>
      <c r="LNO9" s="7153"/>
      <c r="LNP9" s="7153"/>
      <c r="LNQ9" s="7163">
        <v>0.05</v>
      </c>
      <c r="LNR9" s="7164"/>
      <c r="LNS9" s="7157">
        <f>LNQ9*LNS7</f>
        <v>0</v>
      </c>
      <c r="LNT9" s="7157"/>
      <c r="LNU9" s="7157"/>
      <c r="LNV9" s="7157"/>
      <c r="LNW9" s="7158"/>
      <c r="LNX9" s="7158"/>
      <c r="LNY9" s="7158"/>
      <c r="LNZ9" s="7158"/>
      <c r="LOA9" s="7158"/>
      <c r="LOB9" s="7159"/>
      <c r="LOC9" s="7152" t="s">
        <v>1012</v>
      </c>
      <c r="LOD9" s="7153"/>
      <c r="LOE9" s="7153"/>
      <c r="LOF9" s="7153"/>
      <c r="LOG9" s="7163">
        <v>0.05</v>
      </c>
      <c r="LOH9" s="7164"/>
      <c r="LOI9" s="7157">
        <f>LOG9*LOI7</f>
        <v>0</v>
      </c>
      <c r="LOJ9" s="7157"/>
      <c r="LOK9" s="7157"/>
      <c r="LOL9" s="7157"/>
      <c r="LOM9" s="7158"/>
      <c r="LON9" s="7158"/>
      <c r="LOO9" s="7158"/>
      <c r="LOP9" s="7158"/>
      <c r="LOQ9" s="7158"/>
      <c r="LOR9" s="7159"/>
      <c r="LOS9" s="7152" t="s">
        <v>1012</v>
      </c>
      <c r="LOT9" s="7153"/>
      <c r="LOU9" s="7153"/>
      <c r="LOV9" s="7153"/>
      <c r="LOW9" s="7163">
        <v>0.05</v>
      </c>
      <c r="LOX9" s="7164"/>
      <c r="LOY9" s="7157">
        <f>LOW9*LOY7</f>
        <v>0</v>
      </c>
      <c r="LOZ9" s="7157"/>
      <c r="LPA9" s="7157"/>
      <c r="LPB9" s="7157"/>
      <c r="LPC9" s="7158"/>
      <c r="LPD9" s="7158"/>
      <c r="LPE9" s="7158"/>
      <c r="LPF9" s="7158"/>
      <c r="LPG9" s="7158"/>
      <c r="LPH9" s="7159"/>
      <c r="LPI9" s="7152" t="s">
        <v>1012</v>
      </c>
      <c r="LPJ9" s="7153"/>
      <c r="LPK9" s="7153"/>
      <c r="LPL9" s="7153"/>
      <c r="LPM9" s="7163">
        <v>0.05</v>
      </c>
      <c r="LPN9" s="7164"/>
      <c r="LPO9" s="7157">
        <f>LPM9*LPO7</f>
        <v>0</v>
      </c>
      <c r="LPP9" s="7157"/>
      <c r="LPQ9" s="7157"/>
      <c r="LPR9" s="7157"/>
      <c r="LPS9" s="7158"/>
      <c r="LPT9" s="7158"/>
      <c r="LPU9" s="7158"/>
      <c r="LPV9" s="7158"/>
      <c r="LPW9" s="7158"/>
      <c r="LPX9" s="7159"/>
      <c r="LPY9" s="7152" t="s">
        <v>1012</v>
      </c>
      <c r="LPZ9" s="7153"/>
      <c r="LQA9" s="7153"/>
      <c r="LQB9" s="7153"/>
      <c r="LQC9" s="7163">
        <v>0.05</v>
      </c>
      <c r="LQD9" s="7164"/>
      <c r="LQE9" s="7157">
        <f>LQC9*LQE7</f>
        <v>0</v>
      </c>
      <c r="LQF9" s="7157"/>
      <c r="LQG9" s="7157"/>
      <c r="LQH9" s="7157"/>
      <c r="LQI9" s="7158"/>
      <c r="LQJ9" s="7158"/>
      <c r="LQK9" s="7158"/>
      <c r="LQL9" s="7158"/>
      <c r="LQM9" s="7158"/>
      <c r="LQN9" s="7159"/>
      <c r="LQO9" s="7152" t="s">
        <v>1012</v>
      </c>
      <c r="LQP9" s="7153"/>
      <c r="LQQ9" s="7153"/>
      <c r="LQR9" s="7153"/>
      <c r="LQS9" s="7163">
        <v>0.05</v>
      </c>
      <c r="LQT9" s="7164"/>
      <c r="LQU9" s="7157">
        <f>LQS9*LQU7</f>
        <v>0</v>
      </c>
      <c r="LQV9" s="7157"/>
      <c r="LQW9" s="7157"/>
      <c r="LQX9" s="7157"/>
      <c r="LQY9" s="7158"/>
      <c r="LQZ9" s="7158"/>
      <c r="LRA9" s="7158"/>
      <c r="LRB9" s="7158"/>
      <c r="LRC9" s="7158"/>
      <c r="LRD9" s="7159"/>
      <c r="LRE9" s="7152" t="s">
        <v>1012</v>
      </c>
      <c r="LRF9" s="7153"/>
      <c r="LRG9" s="7153"/>
      <c r="LRH9" s="7153"/>
      <c r="LRI9" s="7163">
        <v>0.05</v>
      </c>
      <c r="LRJ9" s="7164"/>
      <c r="LRK9" s="7157">
        <f>LRI9*LRK7</f>
        <v>0</v>
      </c>
      <c r="LRL9" s="7157"/>
      <c r="LRM9" s="7157"/>
      <c r="LRN9" s="7157"/>
      <c r="LRO9" s="7158"/>
      <c r="LRP9" s="7158"/>
      <c r="LRQ9" s="7158"/>
      <c r="LRR9" s="7158"/>
      <c r="LRS9" s="7158"/>
      <c r="LRT9" s="7159"/>
      <c r="LRU9" s="7152" t="s">
        <v>1012</v>
      </c>
      <c r="LRV9" s="7153"/>
      <c r="LRW9" s="7153"/>
      <c r="LRX9" s="7153"/>
      <c r="LRY9" s="7163">
        <v>0.05</v>
      </c>
      <c r="LRZ9" s="7164"/>
      <c r="LSA9" s="7157">
        <f>LRY9*LSA7</f>
        <v>0</v>
      </c>
      <c r="LSB9" s="7157"/>
      <c r="LSC9" s="7157"/>
      <c r="LSD9" s="7157"/>
      <c r="LSE9" s="7158"/>
      <c r="LSF9" s="7158"/>
      <c r="LSG9" s="7158"/>
      <c r="LSH9" s="7158"/>
      <c r="LSI9" s="7158"/>
      <c r="LSJ9" s="7159"/>
      <c r="LSK9" s="7152" t="s">
        <v>1012</v>
      </c>
      <c r="LSL9" s="7153"/>
      <c r="LSM9" s="7153"/>
      <c r="LSN9" s="7153"/>
      <c r="LSO9" s="7163">
        <v>0.05</v>
      </c>
      <c r="LSP9" s="7164"/>
      <c r="LSQ9" s="7157">
        <f>LSO9*LSQ7</f>
        <v>0</v>
      </c>
      <c r="LSR9" s="7157"/>
      <c r="LSS9" s="7157"/>
      <c r="LST9" s="7157"/>
      <c r="LSU9" s="7158"/>
      <c r="LSV9" s="7158"/>
      <c r="LSW9" s="7158"/>
      <c r="LSX9" s="7158"/>
      <c r="LSY9" s="7158"/>
      <c r="LSZ9" s="7159"/>
      <c r="LTA9" s="7152" t="s">
        <v>1012</v>
      </c>
      <c r="LTB9" s="7153"/>
      <c r="LTC9" s="7153"/>
      <c r="LTD9" s="7153"/>
      <c r="LTE9" s="7163">
        <v>0.05</v>
      </c>
      <c r="LTF9" s="7164"/>
      <c r="LTG9" s="7157">
        <f>LTE9*LTG7</f>
        <v>0</v>
      </c>
      <c r="LTH9" s="7157"/>
      <c r="LTI9" s="7157"/>
      <c r="LTJ9" s="7157"/>
      <c r="LTK9" s="7158"/>
      <c r="LTL9" s="7158"/>
      <c r="LTM9" s="7158"/>
      <c r="LTN9" s="7158"/>
      <c r="LTO9" s="7158"/>
      <c r="LTP9" s="7159"/>
      <c r="LTQ9" s="7152" t="s">
        <v>1012</v>
      </c>
      <c r="LTR9" s="7153"/>
      <c r="LTS9" s="7153"/>
      <c r="LTT9" s="7153"/>
      <c r="LTU9" s="7163">
        <v>0.05</v>
      </c>
      <c r="LTV9" s="7164"/>
      <c r="LTW9" s="7157">
        <f>LTU9*LTW7</f>
        <v>0</v>
      </c>
      <c r="LTX9" s="7157"/>
      <c r="LTY9" s="7157"/>
      <c r="LTZ9" s="7157"/>
      <c r="LUA9" s="7158"/>
      <c r="LUB9" s="7158"/>
      <c r="LUC9" s="7158"/>
      <c r="LUD9" s="7158"/>
      <c r="LUE9" s="7158"/>
      <c r="LUF9" s="7159"/>
      <c r="LUG9" s="7152" t="s">
        <v>1012</v>
      </c>
      <c r="LUH9" s="7153"/>
      <c r="LUI9" s="7153"/>
      <c r="LUJ9" s="7153"/>
      <c r="LUK9" s="7163">
        <v>0.05</v>
      </c>
      <c r="LUL9" s="7164"/>
      <c r="LUM9" s="7157">
        <f>LUK9*LUM7</f>
        <v>0</v>
      </c>
      <c r="LUN9" s="7157"/>
      <c r="LUO9" s="7157"/>
      <c r="LUP9" s="7157"/>
      <c r="LUQ9" s="7158"/>
      <c r="LUR9" s="7158"/>
      <c r="LUS9" s="7158"/>
      <c r="LUT9" s="7158"/>
      <c r="LUU9" s="7158"/>
      <c r="LUV9" s="7159"/>
      <c r="LUW9" s="7152" t="s">
        <v>1012</v>
      </c>
      <c r="LUX9" s="7153"/>
      <c r="LUY9" s="7153"/>
      <c r="LUZ9" s="7153"/>
      <c r="LVA9" s="7163">
        <v>0.05</v>
      </c>
      <c r="LVB9" s="7164"/>
      <c r="LVC9" s="7157">
        <f>LVA9*LVC7</f>
        <v>0</v>
      </c>
      <c r="LVD9" s="7157"/>
      <c r="LVE9" s="7157"/>
      <c r="LVF9" s="7157"/>
      <c r="LVG9" s="7158"/>
      <c r="LVH9" s="7158"/>
      <c r="LVI9" s="7158"/>
      <c r="LVJ9" s="7158"/>
      <c r="LVK9" s="7158"/>
      <c r="LVL9" s="7159"/>
      <c r="LVM9" s="7152" t="s">
        <v>1012</v>
      </c>
      <c r="LVN9" s="7153"/>
      <c r="LVO9" s="7153"/>
      <c r="LVP9" s="7153"/>
      <c r="LVQ9" s="7163">
        <v>0.05</v>
      </c>
      <c r="LVR9" s="7164"/>
      <c r="LVS9" s="7157">
        <f>LVQ9*LVS7</f>
        <v>0</v>
      </c>
      <c r="LVT9" s="7157"/>
      <c r="LVU9" s="7157"/>
      <c r="LVV9" s="7157"/>
      <c r="LVW9" s="7158"/>
      <c r="LVX9" s="7158"/>
      <c r="LVY9" s="7158"/>
      <c r="LVZ9" s="7158"/>
      <c r="LWA9" s="7158"/>
      <c r="LWB9" s="7159"/>
      <c r="LWC9" s="7152" t="s">
        <v>1012</v>
      </c>
      <c r="LWD9" s="7153"/>
      <c r="LWE9" s="7153"/>
      <c r="LWF9" s="7153"/>
      <c r="LWG9" s="7163">
        <v>0.05</v>
      </c>
      <c r="LWH9" s="7164"/>
      <c r="LWI9" s="7157">
        <f>LWG9*LWI7</f>
        <v>0</v>
      </c>
      <c r="LWJ9" s="7157"/>
      <c r="LWK9" s="7157"/>
      <c r="LWL9" s="7157"/>
      <c r="LWM9" s="7158"/>
      <c r="LWN9" s="7158"/>
      <c r="LWO9" s="7158"/>
      <c r="LWP9" s="7158"/>
      <c r="LWQ9" s="7158"/>
      <c r="LWR9" s="7159"/>
      <c r="LWS9" s="7152" t="s">
        <v>1012</v>
      </c>
      <c r="LWT9" s="7153"/>
      <c r="LWU9" s="7153"/>
      <c r="LWV9" s="7153"/>
      <c r="LWW9" s="7163">
        <v>0.05</v>
      </c>
      <c r="LWX9" s="7164"/>
      <c r="LWY9" s="7157">
        <f>LWW9*LWY7</f>
        <v>0</v>
      </c>
      <c r="LWZ9" s="7157"/>
      <c r="LXA9" s="7157"/>
      <c r="LXB9" s="7157"/>
      <c r="LXC9" s="7158"/>
      <c r="LXD9" s="7158"/>
      <c r="LXE9" s="7158"/>
      <c r="LXF9" s="7158"/>
      <c r="LXG9" s="7158"/>
      <c r="LXH9" s="7159"/>
      <c r="LXI9" s="7152" t="s">
        <v>1012</v>
      </c>
      <c r="LXJ9" s="7153"/>
      <c r="LXK9" s="7153"/>
      <c r="LXL9" s="7153"/>
      <c r="LXM9" s="7163">
        <v>0.05</v>
      </c>
      <c r="LXN9" s="7164"/>
      <c r="LXO9" s="7157">
        <f>LXM9*LXO7</f>
        <v>0</v>
      </c>
      <c r="LXP9" s="7157"/>
      <c r="LXQ9" s="7157"/>
      <c r="LXR9" s="7157"/>
      <c r="LXS9" s="7158"/>
      <c r="LXT9" s="7158"/>
      <c r="LXU9" s="7158"/>
      <c r="LXV9" s="7158"/>
      <c r="LXW9" s="7158"/>
      <c r="LXX9" s="7159"/>
      <c r="LXY9" s="7152" t="s">
        <v>1012</v>
      </c>
      <c r="LXZ9" s="7153"/>
      <c r="LYA9" s="7153"/>
      <c r="LYB9" s="7153"/>
      <c r="LYC9" s="7163">
        <v>0.05</v>
      </c>
      <c r="LYD9" s="7164"/>
      <c r="LYE9" s="7157">
        <f>LYC9*LYE7</f>
        <v>0</v>
      </c>
      <c r="LYF9" s="7157"/>
      <c r="LYG9" s="7157"/>
      <c r="LYH9" s="7157"/>
      <c r="LYI9" s="7158"/>
      <c r="LYJ9" s="7158"/>
      <c r="LYK9" s="7158"/>
      <c r="LYL9" s="7158"/>
      <c r="LYM9" s="7158"/>
      <c r="LYN9" s="7159"/>
      <c r="LYO9" s="7152" t="s">
        <v>1012</v>
      </c>
      <c r="LYP9" s="7153"/>
      <c r="LYQ9" s="7153"/>
      <c r="LYR9" s="7153"/>
      <c r="LYS9" s="7163">
        <v>0.05</v>
      </c>
      <c r="LYT9" s="7164"/>
      <c r="LYU9" s="7157">
        <f>LYS9*LYU7</f>
        <v>0</v>
      </c>
      <c r="LYV9" s="7157"/>
      <c r="LYW9" s="7157"/>
      <c r="LYX9" s="7157"/>
      <c r="LYY9" s="7158"/>
      <c r="LYZ9" s="7158"/>
      <c r="LZA9" s="7158"/>
      <c r="LZB9" s="7158"/>
      <c r="LZC9" s="7158"/>
      <c r="LZD9" s="7159"/>
      <c r="LZE9" s="7152" t="s">
        <v>1012</v>
      </c>
      <c r="LZF9" s="7153"/>
      <c r="LZG9" s="7153"/>
      <c r="LZH9" s="7153"/>
      <c r="LZI9" s="7163">
        <v>0.05</v>
      </c>
      <c r="LZJ9" s="7164"/>
      <c r="LZK9" s="7157">
        <f>LZI9*LZK7</f>
        <v>0</v>
      </c>
      <c r="LZL9" s="7157"/>
      <c r="LZM9" s="7157"/>
      <c r="LZN9" s="7157"/>
      <c r="LZO9" s="7158"/>
      <c r="LZP9" s="7158"/>
      <c r="LZQ9" s="7158"/>
      <c r="LZR9" s="7158"/>
      <c r="LZS9" s="7158"/>
      <c r="LZT9" s="7159"/>
      <c r="LZU9" s="7152" t="s">
        <v>1012</v>
      </c>
      <c r="LZV9" s="7153"/>
      <c r="LZW9" s="7153"/>
      <c r="LZX9" s="7153"/>
      <c r="LZY9" s="7163">
        <v>0.05</v>
      </c>
      <c r="LZZ9" s="7164"/>
      <c r="MAA9" s="7157">
        <f>LZY9*MAA7</f>
        <v>0</v>
      </c>
      <c r="MAB9" s="7157"/>
      <c r="MAC9" s="7157"/>
      <c r="MAD9" s="7157"/>
      <c r="MAE9" s="7158"/>
      <c r="MAF9" s="7158"/>
      <c r="MAG9" s="7158"/>
      <c r="MAH9" s="7158"/>
      <c r="MAI9" s="7158"/>
      <c r="MAJ9" s="7159"/>
      <c r="MAK9" s="7152" t="s">
        <v>1012</v>
      </c>
      <c r="MAL9" s="7153"/>
      <c r="MAM9" s="7153"/>
      <c r="MAN9" s="7153"/>
      <c r="MAO9" s="7163">
        <v>0.05</v>
      </c>
      <c r="MAP9" s="7164"/>
      <c r="MAQ9" s="7157">
        <f>MAO9*MAQ7</f>
        <v>0</v>
      </c>
      <c r="MAR9" s="7157"/>
      <c r="MAS9" s="7157"/>
      <c r="MAT9" s="7157"/>
      <c r="MAU9" s="7158"/>
      <c r="MAV9" s="7158"/>
      <c r="MAW9" s="7158"/>
      <c r="MAX9" s="7158"/>
      <c r="MAY9" s="7158"/>
      <c r="MAZ9" s="7159"/>
      <c r="MBA9" s="7152" t="s">
        <v>1012</v>
      </c>
      <c r="MBB9" s="7153"/>
      <c r="MBC9" s="7153"/>
      <c r="MBD9" s="7153"/>
      <c r="MBE9" s="7163">
        <v>0.05</v>
      </c>
      <c r="MBF9" s="7164"/>
      <c r="MBG9" s="7157">
        <f>MBE9*MBG7</f>
        <v>0</v>
      </c>
      <c r="MBH9" s="7157"/>
      <c r="MBI9" s="7157"/>
      <c r="MBJ9" s="7157"/>
      <c r="MBK9" s="7158"/>
      <c r="MBL9" s="7158"/>
      <c r="MBM9" s="7158"/>
      <c r="MBN9" s="7158"/>
      <c r="MBO9" s="7158"/>
      <c r="MBP9" s="7159"/>
      <c r="MBQ9" s="7152" t="s">
        <v>1012</v>
      </c>
      <c r="MBR9" s="7153"/>
      <c r="MBS9" s="7153"/>
      <c r="MBT9" s="7153"/>
      <c r="MBU9" s="7163">
        <v>0.05</v>
      </c>
      <c r="MBV9" s="7164"/>
      <c r="MBW9" s="7157">
        <f>MBU9*MBW7</f>
        <v>0</v>
      </c>
      <c r="MBX9" s="7157"/>
      <c r="MBY9" s="7157"/>
      <c r="MBZ9" s="7157"/>
      <c r="MCA9" s="7158"/>
      <c r="MCB9" s="7158"/>
      <c r="MCC9" s="7158"/>
      <c r="MCD9" s="7158"/>
      <c r="MCE9" s="7158"/>
      <c r="MCF9" s="7159"/>
      <c r="MCG9" s="7152" t="s">
        <v>1012</v>
      </c>
      <c r="MCH9" s="7153"/>
      <c r="MCI9" s="7153"/>
      <c r="MCJ9" s="7153"/>
      <c r="MCK9" s="7163">
        <v>0.05</v>
      </c>
      <c r="MCL9" s="7164"/>
      <c r="MCM9" s="7157">
        <f>MCK9*MCM7</f>
        <v>0</v>
      </c>
      <c r="MCN9" s="7157"/>
      <c r="MCO9" s="7157"/>
      <c r="MCP9" s="7157"/>
      <c r="MCQ9" s="7158"/>
      <c r="MCR9" s="7158"/>
      <c r="MCS9" s="7158"/>
      <c r="MCT9" s="7158"/>
      <c r="MCU9" s="7158"/>
      <c r="MCV9" s="7159"/>
      <c r="MCW9" s="7152" t="s">
        <v>1012</v>
      </c>
      <c r="MCX9" s="7153"/>
      <c r="MCY9" s="7153"/>
      <c r="MCZ9" s="7153"/>
      <c r="MDA9" s="7163">
        <v>0.05</v>
      </c>
      <c r="MDB9" s="7164"/>
      <c r="MDC9" s="7157">
        <f>MDA9*MDC7</f>
        <v>0</v>
      </c>
      <c r="MDD9" s="7157"/>
      <c r="MDE9" s="7157"/>
      <c r="MDF9" s="7157"/>
      <c r="MDG9" s="7158"/>
      <c r="MDH9" s="7158"/>
      <c r="MDI9" s="7158"/>
      <c r="MDJ9" s="7158"/>
      <c r="MDK9" s="7158"/>
      <c r="MDL9" s="7159"/>
      <c r="MDM9" s="7152" t="s">
        <v>1012</v>
      </c>
      <c r="MDN9" s="7153"/>
      <c r="MDO9" s="7153"/>
      <c r="MDP9" s="7153"/>
      <c r="MDQ9" s="7163">
        <v>0.05</v>
      </c>
      <c r="MDR9" s="7164"/>
      <c r="MDS9" s="7157">
        <f>MDQ9*MDS7</f>
        <v>0</v>
      </c>
      <c r="MDT9" s="7157"/>
      <c r="MDU9" s="7157"/>
      <c r="MDV9" s="7157"/>
      <c r="MDW9" s="7158"/>
      <c r="MDX9" s="7158"/>
      <c r="MDY9" s="7158"/>
      <c r="MDZ9" s="7158"/>
      <c r="MEA9" s="7158"/>
      <c r="MEB9" s="7159"/>
      <c r="MEC9" s="7152" t="s">
        <v>1012</v>
      </c>
      <c r="MED9" s="7153"/>
      <c r="MEE9" s="7153"/>
      <c r="MEF9" s="7153"/>
      <c r="MEG9" s="7163">
        <v>0.05</v>
      </c>
      <c r="MEH9" s="7164"/>
      <c r="MEI9" s="7157">
        <f>MEG9*MEI7</f>
        <v>0</v>
      </c>
      <c r="MEJ9" s="7157"/>
      <c r="MEK9" s="7157"/>
      <c r="MEL9" s="7157"/>
      <c r="MEM9" s="7158"/>
      <c r="MEN9" s="7158"/>
      <c r="MEO9" s="7158"/>
      <c r="MEP9" s="7158"/>
      <c r="MEQ9" s="7158"/>
      <c r="MER9" s="7159"/>
      <c r="MES9" s="7152" t="s">
        <v>1012</v>
      </c>
      <c r="MET9" s="7153"/>
      <c r="MEU9" s="7153"/>
      <c r="MEV9" s="7153"/>
      <c r="MEW9" s="7163">
        <v>0.05</v>
      </c>
      <c r="MEX9" s="7164"/>
      <c r="MEY9" s="7157">
        <f>MEW9*MEY7</f>
        <v>0</v>
      </c>
      <c r="MEZ9" s="7157"/>
      <c r="MFA9" s="7157"/>
      <c r="MFB9" s="7157"/>
      <c r="MFC9" s="7158"/>
      <c r="MFD9" s="7158"/>
      <c r="MFE9" s="7158"/>
      <c r="MFF9" s="7158"/>
      <c r="MFG9" s="7158"/>
      <c r="MFH9" s="7159"/>
      <c r="MFI9" s="7152" t="s">
        <v>1012</v>
      </c>
      <c r="MFJ9" s="7153"/>
      <c r="MFK9" s="7153"/>
      <c r="MFL9" s="7153"/>
      <c r="MFM9" s="7163">
        <v>0.05</v>
      </c>
      <c r="MFN9" s="7164"/>
      <c r="MFO9" s="7157">
        <f>MFM9*MFO7</f>
        <v>0</v>
      </c>
      <c r="MFP9" s="7157"/>
      <c r="MFQ9" s="7157"/>
      <c r="MFR9" s="7157"/>
      <c r="MFS9" s="7158"/>
      <c r="MFT9" s="7158"/>
      <c r="MFU9" s="7158"/>
      <c r="MFV9" s="7158"/>
      <c r="MFW9" s="7158"/>
      <c r="MFX9" s="7159"/>
      <c r="MFY9" s="7152" t="s">
        <v>1012</v>
      </c>
      <c r="MFZ9" s="7153"/>
      <c r="MGA9" s="7153"/>
      <c r="MGB9" s="7153"/>
      <c r="MGC9" s="7163">
        <v>0.05</v>
      </c>
      <c r="MGD9" s="7164"/>
      <c r="MGE9" s="7157">
        <f>MGC9*MGE7</f>
        <v>0</v>
      </c>
      <c r="MGF9" s="7157"/>
      <c r="MGG9" s="7157"/>
      <c r="MGH9" s="7157"/>
      <c r="MGI9" s="7158"/>
      <c r="MGJ9" s="7158"/>
      <c r="MGK9" s="7158"/>
      <c r="MGL9" s="7158"/>
      <c r="MGM9" s="7158"/>
      <c r="MGN9" s="7159"/>
      <c r="MGO9" s="7152" t="s">
        <v>1012</v>
      </c>
      <c r="MGP9" s="7153"/>
      <c r="MGQ9" s="7153"/>
      <c r="MGR9" s="7153"/>
      <c r="MGS9" s="7163">
        <v>0.05</v>
      </c>
      <c r="MGT9" s="7164"/>
      <c r="MGU9" s="7157">
        <f>MGS9*MGU7</f>
        <v>0</v>
      </c>
      <c r="MGV9" s="7157"/>
      <c r="MGW9" s="7157"/>
      <c r="MGX9" s="7157"/>
      <c r="MGY9" s="7158"/>
      <c r="MGZ9" s="7158"/>
      <c r="MHA9" s="7158"/>
      <c r="MHB9" s="7158"/>
      <c r="MHC9" s="7158"/>
      <c r="MHD9" s="7159"/>
      <c r="MHE9" s="7152" t="s">
        <v>1012</v>
      </c>
      <c r="MHF9" s="7153"/>
      <c r="MHG9" s="7153"/>
      <c r="MHH9" s="7153"/>
      <c r="MHI9" s="7163">
        <v>0.05</v>
      </c>
      <c r="MHJ9" s="7164"/>
      <c r="MHK9" s="7157">
        <f>MHI9*MHK7</f>
        <v>0</v>
      </c>
      <c r="MHL9" s="7157"/>
      <c r="MHM9" s="7157"/>
      <c r="MHN9" s="7157"/>
      <c r="MHO9" s="7158"/>
      <c r="MHP9" s="7158"/>
      <c r="MHQ9" s="7158"/>
      <c r="MHR9" s="7158"/>
      <c r="MHS9" s="7158"/>
      <c r="MHT9" s="7159"/>
      <c r="MHU9" s="7152" t="s">
        <v>1012</v>
      </c>
      <c r="MHV9" s="7153"/>
      <c r="MHW9" s="7153"/>
      <c r="MHX9" s="7153"/>
      <c r="MHY9" s="7163">
        <v>0.05</v>
      </c>
      <c r="MHZ9" s="7164"/>
      <c r="MIA9" s="7157">
        <f>MHY9*MIA7</f>
        <v>0</v>
      </c>
      <c r="MIB9" s="7157"/>
      <c r="MIC9" s="7157"/>
      <c r="MID9" s="7157"/>
      <c r="MIE9" s="7158"/>
      <c r="MIF9" s="7158"/>
      <c r="MIG9" s="7158"/>
      <c r="MIH9" s="7158"/>
      <c r="MII9" s="7158"/>
      <c r="MIJ9" s="7159"/>
      <c r="MIK9" s="7152" t="s">
        <v>1012</v>
      </c>
      <c r="MIL9" s="7153"/>
      <c r="MIM9" s="7153"/>
      <c r="MIN9" s="7153"/>
      <c r="MIO9" s="7163">
        <v>0.05</v>
      </c>
      <c r="MIP9" s="7164"/>
      <c r="MIQ9" s="7157">
        <f>MIO9*MIQ7</f>
        <v>0</v>
      </c>
      <c r="MIR9" s="7157"/>
      <c r="MIS9" s="7157"/>
      <c r="MIT9" s="7157"/>
      <c r="MIU9" s="7158"/>
      <c r="MIV9" s="7158"/>
      <c r="MIW9" s="7158"/>
      <c r="MIX9" s="7158"/>
      <c r="MIY9" s="7158"/>
      <c r="MIZ9" s="7159"/>
      <c r="MJA9" s="7152" t="s">
        <v>1012</v>
      </c>
      <c r="MJB9" s="7153"/>
      <c r="MJC9" s="7153"/>
      <c r="MJD9" s="7153"/>
      <c r="MJE9" s="7163">
        <v>0.05</v>
      </c>
      <c r="MJF9" s="7164"/>
      <c r="MJG9" s="7157">
        <f>MJE9*MJG7</f>
        <v>0</v>
      </c>
      <c r="MJH9" s="7157"/>
      <c r="MJI9" s="7157"/>
      <c r="MJJ9" s="7157"/>
      <c r="MJK9" s="7158"/>
      <c r="MJL9" s="7158"/>
      <c r="MJM9" s="7158"/>
      <c r="MJN9" s="7158"/>
      <c r="MJO9" s="7158"/>
      <c r="MJP9" s="7159"/>
      <c r="MJQ9" s="7152" t="s">
        <v>1012</v>
      </c>
      <c r="MJR9" s="7153"/>
      <c r="MJS9" s="7153"/>
      <c r="MJT9" s="7153"/>
      <c r="MJU9" s="7163">
        <v>0.05</v>
      </c>
      <c r="MJV9" s="7164"/>
      <c r="MJW9" s="7157">
        <f>MJU9*MJW7</f>
        <v>0</v>
      </c>
      <c r="MJX9" s="7157"/>
      <c r="MJY9" s="7157"/>
      <c r="MJZ9" s="7157"/>
      <c r="MKA9" s="7158"/>
      <c r="MKB9" s="7158"/>
      <c r="MKC9" s="7158"/>
      <c r="MKD9" s="7158"/>
      <c r="MKE9" s="7158"/>
      <c r="MKF9" s="7159"/>
      <c r="MKG9" s="7152" t="s">
        <v>1012</v>
      </c>
      <c r="MKH9" s="7153"/>
      <c r="MKI9" s="7153"/>
      <c r="MKJ9" s="7153"/>
      <c r="MKK9" s="7163">
        <v>0.05</v>
      </c>
      <c r="MKL9" s="7164"/>
      <c r="MKM9" s="7157">
        <f>MKK9*MKM7</f>
        <v>0</v>
      </c>
      <c r="MKN9" s="7157"/>
      <c r="MKO9" s="7157"/>
      <c r="MKP9" s="7157"/>
      <c r="MKQ9" s="7158"/>
      <c r="MKR9" s="7158"/>
      <c r="MKS9" s="7158"/>
      <c r="MKT9" s="7158"/>
      <c r="MKU9" s="7158"/>
      <c r="MKV9" s="7159"/>
      <c r="MKW9" s="7152" t="s">
        <v>1012</v>
      </c>
      <c r="MKX9" s="7153"/>
      <c r="MKY9" s="7153"/>
      <c r="MKZ9" s="7153"/>
      <c r="MLA9" s="7163">
        <v>0.05</v>
      </c>
      <c r="MLB9" s="7164"/>
      <c r="MLC9" s="7157">
        <f>MLA9*MLC7</f>
        <v>0</v>
      </c>
      <c r="MLD9" s="7157"/>
      <c r="MLE9" s="7157"/>
      <c r="MLF9" s="7157"/>
      <c r="MLG9" s="7158"/>
      <c r="MLH9" s="7158"/>
      <c r="MLI9" s="7158"/>
      <c r="MLJ9" s="7158"/>
      <c r="MLK9" s="7158"/>
      <c r="MLL9" s="7159"/>
      <c r="MLM9" s="7152" t="s">
        <v>1012</v>
      </c>
      <c r="MLN9" s="7153"/>
      <c r="MLO9" s="7153"/>
      <c r="MLP9" s="7153"/>
      <c r="MLQ9" s="7163">
        <v>0.05</v>
      </c>
      <c r="MLR9" s="7164"/>
      <c r="MLS9" s="7157">
        <f>MLQ9*MLS7</f>
        <v>0</v>
      </c>
      <c r="MLT9" s="7157"/>
      <c r="MLU9" s="7157"/>
      <c r="MLV9" s="7157"/>
      <c r="MLW9" s="7158"/>
      <c r="MLX9" s="7158"/>
      <c r="MLY9" s="7158"/>
      <c r="MLZ9" s="7158"/>
      <c r="MMA9" s="7158"/>
      <c r="MMB9" s="7159"/>
      <c r="MMC9" s="7152" t="s">
        <v>1012</v>
      </c>
      <c r="MMD9" s="7153"/>
      <c r="MME9" s="7153"/>
      <c r="MMF9" s="7153"/>
      <c r="MMG9" s="7163">
        <v>0.05</v>
      </c>
      <c r="MMH9" s="7164"/>
      <c r="MMI9" s="7157">
        <f>MMG9*MMI7</f>
        <v>0</v>
      </c>
      <c r="MMJ9" s="7157"/>
      <c r="MMK9" s="7157"/>
      <c r="MML9" s="7157"/>
      <c r="MMM9" s="7158"/>
      <c r="MMN9" s="7158"/>
      <c r="MMO9" s="7158"/>
      <c r="MMP9" s="7158"/>
      <c r="MMQ9" s="7158"/>
      <c r="MMR9" s="7159"/>
      <c r="MMS9" s="7152" t="s">
        <v>1012</v>
      </c>
      <c r="MMT9" s="7153"/>
      <c r="MMU9" s="7153"/>
      <c r="MMV9" s="7153"/>
      <c r="MMW9" s="7163">
        <v>0.05</v>
      </c>
      <c r="MMX9" s="7164"/>
      <c r="MMY9" s="7157">
        <f>MMW9*MMY7</f>
        <v>0</v>
      </c>
      <c r="MMZ9" s="7157"/>
      <c r="MNA9" s="7157"/>
      <c r="MNB9" s="7157"/>
      <c r="MNC9" s="7158"/>
      <c r="MND9" s="7158"/>
      <c r="MNE9" s="7158"/>
      <c r="MNF9" s="7158"/>
      <c r="MNG9" s="7158"/>
      <c r="MNH9" s="7159"/>
      <c r="MNI9" s="7152" t="s">
        <v>1012</v>
      </c>
      <c r="MNJ9" s="7153"/>
      <c r="MNK9" s="7153"/>
      <c r="MNL9" s="7153"/>
      <c r="MNM9" s="7163">
        <v>0.05</v>
      </c>
      <c r="MNN9" s="7164"/>
      <c r="MNO9" s="7157">
        <f>MNM9*MNO7</f>
        <v>0</v>
      </c>
      <c r="MNP9" s="7157"/>
      <c r="MNQ9" s="7157"/>
      <c r="MNR9" s="7157"/>
      <c r="MNS9" s="7158"/>
      <c r="MNT9" s="7158"/>
      <c r="MNU9" s="7158"/>
      <c r="MNV9" s="7158"/>
      <c r="MNW9" s="7158"/>
      <c r="MNX9" s="7159"/>
      <c r="MNY9" s="7152" t="s">
        <v>1012</v>
      </c>
      <c r="MNZ9" s="7153"/>
      <c r="MOA9" s="7153"/>
      <c r="MOB9" s="7153"/>
      <c r="MOC9" s="7163">
        <v>0.05</v>
      </c>
      <c r="MOD9" s="7164"/>
      <c r="MOE9" s="7157">
        <f>MOC9*MOE7</f>
        <v>0</v>
      </c>
      <c r="MOF9" s="7157"/>
      <c r="MOG9" s="7157"/>
      <c r="MOH9" s="7157"/>
      <c r="MOI9" s="7158"/>
      <c r="MOJ9" s="7158"/>
      <c r="MOK9" s="7158"/>
      <c r="MOL9" s="7158"/>
      <c r="MOM9" s="7158"/>
      <c r="MON9" s="7159"/>
      <c r="MOO9" s="7152" t="s">
        <v>1012</v>
      </c>
      <c r="MOP9" s="7153"/>
      <c r="MOQ9" s="7153"/>
      <c r="MOR9" s="7153"/>
      <c r="MOS9" s="7163">
        <v>0.05</v>
      </c>
      <c r="MOT9" s="7164"/>
      <c r="MOU9" s="7157">
        <f>MOS9*MOU7</f>
        <v>0</v>
      </c>
      <c r="MOV9" s="7157"/>
      <c r="MOW9" s="7157"/>
      <c r="MOX9" s="7157"/>
      <c r="MOY9" s="7158"/>
      <c r="MOZ9" s="7158"/>
      <c r="MPA9" s="7158"/>
      <c r="MPB9" s="7158"/>
      <c r="MPC9" s="7158"/>
      <c r="MPD9" s="7159"/>
      <c r="MPE9" s="7152" t="s">
        <v>1012</v>
      </c>
      <c r="MPF9" s="7153"/>
      <c r="MPG9" s="7153"/>
      <c r="MPH9" s="7153"/>
      <c r="MPI9" s="7163">
        <v>0.05</v>
      </c>
      <c r="MPJ9" s="7164"/>
      <c r="MPK9" s="7157">
        <f>MPI9*MPK7</f>
        <v>0</v>
      </c>
      <c r="MPL9" s="7157"/>
      <c r="MPM9" s="7157"/>
      <c r="MPN9" s="7157"/>
      <c r="MPO9" s="7158"/>
      <c r="MPP9" s="7158"/>
      <c r="MPQ9" s="7158"/>
      <c r="MPR9" s="7158"/>
      <c r="MPS9" s="7158"/>
      <c r="MPT9" s="7159"/>
      <c r="MPU9" s="7152" t="s">
        <v>1012</v>
      </c>
      <c r="MPV9" s="7153"/>
      <c r="MPW9" s="7153"/>
      <c r="MPX9" s="7153"/>
      <c r="MPY9" s="7163">
        <v>0.05</v>
      </c>
      <c r="MPZ9" s="7164"/>
      <c r="MQA9" s="7157">
        <f>MPY9*MQA7</f>
        <v>0</v>
      </c>
      <c r="MQB9" s="7157"/>
      <c r="MQC9" s="7157"/>
      <c r="MQD9" s="7157"/>
      <c r="MQE9" s="7158"/>
      <c r="MQF9" s="7158"/>
      <c r="MQG9" s="7158"/>
      <c r="MQH9" s="7158"/>
      <c r="MQI9" s="7158"/>
      <c r="MQJ9" s="7159"/>
      <c r="MQK9" s="7152" t="s">
        <v>1012</v>
      </c>
      <c r="MQL9" s="7153"/>
      <c r="MQM9" s="7153"/>
      <c r="MQN9" s="7153"/>
      <c r="MQO9" s="7163">
        <v>0.05</v>
      </c>
      <c r="MQP9" s="7164"/>
      <c r="MQQ9" s="7157">
        <f>MQO9*MQQ7</f>
        <v>0</v>
      </c>
      <c r="MQR9" s="7157"/>
      <c r="MQS9" s="7157"/>
      <c r="MQT9" s="7157"/>
      <c r="MQU9" s="7158"/>
      <c r="MQV9" s="7158"/>
      <c r="MQW9" s="7158"/>
      <c r="MQX9" s="7158"/>
      <c r="MQY9" s="7158"/>
      <c r="MQZ9" s="7159"/>
      <c r="MRA9" s="7152" t="s">
        <v>1012</v>
      </c>
      <c r="MRB9" s="7153"/>
      <c r="MRC9" s="7153"/>
      <c r="MRD9" s="7153"/>
      <c r="MRE9" s="7163">
        <v>0.05</v>
      </c>
      <c r="MRF9" s="7164"/>
      <c r="MRG9" s="7157">
        <f>MRE9*MRG7</f>
        <v>0</v>
      </c>
      <c r="MRH9" s="7157"/>
      <c r="MRI9" s="7157"/>
      <c r="MRJ9" s="7157"/>
      <c r="MRK9" s="7158"/>
      <c r="MRL9" s="7158"/>
      <c r="MRM9" s="7158"/>
      <c r="MRN9" s="7158"/>
      <c r="MRO9" s="7158"/>
      <c r="MRP9" s="7159"/>
      <c r="MRQ9" s="7152" t="s">
        <v>1012</v>
      </c>
      <c r="MRR9" s="7153"/>
      <c r="MRS9" s="7153"/>
      <c r="MRT9" s="7153"/>
      <c r="MRU9" s="7163">
        <v>0.05</v>
      </c>
      <c r="MRV9" s="7164"/>
      <c r="MRW9" s="7157">
        <f>MRU9*MRW7</f>
        <v>0</v>
      </c>
      <c r="MRX9" s="7157"/>
      <c r="MRY9" s="7157"/>
      <c r="MRZ9" s="7157"/>
      <c r="MSA9" s="7158"/>
      <c r="MSB9" s="7158"/>
      <c r="MSC9" s="7158"/>
      <c r="MSD9" s="7158"/>
      <c r="MSE9" s="7158"/>
      <c r="MSF9" s="7159"/>
      <c r="MSG9" s="7152" t="s">
        <v>1012</v>
      </c>
      <c r="MSH9" s="7153"/>
      <c r="MSI9" s="7153"/>
      <c r="MSJ9" s="7153"/>
      <c r="MSK9" s="7163">
        <v>0.05</v>
      </c>
      <c r="MSL9" s="7164"/>
      <c r="MSM9" s="7157">
        <f>MSK9*MSM7</f>
        <v>0</v>
      </c>
      <c r="MSN9" s="7157"/>
      <c r="MSO9" s="7157"/>
      <c r="MSP9" s="7157"/>
      <c r="MSQ9" s="7158"/>
      <c r="MSR9" s="7158"/>
      <c r="MSS9" s="7158"/>
      <c r="MST9" s="7158"/>
      <c r="MSU9" s="7158"/>
      <c r="MSV9" s="7159"/>
      <c r="MSW9" s="7152" t="s">
        <v>1012</v>
      </c>
      <c r="MSX9" s="7153"/>
      <c r="MSY9" s="7153"/>
      <c r="MSZ9" s="7153"/>
      <c r="MTA9" s="7163">
        <v>0.05</v>
      </c>
      <c r="MTB9" s="7164"/>
      <c r="MTC9" s="7157">
        <f>MTA9*MTC7</f>
        <v>0</v>
      </c>
      <c r="MTD9" s="7157"/>
      <c r="MTE9" s="7157"/>
      <c r="MTF9" s="7157"/>
      <c r="MTG9" s="7158"/>
      <c r="MTH9" s="7158"/>
      <c r="MTI9" s="7158"/>
      <c r="MTJ9" s="7158"/>
      <c r="MTK9" s="7158"/>
      <c r="MTL9" s="7159"/>
      <c r="MTM9" s="7152" t="s">
        <v>1012</v>
      </c>
      <c r="MTN9" s="7153"/>
      <c r="MTO9" s="7153"/>
      <c r="MTP9" s="7153"/>
      <c r="MTQ9" s="7163">
        <v>0.05</v>
      </c>
      <c r="MTR9" s="7164"/>
      <c r="MTS9" s="7157">
        <f>MTQ9*MTS7</f>
        <v>0</v>
      </c>
      <c r="MTT9" s="7157"/>
      <c r="MTU9" s="7157"/>
      <c r="MTV9" s="7157"/>
      <c r="MTW9" s="7158"/>
      <c r="MTX9" s="7158"/>
      <c r="MTY9" s="7158"/>
      <c r="MTZ9" s="7158"/>
      <c r="MUA9" s="7158"/>
      <c r="MUB9" s="7159"/>
      <c r="MUC9" s="7152" t="s">
        <v>1012</v>
      </c>
      <c r="MUD9" s="7153"/>
      <c r="MUE9" s="7153"/>
      <c r="MUF9" s="7153"/>
      <c r="MUG9" s="7163">
        <v>0.05</v>
      </c>
      <c r="MUH9" s="7164"/>
      <c r="MUI9" s="7157">
        <f>MUG9*MUI7</f>
        <v>0</v>
      </c>
      <c r="MUJ9" s="7157"/>
      <c r="MUK9" s="7157"/>
      <c r="MUL9" s="7157"/>
      <c r="MUM9" s="7158"/>
      <c r="MUN9" s="7158"/>
      <c r="MUO9" s="7158"/>
      <c r="MUP9" s="7158"/>
      <c r="MUQ9" s="7158"/>
      <c r="MUR9" s="7159"/>
      <c r="MUS9" s="7152" t="s">
        <v>1012</v>
      </c>
      <c r="MUT9" s="7153"/>
      <c r="MUU9" s="7153"/>
      <c r="MUV9" s="7153"/>
      <c r="MUW9" s="7163">
        <v>0.05</v>
      </c>
      <c r="MUX9" s="7164"/>
      <c r="MUY9" s="7157">
        <f>MUW9*MUY7</f>
        <v>0</v>
      </c>
      <c r="MUZ9" s="7157"/>
      <c r="MVA9" s="7157"/>
      <c r="MVB9" s="7157"/>
      <c r="MVC9" s="7158"/>
      <c r="MVD9" s="7158"/>
      <c r="MVE9" s="7158"/>
      <c r="MVF9" s="7158"/>
      <c r="MVG9" s="7158"/>
      <c r="MVH9" s="7159"/>
      <c r="MVI9" s="7152" t="s">
        <v>1012</v>
      </c>
      <c r="MVJ9" s="7153"/>
      <c r="MVK9" s="7153"/>
      <c r="MVL9" s="7153"/>
      <c r="MVM9" s="7163">
        <v>0.05</v>
      </c>
      <c r="MVN9" s="7164"/>
      <c r="MVO9" s="7157">
        <f>MVM9*MVO7</f>
        <v>0</v>
      </c>
      <c r="MVP9" s="7157"/>
      <c r="MVQ9" s="7157"/>
      <c r="MVR9" s="7157"/>
      <c r="MVS9" s="7158"/>
      <c r="MVT9" s="7158"/>
      <c r="MVU9" s="7158"/>
      <c r="MVV9" s="7158"/>
      <c r="MVW9" s="7158"/>
      <c r="MVX9" s="7159"/>
      <c r="MVY9" s="7152" t="s">
        <v>1012</v>
      </c>
      <c r="MVZ9" s="7153"/>
      <c r="MWA9" s="7153"/>
      <c r="MWB9" s="7153"/>
      <c r="MWC9" s="7163">
        <v>0.05</v>
      </c>
      <c r="MWD9" s="7164"/>
      <c r="MWE9" s="7157">
        <f>MWC9*MWE7</f>
        <v>0</v>
      </c>
      <c r="MWF9" s="7157"/>
      <c r="MWG9" s="7157"/>
      <c r="MWH9" s="7157"/>
      <c r="MWI9" s="7158"/>
      <c r="MWJ9" s="7158"/>
      <c r="MWK9" s="7158"/>
      <c r="MWL9" s="7158"/>
      <c r="MWM9" s="7158"/>
      <c r="MWN9" s="7159"/>
      <c r="MWO9" s="7152" t="s">
        <v>1012</v>
      </c>
      <c r="MWP9" s="7153"/>
      <c r="MWQ9" s="7153"/>
      <c r="MWR9" s="7153"/>
      <c r="MWS9" s="7163">
        <v>0.05</v>
      </c>
      <c r="MWT9" s="7164"/>
      <c r="MWU9" s="7157">
        <f>MWS9*MWU7</f>
        <v>0</v>
      </c>
      <c r="MWV9" s="7157"/>
      <c r="MWW9" s="7157"/>
      <c r="MWX9" s="7157"/>
      <c r="MWY9" s="7158"/>
      <c r="MWZ9" s="7158"/>
      <c r="MXA9" s="7158"/>
      <c r="MXB9" s="7158"/>
      <c r="MXC9" s="7158"/>
      <c r="MXD9" s="7159"/>
      <c r="MXE9" s="7152" t="s">
        <v>1012</v>
      </c>
      <c r="MXF9" s="7153"/>
      <c r="MXG9" s="7153"/>
      <c r="MXH9" s="7153"/>
      <c r="MXI9" s="7163">
        <v>0.05</v>
      </c>
      <c r="MXJ9" s="7164"/>
      <c r="MXK9" s="7157">
        <f>MXI9*MXK7</f>
        <v>0</v>
      </c>
      <c r="MXL9" s="7157"/>
      <c r="MXM9" s="7157"/>
      <c r="MXN9" s="7157"/>
      <c r="MXO9" s="7158"/>
      <c r="MXP9" s="7158"/>
      <c r="MXQ9" s="7158"/>
      <c r="MXR9" s="7158"/>
      <c r="MXS9" s="7158"/>
      <c r="MXT9" s="7159"/>
      <c r="MXU9" s="7152" t="s">
        <v>1012</v>
      </c>
      <c r="MXV9" s="7153"/>
      <c r="MXW9" s="7153"/>
      <c r="MXX9" s="7153"/>
      <c r="MXY9" s="7163">
        <v>0.05</v>
      </c>
      <c r="MXZ9" s="7164"/>
      <c r="MYA9" s="7157">
        <f>MXY9*MYA7</f>
        <v>0</v>
      </c>
      <c r="MYB9" s="7157"/>
      <c r="MYC9" s="7157"/>
      <c r="MYD9" s="7157"/>
      <c r="MYE9" s="7158"/>
      <c r="MYF9" s="7158"/>
      <c r="MYG9" s="7158"/>
      <c r="MYH9" s="7158"/>
      <c r="MYI9" s="7158"/>
      <c r="MYJ9" s="7159"/>
      <c r="MYK9" s="7152" t="s">
        <v>1012</v>
      </c>
      <c r="MYL9" s="7153"/>
      <c r="MYM9" s="7153"/>
      <c r="MYN9" s="7153"/>
      <c r="MYO9" s="7163">
        <v>0.05</v>
      </c>
      <c r="MYP9" s="7164"/>
      <c r="MYQ9" s="7157">
        <f>MYO9*MYQ7</f>
        <v>0</v>
      </c>
      <c r="MYR9" s="7157"/>
      <c r="MYS9" s="7157"/>
      <c r="MYT9" s="7157"/>
      <c r="MYU9" s="7158"/>
      <c r="MYV9" s="7158"/>
      <c r="MYW9" s="7158"/>
      <c r="MYX9" s="7158"/>
      <c r="MYY9" s="7158"/>
      <c r="MYZ9" s="7159"/>
      <c r="MZA9" s="7152" t="s">
        <v>1012</v>
      </c>
      <c r="MZB9" s="7153"/>
      <c r="MZC9" s="7153"/>
      <c r="MZD9" s="7153"/>
      <c r="MZE9" s="7163">
        <v>0.05</v>
      </c>
      <c r="MZF9" s="7164"/>
      <c r="MZG9" s="7157">
        <f>MZE9*MZG7</f>
        <v>0</v>
      </c>
      <c r="MZH9" s="7157"/>
      <c r="MZI9" s="7157"/>
      <c r="MZJ9" s="7157"/>
      <c r="MZK9" s="7158"/>
      <c r="MZL9" s="7158"/>
      <c r="MZM9" s="7158"/>
      <c r="MZN9" s="7158"/>
      <c r="MZO9" s="7158"/>
      <c r="MZP9" s="7159"/>
      <c r="MZQ9" s="7152" t="s">
        <v>1012</v>
      </c>
      <c r="MZR9" s="7153"/>
      <c r="MZS9" s="7153"/>
      <c r="MZT9" s="7153"/>
      <c r="MZU9" s="7163">
        <v>0.05</v>
      </c>
      <c r="MZV9" s="7164"/>
      <c r="MZW9" s="7157">
        <f>MZU9*MZW7</f>
        <v>0</v>
      </c>
      <c r="MZX9" s="7157"/>
      <c r="MZY9" s="7157"/>
      <c r="MZZ9" s="7157"/>
      <c r="NAA9" s="7158"/>
      <c r="NAB9" s="7158"/>
      <c r="NAC9" s="7158"/>
      <c r="NAD9" s="7158"/>
      <c r="NAE9" s="7158"/>
      <c r="NAF9" s="7159"/>
      <c r="NAG9" s="7152" t="s">
        <v>1012</v>
      </c>
      <c r="NAH9" s="7153"/>
      <c r="NAI9" s="7153"/>
      <c r="NAJ9" s="7153"/>
      <c r="NAK9" s="7163">
        <v>0.05</v>
      </c>
      <c r="NAL9" s="7164"/>
      <c r="NAM9" s="7157">
        <f>NAK9*NAM7</f>
        <v>0</v>
      </c>
      <c r="NAN9" s="7157"/>
      <c r="NAO9" s="7157"/>
      <c r="NAP9" s="7157"/>
      <c r="NAQ9" s="7158"/>
      <c r="NAR9" s="7158"/>
      <c r="NAS9" s="7158"/>
      <c r="NAT9" s="7158"/>
      <c r="NAU9" s="7158"/>
      <c r="NAV9" s="7159"/>
      <c r="NAW9" s="7152" t="s">
        <v>1012</v>
      </c>
      <c r="NAX9" s="7153"/>
      <c r="NAY9" s="7153"/>
      <c r="NAZ9" s="7153"/>
      <c r="NBA9" s="7163">
        <v>0.05</v>
      </c>
      <c r="NBB9" s="7164"/>
      <c r="NBC9" s="7157">
        <f>NBA9*NBC7</f>
        <v>0</v>
      </c>
      <c r="NBD9" s="7157"/>
      <c r="NBE9" s="7157"/>
      <c r="NBF9" s="7157"/>
      <c r="NBG9" s="7158"/>
      <c r="NBH9" s="7158"/>
      <c r="NBI9" s="7158"/>
      <c r="NBJ9" s="7158"/>
      <c r="NBK9" s="7158"/>
      <c r="NBL9" s="7159"/>
      <c r="NBM9" s="7152" t="s">
        <v>1012</v>
      </c>
      <c r="NBN9" s="7153"/>
      <c r="NBO9" s="7153"/>
      <c r="NBP9" s="7153"/>
      <c r="NBQ9" s="7163">
        <v>0.05</v>
      </c>
      <c r="NBR9" s="7164"/>
      <c r="NBS9" s="7157">
        <f>NBQ9*NBS7</f>
        <v>0</v>
      </c>
      <c r="NBT9" s="7157"/>
      <c r="NBU9" s="7157"/>
      <c r="NBV9" s="7157"/>
      <c r="NBW9" s="7158"/>
      <c r="NBX9" s="7158"/>
      <c r="NBY9" s="7158"/>
      <c r="NBZ9" s="7158"/>
      <c r="NCA9" s="7158"/>
      <c r="NCB9" s="7159"/>
      <c r="NCC9" s="7152" t="s">
        <v>1012</v>
      </c>
      <c r="NCD9" s="7153"/>
      <c r="NCE9" s="7153"/>
      <c r="NCF9" s="7153"/>
      <c r="NCG9" s="7163">
        <v>0.05</v>
      </c>
      <c r="NCH9" s="7164"/>
      <c r="NCI9" s="7157">
        <f>NCG9*NCI7</f>
        <v>0</v>
      </c>
      <c r="NCJ9" s="7157"/>
      <c r="NCK9" s="7157"/>
      <c r="NCL9" s="7157"/>
      <c r="NCM9" s="7158"/>
      <c r="NCN9" s="7158"/>
      <c r="NCO9" s="7158"/>
      <c r="NCP9" s="7158"/>
      <c r="NCQ9" s="7158"/>
      <c r="NCR9" s="7159"/>
      <c r="NCS9" s="7152" t="s">
        <v>1012</v>
      </c>
      <c r="NCT9" s="7153"/>
      <c r="NCU9" s="7153"/>
      <c r="NCV9" s="7153"/>
      <c r="NCW9" s="7163">
        <v>0.05</v>
      </c>
      <c r="NCX9" s="7164"/>
      <c r="NCY9" s="7157">
        <f>NCW9*NCY7</f>
        <v>0</v>
      </c>
      <c r="NCZ9" s="7157"/>
      <c r="NDA9" s="7157"/>
      <c r="NDB9" s="7157"/>
      <c r="NDC9" s="7158"/>
      <c r="NDD9" s="7158"/>
      <c r="NDE9" s="7158"/>
      <c r="NDF9" s="7158"/>
      <c r="NDG9" s="7158"/>
      <c r="NDH9" s="7159"/>
      <c r="NDI9" s="7152" t="s">
        <v>1012</v>
      </c>
      <c r="NDJ9" s="7153"/>
      <c r="NDK9" s="7153"/>
      <c r="NDL9" s="7153"/>
      <c r="NDM9" s="7163">
        <v>0.05</v>
      </c>
      <c r="NDN9" s="7164"/>
      <c r="NDO9" s="7157">
        <f>NDM9*NDO7</f>
        <v>0</v>
      </c>
      <c r="NDP9" s="7157"/>
      <c r="NDQ9" s="7157"/>
      <c r="NDR9" s="7157"/>
      <c r="NDS9" s="7158"/>
      <c r="NDT9" s="7158"/>
      <c r="NDU9" s="7158"/>
      <c r="NDV9" s="7158"/>
      <c r="NDW9" s="7158"/>
      <c r="NDX9" s="7159"/>
      <c r="NDY9" s="7152" t="s">
        <v>1012</v>
      </c>
      <c r="NDZ9" s="7153"/>
      <c r="NEA9" s="7153"/>
      <c r="NEB9" s="7153"/>
      <c r="NEC9" s="7163">
        <v>0.05</v>
      </c>
      <c r="NED9" s="7164"/>
      <c r="NEE9" s="7157">
        <f>NEC9*NEE7</f>
        <v>0</v>
      </c>
      <c r="NEF9" s="7157"/>
      <c r="NEG9" s="7157"/>
      <c r="NEH9" s="7157"/>
      <c r="NEI9" s="7158"/>
      <c r="NEJ9" s="7158"/>
      <c r="NEK9" s="7158"/>
      <c r="NEL9" s="7158"/>
      <c r="NEM9" s="7158"/>
      <c r="NEN9" s="7159"/>
      <c r="NEO9" s="7152" t="s">
        <v>1012</v>
      </c>
      <c r="NEP9" s="7153"/>
      <c r="NEQ9" s="7153"/>
      <c r="NER9" s="7153"/>
      <c r="NES9" s="7163">
        <v>0.05</v>
      </c>
      <c r="NET9" s="7164"/>
      <c r="NEU9" s="7157">
        <f>NES9*NEU7</f>
        <v>0</v>
      </c>
      <c r="NEV9" s="7157"/>
      <c r="NEW9" s="7157"/>
      <c r="NEX9" s="7157"/>
      <c r="NEY9" s="7158"/>
      <c r="NEZ9" s="7158"/>
      <c r="NFA9" s="7158"/>
      <c r="NFB9" s="7158"/>
      <c r="NFC9" s="7158"/>
      <c r="NFD9" s="7159"/>
      <c r="NFE9" s="7152" t="s">
        <v>1012</v>
      </c>
      <c r="NFF9" s="7153"/>
      <c r="NFG9" s="7153"/>
      <c r="NFH9" s="7153"/>
      <c r="NFI9" s="7163">
        <v>0.05</v>
      </c>
      <c r="NFJ9" s="7164"/>
      <c r="NFK9" s="7157">
        <f>NFI9*NFK7</f>
        <v>0</v>
      </c>
      <c r="NFL9" s="7157"/>
      <c r="NFM9" s="7157"/>
      <c r="NFN9" s="7157"/>
      <c r="NFO9" s="7158"/>
      <c r="NFP9" s="7158"/>
      <c r="NFQ9" s="7158"/>
      <c r="NFR9" s="7158"/>
      <c r="NFS9" s="7158"/>
      <c r="NFT9" s="7159"/>
      <c r="NFU9" s="7152" t="s">
        <v>1012</v>
      </c>
      <c r="NFV9" s="7153"/>
      <c r="NFW9" s="7153"/>
      <c r="NFX9" s="7153"/>
      <c r="NFY9" s="7163">
        <v>0.05</v>
      </c>
      <c r="NFZ9" s="7164"/>
      <c r="NGA9" s="7157">
        <f>NFY9*NGA7</f>
        <v>0</v>
      </c>
      <c r="NGB9" s="7157"/>
      <c r="NGC9" s="7157"/>
      <c r="NGD9" s="7157"/>
      <c r="NGE9" s="7158"/>
      <c r="NGF9" s="7158"/>
      <c r="NGG9" s="7158"/>
      <c r="NGH9" s="7158"/>
      <c r="NGI9" s="7158"/>
      <c r="NGJ9" s="7159"/>
      <c r="NGK9" s="7152" t="s">
        <v>1012</v>
      </c>
      <c r="NGL9" s="7153"/>
      <c r="NGM9" s="7153"/>
      <c r="NGN9" s="7153"/>
      <c r="NGO9" s="7163">
        <v>0.05</v>
      </c>
      <c r="NGP9" s="7164"/>
      <c r="NGQ9" s="7157">
        <f>NGO9*NGQ7</f>
        <v>0</v>
      </c>
      <c r="NGR9" s="7157"/>
      <c r="NGS9" s="7157"/>
      <c r="NGT9" s="7157"/>
      <c r="NGU9" s="7158"/>
      <c r="NGV9" s="7158"/>
      <c r="NGW9" s="7158"/>
      <c r="NGX9" s="7158"/>
      <c r="NGY9" s="7158"/>
      <c r="NGZ9" s="7159"/>
      <c r="NHA9" s="7152" t="s">
        <v>1012</v>
      </c>
      <c r="NHB9" s="7153"/>
      <c r="NHC9" s="7153"/>
      <c r="NHD9" s="7153"/>
      <c r="NHE9" s="7163">
        <v>0.05</v>
      </c>
      <c r="NHF9" s="7164"/>
      <c r="NHG9" s="7157">
        <f>NHE9*NHG7</f>
        <v>0</v>
      </c>
      <c r="NHH9" s="7157"/>
      <c r="NHI9" s="7157"/>
      <c r="NHJ9" s="7157"/>
      <c r="NHK9" s="7158"/>
      <c r="NHL9" s="7158"/>
      <c r="NHM9" s="7158"/>
      <c r="NHN9" s="7158"/>
      <c r="NHO9" s="7158"/>
      <c r="NHP9" s="7159"/>
      <c r="NHQ9" s="7152" t="s">
        <v>1012</v>
      </c>
      <c r="NHR9" s="7153"/>
      <c r="NHS9" s="7153"/>
      <c r="NHT9" s="7153"/>
      <c r="NHU9" s="7163">
        <v>0.05</v>
      </c>
      <c r="NHV9" s="7164"/>
      <c r="NHW9" s="7157">
        <f>NHU9*NHW7</f>
        <v>0</v>
      </c>
      <c r="NHX9" s="7157"/>
      <c r="NHY9" s="7157"/>
      <c r="NHZ9" s="7157"/>
      <c r="NIA9" s="7158"/>
      <c r="NIB9" s="7158"/>
      <c r="NIC9" s="7158"/>
      <c r="NID9" s="7158"/>
      <c r="NIE9" s="7158"/>
      <c r="NIF9" s="7159"/>
      <c r="NIG9" s="7152" t="s">
        <v>1012</v>
      </c>
      <c r="NIH9" s="7153"/>
      <c r="NII9" s="7153"/>
      <c r="NIJ9" s="7153"/>
      <c r="NIK9" s="7163">
        <v>0.05</v>
      </c>
      <c r="NIL9" s="7164"/>
      <c r="NIM9" s="7157">
        <f>NIK9*NIM7</f>
        <v>0</v>
      </c>
      <c r="NIN9" s="7157"/>
      <c r="NIO9" s="7157"/>
      <c r="NIP9" s="7157"/>
      <c r="NIQ9" s="7158"/>
      <c r="NIR9" s="7158"/>
      <c r="NIS9" s="7158"/>
      <c r="NIT9" s="7158"/>
      <c r="NIU9" s="7158"/>
      <c r="NIV9" s="7159"/>
      <c r="NIW9" s="7152" t="s">
        <v>1012</v>
      </c>
      <c r="NIX9" s="7153"/>
      <c r="NIY9" s="7153"/>
      <c r="NIZ9" s="7153"/>
      <c r="NJA9" s="7163">
        <v>0.05</v>
      </c>
      <c r="NJB9" s="7164"/>
      <c r="NJC9" s="7157">
        <f>NJA9*NJC7</f>
        <v>0</v>
      </c>
      <c r="NJD9" s="7157"/>
      <c r="NJE9" s="7157"/>
      <c r="NJF9" s="7157"/>
      <c r="NJG9" s="7158"/>
      <c r="NJH9" s="7158"/>
      <c r="NJI9" s="7158"/>
      <c r="NJJ9" s="7158"/>
      <c r="NJK9" s="7158"/>
      <c r="NJL9" s="7159"/>
      <c r="NJM9" s="7152" t="s">
        <v>1012</v>
      </c>
      <c r="NJN9" s="7153"/>
      <c r="NJO9" s="7153"/>
      <c r="NJP9" s="7153"/>
      <c r="NJQ9" s="7163">
        <v>0.05</v>
      </c>
      <c r="NJR9" s="7164"/>
      <c r="NJS9" s="7157">
        <f>NJQ9*NJS7</f>
        <v>0</v>
      </c>
      <c r="NJT9" s="7157"/>
      <c r="NJU9" s="7157"/>
      <c r="NJV9" s="7157"/>
      <c r="NJW9" s="7158"/>
      <c r="NJX9" s="7158"/>
      <c r="NJY9" s="7158"/>
      <c r="NJZ9" s="7158"/>
      <c r="NKA9" s="7158"/>
      <c r="NKB9" s="7159"/>
      <c r="NKC9" s="7152" t="s">
        <v>1012</v>
      </c>
      <c r="NKD9" s="7153"/>
      <c r="NKE9" s="7153"/>
      <c r="NKF9" s="7153"/>
      <c r="NKG9" s="7163">
        <v>0.05</v>
      </c>
      <c r="NKH9" s="7164"/>
      <c r="NKI9" s="7157">
        <f>NKG9*NKI7</f>
        <v>0</v>
      </c>
      <c r="NKJ9" s="7157"/>
      <c r="NKK9" s="7157"/>
      <c r="NKL9" s="7157"/>
      <c r="NKM9" s="7158"/>
      <c r="NKN9" s="7158"/>
      <c r="NKO9" s="7158"/>
      <c r="NKP9" s="7158"/>
      <c r="NKQ9" s="7158"/>
      <c r="NKR9" s="7159"/>
      <c r="NKS9" s="7152" t="s">
        <v>1012</v>
      </c>
      <c r="NKT9" s="7153"/>
      <c r="NKU9" s="7153"/>
      <c r="NKV9" s="7153"/>
      <c r="NKW9" s="7163">
        <v>0.05</v>
      </c>
      <c r="NKX9" s="7164"/>
      <c r="NKY9" s="7157">
        <f>NKW9*NKY7</f>
        <v>0</v>
      </c>
      <c r="NKZ9" s="7157"/>
      <c r="NLA9" s="7157"/>
      <c r="NLB9" s="7157"/>
      <c r="NLC9" s="7158"/>
      <c r="NLD9" s="7158"/>
      <c r="NLE9" s="7158"/>
      <c r="NLF9" s="7158"/>
      <c r="NLG9" s="7158"/>
      <c r="NLH9" s="7159"/>
      <c r="NLI9" s="7152" t="s">
        <v>1012</v>
      </c>
      <c r="NLJ9" s="7153"/>
      <c r="NLK9" s="7153"/>
      <c r="NLL9" s="7153"/>
      <c r="NLM9" s="7163">
        <v>0.05</v>
      </c>
      <c r="NLN9" s="7164"/>
      <c r="NLO9" s="7157">
        <f>NLM9*NLO7</f>
        <v>0</v>
      </c>
      <c r="NLP9" s="7157"/>
      <c r="NLQ9" s="7157"/>
      <c r="NLR9" s="7157"/>
      <c r="NLS9" s="7158"/>
      <c r="NLT9" s="7158"/>
      <c r="NLU9" s="7158"/>
      <c r="NLV9" s="7158"/>
      <c r="NLW9" s="7158"/>
      <c r="NLX9" s="7159"/>
      <c r="NLY9" s="7152" t="s">
        <v>1012</v>
      </c>
      <c r="NLZ9" s="7153"/>
      <c r="NMA9" s="7153"/>
      <c r="NMB9" s="7153"/>
      <c r="NMC9" s="7163">
        <v>0.05</v>
      </c>
      <c r="NMD9" s="7164"/>
      <c r="NME9" s="7157">
        <f>NMC9*NME7</f>
        <v>0</v>
      </c>
      <c r="NMF9" s="7157"/>
      <c r="NMG9" s="7157"/>
      <c r="NMH9" s="7157"/>
      <c r="NMI9" s="7158"/>
      <c r="NMJ9" s="7158"/>
      <c r="NMK9" s="7158"/>
      <c r="NML9" s="7158"/>
      <c r="NMM9" s="7158"/>
      <c r="NMN9" s="7159"/>
      <c r="NMO9" s="7152" t="s">
        <v>1012</v>
      </c>
      <c r="NMP9" s="7153"/>
      <c r="NMQ9" s="7153"/>
      <c r="NMR9" s="7153"/>
      <c r="NMS9" s="7163">
        <v>0.05</v>
      </c>
      <c r="NMT9" s="7164"/>
      <c r="NMU9" s="7157">
        <f>NMS9*NMU7</f>
        <v>0</v>
      </c>
      <c r="NMV9" s="7157"/>
      <c r="NMW9" s="7157"/>
      <c r="NMX9" s="7157"/>
      <c r="NMY9" s="7158"/>
      <c r="NMZ9" s="7158"/>
      <c r="NNA9" s="7158"/>
      <c r="NNB9" s="7158"/>
      <c r="NNC9" s="7158"/>
      <c r="NND9" s="7159"/>
      <c r="NNE9" s="7152" t="s">
        <v>1012</v>
      </c>
      <c r="NNF9" s="7153"/>
      <c r="NNG9" s="7153"/>
      <c r="NNH9" s="7153"/>
      <c r="NNI9" s="7163">
        <v>0.05</v>
      </c>
      <c r="NNJ9" s="7164"/>
      <c r="NNK9" s="7157">
        <f>NNI9*NNK7</f>
        <v>0</v>
      </c>
      <c r="NNL9" s="7157"/>
      <c r="NNM9" s="7157"/>
      <c r="NNN9" s="7157"/>
      <c r="NNO9" s="7158"/>
      <c r="NNP9" s="7158"/>
      <c r="NNQ9" s="7158"/>
      <c r="NNR9" s="7158"/>
      <c r="NNS9" s="7158"/>
      <c r="NNT9" s="7159"/>
      <c r="NNU9" s="7152" t="s">
        <v>1012</v>
      </c>
      <c r="NNV9" s="7153"/>
      <c r="NNW9" s="7153"/>
      <c r="NNX9" s="7153"/>
      <c r="NNY9" s="7163">
        <v>0.05</v>
      </c>
      <c r="NNZ9" s="7164"/>
      <c r="NOA9" s="7157">
        <f>NNY9*NOA7</f>
        <v>0</v>
      </c>
      <c r="NOB9" s="7157"/>
      <c r="NOC9" s="7157"/>
      <c r="NOD9" s="7157"/>
      <c r="NOE9" s="7158"/>
      <c r="NOF9" s="7158"/>
      <c r="NOG9" s="7158"/>
      <c r="NOH9" s="7158"/>
      <c r="NOI9" s="7158"/>
      <c r="NOJ9" s="7159"/>
      <c r="NOK9" s="7152" t="s">
        <v>1012</v>
      </c>
      <c r="NOL9" s="7153"/>
      <c r="NOM9" s="7153"/>
      <c r="NON9" s="7153"/>
      <c r="NOO9" s="7163">
        <v>0.05</v>
      </c>
      <c r="NOP9" s="7164"/>
      <c r="NOQ9" s="7157">
        <f>NOO9*NOQ7</f>
        <v>0</v>
      </c>
      <c r="NOR9" s="7157"/>
      <c r="NOS9" s="7157"/>
      <c r="NOT9" s="7157"/>
      <c r="NOU9" s="7158"/>
      <c r="NOV9" s="7158"/>
      <c r="NOW9" s="7158"/>
      <c r="NOX9" s="7158"/>
      <c r="NOY9" s="7158"/>
      <c r="NOZ9" s="7159"/>
      <c r="NPA9" s="7152" t="s">
        <v>1012</v>
      </c>
      <c r="NPB9" s="7153"/>
      <c r="NPC9" s="7153"/>
      <c r="NPD9" s="7153"/>
      <c r="NPE9" s="7163">
        <v>0.05</v>
      </c>
      <c r="NPF9" s="7164"/>
      <c r="NPG9" s="7157">
        <f>NPE9*NPG7</f>
        <v>0</v>
      </c>
      <c r="NPH9" s="7157"/>
      <c r="NPI9" s="7157"/>
      <c r="NPJ9" s="7157"/>
      <c r="NPK9" s="7158"/>
      <c r="NPL9" s="7158"/>
      <c r="NPM9" s="7158"/>
      <c r="NPN9" s="7158"/>
      <c r="NPO9" s="7158"/>
      <c r="NPP9" s="7159"/>
      <c r="NPQ9" s="7152" t="s">
        <v>1012</v>
      </c>
      <c r="NPR9" s="7153"/>
      <c r="NPS9" s="7153"/>
      <c r="NPT9" s="7153"/>
      <c r="NPU9" s="7163">
        <v>0.05</v>
      </c>
      <c r="NPV9" s="7164"/>
      <c r="NPW9" s="7157">
        <f>NPU9*NPW7</f>
        <v>0</v>
      </c>
      <c r="NPX9" s="7157"/>
      <c r="NPY9" s="7157"/>
      <c r="NPZ9" s="7157"/>
      <c r="NQA9" s="7158"/>
      <c r="NQB9" s="7158"/>
      <c r="NQC9" s="7158"/>
      <c r="NQD9" s="7158"/>
      <c r="NQE9" s="7158"/>
      <c r="NQF9" s="7159"/>
      <c r="NQG9" s="7152" t="s">
        <v>1012</v>
      </c>
      <c r="NQH9" s="7153"/>
      <c r="NQI9" s="7153"/>
      <c r="NQJ9" s="7153"/>
      <c r="NQK9" s="7163">
        <v>0.05</v>
      </c>
      <c r="NQL9" s="7164"/>
      <c r="NQM9" s="7157">
        <f>NQK9*NQM7</f>
        <v>0</v>
      </c>
      <c r="NQN9" s="7157"/>
      <c r="NQO9" s="7157"/>
      <c r="NQP9" s="7157"/>
      <c r="NQQ9" s="7158"/>
      <c r="NQR9" s="7158"/>
      <c r="NQS9" s="7158"/>
      <c r="NQT9" s="7158"/>
      <c r="NQU9" s="7158"/>
      <c r="NQV9" s="7159"/>
      <c r="NQW9" s="7152" t="s">
        <v>1012</v>
      </c>
      <c r="NQX9" s="7153"/>
      <c r="NQY9" s="7153"/>
      <c r="NQZ9" s="7153"/>
      <c r="NRA9" s="7163">
        <v>0.05</v>
      </c>
      <c r="NRB9" s="7164"/>
      <c r="NRC9" s="7157">
        <f>NRA9*NRC7</f>
        <v>0</v>
      </c>
      <c r="NRD9" s="7157"/>
      <c r="NRE9" s="7157"/>
      <c r="NRF9" s="7157"/>
      <c r="NRG9" s="7158"/>
      <c r="NRH9" s="7158"/>
      <c r="NRI9" s="7158"/>
      <c r="NRJ9" s="7158"/>
      <c r="NRK9" s="7158"/>
      <c r="NRL9" s="7159"/>
      <c r="NRM9" s="7152" t="s">
        <v>1012</v>
      </c>
      <c r="NRN9" s="7153"/>
      <c r="NRO9" s="7153"/>
      <c r="NRP9" s="7153"/>
      <c r="NRQ9" s="7163">
        <v>0.05</v>
      </c>
      <c r="NRR9" s="7164"/>
      <c r="NRS9" s="7157">
        <f>NRQ9*NRS7</f>
        <v>0</v>
      </c>
      <c r="NRT9" s="7157"/>
      <c r="NRU9" s="7157"/>
      <c r="NRV9" s="7157"/>
      <c r="NRW9" s="7158"/>
      <c r="NRX9" s="7158"/>
      <c r="NRY9" s="7158"/>
      <c r="NRZ9" s="7158"/>
      <c r="NSA9" s="7158"/>
      <c r="NSB9" s="7159"/>
      <c r="NSC9" s="7152" t="s">
        <v>1012</v>
      </c>
      <c r="NSD9" s="7153"/>
      <c r="NSE9" s="7153"/>
      <c r="NSF9" s="7153"/>
      <c r="NSG9" s="7163">
        <v>0.05</v>
      </c>
      <c r="NSH9" s="7164"/>
      <c r="NSI9" s="7157">
        <f>NSG9*NSI7</f>
        <v>0</v>
      </c>
      <c r="NSJ9" s="7157"/>
      <c r="NSK9" s="7157"/>
      <c r="NSL9" s="7157"/>
      <c r="NSM9" s="7158"/>
      <c r="NSN9" s="7158"/>
      <c r="NSO9" s="7158"/>
      <c r="NSP9" s="7158"/>
      <c r="NSQ9" s="7158"/>
      <c r="NSR9" s="7159"/>
      <c r="NSS9" s="7152" t="s">
        <v>1012</v>
      </c>
      <c r="NST9" s="7153"/>
      <c r="NSU9" s="7153"/>
      <c r="NSV9" s="7153"/>
      <c r="NSW9" s="7163">
        <v>0.05</v>
      </c>
      <c r="NSX9" s="7164"/>
      <c r="NSY9" s="7157">
        <f>NSW9*NSY7</f>
        <v>0</v>
      </c>
      <c r="NSZ9" s="7157"/>
      <c r="NTA9" s="7157"/>
      <c r="NTB9" s="7157"/>
      <c r="NTC9" s="7158"/>
      <c r="NTD9" s="7158"/>
      <c r="NTE9" s="7158"/>
      <c r="NTF9" s="7158"/>
      <c r="NTG9" s="7158"/>
      <c r="NTH9" s="7159"/>
      <c r="NTI9" s="7152" t="s">
        <v>1012</v>
      </c>
      <c r="NTJ9" s="7153"/>
      <c r="NTK9" s="7153"/>
      <c r="NTL9" s="7153"/>
      <c r="NTM9" s="7163">
        <v>0.05</v>
      </c>
      <c r="NTN9" s="7164"/>
      <c r="NTO9" s="7157">
        <f>NTM9*NTO7</f>
        <v>0</v>
      </c>
      <c r="NTP9" s="7157"/>
      <c r="NTQ9" s="7157"/>
      <c r="NTR9" s="7157"/>
      <c r="NTS9" s="7158"/>
      <c r="NTT9" s="7158"/>
      <c r="NTU9" s="7158"/>
      <c r="NTV9" s="7158"/>
      <c r="NTW9" s="7158"/>
      <c r="NTX9" s="7159"/>
      <c r="NTY9" s="7152" t="s">
        <v>1012</v>
      </c>
      <c r="NTZ9" s="7153"/>
      <c r="NUA9" s="7153"/>
      <c r="NUB9" s="7153"/>
      <c r="NUC9" s="7163">
        <v>0.05</v>
      </c>
      <c r="NUD9" s="7164"/>
      <c r="NUE9" s="7157">
        <f>NUC9*NUE7</f>
        <v>0</v>
      </c>
      <c r="NUF9" s="7157"/>
      <c r="NUG9" s="7157"/>
      <c r="NUH9" s="7157"/>
      <c r="NUI9" s="7158"/>
      <c r="NUJ9" s="7158"/>
      <c r="NUK9" s="7158"/>
      <c r="NUL9" s="7158"/>
      <c r="NUM9" s="7158"/>
      <c r="NUN9" s="7159"/>
      <c r="NUO9" s="7152" t="s">
        <v>1012</v>
      </c>
      <c r="NUP9" s="7153"/>
      <c r="NUQ9" s="7153"/>
      <c r="NUR9" s="7153"/>
      <c r="NUS9" s="7163">
        <v>0.05</v>
      </c>
      <c r="NUT9" s="7164"/>
      <c r="NUU9" s="7157">
        <f>NUS9*NUU7</f>
        <v>0</v>
      </c>
      <c r="NUV9" s="7157"/>
      <c r="NUW9" s="7157"/>
      <c r="NUX9" s="7157"/>
      <c r="NUY9" s="7158"/>
      <c r="NUZ9" s="7158"/>
      <c r="NVA9" s="7158"/>
      <c r="NVB9" s="7158"/>
      <c r="NVC9" s="7158"/>
      <c r="NVD9" s="7159"/>
      <c r="NVE9" s="7152" t="s">
        <v>1012</v>
      </c>
      <c r="NVF9" s="7153"/>
      <c r="NVG9" s="7153"/>
      <c r="NVH9" s="7153"/>
      <c r="NVI9" s="7163">
        <v>0.05</v>
      </c>
      <c r="NVJ9" s="7164"/>
      <c r="NVK9" s="7157">
        <f>NVI9*NVK7</f>
        <v>0</v>
      </c>
      <c r="NVL9" s="7157"/>
      <c r="NVM9" s="7157"/>
      <c r="NVN9" s="7157"/>
      <c r="NVO9" s="7158"/>
      <c r="NVP9" s="7158"/>
      <c r="NVQ9" s="7158"/>
      <c r="NVR9" s="7158"/>
      <c r="NVS9" s="7158"/>
      <c r="NVT9" s="7159"/>
      <c r="NVU9" s="7152" t="s">
        <v>1012</v>
      </c>
      <c r="NVV9" s="7153"/>
      <c r="NVW9" s="7153"/>
      <c r="NVX9" s="7153"/>
      <c r="NVY9" s="7163">
        <v>0.05</v>
      </c>
      <c r="NVZ9" s="7164"/>
      <c r="NWA9" s="7157">
        <f>NVY9*NWA7</f>
        <v>0</v>
      </c>
      <c r="NWB9" s="7157"/>
      <c r="NWC9" s="7157"/>
      <c r="NWD9" s="7157"/>
      <c r="NWE9" s="7158"/>
      <c r="NWF9" s="7158"/>
      <c r="NWG9" s="7158"/>
      <c r="NWH9" s="7158"/>
      <c r="NWI9" s="7158"/>
      <c r="NWJ9" s="7159"/>
      <c r="NWK9" s="7152" t="s">
        <v>1012</v>
      </c>
      <c r="NWL9" s="7153"/>
      <c r="NWM9" s="7153"/>
      <c r="NWN9" s="7153"/>
      <c r="NWO9" s="7163">
        <v>0.05</v>
      </c>
      <c r="NWP9" s="7164"/>
      <c r="NWQ9" s="7157">
        <f>NWO9*NWQ7</f>
        <v>0</v>
      </c>
      <c r="NWR9" s="7157"/>
      <c r="NWS9" s="7157"/>
      <c r="NWT9" s="7157"/>
      <c r="NWU9" s="7158"/>
      <c r="NWV9" s="7158"/>
      <c r="NWW9" s="7158"/>
      <c r="NWX9" s="7158"/>
      <c r="NWY9" s="7158"/>
      <c r="NWZ9" s="7159"/>
      <c r="NXA9" s="7152" t="s">
        <v>1012</v>
      </c>
      <c r="NXB9" s="7153"/>
      <c r="NXC9" s="7153"/>
      <c r="NXD9" s="7153"/>
      <c r="NXE9" s="7163">
        <v>0.05</v>
      </c>
      <c r="NXF9" s="7164"/>
      <c r="NXG9" s="7157">
        <f>NXE9*NXG7</f>
        <v>0</v>
      </c>
      <c r="NXH9" s="7157"/>
      <c r="NXI9" s="7157"/>
      <c r="NXJ9" s="7157"/>
      <c r="NXK9" s="7158"/>
      <c r="NXL9" s="7158"/>
      <c r="NXM9" s="7158"/>
      <c r="NXN9" s="7158"/>
      <c r="NXO9" s="7158"/>
      <c r="NXP9" s="7159"/>
      <c r="NXQ9" s="7152" t="s">
        <v>1012</v>
      </c>
      <c r="NXR9" s="7153"/>
      <c r="NXS9" s="7153"/>
      <c r="NXT9" s="7153"/>
      <c r="NXU9" s="7163">
        <v>0.05</v>
      </c>
      <c r="NXV9" s="7164"/>
      <c r="NXW9" s="7157">
        <f>NXU9*NXW7</f>
        <v>0</v>
      </c>
      <c r="NXX9" s="7157"/>
      <c r="NXY9" s="7157"/>
      <c r="NXZ9" s="7157"/>
      <c r="NYA9" s="7158"/>
      <c r="NYB9" s="7158"/>
      <c r="NYC9" s="7158"/>
      <c r="NYD9" s="7158"/>
      <c r="NYE9" s="7158"/>
      <c r="NYF9" s="7159"/>
      <c r="NYG9" s="7152" t="s">
        <v>1012</v>
      </c>
      <c r="NYH9" s="7153"/>
      <c r="NYI9" s="7153"/>
      <c r="NYJ9" s="7153"/>
      <c r="NYK9" s="7163">
        <v>0.05</v>
      </c>
      <c r="NYL9" s="7164"/>
      <c r="NYM9" s="7157">
        <f>NYK9*NYM7</f>
        <v>0</v>
      </c>
      <c r="NYN9" s="7157"/>
      <c r="NYO9" s="7157"/>
      <c r="NYP9" s="7157"/>
      <c r="NYQ9" s="7158"/>
      <c r="NYR9" s="7158"/>
      <c r="NYS9" s="7158"/>
      <c r="NYT9" s="7158"/>
      <c r="NYU9" s="7158"/>
      <c r="NYV9" s="7159"/>
      <c r="NYW9" s="7152" t="s">
        <v>1012</v>
      </c>
      <c r="NYX9" s="7153"/>
      <c r="NYY9" s="7153"/>
      <c r="NYZ9" s="7153"/>
      <c r="NZA9" s="7163">
        <v>0.05</v>
      </c>
      <c r="NZB9" s="7164"/>
      <c r="NZC9" s="7157">
        <f>NZA9*NZC7</f>
        <v>0</v>
      </c>
      <c r="NZD9" s="7157"/>
      <c r="NZE9" s="7157"/>
      <c r="NZF9" s="7157"/>
      <c r="NZG9" s="7158"/>
      <c r="NZH9" s="7158"/>
      <c r="NZI9" s="7158"/>
      <c r="NZJ9" s="7158"/>
      <c r="NZK9" s="7158"/>
      <c r="NZL9" s="7159"/>
      <c r="NZM9" s="7152" t="s">
        <v>1012</v>
      </c>
      <c r="NZN9" s="7153"/>
      <c r="NZO9" s="7153"/>
      <c r="NZP9" s="7153"/>
      <c r="NZQ9" s="7163">
        <v>0.05</v>
      </c>
      <c r="NZR9" s="7164"/>
      <c r="NZS9" s="7157">
        <f>NZQ9*NZS7</f>
        <v>0</v>
      </c>
      <c r="NZT9" s="7157"/>
      <c r="NZU9" s="7157"/>
      <c r="NZV9" s="7157"/>
      <c r="NZW9" s="7158"/>
      <c r="NZX9" s="7158"/>
      <c r="NZY9" s="7158"/>
      <c r="NZZ9" s="7158"/>
      <c r="OAA9" s="7158"/>
      <c r="OAB9" s="7159"/>
      <c r="OAC9" s="7152" t="s">
        <v>1012</v>
      </c>
      <c r="OAD9" s="7153"/>
      <c r="OAE9" s="7153"/>
      <c r="OAF9" s="7153"/>
      <c r="OAG9" s="7163">
        <v>0.05</v>
      </c>
      <c r="OAH9" s="7164"/>
      <c r="OAI9" s="7157">
        <f>OAG9*OAI7</f>
        <v>0</v>
      </c>
      <c r="OAJ9" s="7157"/>
      <c r="OAK9" s="7157"/>
      <c r="OAL9" s="7157"/>
      <c r="OAM9" s="7158"/>
      <c r="OAN9" s="7158"/>
      <c r="OAO9" s="7158"/>
      <c r="OAP9" s="7158"/>
      <c r="OAQ9" s="7158"/>
      <c r="OAR9" s="7159"/>
      <c r="OAS9" s="7152" t="s">
        <v>1012</v>
      </c>
      <c r="OAT9" s="7153"/>
      <c r="OAU9" s="7153"/>
      <c r="OAV9" s="7153"/>
      <c r="OAW9" s="7163">
        <v>0.05</v>
      </c>
      <c r="OAX9" s="7164"/>
      <c r="OAY9" s="7157">
        <f>OAW9*OAY7</f>
        <v>0</v>
      </c>
      <c r="OAZ9" s="7157"/>
      <c r="OBA9" s="7157"/>
      <c r="OBB9" s="7157"/>
      <c r="OBC9" s="7158"/>
      <c r="OBD9" s="7158"/>
      <c r="OBE9" s="7158"/>
      <c r="OBF9" s="7158"/>
      <c r="OBG9" s="7158"/>
      <c r="OBH9" s="7159"/>
      <c r="OBI9" s="7152" t="s">
        <v>1012</v>
      </c>
      <c r="OBJ9" s="7153"/>
      <c r="OBK9" s="7153"/>
      <c r="OBL9" s="7153"/>
      <c r="OBM9" s="7163">
        <v>0.05</v>
      </c>
      <c r="OBN9" s="7164"/>
      <c r="OBO9" s="7157">
        <f>OBM9*OBO7</f>
        <v>0</v>
      </c>
      <c r="OBP9" s="7157"/>
      <c r="OBQ9" s="7157"/>
      <c r="OBR9" s="7157"/>
      <c r="OBS9" s="7158"/>
      <c r="OBT9" s="7158"/>
      <c r="OBU9" s="7158"/>
      <c r="OBV9" s="7158"/>
      <c r="OBW9" s="7158"/>
      <c r="OBX9" s="7159"/>
      <c r="OBY9" s="7152" t="s">
        <v>1012</v>
      </c>
      <c r="OBZ9" s="7153"/>
      <c r="OCA9" s="7153"/>
      <c r="OCB9" s="7153"/>
      <c r="OCC9" s="7163">
        <v>0.05</v>
      </c>
      <c r="OCD9" s="7164"/>
      <c r="OCE9" s="7157">
        <f>OCC9*OCE7</f>
        <v>0</v>
      </c>
      <c r="OCF9" s="7157"/>
      <c r="OCG9" s="7157"/>
      <c r="OCH9" s="7157"/>
      <c r="OCI9" s="7158"/>
      <c r="OCJ9" s="7158"/>
      <c r="OCK9" s="7158"/>
      <c r="OCL9" s="7158"/>
      <c r="OCM9" s="7158"/>
      <c r="OCN9" s="7159"/>
      <c r="OCO9" s="7152" t="s">
        <v>1012</v>
      </c>
      <c r="OCP9" s="7153"/>
      <c r="OCQ9" s="7153"/>
      <c r="OCR9" s="7153"/>
      <c r="OCS9" s="7163">
        <v>0.05</v>
      </c>
      <c r="OCT9" s="7164"/>
      <c r="OCU9" s="7157">
        <f>OCS9*OCU7</f>
        <v>0</v>
      </c>
      <c r="OCV9" s="7157"/>
      <c r="OCW9" s="7157"/>
      <c r="OCX9" s="7157"/>
      <c r="OCY9" s="7158"/>
      <c r="OCZ9" s="7158"/>
      <c r="ODA9" s="7158"/>
      <c r="ODB9" s="7158"/>
      <c r="ODC9" s="7158"/>
      <c r="ODD9" s="7159"/>
      <c r="ODE9" s="7152" t="s">
        <v>1012</v>
      </c>
      <c r="ODF9" s="7153"/>
      <c r="ODG9" s="7153"/>
      <c r="ODH9" s="7153"/>
      <c r="ODI9" s="7163">
        <v>0.05</v>
      </c>
      <c r="ODJ9" s="7164"/>
      <c r="ODK9" s="7157">
        <f>ODI9*ODK7</f>
        <v>0</v>
      </c>
      <c r="ODL9" s="7157"/>
      <c r="ODM9" s="7157"/>
      <c r="ODN9" s="7157"/>
      <c r="ODO9" s="7158"/>
      <c r="ODP9" s="7158"/>
      <c r="ODQ9" s="7158"/>
      <c r="ODR9" s="7158"/>
      <c r="ODS9" s="7158"/>
      <c r="ODT9" s="7159"/>
      <c r="ODU9" s="7152" t="s">
        <v>1012</v>
      </c>
      <c r="ODV9" s="7153"/>
      <c r="ODW9" s="7153"/>
      <c r="ODX9" s="7153"/>
      <c r="ODY9" s="7163">
        <v>0.05</v>
      </c>
      <c r="ODZ9" s="7164"/>
      <c r="OEA9" s="7157">
        <f>ODY9*OEA7</f>
        <v>0</v>
      </c>
      <c r="OEB9" s="7157"/>
      <c r="OEC9" s="7157"/>
      <c r="OED9" s="7157"/>
      <c r="OEE9" s="7158"/>
      <c r="OEF9" s="7158"/>
      <c r="OEG9" s="7158"/>
      <c r="OEH9" s="7158"/>
      <c r="OEI9" s="7158"/>
      <c r="OEJ9" s="7159"/>
      <c r="OEK9" s="7152" t="s">
        <v>1012</v>
      </c>
      <c r="OEL9" s="7153"/>
      <c r="OEM9" s="7153"/>
      <c r="OEN9" s="7153"/>
      <c r="OEO9" s="7163">
        <v>0.05</v>
      </c>
      <c r="OEP9" s="7164"/>
      <c r="OEQ9" s="7157">
        <f>OEO9*OEQ7</f>
        <v>0</v>
      </c>
      <c r="OER9" s="7157"/>
      <c r="OES9" s="7157"/>
      <c r="OET9" s="7157"/>
      <c r="OEU9" s="7158"/>
      <c r="OEV9" s="7158"/>
      <c r="OEW9" s="7158"/>
      <c r="OEX9" s="7158"/>
      <c r="OEY9" s="7158"/>
      <c r="OEZ9" s="7159"/>
      <c r="OFA9" s="7152" t="s">
        <v>1012</v>
      </c>
      <c r="OFB9" s="7153"/>
      <c r="OFC9" s="7153"/>
      <c r="OFD9" s="7153"/>
      <c r="OFE9" s="7163">
        <v>0.05</v>
      </c>
      <c r="OFF9" s="7164"/>
      <c r="OFG9" s="7157">
        <f>OFE9*OFG7</f>
        <v>0</v>
      </c>
      <c r="OFH9" s="7157"/>
      <c r="OFI9" s="7157"/>
      <c r="OFJ9" s="7157"/>
      <c r="OFK9" s="7158"/>
      <c r="OFL9" s="7158"/>
      <c r="OFM9" s="7158"/>
      <c r="OFN9" s="7158"/>
      <c r="OFO9" s="7158"/>
      <c r="OFP9" s="7159"/>
      <c r="OFQ9" s="7152" t="s">
        <v>1012</v>
      </c>
      <c r="OFR9" s="7153"/>
      <c r="OFS9" s="7153"/>
      <c r="OFT9" s="7153"/>
      <c r="OFU9" s="7163">
        <v>0.05</v>
      </c>
      <c r="OFV9" s="7164"/>
      <c r="OFW9" s="7157">
        <f>OFU9*OFW7</f>
        <v>0</v>
      </c>
      <c r="OFX9" s="7157"/>
      <c r="OFY9" s="7157"/>
      <c r="OFZ9" s="7157"/>
      <c r="OGA9" s="7158"/>
      <c r="OGB9" s="7158"/>
      <c r="OGC9" s="7158"/>
      <c r="OGD9" s="7158"/>
      <c r="OGE9" s="7158"/>
      <c r="OGF9" s="7159"/>
      <c r="OGG9" s="7152" t="s">
        <v>1012</v>
      </c>
      <c r="OGH9" s="7153"/>
      <c r="OGI9" s="7153"/>
      <c r="OGJ9" s="7153"/>
      <c r="OGK9" s="7163">
        <v>0.05</v>
      </c>
      <c r="OGL9" s="7164"/>
      <c r="OGM9" s="7157">
        <f>OGK9*OGM7</f>
        <v>0</v>
      </c>
      <c r="OGN9" s="7157"/>
      <c r="OGO9" s="7157"/>
      <c r="OGP9" s="7157"/>
      <c r="OGQ9" s="7158"/>
      <c r="OGR9" s="7158"/>
      <c r="OGS9" s="7158"/>
      <c r="OGT9" s="7158"/>
      <c r="OGU9" s="7158"/>
      <c r="OGV9" s="7159"/>
      <c r="OGW9" s="7152" t="s">
        <v>1012</v>
      </c>
      <c r="OGX9" s="7153"/>
      <c r="OGY9" s="7153"/>
      <c r="OGZ9" s="7153"/>
      <c r="OHA9" s="7163">
        <v>0.05</v>
      </c>
      <c r="OHB9" s="7164"/>
      <c r="OHC9" s="7157">
        <f>OHA9*OHC7</f>
        <v>0</v>
      </c>
      <c r="OHD9" s="7157"/>
      <c r="OHE9" s="7157"/>
      <c r="OHF9" s="7157"/>
      <c r="OHG9" s="7158"/>
      <c r="OHH9" s="7158"/>
      <c r="OHI9" s="7158"/>
      <c r="OHJ9" s="7158"/>
      <c r="OHK9" s="7158"/>
      <c r="OHL9" s="7159"/>
      <c r="OHM9" s="7152" t="s">
        <v>1012</v>
      </c>
      <c r="OHN9" s="7153"/>
      <c r="OHO9" s="7153"/>
      <c r="OHP9" s="7153"/>
      <c r="OHQ9" s="7163">
        <v>0.05</v>
      </c>
      <c r="OHR9" s="7164"/>
      <c r="OHS9" s="7157">
        <f>OHQ9*OHS7</f>
        <v>0</v>
      </c>
      <c r="OHT9" s="7157"/>
      <c r="OHU9" s="7157"/>
      <c r="OHV9" s="7157"/>
      <c r="OHW9" s="7158"/>
      <c r="OHX9" s="7158"/>
      <c r="OHY9" s="7158"/>
      <c r="OHZ9" s="7158"/>
      <c r="OIA9" s="7158"/>
      <c r="OIB9" s="7159"/>
      <c r="OIC9" s="7152" t="s">
        <v>1012</v>
      </c>
      <c r="OID9" s="7153"/>
      <c r="OIE9" s="7153"/>
      <c r="OIF9" s="7153"/>
      <c r="OIG9" s="7163">
        <v>0.05</v>
      </c>
      <c r="OIH9" s="7164"/>
      <c r="OII9" s="7157">
        <f>OIG9*OII7</f>
        <v>0</v>
      </c>
      <c r="OIJ9" s="7157"/>
      <c r="OIK9" s="7157"/>
      <c r="OIL9" s="7157"/>
      <c r="OIM9" s="7158"/>
      <c r="OIN9" s="7158"/>
      <c r="OIO9" s="7158"/>
      <c r="OIP9" s="7158"/>
      <c r="OIQ9" s="7158"/>
      <c r="OIR9" s="7159"/>
      <c r="OIS9" s="7152" t="s">
        <v>1012</v>
      </c>
      <c r="OIT9" s="7153"/>
      <c r="OIU9" s="7153"/>
      <c r="OIV9" s="7153"/>
      <c r="OIW9" s="7163">
        <v>0.05</v>
      </c>
      <c r="OIX9" s="7164"/>
      <c r="OIY9" s="7157">
        <f>OIW9*OIY7</f>
        <v>0</v>
      </c>
      <c r="OIZ9" s="7157"/>
      <c r="OJA9" s="7157"/>
      <c r="OJB9" s="7157"/>
      <c r="OJC9" s="7158"/>
      <c r="OJD9" s="7158"/>
      <c r="OJE9" s="7158"/>
      <c r="OJF9" s="7158"/>
      <c r="OJG9" s="7158"/>
      <c r="OJH9" s="7159"/>
      <c r="OJI9" s="7152" t="s">
        <v>1012</v>
      </c>
      <c r="OJJ9" s="7153"/>
      <c r="OJK9" s="7153"/>
      <c r="OJL9" s="7153"/>
      <c r="OJM9" s="7163">
        <v>0.05</v>
      </c>
      <c r="OJN9" s="7164"/>
      <c r="OJO9" s="7157">
        <f>OJM9*OJO7</f>
        <v>0</v>
      </c>
      <c r="OJP9" s="7157"/>
      <c r="OJQ9" s="7157"/>
      <c r="OJR9" s="7157"/>
      <c r="OJS9" s="7158"/>
      <c r="OJT9" s="7158"/>
      <c r="OJU9" s="7158"/>
      <c r="OJV9" s="7158"/>
      <c r="OJW9" s="7158"/>
      <c r="OJX9" s="7159"/>
      <c r="OJY9" s="7152" t="s">
        <v>1012</v>
      </c>
      <c r="OJZ9" s="7153"/>
      <c r="OKA9" s="7153"/>
      <c r="OKB9" s="7153"/>
      <c r="OKC9" s="7163">
        <v>0.05</v>
      </c>
      <c r="OKD9" s="7164"/>
      <c r="OKE9" s="7157">
        <f>OKC9*OKE7</f>
        <v>0</v>
      </c>
      <c r="OKF9" s="7157"/>
      <c r="OKG9" s="7157"/>
      <c r="OKH9" s="7157"/>
      <c r="OKI9" s="7158"/>
      <c r="OKJ9" s="7158"/>
      <c r="OKK9" s="7158"/>
      <c r="OKL9" s="7158"/>
      <c r="OKM9" s="7158"/>
      <c r="OKN9" s="7159"/>
      <c r="OKO9" s="7152" t="s">
        <v>1012</v>
      </c>
      <c r="OKP9" s="7153"/>
      <c r="OKQ9" s="7153"/>
      <c r="OKR9" s="7153"/>
      <c r="OKS9" s="7163">
        <v>0.05</v>
      </c>
      <c r="OKT9" s="7164"/>
      <c r="OKU9" s="7157">
        <f>OKS9*OKU7</f>
        <v>0</v>
      </c>
      <c r="OKV9" s="7157"/>
      <c r="OKW9" s="7157"/>
      <c r="OKX9" s="7157"/>
      <c r="OKY9" s="7158"/>
      <c r="OKZ9" s="7158"/>
      <c r="OLA9" s="7158"/>
      <c r="OLB9" s="7158"/>
      <c r="OLC9" s="7158"/>
      <c r="OLD9" s="7159"/>
      <c r="OLE9" s="7152" t="s">
        <v>1012</v>
      </c>
      <c r="OLF9" s="7153"/>
      <c r="OLG9" s="7153"/>
      <c r="OLH9" s="7153"/>
      <c r="OLI9" s="7163">
        <v>0.05</v>
      </c>
      <c r="OLJ9" s="7164"/>
      <c r="OLK9" s="7157">
        <f>OLI9*OLK7</f>
        <v>0</v>
      </c>
      <c r="OLL9" s="7157"/>
      <c r="OLM9" s="7157"/>
      <c r="OLN9" s="7157"/>
      <c r="OLO9" s="7158"/>
      <c r="OLP9" s="7158"/>
      <c r="OLQ9" s="7158"/>
      <c r="OLR9" s="7158"/>
      <c r="OLS9" s="7158"/>
      <c r="OLT9" s="7159"/>
      <c r="OLU9" s="7152" t="s">
        <v>1012</v>
      </c>
      <c r="OLV9" s="7153"/>
      <c r="OLW9" s="7153"/>
      <c r="OLX9" s="7153"/>
      <c r="OLY9" s="7163">
        <v>0.05</v>
      </c>
      <c r="OLZ9" s="7164"/>
      <c r="OMA9" s="7157">
        <f>OLY9*OMA7</f>
        <v>0</v>
      </c>
      <c r="OMB9" s="7157"/>
      <c r="OMC9" s="7157"/>
      <c r="OMD9" s="7157"/>
      <c r="OME9" s="7158"/>
      <c r="OMF9" s="7158"/>
      <c r="OMG9" s="7158"/>
      <c r="OMH9" s="7158"/>
      <c r="OMI9" s="7158"/>
      <c r="OMJ9" s="7159"/>
      <c r="OMK9" s="7152" t="s">
        <v>1012</v>
      </c>
      <c r="OML9" s="7153"/>
      <c r="OMM9" s="7153"/>
      <c r="OMN9" s="7153"/>
      <c r="OMO9" s="7163">
        <v>0.05</v>
      </c>
      <c r="OMP9" s="7164"/>
      <c r="OMQ9" s="7157">
        <f>OMO9*OMQ7</f>
        <v>0</v>
      </c>
      <c r="OMR9" s="7157"/>
      <c r="OMS9" s="7157"/>
      <c r="OMT9" s="7157"/>
      <c r="OMU9" s="7158"/>
      <c r="OMV9" s="7158"/>
      <c r="OMW9" s="7158"/>
      <c r="OMX9" s="7158"/>
      <c r="OMY9" s="7158"/>
      <c r="OMZ9" s="7159"/>
      <c r="ONA9" s="7152" t="s">
        <v>1012</v>
      </c>
      <c r="ONB9" s="7153"/>
      <c r="ONC9" s="7153"/>
      <c r="OND9" s="7153"/>
      <c r="ONE9" s="7163">
        <v>0.05</v>
      </c>
      <c r="ONF9" s="7164"/>
      <c r="ONG9" s="7157">
        <f>ONE9*ONG7</f>
        <v>0</v>
      </c>
      <c r="ONH9" s="7157"/>
      <c r="ONI9" s="7157"/>
      <c r="ONJ9" s="7157"/>
      <c r="ONK9" s="7158"/>
      <c r="ONL9" s="7158"/>
      <c r="ONM9" s="7158"/>
      <c r="ONN9" s="7158"/>
      <c r="ONO9" s="7158"/>
      <c r="ONP9" s="7159"/>
      <c r="ONQ9" s="7152" t="s">
        <v>1012</v>
      </c>
      <c r="ONR9" s="7153"/>
      <c r="ONS9" s="7153"/>
      <c r="ONT9" s="7153"/>
      <c r="ONU9" s="7163">
        <v>0.05</v>
      </c>
      <c r="ONV9" s="7164"/>
      <c r="ONW9" s="7157">
        <f>ONU9*ONW7</f>
        <v>0</v>
      </c>
      <c r="ONX9" s="7157"/>
      <c r="ONY9" s="7157"/>
      <c r="ONZ9" s="7157"/>
      <c r="OOA9" s="7158"/>
      <c r="OOB9" s="7158"/>
      <c r="OOC9" s="7158"/>
      <c r="OOD9" s="7158"/>
      <c r="OOE9" s="7158"/>
      <c r="OOF9" s="7159"/>
      <c r="OOG9" s="7152" t="s">
        <v>1012</v>
      </c>
      <c r="OOH9" s="7153"/>
      <c r="OOI9" s="7153"/>
      <c r="OOJ9" s="7153"/>
      <c r="OOK9" s="7163">
        <v>0.05</v>
      </c>
      <c r="OOL9" s="7164"/>
      <c r="OOM9" s="7157">
        <f>OOK9*OOM7</f>
        <v>0</v>
      </c>
      <c r="OON9" s="7157"/>
      <c r="OOO9" s="7157"/>
      <c r="OOP9" s="7157"/>
      <c r="OOQ9" s="7158"/>
      <c r="OOR9" s="7158"/>
      <c r="OOS9" s="7158"/>
      <c r="OOT9" s="7158"/>
      <c r="OOU9" s="7158"/>
      <c r="OOV9" s="7159"/>
      <c r="OOW9" s="7152" t="s">
        <v>1012</v>
      </c>
      <c r="OOX9" s="7153"/>
      <c r="OOY9" s="7153"/>
      <c r="OOZ9" s="7153"/>
      <c r="OPA9" s="7163">
        <v>0.05</v>
      </c>
      <c r="OPB9" s="7164"/>
      <c r="OPC9" s="7157">
        <f>OPA9*OPC7</f>
        <v>0</v>
      </c>
      <c r="OPD9" s="7157"/>
      <c r="OPE9" s="7157"/>
      <c r="OPF9" s="7157"/>
      <c r="OPG9" s="7158"/>
      <c r="OPH9" s="7158"/>
      <c r="OPI9" s="7158"/>
      <c r="OPJ9" s="7158"/>
      <c r="OPK9" s="7158"/>
      <c r="OPL9" s="7159"/>
      <c r="OPM9" s="7152" t="s">
        <v>1012</v>
      </c>
      <c r="OPN9" s="7153"/>
      <c r="OPO9" s="7153"/>
      <c r="OPP9" s="7153"/>
      <c r="OPQ9" s="7163">
        <v>0.05</v>
      </c>
      <c r="OPR9" s="7164"/>
      <c r="OPS9" s="7157">
        <f>OPQ9*OPS7</f>
        <v>0</v>
      </c>
      <c r="OPT9" s="7157"/>
      <c r="OPU9" s="7157"/>
      <c r="OPV9" s="7157"/>
      <c r="OPW9" s="7158"/>
      <c r="OPX9" s="7158"/>
      <c r="OPY9" s="7158"/>
      <c r="OPZ9" s="7158"/>
      <c r="OQA9" s="7158"/>
      <c r="OQB9" s="7159"/>
      <c r="OQC9" s="7152" t="s">
        <v>1012</v>
      </c>
      <c r="OQD9" s="7153"/>
      <c r="OQE9" s="7153"/>
      <c r="OQF9" s="7153"/>
      <c r="OQG9" s="7163">
        <v>0.05</v>
      </c>
      <c r="OQH9" s="7164"/>
      <c r="OQI9" s="7157">
        <f>OQG9*OQI7</f>
        <v>0</v>
      </c>
      <c r="OQJ9" s="7157"/>
      <c r="OQK9" s="7157"/>
      <c r="OQL9" s="7157"/>
      <c r="OQM9" s="7158"/>
      <c r="OQN9" s="7158"/>
      <c r="OQO9" s="7158"/>
      <c r="OQP9" s="7158"/>
      <c r="OQQ9" s="7158"/>
      <c r="OQR9" s="7159"/>
      <c r="OQS9" s="7152" t="s">
        <v>1012</v>
      </c>
      <c r="OQT9" s="7153"/>
      <c r="OQU9" s="7153"/>
      <c r="OQV9" s="7153"/>
      <c r="OQW9" s="7163">
        <v>0.05</v>
      </c>
      <c r="OQX9" s="7164"/>
      <c r="OQY9" s="7157">
        <f>OQW9*OQY7</f>
        <v>0</v>
      </c>
      <c r="OQZ9" s="7157"/>
      <c r="ORA9" s="7157"/>
      <c r="ORB9" s="7157"/>
      <c r="ORC9" s="7158"/>
      <c r="ORD9" s="7158"/>
      <c r="ORE9" s="7158"/>
      <c r="ORF9" s="7158"/>
      <c r="ORG9" s="7158"/>
      <c r="ORH9" s="7159"/>
      <c r="ORI9" s="7152" t="s">
        <v>1012</v>
      </c>
      <c r="ORJ9" s="7153"/>
      <c r="ORK9" s="7153"/>
      <c r="ORL9" s="7153"/>
      <c r="ORM9" s="7163">
        <v>0.05</v>
      </c>
      <c r="ORN9" s="7164"/>
      <c r="ORO9" s="7157">
        <f>ORM9*ORO7</f>
        <v>0</v>
      </c>
      <c r="ORP9" s="7157"/>
      <c r="ORQ9" s="7157"/>
      <c r="ORR9" s="7157"/>
      <c r="ORS9" s="7158"/>
      <c r="ORT9" s="7158"/>
      <c r="ORU9" s="7158"/>
      <c r="ORV9" s="7158"/>
      <c r="ORW9" s="7158"/>
      <c r="ORX9" s="7159"/>
      <c r="ORY9" s="7152" t="s">
        <v>1012</v>
      </c>
      <c r="ORZ9" s="7153"/>
      <c r="OSA9" s="7153"/>
      <c r="OSB9" s="7153"/>
      <c r="OSC9" s="7163">
        <v>0.05</v>
      </c>
      <c r="OSD9" s="7164"/>
      <c r="OSE9" s="7157">
        <f>OSC9*OSE7</f>
        <v>0</v>
      </c>
      <c r="OSF9" s="7157"/>
      <c r="OSG9" s="7157"/>
      <c r="OSH9" s="7157"/>
      <c r="OSI9" s="7158"/>
      <c r="OSJ9" s="7158"/>
      <c r="OSK9" s="7158"/>
      <c r="OSL9" s="7158"/>
      <c r="OSM9" s="7158"/>
      <c r="OSN9" s="7159"/>
      <c r="OSO9" s="7152" t="s">
        <v>1012</v>
      </c>
      <c r="OSP9" s="7153"/>
      <c r="OSQ9" s="7153"/>
      <c r="OSR9" s="7153"/>
      <c r="OSS9" s="7163">
        <v>0.05</v>
      </c>
      <c r="OST9" s="7164"/>
      <c r="OSU9" s="7157">
        <f>OSS9*OSU7</f>
        <v>0</v>
      </c>
      <c r="OSV9" s="7157"/>
      <c r="OSW9" s="7157"/>
      <c r="OSX9" s="7157"/>
      <c r="OSY9" s="7158"/>
      <c r="OSZ9" s="7158"/>
      <c r="OTA9" s="7158"/>
      <c r="OTB9" s="7158"/>
      <c r="OTC9" s="7158"/>
      <c r="OTD9" s="7159"/>
      <c r="OTE9" s="7152" t="s">
        <v>1012</v>
      </c>
      <c r="OTF9" s="7153"/>
      <c r="OTG9" s="7153"/>
      <c r="OTH9" s="7153"/>
      <c r="OTI9" s="7163">
        <v>0.05</v>
      </c>
      <c r="OTJ9" s="7164"/>
      <c r="OTK9" s="7157">
        <f>OTI9*OTK7</f>
        <v>0</v>
      </c>
      <c r="OTL9" s="7157"/>
      <c r="OTM9" s="7157"/>
      <c r="OTN9" s="7157"/>
      <c r="OTO9" s="7158"/>
      <c r="OTP9" s="7158"/>
      <c r="OTQ9" s="7158"/>
      <c r="OTR9" s="7158"/>
      <c r="OTS9" s="7158"/>
      <c r="OTT9" s="7159"/>
      <c r="OTU9" s="7152" t="s">
        <v>1012</v>
      </c>
      <c r="OTV9" s="7153"/>
      <c r="OTW9" s="7153"/>
      <c r="OTX9" s="7153"/>
      <c r="OTY9" s="7163">
        <v>0.05</v>
      </c>
      <c r="OTZ9" s="7164"/>
      <c r="OUA9" s="7157">
        <f>OTY9*OUA7</f>
        <v>0</v>
      </c>
      <c r="OUB9" s="7157"/>
      <c r="OUC9" s="7157"/>
      <c r="OUD9" s="7157"/>
      <c r="OUE9" s="7158"/>
      <c r="OUF9" s="7158"/>
      <c r="OUG9" s="7158"/>
      <c r="OUH9" s="7158"/>
      <c r="OUI9" s="7158"/>
      <c r="OUJ9" s="7159"/>
      <c r="OUK9" s="7152" t="s">
        <v>1012</v>
      </c>
      <c r="OUL9" s="7153"/>
      <c r="OUM9" s="7153"/>
      <c r="OUN9" s="7153"/>
      <c r="OUO9" s="7163">
        <v>0.05</v>
      </c>
      <c r="OUP9" s="7164"/>
      <c r="OUQ9" s="7157">
        <f>OUO9*OUQ7</f>
        <v>0</v>
      </c>
      <c r="OUR9" s="7157"/>
      <c r="OUS9" s="7157"/>
      <c r="OUT9" s="7157"/>
      <c r="OUU9" s="7158"/>
      <c r="OUV9" s="7158"/>
      <c r="OUW9" s="7158"/>
      <c r="OUX9" s="7158"/>
      <c r="OUY9" s="7158"/>
      <c r="OUZ9" s="7159"/>
      <c r="OVA9" s="7152" t="s">
        <v>1012</v>
      </c>
      <c r="OVB9" s="7153"/>
      <c r="OVC9" s="7153"/>
      <c r="OVD9" s="7153"/>
      <c r="OVE9" s="7163">
        <v>0.05</v>
      </c>
      <c r="OVF9" s="7164"/>
      <c r="OVG9" s="7157">
        <f>OVE9*OVG7</f>
        <v>0</v>
      </c>
      <c r="OVH9" s="7157"/>
      <c r="OVI9" s="7157"/>
      <c r="OVJ9" s="7157"/>
      <c r="OVK9" s="7158"/>
      <c r="OVL9" s="7158"/>
      <c r="OVM9" s="7158"/>
      <c r="OVN9" s="7158"/>
      <c r="OVO9" s="7158"/>
      <c r="OVP9" s="7159"/>
      <c r="OVQ9" s="7152" t="s">
        <v>1012</v>
      </c>
      <c r="OVR9" s="7153"/>
      <c r="OVS9" s="7153"/>
      <c r="OVT9" s="7153"/>
      <c r="OVU9" s="7163">
        <v>0.05</v>
      </c>
      <c r="OVV9" s="7164"/>
      <c r="OVW9" s="7157">
        <f>OVU9*OVW7</f>
        <v>0</v>
      </c>
      <c r="OVX9" s="7157"/>
      <c r="OVY9" s="7157"/>
      <c r="OVZ9" s="7157"/>
      <c r="OWA9" s="7158"/>
      <c r="OWB9" s="7158"/>
      <c r="OWC9" s="7158"/>
      <c r="OWD9" s="7158"/>
      <c r="OWE9" s="7158"/>
      <c r="OWF9" s="7159"/>
      <c r="OWG9" s="7152" t="s">
        <v>1012</v>
      </c>
      <c r="OWH9" s="7153"/>
      <c r="OWI9" s="7153"/>
      <c r="OWJ9" s="7153"/>
      <c r="OWK9" s="7163">
        <v>0.05</v>
      </c>
      <c r="OWL9" s="7164"/>
      <c r="OWM9" s="7157">
        <f>OWK9*OWM7</f>
        <v>0</v>
      </c>
      <c r="OWN9" s="7157"/>
      <c r="OWO9" s="7157"/>
      <c r="OWP9" s="7157"/>
      <c r="OWQ9" s="7158"/>
      <c r="OWR9" s="7158"/>
      <c r="OWS9" s="7158"/>
      <c r="OWT9" s="7158"/>
      <c r="OWU9" s="7158"/>
      <c r="OWV9" s="7159"/>
      <c r="OWW9" s="7152" t="s">
        <v>1012</v>
      </c>
      <c r="OWX9" s="7153"/>
      <c r="OWY9" s="7153"/>
      <c r="OWZ9" s="7153"/>
      <c r="OXA9" s="7163">
        <v>0.05</v>
      </c>
      <c r="OXB9" s="7164"/>
      <c r="OXC9" s="7157">
        <f>OXA9*OXC7</f>
        <v>0</v>
      </c>
      <c r="OXD9" s="7157"/>
      <c r="OXE9" s="7157"/>
      <c r="OXF9" s="7157"/>
      <c r="OXG9" s="7158"/>
      <c r="OXH9" s="7158"/>
      <c r="OXI9" s="7158"/>
      <c r="OXJ9" s="7158"/>
      <c r="OXK9" s="7158"/>
      <c r="OXL9" s="7159"/>
      <c r="OXM9" s="7152" t="s">
        <v>1012</v>
      </c>
      <c r="OXN9" s="7153"/>
      <c r="OXO9" s="7153"/>
      <c r="OXP9" s="7153"/>
      <c r="OXQ9" s="7163">
        <v>0.05</v>
      </c>
      <c r="OXR9" s="7164"/>
      <c r="OXS9" s="7157">
        <f>OXQ9*OXS7</f>
        <v>0</v>
      </c>
      <c r="OXT9" s="7157"/>
      <c r="OXU9" s="7157"/>
      <c r="OXV9" s="7157"/>
      <c r="OXW9" s="7158"/>
      <c r="OXX9" s="7158"/>
      <c r="OXY9" s="7158"/>
      <c r="OXZ9" s="7158"/>
      <c r="OYA9" s="7158"/>
      <c r="OYB9" s="7159"/>
      <c r="OYC9" s="7152" t="s">
        <v>1012</v>
      </c>
      <c r="OYD9" s="7153"/>
      <c r="OYE9" s="7153"/>
      <c r="OYF9" s="7153"/>
      <c r="OYG9" s="7163">
        <v>0.05</v>
      </c>
      <c r="OYH9" s="7164"/>
      <c r="OYI9" s="7157">
        <f>OYG9*OYI7</f>
        <v>0</v>
      </c>
      <c r="OYJ9" s="7157"/>
      <c r="OYK9" s="7157"/>
      <c r="OYL9" s="7157"/>
      <c r="OYM9" s="7158"/>
      <c r="OYN9" s="7158"/>
      <c r="OYO9" s="7158"/>
      <c r="OYP9" s="7158"/>
      <c r="OYQ9" s="7158"/>
      <c r="OYR9" s="7159"/>
      <c r="OYS9" s="7152" t="s">
        <v>1012</v>
      </c>
      <c r="OYT9" s="7153"/>
      <c r="OYU9" s="7153"/>
      <c r="OYV9" s="7153"/>
      <c r="OYW9" s="7163">
        <v>0.05</v>
      </c>
      <c r="OYX9" s="7164"/>
      <c r="OYY9" s="7157">
        <f>OYW9*OYY7</f>
        <v>0</v>
      </c>
      <c r="OYZ9" s="7157"/>
      <c r="OZA9" s="7157"/>
      <c r="OZB9" s="7157"/>
      <c r="OZC9" s="7158"/>
      <c r="OZD9" s="7158"/>
      <c r="OZE9" s="7158"/>
      <c r="OZF9" s="7158"/>
      <c r="OZG9" s="7158"/>
      <c r="OZH9" s="7159"/>
      <c r="OZI9" s="7152" t="s">
        <v>1012</v>
      </c>
      <c r="OZJ9" s="7153"/>
      <c r="OZK9" s="7153"/>
      <c r="OZL9" s="7153"/>
      <c r="OZM9" s="7163">
        <v>0.05</v>
      </c>
      <c r="OZN9" s="7164"/>
      <c r="OZO9" s="7157">
        <f>OZM9*OZO7</f>
        <v>0</v>
      </c>
      <c r="OZP9" s="7157"/>
      <c r="OZQ9" s="7157"/>
      <c r="OZR9" s="7157"/>
      <c r="OZS9" s="7158"/>
      <c r="OZT9" s="7158"/>
      <c r="OZU9" s="7158"/>
      <c r="OZV9" s="7158"/>
      <c r="OZW9" s="7158"/>
      <c r="OZX9" s="7159"/>
      <c r="OZY9" s="7152" t="s">
        <v>1012</v>
      </c>
      <c r="OZZ9" s="7153"/>
      <c r="PAA9" s="7153"/>
      <c r="PAB9" s="7153"/>
      <c r="PAC9" s="7163">
        <v>0.05</v>
      </c>
      <c r="PAD9" s="7164"/>
      <c r="PAE9" s="7157">
        <f>PAC9*PAE7</f>
        <v>0</v>
      </c>
      <c r="PAF9" s="7157"/>
      <c r="PAG9" s="7157"/>
      <c r="PAH9" s="7157"/>
      <c r="PAI9" s="7158"/>
      <c r="PAJ9" s="7158"/>
      <c r="PAK9" s="7158"/>
      <c r="PAL9" s="7158"/>
      <c r="PAM9" s="7158"/>
      <c r="PAN9" s="7159"/>
      <c r="PAO9" s="7152" t="s">
        <v>1012</v>
      </c>
      <c r="PAP9" s="7153"/>
      <c r="PAQ9" s="7153"/>
      <c r="PAR9" s="7153"/>
      <c r="PAS9" s="7163">
        <v>0.05</v>
      </c>
      <c r="PAT9" s="7164"/>
      <c r="PAU9" s="7157">
        <f>PAS9*PAU7</f>
        <v>0</v>
      </c>
      <c r="PAV9" s="7157"/>
      <c r="PAW9" s="7157"/>
      <c r="PAX9" s="7157"/>
      <c r="PAY9" s="7158"/>
      <c r="PAZ9" s="7158"/>
      <c r="PBA9" s="7158"/>
      <c r="PBB9" s="7158"/>
      <c r="PBC9" s="7158"/>
      <c r="PBD9" s="7159"/>
      <c r="PBE9" s="7152" t="s">
        <v>1012</v>
      </c>
      <c r="PBF9" s="7153"/>
      <c r="PBG9" s="7153"/>
      <c r="PBH9" s="7153"/>
      <c r="PBI9" s="7163">
        <v>0.05</v>
      </c>
      <c r="PBJ9" s="7164"/>
      <c r="PBK9" s="7157">
        <f>PBI9*PBK7</f>
        <v>0</v>
      </c>
      <c r="PBL9" s="7157"/>
      <c r="PBM9" s="7157"/>
      <c r="PBN9" s="7157"/>
      <c r="PBO9" s="7158"/>
      <c r="PBP9" s="7158"/>
      <c r="PBQ9" s="7158"/>
      <c r="PBR9" s="7158"/>
      <c r="PBS9" s="7158"/>
      <c r="PBT9" s="7159"/>
      <c r="PBU9" s="7152" t="s">
        <v>1012</v>
      </c>
      <c r="PBV9" s="7153"/>
      <c r="PBW9" s="7153"/>
      <c r="PBX9" s="7153"/>
      <c r="PBY9" s="7163">
        <v>0.05</v>
      </c>
      <c r="PBZ9" s="7164"/>
      <c r="PCA9" s="7157">
        <f>PBY9*PCA7</f>
        <v>0</v>
      </c>
      <c r="PCB9" s="7157"/>
      <c r="PCC9" s="7157"/>
      <c r="PCD9" s="7157"/>
      <c r="PCE9" s="7158"/>
      <c r="PCF9" s="7158"/>
      <c r="PCG9" s="7158"/>
      <c r="PCH9" s="7158"/>
      <c r="PCI9" s="7158"/>
      <c r="PCJ9" s="7159"/>
      <c r="PCK9" s="7152" t="s">
        <v>1012</v>
      </c>
      <c r="PCL9" s="7153"/>
      <c r="PCM9" s="7153"/>
      <c r="PCN9" s="7153"/>
      <c r="PCO9" s="7163">
        <v>0.05</v>
      </c>
      <c r="PCP9" s="7164"/>
      <c r="PCQ9" s="7157">
        <f>PCO9*PCQ7</f>
        <v>0</v>
      </c>
      <c r="PCR9" s="7157"/>
      <c r="PCS9" s="7157"/>
      <c r="PCT9" s="7157"/>
      <c r="PCU9" s="7158"/>
      <c r="PCV9" s="7158"/>
      <c r="PCW9" s="7158"/>
      <c r="PCX9" s="7158"/>
      <c r="PCY9" s="7158"/>
      <c r="PCZ9" s="7159"/>
      <c r="PDA9" s="7152" t="s">
        <v>1012</v>
      </c>
      <c r="PDB9" s="7153"/>
      <c r="PDC9" s="7153"/>
      <c r="PDD9" s="7153"/>
      <c r="PDE9" s="7163">
        <v>0.05</v>
      </c>
      <c r="PDF9" s="7164"/>
      <c r="PDG9" s="7157">
        <f>PDE9*PDG7</f>
        <v>0</v>
      </c>
      <c r="PDH9" s="7157"/>
      <c r="PDI9" s="7157"/>
      <c r="PDJ9" s="7157"/>
      <c r="PDK9" s="7158"/>
      <c r="PDL9" s="7158"/>
      <c r="PDM9" s="7158"/>
      <c r="PDN9" s="7158"/>
      <c r="PDO9" s="7158"/>
      <c r="PDP9" s="7159"/>
      <c r="PDQ9" s="7152" t="s">
        <v>1012</v>
      </c>
      <c r="PDR9" s="7153"/>
      <c r="PDS9" s="7153"/>
      <c r="PDT9" s="7153"/>
      <c r="PDU9" s="7163">
        <v>0.05</v>
      </c>
      <c r="PDV9" s="7164"/>
      <c r="PDW9" s="7157">
        <f>PDU9*PDW7</f>
        <v>0</v>
      </c>
      <c r="PDX9" s="7157"/>
      <c r="PDY9" s="7157"/>
      <c r="PDZ9" s="7157"/>
      <c r="PEA9" s="7158"/>
      <c r="PEB9" s="7158"/>
      <c r="PEC9" s="7158"/>
      <c r="PED9" s="7158"/>
      <c r="PEE9" s="7158"/>
      <c r="PEF9" s="7159"/>
      <c r="PEG9" s="7152" t="s">
        <v>1012</v>
      </c>
      <c r="PEH9" s="7153"/>
      <c r="PEI9" s="7153"/>
      <c r="PEJ9" s="7153"/>
      <c r="PEK9" s="7163">
        <v>0.05</v>
      </c>
      <c r="PEL9" s="7164"/>
      <c r="PEM9" s="7157">
        <f>PEK9*PEM7</f>
        <v>0</v>
      </c>
      <c r="PEN9" s="7157"/>
      <c r="PEO9" s="7157"/>
      <c r="PEP9" s="7157"/>
      <c r="PEQ9" s="7158"/>
      <c r="PER9" s="7158"/>
      <c r="PES9" s="7158"/>
      <c r="PET9" s="7158"/>
      <c r="PEU9" s="7158"/>
      <c r="PEV9" s="7159"/>
      <c r="PEW9" s="7152" t="s">
        <v>1012</v>
      </c>
      <c r="PEX9" s="7153"/>
      <c r="PEY9" s="7153"/>
      <c r="PEZ9" s="7153"/>
      <c r="PFA9" s="7163">
        <v>0.05</v>
      </c>
      <c r="PFB9" s="7164"/>
      <c r="PFC9" s="7157">
        <f>PFA9*PFC7</f>
        <v>0</v>
      </c>
      <c r="PFD9" s="7157"/>
      <c r="PFE9" s="7157"/>
      <c r="PFF9" s="7157"/>
      <c r="PFG9" s="7158"/>
      <c r="PFH9" s="7158"/>
      <c r="PFI9" s="7158"/>
      <c r="PFJ9" s="7158"/>
      <c r="PFK9" s="7158"/>
      <c r="PFL9" s="7159"/>
      <c r="PFM9" s="7152" t="s">
        <v>1012</v>
      </c>
      <c r="PFN9" s="7153"/>
      <c r="PFO9" s="7153"/>
      <c r="PFP9" s="7153"/>
      <c r="PFQ9" s="7163">
        <v>0.05</v>
      </c>
      <c r="PFR9" s="7164"/>
      <c r="PFS9" s="7157">
        <f>PFQ9*PFS7</f>
        <v>0</v>
      </c>
      <c r="PFT9" s="7157"/>
      <c r="PFU9" s="7157"/>
      <c r="PFV9" s="7157"/>
      <c r="PFW9" s="7158"/>
      <c r="PFX9" s="7158"/>
      <c r="PFY9" s="7158"/>
      <c r="PFZ9" s="7158"/>
      <c r="PGA9" s="7158"/>
      <c r="PGB9" s="7159"/>
      <c r="PGC9" s="7152" t="s">
        <v>1012</v>
      </c>
      <c r="PGD9" s="7153"/>
      <c r="PGE9" s="7153"/>
      <c r="PGF9" s="7153"/>
      <c r="PGG9" s="7163">
        <v>0.05</v>
      </c>
      <c r="PGH9" s="7164"/>
      <c r="PGI9" s="7157">
        <f>PGG9*PGI7</f>
        <v>0</v>
      </c>
      <c r="PGJ9" s="7157"/>
      <c r="PGK9" s="7157"/>
      <c r="PGL9" s="7157"/>
      <c r="PGM9" s="7158"/>
      <c r="PGN9" s="7158"/>
      <c r="PGO9" s="7158"/>
      <c r="PGP9" s="7158"/>
      <c r="PGQ9" s="7158"/>
      <c r="PGR9" s="7159"/>
      <c r="PGS9" s="7152" t="s">
        <v>1012</v>
      </c>
      <c r="PGT9" s="7153"/>
      <c r="PGU9" s="7153"/>
      <c r="PGV9" s="7153"/>
      <c r="PGW9" s="7163">
        <v>0.05</v>
      </c>
      <c r="PGX9" s="7164"/>
      <c r="PGY9" s="7157">
        <f>PGW9*PGY7</f>
        <v>0</v>
      </c>
      <c r="PGZ9" s="7157"/>
      <c r="PHA9" s="7157"/>
      <c r="PHB9" s="7157"/>
      <c r="PHC9" s="7158"/>
      <c r="PHD9" s="7158"/>
      <c r="PHE9" s="7158"/>
      <c r="PHF9" s="7158"/>
      <c r="PHG9" s="7158"/>
      <c r="PHH9" s="7159"/>
      <c r="PHI9" s="7152" t="s">
        <v>1012</v>
      </c>
      <c r="PHJ9" s="7153"/>
      <c r="PHK9" s="7153"/>
      <c r="PHL9" s="7153"/>
      <c r="PHM9" s="7163">
        <v>0.05</v>
      </c>
      <c r="PHN9" s="7164"/>
      <c r="PHO9" s="7157">
        <f>PHM9*PHO7</f>
        <v>0</v>
      </c>
      <c r="PHP9" s="7157"/>
      <c r="PHQ9" s="7157"/>
      <c r="PHR9" s="7157"/>
      <c r="PHS9" s="7158"/>
      <c r="PHT9" s="7158"/>
      <c r="PHU9" s="7158"/>
      <c r="PHV9" s="7158"/>
      <c r="PHW9" s="7158"/>
      <c r="PHX9" s="7159"/>
      <c r="PHY9" s="7152" t="s">
        <v>1012</v>
      </c>
      <c r="PHZ9" s="7153"/>
      <c r="PIA9" s="7153"/>
      <c r="PIB9" s="7153"/>
      <c r="PIC9" s="7163">
        <v>0.05</v>
      </c>
      <c r="PID9" s="7164"/>
      <c r="PIE9" s="7157">
        <f>PIC9*PIE7</f>
        <v>0</v>
      </c>
      <c r="PIF9" s="7157"/>
      <c r="PIG9" s="7157"/>
      <c r="PIH9" s="7157"/>
      <c r="PII9" s="7158"/>
      <c r="PIJ9" s="7158"/>
      <c r="PIK9" s="7158"/>
      <c r="PIL9" s="7158"/>
      <c r="PIM9" s="7158"/>
      <c r="PIN9" s="7159"/>
      <c r="PIO9" s="7152" t="s">
        <v>1012</v>
      </c>
      <c r="PIP9" s="7153"/>
      <c r="PIQ9" s="7153"/>
      <c r="PIR9" s="7153"/>
      <c r="PIS9" s="7163">
        <v>0.05</v>
      </c>
      <c r="PIT9" s="7164"/>
      <c r="PIU9" s="7157">
        <f>PIS9*PIU7</f>
        <v>0</v>
      </c>
      <c r="PIV9" s="7157"/>
      <c r="PIW9" s="7157"/>
      <c r="PIX9" s="7157"/>
      <c r="PIY9" s="7158"/>
      <c r="PIZ9" s="7158"/>
      <c r="PJA9" s="7158"/>
      <c r="PJB9" s="7158"/>
      <c r="PJC9" s="7158"/>
      <c r="PJD9" s="7159"/>
      <c r="PJE9" s="7152" t="s">
        <v>1012</v>
      </c>
      <c r="PJF9" s="7153"/>
      <c r="PJG9" s="7153"/>
      <c r="PJH9" s="7153"/>
      <c r="PJI9" s="7163">
        <v>0.05</v>
      </c>
      <c r="PJJ9" s="7164"/>
      <c r="PJK9" s="7157">
        <f>PJI9*PJK7</f>
        <v>0</v>
      </c>
      <c r="PJL9" s="7157"/>
      <c r="PJM9" s="7157"/>
      <c r="PJN9" s="7157"/>
      <c r="PJO9" s="7158"/>
      <c r="PJP9" s="7158"/>
      <c r="PJQ9" s="7158"/>
      <c r="PJR9" s="7158"/>
      <c r="PJS9" s="7158"/>
      <c r="PJT9" s="7159"/>
      <c r="PJU9" s="7152" t="s">
        <v>1012</v>
      </c>
      <c r="PJV9" s="7153"/>
      <c r="PJW9" s="7153"/>
      <c r="PJX9" s="7153"/>
      <c r="PJY9" s="7163">
        <v>0.05</v>
      </c>
      <c r="PJZ9" s="7164"/>
      <c r="PKA9" s="7157">
        <f>PJY9*PKA7</f>
        <v>0</v>
      </c>
      <c r="PKB9" s="7157"/>
      <c r="PKC9" s="7157"/>
      <c r="PKD9" s="7157"/>
      <c r="PKE9" s="7158"/>
      <c r="PKF9" s="7158"/>
      <c r="PKG9" s="7158"/>
      <c r="PKH9" s="7158"/>
      <c r="PKI9" s="7158"/>
      <c r="PKJ9" s="7159"/>
      <c r="PKK9" s="7152" t="s">
        <v>1012</v>
      </c>
      <c r="PKL9" s="7153"/>
      <c r="PKM9" s="7153"/>
      <c r="PKN9" s="7153"/>
      <c r="PKO9" s="7163">
        <v>0.05</v>
      </c>
      <c r="PKP9" s="7164"/>
      <c r="PKQ9" s="7157">
        <f>PKO9*PKQ7</f>
        <v>0</v>
      </c>
      <c r="PKR9" s="7157"/>
      <c r="PKS9" s="7157"/>
      <c r="PKT9" s="7157"/>
      <c r="PKU9" s="7158"/>
      <c r="PKV9" s="7158"/>
      <c r="PKW9" s="7158"/>
      <c r="PKX9" s="7158"/>
      <c r="PKY9" s="7158"/>
      <c r="PKZ9" s="7159"/>
      <c r="PLA9" s="7152" t="s">
        <v>1012</v>
      </c>
      <c r="PLB9" s="7153"/>
      <c r="PLC9" s="7153"/>
      <c r="PLD9" s="7153"/>
      <c r="PLE9" s="7163">
        <v>0.05</v>
      </c>
      <c r="PLF9" s="7164"/>
      <c r="PLG9" s="7157">
        <f>PLE9*PLG7</f>
        <v>0</v>
      </c>
      <c r="PLH9" s="7157"/>
      <c r="PLI9" s="7157"/>
      <c r="PLJ9" s="7157"/>
      <c r="PLK9" s="7158"/>
      <c r="PLL9" s="7158"/>
      <c r="PLM9" s="7158"/>
      <c r="PLN9" s="7158"/>
      <c r="PLO9" s="7158"/>
      <c r="PLP9" s="7159"/>
      <c r="PLQ9" s="7152" t="s">
        <v>1012</v>
      </c>
      <c r="PLR9" s="7153"/>
      <c r="PLS9" s="7153"/>
      <c r="PLT9" s="7153"/>
      <c r="PLU9" s="7163">
        <v>0.05</v>
      </c>
      <c r="PLV9" s="7164"/>
      <c r="PLW9" s="7157">
        <f>PLU9*PLW7</f>
        <v>0</v>
      </c>
      <c r="PLX9" s="7157"/>
      <c r="PLY9" s="7157"/>
      <c r="PLZ9" s="7157"/>
      <c r="PMA9" s="7158"/>
      <c r="PMB9" s="7158"/>
      <c r="PMC9" s="7158"/>
      <c r="PMD9" s="7158"/>
      <c r="PME9" s="7158"/>
      <c r="PMF9" s="7159"/>
      <c r="PMG9" s="7152" t="s">
        <v>1012</v>
      </c>
      <c r="PMH9" s="7153"/>
      <c r="PMI9" s="7153"/>
      <c r="PMJ9" s="7153"/>
      <c r="PMK9" s="7163">
        <v>0.05</v>
      </c>
      <c r="PML9" s="7164"/>
      <c r="PMM9" s="7157">
        <f>PMK9*PMM7</f>
        <v>0</v>
      </c>
      <c r="PMN9" s="7157"/>
      <c r="PMO9" s="7157"/>
      <c r="PMP9" s="7157"/>
      <c r="PMQ9" s="7158"/>
      <c r="PMR9" s="7158"/>
      <c r="PMS9" s="7158"/>
      <c r="PMT9" s="7158"/>
      <c r="PMU9" s="7158"/>
      <c r="PMV9" s="7159"/>
      <c r="PMW9" s="7152" t="s">
        <v>1012</v>
      </c>
      <c r="PMX9" s="7153"/>
      <c r="PMY9" s="7153"/>
      <c r="PMZ9" s="7153"/>
      <c r="PNA9" s="7163">
        <v>0.05</v>
      </c>
      <c r="PNB9" s="7164"/>
      <c r="PNC9" s="7157">
        <f>PNA9*PNC7</f>
        <v>0</v>
      </c>
      <c r="PND9" s="7157"/>
      <c r="PNE9" s="7157"/>
      <c r="PNF9" s="7157"/>
      <c r="PNG9" s="7158"/>
      <c r="PNH9" s="7158"/>
      <c r="PNI9" s="7158"/>
      <c r="PNJ9" s="7158"/>
      <c r="PNK9" s="7158"/>
      <c r="PNL9" s="7159"/>
      <c r="PNM9" s="7152" t="s">
        <v>1012</v>
      </c>
      <c r="PNN9" s="7153"/>
      <c r="PNO9" s="7153"/>
      <c r="PNP9" s="7153"/>
      <c r="PNQ9" s="7163">
        <v>0.05</v>
      </c>
      <c r="PNR9" s="7164"/>
      <c r="PNS9" s="7157">
        <f>PNQ9*PNS7</f>
        <v>0</v>
      </c>
      <c r="PNT9" s="7157"/>
      <c r="PNU9" s="7157"/>
      <c r="PNV9" s="7157"/>
      <c r="PNW9" s="7158"/>
      <c r="PNX9" s="7158"/>
      <c r="PNY9" s="7158"/>
      <c r="PNZ9" s="7158"/>
      <c r="POA9" s="7158"/>
      <c r="POB9" s="7159"/>
      <c r="POC9" s="7152" t="s">
        <v>1012</v>
      </c>
      <c r="POD9" s="7153"/>
      <c r="POE9" s="7153"/>
      <c r="POF9" s="7153"/>
      <c r="POG9" s="7163">
        <v>0.05</v>
      </c>
      <c r="POH9" s="7164"/>
      <c r="POI9" s="7157">
        <f>POG9*POI7</f>
        <v>0</v>
      </c>
      <c r="POJ9" s="7157"/>
      <c r="POK9" s="7157"/>
      <c r="POL9" s="7157"/>
      <c r="POM9" s="7158"/>
      <c r="PON9" s="7158"/>
      <c r="POO9" s="7158"/>
      <c r="POP9" s="7158"/>
      <c r="POQ9" s="7158"/>
      <c r="POR9" s="7159"/>
      <c r="POS9" s="7152" t="s">
        <v>1012</v>
      </c>
      <c r="POT9" s="7153"/>
      <c r="POU9" s="7153"/>
      <c r="POV9" s="7153"/>
      <c r="POW9" s="7163">
        <v>0.05</v>
      </c>
      <c r="POX9" s="7164"/>
      <c r="POY9" s="7157">
        <f>POW9*POY7</f>
        <v>0</v>
      </c>
      <c r="POZ9" s="7157"/>
      <c r="PPA9" s="7157"/>
      <c r="PPB9" s="7157"/>
      <c r="PPC9" s="7158"/>
      <c r="PPD9" s="7158"/>
      <c r="PPE9" s="7158"/>
      <c r="PPF9" s="7158"/>
      <c r="PPG9" s="7158"/>
      <c r="PPH9" s="7159"/>
      <c r="PPI9" s="7152" t="s">
        <v>1012</v>
      </c>
      <c r="PPJ9" s="7153"/>
      <c r="PPK9" s="7153"/>
      <c r="PPL9" s="7153"/>
      <c r="PPM9" s="7163">
        <v>0.05</v>
      </c>
      <c r="PPN9" s="7164"/>
      <c r="PPO9" s="7157">
        <f>PPM9*PPO7</f>
        <v>0</v>
      </c>
      <c r="PPP9" s="7157"/>
      <c r="PPQ9" s="7157"/>
      <c r="PPR9" s="7157"/>
      <c r="PPS9" s="7158"/>
      <c r="PPT9" s="7158"/>
      <c r="PPU9" s="7158"/>
      <c r="PPV9" s="7158"/>
      <c r="PPW9" s="7158"/>
      <c r="PPX9" s="7159"/>
      <c r="PPY9" s="7152" t="s">
        <v>1012</v>
      </c>
      <c r="PPZ9" s="7153"/>
      <c r="PQA9" s="7153"/>
      <c r="PQB9" s="7153"/>
      <c r="PQC9" s="7163">
        <v>0.05</v>
      </c>
      <c r="PQD9" s="7164"/>
      <c r="PQE9" s="7157">
        <f>PQC9*PQE7</f>
        <v>0</v>
      </c>
      <c r="PQF9" s="7157"/>
      <c r="PQG9" s="7157"/>
      <c r="PQH9" s="7157"/>
      <c r="PQI9" s="7158"/>
      <c r="PQJ9" s="7158"/>
      <c r="PQK9" s="7158"/>
      <c r="PQL9" s="7158"/>
      <c r="PQM9" s="7158"/>
      <c r="PQN9" s="7159"/>
      <c r="PQO9" s="7152" t="s">
        <v>1012</v>
      </c>
      <c r="PQP9" s="7153"/>
      <c r="PQQ9" s="7153"/>
      <c r="PQR9" s="7153"/>
      <c r="PQS9" s="7163">
        <v>0.05</v>
      </c>
      <c r="PQT9" s="7164"/>
      <c r="PQU9" s="7157">
        <f>PQS9*PQU7</f>
        <v>0</v>
      </c>
      <c r="PQV9" s="7157"/>
      <c r="PQW9" s="7157"/>
      <c r="PQX9" s="7157"/>
      <c r="PQY9" s="7158"/>
      <c r="PQZ9" s="7158"/>
      <c r="PRA9" s="7158"/>
      <c r="PRB9" s="7158"/>
      <c r="PRC9" s="7158"/>
      <c r="PRD9" s="7159"/>
      <c r="PRE9" s="7152" t="s">
        <v>1012</v>
      </c>
      <c r="PRF9" s="7153"/>
      <c r="PRG9" s="7153"/>
      <c r="PRH9" s="7153"/>
      <c r="PRI9" s="7163">
        <v>0.05</v>
      </c>
      <c r="PRJ9" s="7164"/>
      <c r="PRK9" s="7157">
        <f>PRI9*PRK7</f>
        <v>0</v>
      </c>
      <c r="PRL9" s="7157"/>
      <c r="PRM9" s="7157"/>
      <c r="PRN9" s="7157"/>
      <c r="PRO9" s="7158"/>
      <c r="PRP9" s="7158"/>
      <c r="PRQ9" s="7158"/>
      <c r="PRR9" s="7158"/>
      <c r="PRS9" s="7158"/>
      <c r="PRT9" s="7159"/>
      <c r="PRU9" s="7152" t="s">
        <v>1012</v>
      </c>
      <c r="PRV9" s="7153"/>
      <c r="PRW9" s="7153"/>
      <c r="PRX9" s="7153"/>
      <c r="PRY9" s="7163">
        <v>0.05</v>
      </c>
      <c r="PRZ9" s="7164"/>
      <c r="PSA9" s="7157">
        <f>PRY9*PSA7</f>
        <v>0</v>
      </c>
      <c r="PSB9" s="7157"/>
      <c r="PSC9" s="7157"/>
      <c r="PSD9" s="7157"/>
      <c r="PSE9" s="7158"/>
      <c r="PSF9" s="7158"/>
      <c r="PSG9" s="7158"/>
      <c r="PSH9" s="7158"/>
      <c r="PSI9" s="7158"/>
      <c r="PSJ9" s="7159"/>
      <c r="PSK9" s="7152" t="s">
        <v>1012</v>
      </c>
      <c r="PSL9" s="7153"/>
      <c r="PSM9" s="7153"/>
      <c r="PSN9" s="7153"/>
      <c r="PSO9" s="7163">
        <v>0.05</v>
      </c>
      <c r="PSP9" s="7164"/>
      <c r="PSQ9" s="7157">
        <f>PSO9*PSQ7</f>
        <v>0</v>
      </c>
      <c r="PSR9" s="7157"/>
      <c r="PSS9" s="7157"/>
      <c r="PST9" s="7157"/>
      <c r="PSU9" s="7158"/>
      <c r="PSV9" s="7158"/>
      <c r="PSW9" s="7158"/>
      <c r="PSX9" s="7158"/>
      <c r="PSY9" s="7158"/>
      <c r="PSZ9" s="7159"/>
      <c r="PTA9" s="7152" t="s">
        <v>1012</v>
      </c>
      <c r="PTB9" s="7153"/>
      <c r="PTC9" s="7153"/>
      <c r="PTD9" s="7153"/>
      <c r="PTE9" s="7163">
        <v>0.05</v>
      </c>
      <c r="PTF9" s="7164"/>
      <c r="PTG9" s="7157">
        <f>PTE9*PTG7</f>
        <v>0</v>
      </c>
      <c r="PTH9" s="7157"/>
      <c r="PTI9" s="7157"/>
      <c r="PTJ9" s="7157"/>
      <c r="PTK9" s="7158"/>
      <c r="PTL9" s="7158"/>
      <c r="PTM9" s="7158"/>
      <c r="PTN9" s="7158"/>
      <c r="PTO9" s="7158"/>
      <c r="PTP9" s="7159"/>
      <c r="PTQ9" s="7152" t="s">
        <v>1012</v>
      </c>
      <c r="PTR9" s="7153"/>
      <c r="PTS9" s="7153"/>
      <c r="PTT9" s="7153"/>
      <c r="PTU9" s="7163">
        <v>0.05</v>
      </c>
      <c r="PTV9" s="7164"/>
      <c r="PTW9" s="7157">
        <f>PTU9*PTW7</f>
        <v>0</v>
      </c>
      <c r="PTX9" s="7157"/>
      <c r="PTY9" s="7157"/>
      <c r="PTZ9" s="7157"/>
      <c r="PUA9" s="7158"/>
      <c r="PUB9" s="7158"/>
      <c r="PUC9" s="7158"/>
      <c r="PUD9" s="7158"/>
      <c r="PUE9" s="7158"/>
      <c r="PUF9" s="7159"/>
      <c r="PUG9" s="7152" t="s">
        <v>1012</v>
      </c>
      <c r="PUH9" s="7153"/>
      <c r="PUI9" s="7153"/>
      <c r="PUJ9" s="7153"/>
      <c r="PUK9" s="7163">
        <v>0.05</v>
      </c>
      <c r="PUL9" s="7164"/>
      <c r="PUM9" s="7157">
        <f>PUK9*PUM7</f>
        <v>0</v>
      </c>
      <c r="PUN9" s="7157"/>
      <c r="PUO9" s="7157"/>
      <c r="PUP9" s="7157"/>
      <c r="PUQ9" s="7158"/>
      <c r="PUR9" s="7158"/>
      <c r="PUS9" s="7158"/>
      <c r="PUT9" s="7158"/>
      <c r="PUU9" s="7158"/>
      <c r="PUV9" s="7159"/>
      <c r="PUW9" s="7152" t="s">
        <v>1012</v>
      </c>
      <c r="PUX9" s="7153"/>
      <c r="PUY9" s="7153"/>
      <c r="PUZ9" s="7153"/>
      <c r="PVA9" s="7163">
        <v>0.05</v>
      </c>
      <c r="PVB9" s="7164"/>
      <c r="PVC9" s="7157">
        <f>PVA9*PVC7</f>
        <v>0</v>
      </c>
      <c r="PVD9" s="7157"/>
      <c r="PVE9" s="7157"/>
      <c r="PVF9" s="7157"/>
      <c r="PVG9" s="7158"/>
      <c r="PVH9" s="7158"/>
      <c r="PVI9" s="7158"/>
      <c r="PVJ9" s="7158"/>
      <c r="PVK9" s="7158"/>
      <c r="PVL9" s="7159"/>
      <c r="PVM9" s="7152" t="s">
        <v>1012</v>
      </c>
      <c r="PVN9" s="7153"/>
      <c r="PVO9" s="7153"/>
      <c r="PVP9" s="7153"/>
      <c r="PVQ9" s="7163">
        <v>0.05</v>
      </c>
      <c r="PVR9" s="7164"/>
      <c r="PVS9" s="7157">
        <f>PVQ9*PVS7</f>
        <v>0</v>
      </c>
      <c r="PVT9" s="7157"/>
      <c r="PVU9" s="7157"/>
      <c r="PVV9" s="7157"/>
      <c r="PVW9" s="7158"/>
      <c r="PVX9" s="7158"/>
      <c r="PVY9" s="7158"/>
      <c r="PVZ9" s="7158"/>
      <c r="PWA9" s="7158"/>
      <c r="PWB9" s="7159"/>
      <c r="PWC9" s="7152" t="s">
        <v>1012</v>
      </c>
      <c r="PWD9" s="7153"/>
      <c r="PWE9" s="7153"/>
      <c r="PWF9" s="7153"/>
      <c r="PWG9" s="7163">
        <v>0.05</v>
      </c>
      <c r="PWH9" s="7164"/>
      <c r="PWI9" s="7157">
        <f>PWG9*PWI7</f>
        <v>0</v>
      </c>
      <c r="PWJ9" s="7157"/>
      <c r="PWK9" s="7157"/>
      <c r="PWL9" s="7157"/>
      <c r="PWM9" s="7158"/>
      <c r="PWN9" s="7158"/>
      <c r="PWO9" s="7158"/>
      <c r="PWP9" s="7158"/>
      <c r="PWQ9" s="7158"/>
      <c r="PWR9" s="7159"/>
      <c r="PWS9" s="7152" t="s">
        <v>1012</v>
      </c>
      <c r="PWT9" s="7153"/>
      <c r="PWU9" s="7153"/>
      <c r="PWV9" s="7153"/>
      <c r="PWW9" s="7163">
        <v>0.05</v>
      </c>
      <c r="PWX9" s="7164"/>
      <c r="PWY9" s="7157">
        <f>PWW9*PWY7</f>
        <v>0</v>
      </c>
      <c r="PWZ9" s="7157"/>
      <c r="PXA9" s="7157"/>
      <c r="PXB9" s="7157"/>
      <c r="PXC9" s="7158"/>
      <c r="PXD9" s="7158"/>
      <c r="PXE9" s="7158"/>
      <c r="PXF9" s="7158"/>
      <c r="PXG9" s="7158"/>
      <c r="PXH9" s="7159"/>
      <c r="PXI9" s="7152" t="s">
        <v>1012</v>
      </c>
      <c r="PXJ9" s="7153"/>
      <c r="PXK9" s="7153"/>
      <c r="PXL9" s="7153"/>
      <c r="PXM9" s="7163">
        <v>0.05</v>
      </c>
      <c r="PXN9" s="7164"/>
      <c r="PXO9" s="7157">
        <f>PXM9*PXO7</f>
        <v>0</v>
      </c>
      <c r="PXP9" s="7157"/>
      <c r="PXQ9" s="7157"/>
      <c r="PXR9" s="7157"/>
      <c r="PXS9" s="7158"/>
      <c r="PXT9" s="7158"/>
      <c r="PXU9" s="7158"/>
      <c r="PXV9" s="7158"/>
      <c r="PXW9" s="7158"/>
      <c r="PXX9" s="7159"/>
      <c r="PXY9" s="7152" t="s">
        <v>1012</v>
      </c>
      <c r="PXZ9" s="7153"/>
      <c r="PYA9" s="7153"/>
      <c r="PYB9" s="7153"/>
      <c r="PYC9" s="7163">
        <v>0.05</v>
      </c>
      <c r="PYD9" s="7164"/>
      <c r="PYE9" s="7157">
        <f>PYC9*PYE7</f>
        <v>0</v>
      </c>
      <c r="PYF9" s="7157"/>
      <c r="PYG9" s="7157"/>
      <c r="PYH9" s="7157"/>
      <c r="PYI9" s="7158"/>
      <c r="PYJ9" s="7158"/>
      <c r="PYK9" s="7158"/>
      <c r="PYL9" s="7158"/>
      <c r="PYM9" s="7158"/>
      <c r="PYN9" s="7159"/>
      <c r="PYO9" s="7152" t="s">
        <v>1012</v>
      </c>
      <c r="PYP9" s="7153"/>
      <c r="PYQ9" s="7153"/>
      <c r="PYR9" s="7153"/>
      <c r="PYS9" s="7163">
        <v>0.05</v>
      </c>
      <c r="PYT9" s="7164"/>
      <c r="PYU9" s="7157">
        <f>PYS9*PYU7</f>
        <v>0</v>
      </c>
      <c r="PYV9" s="7157"/>
      <c r="PYW9" s="7157"/>
      <c r="PYX9" s="7157"/>
      <c r="PYY9" s="7158"/>
      <c r="PYZ9" s="7158"/>
      <c r="PZA9" s="7158"/>
      <c r="PZB9" s="7158"/>
      <c r="PZC9" s="7158"/>
      <c r="PZD9" s="7159"/>
      <c r="PZE9" s="7152" t="s">
        <v>1012</v>
      </c>
      <c r="PZF9" s="7153"/>
      <c r="PZG9" s="7153"/>
      <c r="PZH9" s="7153"/>
      <c r="PZI9" s="7163">
        <v>0.05</v>
      </c>
      <c r="PZJ9" s="7164"/>
      <c r="PZK9" s="7157">
        <f>PZI9*PZK7</f>
        <v>0</v>
      </c>
      <c r="PZL9" s="7157"/>
      <c r="PZM9" s="7157"/>
      <c r="PZN9" s="7157"/>
      <c r="PZO9" s="7158"/>
      <c r="PZP9" s="7158"/>
      <c r="PZQ9" s="7158"/>
      <c r="PZR9" s="7158"/>
      <c r="PZS9" s="7158"/>
      <c r="PZT9" s="7159"/>
      <c r="PZU9" s="7152" t="s">
        <v>1012</v>
      </c>
      <c r="PZV9" s="7153"/>
      <c r="PZW9" s="7153"/>
      <c r="PZX9" s="7153"/>
      <c r="PZY9" s="7163">
        <v>0.05</v>
      </c>
      <c r="PZZ9" s="7164"/>
      <c r="QAA9" s="7157">
        <f>PZY9*QAA7</f>
        <v>0</v>
      </c>
      <c r="QAB9" s="7157"/>
      <c r="QAC9" s="7157"/>
      <c r="QAD9" s="7157"/>
      <c r="QAE9" s="7158"/>
      <c r="QAF9" s="7158"/>
      <c r="QAG9" s="7158"/>
      <c r="QAH9" s="7158"/>
      <c r="QAI9" s="7158"/>
      <c r="QAJ9" s="7159"/>
      <c r="QAK9" s="7152" t="s">
        <v>1012</v>
      </c>
      <c r="QAL9" s="7153"/>
      <c r="QAM9" s="7153"/>
      <c r="QAN9" s="7153"/>
      <c r="QAO9" s="7163">
        <v>0.05</v>
      </c>
      <c r="QAP9" s="7164"/>
      <c r="QAQ9" s="7157">
        <f>QAO9*QAQ7</f>
        <v>0</v>
      </c>
      <c r="QAR9" s="7157"/>
      <c r="QAS9" s="7157"/>
      <c r="QAT9" s="7157"/>
      <c r="QAU9" s="7158"/>
      <c r="QAV9" s="7158"/>
      <c r="QAW9" s="7158"/>
      <c r="QAX9" s="7158"/>
      <c r="QAY9" s="7158"/>
      <c r="QAZ9" s="7159"/>
      <c r="QBA9" s="7152" t="s">
        <v>1012</v>
      </c>
      <c r="QBB9" s="7153"/>
      <c r="QBC9" s="7153"/>
      <c r="QBD9" s="7153"/>
      <c r="QBE9" s="7163">
        <v>0.05</v>
      </c>
      <c r="QBF9" s="7164"/>
      <c r="QBG9" s="7157">
        <f>QBE9*QBG7</f>
        <v>0</v>
      </c>
      <c r="QBH9" s="7157"/>
      <c r="QBI9" s="7157"/>
      <c r="QBJ9" s="7157"/>
      <c r="QBK9" s="7158"/>
      <c r="QBL9" s="7158"/>
      <c r="QBM9" s="7158"/>
      <c r="QBN9" s="7158"/>
      <c r="QBO9" s="7158"/>
      <c r="QBP9" s="7159"/>
      <c r="QBQ9" s="7152" t="s">
        <v>1012</v>
      </c>
      <c r="QBR9" s="7153"/>
      <c r="QBS9" s="7153"/>
      <c r="QBT9" s="7153"/>
      <c r="QBU9" s="7163">
        <v>0.05</v>
      </c>
      <c r="QBV9" s="7164"/>
      <c r="QBW9" s="7157">
        <f>QBU9*QBW7</f>
        <v>0</v>
      </c>
      <c r="QBX9" s="7157"/>
      <c r="QBY9" s="7157"/>
      <c r="QBZ9" s="7157"/>
      <c r="QCA9" s="7158"/>
      <c r="QCB9" s="7158"/>
      <c r="QCC9" s="7158"/>
      <c r="QCD9" s="7158"/>
      <c r="QCE9" s="7158"/>
      <c r="QCF9" s="7159"/>
      <c r="QCG9" s="7152" t="s">
        <v>1012</v>
      </c>
      <c r="QCH9" s="7153"/>
      <c r="QCI9" s="7153"/>
      <c r="QCJ9" s="7153"/>
      <c r="QCK9" s="7163">
        <v>0.05</v>
      </c>
      <c r="QCL9" s="7164"/>
      <c r="QCM9" s="7157">
        <f>QCK9*QCM7</f>
        <v>0</v>
      </c>
      <c r="QCN9" s="7157"/>
      <c r="QCO9" s="7157"/>
      <c r="QCP9" s="7157"/>
      <c r="QCQ9" s="7158"/>
      <c r="QCR9" s="7158"/>
      <c r="QCS9" s="7158"/>
      <c r="QCT9" s="7158"/>
      <c r="QCU9" s="7158"/>
      <c r="QCV9" s="7159"/>
      <c r="QCW9" s="7152" t="s">
        <v>1012</v>
      </c>
      <c r="QCX9" s="7153"/>
      <c r="QCY9" s="7153"/>
      <c r="QCZ9" s="7153"/>
      <c r="QDA9" s="7163">
        <v>0.05</v>
      </c>
      <c r="QDB9" s="7164"/>
      <c r="QDC9" s="7157">
        <f>QDA9*QDC7</f>
        <v>0</v>
      </c>
      <c r="QDD9" s="7157"/>
      <c r="QDE9" s="7157"/>
      <c r="QDF9" s="7157"/>
      <c r="QDG9" s="7158"/>
      <c r="QDH9" s="7158"/>
      <c r="QDI9" s="7158"/>
      <c r="QDJ9" s="7158"/>
      <c r="QDK9" s="7158"/>
      <c r="QDL9" s="7159"/>
      <c r="QDM9" s="7152" t="s">
        <v>1012</v>
      </c>
      <c r="QDN9" s="7153"/>
      <c r="QDO9" s="7153"/>
      <c r="QDP9" s="7153"/>
      <c r="QDQ9" s="7163">
        <v>0.05</v>
      </c>
      <c r="QDR9" s="7164"/>
      <c r="QDS9" s="7157">
        <f>QDQ9*QDS7</f>
        <v>0</v>
      </c>
      <c r="QDT9" s="7157"/>
      <c r="QDU9" s="7157"/>
      <c r="QDV9" s="7157"/>
      <c r="QDW9" s="7158"/>
      <c r="QDX9" s="7158"/>
      <c r="QDY9" s="7158"/>
      <c r="QDZ9" s="7158"/>
      <c r="QEA9" s="7158"/>
      <c r="QEB9" s="7159"/>
      <c r="QEC9" s="7152" t="s">
        <v>1012</v>
      </c>
      <c r="QED9" s="7153"/>
      <c r="QEE9" s="7153"/>
      <c r="QEF9" s="7153"/>
      <c r="QEG9" s="7163">
        <v>0.05</v>
      </c>
      <c r="QEH9" s="7164"/>
      <c r="QEI9" s="7157">
        <f>QEG9*QEI7</f>
        <v>0</v>
      </c>
      <c r="QEJ9" s="7157"/>
      <c r="QEK9" s="7157"/>
      <c r="QEL9" s="7157"/>
      <c r="QEM9" s="7158"/>
      <c r="QEN9" s="7158"/>
      <c r="QEO9" s="7158"/>
      <c r="QEP9" s="7158"/>
      <c r="QEQ9" s="7158"/>
      <c r="QER9" s="7159"/>
      <c r="QES9" s="7152" t="s">
        <v>1012</v>
      </c>
      <c r="QET9" s="7153"/>
      <c r="QEU9" s="7153"/>
      <c r="QEV9" s="7153"/>
      <c r="QEW9" s="7163">
        <v>0.05</v>
      </c>
      <c r="QEX9" s="7164"/>
      <c r="QEY9" s="7157">
        <f>QEW9*QEY7</f>
        <v>0</v>
      </c>
      <c r="QEZ9" s="7157"/>
      <c r="QFA9" s="7157"/>
      <c r="QFB9" s="7157"/>
      <c r="QFC9" s="7158"/>
      <c r="QFD9" s="7158"/>
      <c r="QFE9" s="7158"/>
      <c r="QFF9" s="7158"/>
      <c r="QFG9" s="7158"/>
      <c r="QFH9" s="7159"/>
      <c r="QFI9" s="7152" t="s">
        <v>1012</v>
      </c>
      <c r="QFJ9" s="7153"/>
      <c r="QFK9" s="7153"/>
      <c r="QFL9" s="7153"/>
      <c r="QFM9" s="7163">
        <v>0.05</v>
      </c>
      <c r="QFN9" s="7164"/>
      <c r="QFO9" s="7157">
        <f>QFM9*QFO7</f>
        <v>0</v>
      </c>
      <c r="QFP9" s="7157"/>
      <c r="QFQ9" s="7157"/>
      <c r="QFR9" s="7157"/>
      <c r="QFS9" s="7158"/>
      <c r="QFT9" s="7158"/>
      <c r="QFU9" s="7158"/>
      <c r="QFV9" s="7158"/>
      <c r="QFW9" s="7158"/>
      <c r="QFX9" s="7159"/>
      <c r="QFY9" s="7152" t="s">
        <v>1012</v>
      </c>
      <c r="QFZ9" s="7153"/>
      <c r="QGA9" s="7153"/>
      <c r="QGB9" s="7153"/>
      <c r="QGC9" s="7163">
        <v>0.05</v>
      </c>
      <c r="QGD9" s="7164"/>
      <c r="QGE9" s="7157">
        <f>QGC9*QGE7</f>
        <v>0</v>
      </c>
      <c r="QGF9" s="7157"/>
      <c r="QGG9" s="7157"/>
      <c r="QGH9" s="7157"/>
      <c r="QGI9" s="7158"/>
      <c r="QGJ9" s="7158"/>
      <c r="QGK9" s="7158"/>
      <c r="QGL9" s="7158"/>
      <c r="QGM9" s="7158"/>
      <c r="QGN9" s="7159"/>
      <c r="QGO9" s="7152" t="s">
        <v>1012</v>
      </c>
      <c r="QGP9" s="7153"/>
      <c r="QGQ9" s="7153"/>
      <c r="QGR9" s="7153"/>
      <c r="QGS9" s="7163">
        <v>0.05</v>
      </c>
      <c r="QGT9" s="7164"/>
      <c r="QGU9" s="7157">
        <f>QGS9*QGU7</f>
        <v>0</v>
      </c>
      <c r="QGV9" s="7157"/>
      <c r="QGW9" s="7157"/>
      <c r="QGX9" s="7157"/>
      <c r="QGY9" s="7158"/>
      <c r="QGZ9" s="7158"/>
      <c r="QHA9" s="7158"/>
      <c r="QHB9" s="7158"/>
      <c r="QHC9" s="7158"/>
      <c r="QHD9" s="7159"/>
      <c r="QHE9" s="7152" t="s">
        <v>1012</v>
      </c>
      <c r="QHF9" s="7153"/>
      <c r="QHG9" s="7153"/>
      <c r="QHH9" s="7153"/>
      <c r="QHI9" s="7163">
        <v>0.05</v>
      </c>
      <c r="QHJ9" s="7164"/>
      <c r="QHK9" s="7157">
        <f>QHI9*QHK7</f>
        <v>0</v>
      </c>
      <c r="QHL9" s="7157"/>
      <c r="QHM9" s="7157"/>
      <c r="QHN9" s="7157"/>
      <c r="QHO9" s="7158"/>
      <c r="QHP9" s="7158"/>
      <c r="QHQ9" s="7158"/>
      <c r="QHR9" s="7158"/>
      <c r="QHS9" s="7158"/>
      <c r="QHT9" s="7159"/>
      <c r="QHU9" s="7152" t="s">
        <v>1012</v>
      </c>
      <c r="QHV9" s="7153"/>
      <c r="QHW9" s="7153"/>
      <c r="QHX9" s="7153"/>
      <c r="QHY9" s="7163">
        <v>0.05</v>
      </c>
      <c r="QHZ9" s="7164"/>
      <c r="QIA9" s="7157">
        <f>QHY9*QIA7</f>
        <v>0</v>
      </c>
      <c r="QIB9" s="7157"/>
      <c r="QIC9" s="7157"/>
      <c r="QID9" s="7157"/>
      <c r="QIE9" s="7158"/>
      <c r="QIF9" s="7158"/>
      <c r="QIG9" s="7158"/>
      <c r="QIH9" s="7158"/>
      <c r="QII9" s="7158"/>
      <c r="QIJ9" s="7159"/>
      <c r="QIK9" s="7152" t="s">
        <v>1012</v>
      </c>
      <c r="QIL9" s="7153"/>
      <c r="QIM9" s="7153"/>
      <c r="QIN9" s="7153"/>
      <c r="QIO9" s="7163">
        <v>0.05</v>
      </c>
      <c r="QIP9" s="7164"/>
      <c r="QIQ9" s="7157">
        <f>QIO9*QIQ7</f>
        <v>0</v>
      </c>
      <c r="QIR9" s="7157"/>
      <c r="QIS9" s="7157"/>
      <c r="QIT9" s="7157"/>
      <c r="QIU9" s="7158"/>
      <c r="QIV9" s="7158"/>
      <c r="QIW9" s="7158"/>
      <c r="QIX9" s="7158"/>
      <c r="QIY9" s="7158"/>
      <c r="QIZ9" s="7159"/>
      <c r="QJA9" s="7152" t="s">
        <v>1012</v>
      </c>
      <c r="QJB9" s="7153"/>
      <c r="QJC9" s="7153"/>
      <c r="QJD9" s="7153"/>
      <c r="QJE9" s="7163">
        <v>0.05</v>
      </c>
      <c r="QJF9" s="7164"/>
      <c r="QJG9" s="7157">
        <f>QJE9*QJG7</f>
        <v>0</v>
      </c>
      <c r="QJH9" s="7157"/>
      <c r="QJI9" s="7157"/>
      <c r="QJJ9" s="7157"/>
      <c r="QJK9" s="7158"/>
      <c r="QJL9" s="7158"/>
      <c r="QJM9" s="7158"/>
      <c r="QJN9" s="7158"/>
      <c r="QJO9" s="7158"/>
      <c r="QJP9" s="7159"/>
      <c r="QJQ9" s="7152" t="s">
        <v>1012</v>
      </c>
      <c r="QJR9" s="7153"/>
      <c r="QJS9" s="7153"/>
      <c r="QJT9" s="7153"/>
      <c r="QJU9" s="7163">
        <v>0.05</v>
      </c>
      <c r="QJV9" s="7164"/>
      <c r="QJW9" s="7157">
        <f>QJU9*QJW7</f>
        <v>0</v>
      </c>
      <c r="QJX9" s="7157"/>
      <c r="QJY9" s="7157"/>
      <c r="QJZ9" s="7157"/>
      <c r="QKA9" s="7158"/>
      <c r="QKB9" s="7158"/>
      <c r="QKC9" s="7158"/>
      <c r="QKD9" s="7158"/>
      <c r="QKE9" s="7158"/>
      <c r="QKF9" s="7159"/>
      <c r="QKG9" s="7152" t="s">
        <v>1012</v>
      </c>
      <c r="QKH9" s="7153"/>
      <c r="QKI9" s="7153"/>
      <c r="QKJ9" s="7153"/>
      <c r="QKK9" s="7163">
        <v>0.05</v>
      </c>
      <c r="QKL9" s="7164"/>
      <c r="QKM9" s="7157">
        <f>QKK9*QKM7</f>
        <v>0</v>
      </c>
      <c r="QKN9" s="7157"/>
      <c r="QKO9" s="7157"/>
      <c r="QKP9" s="7157"/>
      <c r="QKQ9" s="7158"/>
      <c r="QKR9" s="7158"/>
      <c r="QKS9" s="7158"/>
      <c r="QKT9" s="7158"/>
      <c r="QKU9" s="7158"/>
      <c r="QKV9" s="7159"/>
      <c r="QKW9" s="7152" t="s">
        <v>1012</v>
      </c>
      <c r="QKX9" s="7153"/>
      <c r="QKY9" s="7153"/>
      <c r="QKZ9" s="7153"/>
      <c r="QLA9" s="7163">
        <v>0.05</v>
      </c>
      <c r="QLB9" s="7164"/>
      <c r="QLC9" s="7157">
        <f>QLA9*QLC7</f>
        <v>0</v>
      </c>
      <c r="QLD9" s="7157"/>
      <c r="QLE9" s="7157"/>
      <c r="QLF9" s="7157"/>
      <c r="QLG9" s="7158"/>
      <c r="QLH9" s="7158"/>
      <c r="QLI9" s="7158"/>
      <c r="QLJ9" s="7158"/>
      <c r="QLK9" s="7158"/>
      <c r="QLL9" s="7159"/>
      <c r="QLM9" s="7152" t="s">
        <v>1012</v>
      </c>
      <c r="QLN9" s="7153"/>
      <c r="QLO9" s="7153"/>
      <c r="QLP9" s="7153"/>
      <c r="QLQ9" s="7163">
        <v>0.05</v>
      </c>
      <c r="QLR9" s="7164"/>
      <c r="QLS9" s="7157">
        <f>QLQ9*QLS7</f>
        <v>0</v>
      </c>
      <c r="QLT9" s="7157"/>
      <c r="QLU9" s="7157"/>
      <c r="QLV9" s="7157"/>
      <c r="QLW9" s="7158"/>
      <c r="QLX9" s="7158"/>
      <c r="QLY9" s="7158"/>
      <c r="QLZ9" s="7158"/>
      <c r="QMA9" s="7158"/>
      <c r="QMB9" s="7159"/>
      <c r="QMC9" s="7152" t="s">
        <v>1012</v>
      </c>
      <c r="QMD9" s="7153"/>
      <c r="QME9" s="7153"/>
      <c r="QMF9" s="7153"/>
      <c r="QMG9" s="7163">
        <v>0.05</v>
      </c>
      <c r="QMH9" s="7164"/>
      <c r="QMI9" s="7157">
        <f>QMG9*QMI7</f>
        <v>0</v>
      </c>
      <c r="QMJ9" s="7157"/>
      <c r="QMK9" s="7157"/>
      <c r="QML9" s="7157"/>
      <c r="QMM9" s="7158"/>
      <c r="QMN9" s="7158"/>
      <c r="QMO9" s="7158"/>
      <c r="QMP9" s="7158"/>
      <c r="QMQ9" s="7158"/>
      <c r="QMR9" s="7159"/>
      <c r="QMS9" s="7152" t="s">
        <v>1012</v>
      </c>
      <c r="QMT9" s="7153"/>
      <c r="QMU9" s="7153"/>
      <c r="QMV9" s="7153"/>
      <c r="QMW9" s="7163">
        <v>0.05</v>
      </c>
      <c r="QMX9" s="7164"/>
      <c r="QMY9" s="7157">
        <f>QMW9*QMY7</f>
        <v>0</v>
      </c>
      <c r="QMZ9" s="7157"/>
      <c r="QNA9" s="7157"/>
      <c r="QNB9" s="7157"/>
      <c r="QNC9" s="7158"/>
      <c r="QND9" s="7158"/>
      <c r="QNE9" s="7158"/>
      <c r="QNF9" s="7158"/>
      <c r="QNG9" s="7158"/>
      <c r="QNH9" s="7159"/>
      <c r="QNI9" s="7152" t="s">
        <v>1012</v>
      </c>
      <c r="QNJ9" s="7153"/>
      <c r="QNK9" s="7153"/>
      <c r="QNL9" s="7153"/>
      <c r="QNM9" s="7163">
        <v>0.05</v>
      </c>
      <c r="QNN9" s="7164"/>
      <c r="QNO9" s="7157">
        <f>QNM9*QNO7</f>
        <v>0</v>
      </c>
      <c r="QNP9" s="7157"/>
      <c r="QNQ9" s="7157"/>
      <c r="QNR9" s="7157"/>
      <c r="QNS9" s="7158"/>
      <c r="QNT9" s="7158"/>
      <c r="QNU9" s="7158"/>
      <c r="QNV9" s="7158"/>
      <c r="QNW9" s="7158"/>
      <c r="QNX9" s="7159"/>
      <c r="QNY9" s="7152" t="s">
        <v>1012</v>
      </c>
      <c r="QNZ9" s="7153"/>
      <c r="QOA9" s="7153"/>
      <c r="QOB9" s="7153"/>
      <c r="QOC9" s="7163">
        <v>0.05</v>
      </c>
      <c r="QOD9" s="7164"/>
      <c r="QOE9" s="7157">
        <f>QOC9*QOE7</f>
        <v>0</v>
      </c>
      <c r="QOF9" s="7157"/>
      <c r="QOG9" s="7157"/>
      <c r="QOH9" s="7157"/>
      <c r="QOI9" s="7158"/>
      <c r="QOJ9" s="7158"/>
      <c r="QOK9" s="7158"/>
      <c r="QOL9" s="7158"/>
      <c r="QOM9" s="7158"/>
      <c r="QON9" s="7159"/>
      <c r="QOO9" s="7152" t="s">
        <v>1012</v>
      </c>
      <c r="QOP9" s="7153"/>
      <c r="QOQ9" s="7153"/>
      <c r="QOR9" s="7153"/>
      <c r="QOS9" s="7163">
        <v>0.05</v>
      </c>
      <c r="QOT9" s="7164"/>
      <c r="QOU9" s="7157">
        <f>QOS9*QOU7</f>
        <v>0</v>
      </c>
      <c r="QOV9" s="7157"/>
      <c r="QOW9" s="7157"/>
      <c r="QOX9" s="7157"/>
      <c r="QOY9" s="7158"/>
      <c r="QOZ9" s="7158"/>
      <c r="QPA9" s="7158"/>
      <c r="QPB9" s="7158"/>
      <c r="QPC9" s="7158"/>
      <c r="QPD9" s="7159"/>
      <c r="QPE9" s="7152" t="s">
        <v>1012</v>
      </c>
      <c r="QPF9" s="7153"/>
      <c r="QPG9" s="7153"/>
      <c r="QPH9" s="7153"/>
      <c r="QPI9" s="7163">
        <v>0.05</v>
      </c>
      <c r="QPJ9" s="7164"/>
      <c r="QPK9" s="7157">
        <f>QPI9*QPK7</f>
        <v>0</v>
      </c>
      <c r="QPL9" s="7157"/>
      <c r="QPM9" s="7157"/>
      <c r="QPN9" s="7157"/>
      <c r="QPO9" s="7158"/>
      <c r="QPP9" s="7158"/>
      <c r="QPQ9" s="7158"/>
      <c r="QPR9" s="7158"/>
      <c r="QPS9" s="7158"/>
      <c r="QPT9" s="7159"/>
      <c r="QPU9" s="7152" t="s">
        <v>1012</v>
      </c>
      <c r="QPV9" s="7153"/>
      <c r="QPW9" s="7153"/>
      <c r="QPX9" s="7153"/>
      <c r="QPY9" s="7163">
        <v>0.05</v>
      </c>
      <c r="QPZ9" s="7164"/>
      <c r="QQA9" s="7157">
        <f>QPY9*QQA7</f>
        <v>0</v>
      </c>
      <c r="QQB9" s="7157"/>
      <c r="QQC9" s="7157"/>
      <c r="QQD9" s="7157"/>
      <c r="QQE9" s="7158"/>
      <c r="QQF9" s="7158"/>
      <c r="QQG9" s="7158"/>
      <c r="QQH9" s="7158"/>
      <c r="QQI9" s="7158"/>
      <c r="QQJ9" s="7159"/>
      <c r="QQK9" s="7152" t="s">
        <v>1012</v>
      </c>
      <c r="QQL9" s="7153"/>
      <c r="QQM9" s="7153"/>
      <c r="QQN9" s="7153"/>
      <c r="QQO9" s="7163">
        <v>0.05</v>
      </c>
      <c r="QQP9" s="7164"/>
      <c r="QQQ9" s="7157">
        <f>QQO9*QQQ7</f>
        <v>0</v>
      </c>
      <c r="QQR9" s="7157"/>
      <c r="QQS9" s="7157"/>
      <c r="QQT9" s="7157"/>
      <c r="QQU9" s="7158"/>
      <c r="QQV9" s="7158"/>
      <c r="QQW9" s="7158"/>
      <c r="QQX9" s="7158"/>
      <c r="QQY9" s="7158"/>
      <c r="QQZ9" s="7159"/>
      <c r="QRA9" s="7152" t="s">
        <v>1012</v>
      </c>
      <c r="QRB9" s="7153"/>
      <c r="QRC9" s="7153"/>
      <c r="QRD9" s="7153"/>
      <c r="QRE9" s="7163">
        <v>0.05</v>
      </c>
      <c r="QRF9" s="7164"/>
      <c r="QRG9" s="7157">
        <f>QRE9*QRG7</f>
        <v>0</v>
      </c>
      <c r="QRH9" s="7157"/>
      <c r="QRI9" s="7157"/>
      <c r="QRJ9" s="7157"/>
      <c r="QRK9" s="7158"/>
      <c r="QRL9" s="7158"/>
      <c r="QRM9" s="7158"/>
      <c r="QRN9" s="7158"/>
      <c r="QRO9" s="7158"/>
      <c r="QRP9" s="7159"/>
      <c r="QRQ9" s="7152" t="s">
        <v>1012</v>
      </c>
      <c r="QRR9" s="7153"/>
      <c r="QRS9" s="7153"/>
      <c r="QRT9" s="7153"/>
      <c r="QRU9" s="7163">
        <v>0.05</v>
      </c>
      <c r="QRV9" s="7164"/>
      <c r="QRW9" s="7157">
        <f>QRU9*QRW7</f>
        <v>0</v>
      </c>
      <c r="QRX9" s="7157"/>
      <c r="QRY9" s="7157"/>
      <c r="QRZ9" s="7157"/>
      <c r="QSA9" s="7158"/>
      <c r="QSB9" s="7158"/>
      <c r="QSC9" s="7158"/>
      <c r="QSD9" s="7158"/>
      <c r="QSE9" s="7158"/>
      <c r="QSF9" s="7159"/>
      <c r="QSG9" s="7152" t="s">
        <v>1012</v>
      </c>
      <c r="QSH9" s="7153"/>
      <c r="QSI9" s="7153"/>
      <c r="QSJ9" s="7153"/>
      <c r="QSK9" s="7163">
        <v>0.05</v>
      </c>
      <c r="QSL9" s="7164"/>
      <c r="QSM9" s="7157">
        <f>QSK9*QSM7</f>
        <v>0</v>
      </c>
      <c r="QSN9" s="7157"/>
      <c r="QSO9" s="7157"/>
      <c r="QSP9" s="7157"/>
      <c r="QSQ9" s="7158"/>
      <c r="QSR9" s="7158"/>
      <c r="QSS9" s="7158"/>
      <c r="QST9" s="7158"/>
      <c r="QSU9" s="7158"/>
      <c r="QSV9" s="7159"/>
      <c r="QSW9" s="7152" t="s">
        <v>1012</v>
      </c>
      <c r="QSX9" s="7153"/>
      <c r="QSY9" s="7153"/>
      <c r="QSZ9" s="7153"/>
      <c r="QTA9" s="7163">
        <v>0.05</v>
      </c>
      <c r="QTB9" s="7164"/>
      <c r="QTC9" s="7157">
        <f>QTA9*QTC7</f>
        <v>0</v>
      </c>
      <c r="QTD9" s="7157"/>
      <c r="QTE9" s="7157"/>
      <c r="QTF9" s="7157"/>
      <c r="QTG9" s="7158"/>
      <c r="QTH9" s="7158"/>
      <c r="QTI9" s="7158"/>
      <c r="QTJ9" s="7158"/>
      <c r="QTK9" s="7158"/>
      <c r="QTL9" s="7159"/>
      <c r="QTM9" s="7152" t="s">
        <v>1012</v>
      </c>
      <c r="QTN9" s="7153"/>
      <c r="QTO9" s="7153"/>
      <c r="QTP9" s="7153"/>
      <c r="QTQ9" s="7163">
        <v>0.05</v>
      </c>
      <c r="QTR9" s="7164"/>
      <c r="QTS9" s="7157">
        <f>QTQ9*QTS7</f>
        <v>0</v>
      </c>
      <c r="QTT9" s="7157"/>
      <c r="QTU9" s="7157"/>
      <c r="QTV9" s="7157"/>
      <c r="QTW9" s="7158"/>
      <c r="QTX9" s="7158"/>
      <c r="QTY9" s="7158"/>
      <c r="QTZ9" s="7158"/>
      <c r="QUA9" s="7158"/>
      <c r="QUB9" s="7159"/>
      <c r="QUC9" s="7152" t="s">
        <v>1012</v>
      </c>
      <c r="QUD9" s="7153"/>
      <c r="QUE9" s="7153"/>
      <c r="QUF9" s="7153"/>
      <c r="QUG9" s="7163">
        <v>0.05</v>
      </c>
      <c r="QUH9" s="7164"/>
      <c r="QUI9" s="7157">
        <f>QUG9*QUI7</f>
        <v>0</v>
      </c>
      <c r="QUJ9" s="7157"/>
      <c r="QUK9" s="7157"/>
      <c r="QUL9" s="7157"/>
      <c r="QUM9" s="7158"/>
      <c r="QUN9" s="7158"/>
      <c r="QUO9" s="7158"/>
      <c r="QUP9" s="7158"/>
      <c r="QUQ9" s="7158"/>
      <c r="QUR9" s="7159"/>
      <c r="QUS9" s="7152" t="s">
        <v>1012</v>
      </c>
      <c r="QUT9" s="7153"/>
      <c r="QUU9" s="7153"/>
      <c r="QUV9" s="7153"/>
      <c r="QUW9" s="7163">
        <v>0.05</v>
      </c>
      <c r="QUX9" s="7164"/>
      <c r="QUY9" s="7157">
        <f>QUW9*QUY7</f>
        <v>0</v>
      </c>
      <c r="QUZ9" s="7157"/>
      <c r="QVA9" s="7157"/>
      <c r="QVB9" s="7157"/>
      <c r="QVC9" s="7158"/>
      <c r="QVD9" s="7158"/>
      <c r="QVE9" s="7158"/>
      <c r="QVF9" s="7158"/>
      <c r="QVG9" s="7158"/>
      <c r="QVH9" s="7159"/>
      <c r="QVI9" s="7152" t="s">
        <v>1012</v>
      </c>
      <c r="QVJ9" s="7153"/>
      <c r="QVK9" s="7153"/>
      <c r="QVL9" s="7153"/>
      <c r="QVM9" s="7163">
        <v>0.05</v>
      </c>
      <c r="QVN9" s="7164"/>
      <c r="QVO9" s="7157">
        <f>QVM9*QVO7</f>
        <v>0</v>
      </c>
      <c r="QVP9" s="7157"/>
      <c r="QVQ9" s="7157"/>
      <c r="QVR9" s="7157"/>
      <c r="QVS9" s="7158"/>
      <c r="QVT9" s="7158"/>
      <c r="QVU9" s="7158"/>
      <c r="QVV9" s="7158"/>
      <c r="QVW9" s="7158"/>
      <c r="QVX9" s="7159"/>
      <c r="QVY9" s="7152" t="s">
        <v>1012</v>
      </c>
      <c r="QVZ9" s="7153"/>
      <c r="QWA9" s="7153"/>
      <c r="QWB9" s="7153"/>
      <c r="QWC9" s="7163">
        <v>0.05</v>
      </c>
      <c r="QWD9" s="7164"/>
      <c r="QWE9" s="7157">
        <f>QWC9*QWE7</f>
        <v>0</v>
      </c>
      <c r="QWF9" s="7157"/>
      <c r="QWG9" s="7157"/>
      <c r="QWH9" s="7157"/>
      <c r="QWI9" s="7158"/>
      <c r="QWJ9" s="7158"/>
      <c r="QWK9" s="7158"/>
      <c r="QWL9" s="7158"/>
      <c r="QWM9" s="7158"/>
      <c r="QWN9" s="7159"/>
      <c r="QWO9" s="7152" t="s">
        <v>1012</v>
      </c>
      <c r="QWP9" s="7153"/>
      <c r="QWQ9" s="7153"/>
      <c r="QWR9" s="7153"/>
      <c r="QWS9" s="7163">
        <v>0.05</v>
      </c>
      <c r="QWT9" s="7164"/>
      <c r="QWU9" s="7157">
        <f>QWS9*QWU7</f>
        <v>0</v>
      </c>
      <c r="QWV9" s="7157"/>
      <c r="QWW9" s="7157"/>
      <c r="QWX9" s="7157"/>
      <c r="QWY9" s="7158"/>
      <c r="QWZ9" s="7158"/>
      <c r="QXA9" s="7158"/>
      <c r="QXB9" s="7158"/>
      <c r="QXC9" s="7158"/>
      <c r="QXD9" s="7159"/>
      <c r="QXE9" s="7152" t="s">
        <v>1012</v>
      </c>
      <c r="QXF9" s="7153"/>
      <c r="QXG9" s="7153"/>
      <c r="QXH9" s="7153"/>
      <c r="QXI9" s="7163">
        <v>0.05</v>
      </c>
      <c r="QXJ9" s="7164"/>
      <c r="QXK9" s="7157">
        <f>QXI9*QXK7</f>
        <v>0</v>
      </c>
      <c r="QXL9" s="7157"/>
      <c r="QXM9" s="7157"/>
      <c r="QXN9" s="7157"/>
      <c r="QXO9" s="7158"/>
      <c r="QXP9" s="7158"/>
      <c r="QXQ9" s="7158"/>
      <c r="QXR9" s="7158"/>
      <c r="QXS9" s="7158"/>
      <c r="QXT9" s="7159"/>
      <c r="QXU9" s="7152" t="s">
        <v>1012</v>
      </c>
      <c r="QXV9" s="7153"/>
      <c r="QXW9" s="7153"/>
      <c r="QXX9" s="7153"/>
      <c r="QXY9" s="7163">
        <v>0.05</v>
      </c>
      <c r="QXZ9" s="7164"/>
      <c r="QYA9" s="7157">
        <f>QXY9*QYA7</f>
        <v>0</v>
      </c>
      <c r="QYB9" s="7157"/>
      <c r="QYC9" s="7157"/>
      <c r="QYD9" s="7157"/>
      <c r="QYE9" s="7158"/>
      <c r="QYF9" s="7158"/>
      <c r="QYG9" s="7158"/>
      <c r="QYH9" s="7158"/>
      <c r="QYI9" s="7158"/>
      <c r="QYJ9" s="7159"/>
      <c r="QYK9" s="7152" t="s">
        <v>1012</v>
      </c>
      <c r="QYL9" s="7153"/>
      <c r="QYM9" s="7153"/>
      <c r="QYN9" s="7153"/>
      <c r="QYO9" s="7163">
        <v>0.05</v>
      </c>
      <c r="QYP9" s="7164"/>
      <c r="QYQ9" s="7157">
        <f>QYO9*QYQ7</f>
        <v>0</v>
      </c>
      <c r="QYR9" s="7157"/>
      <c r="QYS9" s="7157"/>
      <c r="QYT9" s="7157"/>
      <c r="QYU9" s="7158"/>
      <c r="QYV9" s="7158"/>
      <c r="QYW9" s="7158"/>
      <c r="QYX9" s="7158"/>
      <c r="QYY9" s="7158"/>
      <c r="QYZ9" s="7159"/>
      <c r="QZA9" s="7152" t="s">
        <v>1012</v>
      </c>
      <c r="QZB9" s="7153"/>
      <c r="QZC9" s="7153"/>
      <c r="QZD9" s="7153"/>
      <c r="QZE9" s="7163">
        <v>0.05</v>
      </c>
      <c r="QZF9" s="7164"/>
      <c r="QZG9" s="7157">
        <f>QZE9*QZG7</f>
        <v>0</v>
      </c>
      <c r="QZH9" s="7157"/>
      <c r="QZI9" s="7157"/>
      <c r="QZJ9" s="7157"/>
      <c r="QZK9" s="7158"/>
      <c r="QZL9" s="7158"/>
      <c r="QZM9" s="7158"/>
      <c r="QZN9" s="7158"/>
      <c r="QZO9" s="7158"/>
      <c r="QZP9" s="7159"/>
      <c r="QZQ9" s="7152" t="s">
        <v>1012</v>
      </c>
      <c r="QZR9" s="7153"/>
      <c r="QZS9" s="7153"/>
      <c r="QZT9" s="7153"/>
      <c r="QZU9" s="7163">
        <v>0.05</v>
      </c>
      <c r="QZV9" s="7164"/>
      <c r="QZW9" s="7157">
        <f>QZU9*QZW7</f>
        <v>0</v>
      </c>
      <c r="QZX9" s="7157"/>
      <c r="QZY9" s="7157"/>
      <c r="QZZ9" s="7157"/>
      <c r="RAA9" s="7158"/>
      <c r="RAB9" s="7158"/>
      <c r="RAC9" s="7158"/>
      <c r="RAD9" s="7158"/>
      <c r="RAE9" s="7158"/>
      <c r="RAF9" s="7159"/>
      <c r="RAG9" s="7152" t="s">
        <v>1012</v>
      </c>
      <c r="RAH9" s="7153"/>
      <c r="RAI9" s="7153"/>
      <c r="RAJ9" s="7153"/>
      <c r="RAK9" s="7163">
        <v>0.05</v>
      </c>
      <c r="RAL9" s="7164"/>
      <c r="RAM9" s="7157">
        <f>RAK9*RAM7</f>
        <v>0</v>
      </c>
      <c r="RAN9" s="7157"/>
      <c r="RAO9" s="7157"/>
      <c r="RAP9" s="7157"/>
      <c r="RAQ9" s="7158"/>
      <c r="RAR9" s="7158"/>
      <c r="RAS9" s="7158"/>
      <c r="RAT9" s="7158"/>
      <c r="RAU9" s="7158"/>
      <c r="RAV9" s="7159"/>
      <c r="RAW9" s="7152" t="s">
        <v>1012</v>
      </c>
      <c r="RAX9" s="7153"/>
      <c r="RAY9" s="7153"/>
      <c r="RAZ9" s="7153"/>
      <c r="RBA9" s="7163">
        <v>0.05</v>
      </c>
      <c r="RBB9" s="7164"/>
      <c r="RBC9" s="7157">
        <f>RBA9*RBC7</f>
        <v>0</v>
      </c>
      <c r="RBD9" s="7157"/>
      <c r="RBE9" s="7157"/>
      <c r="RBF9" s="7157"/>
      <c r="RBG9" s="7158"/>
      <c r="RBH9" s="7158"/>
      <c r="RBI9" s="7158"/>
      <c r="RBJ9" s="7158"/>
      <c r="RBK9" s="7158"/>
      <c r="RBL9" s="7159"/>
      <c r="RBM9" s="7152" t="s">
        <v>1012</v>
      </c>
      <c r="RBN9" s="7153"/>
      <c r="RBO9" s="7153"/>
      <c r="RBP9" s="7153"/>
      <c r="RBQ9" s="7163">
        <v>0.05</v>
      </c>
      <c r="RBR9" s="7164"/>
      <c r="RBS9" s="7157">
        <f>RBQ9*RBS7</f>
        <v>0</v>
      </c>
      <c r="RBT9" s="7157"/>
      <c r="RBU9" s="7157"/>
      <c r="RBV9" s="7157"/>
      <c r="RBW9" s="7158"/>
      <c r="RBX9" s="7158"/>
      <c r="RBY9" s="7158"/>
      <c r="RBZ9" s="7158"/>
      <c r="RCA9" s="7158"/>
      <c r="RCB9" s="7159"/>
      <c r="RCC9" s="7152" t="s">
        <v>1012</v>
      </c>
      <c r="RCD9" s="7153"/>
      <c r="RCE9" s="7153"/>
      <c r="RCF9" s="7153"/>
      <c r="RCG9" s="7163">
        <v>0.05</v>
      </c>
      <c r="RCH9" s="7164"/>
      <c r="RCI9" s="7157">
        <f>RCG9*RCI7</f>
        <v>0</v>
      </c>
      <c r="RCJ9" s="7157"/>
      <c r="RCK9" s="7157"/>
      <c r="RCL9" s="7157"/>
      <c r="RCM9" s="7158"/>
      <c r="RCN9" s="7158"/>
      <c r="RCO9" s="7158"/>
      <c r="RCP9" s="7158"/>
      <c r="RCQ9" s="7158"/>
      <c r="RCR9" s="7159"/>
      <c r="RCS9" s="7152" t="s">
        <v>1012</v>
      </c>
      <c r="RCT9" s="7153"/>
      <c r="RCU9" s="7153"/>
      <c r="RCV9" s="7153"/>
      <c r="RCW9" s="7163">
        <v>0.05</v>
      </c>
      <c r="RCX9" s="7164"/>
      <c r="RCY9" s="7157">
        <f>RCW9*RCY7</f>
        <v>0</v>
      </c>
      <c r="RCZ9" s="7157"/>
      <c r="RDA9" s="7157"/>
      <c r="RDB9" s="7157"/>
      <c r="RDC9" s="7158"/>
      <c r="RDD9" s="7158"/>
      <c r="RDE9" s="7158"/>
      <c r="RDF9" s="7158"/>
      <c r="RDG9" s="7158"/>
      <c r="RDH9" s="7159"/>
      <c r="RDI9" s="7152" t="s">
        <v>1012</v>
      </c>
      <c r="RDJ9" s="7153"/>
      <c r="RDK9" s="7153"/>
      <c r="RDL9" s="7153"/>
      <c r="RDM9" s="7163">
        <v>0.05</v>
      </c>
      <c r="RDN9" s="7164"/>
      <c r="RDO9" s="7157">
        <f>RDM9*RDO7</f>
        <v>0</v>
      </c>
      <c r="RDP9" s="7157"/>
      <c r="RDQ9" s="7157"/>
      <c r="RDR9" s="7157"/>
      <c r="RDS9" s="7158"/>
      <c r="RDT9" s="7158"/>
      <c r="RDU9" s="7158"/>
      <c r="RDV9" s="7158"/>
      <c r="RDW9" s="7158"/>
      <c r="RDX9" s="7159"/>
      <c r="RDY9" s="7152" t="s">
        <v>1012</v>
      </c>
      <c r="RDZ9" s="7153"/>
      <c r="REA9" s="7153"/>
      <c r="REB9" s="7153"/>
      <c r="REC9" s="7163">
        <v>0.05</v>
      </c>
      <c r="RED9" s="7164"/>
      <c r="REE9" s="7157">
        <f>REC9*REE7</f>
        <v>0</v>
      </c>
      <c r="REF9" s="7157"/>
      <c r="REG9" s="7157"/>
      <c r="REH9" s="7157"/>
      <c r="REI9" s="7158"/>
      <c r="REJ9" s="7158"/>
      <c r="REK9" s="7158"/>
      <c r="REL9" s="7158"/>
      <c r="REM9" s="7158"/>
      <c r="REN9" s="7159"/>
      <c r="REO9" s="7152" t="s">
        <v>1012</v>
      </c>
      <c r="REP9" s="7153"/>
      <c r="REQ9" s="7153"/>
      <c r="RER9" s="7153"/>
      <c r="RES9" s="7163">
        <v>0.05</v>
      </c>
      <c r="RET9" s="7164"/>
      <c r="REU9" s="7157">
        <f>RES9*REU7</f>
        <v>0</v>
      </c>
      <c r="REV9" s="7157"/>
      <c r="REW9" s="7157"/>
      <c r="REX9" s="7157"/>
      <c r="REY9" s="7158"/>
      <c r="REZ9" s="7158"/>
      <c r="RFA9" s="7158"/>
      <c r="RFB9" s="7158"/>
      <c r="RFC9" s="7158"/>
      <c r="RFD9" s="7159"/>
      <c r="RFE9" s="7152" t="s">
        <v>1012</v>
      </c>
      <c r="RFF9" s="7153"/>
      <c r="RFG9" s="7153"/>
      <c r="RFH9" s="7153"/>
      <c r="RFI9" s="7163">
        <v>0.05</v>
      </c>
      <c r="RFJ9" s="7164"/>
      <c r="RFK9" s="7157">
        <f>RFI9*RFK7</f>
        <v>0</v>
      </c>
      <c r="RFL9" s="7157"/>
      <c r="RFM9" s="7157"/>
      <c r="RFN9" s="7157"/>
      <c r="RFO9" s="7158"/>
      <c r="RFP9" s="7158"/>
      <c r="RFQ9" s="7158"/>
      <c r="RFR9" s="7158"/>
      <c r="RFS9" s="7158"/>
      <c r="RFT9" s="7159"/>
      <c r="RFU9" s="7152" t="s">
        <v>1012</v>
      </c>
      <c r="RFV9" s="7153"/>
      <c r="RFW9" s="7153"/>
      <c r="RFX9" s="7153"/>
      <c r="RFY9" s="7163">
        <v>0.05</v>
      </c>
      <c r="RFZ9" s="7164"/>
      <c r="RGA9" s="7157">
        <f>RFY9*RGA7</f>
        <v>0</v>
      </c>
      <c r="RGB9" s="7157"/>
      <c r="RGC9" s="7157"/>
      <c r="RGD9" s="7157"/>
      <c r="RGE9" s="7158"/>
      <c r="RGF9" s="7158"/>
      <c r="RGG9" s="7158"/>
      <c r="RGH9" s="7158"/>
      <c r="RGI9" s="7158"/>
      <c r="RGJ9" s="7159"/>
      <c r="RGK9" s="7152" t="s">
        <v>1012</v>
      </c>
      <c r="RGL9" s="7153"/>
      <c r="RGM9" s="7153"/>
      <c r="RGN9" s="7153"/>
      <c r="RGO9" s="7163">
        <v>0.05</v>
      </c>
      <c r="RGP9" s="7164"/>
      <c r="RGQ9" s="7157">
        <f>RGO9*RGQ7</f>
        <v>0</v>
      </c>
      <c r="RGR9" s="7157"/>
      <c r="RGS9" s="7157"/>
      <c r="RGT9" s="7157"/>
      <c r="RGU9" s="7158"/>
      <c r="RGV9" s="7158"/>
      <c r="RGW9" s="7158"/>
      <c r="RGX9" s="7158"/>
      <c r="RGY9" s="7158"/>
      <c r="RGZ9" s="7159"/>
      <c r="RHA9" s="7152" t="s">
        <v>1012</v>
      </c>
      <c r="RHB9" s="7153"/>
      <c r="RHC9" s="7153"/>
      <c r="RHD9" s="7153"/>
      <c r="RHE9" s="7163">
        <v>0.05</v>
      </c>
      <c r="RHF9" s="7164"/>
      <c r="RHG9" s="7157">
        <f>RHE9*RHG7</f>
        <v>0</v>
      </c>
      <c r="RHH9" s="7157"/>
      <c r="RHI9" s="7157"/>
      <c r="RHJ9" s="7157"/>
      <c r="RHK9" s="7158"/>
      <c r="RHL9" s="7158"/>
      <c r="RHM9" s="7158"/>
      <c r="RHN9" s="7158"/>
      <c r="RHO9" s="7158"/>
      <c r="RHP9" s="7159"/>
      <c r="RHQ9" s="7152" t="s">
        <v>1012</v>
      </c>
      <c r="RHR9" s="7153"/>
      <c r="RHS9" s="7153"/>
      <c r="RHT9" s="7153"/>
      <c r="RHU9" s="7163">
        <v>0.05</v>
      </c>
      <c r="RHV9" s="7164"/>
      <c r="RHW9" s="7157">
        <f>RHU9*RHW7</f>
        <v>0</v>
      </c>
      <c r="RHX9" s="7157"/>
      <c r="RHY9" s="7157"/>
      <c r="RHZ9" s="7157"/>
      <c r="RIA9" s="7158"/>
      <c r="RIB9" s="7158"/>
      <c r="RIC9" s="7158"/>
      <c r="RID9" s="7158"/>
      <c r="RIE9" s="7158"/>
      <c r="RIF9" s="7159"/>
      <c r="RIG9" s="7152" t="s">
        <v>1012</v>
      </c>
      <c r="RIH9" s="7153"/>
      <c r="RII9" s="7153"/>
      <c r="RIJ9" s="7153"/>
      <c r="RIK9" s="7163">
        <v>0.05</v>
      </c>
      <c r="RIL9" s="7164"/>
      <c r="RIM9" s="7157">
        <f>RIK9*RIM7</f>
        <v>0</v>
      </c>
      <c r="RIN9" s="7157"/>
      <c r="RIO9" s="7157"/>
      <c r="RIP9" s="7157"/>
      <c r="RIQ9" s="7158"/>
      <c r="RIR9" s="7158"/>
      <c r="RIS9" s="7158"/>
      <c r="RIT9" s="7158"/>
      <c r="RIU9" s="7158"/>
      <c r="RIV9" s="7159"/>
      <c r="RIW9" s="7152" t="s">
        <v>1012</v>
      </c>
      <c r="RIX9" s="7153"/>
      <c r="RIY9" s="7153"/>
      <c r="RIZ9" s="7153"/>
      <c r="RJA9" s="7163">
        <v>0.05</v>
      </c>
      <c r="RJB9" s="7164"/>
      <c r="RJC9" s="7157">
        <f>RJA9*RJC7</f>
        <v>0</v>
      </c>
      <c r="RJD9" s="7157"/>
      <c r="RJE9" s="7157"/>
      <c r="RJF9" s="7157"/>
      <c r="RJG9" s="7158"/>
      <c r="RJH9" s="7158"/>
      <c r="RJI9" s="7158"/>
      <c r="RJJ9" s="7158"/>
      <c r="RJK9" s="7158"/>
      <c r="RJL9" s="7159"/>
      <c r="RJM9" s="7152" t="s">
        <v>1012</v>
      </c>
      <c r="RJN9" s="7153"/>
      <c r="RJO9" s="7153"/>
      <c r="RJP9" s="7153"/>
      <c r="RJQ9" s="7163">
        <v>0.05</v>
      </c>
      <c r="RJR9" s="7164"/>
      <c r="RJS9" s="7157">
        <f>RJQ9*RJS7</f>
        <v>0</v>
      </c>
      <c r="RJT9" s="7157"/>
      <c r="RJU9" s="7157"/>
      <c r="RJV9" s="7157"/>
      <c r="RJW9" s="7158"/>
      <c r="RJX9" s="7158"/>
      <c r="RJY9" s="7158"/>
      <c r="RJZ9" s="7158"/>
      <c r="RKA9" s="7158"/>
      <c r="RKB9" s="7159"/>
      <c r="RKC9" s="7152" t="s">
        <v>1012</v>
      </c>
      <c r="RKD9" s="7153"/>
      <c r="RKE9" s="7153"/>
      <c r="RKF9" s="7153"/>
      <c r="RKG9" s="7163">
        <v>0.05</v>
      </c>
      <c r="RKH9" s="7164"/>
      <c r="RKI9" s="7157">
        <f>RKG9*RKI7</f>
        <v>0</v>
      </c>
      <c r="RKJ9" s="7157"/>
      <c r="RKK9" s="7157"/>
      <c r="RKL9" s="7157"/>
      <c r="RKM9" s="7158"/>
      <c r="RKN9" s="7158"/>
      <c r="RKO9" s="7158"/>
      <c r="RKP9" s="7158"/>
      <c r="RKQ9" s="7158"/>
      <c r="RKR9" s="7159"/>
      <c r="RKS9" s="7152" t="s">
        <v>1012</v>
      </c>
      <c r="RKT9" s="7153"/>
      <c r="RKU9" s="7153"/>
      <c r="RKV9" s="7153"/>
      <c r="RKW9" s="7163">
        <v>0.05</v>
      </c>
      <c r="RKX9" s="7164"/>
      <c r="RKY9" s="7157">
        <f>RKW9*RKY7</f>
        <v>0</v>
      </c>
      <c r="RKZ9" s="7157"/>
      <c r="RLA9" s="7157"/>
      <c r="RLB9" s="7157"/>
      <c r="RLC9" s="7158"/>
      <c r="RLD9" s="7158"/>
      <c r="RLE9" s="7158"/>
      <c r="RLF9" s="7158"/>
      <c r="RLG9" s="7158"/>
      <c r="RLH9" s="7159"/>
      <c r="RLI9" s="7152" t="s">
        <v>1012</v>
      </c>
      <c r="RLJ9" s="7153"/>
      <c r="RLK9" s="7153"/>
      <c r="RLL9" s="7153"/>
      <c r="RLM9" s="7163">
        <v>0.05</v>
      </c>
      <c r="RLN9" s="7164"/>
      <c r="RLO9" s="7157">
        <f>RLM9*RLO7</f>
        <v>0</v>
      </c>
      <c r="RLP9" s="7157"/>
      <c r="RLQ9" s="7157"/>
      <c r="RLR9" s="7157"/>
      <c r="RLS9" s="7158"/>
      <c r="RLT9" s="7158"/>
      <c r="RLU9" s="7158"/>
      <c r="RLV9" s="7158"/>
      <c r="RLW9" s="7158"/>
      <c r="RLX9" s="7159"/>
      <c r="RLY9" s="7152" t="s">
        <v>1012</v>
      </c>
      <c r="RLZ9" s="7153"/>
      <c r="RMA9" s="7153"/>
      <c r="RMB9" s="7153"/>
      <c r="RMC9" s="7163">
        <v>0.05</v>
      </c>
      <c r="RMD9" s="7164"/>
      <c r="RME9" s="7157">
        <f>RMC9*RME7</f>
        <v>0</v>
      </c>
      <c r="RMF9" s="7157"/>
      <c r="RMG9" s="7157"/>
      <c r="RMH9" s="7157"/>
      <c r="RMI9" s="7158"/>
      <c r="RMJ9" s="7158"/>
      <c r="RMK9" s="7158"/>
      <c r="RML9" s="7158"/>
      <c r="RMM9" s="7158"/>
      <c r="RMN9" s="7159"/>
      <c r="RMO9" s="7152" t="s">
        <v>1012</v>
      </c>
      <c r="RMP9" s="7153"/>
      <c r="RMQ9" s="7153"/>
      <c r="RMR9" s="7153"/>
      <c r="RMS9" s="7163">
        <v>0.05</v>
      </c>
      <c r="RMT9" s="7164"/>
      <c r="RMU9" s="7157">
        <f>RMS9*RMU7</f>
        <v>0</v>
      </c>
      <c r="RMV9" s="7157"/>
      <c r="RMW9" s="7157"/>
      <c r="RMX9" s="7157"/>
      <c r="RMY9" s="7158"/>
      <c r="RMZ9" s="7158"/>
      <c r="RNA9" s="7158"/>
      <c r="RNB9" s="7158"/>
      <c r="RNC9" s="7158"/>
      <c r="RND9" s="7159"/>
      <c r="RNE9" s="7152" t="s">
        <v>1012</v>
      </c>
      <c r="RNF9" s="7153"/>
      <c r="RNG9" s="7153"/>
      <c r="RNH9" s="7153"/>
      <c r="RNI9" s="7163">
        <v>0.05</v>
      </c>
      <c r="RNJ9" s="7164"/>
      <c r="RNK9" s="7157">
        <f>RNI9*RNK7</f>
        <v>0</v>
      </c>
      <c r="RNL9" s="7157"/>
      <c r="RNM9" s="7157"/>
      <c r="RNN9" s="7157"/>
      <c r="RNO9" s="7158"/>
      <c r="RNP9" s="7158"/>
      <c r="RNQ9" s="7158"/>
      <c r="RNR9" s="7158"/>
      <c r="RNS9" s="7158"/>
      <c r="RNT9" s="7159"/>
      <c r="RNU9" s="7152" t="s">
        <v>1012</v>
      </c>
      <c r="RNV9" s="7153"/>
      <c r="RNW9" s="7153"/>
      <c r="RNX9" s="7153"/>
      <c r="RNY9" s="7163">
        <v>0.05</v>
      </c>
      <c r="RNZ9" s="7164"/>
      <c r="ROA9" s="7157">
        <f>RNY9*ROA7</f>
        <v>0</v>
      </c>
      <c r="ROB9" s="7157"/>
      <c r="ROC9" s="7157"/>
      <c r="ROD9" s="7157"/>
      <c r="ROE9" s="7158"/>
      <c r="ROF9" s="7158"/>
      <c r="ROG9" s="7158"/>
      <c r="ROH9" s="7158"/>
      <c r="ROI9" s="7158"/>
      <c r="ROJ9" s="7159"/>
      <c r="ROK9" s="7152" t="s">
        <v>1012</v>
      </c>
      <c r="ROL9" s="7153"/>
      <c r="ROM9" s="7153"/>
      <c r="RON9" s="7153"/>
      <c r="ROO9" s="7163">
        <v>0.05</v>
      </c>
      <c r="ROP9" s="7164"/>
      <c r="ROQ9" s="7157">
        <f>ROO9*ROQ7</f>
        <v>0</v>
      </c>
      <c r="ROR9" s="7157"/>
      <c r="ROS9" s="7157"/>
      <c r="ROT9" s="7157"/>
      <c r="ROU9" s="7158"/>
      <c r="ROV9" s="7158"/>
      <c r="ROW9" s="7158"/>
      <c r="ROX9" s="7158"/>
      <c r="ROY9" s="7158"/>
      <c r="ROZ9" s="7159"/>
      <c r="RPA9" s="7152" t="s">
        <v>1012</v>
      </c>
      <c r="RPB9" s="7153"/>
      <c r="RPC9" s="7153"/>
      <c r="RPD9" s="7153"/>
      <c r="RPE9" s="7163">
        <v>0.05</v>
      </c>
      <c r="RPF9" s="7164"/>
      <c r="RPG9" s="7157">
        <f>RPE9*RPG7</f>
        <v>0</v>
      </c>
      <c r="RPH9" s="7157"/>
      <c r="RPI9" s="7157"/>
      <c r="RPJ9" s="7157"/>
      <c r="RPK9" s="7158"/>
      <c r="RPL9" s="7158"/>
      <c r="RPM9" s="7158"/>
      <c r="RPN9" s="7158"/>
      <c r="RPO9" s="7158"/>
      <c r="RPP9" s="7159"/>
      <c r="RPQ9" s="7152" t="s">
        <v>1012</v>
      </c>
      <c r="RPR9" s="7153"/>
      <c r="RPS9" s="7153"/>
      <c r="RPT9" s="7153"/>
      <c r="RPU9" s="7163">
        <v>0.05</v>
      </c>
      <c r="RPV9" s="7164"/>
      <c r="RPW9" s="7157">
        <f>RPU9*RPW7</f>
        <v>0</v>
      </c>
      <c r="RPX9" s="7157"/>
      <c r="RPY9" s="7157"/>
      <c r="RPZ9" s="7157"/>
      <c r="RQA9" s="7158"/>
      <c r="RQB9" s="7158"/>
      <c r="RQC9" s="7158"/>
      <c r="RQD9" s="7158"/>
      <c r="RQE9" s="7158"/>
      <c r="RQF9" s="7159"/>
      <c r="RQG9" s="7152" t="s">
        <v>1012</v>
      </c>
      <c r="RQH9" s="7153"/>
      <c r="RQI9" s="7153"/>
      <c r="RQJ9" s="7153"/>
      <c r="RQK9" s="7163">
        <v>0.05</v>
      </c>
      <c r="RQL9" s="7164"/>
      <c r="RQM9" s="7157">
        <f>RQK9*RQM7</f>
        <v>0</v>
      </c>
      <c r="RQN9" s="7157"/>
      <c r="RQO9" s="7157"/>
      <c r="RQP9" s="7157"/>
      <c r="RQQ9" s="7158"/>
      <c r="RQR9" s="7158"/>
      <c r="RQS9" s="7158"/>
      <c r="RQT9" s="7158"/>
      <c r="RQU9" s="7158"/>
      <c r="RQV9" s="7159"/>
      <c r="RQW9" s="7152" t="s">
        <v>1012</v>
      </c>
      <c r="RQX9" s="7153"/>
      <c r="RQY9" s="7153"/>
      <c r="RQZ9" s="7153"/>
      <c r="RRA9" s="7163">
        <v>0.05</v>
      </c>
      <c r="RRB9" s="7164"/>
      <c r="RRC9" s="7157">
        <f>RRA9*RRC7</f>
        <v>0</v>
      </c>
      <c r="RRD9" s="7157"/>
      <c r="RRE9" s="7157"/>
      <c r="RRF9" s="7157"/>
      <c r="RRG9" s="7158"/>
      <c r="RRH9" s="7158"/>
      <c r="RRI9" s="7158"/>
      <c r="RRJ9" s="7158"/>
      <c r="RRK9" s="7158"/>
      <c r="RRL9" s="7159"/>
      <c r="RRM9" s="7152" t="s">
        <v>1012</v>
      </c>
      <c r="RRN9" s="7153"/>
      <c r="RRO9" s="7153"/>
      <c r="RRP9" s="7153"/>
      <c r="RRQ9" s="7163">
        <v>0.05</v>
      </c>
      <c r="RRR9" s="7164"/>
      <c r="RRS9" s="7157">
        <f>RRQ9*RRS7</f>
        <v>0</v>
      </c>
      <c r="RRT9" s="7157"/>
      <c r="RRU9" s="7157"/>
      <c r="RRV9" s="7157"/>
      <c r="RRW9" s="7158"/>
      <c r="RRX9" s="7158"/>
      <c r="RRY9" s="7158"/>
      <c r="RRZ9" s="7158"/>
      <c r="RSA9" s="7158"/>
      <c r="RSB9" s="7159"/>
      <c r="RSC9" s="7152" t="s">
        <v>1012</v>
      </c>
      <c r="RSD9" s="7153"/>
      <c r="RSE9" s="7153"/>
      <c r="RSF9" s="7153"/>
      <c r="RSG9" s="7163">
        <v>0.05</v>
      </c>
      <c r="RSH9" s="7164"/>
      <c r="RSI9" s="7157">
        <f>RSG9*RSI7</f>
        <v>0</v>
      </c>
      <c r="RSJ9" s="7157"/>
      <c r="RSK9" s="7157"/>
      <c r="RSL9" s="7157"/>
      <c r="RSM9" s="7158"/>
      <c r="RSN9" s="7158"/>
      <c r="RSO9" s="7158"/>
      <c r="RSP9" s="7158"/>
      <c r="RSQ9" s="7158"/>
      <c r="RSR9" s="7159"/>
      <c r="RSS9" s="7152" t="s">
        <v>1012</v>
      </c>
      <c r="RST9" s="7153"/>
      <c r="RSU9" s="7153"/>
      <c r="RSV9" s="7153"/>
      <c r="RSW9" s="7163">
        <v>0.05</v>
      </c>
      <c r="RSX9" s="7164"/>
      <c r="RSY9" s="7157">
        <f>RSW9*RSY7</f>
        <v>0</v>
      </c>
      <c r="RSZ9" s="7157"/>
      <c r="RTA9" s="7157"/>
      <c r="RTB9" s="7157"/>
      <c r="RTC9" s="7158"/>
      <c r="RTD9" s="7158"/>
      <c r="RTE9" s="7158"/>
      <c r="RTF9" s="7158"/>
      <c r="RTG9" s="7158"/>
      <c r="RTH9" s="7159"/>
      <c r="RTI9" s="7152" t="s">
        <v>1012</v>
      </c>
      <c r="RTJ9" s="7153"/>
      <c r="RTK9" s="7153"/>
      <c r="RTL9" s="7153"/>
      <c r="RTM9" s="7163">
        <v>0.05</v>
      </c>
      <c r="RTN9" s="7164"/>
      <c r="RTO9" s="7157">
        <f>RTM9*RTO7</f>
        <v>0</v>
      </c>
      <c r="RTP9" s="7157"/>
      <c r="RTQ9" s="7157"/>
      <c r="RTR9" s="7157"/>
      <c r="RTS9" s="7158"/>
      <c r="RTT9" s="7158"/>
      <c r="RTU9" s="7158"/>
      <c r="RTV9" s="7158"/>
      <c r="RTW9" s="7158"/>
      <c r="RTX9" s="7159"/>
      <c r="RTY9" s="7152" t="s">
        <v>1012</v>
      </c>
      <c r="RTZ9" s="7153"/>
      <c r="RUA9" s="7153"/>
      <c r="RUB9" s="7153"/>
      <c r="RUC9" s="7163">
        <v>0.05</v>
      </c>
      <c r="RUD9" s="7164"/>
      <c r="RUE9" s="7157">
        <f>RUC9*RUE7</f>
        <v>0</v>
      </c>
      <c r="RUF9" s="7157"/>
      <c r="RUG9" s="7157"/>
      <c r="RUH9" s="7157"/>
      <c r="RUI9" s="7158"/>
      <c r="RUJ9" s="7158"/>
      <c r="RUK9" s="7158"/>
      <c r="RUL9" s="7158"/>
      <c r="RUM9" s="7158"/>
      <c r="RUN9" s="7159"/>
      <c r="RUO9" s="7152" t="s">
        <v>1012</v>
      </c>
      <c r="RUP9" s="7153"/>
      <c r="RUQ9" s="7153"/>
      <c r="RUR9" s="7153"/>
      <c r="RUS9" s="7163">
        <v>0.05</v>
      </c>
      <c r="RUT9" s="7164"/>
      <c r="RUU9" s="7157">
        <f>RUS9*RUU7</f>
        <v>0</v>
      </c>
      <c r="RUV9" s="7157"/>
      <c r="RUW9" s="7157"/>
      <c r="RUX9" s="7157"/>
      <c r="RUY9" s="7158"/>
      <c r="RUZ9" s="7158"/>
      <c r="RVA9" s="7158"/>
      <c r="RVB9" s="7158"/>
      <c r="RVC9" s="7158"/>
      <c r="RVD9" s="7159"/>
      <c r="RVE9" s="7152" t="s">
        <v>1012</v>
      </c>
      <c r="RVF9" s="7153"/>
      <c r="RVG9" s="7153"/>
      <c r="RVH9" s="7153"/>
      <c r="RVI9" s="7163">
        <v>0.05</v>
      </c>
      <c r="RVJ9" s="7164"/>
      <c r="RVK9" s="7157">
        <f>RVI9*RVK7</f>
        <v>0</v>
      </c>
      <c r="RVL9" s="7157"/>
      <c r="RVM9" s="7157"/>
      <c r="RVN9" s="7157"/>
      <c r="RVO9" s="7158"/>
      <c r="RVP9" s="7158"/>
      <c r="RVQ9" s="7158"/>
      <c r="RVR9" s="7158"/>
      <c r="RVS9" s="7158"/>
      <c r="RVT9" s="7159"/>
      <c r="RVU9" s="7152" t="s">
        <v>1012</v>
      </c>
      <c r="RVV9" s="7153"/>
      <c r="RVW9" s="7153"/>
      <c r="RVX9" s="7153"/>
      <c r="RVY9" s="7163">
        <v>0.05</v>
      </c>
      <c r="RVZ9" s="7164"/>
      <c r="RWA9" s="7157">
        <f>RVY9*RWA7</f>
        <v>0</v>
      </c>
      <c r="RWB9" s="7157"/>
      <c r="RWC9" s="7157"/>
      <c r="RWD9" s="7157"/>
      <c r="RWE9" s="7158"/>
      <c r="RWF9" s="7158"/>
      <c r="RWG9" s="7158"/>
      <c r="RWH9" s="7158"/>
      <c r="RWI9" s="7158"/>
      <c r="RWJ9" s="7159"/>
      <c r="RWK9" s="7152" t="s">
        <v>1012</v>
      </c>
      <c r="RWL9" s="7153"/>
      <c r="RWM9" s="7153"/>
      <c r="RWN9" s="7153"/>
      <c r="RWO9" s="7163">
        <v>0.05</v>
      </c>
      <c r="RWP9" s="7164"/>
      <c r="RWQ9" s="7157">
        <f>RWO9*RWQ7</f>
        <v>0</v>
      </c>
      <c r="RWR9" s="7157"/>
      <c r="RWS9" s="7157"/>
      <c r="RWT9" s="7157"/>
      <c r="RWU9" s="7158"/>
      <c r="RWV9" s="7158"/>
      <c r="RWW9" s="7158"/>
      <c r="RWX9" s="7158"/>
      <c r="RWY9" s="7158"/>
      <c r="RWZ9" s="7159"/>
      <c r="RXA9" s="7152" t="s">
        <v>1012</v>
      </c>
      <c r="RXB9" s="7153"/>
      <c r="RXC9" s="7153"/>
      <c r="RXD9" s="7153"/>
      <c r="RXE9" s="7163">
        <v>0.05</v>
      </c>
      <c r="RXF9" s="7164"/>
      <c r="RXG9" s="7157">
        <f>RXE9*RXG7</f>
        <v>0</v>
      </c>
      <c r="RXH9" s="7157"/>
      <c r="RXI9" s="7157"/>
      <c r="RXJ9" s="7157"/>
      <c r="RXK9" s="7158"/>
      <c r="RXL9" s="7158"/>
      <c r="RXM9" s="7158"/>
      <c r="RXN9" s="7158"/>
      <c r="RXO9" s="7158"/>
      <c r="RXP9" s="7159"/>
      <c r="RXQ9" s="7152" t="s">
        <v>1012</v>
      </c>
      <c r="RXR9" s="7153"/>
      <c r="RXS9" s="7153"/>
      <c r="RXT9" s="7153"/>
      <c r="RXU9" s="7163">
        <v>0.05</v>
      </c>
      <c r="RXV9" s="7164"/>
      <c r="RXW9" s="7157">
        <f>RXU9*RXW7</f>
        <v>0</v>
      </c>
      <c r="RXX9" s="7157"/>
      <c r="RXY9" s="7157"/>
      <c r="RXZ9" s="7157"/>
      <c r="RYA9" s="7158"/>
      <c r="RYB9" s="7158"/>
      <c r="RYC9" s="7158"/>
      <c r="RYD9" s="7158"/>
      <c r="RYE9" s="7158"/>
      <c r="RYF9" s="7159"/>
      <c r="RYG9" s="7152" t="s">
        <v>1012</v>
      </c>
      <c r="RYH9" s="7153"/>
      <c r="RYI9" s="7153"/>
      <c r="RYJ9" s="7153"/>
      <c r="RYK9" s="7163">
        <v>0.05</v>
      </c>
      <c r="RYL9" s="7164"/>
      <c r="RYM9" s="7157">
        <f>RYK9*RYM7</f>
        <v>0</v>
      </c>
      <c r="RYN9" s="7157"/>
      <c r="RYO9" s="7157"/>
      <c r="RYP9" s="7157"/>
      <c r="RYQ9" s="7158"/>
      <c r="RYR9" s="7158"/>
      <c r="RYS9" s="7158"/>
      <c r="RYT9" s="7158"/>
      <c r="RYU9" s="7158"/>
      <c r="RYV9" s="7159"/>
      <c r="RYW9" s="7152" t="s">
        <v>1012</v>
      </c>
      <c r="RYX9" s="7153"/>
      <c r="RYY9" s="7153"/>
      <c r="RYZ9" s="7153"/>
      <c r="RZA9" s="7163">
        <v>0.05</v>
      </c>
      <c r="RZB9" s="7164"/>
      <c r="RZC9" s="7157">
        <f>RZA9*RZC7</f>
        <v>0</v>
      </c>
      <c r="RZD9" s="7157"/>
      <c r="RZE9" s="7157"/>
      <c r="RZF9" s="7157"/>
      <c r="RZG9" s="7158"/>
      <c r="RZH9" s="7158"/>
      <c r="RZI9" s="7158"/>
      <c r="RZJ9" s="7158"/>
      <c r="RZK9" s="7158"/>
      <c r="RZL9" s="7159"/>
      <c r="RZM9" s="7152" t="s">
        <v>1012</v>
      </c>
      <c r="RZN9" s="7153"/>
      <c r="RZO9" s="7153"/>
      <c r="RZP9" s="7153"/>
      <c r="RZQ9" s="7163">
        <v>0.05</v>
      </c>
      <c r="RZR9" s="7164"/>
      <c r="RZS9" s="7157">
        <f>RZQ9*RZS7</f>
        <v>0</v>
      </c>
      <c r="RZT9" s="7157"/>
      <c r="RZU9" s="7157"/>
      <c r="RZV9" s="7157"/>
      <c r="RZW9" s="7158"/>
      <c r="RZX9" s="7158"/>
      <c r="RZY9" s="7158"/>
      <c r="RZZ9" s="7158"/>
      <c r="SAA9" s="7158"/>
      <c r="SAB9" s="7159"/>
      <c r="SAC9" s="7152" t="s">
        <v>1012</v>
      </c>
      <c r="SAD9" s="7153"/>
      <c r="SAE9" s="7153"/>
      <c r="SAF9" s="7153"/>
      <c r="SAG9" s="7163">
        <v>0.05</v>
      </c>
      <c r="SAH9" s="7164"/>
      <c r="SAI9" s="7157">
        <f>SAG9*SAI7</f>
        <v>0</v>
      </c>
      <c r="SAJ9" s="7157"/>
      <c r="SAK9" s="7157"/>
      <c r="SAL9" s="7157"/>
      <c r="SAM9" s="7158"/>
      <c r="SAN9" s="7158"/>
      <c r="SAO9" s="7158"/>
      <c r="SAP9" s="7158"/>
      <c r="SAQ9" s="7158"/>
      <c r="SAR9" s="7159"/>
      <c r="SAS9" s="7152" t="s">
        <v>1012</v>
      </c>
      <c r="SAT9" s="7153"/>
      <c r="SAU9" s="7153"/>
      <c r="SAV9" s="7153"/>
      <c r="SAW9" s="7163">
        <v>0.05</v>
      </c>
      <c r="SAX9" s="7164"/>
      <c r="SAY9" s="7157">
        <f>SAW9*SAY7</f>
        <v>0</v>
      </c>
      <c r="SAZ9" s="7157"/>
      <c r="SBA9" s="7157"/>
      <c r="SBB9" s="7157"/>
      <c r="SBC9" s="7158"/>
      <c r="SBD9" s="7158"/>
      <c r="SBE9" s="7158"/>
      <c r="SBF9" s="7158"/>
      <c r="SBG9" s="7158"/>
      <c r="SBH9" s="7159"/>
      <c r="SBI9" s="7152" t="s">
        <v>1012</v>
      </c>
      <c r="SBJ9" s="7153"/>
      <c r="SBK9" s="7153"/>
      <c r="SBL9" s="7153"/>
      <c r="SBM9" s="7163">
        <v>0.05</v>
      </c>
      <c r="SBN9" s="7164"/>
      <c r="SBO9" s="7157">
        <f>SBM9*SBO7</f>
        <v>0</v>
      </c>
      <c r="SBP9" s="7157"/>
      <c r="SBQ9" s="7157"/>
      <c r="SBR9" s="7157"/>
      <c r="SBS9" s="7158"/>
      <c r="SBT9" s="7158"/>
      <c r="SBU9" s="7158"/>
      <c r="SBV9" s="7158"/>
      <c r="SBW9" s="7158"/>
      <c r="SBX9" s="7159"/>
      <c r="SBY9" s="7152" t="s">
        <v>1012</v>
      </c>
      <c r="SBZ9" s="7153"/>
      <c r="SCA9" s="7153"/>
      <c r="SCB9" s="7153"/>
      <c r="SCC9" s="7163">
        <v>0.05</v>
      </c>
      <c r="SCD9" s="7164"/>
      <c r="SCE9" s="7157">
        <f>SCC9*SCE7</f>
        <v>0</v>
      </c>
      <c r="SCF9" s="7157"/>
      <c r="SCG9" s="7157"/>
      <c r="SCH9" s="7157"/>
      <c r="SCI9" s="7158"/>
      <c r="SCJ9" s="7158"/>
      <c r="SCK9" s="7158"/>
      <c r="SCL9" s="7158"/>
      <c r="SCM9" s="7158"/>
      <c r="SCN9" s="7159"/>
      <c r="SCO9" s="7152" t="s">
        <v>1012</v>
      </c>
      <c r="SCP9" s="7153"/>
      <c r="SCQ9" s="7153"/>
      <c r="SCR9" s="7153"/>
      <c r="SCS9" s="7163">
        <v>0.05</v>
      </c>
      <c r="SCT9" s="7164"/>
      <c r="SCU9" s="7157">
        <f>SCS9*SCU7</f>
        <v>0</v>
      </c>
      <c r="SCV9" s="7157"/>
      <c r="SCW9" s="7157"/>
      <c r="SCX9" s="7157"/>
      <c r="SCY9" s="7158"/>
      <c r="SCZ9" s="7158"/>
      <c r="SDA9" s="7158"/>
      <c r="SDB9" s="7158"/>
      <c r="SDC9" s="7158"/>
      <c r="SDD9" s="7159"/>
      <c r="SDE9" s="7152" t="s">
        <v>1012</v>
      </c>
      <c r="SDF9" s="7153"/>
      <c r="SDG9" s="7153"/>
      <c r="SDH9" s="7153"/>
      <c r="SDI9" s="7163">
        <v>0.05</v>
      </c>
      <c r="SDJ9" s="7164"/>
      <c r="SDK9" s="7157">
        <f>SDI9*SDK7</f>
        <v>0</v>
      </c>
      <c r="SDL9" s="7157"/>
      <c r="SDM9" s="7157"/>
      <c r="SDN9" s="7157"/>
      <c r="SDO9" s="7158"/>
      <c r="SDP9" s="7158"/>
      <c r="SDQ9" s="7158"/>
      <c r="SDR9" s="7158"/>
      <c r="SDS9" s="7158"/>
      <c r="SDT9" s="7159"/>
      <c r="SDU9" s="7152" t="s">
        <v>1012</v>
      </c>
      <c r="SDV9" s="7153"/>
      <c r="SDW9" s="7153"/>
      <c r="SDX9" s="7153"/>
      <c r="SDY9" s="7163">
        <v>0.05</v>
      </c>
      <c r="SDZ9" s="7164"/>
      <c r="SEA9" s="7157">
        <f>SDY9*SEA7</f>
        <v>0</v>
      </c>
      <c r="SEB9" s="7157"/>
      <c r="SEC9" s="7157"/>
      <c r="SED9" s="7157"/>
      <c r="SEE9" s="7158"/>
      <c r="SEF9" s="7158"/>
      <c r="SEG9" s="7158"/>
      <c r="SEH9" s="7158"/>
      <c r="SEI9" s="7158"/>
      <c r="SEJ9" s="7159"/>
      <c r="SEK9" s="7152" t="s">
        <v>1012</v>
      </c>
      <c r="SEL9" s="7153"/>
      <c r="SEM9" s="7153"/>
      <c r="SEN9" s="7153"/>
      <c r="SEO9" s="7163">
        <v>0.05</v>
      </c>
      <c r="SEP9" s="7164"/>
      <c r="SEQ9" s="7157">
        <f>SEO9*SEQ7</f>
        <v>0</v>
      </c>
      <c r="SER9" s="7157"/>
      <c r="SES9" s="7157"/>
      <c r="SET9" s="7157"/>
      <c r="SEU9" s="7158"/>
      <c r="SEV9" s="7158"/>
      <c r="SEW9" s="7158"/>
      <c r="SEX9" s="7158"/>
      <c r="SEY9" s="7158"/>
      <c r="SEZ9" s="7159"/>
      <c r="SFA9" s="7152" t="s">
        <v>1012</v>
      </c>
      <c r="SFB9" s="7153"/>
      <c r="SFC9" s="7153"/>
      <c r="SFD9" s="7153"/>
      <c r="SFE9" s="7163">
        <v>0.05</v>
      </c>
      <c r="SFF9" s="7164"/>
      <c r="SFG9" s="7157">
        <f>SFE9*SFG7</f>
        <v>0</v>
      </c>
      <c r="SFH9" s="7157"/>
      <c r="SFI9" s="7157"/>
      <c r="SFJ9" s="7157"/>
      <c r="SFK9" s="7158"/>
      <c r="SFL9" s="7158"/>
      <c r="SFM9" s="7158"/>
      <c r="SFN9" s="7158"/>
      <c r="SFO9" s="7158"/>
      <c r="SFP9" s="7159"/>
      <c r="SFQ9" s="7152" t="s">
        <v>1012</v>
      </c>
      <c r="SFR9" s="7153"/>
      <c r="SFS9" s="7153"/>
      <c r="SFT9" s="7153"/>
      <c r="SFU9" s="7163">
        <v>0.05</v>
      </c>
      <c r="SFV9" s="7164"/>
      <c r="SFW9" s="7157">
        <f>SFU9*SFW7</f>
        <v>0</v>
      </c>
      <c r="SFX9" s="7157"/>
      <c r="SFY9" s="7157"/>
      <c r="SFZ9" s="7157"/>
      <c r="SGA9" s="7158"/>
      <c r="SGB9" s="7158"/>
      <c r="SGC9" s="7158"/>
      <c r="SGD9" s="7158"/>
      <c r="SGE9" s="7158"/>
      <c r="SGF9" s="7159"/>
      <c r="SGG9" s="7152" t="s">
        <v>1012</v>
      </c>
      <c r="SGH9" s="7153"/>
      <c r="SGI9" s="7153"/>
      <c r="SGJ9" s="7153"/>
      <c r="SGK9" s="7163">
        <v>0.05</v>
      </c>
      <c r="SGL9" s="7164"/>
      <c r="SGM9" s="7157">
        <f>SGK9*SGM7</f>
        <v>0</v>
      </c>
      <c r="SGN9" s="7157"/>
      <c r="SGO9" s="7157"/>
      <c r="SGP9" s="7157"/>
      <c r="SGQ9" s="7158"/>
      <c r="SGR9" s="7158"/>
      <c r="SGS9" s="7158"/>
      <c r="SGT9" s="7158"/>
      <c r="SGU9" s="7158"/>
      <c r="SGV9" s="7159"/>
      <c r="SGW9" s="7152" t="s">
        <v>1012</v>
      </c>
      <c r="SGX9" s="7153"/>
      <c r="SGY9" s="7153"/>
      <c r="SGZ9" s="7153"/>
      <c r="SHA9" s="7163">
        <v>0.05</v>
      </c>
      <c r="SHB9" s="7164"/>
      <c r="SHC9" s="7157">
        <f>SHA9*SHC7</f>
        <v>0</v>
      </c>
      <c r="SHD9" s="7157"/>
      <c r="SHE9" s="7157"/>
      <c r="SHF9" s="7157"/>
      <c r="SHG9" s="7158"/>
      <c r="SHH9" s="7158"/>
      <c r="SHI9" s="7158"/>
      <c r="SHJ9" s="7158"/>
      <c r="SHK9" s="7158"/>
      <c r="SHL9" s="7159"/>
      <c r="SHM9" s="7152" t="s">
        <v>1012</v>
      </c>
      <c r="SHN9" s="7153"/>
      <c r="SHO9" s="7153"/>
      <c r="SHP9" s="7153"/>
      <c r="SHQ9" s="7163">
        <v>0.05</v>
      </c>
      <c r="SHR9" s="7164"/>
      <c r="SHS9" s="7157">
        <f>SHQ9*SHS7</f>
        <v>0</v>
      </c>
      <c r="SHT9" s="7157"/>
      <c r="SHU9" s="7157"/>
      <c r="SHV9" s="7157"/>
      <c r="SHW9" s="7158"/>
      <c r="SHX9" s="7158"/>
      <c r="SHY9" s="7158"/>
      <c r="SHZ9" s="7158"/>
      <c r="SIA9" s="7158"/>
      <c r="SIB9" s="7159"/>
      <c r="SIC9" s="7152" t="s">
        <v>1012</v>
      </c>
      <c r="SID9" s="7153"/>
      <c r="SIE9" s="7153"/>
      <c r="SIF9" s="7153"/>
      <c r="SIG9" s="7163">
        <v>0.05</v>
      </c>
      <c r="SIH9" s="7164"/>
      <c r="SII9" s="7157">
        <f>SIG9*SII7</f>
        <v>0</v>
      </c>
      <c r="SIJ9" s="7157"/>
      <c r="SIK9" s="7157"/>
      <c r="SIL9" s="7157"/>
      <c r="SIM9" s="7158"/>
      <c r="SIN9" s="7158"/>
      <c r="SIO9" s="7158"/>
      <c r="SIP9" s="7158"/>
      <c r="SIQ9" s="7158"/>
      <c r="SIR9" s="7159"/>
      <c r="SIS9" s="7152" t="s">
        <v>1012</v>
      </c>
      <c r="SIT9" s="7153"/>
      <c r="SIU9" s="7153"/>
      <c r="SIV9" s="7153"/>
      <c r="SIW9" s="7163">
        <v>0.05</v>
      </c>
      <c r="SIX9" s="7164"/>
      <c r="SIY9" s="7157">
        <f>SIW9*SIY7</f>
        <v>0</v>
      </c>
      <c r="SIZ9" s="7157"/>
      <c r="SJA9" s="7157"/>
      <c r="SJB9" s="7157"/>
      <c r="SJC9" s="7158"/>
      <c r="SJD9" s="7158"/>
      <c r="SJE9" s="7158"/>
      <c r="SJF9" s="7158"/>
      <c r="SJG9" s="7158"/>
      <c r="SJH9" s="7159"/>
      <c r="SJI9" s="7152" t="s">
        <v>1012</v>
      </c>
      <c r="SJJ9" s="7153"/>
      <c r="SJK9" s="7153"/>
      <c r="SJL9" s="7153"/>
      <c r="SJM9" s="7163">
        <v>0.05</v>
      </c>
      <c r="SJN9" s="7164"/>
      <c r="SJO9" s="7157">
        <f>SJM9*SJO7</f>
        <v>0</v>
      </c>
      <c r="SJP9" s="7157"/>
      <c r="SJQ9" s="7157"/>
      <c r="SJR9" s="7157"/>
      <c r="SJS9" s="7158"/>
      <c r="SJT9" s="7158"/>
      <c r="SJU9" s="7158"/>
      <c r="SJV9" s="7158"/>
      <c r="SJW9" s="7158"/>
      <c r="SJX9" s="7159"/>
      <c r="SJY9" s="7152" t="s">
        <v>1012</v>
      </c>
      <c r="SJZ9" s="7153"/>
      <c r="SKA9" s="7153"/>
      <c r="SKB9" s="7153"/>
      <c r="SKC9" s="7163">
        <v>0.05</v>
      </c>
      <c r="SKD9" s="7164"/>
      <c r="SKE9" s="7157">
        <f>SKC9*SKE7</f>
        <v>0</v>
      </c>
      <c r="SKF9" s="7157"/>
      <c r="SKG9" s="7157"/>
      <c r="SKH9" s="7157"/>
      <c r="SKI9" s="7158"/>
      <c r="SKJ9" s="7158"/>
      <c r="SKK9" s="7158"/>
      <c r="SKL9" s="7158"/>
      <c r="SKM9" s="7158"/>
      <c r="SKN9" s="7159"/>
      <c r="SKO9" s="7152" t="s">
        <v>1012</v>
      </c>
      <c r="SKP9" s="7153"/>
      <c r="SKQ9" s="7153"/>
      <c r="SKR9" s="7153"/>
      <c r="SKS9" s="7163">
        <v>0.05</v>
      </c>
      <c r="SKT9" s="7164"/>
      <c r="SKU9" s="7157">
        <f>SKS9*SKU7</f>
        <v>0</v>
      </c>
      <c r="SKV9" s="7157"/>
      <c r="SKW9" s="7157"/>
      <c r="SKX9" s="7157"/>
      <c r="SKY9" s="7158"/>
      <c r="SKZ9" s="7158"/>
      <c r="SLA9" s="7158"/>
      <c r="SLB9" s="7158"/>
      <c r="SLC9" s="7158"/>
      <c r="SLD9" s="7159"/>
      <c r="SLE9" s="7152" t="s">
        <v>1012</v>
      </c>
      <c r="SLF9" s="7153"/>
      <c r="SLG9" s="7153"/>
      <c r="SLH9" s="7153"/>
      <c r="SLI9" s="7163">
        <v>0.05</v>
      </c>
      <c r="SLJ9" s="7164"/>
      <c r="SLK9" s="7157">
        <f>SLI9*SLK7</f>
        <v>0</v>
      </c>
      <c r="SLL9" s="7157"/>
      <c r="SLM9" s="7157"/>
      <c r="SLN9" s="7157"/>
      <c r="SLO9" s="7158"/>
      <c r="SLP9" s="7158"/>
      <c r="SLQ9" s="7158"/>
      <c r="SLR9" s="7158"/>
      <c r="SLS9" s="7158"/>
      <c r="SLT9" s="7159"/>
      <c r="SLU9" s="7152" t="s">
        <v>1012</v>
      </c>
      <c r="SLV9" s="7153"/>
      <c r="SLW9" s="7153"/>
      <c r="SLX9" s="7153"/>
      <c r="SLY9" s="7163">
        <v>0.05</v>
      </c>
      <c r="SLZ9" s="7164"/>
      <c r="SMA9" s="7157">
        <f>SLY9*SMA7</f>
        <v>0</v>
      </c>
      <c r="SMB9" s="7157"/>
      <c r="SMC9" s="7157"/>
      <c r="SMD9" s="7157"/>
      <c r="SME9" s="7158"/>
      <c r="SMF9" s="7158"/>
      <c r="SMG9" s="7158"/>
      <c r="SMH9" s="7158"/>
      <c r="SMI9" s="7158"/>
      <c r="SMJ9" s="7159"/>
      <c r="SMK9" s="7152" t="s">
        <v>1012</v>
      </c>
      <c r="SML9" s="7153"/>
      <c r="SMM9" s="7153"/>
      <c r="SMN9" s="7153"/>
      <c r="SMO9" s="7163">
        <v>0.05</v>
      </c>
      <c r="SMP9" s="7164"/>
      <c r="SMQ9" s="7157">
        <f>SMO9*SMQ7</f>
        <v>0</v>
      </c>
      <c r="SMR9" s="7157"/>
      <c r="SMS9" s="7157"/>
      <c r="SMT9" s="7157"/>
      <c r="SMU9" s="7158"/>
      <c r="SMV9" s="7158"/>
      <c r="SMW9" s="7158"/>
      <c r="SMX9" s="7158"/>
      <c r="SMY9" s="7158"/>
      <c r="SMZ9" s="7159"/>
      <c r="SNA9" s="7152" t="s">
        <v>1012</v>
      </c>
      <c r="SNB9" s="7153"/>
      <c r="SNC9" s="7153"/>
      <c r="SND9" s="7153"/>
      <c r="SNE9" s="7163">
        <v>0.05</v>
      </c>
      <c r="SNF9" s="7164"/>
      <c r="SNG9" s="7157">
        <f>SNE9*SNG7</f>
        <v>0</v>
      </c>
      <c r="SNH9" s="7157"/>
      <c r="SNI9" s="7157"/>
      <c r="SNJ9" s="7157"/>
      <c r="SNK9" s="7158"/>
      <c r="SNL9" s="7158"/>
      <c r="SNM9" s="7158"/>
      <c r="SNN9" s="7158"/>
      <c r="SNO9" s="7158"/>
      <c r="SNP9" s="7159"/>
      <c r="SNQ9" s="7152" t="s">
        <v>1012</v>
      </c>
      <c r="SNR9" s="7153"/>
      <c r="SNS9" s="7153"/>
      <c r="SNT9" s="7153"/>
      <c r="SNU9" s="7163">
        <v>0.05</v>
      </c>
      <c r="SNV9" s="7164"/>
      <c r="SNW9" s="7157">
        <f>SNU9*SNW7</f>
        <v>0</v>
      </c>
      <c r="SNX9" s="7157"/>
      <c r="SNY9" s="7157"/>
      <c r="SNZ9" s="7157"/>
      <c r="SOA9" s="7158"/>
      <c r="SOB9" s="7158"/>
      <c r="SOC9" s="7158"/>
      <c r="SOD9" s="7158"/>
      <c r="SOE9" s="7158"/>
      <c r="SOF9" s="7159"/>
      <c r="SOG9" s="7152" t="s">
        <v>1012</v>
      </c>
      <c r="SOH9" s="7153"/>
      <c r="SOI9" s="7153"/>
      <c r="SOJ9" s="7153"/>
      <c r="SOK9" s="7163">
        <v>0.05</v>
      </c>
      <c r="SOL9" s="7164"/>
      <c r="SOM9" s="7157">
        <f>SOK9*SOM7</f>
        <v>0</v>
      </c>
      <c r="SON9" s="7157"/>
      <c r="SOO9" s="7157"/>
      <c r="SOP9" s="7157"/>
      <c r="SOQ9" s="7158"/>
      <c r="SOR9" s="7158"/>
      <c r="SOS9" s="7158"/>
      <c r="SOT9" s="7158"/>
      <c r="SOU9" s="7158"/>
      <c r="SOV9" s="7159"/>
      <c r="SOW9" s="7152" t="s">
        <v>1012</v>
      </c>
      <c r="SOX9" s="7153"/>
      <c r="SOY9" s="7153"/>
      <c r="SOZ9" s="7153"/>
      <c r="SPA9" s="7163">
        <v>0.05</v>
      </c>
      <c r="SPB9" s="7164"/>
      <c r="SPC9" s="7157">
        <f>SPA9*SPC7</f>
        <v>0</v>
      </c>
      <c r="SPD9" s="7157"/>
      <c r="SPE9" s="7157"/>
      <c r="SPF9" s="7157"/>
      <c r="SPG9" s="7158"/>
      <c r="SPH9" s="7158"/>
      <c r="SPI9" s="7158"/>
      <c r="SPJ9" s="7158"/>
      <c r="SPK9" s="7158"/>
      <c r="SPL9" s="7159"/>
      <c r="SPM9" s="7152" t="s">
        <v>1012</v>
      </c>
      <c r="SPN9" s="7153"/>
      <c r="SPO9" s="7153"/>
      <c r="SPP9" s="7153"/>
      <c r="SPQ9" s="7163">
        <v>0.05</v>
      </c>
      <c r="SPR9" s="7164"/>
      <c r="SPS9" s="7157">
        <f>SPQ9*SPS7</f>
        <v>0</v>
      </c>
      <c r="SPT9" s="7157"/>
      <c r="SPU9" s="7157"/>
      <c r="SPV9" s="7157"/>
      <c r="SPW9" s="7158"/>
      <c r="SPX9" s="7158"/>
      <c r="SPY9" s="7158"/>
      <c r="SPZ9" s="7158"/>
      <c r="SQA9" s="7158"/>
      <c r="SQB9" s="7159"/>
      <c r="SQC9" s="7152" t="s">
        <v>1012</v>
      </c>
      <c r="SQD9" s="7153"/>
      <c r="SQE9" s="7153"/>
      <c r="SQF9" s="7153"/>
      <c r="SQG9" s="7163">
        <v>0.05</v>
      </c>
      <c r="SQH9" s="7164"/>
      <c r="SQI9" s="7157">
        <f>SQG9*SQI7</f>
        <v>0</v>
      </c>
      <c r="SQJ9" s="7157"/>
      <c r="SQK9" s="7157"/>
      <c r="SQL9" s="7157"/>
      <c r="SQM9" s="7158"/>
      <c r="SQN9" s="7158"/>
      <c r="SQO9" s="7158"/>
      <c r="SQP9" s="7158"/>
      <c r="SQQ9" s="7158"/>
      <c r="SQR9" s="7159"/>
      <c r="SQS9" s="7152" t="s">
        <v>1012</v>
      </c>
      <c r="SQT9" s="7153"/>
      <c r="SQU9" s="7153"/>
      <c r="SQV9" s="7153"/>
      <c r="SQW9" s="7163">
        <v>0.05</v>
      </c>
      <c r="SQX9" s="7164"/>
      <c r="SQY9" s="7157">
        <f>SQW9*SQY7</f>
        <v>0</v>
      </c>
      <c r="SQZ9" s="7157"/>
      <c r="SRA9" s="7157"/>
      <c r="SRB9" s="7157"/>
      <c r="SRC9" s="7158"/>
      <c r="SRD9" s="7158"/>
      <c r="SRE9" s="7158"/>
      <c r="SRF9" s="7158"/>
      <c r="SRG9" s="7158"/>
      <c r="SRH9" s="7159"/>
      <c r="SRI9" s="7152" t="s">
        <v>1012</v>
      </c>
      <c r="SRJ9" s="7153"/>
      <c r="SRK9" s="7153"/>
      <c r="SRL9" s="7153"/>
      <c r="SRM9" s="7163">
        <v>0.05</v>
      </c>
      <c r="SRN9" s="7164"/>
      <c r="SRO9" s="7157">
        <f>SRM9*SRO7</f>
        <v>0</v>
      </c>
      <c r="SRP9" s="7157"/>
      <c r="SRQ9" s="7157"/>
      <c r="SRR9" s="7157"/>
      <c r="SRS9" s="7158"/>
      <c r="SRT9" s="7158"/>
      <c r="SRU9" s="7158"/>
      <c r="SRV9" s="7158"/>
      <c r="SRW9" s="7158"/>
      <c r="SRX9" s="7159"/>
      <c r="SRY9" s="7152" t="s">
        <v>1012</v>
      </c>
      <c r="SRZ9" s="7153"/>
      <c r="SSA9" s="7153"/>
      <c r="SSB9" s="7153"/>
      <c r="SSC9" s="7163">
        <v>0.05</v>
      </c>
      <c r="SSD9" s="7164"/>
      <c r="SSE9" s="7157">
        <f>SSC9*SSE7</f>
        <v>0</v>
      </c>
      <c r="SSF9" s="7157"/>
      <c r="SSG9" s="7157"/>
      <c r="SSH9" s="7157"/>
      <c r="SSI9" s="7158"/>
      <c r="SSJ9" s="7158"/>
      <c r="SSK9" s="7158"/>
      <c r="SSL9" s="7158"/>
      <c r="SSM9" s="7158"/>
      <c r="SSN9" s="7159"/>
      <c r="SSO9" s="7152" t="s">
        <v>1012</v>
      </c>
      <c r="SSP9" s="7153"/>
      <c r="SSQ9" s="7153"/>
      <c r="SSR9" s="7153"/>
      <c r="SSS9" s="7163">
        <v>0.05</v>
      </c>
      <c r="SST9" s="7164"/>
      <c r="SSU9" s="7157">
        <f>SSS9*SSU7</f>
        <v>0</v>
      </c>
      <c r="SSV9" s="7157"/>
      <c r="SSW9" s="7157"/>
      <c r="SSX9" s="7157"/>
      <c r="SSY9" s="7158"/>
      <c r="SSZ9" s="7158"/>
      <c r="STA9" s="7158"/>
      <c r="STB9" s="7158"/>
      <c r="STC9" s="7158"/>
      <c r="STD9" s="7159"/>
      <c r="STE9" s="7152" t="s">
        <v>1012</v>
      </c>
      <c r="STF9" s="7153"/>
      <c r="STG9" s="7153"/>
      <c r="STH9" s="7153"/>
      <c r="STI9" s="7163">
        <v>0.05</v>
      </c>
      <c r="STJ9" s="7164"/>
      <c r="STK9" s="7157">
        <f>STI9*STK7</f>
        <v>0</v>
      </c>
      <c r="STL9" s="7157"/>
      <c r="STM9" s="7157"/>
      <c r="STN9" s="7157"/>
      <c r="STO9" s="7158"/>
      <c r="STP9" s="7158"/>
      <c r="STQ9" s="7158"/>
      <c r="STR9" s="7158"/>
      <c r="STS9" s="7158"/>
      <c r="STT9" s="7159"/>
      <c r="STU9" s="7152" t="s">
        <v>1012</v>
      </c>
      <c r="STV9" s="7153"/>
      <c r="STW9" s="7153"/>
      <c r="STX9" s="7153"/>
      <c r="STY9" s="7163">
        <v>0.05</v>
      </c>
      <c r="STZ9" s="7164"/>
      <c r="SUA9" s="7157">
        <f>STY9*SUA7</f>
        <v>0</v>
      </c>
      <c r="SUB9" s="7157"/>
      <c r="SUC9" s="7157"/>
      <c r="SUD9" s="7157"/>
      <c r="SUE9" s="7158"/>
      <c r="SUF9" s="7158"/>
      <c r="SUG9" s="7158"/>
      <c r="SUH9" s="7158"/>
      <c r="SUI9" s="7158"/>
      <c r="SUJ9" s="7159"/>
      <c r="SUK9" s="7152" t="s">
        <v>1012</v>
      </c>
      <c r="SUL9" s="7153"/>
      <c r="SUM9" s="7153"/>
      <c r="SUN9" s="7153"/>
      <c r="SUO9" s="7163">
        <v>0.05</v>
      </c>
      <c r="SUP9" s="7164"/>
      <c r="SUQ9" s="7157">
        <f>SUO9*SUQ7</f>
        <v>0</v>
      </c>
      <c r="SUR9" s="7157"/>
      <c r="SUS9" s="7157"/>
      <c r="SUT9" s="7157"/>
      <c r="SUU9" s="7158"/>
      <c r="SUV9" s="7158"/>
      <c r="SUW9" s="7158"/>
      <c r="SUX9" s="7158"/>
      <c r="SUY9" s="7158"/>
      <c r="SUZ9" s="7159"/>
      <c r="SVA9" s="7152" t="s">
        <v>1012</v>
      </c>
      <c r="SVB9" s="7153"/>
      <c r="SVC9" s="7153"/>
      <c r="SVD9" s="7153"/>
      <c r="SVE9" s="7163">
        <v>0.05</v>
      </c>
      <c r="SVF9" s="7164"/>
      <c r="SVG9" s="7157">
        <f>SVE9*SVG7</f>
        <v>0</v>
      </c>
      <c r="SVH9" s="7157"/>
      <c r="SVI9" s="7157"/>
      <c r="SVJ9" s="7157"/>
      <c r="SVK9" s="7158"/>
      <c r="SVL9" s="7158"/>
      <c r="SVM9" s="7158"/>
      <c r="SVN9" s="7158"/>
      <c r="SVO9" s="7158"/>
      <c r="SVP9" s="7159"/>
      <c r="SVQ9" s="7152" t="s">
        <v>1012</v>
      </c>
      <c r="SVR9" s="7153"/>
      <c r="SVS9" s="7153"/>
      <c r="SVT9" s="7153"/>
      <c r="SVU9" s="7163">
        <v>0.05</v>
      </c>
      <c r="SVV9" s="7164"/>
      <c r="SVW9" s="7157">
        <f>SVU9*SVW7</f>
        <v>0</v>
      </c>
      <c r="SVX9" s="7157"/>
      <c r="SVY9" s="7157"/>
      <c r="SVZ9" s="7157"/>
      <c r="SWA9" s="7158"/>
      <c r="SWB9" s="7158"/>
      <c r="SWC9" s="7158"/>
      <c r="SWD9" s="7158"/>
      <c r="SWE9" s="7158"/>
      <c r="SWF9" s="7159"/>
      <c r="SWG9" s="7152" t="s">
        <v>1012</v>
      </c>
      <c r="SWH9" s="7153"/>
      <c r="SWI9" s="7153"/>
      <c r="SWJ9" s="7153"/>
      <c r="SWK9" s="7163">
        <v>0.05</v>
      </c>
      <c r="SWL9" s="7164"/>
      <c r="SWM9" s="7157">
        <f>SWK9*SWM7</f>
        <v>0</v>
      </c>
      <c r="SWN9" s="7157"/>
      <c r="SWO9" s="7157"/>
      <c r="SWP9" s="7157"/>
      <c r="SWQ9" s="7158"/>
      <c r="SWR9" s="7158"/>
      <c r="SWS9" s="7158"/>
      <c r="SWT9" s="7158"/>
      <c r="SWU9" s="7158"/>
      <c r="SWV9" s="7159"/>
      <c r="SWW9" s="7152" t="s">
        <v>1012</v>
      </c>
      <c r="SWX9" s="7153"/>
      <c r="SWY9" s="7153"/>
      <c r="SWZ9" s="7153"/>
      <c r="SXA9" s="7163">
        <v>0.05</v>
      </c>
      <c r="SXB9" s="7164"/>
      <c r="SXC9" s="7157">
        <f>SXA9*SXC7</f>
        <v>0</v>
      </c>
      <c r="SXD9" s="7157"/>
      <c r="SXE9" s="7157"/>
      <c r="SXF9" s="7157"/>
      <c r="SXG9" s="7158"/>
      <c r="SXH9" s="7158"/>
      <c r="SXI9" s="7158"/>
      <c r="SXJ9" s="7158"/>
      <c r="SXK9" s="7158"/>
      <c r="SXL9" s="7159"/>
      <c r="SXM9" s="7152" t="s">
        <v>1012</v>
      </c>
      <c r="SXN9" s="7153"/>
      <c r="SXO9" s="7153"/>
      <c r="SXP9" s="7153"/>
      <c r="SXQ9" s="7163">
        <v>0.05</v>
      </c>
      <c r="SXR9" s="7164"/>
      <c r="SXS9" s="7157">
        <f>SXQ9*SXS7</f>
        <v>0</v>
      </c>
      <c r="SXT9" s="7157"/>
      <c r="SXU9" s="7157"/>
      <c r="SXV9" s="7157"/>
      <c r="SXW9" s="7158"/>
      <c r="SXX9" s="7158"/>
      <c r="SXY9" s="7158"/>
      <c r="SXZ9" s="7158"/>
      <c r="SYA9" s="7158"/>
      <c r="SYB9" s="7159"/>
      <c r="SYC9" s="7152" t="s">
        <v>1012</v>
      </c>
      <c r="SYD9" s="7153"/>
      <c r="SYE9" s="7153"/>
      <c r="SYF9" s="7153"/>
      <c r="SYG9" s="7163">
        <v>0.05</v>
      </c>
      <c r="SYH9" s="7164"/>
      <c r="SYI9" s="7157">
        <f>SYG9*SYI7</f>
        <v>0</v>
      </c>
      <c r="SYJ9" s="7157"/>
      <c r="SYK9" s="7157"/>
      <c r="SYL9" s="7157"/>
      <c r="SYM9" s="7158"/>
      <c r="SYN9" s="7158"/>
      <c r="SYO9" s="7158"/>
      <c r="SYP9" s="7158"/>
      <c r="SYQ9" s="7158"/>
      <c r="SYR9" s="7159"/>
      <c r="SYS9" s="7152" t="s">
        <v>1012</v>
      </c>
      <c r="SYT9" s="7153"/>
      <c r="SYU9" s="7153"/>
      <c r="SYV9" s="7153"/>
      <c r="SYW9" s="7163">
        <v>0.05</v>
      </c>
      <c r="SYX9" s="7164"/>
      <c r="SYY9" s="7157">
        <f>SYW9*SYY7</f>
        <v>0</v>
      </c>
      <c r="SYZ9" s="7157"/>
      <c r="SZA9" s="7157"/>
      <c r="SZB9" s="7157"/>
      <c r="SZC9" s="7158"/>
      <c r="SZD9" s="7158"/>
      <c r="SZE9" s="7158"/>
      <c r="SZF9" s="7158"/>
      <c r="SZG9" s="7158"/>
      <c r="SZH9" s="7159"/>
      <c r="SZI9" s="7152" t="s">
        <v>1012</v>
      </c>
      <c r="SZJ9" s="7153"/>
      <c r="SZK9" s="7153"/>
      <c r="SZL9" s="7153"/>
      <c r="SZM9" s="7163">
        <v>0.05</v>
      </c>
      <c r="SZN9" s="7164"/>
      <c r="SZO9" s="7157">
        <f>SZM9*SZO7</f>
        <v>0</v>
      </c>
      <c r="SZP9" s="7157"/>
      <c r="SZQ9" s="7157"/>
      <c r="SZR9" s="7157"/>
      <c r="SZS9" s="7158"/>
      <c r="SZT9" s="7158"/>
      <c r="SZU9" s="7158"/>
      <c r="SZV9" s="7158"/>
      <c r="SZW9" s="7158"/>
      <c r="SZX9" s="7159"/>
      <c r="SZY9" s="7152" t="s">
        <v>1012</v>
      </c>
      <c r="SZZ9" s="7153"/>
      <c r="TAA9" s="7153"/>
      <c r="TAB9" s="7153"/>
      <c r="TAC9" s="7163">
        <v>0.05</v>
      </c>
      <c r="TAD9" s="7164"/>
      <c r="TAE9" s="7157">
        <f>TAC9*TAE7</f>
        <v>0</v>
      </c>
      <c r="TAF9" s="7157"/>
      <c r="TAG9" s="7157"/>
      <c r="TAH9" s="7157"/>
      <c r="TAI9" s="7158"/>
      <c r="TAJ9" s="7158"/>
      <c r="TAK9" s="7158"/>
      <c r="TAL9" s="7158"/>
      <c r="TAM9" s="7158"/>
      <c r="TAN9" s="7159"/>
      <c r="TAO9" s="7152" t="s">
        <v>1012</v>
      </c>
      <c r="TAP9" s="7153"/>
      <c r="TAQ9" s="7153"/>
      <c r="TAR9" s="7153"/>
      <c r="TAS9" s="7163">
        <v>0.05</v>
      </c>
      <c r="TAT9" s="7164"/>
      <c r="TAU9" s="7157">
        <f>TAS9*TAU7</f>
        <v>0</v>
      </c>
      <c r="TAV9" s="7157"/>
      <c r="TAW9" s="7157"/>
      <c r="TAX9" s="7157"/>
      <c r="TAY9" s="7158"/>
      <c r="TAZ9" s="7158"/>
      <c r="TBA9" s="7158"/>
      <c r="TBB9" s="7158"/>
      <c r="TBC9" s="7158"/>
      <c r="TBD9" s="7159"/>
      <c r="TBE9" s="7152" t="s">
        <v>1012</v>
      </c>
      <c r="TBF9" s="7153"/>
      <c r="TBG9" s="7153"/>
      <c r="TBH9" s="7153"/>
      <c r="TBI9" s="7163">
        <v>0.05</v>
      </c>
      <c r="TBJ9" s="7164"/>
      <c r="TBK9" s="7157">
        <f>TBI9*TBK7</f>
        <v>0</v>
      </c>
      <c r="TBL9" s="7157"/>
      <c r="TBM9" s="7157"/>
      <c r="TBN9" s="7157"/>
      <c r="TBO9" s="7158"/>
      <c r="TBP9" s="7158"/>
      <c r="TBQ9" s="7158"/>
      <c r="TBR9" s="7158"/>
      <c r="TBS9" s="7158"/>
      <c r="TBT9" s="7159"/>
      <c r="TBU9" s="7152" t="s">
        <v>1012</v>
      </c>
      <c r="TBV9" s="7153"/>
      <c r="TBW9" s="7153"/>
      <c r="TBX9" s="7153"/>
      <c r="TBY9" s="7163">
        <v>0.05</v>
      </c>
      <c r="TBZ9" s="7164"/>
      <c r="TCA9" s="7157">
        <f>TBY9*TCA7</f>
        <v>0</v>
      </c>
      <c r="TCB9" s="7157"/>
      <c r="TCC9" s="7157"/>
      <c r="TCD9" s="7157"/>
      <c r="TCE9" s="7158"/>
      <c r="TCF9" s="7158"/>
      <c r="TCG9" s="7158"/>
      <c r="TCH9" s="7158"/>
      <c r="TCI9" s="7158"/>
      <c r="TCJ9" s="7159"/>
      <c r="TCK9" s="7152" t="s">
        <v>1012</v>
      </c>
      <c r="TCL9" s="7153"/>
      <c r="TCM9" s="7153"/>
      <c r="TCN9" s="7153"/>
      <c r="TCO9" s="7163">
        <v>0.05</v>
      </c>
      <c r="TCP9" s="7164"/>
      <c r="TCQ9" s="7157">
        <f>TCO9*TCQ7</f>
        <v>0</v>
      </c>
      <c r="TCR9" s="7157"/>
      <c r="TCS9" s="7157"/>
      <c r="TCT9" s="7157"/>
      <c r="TCU9" s="7158"/>
      <c r="TCV9" s="7158"/>
      <c r="TCW9" s="7158"/>
      <c r="TCX9" s="7158"/>
      <c r="TCY9" s="7158"/>
      <c r="TCZ9" s="7159"/>
      <c r="TDA9" s="7152" t="s">
        <v>1012</v>
      </c>
      <c r="TDB9" s="7153"/>
      <c r="TDC9" s="7153"/>
      <c r="TDD9" s="7153"/>
      <c r="TDE9" s="7163">
        <v>0.05</v>
      </c>
      <c r="TDF9" s="7164"/>
      <c r="TDG9" s="7157">
        <f>TDE9*TDG7</f>
        <v>0</v>
      </c>
      <c r="TDH9" s="7157"/>
      <c r="TDI9" s="7157"/>
      <c r="TDJ9" s="7157"/>
      <c r="TDK9" s="7158"/>
      <c r="TDL9" s="7158"/>
      <c r="TDM9" s="7158"/>
      <c r="TDN9" s="7158"/>
      <c r="TDO9" s="7158"/>
      <c r="TDP9" s="7159"/>
      <c r="TDQ9" s="7152" t="s">
        <v>1012</v>
      </c>
      <c r="TDR9" s="7153"/>
      <c r="TDS9" s="7153"/>
      <c r="TDT9" s="7153"/>
      <c r="TDU9" s="7163">
        <v>0.05</v>
      </c>
      <c r="TDV9" s="7164"/>
      <c r="TDW9" s="7157">
        <f>TDU9*TDW7</f>
        <v>0</v>
      </c>
      <c r="TDX9" s="7157"/>
      <c r="TDY9" s="7157"/>
      <c r="TDZ9" s="7157"/>
      <c r="TEA9" s="7158"/>
      <c r="TEB9" s="7158"/>
      <c r="TEC9" s="7158"/>
      <c r="TED9" s="7158"/>
      <c r="TEE9" s="7158"/>
      <c r="TEF9" s="7159"/>
      <c r="TEG9" s="7152" t="s">
        <v>1012</v>
      </c>
      <c r="TEH9" s="7153"/>
      <c r="TEI9" s="7153"/>
      <c r="TEJ9" s="7153"/>
      <c r="TEK9" s="7163">
        <v>0.05</v>
      </c>
      <c r="TEL9" s="7164"/>
      <c r="TEM9" s="7157">
        <f>TEK9*TEM7</f>
        <v>0</v>
      </c>
      <c r="TEN9" s="7157"/>
      <c r="TEO9" s="7157"/>
      <c r="TEP9" s="7157"/>
      <c r="TEQ9" s="7158"/>
      <c r="TER9" s="7158"/>
      <c r="TES9" s="7158"/>
      <c r="TET9" s="7158"/>
      <c r="TEU9" s="7158"/>
      <c r="TEV9" s="7159"/>
      <c r="TEW9" s="7152" t="s">
        <v>1012</v>
      </c>
      <c r="TEX9" s="7153"/>
      <c r="TEY9" s="7153"/>
      <c r="TEZ9" s="7153"/>
      <c r="TFA9" s="7163">
        <v>0.05</v>
      </c>
      <c r="TFB9" s="7164"/>
      <c r="TFC9" s="7157">
        <f>TFA9*TFC7</f>
        <v>0</v>
      </c>
      <c r="TFD9" s="7157"/>
      <c r="TFE9" s="7157"/>
      <c r="TFF9" s="7157"/>
      <c r="TFG9" s="7158"/>
      <c r="TFH9" s="7158"/>
      <c r="TFI9" s="7158"/>
      <c r="TFJ9" s="7158"/>
      <c r="TFK9" s="7158"/>
      <c r="TFL9" s="7159"/>
      <c r="TFM9" s="7152" t="s">
        <v>1012</v>
      </c>
      <c r="TFN9" s="7153"/>
      <c r="TFO9" s="7153"/>
      <c r="TFP9" s="7153"/>
      <c r="TFQ9" s="7163">
        <v>0.05</v>
      </c>
      <c r="TFR9" s="7164"/>
      <c r="TFS9" s="7157">
        <f>TFQ9*TFS7</f>
        <v>0</v>
      </c>
      <c r="TFT9" s="7157"/>
      <c r="TFU9" s="7157"/>
      <c r="TFV9" s="7157"/>
      <c r="TFW9" s="7158"/>
      <c r="TFX9" s="7158"/>
      <c r="TFY9" s="7158"/>
      <c r="TFZ9" s="7158"/>
      <c r="TGA9" s="7158"/>
      <c r="TGB9" s="7159"/>
      <c r="TGC9" s="7152" t="s">
        <v>1012</v>
      </c>
      <c r="TGD9" s="7153"/>
      <c r="TGE9" s="7153"/>
      <c r="TGF9" s="7153"/>
      <c r="TGG9" s="7163">
        <v>0.05</v>
      </c>
      <c r="TGH9" s="7164"/>
      <c r="TGI9" s="7157">
        <f>TGG9*TGI7</f>
        <v>0</v>
      </c>
      <c r="TGJ9" s="7157"/>
      <c r="TGK9" s="7157"/>
      <c r="TGL9" s="7157"/>
      <c r="TGM9" s="7158"/>
      <c r="TGN9" s="7158"/>
      <c r="TGO9" s="7158"/>
      <c r="TGP9" s="7158"/>
      <c r="TGQ9" s="7158"/>
      <c r="TGR9" s="7159"/>
      <c r="TGS9" s="7152" t="s">
        <v>1012</v>
      </c>
      <c r="TGT9" s="7153"/>
      <c r="TGU9" s="7153"/>
      <c r="TGV9" s="7153"/>
      <c r="TGW9" s="7163">
        <v>0.05</v>
      </c>
      <c r="TGX9" s="7164"/>
      <c r="TGY9" s="7157">
        <f>TGW9*TGY7</f>
        <v>0</v>
      </c>
      <c r="TGZ9" s="7157"/>
      <c r="THA9" s="7157"/>
      <c r="THB9" s="7157"/>
      <c r="THC9" s="7158"/>
      <c r="THD9" s="7158"/>
      <c r="THE9" s="7158"/>
      <c r="THF9" s="7158"/>
      <c r="THG9" s="7158"/>
      <c r="THH9" s="7159"/>
      <c r="THI9" s="7152" t="s">
        <v>1012</v>
      </c>
      <c r="THJ9" s="7153"/>
      <c r="THK9" s="7153"/>
      <c r="THL9" s="7153"/>
      <c r="THM9" s="7163">
        <v>0.05</v>
      </c>
      <c r="THN9" s="7164"/>
      <c r="THO9" s="7157">
        <f>THM9*THO7</f>
        <v>0</v>
      </c>
      <c r="THP9" s="7157"/>
      <c r="THQ9" s="7157"/>
      <c r="THR9" s="7157"/>
      <c r="THS9" s="7158"/>
      <c r="THT9" s="7158"/>
      <c r="THU9" s="7158"/>
      <c r="THV9" s="7158"/>
      <c r="THW9" s="7158"/>
      <c r="THX9" s="7159"/>
      <c r="THY9" s="7152" t="s">
        <v>1012</v>
      </c>
      <c r="THZ9" s="7153"/>
      <c r="TIA9" s="7153"/>
      <c r="TIB9" s="7153"/>
      <c r="TIC9" s="7163">
        <v>0.05</v>
      </c>
      <c r="TID9" s="7164"/>
      <c r="TIE9" s="7157">
        <f>TIC9*TIE7</f>
        <v>0</v>
      </c>
      <c r="TIF9" s="7157"/>
      <c r="TIG9" s="7157"/>
      <c r="TIH9" s="7157"/>
      <c r="TII9" s="7158"/>
      <c r="TIJ9" s="7158"/>
      <c r="TIK9" s="7158"/>
      <c r="TIL9" s="7158"/>
      <c r="TIM9" s="7158"/>
      <c r="TIN9" s="7159"/>
      <c r="TIO9" s="7152" t="s">
        <v>1012</v>
      </c>
      <c r="TIP9" s="7153"/>
      <c r="TIQ9" s="7153"/>
      <c r="TIR9" s="7153"/>
      <c r="TIS9" s="7163">
        <v>0.05</v>
      </c>
      <c r="TIT9" s="7164"/>
      <c r="TIU9" s="7157">
        <f>TIS9*TIU7</f>
        <v>0</v>
      </c>
      <c r="TIV9" s="7157"/>
      <c r="TIW9" s="7157"/>
      <c r="TIX9" s="7157"/>
      <c r="TIY9" s="7158"/>
      <c r="TIZ9" s="7158"/>
      <c r="TJA9" s="7158"/>
      <c r="TJB9" s="7158"/>
      <c r="TJC9" s="7158"/>
      <c r="TJD9" s="7159"/>
      <c r="TJE9" s="7152" t="s">
        <v>1012</v>
      </c>
      <c r="TJF9" s="7153"/>
      <c r="TJG9" s="7153"/>
      <c r="TJH9" s="7153"/>
      <c r="TJI9" s="7163">
        <v>0.05</v>
      </c>
      <c r="TJJ9" s="7164"/>
      <c r="TJK9" s="7157">
        <f>TJI9*TJK7</f>
        <v>0</v>
      </c>
      <c r="TJL9" s="7157"/>
      <c r="TJM9" s="7157"/>
      <c r="TJN9" s="7157"/>
      <c r="TJO9" s="7158"/>
      <c r="TJP9" s="7158"/>
      <c r="TJQ9" s="7158"/>
      <c r="TJR9" s="7158"/>
      <c r="TJS9" s="7158"/>
      <c r="TJT9" s="7159"/>
      <c r="TJU9" s="7152" t="s">
        <v>1012</v>
      </c>
      <c r="TJV9" s="7153"/>
      <c r="TJW9" s="7153"/>
      <c r="TJX9" s="7153"/>
      <c r="TJY9" s="7163">
        <v>0.05</v>
      </c>
      <c r="TJZ9" s="7164"/>
      <c r="TKA9" s="7157">
        <f>TJY9*TKA7</f>
        <v>0</v>
      </c>
      <c r="TKB9" s="7157"/>
      <c r="TKC9" s="7157"/>
      <c r="TKD9" s="7157"/>
      <c r="TKE9" s="7158"/>
      <c r="TKF9" s="7158"/>
      <c r="TKG9" s="7158"/>
      <c r="TKH9" s="7158"/>
      <c r="TKI9" s="7158"/>
      <c r="TKJ9" s="7159"/>
      <c r="TKK9" s="7152" t="s">
        <v>1012</v>
      </c>
      <c r="TKL9" s="7153"/>
      <c r="TKM9" s="7153"/>
      <c r="TKN9" s="7153"/>
      <c r="TKO9" s="7163">
        <v>0.05</v>
      </c>
      <c r="TKP9" s="7164"/>
      <c r="TKQ9" s="7157">
        <f>TKO9*TKQ7</f>
        <v>0</v>
      </c>
      <c r="TKR9" s="7157"/>
      <c r="TKS9" s="7157"/>
      <c r="TKT9" s="7157"/>
      <c r="TKU9" s="7158"/>
      <c r="TKV9" s="7158"/>
      <c r="TKW9" s="7158"/>
      <c r="TKX9" s="7158"/>
      <c r="TKY9" s="7158"/>
      <c r="TKZ9" s="7159"/>
      <c r="TLA9" s="7152" t="s">
        <v>1012</v>
      </c>
      <c r="TLB9" s="7153"/>
      <c r="TLC9" s="7153"/>
      <c r="TLD9" s="7153"/>
      <c r="TLE9" s="7163">
        <v>0.05</v>
      </c>
      <c r="TLF9" s="7164"/>
      <c r="TLG9" s="7157">
        <f>TLE9*TLG7</f>
        <v>0</v>
      </c>
      <c r="TLH9" s="7157"/>
      <c r="TLI9" s="7157"/>
      <c r="TLJ9" s="7157"/>
      <c r="TLK9" s="7158"/>
      <c r="TLL9" s="7158"/>
      <c r="TLM9" s="7158"/>
      <c r="TLN9" s="7158"/>
      <c r="TLO9" s="7158"/>
      <c r="TLP9" s="7159"/>
      <c r="TLQ9" s="7152" t="s">
        <v>1012</v>
      </c>
      <c r="TLR9" s="7153"/>
      <c r="TLS9" s="7153"/>
      <c r="TLT9" s="7153"/>
      <c r="TLU9" s="7163">
        <v>0.05</v>
      </c>
      <c r="TLV9" s="7164"/>
      <c r="TLW9" s="7157">
        <f>TLU9*TLW7</f>
        <v>0</v>
      </c>
      <c r="TLX9" s="7157"/>
      <c r="TLY9" s="7157"/>
      <c r="TLZ9" s="7157"/>
      <c r="TMA9" s="7158"/>
      <c r="TMB9" s="7158"/>
      <c r="TMC9" s="7158"/>
      <c r="TMD9" s="7158"/>
      <c r="TME9" s="7158"/>
      <c r="TMF9" s="7159"/>
      <c r="TMG9" s="7152" t="s">
        <v>1012</v>
      </c>
      <c r="TMH9" s="7153"/>
      <c r="TMI9" s="7153"/>
      <c r="TMJ9" s="7153"/>
      <c r="TMK9" s="7163">
        <v>0.05</v>
      </c>
      <c r="TML9" s="7164"/>
      <c r="TMM9" s="7157">
        <f>TMK9*TMM7</f>
        <v>0</v>
      </c>
      <c r="TMN9" s="7157"/>
      <c r="TMO9" s="7157"/>
      <c r="TMP9" s="7157"/>
      <c r="TMQ9" s="7158"/>
      <c r="TMR9" s="7158"/>
      <c r="TMS9" s="7158"/>
      <c r="TMT9" s="7158"/>
      <c r="TMU9" s="7158"/>
      <c r="TMV9" s="7159"/>
      <c r="TMW9" s="7152" t="s">
        <v>1012</v>
      </c>
      <c r="TMX9" s="7153"/>
      <c r="TMY9" s="7153"/>
      <c r="TMZ9" s="7153"/>
      <c r="TNA9" s="7163">
        <v>0.05</v>
      </c>
      <c r="TNB9" s="7164"/>
      <c r="TNC9" s="7157">
        <f>TNA9*TNC7</f>
        <v>0</v>
      </c>
      <c r="TND9" s="7157"/>
      <c r="TNE9" s="7157"/>
      <c r="TNF9" s="7157"/>
      <c r="TNG9" s="7158"/>
      <c r="TNH9" s="7158"/>
      <c r="TNI9" s="7158"/>
      <c r="TNJ9" s="7158"/>
      <c r="TNK9" s="7158"/>
      <c r="TNL9" s="7159"/>
      <c r="TNM9" s="7152" t="s">
        <v>1012</v>
      </c>
      <c r="TNN9" s="7153"/>
      <c r="TNO9" s="7153"/>
      <c r="TNP9" s="7153"/>
      <c r="TNQ9" s="7163">
        <v>0.05</v>
      </c>
      <c r="TNR9" s="7164"/>
      <c r="TNS9" s="7157">
        <f>TNQ9*TNS7</f>
        <v>0</v>
      </c>
      <c r="TNT9" s="7157"/>
      <c r="TNU9" s="7157"/>
      <c r="TNV9" s="7157"/>
      <c r="TNW9" s="7158"/>
      <c r="TNX9" s="7158"/>
      <c r="TNY9" s="7158"/>
      <c r="TNZ9" s="7158"/>
      <c r="TOA9" s="7158"/>
      <c r="TOB9" s="7159"/>
      <c r="TOC9" s="7152" t="s">
        <v>1012</v>
      </c>
      <c r="TOD9" s="7153"/>
      <c r="TOE9" s="7153"/>
      <c r="TOF9" s="7153"/>
      <c r="TOG9" s="7163">
        <v>0.05</v>
      </c>
      <c r="TOH9" s="7164"/>
      <c r="TOI9" s="7157">
        <f>TOG9*TOI7</f>
        <v>0</v>
      </c>
      <c r="TOJ9" s="7157"/>
      <c r="TOK9" s="7157"/>
      <c r="TOL9" s="7157"/>
      <c r="TOM9" s="7158"/>
      <c r="TON9" s="7158"/>
      <c r="TOO9" s="7158"/>
      <c r="TOP9" s="7158"/>
      <c r="TOQ9" s="7158"/>
      <c r="TOR9" s="7159"/>
      <c r="TOS9" s="7152" t="s">
        <v>1012</v>
      </c>
      <c r="TOT9" s="7153"/>
      <c r="TOU9" s="7153"/>
      <c r="TOV9" s="7153"/>
      <c r="TOW9" s="7163">
        <v>0.05</v>
      </c>
      <c r="TOX9" s="7164"/>
      <c r="TOY9" s="7157">
        <f>TOW9*TOY7</f>
        <v>0</v>
      </c>
      <c r="TOZ9" s="7157"/>
      <c r="TPA9" s="7157"/>
      <c r="TPB9" s="7157"/>
      <c r="TPC9" s="7158"/>
      <c r="TPD9" s="7158"/>
      <c r="TPE9" s="7158"/>
      <c r="TPF9" s="7158"/>
      <c r="TPG9" s="7158"/>
      <c r="TPH9" s="7159"/>
      <c r="TPI9" s="7152" t="s">
        <v>1012</v>
      </c>
      <c r="TPJ9" s="7153"/>
      <c r="TPK9" s="7153"/>
      <c r="TPL9" s="7153"/>
      <c r="TPM9" s="7163">
        <v>0.05</v>
      </c>
      <c r="TPN9" s="7164"/>
      <c r="TPO9" s="7157">
        <f>TPM9*TPO7</f>
        <v>0</v>
      </c>
      <c r="TPP9" s="7157"/>
      <c r="TPQ9" s="7157"/>
      <c r="TPR9" s="7157"/>
      <c r="TPS9" s="7158"/>
      <c r="TPT9" s="7158"/>
      <c r="TPU9" s="7158"/>
      <c r="TPV9" s="7158"/>
      <c r="TPW9" s="7158"/>
      <c r="TPX9" s="7159"/>
      <c r="TPY9" s="7152" t="s">
        <v>1012</v>
      </c>
      <c r="TPZ9" s="7153"/>
      <c r="TQA9" s="7153"/>
      <c r="TQB9" s="7153"/>
      <c r="TQC9" s="7163">
        <v>0.05</v>
      </c>
      <c r="TQD9" s="7164"/>
      <c r="TQE9" s="7157">
        <f>TQC9*TQE7</f>
        <v>0</v>
      </c>
      <c r="TQF9" s="7157"/>
      <c r="TQG9" s="7157"/>
      <c r="TQH9" s="7157"/>
      <c r="TQI9" s="7158"/>
      <c r="TQJ9" s="7158"/>
      <c r="TQK9" s="7158"/>
      <c r="TQL9" s="7158"/>
      <c r="TQM9" s="7158"/>
      <c r="TQN9" s="7159"/>
      <c r="TQO9" s="7152" t="s">
        <v>1012</v>
      </c>
      <c r="TQP9" s="7153"/>
      <c r="TQQ9" s="7153"/>
      <c r="TQR9" s="7153"/>
      <c r="TQS9" s="7163">
        <v>0.05</v>
      </c>
      <c r="TQT9" s="7164"/>
      <c r="TQU9" s="7157">
        <f>TQS9*TQU7</f>
        <v>0</v>
      </c>
      <c r="TQV9" s="7157"/>
      <c r="TQW9" s="7157"/>
      <c r="TQX9" s="7157"/>
      <c r="TQY9" s="7158"/>
      <c r="TQZ9" s="7158"/>
      <c r="TRA9" s="7158"/>
      <c r="TRB9" s="7158"/>
      <c r="TRC9" s="7158"/>
      <c r="TRD9" s="7159"/>
      <c r="TRE9" s="7152" t="s">
        <v>1012</v>
      </c>
      <c r="TRF9" s="7153"/>
      <c r="TRG9" s="7153"/>
      <c r="TRH9" s="7153"/>
      <c r="TRI9" s="7163">
        <v>0.05</v>
      </c>
      <c r="TRJ9" s="7164"/>
      <c r="TRK9" s="7157">
        <f>TRI9*TRK7</f>
        <v>0</v>
      </c>
      <c r="TRL9" s="7157"/>
      <c r="TRM9" s="7157"/>
      <c r="TRN9" s="7157"/>
      <c r="TRO9" s="7158"/>
      <c r="TRP9" s="7158"/>
      <c r="TRQ9" s="7158"/>
      <c r="TRR9" s="7158"/>
      <c r="TRS9" s="7158"/>
      <c r="TRT9" s="7159"/>
      <c r="TRU9" s="7152" t="s">
        <v>1012</v>
      </c>
      <c r="TRV9" s="7153"/>
      <c r="TRW9" s="7153"/>
      <c r="TRX9" s="7153"/>
      <c r="TRY9" s="7163">
        <v>0.05</v>
      </c>
      <c r="TRZ9" s="7164"/>
      <c r="TSA9" s="7157">
        <f>TRY9*TSA7</f>
        <v>0</v>
      </c>
      <c r="TSB9" s="7157"/>
      <c r="TSC9" s="7157"/>
      <c r="TSD9" s="7157"/>
      <c r="TSE9" s="7158"/>
      <c r="TSF9" s="7158"/>
      <c r="TSG9" s="7158"/>
      <c r="TSH9" s="7158"/>
      <c r="TSI9" s="7158"/>
      <c r="TSJ9" s="7159"/>
      <c r="TSK9" s="7152" t="s">
        <v>1012</v>
      </c>
      <c r="TSL9" s="7153"/>
      <c r="TSM9" s="7153"/>
      <c r="TSN9" s="7153"/>
      <c r="TSO9" s="7163">
        <v>0.05</v>
      </c>
      <c r="TSP9" s="7164"/>
      <c r="TSQ9" s="7157">
        <f>TSO9*TSQ7</f>
        <v>0</v>
      </c>
      <c r="TSR9" s="7157"/>
      <c r="TSS9" s="7157"/>
      <c r="TST9" s="7157"/>
      <c r="TSU9" s="7158"/>
      <c r="TSV9" s="7158"/>
      <c r="TSW9" s="7158"/>
      <c r="TSX9" s="7158"/>
      <c r="TSY9" s="7158"/>
      <c r="TSZ9" s="7159"/>
      <c r="TTA9" s="7152" t="s">
        <v>1012</v>
      </c>
      <c r="TTB9" s="7153"/>
      <c r="TTC9" s="7153"/>
      <c r="TTD9" s="7153"/>
      <c r="TTE9" s="7163">
        <v>0.05</v>
      </c>
      <c r="TTF9" s="7164"/>
      <c r="TTG9" s="7157">
        <f>TTE9*TTG7</f>
        <v>0</v>
      </c>
      <c r="TTH9" s="7157"/>
      <c r="TTI9" s="7157"/>
      <c r="TTJ9" s="7157"/>
      <c r="TTK9" s="7158"/>
      <c r="TTL9" s="7158"/>
      <c r="TTM9" s="7158"/>
      <c r="TTN9" s="7158"/>
      <c r="TTO9" s="7158"/>
      <c r="TTP9" s="7159"/>
      <c r="TTQ9" s="7152" t="s">
        <v>1012</v>
      </c>
      <c r="TTR9" s="7153"/>
      <c r="TTS9" s="7153"/>
      <c r="TTT9" s="7153"/>
      <c r="TTU9" s="7163">
        <v>0.05</v>
      </c>
      <c r="TTV9" s="7164"/>
      <c r="TTW9" s="7157">
        <f>TTU9*TTW7</f>
        <v>0</v>
      </c>
      <c r="TTX9" s="7157"/>
      <c r="TTY9" s="7157"/>
      <c r="TTZ9" s="7157"/>
      <c r="TUA9" s="7158"/>
      <c r="TUB9" s="7158"/>
      <c r="TUC9" s="7158"/>
      <c r="TUD9" s="7158"/>
      <c r="TUE9" s="7158"/>
      <c r="TUF9" s="7159"/>
      <c r="TUG9" s="7152" t="s">
        <v>1012</v>
      </c>
      <c r="TUH9" s="7153"/>
      <c r="TUI9" s="7153"/>
      <c r="TUJ9" s="7153"/>
      <c r="TUK9" s="7163">
        <v>0.05</v>
      </c>
      <c r="TUL9" s="7164"/>
      <c r="TUM9" s="7157">
        <f>TUK9*TUM7</f>
        <v>0</v>
      </c>
      <c r="TUN9" s="7157"/>
      <c r="TUO9" s="7157"/>
      <c r="TUP9" s="7157"/>
      <c r="TUQ9" s="7158"/>
      <c r="TUR9" s="7158"/>
      <c r="TUS9" s="7158"/>
      <c r="TUT9" s="7158"/>
      <c r="TUU9" s="7158"/>
      <c r="TUV9" s="7159"/>
      <c r="TUW9" s="7152" t="s">
        <v>1012</v>
      </c>
      <c r="TUX9" s="7153"/>
      <c r="TUY9" s="7153"/>
      <c r="TUZ9" s="7153"/>
      <c r="TVA9" s="7163">
        <v>0.05</v>
      </c>
      <c r="TVB9" s="7164"/>
      <c r="TVC9" s="7157">
        <f>TVA9*TVC7</f>
        <v>0</v>
      </c>
      <c r="TVD9" s="7157"/>
      <c r="TVE9" s="7157"/>
      <c r="TVF9" s="7157"/>
      <c r="TVG9" s="7158"/>
      <c r="TVH9" s="7158"/>
      <c r="TVI9" s="7158"/>
      <c r="TVJ9" s="7158"/>
      <c r="TVK9" s="7158"/>
      <c r="TVL9" s="7159"/>
      <c r="TVM9" s="7152" t="s">
        <v>1012</v>
      </c>
      <c r="TVN9" s="7153"/>
      <c r="TVO9" s="7153"/>
      <c r="TVP9" s="7153"/>
      <c r="TVQ9" s="7163">
        <v>0.05</v>
      </c>
      <c r="TVR9" s="7164"/>
      <c r="TVS9" s="7157">
        <f>TVQ9*TVS7</f>
        <v>0</v>
      </c>
      <c r="TVT9" s="7157"/>
      <c r="TVU9" s="7157"/>
      <c r="TVV9" s="7157"/>
      <c r="TVW9" s="7158"/>
      <c r="TVX9" s="7158"/>
      <c r="TVY9" s="7158"/>
      <c r="TVZ9" s="7158"/>
      <c r="TWA9" s="7158"/>
      <c r="TWB9" s="7159"/>
      <c r="TWC9" s="7152" t="s">
        <v>1012</v>
      </c>
      <c r="TWD9" s="7153"/>
      <c r="TWE9" s="7153"/>
      <c r="TWF9" s="7153"/>
      <c r="TWG9" s="7163">
        <v>0.05</v>
      </c>
      <c r="TWH9" s="7164"/>
      <c r="TWI9" s="7157">
        <f>TWG9*TWI7</f>
        <v>0</v>
      </c>
      <c r="TWJ9" s="7157"/>
      <c r="TWK9" s="7157"/>
      <c r="TWL9" s="7157"/>
      <c r="TWM9" s="7158"/>
      <c r="TWN9" s="7158"/>
      <c r="TWO9" s="7158"/>
      <c r="TWP9" s="7158"/>
      <c r="TWQ9" s="7158"/>
      <c r="TWR9" s="7159"/>
      <c r="TWS9" s="7152" t="s">
        <v>1012</v>
      </c>
      <c r="TWT9" s="7153"/>
      <c r="TWU9" s="7153"/>
      <c r="TWV9" s="7153"/>
      <c r="TWW9" s="7163">
        <v>0.05</v>
      </c>
      <c r="TWX9" s="7164"/>
      <c r="TWY9" s="7157">
        <f>TWW9*TWY7</f>
        <v>0</v>
      </c>
      <c r="TWZ9" s="7157"/>
      <c r="TXA9" s="7157"/>
      <c r="TXB9" s="7157"/>
      <c r="TXC9" s="7158"/>
      <c r="TXD9" s="7158"/>
      <c r="TXE9" s="7158"/>
      <c r="TXF9" s="7158"/>
      <c r="TXG9" s="7158"/>
      <c r="TXH9" s="7159"/>
      <c r="TXI9" s="7152" t="s">
        <v>1012</v>
      </c>
      <c r="TXJ9" s="7153"/>
      <c r="TXK9" s="7153"/>
      <c r="TXL9" s="7153"/>
      <c r="TXM9" s="7163">
        <v>0.05</v>
      </c>
      <c r="TXN9" s="7164"/>
      <c r="TXO9" s="7157">
        <f>TXM9*TXO7</f>
        <v>0</v>
      </c>
      <c r="TXP9" s="7157"/>
      <c r="TXQ9" s="7157"/>
      <c r="TXR9" s="7157"/>
      <c r="TXS9" s="7158"/>
      <c r="TXT9" s="7158"/>
      <c r="TXU9" s="7158"/>
      <c r="TXV9" s="7158"/>
      <c r="TXW9" s="7158"/>
      <c r="TXX9" s="7159"/>
      <c r="TXY9" s="7152" t="s">
        <v>1012</v>
      </c>
      <c r="TXZ9" s="7153"/>
      <c r="TYA9" s="7153"/>
      <c r="TYB9" s="7153"/>
      <c r="TYC9" s="7163">
        <v>0.05</v>
      </c>
      <c r="TYD9" s="7164"/>
      <c r="TYE9" s="7157">
        <f>TYC9*TYE7</f>
        <v>0</v>
      </c>
      <c r="TYF9" s="7157"/>
      <c r="TYG9" s="7157"/>
      <c r="TYH9" s="7157"/>
      <c r="TYI9" s="7158"/>
      <c r="TYJ9" s="7158"/>
      <c r="TYK9" s="7158"/>
      <c r="TYL9" s="7158"/>
      <c r="TYM9" s="7158"/>
      <c r="TYN9" s="7159"/>
      <c r="TYO9" s="7152" t="s">
        <v>1012</v>
      </c>
      <c r="TYP9" s="7153"/>
      <c r="TYQ9" s="7153"/>
      <c r="TYR9" s="7153"/>
      <c r="TYS9" s="7163">
        <v>0.05</v>
      </c>
      <c r="TYT9" s="7164"/>
      <c r="TYU9" s="7157">
        <f>TYS9*TYU7</f>
        <v>0</v>
      </c>
      <c r="TYV9" s="7157"/>
      <c r="TYW9" s="7157"/>
      <c r="TYX9" s="7157"/>
      <c r="TYY9" s="7158"/>
      <c r="TYZ9" s="7158"/>
      <c r="TZA9" s="7158"/>
      <c r="TZB9" s="7158"/>
      <c r="TZC9" s="7158"/>
      <c r="TZD9" s="7159"/>
      <c r="TZE9" s="7152" t="s">
        <v>1012</v>
      </c>
      <c r="TZF9" s="7153"/>
      <c r="TZG9" s="7153"/>
      <c r="TZH9" s="7153"/>
      <c r="TZI9" s="7163">
        <v>0.05</v>
      </c>
      <c r="TZJ9" s="7164"/>
      <c r="TZK9" s="7157">
        <f>TZI9*TZK7</f>
        <v>0</v>
      </c>
      <c r="TZL9" s="7157"/>
      <c r="TZM9" s="7157"/>
      <c r="TZN9" s="7157"/>
      <c r="TZO9" s="7158"/>
      <c r="TZP9" s="7158"/>
      <c r="TZQ9" s="7158"/>
      <c r="TZR9" s="7158"/>
      <c r="TZS9" s="7158"/>
      <c r="TZT9" s="7159"/>
      <c r="TZU9" s="7152" t="s">
        <v>1012</v>
      </c>
      <c r="TZV9" s="7153"/>
      <c r="TZW9" s="7153"/>
      <c r="TZX9" s="7153"/>
      <c r="TZY9" s="7163">
        <v>0.05</v>
      </c>
      <c r="TZZ9" s="7164"/>
      <c r="UAA9" s="7157">
        <f>TZY9*UAA7</f>
        <v>0</v>
      </c>
      <c r="UAB9" s="7157"/>
      <c r="UAC9" s="7157"/>
      <c r="UAD9" s="7157"/>
      <c r="UAE9" s="7158"/>
      <c r="UAF9" s="7158"/>
      <c r="UAG9" s="7158"/>
      <c r="UAH9" s="7158"/>
      <c r="UAI9" s="7158"/>
      <c r="UAJ9" s="7159"/>
      <c r="UAK9" s="7152" t="s">
        <v>1012</v>
      </c>
      <c r="UAL9" s="7153"/>
      <c r="UAM9" s="7153"/>
      <c r="UAN9" s="7153"/>
      <c r="UAO9" s="7163">
        <v>0.05</v>
      </c>
      <c r="UAP9" s="7164"/>
      <c r="UAQ9" s="7157">
        <f>UAO9*UAQ7</f>
        <v>0</v>
      </c>
      <c r="UAR9" s="7157"/>
      <c r="UAS9" s="7157"/>
      <c r="UAT9" s="7157"/>
      <c r="UAU9" s="7158"/>
      <c r="UAV9" s="7158"/>
      <c r="UAW9" s="7158"/>
      <c r="UAX9" s="7158"/>
      <c r="UAY9" s="7158"/>
      <c r="UAZ9" s="7159"/>
      <c r="UBA9" s="7152" t="s">
        <v>1012</v>
      </c>
      <c r="UBB9" s="7153"/>
      <c r="UBC9" s="7153"/>
      <c r="UBD9" s="7153"/>
      <c r="UBE9" s="7163">
        <v>0.05</v>
      </c>
      <c r="UBF9" s="7164"/>
      <c r="UBG9" s="7157">
        <f>UBE9*UBG7</f>
        <v>0</v>
      </c>
      <c r="UBH9" s="7157"/>
      <c r="UBI9" s="7157"/>
      <c r="UBJ9" s="7157"/>
      <c r="UBK9" s="7158"/>
      <c r="UBL9" s="7158"/>
      <c r="UBM9" s="7158"/>
      <c r="UBN9" s="7158"/>
      <c r="UBO9" s="7158"/>
      <c r="UBP9" s="7159"/>
      <c r="UBQ9" s="7152" t="s">
        <v>1012</v>
      </c>
      <c r="UBR9" s="7153"/>
      <c r="UBS9" s="7153"/>
      <c r="UBT9" s="7153"/>
      <c r="UBU9" s="7163">
        <v>0.05</v>
      </c>
      <c r="UBV9" s="7164"/>
      <c r="UBW9" s="7157">
        <f>UBU9*UBW7</f>
        <v>0</v>
      </c>
      <c r="UBX9" s="7157"/>
      <c r="UBY9" s="7157"/>
      <c r="UBZ9" s="7157"/>
      <c r="UCA9" s="7158"/>
      <c r="UCB9" s="7158"/>
      <c r="UCC9" s="7158"/>
      <c r="UCD9" s="7158"/>
      <c r="UCE9" s="7158"/>
      <c r="UCF9" s="7159"/>
      <c r="UCG9" s="7152" t="s">
        <v>1012</v>
      </c>
      <c r="UCH9" s="7153"/>
      <c r="UCI9" s="7153"/>
      <c r="UCJ9" s="7153"/>
      <c r="UCK9" s="7163">
        <v>0.05</v>
      </c>
      <c r="UCL9" s="7164"/>
      <c r="UCM9" s="7157">
        <f>UCK9*UCM7</f>
        <v>0</v>
      </c>
      <c r="UCN9" s="7157"/>
      <c r="UCO9" s="7157"/>
      <c r="UCP9" s="7157"/>
      <c r="UCQ9" s="7158"/>
      <c r="UCR9" s="7158"/>
      <c r="UCS9" s="7158"/>
      <c r="UCT9" s="7158"/>
      <c r="UCU9" s="7158"/>
      <c r="UCV9" s="7159"/>
      <c r="UCW9" s="7152" t="s">
        <v>1012</v>
      </c>
      <c r="UCX9" s="7153"/>
      <c r="UCY9" s="7153"/>
      <c r="UCZ9" s="7153"/>
      <c r="UDA9" s="7163">
        <v>0.05</v>
      </c>
      <c r="UDB9" s="7164"/>
      <c r="UDC9" s="7157">
        <f>UDA9*UDC7</f>
        <v>0</v>
      </c>
      <c r="UDD9" s="7157"/>
      <c r="UDE9" s="7157"/>
      <c r="UDF9" s="7157"/>
      <c r="UDG9" s="7158"/>
      <c r="UDH9" s="7158"/>
      <c r="UDI9" s="7158"/>
      <c r="UDJ9" s="7158"/>
      <c r="UDK9" s="7158"/>
      <c r="UDL9" s="7159"/>
      <c r="UDM9" s="7152" t="s">
        <v>1012</v>
      </c>
      <c r="UDN9" s="7153"/>
      <c r="UDO9" s="7153"/>
      <c r="UDP9" s="7153"/>
      <c r="UDQ9" s="7163">
        <v>0.05</v>
      </c>
      <c r="UDR9" s="7164"/>
      <c r="UDS9" s="7157">
        <f>UDQ9*UDS7</f>
        <v>0</v>
      </c>
      <c r="UDT9" s="7157"/>
      <c r="UDU9" s="7157"/>
      <c r="UDV9" s="7157"/>
      <c r="UDW9" s="7158"/>
      <c r="UDX9" s="7158"/>
      <c r="UDY9" s="7158"/>
      <c r="UDZ9" s="7158"/>
      <c r="UEA9" s="7158"/>
      <c r="UEB9" s="7159"/>
      <c r="UEC9" s="7152" t="s">
        <v>1012</v>
      </c>
      <c r="UED9" s="7153"/>
      <c r="UEE9" s="7153"/>
      <c r="UEF9" s="7153"/>
      <c r="UEG9" s="7163">
        <v>0.05</v>
      </c>
      <c r="UEH9" s="7164"/>
      <c r="UEI9" s="7157">
        <f>UEG9*UEI7</f>
        <v>0</v>
      </c>
      <c r="UEJ9" s="7157"/>
      <c r="UEK9" s="7157"/>
      <c r="UEL9" s="7157"/>
      <c r="UEM9" s="7158"/>
      <c r="UEN9" s="7158"/>
      <c r="UEO9" s="7158"/>
      <c r="UEP9" s="7158"/>
      <c r="UEQ9" s="7158"/>
      <c r="UER9" s="7159"/>
      <c r="UES9" s="7152" t="s">
        <v>1012</v>
      </c>
      <c r="UET9" s="7153"/>
      <c r="UEU9" s="7153"/>
      <c r="UEV9" s="7153"/>
      <c r="UEW9" s="7163">
        <v>0.05</v>
      </c>
      <c r="UEX9" s="7164"/>
      <c r="UEY9" s="7157">
        <f>UEW9*UEY7</f>
        <v>0</v>
      </c>
      <c r="UEZ9" s="7157"/>
      <c r="UFA9" s="7157"/>
      <c r="UFB9" s="7157"/>
      <c r="UFC9" s="7158"/>
      <c r="UFD9" s="7158"/>
      <c r="UFE9" s="7158"/>
      <c r="UFF9" s="7158"/>
      <c r="UFG9" s="7158"/>
      <c r="UFH9" s="7159"/>
      <c r="UFI9" s="7152" t="s">
        <v>1012</v>
      </c>
      <c r="UFJ9" s="7153"/>
      <c r="UFK9" s="7153"/>
      <c r="UFL9" s="7153"/>
      <c r="UFM9" s="7163">
        <v>0.05</v>
      </c>
      <c r="UFN9" s="7164"/>
      <c r="UFO9" s="7157">
        <f>UFM9*UFO7</f>
        <v>0</v>
      </c>
      <c r="UFP9" s="7157"/>
      <c r="UFQ9" s="7157"/>
      <c r="UFR9" s="7157"/>
      <c r="UFS9" s="7158"/>
      <c r="UFT9" s="7158"/>
      <c r="UFU9" s="7158"/>
      <c r="UFV9" s="7158"/>
      <c r="UFW9" s="7158"/>
      <c r="UFX9" s="7159"/>
      <c r="UFY9" s="7152" t="s">
        <v>1012</v>
      </c>
      <c r="UFZ9" s="7153"/>
      <c r="UGA9" s="7153"/>
      <c r="UGB9" s="7153"/>
      <c r="UGC9" s="7163">
        <v>0.05</v>
      </c>
      <c r="UGD9" s="7164"/>
      <c r="UGE9" s="7157">
        <f>UGC9*UGE7</f>
        <v>0</v>
      </c>
      <c r="UGF9" s="7157"/>
      <c r="UGG9" s="7157"/>
      <c r="UGH9" s="7157"/>
      <c r="UGI9" s="7158"/>
      <c r="UGJ9" s="7158"/>
      <c r="UGK9" s="7158"/>
      <c r="UGL9" s="7158"/>
      <c r="UGM9" s="7158"/>
      <c r="UGN9" s="7159"/>
      <c r="UGO9" s="7152" t="s">
        <v>1012</v>
      </c>
      <c r="UGP9" s="7153"/>
      <c r="UGQ9" s="7153"/>
      <c r="UGR9" s="7153"/>
      <c r="UGS9" s="7163">
        <v>0.05</v>
      </c>
      <c r="UGT9" s="7164"/>
      <c r="UGU9" s="7157">
        <f>UGS9*UGU7</f>
        <v>0</v>
      </c>
      <c r="UGV9" s="7157"/>
      <c r="UGW9" s="7157"/>
      <c r="UGX9" s="7157"/>
      <c r="UGY9" s="7158"/>
      <c r="UGZ9" s="7158"/>
      <c r="UHA9" s="7158"/>
      <c r="UHB9" s="7158"/>
      <c r="UHC9" s="7158"/>
      <c r="UHD9" s="7159"/>
      <c r="UHE9" s="7152" t="s">
        <v>1012</v>
      </c>
      <c r="UHF9" s="7153"/>
      <c r="UHG9" s="7153"/>
      <c r="UHH9" s="7153"/>
      <c r="UHI9" s="7163">
        <v>0.05</v>
      </c>
      <c r="UHJ9" s="7164"/>
      <c r="UHK9" s="7157">
        <f>UHI9*UHK7</f>
        <v>0</v>
      </c>
      <c r="UHL9" s="7157"/>
      <c r="UHM9" s="7157"/>
      <c r="UHN9" s="7157"/>
      <c r="UHO9" s="7158"/>
      <c r="UHP9" s="7158"/>
      <c r="UHQ9" s="7158"/>
      <c r="UHR9" s="7158"/>
      <c r="UHS9" s="7158"/>
      <c r="UHT9" s="7159"/>
      <c r="UHU9" s="7152" t="s">
        <v>1012</v>
      </c>
      <c r="UHV9" s="7153"/>
      <c r="UHW9" s="7153"/>
      <c r="UHX9" s="7153"/>
      <c r="UHY9" s="7163">
        <v>0.05</v>
      </c>
      <c r="UHZ9" s="7164"/>
      <c r="UIA9" s="7157">
        <f>UHY9*UIA7</f>
        <v>0</v>
      </c>
      <c r="UIB9" s="7157"/>
      <c r="UIC9" s="7157"/>
      <c r="UID9" s="7157"/>
      <c r="UIE9" s="7158"/>
      <c r="UIF9" s="7158"/>
      <c r="UIG9" s="7158"/>
      <c r="UIH9" s="7158"/>
      <c r="UII9" s="7158"/>
      <c r="UIJ9" s="7159"/>
      <c r="UIK9" s="7152" t="s">
        <v>1012</v>
      </c>
      <c r="UIL9" s="7153"/>
      <c r="UIM9" s="7153"/>
      <c r="UIN9" s="7153"/>
      <c r="UIO9" s="7163">
        <v>0.05</v>
      </c>
      <c r="UIP9" s="7164"/>
      <c r="UIQ9" s="7157">
        <f>UIO9*UIQ7</f>
        <v>0</v>
      </c>
      <c r="UIR9" s="7157"/>
      <c r="UIS9" s="7157"/>
      <c r="UIT9" s="7157"/>
      <c r="UIU9" s="7158"/>
      <c r="UIV9" s="7158"/>
      <c r="UIW9" s="7158"/>
      <c r="UIX9" s="7158"/>
      <c r="UIY9" s="7158"/>
      <c r="UIZ9" s="7159"/>
      <c r="UJA9" s="7152" t="s">
        <v>1012</v>
      </c>
      <c r="UJB9" s="7153"/>
      <c r="UJC9" s="7153"/>
      <c r="UJD9" s="7153"/>
      <c r="UJE9" s="7163">
        <v>0.05</v>
      </c>
      <c r="UJF9" s="7164"/>
      <c r="UJG9" s="7157">
        <f>UJE9*UJG7</f>
        <v>0</v>
      </c>
      <c r="UJH9" s="7157"/>
      <c r="UJI9" s="7157"/>
      <c r="UJJ9" s="7157"/>
      <c r="UJK9" s="7158"/>
      <c r="UJL9" s="7158"/>
      <c r="UJM9" s="7158"/>
      <c r="UJN9" s="7158"/>
      <c r="UJO9" s="7158"/>
      <c r="UJP9" s="7159"/>
      <c r="UJQ9" s="7152" t="s">
        <v>1012</v>
      </c>
      <c r="UJR9" s="7153"/>
      <c r="UJS9" s="7153"/>
      <c r="UJT9" s="7153"/>
      <c r="UJU9" s="7163">
        <v>0.05</v>
      </c>
      <c r="UJV9" s="7164"/>
      <c r="UJW9" s="7157">
        <f>UJU9*UJW7</f>
        <v>0</v>
      </c>
      <c r="UJX9" s="7157"/>
      <c r="UJY9" s="7157"/>
      <c r="UJZ9" s="7157"/>
      <c r="UKA9" s="7158"/>
      <c r="UKB9" s="7158"/>
      <c r="UKC9" s="7158"/>
      <c r="UKD9" s="7158"/>
      <c r="UKE9" s="7158"/>
      <c r="UKF9" s="7159"/>
      <c r="UKG9" s="7152" t="s">
        <v>1012</v>
      </c>
      <c r="UKH9" s="7153"/>
      <c r="UKI9" s="7153"/>
      <c r="UKJ9" s="7153"/>
      <c r="UKK9" s="7163">
        <v>0.05</v>
      </c>
      <c r="UKL9" s="7164"/>
      <c r="UKM9" s="7157">
        <f>UKK9*UKM7</f>
        <v>0</v>
      </c>
      <c r="UKN9" s="7157"/>
      <c r="UKO9" s="7157"/>
      <c r="UKP9" s="7157"/>
      <c r="UKQ9" s="7158"/>
      <c r="UKR9" s="7158"/>
      <c r="UKS9" s="7158"/>
      <c r="UKT9" s="7158"/>
      <c r="UKU9" s="7158"/>
      <c r="UKV9" s="7159"/>
      <c r="UKW9" s="7152" t="s">
        <v>1012</v>
      </c>
      <c r="UKX9" s="7153"/>
      <c r="UKY9" s="7153"/>
      <c r="UKZ9" s="7153"/>
      <c r="ULA9" s="7163">
        <v>0.05</v>
      </c>
      <c r="ULB9" s="7164"/>
      <c r="ULC9" s="7157">
        <f>ULA9*ULC7</f>
        <v>0</v>
      </c>
      <c r="ULD9" s="7157"/>
      <c r="ULE9" s="7157"/>
      <c r="ULF9" s="7157"/>
      <c r="ULG9" s="7158"/>
      <c r="ULH9" s="7158"/>
      <c r="ULI9" s="7158"/>
      <c r="ULJ9" s="7158"/>
      <c r="ULK9" s="7158"/>
      <c r="ULL9" s="7159"/>
      <c r="ULM9" s="7152" t="s">
        <v>1012</v>
      </c>
      <c r="ULN9" s="7153"/>
      <c r="ULO9" s="7153"/>
      <c r="ULP9" s="7153"/>
      <c r="ULQ9" s="7163">
        <v>0.05</v>
      </c>
      <c r="ULR9" s="7164"/>
      <c r="ULS9" s="7157">
        <f>ULQ9*ULS7</f>
        <v>0</v>
      </c>
      <c r="ULT9" s="7157"/>
      <c r="ULU9" s="7157"/>
      <c r="ULV9" s="7157"/>
      <c r="ULW9" s="7158"/>
      <c r="ULX9" s="7158"/>
      <c r="ULY9" s="7158"/>
      <c r="ULZ9" s="7158"/>
      <c r="UMA9" s="7158"/>
      <c r="UMB9" s="7159"/>
      <c r="UMC9" s="7152" t="s">
        <v>1012</v>
      </c>
      <c r="UMD9" s="7153"/>
      <c r="UME9" s="7153"/>
      <c r="UMF9" s="7153"/>
      <c r="UMG9" s="7163">
        <v>0.05</v>
      </c>
      <c r="UMH9" s="7164"/>
      <c r="UMI9" s="7157">
        <f>UMG9*UMI7</f>
        <v>0</v>
      </c>
      <c r="UMJ9" s="7157"/>
      <c r="UMK9" s="7157"/>
      <c r="UML9" s="7157"/>
      <c r="UMM9" s="7158"/>
      <c r="UMN9" s="7158"/>
      <c r="UMO9" s="7158"/>
      <c r="UMP9" s="7158"/>
      <c r="UMQ9" s="7158"/>
      <c r="UMR9" s="7159"/>
      <c r="UMS9" s="7152" t="s">
        <v>1012</v>
      </c>
      <c r="UMT9" s="7153"/>
      <c r="UMU9" s="7153"/>
      <c r="UMV9" s="7153"/>
      <c r="UMW9" s="7163">
        <v>0.05</v>
      </c>
      <c r="UMX9" s="7164"/>
      <c r="UMY9" s="7157">
        <f>UMW9*UMY7</f>
        <v>0</v>
      </c>
      <c r="UMZ9" s="7157"/>
      <c r="UNA9" s="7157"/>
      <c r="UNB9" s="7157"/>
      <c r="UNC9" s="7158"/>
      <c r="UND9" s="7158"/>
      <c r="UNE9" s="7158"/>
      <c r="UNF9" s="7158"/>
      <c r="UNG9" s="7158"/>
      <c r="UNH9" s="7159"/>
      <c r="UNI9" s="7152" t="s">
        <v>1012</v>
      </c>
      <c r="UNJ9" s="7153"/>
      <c r="UNK9" s="7153"/>
      <c r="UNL9" s="7153"/>
      <c r="UNM9" s="7163">
        <v>0.05</v>
      </c>
      <c r="UNN9" s="7164"/>
      <c r="UNO9" s="7157">
        <f>UNM9*UNO7</f>
        <v>0</v>
      </c>
      <c r="UNP9" s="7157"/>
      <c r="UNQ9" s="7157"/>
      <c r="UNR9" s="7157"/>
      <c r="UNS9" s="7158"/>
      <c r="UNT9" s="7158"/>
      <c r="UNU9" s="7158"/>
      <c r="UNV9" s="7158"/>
      <c r="UNW9" s="7158"/>
      <c r="UNX9" s="7159"/>
      <c r="UNY9" s="7152" t="s">
        <v>1012</v>
      </c>
      <c r="UNZ9" s="7153"/>
      <c r="UOA9" s="7153"/>
      <c r="UOB9" s="7153"/>
      <c r="UOC9" s="7163">
        <v>0.05</v>
      </c>
      <c r="UOD9" s="7164"/>
      <c r="UOE9" s="7157">
        <f>UOC9*UOE7</f>
        <v>0</v>
      </c>
      <c r="UOF9" s="7157"/>
      <c r="UOG9" s="7157"/>
      <c r="UOH9" s="7157"/>
      <c r="UOI9" s="7158"/>
      <c r="UOJ9" s="7158"/>
      <c r="UOK9" s="7158"/>
      <c r="UOL9" s="7158"/>
      <c r="UOM9" s="7158"/>
      <c r="UON9" s="7159"/>
      <c r="UOO9" s="7152" t="s">
        <v>1012</v>
      </c>
      <c r="UOP9" s="7153"/>
      <c r="UOQ9" s="7153"/>
      <c r="UOR9" s="7153"/>
      <c r="UOS9" s="7163">
        <v>0.05</v>
      </c>
      <c r="UOT9" s="7164"/>
      <c r="UOU9" s="7157">
        <f>UOS9*UOU7</f>
        <v>0</v>
      </c>
      <c r="UOV9" s="7157"/>
      <c r="UOW9" s="7157"/>
      <c r="UOX9" s="7157"/>
      <c r="UOY9" s="7158"/>
      <c r="UOZ9" s="7158"/>
      <c r="UPA9" s="7158"/>
      <c r="UPB9" s="7158"/>
      <c r="UPC9" s="7158"/>
      <c r="UPD9" s="7159"/>
      <c r="UPE9" s="7152" t="s">
        <v>1012</v>
      </c>
      <c r="UPF9" s="7153"/>
      <c r="UPG9" s="7153"/>
      <c r="UPH9" s="7153"/>
      <c r="UPI9" s="7163">
        <v>0.05</v>
      </c>
      <c r="UPJ9" s="7164"/>
      <c r="UPK9" s="7157">
        <f>UPI9*UPK7</f>
        <v>0</v>
      </c>
      <c r="UPL9" s="7157"/>
      <c r="UPM9" s="7157"/>
      <c r="UPN9" s="7157"/>
      <c r="UPO9" s="7158"/>
      <c r="UPP9" s="7158"/>
      <c r="UPQ9" s="7158"/>
      <c r="UPR9" s="7158"/>
      <c r="UPS9" s="7158"/>
      <c r="UPT9" s="7159"/>
      <c r="UPU9" s="7152" t="s">
        <v>1012</v>
      </c>
      <c r="UPV9" s="7153"/>
      <c r="UPW9" s="7153"/>
      <c r="UPX9" s="7153"/>
      <c r="UPY9" s="7163">
        <v>0.05</v>
      </c>
      <c r="UPZ9" s="7164"/>
      <c r="UQA9" s="7157">
        <f>UPY9*UQA7</f>
        <v>0</v>
      </c>
      <c r="UQB9" s="7157"/>
      <c r="UQC9" s="7157"/>
      <c r="UQD9" s="7157"/>
      <c r="UQE9" s="7158"/>
      <c r="UQF9" s="7158"/>
      <c r="UQG9" s="7158"/>
      <c r="UQH9" s="7158"/>
      <c r="UQI9" s="7158"/>
      <c r="UQJ9" s="7159"/>
      <c r="UQK9" s="7152" t="s">
        <v>1012</v>
      </c>
      <c r="UQL9" s="7153"/>
      <c r="UQM9" s="7153"/>
      <c r="UQN9" s="7153"/>
      <c r="UQO9" s="7163">
        <v>0.05</v>
      </c>
      <c r="UQP9" s="7164"/>
      <c r="UQQ9" s="7157">
        <f>UQO9*UQQ7</f>
        <v>0</v>
      </c>
      <c r="UQR9" s="7157"/>
      <c r="UQS9" s="7157"/>
      <c r="UQT9" s="7157"/>
      <c r="UQU9" s="7158"/>
      <c r="UQV9" s="7158"/>
      <c r="UQW9" s="7158"/>
      <c r="UQX9" s="7158"/>
      <c r="UQY9" s="7158"/>
      <c r="UQZ9" s="7159"/>
      <c r="URA9" s="7152" t="s">
        <v>1012</v>
      </c>
      <c r="URB9" s="7153"/>
      <c r="URC9" s="7153"/>
      <c r="URD9" s="7153"/>
      <c r="URE9" s="7163">
        <v>0.05</v>
      </c>
      <c r="URF9" s="7164"/>
      <c r="URG9" s="7157">
        <f>URE9*URG7</f>
        <v>0</v>
      </c>
      <c r="URH9" s="7157"/>
      <c r="URI9" s="7157"/>
      <c r="URJ9" s="7157"/>
      <c r="URK9" s="7158"/>
      <c r="URL9" s="7158"/>
      <c r="URM9" s="7158"/>
      <c r="URN9" s="7158"/>
      <c r="URO9" s="7158"/>
      <c r="URP9" s="7159"/>
      <c r="URQ9" s="7152" t="s">
        <v>1012</v>
      </c>
      <c r="URR9" s="7153"/>
      <c r="URS9" s="7153"/>
      <c r="URT9" s="7153"/>
      <c r="URU9" s="7163">
        <v>0.05</v>
      </c>
      <c r="URV9" s="7164"/>
      <c r="URW9" s="7157">
        <f>URU9*URW7</f>
        <v>0</v>
      </c>
      <c r="URX9" s="7157"/>
      <c r="URY9" s="7157"/>
      <c r="URZ9" s="7157"/>
      <c r="USA9" s="7158"/>
      <c r="USB9" s="7158"/>
      <c r="USC9" s="7158"/>
      <c r="USD9" s="7158"/>
      <c r="USE9" s="7158"/>
      <c r="USF9" s="7159"/>
      <c r="USG9" s="7152" t="s">
        <v>1012</v>
      </c>
      <c r="USH9" s="7153"/>
      <c r="USI9" s="7153"/>
      <c r="USJ9" s="7153"/>
      <c r="USK9" s="7163">
        <v>0.05</v>
      </c>
      <c r="USL9" s="7164"/>
      <c r="USM9" s="7157">
        <f>USK9*USM7</f>
        <v>0</v>
      </c>
      <c r="USN9" s="7157"/>
      <c r="USO9" s="7157"/>
      <c r="USP9" s="7157"/>
      <c r="USQ9" s="7158"/>
      <c r="USR9" s="7158"/>
      <c r="USS9" s="7158"/>
      <c r="UST9" s="7158"/>
      <c r="USU9" s="7158"/>
      <c r="USV9" s="7159"/>
      <c r="USW9" s="7152" t="s">
        <v>1012</v>
      </c>
      <c r="USX9" s="7153"/>
      <c r="USY9" s="7153"/>
      <c r="USZ9" s="7153"/>
      <c r="UTA9" s="7163">
        <v>0.05</v>
      </c>
      <c r="UTB9" s="7164"/>
      <c r="UTC9" s="7157">
        <f>UTA9*UTC7</f>
        <v>0</v>
      </c>
      <c r="UTD9" s="7157"/>
      <c r="UTE9" s="7157"/>
      <c r="UTF9" s="7157"/>
      <c r="UTG9" s="7158"/>
      <c r="UTH9" s="7158"/>
      <c r="UTI9" s="7158"/>
      <c r="UTJ9" s="7158"/>
      <c r="UTK9" s="7158"/>
      <c r="UTL9" s="7159"/>
      <c r="UTM9" s="7152" t="s">
        <v>1012</v>
      </c>
      <c r="UTN9" s="7153"/>
      <c r="UTO9" s="7153"/>
      <c r="UTP9" s="7153"/>
      <c r="UTQ9" s="7163">
        <v>0.05</v>
      </c>
      <c r="UTR9" s="7164"/>
      <c r="UTS9" s="7157">
        <f>UTQ9*UTS7</f>
        <v>0</v>
      </c>
      <c r="UTT9" s="7157"/>
      <c r="UTU9" s="7157"/>
      <c r="UTV9" s="7157"/>
      <c r="UTW9" s="7158"/>
      <c r="UTX9" s="7158"/>
      <c r="UTY9" s="7158"/>
      <c r="UTZ9" s="7158"/>
      <c r="UUA9" s="7158"/>
      <c r="UUB9" s="7159"/>
      <c r="UUC9" s="7152" t="s">
        <v>1012</v>
      </c>
      <c r="UUD9" s="7153"/>
      <c r="UUE9" s="7153"/>
      <c r="UUF9" s="7153"/>
      <c r="UUG9" s="7163">
        <v>0.05</v>
      </c>
      <c r="UUH9" s="7164"/>
      <c r="UUI9" s="7157">
        <f>UUG9*UUI7</f>
        <v>0</v>
      </c>
      <c r="UUJ9" s="7157"/>
      <c r="UUK9" s="7157"/>
      <c r="UUL9" s="7157"/>
      <c r="UUM9" s="7158"/>
      <c r="UUN9" s="7158"/>
      <c r="UUO9" s="7158"/>
      <c r="UUP9" s="7158"/>
      <c r="UUQ9" s="7158"/>
      <c r="UUR9" s="7159"/>
      <c r="UUS9" s="7152" t="s">
        <v>1012</v>
      </c>
      <c r="UUT9" s="7153"/>
      <c r="UUU9" s="7153"/>
      <c r="UUV9" s="7153"/>
      <c r="UUW9" s="7163">
        <v>0.05</v>
      </c>
      <c r="UUX9" s="7164"/>
      <c r="UUY9" s="7157">
        <f>UUW9*UUY7</f>
        <v>0</v>
      </c>
      <c r="UUZ9" s="7157"/>
      <c r="UVA9" s="7157"/>
      <c r="UVB9" s="7157"/>
      <c r="UVC9" s="7158"/>
      <c r="UVD9" s="7158"/>
      <c r="UVE9" s="7158"/>
      <c r="UVF9" s="7158"/>
      <c r="UVG9" s="7158"/>
      <c r="UVH9" s="7159"/>
      <c r="UVI9" s="7152" t="s">
        <v>1012</v>
      </c>
      <c r="UVJ9" s="7153"/>
      <c r="UVK9" s="7153"/>
      <c r="UVL9" s="7153"/>
      <c r="UVM9" s="7163">
        <v>0.05</v>
      </c>
      <c r="UVN9" s="7164"/>
      <c r="UVO9" s="7157">
        <f>UVM9*UVO7</f>
        <v>0</v>
      </c>
      <c r="UVP9" s="7157"/>
      <c r="UVQ9" s="7157"/>
      <c r="UVR9" s="7157"/>
      <c r="UVS9" s="7158"/>
      <c r="UVT9" s="7158"/>
      <c r="UVU9" s="7158"/>
      <c r="UVV9" s="7158"/>
      <c r="UVW9" s="7158"/>
      <c r="UVX9" s="7159"/>
      <c r="UVY9" s="7152" t="s">
        <v>1012</v>
      </c>
      <c r="UVZ9" s="7153"/>
      <c r="UWA9" s="7153"/>
      <c r="UWB9" s="7153"/>
      <c r="UWC9" s="7163">
        <v>0.05</v>
      </c>
      <c r="UWD9" s="7164"/>
      <c r="UWE9" s="7157">
        <f>UWC9*UWE7</f>
        <v>0</v>
      </c>
      <c r="UWF9" s="7157"/>
      <c r="UWG9" s="7157"/>
      <c r="UWH9" s="7157"/>
      <c r="UWI9" s="7158"/>
      <c r="UWJ9" s="7158"/>
      <c r="UWK9" s="7158"/>
      <c r="UWL9" s="7158"/>
      <c r="UWM9" s="7158"/>
      <c r="UWN9" s="7159"/>
      <c r="UWO9" s="7152" t="s">
        <v>1012</v>
      </c>
      <c r="UWP9" s="7153"/>
      <c r="UWQ9" s="7153"/>
      <c r="UWR9" s="7153"/>
      <c r="UWS9" s="7163">
        <v>0.05</v>
      </c>
      <c r="UWT9" s="7164"/>
      <c r="UWU9" s="7157">
        <f>UWS9*UWU7</f>
        <v>0</v>
      </c>
      <c r="UWV9" s="7157"/>
      <c r="UWW9" s="7157"/>
      <c r="UWX9" s="7157"/>
      <c r="UWY9" s="7158"/>
      <c r="UWZ9" s="7158"/>
      <c r="UXA9" s="7158"/>
      <c r="UXB9" s="7158"/>
      <c r="UXC9" s="7158"/>
      <c r="UXD9" s="7159"/>
      <c r="UXE9" s="7152" t="s">
        <v>1012</v>
      </c>
      <c r="UXF9" s="7153"/>
      <c r="UXG9" s="7153"/>
      <c r="UXH9" s="7153"/>
      <c r="UXI9" s="7163">
        <v>0.05</v>
      </c>
      <c r="UXJ9" s="7164"/>
      <c r="UXK9" s="7157">
        <f>UXI9*UXK7</f>
        <v>0</v>
      </c>
      <c r="UXL9" s="7157"/>
      <c r="UXM9" s="7157"/>
      <c r="UXN9" s="7157"/>
      <c r="UXO9" s="7158"/>
      <c r="UXP9" s="7158"/>
      <c r="UXQ9" s="7158"/>
      <c r="UXR9" s="7158"/>
      <c r="UXS9" s="7158"/>
      <c r="UXT9" s="7159"/>
      <c r="UXU9" s="7152" t="s">
        <v>1012</v>
      </c>
      <c r="UXV9" s="7153"/>
      <c r="UXW9" s="7153"/>
      <c r="UXX9" s="7153"/>
      <c r="UXY9" s="7163">
        <v>0.05</v>
      </c>
      <c r="UXZ9" s="7164"/>
      <c r="UYA9" s="7157">
        <f>UXY9*UYA7</f>
        <v>0</v>
      </c>
      <c r="UYB9" s="7157"/>
      <c r="UYC9" s="7157"/>
      <c r="UYD9" s="7157"/>
      <c r="UYE9" s="7158"/>
      <c r="UYF9" s="7158"/>
      <c r="UYG9" s="7158"/>
      <c r="UYH9" s="7158"/>
      <c r="UYI9" s="7158"/>
      <c r="UYJ9" s="7159"/>
      <c r="UYK9" s="7152" t="s">
        <v>1012</v>
      </c>
      <c r="UYL9" s="7153"/>
      <c r="UYM9" s="7153"/>
      <c r="UYN9" s="7153"/>
      <c r="UYO9" s="7163">
        <v>0.05</v>
      </c>
      <c r="UYP9" s="7164"/>
      <c r="UYQ9" s="7157">
        <f>UYO9*UYQ7</f>
        <v>0</v>
      </c>
      <c r="UYR9" s="7157"/>
      <c r="UYS9" s="7157"/>
      <c r="UYT9" s="7157"/>
      <c r="UYU9" s="7158"/>
      <c r="UYV9" s="7158"/>
      <c r="UYW9" s="7158"/>
      <c r="UYX9" s="7158"/>
      <c r="UYY9" s="7158"/>
      <c r="UYZ9" s="7159"/>
      <c r="UZA9" s="7152" t="s">
        <v>1012</v>
      </c>
      <c r="UZB9" s="7153"/>
      <c r="UZC9" s="7153"/>
      <c r="UZD9" s="7153"/>
      <c r="UZE9" s="7163">
        <v>0.05</v>
      </c>
      <c r="UZF9" s="7164"/>
      <c r="UZG9" s="7157">
        <f>UZE9*UZG7</f>
        <v>0</v>
      </c>
      <c r="UZH9" s="7157"/>
      <c r="UZI9" s="7157"/>
      <c r="UZJ9" s="7157"/>
      <c r="UZK9" s="7158"/>
      <c r="UZL9" s="7158"/>
      <c r="UZM9" s="7158"/>
      <c r="UZN9" s="7158"/>
      <c r="UZO9" s="7158"/>
      <c r="UZP9" s="7159"/>
      <c r="UZQ9" s="7152" t="s">
        <v>1012</v>
      </c>
      <c r="UZR9" s="7153"/>
      <c r="UZS9" s="7153"/>
      <c r="UZT9" s="7153"/>
      <c r="UZU9" s="7163">
        <v>0.05</v>
      </c>
      <c r="UZV9" s="7164"/>
      <c r="UZW9" s="7157">
        <f>UZU9*UZW7</f>
        <v>0</v>
      </c>
      <c r="UZX9" s="7157"/>
      <c r="UZY9" s="7157"/>
      <c r="UZZ9" s="7157"/>
      <c r="VAA9" s="7158"/>
      <c r="VAB9" s="7158"/>
      <c r="VAC9" s="7158"/>
      <c r="VAD9" s="7158"/>
      <c r="VAE9" s="7158"/>
      <c r="VAF9" s="7159"/>
      <c r="VAG9" s="7152" t="s">
        <v>1012</v>
      </c>
      <c r="VAH9" s="7153"/>
      <c r="VAI9" s="7153"/>
      <c r="VAJ9" s="7153"/>
      <c r="VAK9" s="7163">
        <v>0.05</v>
      </c>
      <c r="VAL9" s="7164"/>
      <c r="VAM9" s="7157">
        <f>VAK9*VAM7</f>
        <v>0</v>
      </c>
      <c r="VAN9" s="7157"/>
      <c r="VAO9" s="7157"/>
      <c r="VAP9" s="7157"/>
      <c r="VAQ9" s="7158"/>
      <c r="VAR9" s="7158"/>
      <c r="VAS9" s="7158"/>
      <c r="VAT9" s="7158"/>
      <c r="VAU9" s="7158"/>
      <c r="VAV9" s="7159"/>
      <c r="VAW9" s="7152" t="s">
        <v>1012</v>
      </c>
      <c r="VAX9" s="7153"/>
      <c r="VAY9" s="7153"/>
      <c r="VAZ9" s="7153"/>
      <c r="VBA9" s="7163">
        <v>0.05</v>
      </c>
      <c r="VBB9" s="7164"/>
      <c r="VBC9" s="7157">
        <f>VBA9*VBC7</f>
        <v>0</v>
      </c>
      <c r="VBD9" s="7157"/>
      <c r="VBE9" s="7157"/>
      <c r="VBF9" s="7157"/>
      <c r="VBG9" s="7158"/>
      <c r="VBH9" s="7158"/>
      <c r="VBI9" s="7158"/>
      <c r="VBJ9" s="7158"/>
      <c r="VBK9" s="7158"/>
      <c r="VBL9" s="7159"/>
      <c r="VBM9" s="7152" t="s">
        <v>1012</v>
      </c>
      <c r="VBN9" s="7153"/>
      <c r="VBO9" s="7153"/>
      <c r="VBP9" s="7153"/>
      <c r="VBQ9" s="7163">
        <v>0.05</v>
      </c>
      <c r="VBR9" s="7164"/>
      <c r="VBS9" s="7157">
        <f>VBQ9*VBS7</f>
        <v>0</v>
      </c>
      <c r="VBT9" s="7157"/>
      <c r="VBU9" s="7157"/>
      <c r="VBV9" s="7157"/>
      <c r="VBW9" s="7158"/>
      <c r="VBX9" s="7158"/>
      <c r="VBY9" s="7158"/>
      <c r="VBZ9" s="7158"/>
      <c r="VCA9" s="7158"/>
      <c r="VCB9" s="7159"/>
      <c r="VCC9" s="7152" t="s">
        <v>1012</v>
      </c>
      <c r="VCD9" s="7153"/>
      <c r="VCE9" s="7153"/>
      <c r="VCF9" s="7153"/>
      <c r="VCG9" s="7163">
        <v>0.05</v>
      </c>
      <c r="VCH9" s="7164"/>
      <c r="VCI9" s="7157">
        <f>VCG9*VCI7</f>
        <v>0</v>
      </c>
      <c r="VCJ9" s="7157"/>
      <c r="VCK9" s="7157"/>
      <c r="VCL9" s="7157"/>
      <c r="VCM9" s="7158"/>
      <c r="VCN9" s="7158"/>
      <c r="VCO9" s="7158"/>
      <c r="VCP9" s="7158"/>
      <c r="VCQ9" s="7158"/>
      <c r="VCR9" s="7159"/>
      <c r="VCS9" s="7152" t="s">
        <v>1012</v>
      </c>
      <c r="VCT9" s="7153"/>
      <c r="VCU9" s="7153"/>
      <c r="VCV9" s="7153"/>
      <c r="VCW9" s="7163">
        <v>0.05</v>
      </c>
      <c r="VCX9" s="7164"/>
      <c r="VCY9" s="7157">
        <f>VCW9*VCY7</f>
        <v>0</v>
      </c>
      <c r="VCZ9" s="7157"/>
      <c r="VDA9" s="7157"/>
      <c r="VDB9" s="7157"/>
      <c r="VDC9" s="7158"/>
      <c r="VDD9" s="7158"/>
      <c r="VDE9" s="7158"/>
      <c r="VDF9" s="7158"/>
      <c r="VDG9" s="7158"/>
      <c r="VDH9" s="7159"/>
      <c r="VDI9" s="7152" t="s">
        <v>1012</v>
      </c>
      <c r="VDJ9" s="7153"/>
      <c r="VDK9" s="7153"/>
      <c r="VDL9" s="7153"/>
      <c r="VDM9" s="7163">
        <v>0.05</v>
      </c>
      <c r="VDN9" s="7164"/>
      <c r="VDO9" s="7157">
        <f>VDM9*VDO7</f>
        <v>0</v>
      </c>
      <c r="VDP9" s="7157"/>
      <c r="VDQ9" s="7157"/>
      <c r="VDR9" s="7157"/>
      <c r="VDS9" s="7158"/>
      <c r="VDT9" s="7158"/>
      <c r="VDU9" s="7158"/>
      <c r="VDV9" s="7158"/>
      <c r="VDW9" s="7158"/>
      <c r="VDX9" s="7159"/>
      <c r="VDY9" s="7152" t="s">
        <v>1012</v>
      </c>
      <c r="VDZ9" s="7153"/>
      <c r="VEA9" s="7153"/>
      <c r="VEB9" s="7153"/>
      <c r="VEC9" s="7163">
        <v>0.05</v>
      </c>
      <c r="VED9" s="7164"/>
      <c r="VEE9" s="7157">
        <f>VEC9*VEE7</f>
        <v>0</v>
      </c>
      <c r="VEF9" s="7157"/>
      <c r="VEG9" s="7157"/>
      <c r="VEH9" s="7157"/>
      <c r="VEI9" s="7158"/>
      <c r="VEJ9" s="7158"/>
      <c r="VEK9" s="7158"/>
      <c r="VEL9" s="7158"/>
      <c r="VEM9" s="7158"/>
      <c r="VEN9" s="7159"/>
      <c r="VEO9" s="7152" t="s">
        <v>1012</v>
      </c>
      <c r="VEP9" s="7153"/>
      <c r="VEQ9" s="7153"/>
      <c r="VER9" s="7153"/>
      <c r="VES9" s="7163">
        <v>0.05</v>
      </c>
      <c r="VET9" s="7164"/>
      <c r="VEU9" s="7157">
        <f>VES9*VEU7</f>
        <v>0</v>
      </c>
      <c r="VEV9" s="7157"/>
      <c r="VEW9" s="7157"/>
      <c r="VEX9" s="7157"/>
      <c r="VEY9" s="7158"/>
      <c r="VEZ9" s="7158"/>
      <c r="VFA9" s="7158"/>
      <c r="VFB9" s="7158"/>
      <c r="VFC9" s="7158"/>
      <c r="VFD9" s="7159"/>
      <c r="VFE9" s="7152" t="s">
        <v>1012</v>
      </c>
      <c r="VFF9" s="7153"/>
      <c r="VFG9" s="7153"/>
      <c r="VFH9" s="7153"/>
      <c r="VFI9" s="7163">
        <v>0.05</v>
      </c>
      <c r="VFJ9" s="7164"/>
      <c r="VFK9" s="7157">
        <f>VFI9*VFK7</f>
        <v>0</v>
      </c>
      <c r="VFL9" s="7157"/>
      <c r="VFM9" s="7157"/>
      <c r="VFN9" s="7157"/>
      <c r="VFO9" s="7158"/>
      <c r="VFP9" s="7158"/>
      <c r="VFQ9" s="7158"/>
      <c r="VFR9" s="7158"/>
      <c r="VFS9" s="7158"/>
      <c r="VFT9" s="7159"/>
      <c r="VFU9" s="7152" t="s">
        <v>1012</v>
      </c>
      <c r="VFV9" s="7153"/>
      <c r="VFW9" s="7153"/>
      <c r="VFX9" s="7153"/>
      <c r="VFY9" s="7163">
        <v>0.05</v>
      </c>
      <c r="VFZ9" s="7164"/>
      <c r="VGA9" s="7157">
        <f>VFY9*VGA7</f>
        <v>0</v>
      </c>
      <c r="VGB9" s="7157"/>
      <c r="VGC9" s="7157"/>
      <c r="VGD9" s="7157"/>
      <c r="VGE9" s="7158"/>
      <c r="VGF9" s="7158"/>
      <c r="VGG9" s="7158"/>
      <c r="VGH9" s="7158"/>
      <c r="VGI9" s="7158"/>
      <c r="VGJ9" s="7159"/>
      <c r="VGK9" s="7152" t="s">
        <v>1012</v>
      </c>
      <c r="VGL9" s="7153"/>
      <c r="VGM9" s="7153"/>
      <c r="VGN9" s="7153"/>
      <c r="VGO9" s="7163">
        <v>0.05</v>
      </c>
      <c r="VGP9" s="7164"/>
      <c r="VGQ9" s="7157">
        <f>VGO9*VGQ7</f>
        <v>0</v>
      </c>
      <c r="VGR9" s="7157"/>
      <c r="VGS9" s="7157"/>
      <c r="VGT9" s="7157"/>
      <c r="VGU9" s="7158"/>
      <c r="VGV9" s="7158"/>
      <c r="VGW9" s="7158"/>
      <c r="VGX9" s="7158"/>
      <c r="VGY9" s="7158"/>
      <c r="VGZ9" s="7159"/>
      <c r="VHA9" s="7152" t="s">
        <v>1012</v>
      </c>
      <c r="VHB9" s="7153"/>
      <c r="VHC9" s="7153"/>
      <c r="VHD9" s="7153"/>
      <c r="VHE9" s="7163">
        <v>0.05</v>
      </c>
      <c r="VHF9" s="7164"/>
      <c r="VHG9" s="7157">
        <f>VHE9*VHG7</f>
        <v>0</v>
      </c>
      <c r="VHH9" s="7157"/>
      <c r="VHI9" s="7157"/>
      <c r="VHJ9" s="7157"/>
      <c r="VHK9" s="7158"/>
      <c r="VHL9" s="7158"/>
      <c r="VHM9" s="7158"/>
      <c r="VHN9" s="7158"/>
      <c r="VHO9" s="7158"/>
      <c r="VHP9" s="7159"/>
      <c r="VHQ9" s="7152" t="s">
        <v>1012</v>
      </c>
      <c r="VHR9" s="7153"/>
      <c r="VHS9" s="7153"/>
      <c r="VHT9" s="7153"/>
      <c r="VHU9" s="7163">
        <v>0.05</v>
      </c>
      <c r="VHV9" s="7164"/>
      <c r="VHW9" s="7157">
        <f>VHU9*VHW7</f>
        <v>0</v>
      </c>
      <c r="VHX9" s="7157"/>
      <c r="VHY9" s="7157"/>
      <c r="VHZ9" s="7157"/>
      <c r="VIA9" s="7158"/>
      <c r="VIB9" s="7158"/>
      <c r="VIC9" s="7158"/>
      <c r="VID9" s="7158"/>
      <c r="VIE9" s="7158"/>
      <c r="VIF9" s="7159"/>
      <c r="VIG9" s="7152" t="s">
        <v>1012</v>
      </c>
      <c r="VIH9" s="7153"/>
      <c r="VII9" s="7153"/>
      <c r="VIJ9" s="7153"/>
      <c r="VIK9" s="7163">
        <v>0.05</v>
      </c>
      <c r="VIL9" s="7164"/>
      <c r="VIM9" s="7157">
        <f>VIK9*VIM7</f>
        <v>0</v>
      </c>
      <c r="VIN9" s="7157"/>
      <c r="VIO9" s="7157"/>
      <c r="VIP9" s="7157"/>
      <c r="VIQ9" s="7158"/>
      <c r="VIR9" s="7158"/>
      <c r="VIS9" s="7158"/>
      <c r="VIT9" s="7158"/>
      <c r="VIU9" s="7158"/>
      <c r="VIV9" s="7159"/>
      <c r="VIW9" s="7152" t="s">
        <v>1012</v>
      </c>
      <c r="VIX9" s="7153"/>
      <c r="VIY9" s="7153"/>
      <c r="VIZ9" s="7153"/>
      <c r="VJA9" s="7163">
        <v>0.05</v>
      </c>
      <c r="VJB9" s="7164"/>
      <c r="VJC9" s="7157">
        <f>VJA9*VJC7</f>
        <v>0</v>
      </c>
      <c r="VJD9" s="7157"/>
      <c r="VJE9" s="7157"/>
      <c r="VJF9" s="7157"/>
      <c r="VJG9" s="7158"/>
      <c r="VJH9" s="7158"/>
      <c r="VJI9" s="7158"/>
      <c r="VJJ9" s="7158"/>
      <c r="VJK9" s="7158"/>
      <c r="VJL9" s="7159"/>
      <c r="VJM9" s="7152" t="s">
        <v>1012</v>
      </c>
      <c r="VJN9" s="7153"/>
      <c r="VJO9" s="7153"/>
      <c r="VJP9" s="7153"/>
      <c r="VJQ9" s="7163">
        <v>0.05</v>
      </c>
      <c r="VJR9" s="7164"/>
      <c r="VJS9" s="7157">
        <f>VJQ9*VJS7</f>
        <v>0</v>
      </c>
      <c r="VJT9" s="7157"/>
      <c r="VJU9" s="7157"/>
      <c r="VJV9" s="7157"/>
      <c r="VJW9" s="7158"/>
      <c r="VJX9" s="7158"/>
      <c r="VJY9" s="7158"/>
      <c r="VJZ9" s="7158"/>
      <c r="VKA9" s="7158"/>
      <c r="VKB9" s="7159"/>
      <c r="VKC9" s="7152" t="s">
        <v>1012</v>
      </c>
      <c r="VKD9" s="7153"/>
      <c r="VKE9" s="7153"/>
      <c r="VKF9" s="7153"/>
      <c r="VKG9" s="7163">
        <v>0.05</v>
      </c>
      <c r="VKH9" s="7164"/>
      <c r="VKI9" s="7157">
        <f>VKG9*VKI7</f>
        <v>0</v>
      </c>
      <c r="VKJ9" s="7157"/>
      <c r="VKK9" s="7157"/>
      <c r="VKL9" s="7157"/>
      <c r="VKM9" s="7158"/>
      <c r="VKN9" s="7158"/>
      <c r="VKO9" s="7158"/>
      <c r="VKP9" s="7158"/>
      <c r="VKQ9" s="7158"/>
      <c r="VKR9" s="7159"/>
      <c r="VKS9" s="7152" t="s">
        <v>1012</v>
      </c>
      <c r="VKT9" s="7153"/>
      <c r="VKU9" s="7153"/>
      <c r="VKV9" s="7153"/>
      <c r="VKW9" s="7163">
        <v>0.05</v>
      </c>
      <c r="VKX9" s="7164"/>
      <c r="VKY9" s="7157">
        <f>VKW9*VKY7</f>
        <v>0</v>
      </c>
      <c r="VKZ9" s="7157"/>
      <c r="VLA9" s="7157"/>
      <c r="VLB9" s="7157"/>
      <c r="VLC9" s="7158"/>
      <c r="VLD9" s="7158"/>
      <c r="VLE9" s="7158"/>
      <c r="VLF9" s="7158"/>
      <c r="VLG9" s="7158"/>
      <c r="VLH9" s="7159"/>
      <c r="VLI9" s="7152" t="s">
        <v>1012</v>
      </c>
      <c r="VLJ9" s="7153"/>
      <c r="VLK9" s="7153"/>
      <c r="VLL9" s="7153"/>
      <c r="VLM9" s="7163">
        <v>0.05</v>
      </c>
      <c r="VLN9" s="7164"/>
      <c r="VLO9" s="7157">
        <f>VLM9*VLO7</f>
        <v>0</v>
      </c>
      <c r="VLP9" s="7157"/>
      <c r="VLQ9" s="7157"/>
      <c r="VLR9" s="7157"/>
      <c r="VLS9" s="7158"/>
      <c r="VLT9" s="7158"/>
      <c r="VLU9" s="7158"/>
      <c r="VLV9" s="7158"/>
      <c r="VLW9" s="7158"/>
      <c r="VLX9" s="7159"/>
      <c r="VLY9" s="7152" t="s">
        <v>1012</v>
      </c>
      <c r="VLZ9" s="7153"/>
      <c r="VMA9" s="7153"/>
      <c r="VMB9" s="7153"/>
      <c r="VMC9" s="7163">
        <v>0.05</v>
      </c>
      <c r="VMD9" s="7164"/>
      <c r="VME9" s="7157">
        <f>VMC9*VME7</f>
        <v>0</v>
      </c>
      <c r="VMF9" s="7157"/>
      <c r="VMG9" s="7157"/>
      <c r="VMH9" s="7157"/>
      <c r="VMI9" s="7158"/>
      <c r="VMJ9" s="7158"/>
      <c r="VMK9" s="7158"/>
      <c r="VML9" s="7158"/>
      <c r="VMM9" s="7158"/>
      <c r="VMN9" s="7159"/>
      <c r="VMO9" s="7152" t="s">
        <v>1012</v>
      </c>
      <c r="VMP9" s="7153"/>
      <c r="VMQ9" s="7153"/>
      <c r="VMR9" s="7153"/>
      <c r="VMS9" s="7163">
        <v>0.05</v>
      </c>
      <c r="VMT9" s="7164"/>
      <c r="VMU9" s="7157">
        <f>VMS9*VMU7</f>
        <v>0</v>
      </c>
      <c r="VMV9" s="7157"/>
      <c r="VMW9" s="7157"/>
      <c r="VMX9" s="7157"/>
      <c r="VMY9" s="7158"/>
      <c r="VMZ9" s="7158"/>
      <c r="VNA9" s="7158"/>
      <c r="VNB9" s="7158"/>
      <c r="VNC9" s="7158"/>
      <c r="VND9" s="7159"/>
      <c r="VNE9" s="7152" t="s">
        <v>1012</v>
      </c>
      <c r="VNF9" s="7153"/>
      <c r="VNG9" s="7153"/>
      <c r="VNH9" s="7153"/>
      <c r="VNI9" s="7163">
        <v>0.05</v>
      </c>
      <c r="VNJ9" s="7164"/>
      <c r="VNK9" s="7157">
        <f>VNI9*VNK7</f>
        <v>0</v>
      </c>
      <c r="VNL9" s="7157"/>
      <c r="VNM9" s="7157"/>
      <c r="VNN9" s="7157"/>
      <c r="VNO9" s="7158"/>
      <c r="VNP9" s="7158"/>
      <c r="VNQ9" s="7158"/>
      <c r="VNR9" s="7158"/>
      <c r="VNS9" s="7158"/>
      <c r="VNT9" s="7159"/>
      <c r="VNU9" s="7152" t="s">
        <v>1012</v>
      </c>
      <c r="VNV9" s="7153"/>
      <c r="VNW9" s="7153"/>
      <c r="VNX9" s="7153"/>
      <c r="VNY9" s="7163">
        <v>0.05</v>
      </c>
      <c r="VNZ9" s="7164"/>
      <c r="VOA9" s="7157">
        <f>VNY9*VOA7</f>
        <v>0</v>
      </c>
      <c r="VOB9" s="7157"/>
      <c r="VOC9" s="7157"/>
      <c r="VOD9" s="7157"/>
      <c r="VOE9" s="7158"/>
      <c r="VOF9" s="7158"/>
      <c r="VOG9" s="7158"/>
      <c r="VOH9" s="7158"/>
      <c r="VOI9" s="7158"/>
      <c r="VOJ9" s="7159"/>
      <c r="VOK9" s="7152" t="s">
        <v>1012</v>
      </c>
      <c r="VOL9" s="7153"/>
      <c r="VOM9" s="7153"/>
      <c r="VON9" s="7153"/>
      <c r="VOO9" s="7163">
        <v>0.05</v>
      </c>
      <c r="VOP9" s="7164"/>
      <c r="VOQ9" s="7157">
        <f>VOO9*VOQ7</f>
        <v>0</v>
      </c>
      <c r="VOR9" s="7157"/>
      <c r="VOS9" s="7157"/>
      <c r="VOT9" s="7157"/>
      <c r="VOU9" s="7158"/>
      <c r="VOV9" s="7158"/>
      <c r="VOW9" s="7158"/>
      <c r="VOX9" s="7158"/>
      <c r="VOY9" s="7158"/>
      <c r="VOZ9" s="7159"/>
      <c r="VPA9" s="7152" t="s">
        <v>1012</v>
      </c>
      <c r="VPB9" s="7153"/>
      <c r="VPC9" s="7153"/>
      <c r="VPD9" s="7153"/>
      <c r="VPE9" s="7163">
        <v>0.05</v>
      </c>
      <c r="VPF9" s="7164"/>
      <c r="VPG9" s="7157">
        <f>VPE9*VPG7</f>
        <v>0</v>
      </c>
      <c r="VPH9" s="7157"/>
      <c r="VPI9" s="7157"/>
      <c r="VPJ9" s="7157"/>
      <c r="VPK9" s="7158"/>
      <c r="VPL9" s="7158"/>
      <c r="VPM9" s="7158"/>
      <c r="VPN9" s="7158"/>
      <c r="VPO9" s="7158"/>
      <c r="VPP9" s="7159"/>
      <c r="VPQ9" s="7152" t="s">
        <v>1012</v>
      </c>
      <c r="VPR9" s="7153"/>
      <c r="VPS9" s="7153"/>
      <c r="VPT9" s="7153"/>
      <c r="VPU9" s="7163">
        <v>0.05</v>
      </c>
      <c r="VPV9" s="7164"/>
      <c r="VPW9" s="7157">
        <f>VPU9*VPW7</f>
        <v>0</v>
      </c>
      <c r="VPX9" s="7157"/>
      <c r="VPY9" s="7157"/>
      <c r="VPZ9" s="7157"/>
      <c r="VQA9" s="7158"/>
      <c r="VQB9" s="7158"/>
      <c r="VQC9" s="7158"/>
      <c r="VQD9" s="7158"/>
      <c r="VQE9" s="7158"/>
      <c r="VQF9" s="7159"/>
      <c r="VQG9" s="7152" t="s">
        <v>1012</v>
      </c>
      <c r="VQH9" s="7153"/>
      <c r="VQI9" s="7153"/>
      <c r="VQJ9" s="7153"/>
      <c r="VQK9" s="7163">
        <v>0.05</v>
      </c>
      <c r="VQL9" s="7164"/>
      <c r="VQM9" s="7157">
        <f>VQK9*VQM7</f>
        <v>0</v>
      </c>
      <c r="VQN9" s="7157"/>
      <c r="VQO9" s="7157"/>
      <c r="VQP9" s="7157"/>
      <c r="VQQ9" s="7158"/>
      <c r="VQR9" s="7158"/>
      <c r="VQS9" s="7158"/>
      <c r="VQT9" s="7158"/>
      <c r="VQU9" s="7158"/>
      <c r="VQV9" s="7159"/>
      <c r="VQW9" s="7152" t="s">
        <v>1012</v>
      </c>
      <c r="VQX9" s="7153"/>
      <c r="VQY9" s="7153"/>
      <c r="VQZ9" s="7153"/>
      <c r="VRA9" s="7163">
        <v>0.05</v>
      </c>
      <c r="VRB9" s="7164"/>
      <c r="VRC9" s="7157">
        <f>VRA9*VRC7</f>
        <v>0</v>
      </c>
      <c r="VRD9" s="7157"/>
      <c r="VRE9" s="7157"/>
      <c r="VRF9" s="7157"/>
      <c r="VRG9" s="7158"/>
      <c r="VRH9" s="7158"/>
      <c r="VRI9" s="7158"/>
      <c r="VRJ9" s="7158"/>
      <c r="VRK9" s="7158"/>
      <c r="VRL9" s="7159"/>
      <c r="VRM9" s="7152" t="s">
        <v>1012</v>
      </c>
      <c r="VRN9" s="7153"/>
      <c r="VRO9" s="7153"/>
      <c r="VRP9" s="7153"/>
      <c r="VRQ9" s="7163">
        <v>0.05</v>
      </c>
      <c r="VRR9" s="7164"/>
      <c r="VRS9" s="7157">
        <f>VRQ9*VRS7</f>
        <v>0</v>
      </c>
      <c r="VRT9" s="7157"/>
      <c r="VRU9" s="7157"/>
      <c r="VRV9" s="7157"/>
      <c r="VRW9" s="7158"/>
      <c r="VRX9" s="7158"/>
      <c r="VRY9" s="7158"/>
      <c r="VRZ9" s="7158"/>
      <c r="VSA9" s="7158"/>
      <c r="VSB9" s="7159"/>
      <c r="VSC9" s="7152" t="s">
        <v>1012</v>
      </c>
      <c r="VSD9" s="7153"/>
      <c r="VSE9" s="7153"/>
      <c r="VSF9" s="7153"/>
      <c r="VSG9" s="7163">
        <v>0.05</v>
      </c>
      <c r="VSH9" s="7164"/>
      <c r="VSI9" s="7157">
        <f>VSG9*VSI7</f>
        <v>0</v>
      </c>
      <c r="VSJ9" s="7157"/>
      <c r="VSK9" s="7157"/>
      <c r="VSL9" s="7157"/>
      <c r="VSM9" s="7158"/>
      <c r="VSN9" s="7158"/>
      <c r="VSO9" s="7158"/>
      <c r="VSP9" s="7158"/>
      <c r="VSQ9" s="7158"/>
      <c r="VSR9" s="7159"/>
      <c r="VSS9" s="7152" t="s">
        <v>1012</v>
      </c>
      <c r="VST9" s="7153"/>
      <c r="VSU9" s="7153"/>
      <c r="VSV9" s="7153"/>
      <c r="VSW9" s="7163">
        <v>0.05</v>
      </c>
      <c r="VSX9" s="7164"/>
      <c r="VSY9" s="7157">
        <f>VSW9*VSY7</f>
        <v>0</v>
      </c>
      <c r="VSZ9" s="7157"/>
      <c r="VTA9" s="7157"/>
      <c r="VTB9" s="7157"/>
      <c r="VTC9" s="7158"/>
      <c r="VTD9" s="7158"/>
      <c r="VTE9" s="7158"/>
      <c r="VTF9" s="7158"/>
      <c r="VTG9" s="7158"/>
      <c r="VTH9" s="7159"/>
      <c r="VTI9" s="7152" t="s">
        <v>1012</v>
      </c>
      <c r="VTJ9" s="7153"/>
      <c r="VTK9" s="7153"/>
      <c r="VTL9" s="7153"/>
      <c r="VTM9" s="7163">
        <v>0.05</v>
      </c>
      <c r="VTN9" s="7164"/>
      <c r="VTO9" s="7157">
        <f>VTM9*VTO7</f>
        <v>0</v>
      </c>
      <c r="VTP9" s="7157"/>
      <c r="VTQ9" s="7157"/>
      <c r="VTR9" s="7157"/>
      <c r="VTS9" s="7158"/>
      <c r="VTT9" s="7158"/>
      <c r="VTU9" s="7158"/>
      <c r="VTV9" s="7158"/>
      <c r="VTW9" s="7158"/>
      <c r="VTX9" s="7159"/>
      <c r="VTY9" s="7152" t="s">
        <v>1012</v>
      </c>
      <c r="VTZ9" s="7153"/>
      <c r="VUA9" s="7153"/>
      <c r="VUB9" s="7153"/>
      <c r="VUC9" s="7163">
        <v>0.05</v>
      </c>
      <c r="VUD9" s="7164"/>
      <c r="VUE9" s="7157">
        <f>VUC9*VUE7</f>
        <v>0</v>
      </c>
      <c r="VUF9" s="7157"/>
      <c r="VUG9" s="7157"/>
      <c r="VUH9" s="7157"/>
      <c r="VUI9" s="7158"/>
      <c r="VUJ9" s="7158"/>
      <c r="VUK9" s="7158"/>
      <c r="VUL9" s="7158"/>
      <c r="VUM9" s="7158"/>
      <c r="VUN9" s="7159"/>
      <c r="VUO9" s="7152" t="s">
        <v>1012</v>
      </c>
      <c r="VUP9" s="7153"/>
      <c r="VUQ9" s="7153"/>
      <c r="VUR9" s="7153"/>
      <c r="VUS9" s="7163">
        <v>0.05</v>
      </c>
      <c r="VUT9" s="7164"/>
      <c r="VUU9" s="7157">
        <f>VUS9*VUU7</f>
        <v>0</v>
      </c>
      <c r="VUV9" s="7157"/>
      <c r="VUW9" s="7157"/>
      <c r="VUX9" s="7157"/>
      <c r="VUY9" s="7158"/>
      <c r="VUZ9" s="7158"/>
      <c r="VVA9" s="7158"/>
      <c r="VVB9" s="7158"/>
      <c r="VVC9" s="7158"/>
      <c r="VVD9" s="7159"/>
      <c r="VVE9" s="7152" t="s">
        <v>1012</v>
      </c>
      <c r="VVF9" s="7153"/>
      <c r="VVG9" s="7153"/>
      <c r="VVH9" s="7153"/>
      <c r="VVI9" s="7163">
        <v>0.05</v>
      </c>
      <c r="VVJ9" s="7164"/>
      <c r="VVK9" s="7157">
        <f>VVI9*VVK7</f>
        <v>0</v>
      </c>
      <c r="VVL9" s="7157"/>
      <c r="VVM9" s="7157"/>
      <c r="VVN9" s="7157"/>
      <c r="VVO9" s="7158"/>
      <c r="VVP9" s="7158"/>
      <c r="VVQ9" s="7158"/>
      <c r="VVR9" s="7158"/>
      <c r="VVS9" s="7158"/>
      <c r="VVT9" s="7159"/>
      <c r="VVU9" s="7152" t="s">
        <v>1012</v>
      </c>
      <c r="VVV9" s="7153"/>
      <c r="VVW9" s="7153"/>
      <c r="VVX9" s="7153"/>
      <c r="VVY9" s="7163">
        <v>0.05</v>
      </c>
      <c r="VVZ9" s="7164"/>
      <c r="VWA9" s="7157">
        <f>VVY9*VWA7</f>
        <v>0</v>
      </c>
      <c r="VWB9" s="7157"/>
      <c r="VWC9" s="7157"/>
      <c r="VWD9" s="7157"/>
      <c r="VWE9" s="7158"/>
      <c r="VWF9" s="7158"/>
      <c r="VWG9" s="7158"/>
      <c r="VWH9" s="7158"/>
      <c r="VWI9" s="7158"/>
      <c r="VWJ9" s="7159"/>
      <c r="VWK9" s="7152" t="s">
        <v>1012</v>
      </c>
      <c r="VWL9" s="7153"/>
      <c r="VWM9" s="7153"/>
      <c r="VWN9" s="7153"/>
      <c r="VWO9" s="7163">
        <v>0.05</v>
      </c>
      <c r="VWP9" s="7164"/>
      <c r="VWQ9" s="7157">
        <f>VWO9*VWQ7</f>
        <v>0</v>
      </c>
      <c r="VWR9" s="7157"/>
      <c r="VWS9" s="7157"/>
      <c r="VWT9" s="7157"/>
      <c r="VWU9" s="7158"/>
      <c r="VWV9" s="7158"/>
      <c r="VWW9" s="7158"/>
      <c r="VWX9" s="7158"/>
      <c r="VWY9" s="7158"/>
      <c r="VWZ9" s="7159"/>
      <c r="VXA9" s="7152" t="s">
        <v>1012</v>
      </c>
      <c r="VXB9" s="7153"/>
      <c r="VXC9" s="7153"/>
      <c r="VXD9" s="7153"/>
      <c r="VXE9" s="7163">
        <v>0.05</v>
      </c>
      <c r="VXF9" s="7164"/>
      <c r="VXG9" s="7157">
        <f>VXE9*VXG7</f>
        <v>0</v>
      </c>
      <c r="VXH9" s="7157"/>
      <c r="VXI9" s="7157"/>
      <c r="VXJ9" s="7157"/>
      <c r="VXK9" s="7158"/>
      <c r="VXL9" s="7158"/>
      <c r="VXM9" s="7158"/>
      <c r="VXN9" s="7158"/>
      <c r="VXO9" s="7158"/>
      <c r="VXP9" s="7159"/>
      <c r="VXQ9" s="7152" t="s">
        <v>1012</v>
      </c>
      <c r="VXR9" s="7153"/>
      <c r="VXS9" s="7153"/>
      <c r="VXT9" s="7153"/>
      <c r="VXU9" s="7163">
        <v>0.05</v>
      </c>
      <c r="VXV9" s="7164"/>
      <c r="VXW9" s="7157">
        <f>VXU9*VXW7</f>
        <v>0</v>
      </c>
      <c r="VXX9" s="7157"/>
      <c r="VXY9" s="7157"/>
      <c r="VXZ9" s="7157"/>
      <c r="VYA9" s="7158"/>
      <c r="VYB9" s="7158"/>
      <c r="VYC9" s="7158"/>
      <c r="VYD9" s="7158"/>
      <c r="VYE9" s="7158"/>
      <c r="VYF9" s="7159"/>
      <c r="VYG9" s="7152" t="s">
        <v>1012</v>
      </c>
      <c r="VYH9" s="7153"/>
      <c r="VYI9" s="7153"/>
      <c r="VYJ9" s="7153"/>
      <c r="VYK9" s="7163">
        <v>0.05</v>
      </c>
      <c r="VYL9" s="7164"/>
      <c r="VYM9" s="7157">
        <f>VYK9*VYM7</f>
        <v>0</v>
      </c>
      <c r="VYN9" s="7157"/>
      <c r="VYO9" s="7157"/>
      <c r="VYP9" s="7157"/>
      <c r="VYQ9" s="7158"/>
      <c r="VYR9" s="7158"/>
      <c r="VYS9" s="7158"/>
      <c r="VYT9" s="7158"/>
      <c r="VYU9" s="7158"/>
      <c r="VYV9" s="7159"/>
      <c r="VYW9" s="7152" t="s">
        <v>1012</v>
      </c>
      <c r="VYX9" s="7153"/>
      <c r="VYY9" s="7153"/>
      <c r="VYZ9" s="7153"/>
      <c r="VZA9" s="7163">
        <v>0.05</v>
      </c>
      <c r="VZB9" s="7164"/>
      <c r="VZC9" s="7157">
        <f>VZA9*VZC7</f>
        <v>0</v>
      </c>
      <c r="VZD9" s="7157"/>
      <c r="VZE9" s="7157"/>
      <c r="VZF9" s="7157"/>
      <c r="VZG9" s="7158"/>
      <c r="VZH9" s="7158"/>
      <c r="VZI9" s="7158"/>
      <c r="VZJ9" s="7158"/>
      <c r="VZK9" s="7158"/>
      <c r="VZL9" s="7159"/>
      <c r="VZM9" s="7152" t="s">
        <v>1012</v>
      </c>
      <c r="VZN9" s="7153"/>
      <c r="VZO9" s="7153"/>
      <c r="VZP9" s="7153"/>
      <c r="VZQ9" s="7163">
        <v>0.05</v>
      </c>
      <c r="VZR9" s="7164"/>
      <c r="VZS9" s="7157">
        <f>VZQ9*VZS7</f>
        <v>0</v>
      </c>
      <c r="VZT9" s="7157"/>
      <c r="VZU9" s="7157"/>
      <c r="VZV9" s="7157"/>
      <c r="VZW9" s="7158"/>
      <c r="VZX9" s="7158"/>
      <c r="VZY9" s="7158"/>
      <c r="VZZ9" s="7158"/>
      <c r="WAA9" s="7158"/>
      <c r="WAB9" s="7159"/>
      <c r="WAC9" s="7152" t="s">
        <v>1012</v>
      </c>
      <c r="WAD9" s="7153"/>
      <c r="WAE9" s="7153"/>
      <c r="WAF9" s="7153"/>
      <c r="WAG9" s="7163">
        <v>0.05</v>
      </c>
      <c r="WAH9" s="7164"/>
      <c r="WAI9" s="7157">
        <f>WAG9*WAI7</f>
        <v>0</v>
      </c>
      <c r="WAJ9" s="7157"/>
      <c r="WAK9" s="7157"/>
      <c r="WAL9" s="7157"/>
      <c r="WAM9" s="7158"/>
      <c r="WAN9" s="7158"/>
      <c r="WAO9" s="7158"/>
      <c r="WAP9" s="7158"/>
      <c r="WAQ9" s="7158"/>
      <c r="WAR9" s="7159"/>
      <c r="WAS9" s="7152" t="s">
        <v>1012</v>
      </c>
      <c r="WAT9" s="7153"/>
      <c r="WAU9" s="7153"/>
      <c r="WAV9" s="7153"/>
      <c r="WAW9" s="7163">
        <v>0.05</v>
      </c>
      <c r="WAX9" s="7164"/>
      <c r="WAY9" s="7157">
        <f>WAW9*WAY7</f>
        <v>0</v>
      </c>
      <c r="WAZ9" s="7157"/>
      <c r="WBA9" s="7157"/>
      <c r="WBB9" s="7157"/>
      <c r="WBC9" s="7158"/>
      <c r="WBD9" s="7158"/>
      <c r="WBE9" s="7158"/>
      <c r="WBF9" s="7158"/>
      <c r="WBG9" s="7158"/>
      <c r="WBH9" s="7159"/>
      <c r="WBI9" s="7152" t="s">
        <v>1012</v>
      </c>
      <c r="WBJ9" s="7153"/>
      <c r="WBK9" s="7153"/>
      <c r="WBL9" s="7153"/>
      <c r="WBM9" s="7163">
        <v>0.05</v>
      </c>
      <c r="WBN9" s="7164"/>
      <c r="WBO9" s="7157">
        <f>WBM9*WBO7</f>
        <v>0</v>
      </c>
      <c r="WBP9" s="7157"/>
      <c r="WBQ9" s="7157"/>
      <c r="WBR9" s="7157"/>
      <c r="WBS9" s="7158"/>
      <c r="WBT9" s="7158"/>
      <c r="WBU9" s="7158"/>
      <c r="WBV9" s="7158"/>
      <c r="WBW9" s="7158"/>
      <c r="WBX9" s="7159"/>
      <c r="WBY9" s="7152" t="s">
        <v>1012</v>
      </c>
      <c r="WBZ9" s="7153"/>
      <c r="WCA9" s="7153"/>
      <c r="WCB9" s="7153"/>
      <c r="WCC9" s="7163">
        <v>0.05</v>
      </c>
      <c r="WCD9" s="7164"/>
      <c r="WCE9" s="7157">
        <f>WCC9*WCE7</f>
        <v>0</v>
      </c>
      <c r="WCF9" s="7157"/>
      <c r="WCG9" s="7157"/>
      <c r="WCH9" s="7157"/>
      <c r="WCI9" s="7158"/>
      <c r="WCJ9" s="7158"/>
      <c r="WCK9" s="7158"/>
      <c r="WCL9" s="7158"/>
      <c r="WCM9" s="7158"/>
      <c r="WCN9" s="7159"/>
      <c r="WCO9" s="7152" t="s">
        <v>1012</v>
      </c>
      <c r="WCP9" s="7153"/>
      <c r="WCQ9" s="7153"/>
      <c r="WCR9" s="7153"/>
      <c r="WCS9" s="7163">
        <v>0.05</v>
      </c>
      <c r="WCT9" s="7164"/>
      <c r="WCU9" s="7157">
        <f>WCS9*WCU7</f>
        <v>0</v>
      </c>
      <c r="WCV9" s="7157"/>
      <c r="WCW9" s="7157"/>
      <c r="WCX9" s="7157"/>
      <c r="WCY9" s="7158"/>
      <c r="WCZ9" s="7158"/>
      <c r="WDA9" s="7158"/>
      <c r="WDB9" s="7158"/>
      <c r="WDC9" s="7158"/>
      <c r="WDD9" s="7159"/>
      <c r="WDE9" s="7152" t="s">
        <v>1012</v>
      </c>
      <c r="WDF9" s="7153"/>
      <c r="WDG9" s="7153"/>
      <c r="WDH9" s="7153"/>
      <c r="WDI9" s="7163">
        <v>0.05</v>
      </c>
      <c r="WDJ9" s="7164"/>
      <c r="WDK9" s="7157">
        <f>WDI9*WDK7</f>
        <v>0</v>
      </c>
      <c r="WDL9" s="7157"/>
      <c r="WDM9" s="7157"/>
      <c r="WDN9" s="7157"/>
      <c r="WDO9" s="7158"/>
      <c r="WDP9" s="7158"/>
      <c r="WDQ9" s="7158"/>
      <c r="WDR9" s="7158"/>
      <c r="WDS9" s="7158"/>
      <c r="WDT9" s="7159"/>
      <c r="WDU9" s="7152" t="s">
        <v>1012</v>
      </c>
      <c r="WDV9" s="7153"/>
      <c r="WDW9" s="7153"/>
      <c r="WDX9" s="7153"/>
      <c r="WDY9" s="7163">
        <v>0.05</v>
      </c>
      <c r="WDZ9" s="7164"/>
      <c r="WEA9" s="7157">
        <f>WDY9*WEA7</f>
        <v>0</v>
      </c>
      <c r="WEB9" s="7157"/>
      <c r="WEC9" s="7157"/>
      <c r="WED9" s="7157"/>
      <c r="WEE9" s="7158"/>
      <c r="WEF9" s="7158"/>
      <c r="WEG9" s="7158"/>
      <c r="WEH9" s="7158"/>
      <c r="WEI9" s="7158"/>
      <c r="WEJ9" s="7159"/>
      <c r="WEK9" s="7152" t="s">
        <v>1012</v>
      </c>
      <c r="WEL9" s="7153"/>
      <c r="WEM9" s="7153"/>
      <c r="WEN9" s="7153"/>
      <c r="WEO9" s="7163">
        <v>0.05</v>
      </c>
      <c r="WEP9" s="7164"/>
      <c r="WEQ9" s="7157">
        <f>WEO9*WEQ7</f>
        <v>0</v>
      </c>
      <c r="WER9" s="7157"/>
      <c r="WES9" s="7157"/>
      <c r="WET9" s="7157"/>
      <c r="WEU9" s="7158"/>
      <c r="WEV9" s="7158"/>
      <c r="WEW9" s="7158"/>
      <c r="WEX9" s="7158"/>
      <c r="WEY9" s="7158"/>
      <c r="WEZ9" s="7159"/>
      <c r="WFA9" s="7152" t="s">
        <v>1012</v>
      </c>
      <c r="WFB9" s="7153"/>
      <c r="WFC9" s="7153"/>
      <c r="WFD9" s="7153"/>
      <c r="WFE9" s="7163">
        <v>0.05</v>
      </c>
      <c r="WFF9" s="7164"/>
      <c r="WFG9" s="7157">
        <f>WFE9*WFG7</f>
        <v>0</v>
      </c>
      <c r="WFH9" s="7157"/>
      <c r="WFI9" s="7157"/>
      <c r="WFJ9" s="7157"/>
      <c r="WFK9" s="7158"/>
      <c r="WFL9" s="7158"/>
      <c r="WFM9" s="7158"/>
      <c r="WFN9" s="7158"/>
      <c r="WFO9" s="7158"/>
      <c r="WFP9" s="7159"/>
      <c r="WFQ9" s="7152" t="s">
        <v>1012</v>
      </c>
      <c r="WFR9" s="7153"/>
      <c r="WFS9" s="7153"/>
      <c r="WFT9" s="7153"/>
      <c r="WFU9" s="7163">
        <v>0.05</v>
      </c>
      <c r="WFV9" s="7164"/>
      <c r="WFW9" s="7157">
        <f>WFU9*WFW7</f>
        <v>0</v>
      </c>
      <c r="WFX9" s="7157"/>
      <c r="WFY9" s="7157"/>
      <c r="WFZ9" s="7157"/>
      <c r="WGA9" s="7158"/>
      <c r="WGB9" s="7158"/>
      <c r="WGC9" s="7158"/>
      <c r="WGD9" s="7158"/>
      <c r="WGE9" s="7158"/>
      <c r="WGF9" s="7159"/>
      <c r="WGG9" s="7152" t="s">
        <v>1012</v>
      </c>
      <c r="WGH9" s="7153"/>
      <c r="WGI9" s="7153"/>
      <c r="WGJ9" s="7153"/>
      <c r="WGK9" s="7163">
        <v>0.05</v>
      </c>
      <c r="WGL9" s="7164"/>
      <c r="WGM9" s="7157">
        <f>WGK9*WGM7</f>
        <v>0</v>
      </c>
      <c r="WGN9" s="7157"/>
      <c r="WGO9" s="7157"/>
      <c r="WGP9" s="7157"/>
      <c r="WGQ9" s="7158"/>
      <c r="WGR9" s="7158"/>
      <c r="WGS9" s="7158"/>
      <c r="WGT9" s="7158"/>
      <c r="WGU9" s="7158"/>
      <c r="WGV9" s="7159"/>
      <c r="WGW9" s="7152" t="s">
        <v>1012</v>
      </c>
      <c r="WGX9" s="7153"/>
      <c r="WGY9" s="7153"/>
      <c r="WGZ9" s="7153"/>
      <c r="WHA9" s="7163">
        <v>0.05</v>
      </c>
      <c r="WHB9" s="7164"/>
      <c r="WHC9" s="7157">
        <f>WHA9*WHC7</f>
        <v>0</v>
      </c>
      <c r="WHD9" s="7157"/>
      <c r="WHE9" s="7157"/>
      <c r="WHF9" s="7157"/>
      <c r="WHG9" s="7158"/>
      <c r="WHH9" s="7158"/>
      <c r="WHI9" s="7158"/>
      <c r="WHJ9" s="7158"/>
      <c r="WHK9" s="7158"/>
      <c r="WHL9" s="7159"/>
      <c r="WHM9" s="7152" t="s">
        <v>1012</v>
      </c>
      <c r="WHN9" s="7153"/>
      <c r="WHO9" s="7153"/>
      <c r="WHP9" s="7153"/>
      <c r="WHQ9" s="7163">
        <v>0.05</v>
      </c>
      <c r="WHR9" s="7164"/>
      <c r="WHS9" s="7157">
        <f>WHQ9*WHS7</f>
        <v>0</v>
      </c>
      <c r="WHT9" s="7157"/>
      <c r="WHU9" s="7157"/>
      <c r="WHV9" s="7157"/>
      <c r="WHW9" s="7158"/>
      <c r="WHX9" s="7158"/>
      <c r="WHY9" s="7158"/>
      <c r="WHZ9" s="7158"/>
      <c r="WIA9" s="7158"/>
      <c r="WIB9" s="7159"/>
      <c r="WIC9" s="7152" t="s">
        <v>1012</v>
      </c>
      <c r="WID9" s="7153"/>
      <c r="WIE9" s="7153"/>
      <c r="WIF9" s="7153"/>
      <c r="WIG9" s="7163">
        <v>0.05</v>
      </c>
      <c r="WIH9" s="7164"/>
      <c r="WII9" s="7157">
        <f>WIG9*WII7</f>
        <v>0</v>
      </c>
      <c r="WIJ9" s="7157"/>
      <c r="WIK9" s="7157"/>
      <c r="WIL9" s="7157"/>
      <c r="WIM9" s="7158"/>
      <c r="WIN9" s="7158"/>
      <c r="WIO9" s="7158"/>
      <c r="WIP9" s="7158"/>
      <c r="WIQ9" s="7158"/>
      <c r="WIR9" s="7159"/>
      <c r="WIS9" s="7152" t="s">
        <v>1012</v>
      </c>
      <c r="WIT9" s="7153"/>
      <c r="WIU9" s="7153"/>
      <c r="WIV9" s="7153"/>
      <c r="WIW9" s="7163">
        <v>0.05</v>
      </c>
      <c r="WIX9" s="7164"/>
      <c r="WIY9" s="7157">
        <f>WIW9*WIY7</f>
        <v>0</v>
      </c>
      <c r="WIZ9" s="7157"/>
      <c r="WJA9" s="7157"/>
      <c r="WJB9" s="7157"/>
      <c r="WJC9" s="7158"/>
      <c r="WJD9" s="7158"/>
      <c r="WJE9" s="7158"/>
      <c r="WJF9" s="7158"/>
      <c r="WJG9" s="7158"/>
      <c r="WJH9" s="7159"/>
      <c r="WJI9" s="7152" t="s">
        <v>1012</v>
      </c>
      <c r="WJJ9" s="7153"/>
      <c r="WJK9" s="7153"/>
      <c r="WJL9" s="7153"/>
      <c r="WJM9" s="7163">
        <v>0.05</v>
      </c>
      <c r="WJN9" s="7164"/>
      <c r="WJO9" s="7157">
        <f>WJM9*WJO7</f>
        <v>0</v>
      </c>
      <c r="WJP9" s="7157"/>
      <c r="WJQ9" s="7157"/>
      <c r="WJR9" s="7157"/>
      <c r="WJS9" s="7158"/>
      <c r="WJT9" s="7158"/>
      <c r="WJU9" s="7158"/>
      <c r="WJV9" s="7158"/>
      <c r="WJW9" s="7158"/>
      <c r="WJX9" s="7159"/>
      <c r="WJY9" s="7152" t="s">
        <v>1012</v>
      </c>
      <c r="WJZ9" s="7153"/>
      <c r="WKA9" s="7153"/>
      <c r="WKB9" s="7153"/>
      <c r="WKC9" s="7163">
        <v>0.05</v>
      </c>
      <c r="WKD9" s="7164"/>
      <c r="WKE9" s="7157">
        <f>WKC9*WKE7</f>
        <v>0</v>
      </c>
      <c r="WKF9" s="7157"/>
      <c r="WKG9" s="7157"/>
      <c r="WKH9" s="7157"/>
      <c r="WKI9" s="7158"/>
      <c r="WKJ9" s="7158"/>
      <c r="WKK9" s="7158"/>
      <c r="WKL9" s="7158"/>
      <c r="WKM9" s="7158"/>
      <c r="WKN9" s="7159"/>
      <c r="WKO9" s="7152" t="s">
        <v>1012</v>
      </c>
      <c r="WKP9" s="7153"/>
      <c r="WKQ9" s="7153"/>
      <c r="WKR9" s="7153"/>
      <c r="WKS9" s="7163">
        <v>0.05</v>
      </c>
      <c r="WKT9" s="7164"/>
      <c r="WKU9" s="7157">
        <f>WKS9*WKU7</f>
        <v>0</v>
      </c>
      <c r="WKV9" s="7157"/>
      <c r="WKW9" s="7157"/>
      <c r="WKX9" s="7157"/>
      <c r="WKY9" s="7158"/>
      <c r="WKZ9" s="7158"/>
      <c r="WLA9" s="7158"/>
      <c r="WLB9" s="7158"/>
      <c r="WLC9" s="7158"/>
      <c r="WLD9" s="7159"/>
      <c r="WLE9" s="7152" t="s">
        <v>1012</v>
      </c>
      <c r="WLF9" s="7153"/>
      <c r="WLG9" s="7153"/>
      <c r="WLH9" s="7153"/>
      <c r="WLI9" s="7163">
        <v>0.05</v>
      </c>
      <c r="WLJ9" s="7164"/>
      <c r="WLK9" s="7157">
        <f>WLI9*WLK7</f>
        <v>0</v>
      </c>
      <c r="WLL9" s="7157"/>
      <c r="WLM9" s="7157"/>
      <c r="WLN9" s="7157"/>
      <c r="WLO9" s="7158"/>
      <c r="WLP9" s="7158"/>
      <c r="WLQ9" s="7158"/>
      <c r="WLR9" s="7158"/>
      <c r="WLS9" s="7158"/>
      <c r="WLT9" s="7159"/>
      <c r="WLU9" s="7152" t="s">
        <v>1012</v>
      </c>
      <c r="WLV9" s="7153"/>
      <c r="WLW9" s="7153"/>
      <c r="WLX9" s="7153"/>
      <c r="WLY9" s="7163">
        <v>0.05</v>
      </c>
      <c r="WLZ9" s="7164"/>
      <c r="WMA9" s="7157">
        <f>WLY9*WMA7</f>
        <v>0</v>
      </c>
      <c r="WMB9" s="7157"/>
      <c r="WMC9" s="7157"/>
      <c r="WMD9" s="7157"/>
      <c r="WME9" s="7158"/>
      <c r="WMF9" s="7158"/>
      <c r="WMG9" s="7158"/>
      <c r="WMH9" s="7158"/>
      <c r="WMI9" s="7158"/>
      <c r="WMJ9" s="7159"/>
      <c r="WMK9" s="7152" t="s">
        <v>1012</v>
      </c>
      <c r="WML9" s="7153"/>
      <c r="WMM9" s="7153"/>
      <c r="WMN9" s="7153"/>
      <c r="WMO9" s="7163">
        <v>0.05</v>
      </c>
      <c r="WMP9" s="7164"/>
      <c r="WMQ9" s="7157">
        <f>WMO9*WMQ7</f>
        <v>0</v>
      </c>
      <c r="WMR9" s="7157"/>
      <c r="WMS9" s="7157"/>
      <c r="WMT9" s="7157"/>
      <c r="WMU9" s="7158"/>
      <c r="WMV9" s="7158"/>
      <c r="WMW9" s="7158"/>
      <c r="WMX9" s="7158"/>
      <c r="WMY9" s="7158"/>
      <c r="WMZ9" s="7159"/>
      <c r="WNA9" s="7152" t="s">
        <v>1012</v>
      </c>
      <c r="WNB9" s="7153"/>
      <c r="WNC9" s="7153"/>
      <c r="WND9" s="7153"/>
      <c r="WNE9" s="7163">
        <v>0.05</v>
      </c>
      <c r="WNF9" s="7164"/>
      <c r="WNG9" s="7157">
        <f>WNE9*WNG7</f>
        <v>0</v>
      </c>
      <c r="WNH9" s="7157"/>
      <c r="WNI9" s="7157"/>
      <c r="WNJ9" s="7157"/>
      <c r="WNK9" s="7158"/>
      <c r="WNL9" s="7158"/>
      <c r="WNM9" s="7158"/>
      <c r="WNN9" s="7158"/>
      <c r="WNO9" s="7158"/>
      <c r="WNP9" s="7159"/>
      <c r="WNQ9" s="7152" t="s">
        <v>1012</v>
      </c>
      <c r="WNR9" s="7153"/>
      <c r="WNS9" s="7153"/>
      <c r="WNT9" s="7153"/>
      <c r="WNU9" s="7163">
        <v>0.05</v>
      </c>
      <c r="WNV9" s="7164"/>
      <c r="WNW9" s="7157">
        <f>WNU9*WNW7</f>
        <v>0</v>
      </c>
      <c r="WNX9" s="7157"/>
      <c r="WNY9" s="7157"/>
      <c r="WNZ9" s="7157"/>
      <c r="WOA9" s="7158"/>
      <c r="WOB9" s="7158"/>
      <c r="WOC9" s="7158"/>
      <c r="WOD9" s="7158"/>
      <c r="WOE9" s="7158"/>
      <c r="WOF9" s="7159"/>
      <c r="WOG9" s="7152" t="s">
        <v>1012</v>
      </c>
      <c r="WOH9" s="7153"/>
      <c r="WOI9" s="7153"/>
      <c r="WOJ9" s="7153"/>
      <c r="WOK9" s="7163">
        <v>0.05</v>
      </c>
      <c r="WOL9" s="7164"/>
      <c r="WOM9" s="7157">
        <f>WOK9*WOM7</f>
        <v>0</v>
      </c>
      <c r="WON9" s="7157"/>
      <c r="WOO9" s="7157"/>
      <c r="WOP9" s="7157"/>
      <c r="WOQ9" s="7158"/>
      <c r="WOR9" s="7158"/>
      <c r="WOS9" s="7158"/>
      <c r="WOT9" s="7158"/>
      <c r="WOU9" s="7158"/>
      <c r="WOV9" s="7159"/>
      <c r="WOW9" s="7152" t="s">
        <v>1012</v>
      </c>
      <c r="WOX9" s="7153"/>
      <c r="WOY9" s="7153"/>
      <c r="WOZ9" s="7153"/>
      <c r="WPA9" s="7163">
        <v>0.05</v>
      </c>
      <c r="WPB9" s="7164"/>
      <c r="WPC9" s="7157">
        <f>WPA9*WPC7</f>
        <v>0</v>
      </c>
      <c r="WPD9" s="7157"/>
      <c r="WPE9" s="7157"/>
      <c r="WPF9" s="7157"/>
      <c r="WPG9" s="7158"/>
      <c r="WPH9" s="7158"/>
      <c r="WPI9" s="7158"/>
      <c r="WPJ9" s="7158"/>
      <c r="WPK9" s="7158"/>
      <c r="WPL9" s="7159"/>
      <c r="WPM9" s="7152" t="s">
        <v>1012</v>
      </c>
      <c r="WPN9" s="7153"/>
      <c r="WPO9" s="7153"/>
      <c r="WPP9" s="7153"/>
      <c r="WPQ9" s="7163">
        <v>0.05</v>
      </c>
      <c r="WPR9" s="7164"/>
      <c r="WPS9" s="7157">
        <f>WPQ9*WPS7</f>
        <v>0</v>
      </c>
      <c r="WPT9" s="7157"/>
      <c r="WPU9" s="7157"/>
      <c r="WPV9" s="7157"/>
      <c r="WPW9" s="7158"/>
      <c r="WPX9" s="7158"/>
      <c r="WPY9" s="7158"/>
      <c r="WPZ9" s="7158"/>
      <c r="WQA9" s="7158"/>
      <c r="WQB9" s="7159"/>
      <c r="WQC9" s="7152" t="s">
        <v>1012</v>
      </c>
      <c r="WQD9" s="7153"/>
      <c r="WQE9" s="7153"/>
      <c r="WQF9" s="7153"/>
      <c r="WQG9" s="7163">
        <v>0.05</v>
      </c>
      <c r="WQH9" s="7164"/>
      <c r="WQI9" s="7157">
        <f>WQG9*WQI7</f>
        <v>0</v>
      </c>
      <c r="WQJ9" s="7157"/>
      <c r="WQK9" s="7157"/>
      <c r="WQL9" s="7157"/>
      <c r="WQM9" s="7158"/>
      <c r="WQN9" s="7158"/>
      <c r="WQO9" s="7158"/>
      <c r="WQP9" s="7158"/>
      <c r="WQQ9" s="7158"/>
      <c r="WQR9" s="7159"/>
      <c r="WQS9" s="7152" t="s">
        <v>1012</v>
      </c>
      <c r="WQT9" s="7153"/>
      <c r="WQU9" s="7153"/>
      <c r="WQV9" s="7153"/>
      <c r="WQW9" s="7163">
        <v>0.05</v>
      </c>
      <c r="WQX9" s="7164"/>
      <c r="WQY9" s="7157">
        <f>WQW9*WQY7</f>
        <v>0</v>
      </c>
      <c r="WQZ9" s="7157"/>
      <c r="WRA9" s="7157"/>
      <c r="WRB9" s="7157"/>
      <c r="WRC9" s="7158"/>
      <c r="WRD9" s="7158"/>
      <c r="WRE9" s="7158"/>
      <c r="WRF9" s="7158"/>
      <c r="WRG9" s="7158"/>
      <c r="WRH9" s="7159"/>
      <c r="WRI9" s="7152" t="s">
        <v>1012</v>
      </c>
      <c r="WRJ9" s="7153"/>
      <c r="WRK9" s="7153"/>
      <c r="WRL9" s="7153"/>
      <c r="WRM9" s="7163">
        <v>0.05</v>
      </c>
      <c r="WRN9" s="7164"/>
      <c r="WRO9" s="7157">
        <f>WRM9*WRO7</f>
        <v>0</v>
      </c>
      <c r="WRP9" s="7157"/>
      <c r="WRQ9" s="7157"/>
      <c r="WRR9" s="7157"/>
      <c r="WRS9" s="7158"/>
      <c r="WRT9" s="7158"/>
      <c r="WRU9" s="7158"/>
      <c r="WRV9" s="7158"/>
      <c r="WRW9" s="7158"/>
      <c r="WRX9" s="7159"/>
      <c r="WRY9" s="7152" t="s">
        <v>1012</v>
      </c>
      <c r="WRZ9" s="7153"/>
      <c r="WSA9" s="7153"/>
      <c r="WSB9" s="7153"/>
      <c r="WSC9" s="7163">
        <v>0.05</v>
      </c>
      <c r="WSD9" s="7164"/>
      <c r="WSE9" s="7157">
        <f>WSC9*WSE7</f>
        <v>0</v>
      </c>
      <c r="WSF9" s="7157"/>
      <c r="WSG9" s="7157"/>
      <c r="WSH9" s="7157"/>
      <c r="WSI9" s="7158"/>
      <c r="WSJ9" s="7158"/>
      <c r="WSK9" s="7158"/>
      <c r="WSL9" s="7158"/>
      <c r="WSM9" s="7158"/>
      <c r="WSN9" s="7159"/>
      <c r="WSO9" s="7152" t="s">
        <v>1012</v>
      </c>
      <c r="WSP9" s="7153"/>
      <c r="WSQ9" s="7153"/>
      <c r="WSR9" s="7153"/>
      <c r="WSS9" s="7163">
        <v>0.05</v>
      </c>
      <c r="WST9" s="7164"/>
      <c r="WSU9" s="7157">
        <f>WSS9*WSU7</f>
        <v>0</v>
      </c>
      <c r="WSV9" s="7157"/>
      <c r="WSW9" s="7157"/>
      <c r="WSX9" s="7157"/>
      <c r="WSY9" s="7158"/>
      <c r="WSZ9" s="7158"/>
      <c r="WTA9" s="7158"/>
      <c r="WTB9" s="7158"/>
      <c r="WTC9" s="7158"/>
      <c r="WTD9" s="7159"/>
      <c r="WTE9" s="7152" t="s">
        <v>1012</v>
      </c>
      <c r="WTF9" s="7153"/>
      <c r="WTG9" s="7153"/>
      <c r="WTH9" s="7153"/>
      <c r="WTI9" s="7163">
        <v>0.05</v>
      </c>
      <c r="WTJ9" s="7164"/>
      <c r="WTK9" s="7157">
        <f>WTI9*WTK7</f>
        <v>0</v>
      </c>
      <c r="WTL9" s="7157"/>
      <c r="WTM9" s="7157"/>
      <c r="WTN9" s="7157"/>
      <c r="WTO9" s="7158"/>
      <c r="WTP9" s="7158"/>
      <c r="WTQ9" s="7158"/>
      <c r="WTR9" s="7158"/>
      <c r="WTS9" s="7158"/>
      <c r="WTT9" s="7159"/>
      <c r="WTU9" s="7152" t="s">
        <v>1012</v>
      </c>
      <c r="WTV9" s="7153"/>
      <c r="WTW9" s="7153"/>
      <c r="WTX9" s="7153"/>
      <c r="WTY9" s="7163">
        <v>0.05</v>
      </c>
      <c r="WTZ9" s="7164"/>
      <c r="WUA9" s="7157">
        <f>WTY9*WUA7</f>
        <v>0</v>
      </c>
      <c r="WUB9" s="7157"/>
      <c r="WUC9" s="7157"/>
      <c r="WUD9" s="7157"/>
      <c r="WUE9" s="7158"/>
      <c r="WUF9" s="7158"/>
      <c r="WUG9" s="7158"/>
      <c r="WUH9" s="7158"/>
      <c r="WUI9" s="7158"/>
      <c r="WUJ9" s="7159"/>
      <c r="WUK9" s="7152" t="s">
        <v>1012</v>
      </c>
      <c r="WUL9" s="7153"/>
      <c r="WUM9" s="7153"/>
      <c r="WUN9" s="7153"/>
      <c r="WUO9" s="7163">
        <v>0.05</v>
      </c>
      <c r="WUP9" s="7164"/>
      <c r="WUQ9" s="7157">
        <f>WUO9*WUQ7</f>
        <v>0</v>
      </c>
      <c r="WUR9" s="7157"/>
      <c r="WUS9" s="7157"/>
      <c r="WUT9" s="7157"/>
      <c r="WUU9" s="7158"/>
      <c r="WUV9" s="7158"/>
      <c r="WUW9" s="7158"/>
      <c r="WUX9" s="7158"/>
      <c r="WUY9" s="7158"/>
      <c r="WUZ9" s="7159"/>
      <c r="WVA9" s="7152" t="s">
        <v>1012</v>
      </c>
      <c r="WVB9" s="7153"/>
      <c r="WVC9" s="7153"/>
      <c r="WVD9" s="7153"/>
      <c r="WVE9" s="7163">
        <v>0.05</v>
      </c>
      <c r="WVF9" s="7164"/>
      <c r="WVG9" s="7157">
        <f>WVE9*WVG7</f>
        <v>0</v>
      </c>
      <c r="WVH9" s="7157"/>
      <c r="WVI9" s="7157"/>
      <c r="WVJ9" s="7157"/>
      <c r="WVK9" s="7158"/>
      <c r="WVL9" s="7158"/>
      <c r="WVM9" s="7158"/>
      <c r="WVN9" s="7158"/>
      <c r="WVO9" s="7158"/>
      <c r="WVP9" s="7159"/>
      <c r="WVQ9" s="7152" t="s">
        <v>1012</v>
      </c>
      <c r="WVR9" s="7153"/>
      <c r="WVS9" s="7153"/>
      <c r="WVT9" s="7153"/>
      <c r="WVU9" s="7163">
        <v>0.05</v>
      </c>
      <c r="WVV9" s="7164"/>
      <c r="WVW9" s="7157">
        <f>WVU9*WVW7</f>
        <v>0</v>
      </c>
      <c r="WVX9" s="7157"/>
      <c r="WVY9" s="7157"/>
      <c r="WVZ9" s="7157"/>
      <c r="WWA9" s="7158"/>
      <c r="WWB9" s="7158"/>
      <c r="WWC9" s="7158"/>
      <c r="WWD9" s="7158"/>
      <c r="WWE9" s="7158"/>
      <c r="WWF9" s="7159"/>
      <c r="WWG9" s="7152" t="s">
        <v>1012</v>
      </c>
      <c r="WWH9" s="7153"/>
      <c r="WWI9" s="7153"/>
      <c r="WWJ9" s="7153"/>
      <c r="WWK9" s="7163">
        <v>0.05</v>
      </c>
      <c r="WWL9" s="7164"/>
      <c r="WWM9" s="7157">
        <f>WWK9*WWM7</f>
        <v>0</v>
      </c>
      <c r="WWN9" s="7157"/>
      <c r="WWO9" s="7157"/>
      <c r="WWP9" s="7157"/>
      <c r="WWQ9" s="7158"/>
      <c r="WWR9" s="7158"/>
      <c r="WWS9" s="7158"/>
      <c r="WWT9" s="7158"/>
      <c r="WWU9" s="7158"/>
      <c r="WWV9" s="7159"/>
      <c r="WWW9" s="7152" t="s">
        <v>1012</v>
      </c>
      <c r="WWX9" s="7153"/>
      <c r="WWY9" s="7153"/>
      <c r="WWZ9" s="7153"/>
      <c r="WXA9" s="7163">
        <v>0.05</v>
      </c>
      <c r="WXB9" s="7164"/>
      <c r="WXC9" s="7157">
        <f>WXA9*WXC7</f>
        <v>0</v>
      </c>
      <c r="WXD9" s="7157"/>
      <c r="WXE9" s="7157"/>
      <c r="WXF9" s="7157"/>
      <c r="WXG9" s="7158"/>
      <c r="WXH9" s="7158"/>
      <c r="WXI9" s="7158"/>
      <c r="WXJ9" s="7158"/>
      <c r="WXK9" s="7158"/>
      <c r="WXL9" s="7159"/>
      <c r="WXM9" s="7152" t="s">
        <v>1012</v>
      </c>
      <c r="WXN9" s="7153"/>
      <c r="WXO9" s="7153"/>
      <c r="WXP9" s="7153"/>
      <c r="WXQ9" s="7163">
        <v>0.05</v>
      </c>
      <c r="WXR9" s="7164"/>
      <c r="WXS9" s="7157">
        <f>WXQ9*WXS7</f>
        <v>0</v>
      </c>
      <c r="WXT9" s="7157"/>
      <c r="WXU9" s="7157"/>
      <c r="WXV9" s="7157"/>
      <c r="WXW9" s="7158"/>
      <c r="WXX9" s="7158"/>
      <c r="WXY9" s="7158"/>
      <c r="WXZ9" s="7158"/>
      <c r="WYA9" s="7158"/>
      <c r="WYB9" s="7159"/>
      <c r="WYC9" s="7152" t="s">
        <v>1012</v>
      </c>
      <c r="WYD9" s="7153"/>
      <c r="WYE9" s="7153"/>
      <c r="WYF9" s="7153"/>
      <c r="WYG9" s="7163">
        <v>0.05</v>
      </c>
      <c r="WYH9" s="7164"/>
      <c r="WYI9" s="7157">
        <f>WYG9*WYI7</f>
        <v>0</v>
      </c>
      <c r="WYJ9" s="7157"/>
      <c r="WYK9" s="7157"/>
      <c r="WYL9" s="7157"/>
      <c r="WYM9" s="7158"/>
      <c r="WYN9" s="7158"/>
      <c r="WYO9" s="7158"/>
      <c r="WYP9" s="7158"/>
      <c r="WYQ9" s="7158"/>
      <c r="WYR9" s="7159"/>
      <c r="WYS9" s="7152" t="s">
        <v>1012</v>
      </c>
      <c r="WYT9" s="7153"/>
      <c r="WYU9" s="7153"/>
      <c r="WYV9" s="7153"/>
      <c r="WYW9" s="7163">
        <v>0.05</v>
      </c>
      <c r="WYX9" s="7164"/>
      <c r="WYY9" s="7157">
        <f>WYW9*WYY7</f>
        <v>0</v>
      </c>
      <c r="WYZ9" s="7157"/>
      <c r="WZA9" s="7157"/>
      <c r="WZB9" s="7157"/>
      <c r="WZC9" s="7158"/>
      <c r="WZD9" s="7158"/>
      <c r="WZE9" s="7158"/>
      <c r="WZF9" s="7158"/>
      <c r="WZG9" s="7158"/>
      <c r="WZH9" s="7159"/>
      <c r="WZI9" s="7152" t="s">
        <v>1012</v>
      </c>
      <c r="WZJ9" s="7153"/>
      <c r="WZK9" s="7153"/>
      <c r="WZL9" s="7153"/>
      <c r="WZM9" s="7163">
        <v>0.05</v>
      </c>
      <c r="WZN9" s="7164"/>
      <c r="WZO9" s="7157">
        <f>WZM9*WZO7</f>
        <v>0</v>
      </c>
      <c r="WZP9" s="7157"/>
      <c r="WZQ9" s="7157"/>
      <c r="WZR9" s="7157"/>
      <c r="WZS9" s="7158"/>
      <c r="WZT9" s="7158"/>
      <c r="WZU9" s="7158"/>
      <c r="WZV9" s="7158"/>
      <c r="WZW9" s="7158"/>
      <c r="WZX9" s="7159"/>
      <c r="WZY9" s="7152" t="s">
        <v>1012</v>
      </c>
      <c r="WZZ9" s="7153"/>
      <c r="XAA9" s="7153"/>
      <c r="XAB9" s="7153"/>
      <c r="XAC9" s="7163">
        <v>0.05</v>
      </c>
      <c r="XAD9" s="7164"/>
      <c r="XAE9" s="7157">
        <f>XAC9*XAE7</f>
        <v>0</v>
      </c>
      <c r="XAF9" s="7157"/>
      <c r="XAG9" s="7157"/>
      <c r="XAH9" s="7157"/>
      <c r="XAI9" s="7158"/>
      <c r="XAJ9" s="7158"/>
      <c r="XAK9" s="7158"/>
      <c r="XAL9" s="7158"/>
      <c r="XAM9" s="7158"/>
      <c r="XAN9" s="7159"/>
      <c r="XAO9" s="7152" t="s">
        <v>1012</v>
      </c>
      <c r="XAP9" s="7153"/>
      <c r="XAQ9" s="7153"/>
      <c r="XAR9" s="7153"/>
      <c r="XAS9" s="7163">
        <v>0.05</v>
      </c>
      <c r="XAT9" s="7164"/>
      <c r="XAU9" s="7157">
        <f>XAS9*XAU7</f>
        <v>0</v>
      </c>
      <c r="XAV9" s="7157"/>
      <c r="XAW9" s="7157"/>
      <c r="XAX9" s="7157"/>
      <c r="XAY9" s="7158"/>
      <c r="XAZ9" s="7158"/>
      <c r="XBA9" s="7158"/>
      <c r="XBB9" s="7158"/>
      <c r="XBC9" s="7158"/>
      <c r="XBD9" s="7159"/>
      <c r="XBE9" s="7152" t="s">
        <v>1012</v>
      </c>
      <c r="XBF9" s="7153"/>
      <c r="XBG9" s="7153"/>
      <c r="XBH9" s="7153"/>
      <c r="XBI9" s="7163">
        <v>0.05</v>
      </c>
      <c r="XBJ9" s="7164"/>
      <c r="XBK9" s="7157">
        <f>XBI9*XBK7</f>
        <v>0</v>
      </c>
      <c r="XBL9" s="7157"/>
      <c r="XBM9" s="7157"/>
      <c r="XBN9" s="7157"/>
      <c r="XBO9" s="7158"/>
      <c r="XBP9" s="7158"/>
      <c r="XBQ9" s="7158"/>
      <c r="XBR9" s="7158"/>
      <c r="XBS9" s="7158"/>
      <c r="XBT9" s="7159"/>
    </row>
    <row r="10" spans="1:16296" ht="4.5" customHeight="1" x14ac:dyDescent="0.35">
      <c r="A10" s="1381"/>
      <c r="B10" s="1382"/>
      <c r="C10" s="1382"/>
      <c r="D10" s="1383"/>
      <c r="E10" s="1341"/>
      <c r="F10" s="1342"/>
      <c r="G10" s="7170"/>
      <c r="H10" s="7171"/>
      <c r="I10" s="1336"/>
      <c r="J10" s="1336"/>
      <c r="K10" s="1346"/>
      <c r="L10" s="1347"/>
      <c r="M10" s="1347"/>
      <c r="N10" s="1347"/>
      <c r="O10" s="1347"/>
      <c r="P10" s="1348"/>
      <c r="Q10" s="1349"/>
      <c r="R10" s="1350"/>
      <c r="S10" s="1344"/>
      <c r="T10" s="1344"/>
      <c r="U10" s="1344"/>
      <c r="V10" s="1344"/>
      <c r="W10" s="1344"/>
      <c r="X10" s="1344"/>
      <c r="Y10" s="1351"/>
      <c r="Z10" s="1352"/>
      <c r="AA10" s="1352"/>
      <c r="AB10" s="1352"/>
      <c r="AC10" s="1353"/>
      <c r="AD10" s="1353"/>
      <c r="AE10" s="1343"/>
      <c r="AF10" s="1343"/>
      <c r="AG10" s="1343"/>
      <c r="AH10" s="1343"/>
      <c r="AI10" s="1344"/>
      <c r="AJ10" s="1344"/>
      <c r="AK10" s="1344"/>
      <c r="AL10" s="1344"/>
      <c r="AM10" s="1344"/>
      <c r="AN10" s="1344"/>
      <c r="AO10" s="1345"/>
      <c r="AP10" s="1340"/>
      <c r="AQ10" s="1340"/>
      <c r="AR10" s="1340"/>
      <c r="AS10" s="1341"/>
      <c r="AT10" s="1342"/>
      <c r="AU10" s="1336"/>
      <c r="AV10" s="1336"/>
      <c r="AW10" s="1336"/>
      <c r="AX10" s="1336"/>
      <c r="AY10" s="1337"/>
      <c r="AZ10" s="1337"/>
      <c r="BA10" s="1337"/>
      <c r="BB10" s="1337"/>
      <c r="BC10" s="1337"/>
      <c r="BD10" s="1338"/>
      <c r="BE10" s="1339"/>
      <c r="BF10" s="1340"/>
      <c r="BG10" s="1340"/>
      <c r="BH10" s="1340"/>
      <c r="BI10" s="1341"/>
      <c r="BJ10" s="1342"/>
      <c r="BK10" s="1336"/>
      <c r="BL10" s="1336"/>
      <c r="BM10" s="1336"/>
      <c r="BN10" s="1336"/>
      <c r="BO10" s="1337"/>
      <c r="BP10" s="1337"/>
      <c r="BQ10" s="1337"/>
      <c r="BR10" s="1337"/>
      <c r="BS10" s="1337"/>
      <c r="BT10" s="1338"/>
      <c r="BU10" s="1339"/>
      <c r="BV10" s="1340"/>
      <c r="BW10" s="1340"/>
      <c r="BX10" s="1340"/>
      <c r="BY10" s="1341"/>
      <c r="BZ10" s="1342"/>
      <c r="CA10" s="1336"/>
      <c r="CB10" s="1336"/>
      <c r="CC10" s="1336"/>
      <c r="CD10" s="1336"/>
      <c r="CE10" s="1337"/>
      <c r="CF10" s="1337"/>
      <c r="CG10" s="1337"/>
      <c r="CH10" s="1337"/>
      <c r="CI10" s="1337"/>
      <c r="CJ10" s="1338"/>
      <c r="CK10" s="1339"/>
      <c r="CL10" s="1340"/>
      <c r="CM10" s="1340"/>
      <c r="CN10" s="1340"/>
      <c r="CO10" s="1341"/>
      <c r="CP10" s="1342"/>
      <c r="CQ10" s="1336"/>
      <c r="CR10" s="1336"/>
      <c r="CS10" s="1336"/>
      <c r="CT10" s="1336"/>
      <c r="CU10" s="1337"/>
      <c r="CV10" s="1337"/>
      <c r="CW10" s="1337"/>
      <c r="CX10" s="1337"/>
      <c r="CY10" s="1337"/>
      <c r="CZ10" s="1338"/>
      <c r="DA10" s="1339"/>
      <c r="DB10" s="1340"/>
      <c r="DC10" s="1340"/>
      <c r="DD10" s="1340"/>
      <c r="DE10" s="1341"/>
      <c r="DF10" s="1342"/>
      <c r="DG10" s="1336"/>
      <c r="DH10" s="1336"/>
      <c r="DI10" s="1336"/>
      <c r="DJ10" s="1336"/>
      <c r="DK10" s="1337"/>
      <c r="DL10" s="1337"/>
      <c r="DM10" s="1337"/>
      <c r="DN10" s="1337"/>
      <c r="DO10" s="1337"/>
      <c r="DP10" s="1338"/>
      <c r="DQ10" s="1339"/>
      <c r="DR10" s="1340"/>
      <c r="DS10" s="1340"/>
      <c r="DT10" s="1340"/>
      <c r="DU10" s="1341"/>
      <c r="DV10" s="1342"/>
      <c r="DW10" s="1336"/>
      <c r="DX10" s="1336"/>
      <c r="DY10" s="1336"/>
      <c r="DZ10" s="1336"/>
      <c r="EA10" s="1337"/>
      <c r="EB10" s="1337"/>
      <c r="EC10" s="1337"/>
      <c r="ED10" s="1337"/>
      <c r="EE10" s="1337"/>
      <c r="EF10" s="1338"/>
      <c r="EG10" s="1339"/>
      <c r="EH10" s="1340"/>
      <c r="EI10" s="1340"/>
      <c r="EJ10" s="1340"/>
      <c r="EK10" s="1341"/>
      <c r="EL10" s="1342"/>
      <c r="EM10" s="1336"/>
      <c r="EN10" s="1336"/>
      <c r="EO10" s="1336"/>
      <c r="EP10" s="1336"/>
      <c r="EQ10" s="1337"/>
      <c r="ER10" s="1337"/>
      <c r="ES10" s="1337"/>
      <c r="ET10" s="1337"/>
      <c r="EU10" s="1337"/>
      <c r="EV10" s="1338"/>
      <c r="EW10" s="1339"/>
      <c r="EX10" s="1340"/>
      <c r="EY10" s="1340"/>
      <c r="EZ10" s="1340"/>
      <c r="FA10" s="1341"/>
      <c r="FB10" s="1342"/>
      <c r="FC10" s="1336"/>
      <c r="FD10" s="1336"/>
      <c r="FE10" s="1336"/>
      <c r="FF10" s="1336"/>
      <c r="FG10" s="1337"/>
      <c r="FH10" s="1337"/>
      <c r="FI10" s="1337"/>
      <c r="FJ10" s="1337"/>
      <c r="FK10" s="1337"/>
      <c r="FL10" s="1338"/>
      <c r="FM10" s="1339"/>
      <c r="FN10" s="1340"/>
      <c r="FO10" s="1340"/>
      <c r="FP10" s="1340"/>
      <c r="FQ10" s="1341"/>
      <c r="FR10" s="1342"/>
      <c r="FS10" s="1336"/>
      <c r="FT10" s="1336"/>
      <c r="FU10" s="1336"/>
      <c r="FV10" s="1336"/>
      <c r="FW10" s="1337"/>
      <c r="FX10" s="1337"/>
      <c r="FY10" s="1337"/>
      <c r="FZ10" s="1337"/>
      <c r="GA10" s="1337"/>
      <c r="GB10" s="1338"/>
      <c r="GC10" s="1339"/>
      <c r="GD10" s="1340"/>
      <c r="GE10" s="1340"/>
      <c r="GF10" s="1340"/>
      <c r="GG10" s="1341"/>
      <c r="GH10" s="1342"/>
      <c r="GI10" s="1336"/>
      <c r="GJ10" s="1336"/>
      <c r="GK10" s="1336"/>
      <c r="GL10" s="1336"/>
      <c r="GM10" s="1337"/>
      <c r="GN10" s="1337"/>
      <c r="GO10" s="1337"/>
      <c r="GP10" s="1337"/>
      <c r="GQ10" s="1337"/>
      <c r="GR10" s="1338"/>
      <c r="GS10" s="1339"/>
      <c r="GT10" s="1340"/>
      <c r="GU10" s="1340"/>
      <c r="GV10" s="1340"/>
      <c r="GW10" s="1341"/>
      <c r="GX10" s="1342"/>
      <c r="GY10" s="1336"/>
      <c r="GZ10" s="1336"/>
      <c r="HA10" s="1336"/>
      <c r="HB10" s="1336"/>
      <c r="HC10" s="1337"/>
      <c r="HD10" s="1337"/>
      <c r="HE10" s="1337"/>
      <c r="HF10" s="1337"/>
      <c r="HG10" s="1337"/>
      <c r="HH10" s="1338"/>
      <c r="HI10" s="1339"/>
      <c r="HJ10" s="1340"/>
      <c r="HK10" s="1340"/>
      <c r="HL10" s="1340"/>
      <c r="HM10" s="1341"/>
      <c r="HN10" s="1342"/>
      <c r="HO10" s="1336"/>
      <c r="HP10" s="1336"/>
      <c r="HQ10" s="1336"/>
      <c r="HR10" s="1336"/>
      <c r="HS10" s="1337"/>
      <c r="HT10" s="1337"/>
      <c r="HU10" s="1337"/>
      <c r="HV10" s="1337"/>
      <c r="HW10" s="1337"/>
      <c r="HX10" s="1338"/>
      <c r="HY10" s="1339"/>
      <c r="HZ10" s="1340"/>
      <c r="IA10" s="1340"/>
      <c r="IB10" s="1340"/>
      <c r="IC10" s="1341"/>
      <c r="ID10" s="1342"/>
      <c r="IE10" s="1336"/>
      <c r="IF10" s="1336"/>
      <c r="IG10" s="1336"/>
      <c r="IH10" s="1336"/>
      <c r="II10" s="1337"/>
      <c r="IJ10" s="1337"/>
      <c r="IK10" s="1337"/>
      <c r="IL10" s="1337"/>
      <c r="IM10" s="1337"/>
      <c r="IN10" s="1338"/>
      <c r="IO10" s="1339"/>
      <c r="IP10" s="1340"/>
      <c r="IQ10" s="1340"/>
      <c r="IR10" s="1340"/>
      <c r="IS10" s="1341"/>
      <c r="IT10" s="1342"/>
      <c r="IU10" s="1336"/>
      <c r="IV10" s="1336"/>
      <c r="IW10" s="1336"/>
      <c r="IX10" s="1336"/>
      <c r="IY10" s="1337"/>
      <c r="IZ10" s="1337"/>
      <c r="JA10" s="1337"/>
      <c r="JB10" s="1337"/>
      <c r="JC10" s="1337"/>
      <c r="JD10" s="1338"/>
      <c r="JE10" s="1339"/>
      <c r="JF10" s="1340"/>
      <c r="JG10" s="1340"/>
      <c r="JH10" s="1340"/>
      <c r="JI10" s="1341"/>
      <c r="JJ10" s="1342"/>
      <c r="JK10" s="1336"/>
      <c r="JL10" s="1336"/>
      <c r="JM10" s="1336"/>
      <c r="JN10" s="1336"/>
      <c r="JO10" s="1337"/>
      <c r="JP10" s="1337"/>
      <c r="JQ10" s="1337"/>
      <c r="JR10" s="1337"/>
      <c r="JS10" s="1337"/>
      <c r="JT10" s="1338"/>
      <c r="JU10" s="1339"/>
      <c r="JV10" s="1340"/>
      <c r="JW10" s="1340"/>
      <c r="JX10" s="1340"/>
      <c r="JY10" s="1341"/>
      <c r="JZ10" s="1342"/>
      <c r="KA10" s="1336"/>
      <c r="KB10" s="1336"/>
      <c r="KC10" s="1336"/>
      <c r="KD10" s="1336"/>
      <c r="KE10" s="1337"/>
      <c r="KF10" s="1337"/>
      <c r="KG10" s="1337"/>
      <c r="KH10" s="1337"/>
      <c r="KI10" s="1337"/>
      <c r="KJ10" s="1338"/>
      <c r="KK10" s="1339"/>
      <c r="KL10" s="1340"/>
      <c r="KM10" s="1340"/>
      <c r="KN10" s="1340"/>
      <c r="KO10" s="1341"/>
      <c r="KP10" s="1342"/>
      <c r="KQ10" s="1336"/>
      <c r="KR10" s="1336"/>
      <c r="KS10" s="1336"/>
      <c r="KT10" s="1336"/>
      <c r="KU10" s="1337"/>
      <c r="KV10" s="1337"/>
      <c r="KW10" s="1337"/>
      <c r="KX10" s="1337"/>
      <c r="KY10" s="1337"/>
      <c r="KZ10" s="1338"/>
      <c r="LA10" s="1339"/>
      <c r="LB10" s="1340"/>
      <c r="LC10" s="1340"/>
      <c r="LD10" s="1340"/>
      <c r="LE10" s="1341"/>
      <c r="LF10" s="1342"/>
      <c r="LG10" s="1336"/>
      <c r="LH10" s="1336"/>
      <c r="LI10" s="1336"/>
      <c r="LJ10" s="1336"/>
      <c r="LK10" s="1337"/>
      <c r="LL10" s="1337"/>
      <c r="LM10" s="1337"/>
      <c r="LN10" s="1337"/>
      <c r="LO10" s="1337"/>
      <c r="LP10" s="1338"/>
      <c r="LQ10" s="1339"/>
      <c r="LR10" s="1340"/>
      <c r="LS10" s="1340"/>
      <c r="LT10" s="1340"/>
      <c r="LU10" s="1341"/>
      <c r="LV10" s="1342"/>
      <c r="LW10" s="1336"/>
      <c r="LX10" s="1336"/>
      <c r="LY10" s="1336"/>
      <c r="LZ10" s="1336"/>
      <c r="MA10" s="1337"/>
      <c r="MB10" s="1337"/>
      <c r="MC10" s="1337"/>
      <c r="MD10" s="1337"/>
      <c r="ME10" s="1337"/>
      <c r="MF10" s="1338"/>
      <c r="MG10" s="1339"/>
      <c r="MH10" s="1340"/>
      <c r="MI10" s="1340"/>
      <c r="MJ10" s="1340"/>
      <c r="MK10" s="1341"/>
      <c r="ML10" s="1342"/>
      <c r="MM10" s="1336"/>
      <c r="MN10" s="1336"/>
      <c r="MO10" s="1336"/>
      <c r="MP10" s="1336"/>
      <c r="MQ10" s="1337"/>
      <c r="MR10" s="1337"/>
      <c r="MS10" s="1337"/>
      <c r="MT10" s="1337"/>
      <c r="MU10" s="1337"/>
      <c r="MV10" s="1338"/>
      <c r="MW10" s="1339"/>
      <c r="MX10" s="1340"/>
      <c r="MY10" s="1340"/>
      <c r="MZ10" s="1340"/>
      <c r="NA10" s="1341"/>
      <c r="NB10" s="1342"/>
      <c r="NC10" s="1336"/>
      <c r="ND10" s="1336"/>
      <c r="NE10" s="1336"/>
      <c r="NF10" s="1336"/>
      <c r="NG10" s="1337"/>
      <c r="NH10" s="1337"/>
      <c r="NI10" s="1337"/>
      <c r="NJ10" s="1337"/>
      <c r="NK10" s="1337"/>
      <c r="NL10" s="1338"/>
      <c r="NM10" s="1339"/>
      <c r="NN10" s="1340"/>
      <c r="NO10" s="1340"/>
      <c r="NP10" s="1340"/>
      <c r="NQ10" s="1341"/>
      <c r="NR10" s="1342"/>
      <c r="NS10" s="1336"/>
      <c r="NT10" s="1336"/>
      <c r="NU10" s="1336"/>
      <c r="NV10" s="1336"/>
      <c r="NW10" s="1337"/>
      <c r="NX10" s="1337"/>
      <c r="NY10" s="1337"/>
      <c r="NZ10" s="1337"/>
      <c r="OA10" s="1337"/>
      <c r="OB10" s="1338"/>
      <c r="OC10" s="1339"/>
      <c r="OD10" s="1340"/>
      <c r="OE10" s="1340"/>
      <c r="OF10" s="1340"/>
      <c r="OG10" s="1341"/>
      <c r="OH10" s="1342"/>
      <c r="OI10" s="1336"/>
      <c r="OJ10" s="1336"/>
      <c r="OK10" s="1336"/>
      <c r="OL10" s="1336"/>
      <c r="OM10" s="1337"/>
      <c r="ON10" s="1337"/>
      <c r="OO10" s="1337"/>
      <c r="OP10" s="1337"/>
      <c r="OQ10" s="1337"/>
      <c r="OR10" s="1338"/>
      <c r="OS10" s="1339"/>
      <c r="OT10" s="1340"/>
      <c r="OU10" s="1340"/>
      <c r="OV10" s="1340"/>
      <c r="OW10" s="1341"/>
      <c r="OX10" s="1342"/>
      <c r="OY10" s="1336"/>
      <c r="OZ10" s="1336"/>
      <c r="PA10" s="1336"/>
      <c r="PB10" s="1336"/>
      <c r="PC10" s="1337"/>
      <c r="PD10" s="1337"/>
      <c r="PE10" s="1337"/>
      <c r="PF10" s="1337"/>
      <c r="PG10" s="1337"/>
      <c r="PH10" s="1338"/>
      <c r="PI10" s="1339"/>
      <c r="PJ10" s="1340"/>
      <c r="PK10" s="1340"/>
      <c r="PL10" s="1340"/>
      <c r="PM10" s="1341"/>
      <c r="PN10" s="1342"/>
      <c r="PO10" s="1336"/>
      <c r="PP10" s="1336"/>
      <c r="PQ10" s="1336"/>
      <c r="PR10" s="1336"/>
      <c r="PS10" s="1337"/>
      <c r="PT10" s="1337"/>
      <c r="PU10" s="1337"/>
      <c r="PV10" s="1337"/>
      <c r="PW10" s="1337"/>
      <c r="PX10" s="1338"/>
      <c r="PY10" s="1339"/>
      <c r="PZ10" s="1340"/>
      <c r="QA10" s="1340"/>
      <c r="QB10" s="1340"/>
      <c r="QC10" s="1341"/>
      <c r="QD10" s="1342"/>
      <c r="QE10" s="1336"/>
      <c r="QF10" s="1336"/>
      <c r="QG10" s="1336"/>
      <c r="QH10" s="1336"/>
      <c r="QI10" s="1337"/>
      <c r="QJ10" s="1337"/>
      <c r="QK10" s="1337"/>
      <c r="QL10" s="1337"/>
      <c r="QM10" s="1337"/>
      <c r="QN10" s="1338"/>
      <c r="QO10" s="1339"/>
      <c r="QP10" s="1340"/>
      <c r="QQ10" s="1340"/>
      <c r="QR10" s="1340"/>
      <c r="QS10" s="1341"/>
      <c r="QT10" s="1342"/>
      <c r="QU10" s="1336"/>
      <c r="QV10" s="1336"/>
      <c r="QW10" s="1336"/>
      <c r="QX10" s="1336"/>
      <c r="QY10" s="1337"/>
      <c r="QZ10" s="1337"/>
      <c r="RA10" s="1337"/>
      <c r="RB10" s="1337"/>
      <c r="RC10" s="1337"/>
      <c r="RD10" s="1338"/>
      <c r="RE10" s="1339"/>
      <c r="RF10" s="1340"/>
      <c r="RG10" s="1340"/>
      <c r="RH10" s="1340"/>
      <c r="RI10" s="1341"/>
      <c r="RJ10" s="1342"/>
      <c r="RK10" s="1336"/>
      <c r="RL10" s="1336"/>
      <c r="RM10" s="1336"/>
      <c r="RN10" s="1336"/>
      <c r="RO10" s="1337"/>
      <c r="RP10" s="1337"/>
      <c r="RQ10" s="1337"/>
      <c r="RR10" s="1337"/>
      <c r="RS10" s="1337"/>
      <c r="RT10" s="1338"/>
      <c r="RU10" s="1339"/>
      <c r="RV10" s="1340"/>
      <c r="RW10" s="1340"/>
      <c r="RX10" s="1340"/>
      <c r="RY10" s="1341"/>
      <c r="RZ10" s="1342"/>
      <c r="SA10" s="1336"/>
      <c r="SB10" s="1336"/>
      <c r="SC10" s="1336"/>
      <c r="SD10" s="1336"/>
      <c r="SE10" s="1337"/>
      <c r="SF10" s="1337"/>
      <c r="SG10" s="1337"/>
      <c r="SH10" s="1337"/>
      <c r="SI10" s="1337"/>
      <c r="SJ10" s="1338"/>
      <c r="SK10" s="1339"/>
      <c r="SL10" s="1340"/>
      <c r="SM10" s="1340"/>
      <c r="SN10" s="1340"/>
      <c r="SO10" s="1341"/>
      <c r="SP10" s="1342"/>
      <c r="SQ10" s="1336"/>
      <c r="SR10" s="1336"/>
      <c r="SS10" s="1336"/>
      <c r="ST10" s="1336"/>
      <c r="SU10" s="1337"/>
      <c r="SV10" s="1337"/>
      <c r="SW10" s="1337"/>
      <c r="SX10" s="1337"/>
      <c r="SY10" s="1337"/>
      <c r="SZ10" s="1338"/>
      <c r="TA10" s="1339"/>
      <c r="TB10" s="1340"/>
      <c r="TC10" s="1340"/>
      <c r="TD10" s="1340"/>
      <c r="TE10" s="1341"/>
      <c r="TF10" s="1342"/>
      <c r="TG10" s="1336"/>
      <c r="TH10" s="1336"/>
      <c r="TI10" s="1336"/>
      <c r="TJ10" s="1336"/>
      <c r="TK10" s="1337"/>
      <c r="TL10" s="1337"/>
      <c r="TM10" s="1337"/>
      <c r="TN10" s="1337"/>
      <c r="TO10" s="1337"/>
      <c r="TP10" s="1338"/>
      <c r="TQ10" s="1339"/>
      <c r="TR10" s="1340"/>
      <c r="TS10" s="1340"/>
      <c r="TT10" s="1340"/>
      <c r="TU10" s="1341"/>
      <c r="TV10" s="1342"/>
      <c r="TW10" s="1336"/>
      <c r="TX10" s="1336"/>
      <c r="TY10" s="1336"/>
      <c r="TZ10" s="1336"/>
      <c r="UA10" s="1337"/>
      <c r="UB10" s="1337"/>
      <c r="UC10" s="1337"/>
      <c r="UD10" s="1337"/>
      <c r="UE10" s="1337"/>
      <c r="UF10" s="1338"/>
      <c r="UG10" s="1339"/>
      <c r="UH10" s="1340"/>
      <c r="UI10" s="1340"/>
      <c r="UJ10" s="1340"/>
      <c r="UK10" s="1341"/>
      <c r="UL10" s="1342"/>
      <c r="UM10" s="1336"/>
      <c r="UN10" s="1336"/>
      <c r="UO10" s="1336"/>
      <c r="UP10" s="1336"/>
      <c r="UQ10" s="1337"/>
      <c r="UR10" s="1337"/>
      <c r="US10" s="1337"/>
      <c r="UT10" s="1337"/>
      <c r="UU10" s="1337"/>
      <c r="UV10" s="1338"/>
      <c r="UW10" s="1339"/>
      <c r="UX10" s="1340"/>
      <c r="UY10" s="1340"/>
      <c r="UZ10" s="1340"/>
      <c r="VA10" s="1341"/>
      <c r="VB10" s="1342"/>
      <c r="VC10" s="1336"/>
      <c r="VD10" s="1336"/>
      <c r="VE10" s="1336"/>
      <c r="VF10" s="1336"/>
      <c r="VG10" s="1337"/>
      <c r="VH10" s="1337"/>
      <c r="VI10" s="1337"/>
      <c r="VJ10" s="1337"/>
      <c r="VK10" s="1337"/>
      <c r="VL10" s="1338"/>
      <c r="VM10" s="1339"/>
      <c r="VN10" s="1340"/>
      <c r="VO10" s="1340"/>
      <c r="VP10" s="1340"/>
      <c r="VQ10" s="1341"/>
      <c r="VR10" s="1342"/>
      <c r="VS10" s="1336"/>
      <c r="VT10" s="1336"/>
      <c r="VU10" s="1336"/>
      <c r="VV10" s="1336"/>
      <c r="VW10" s="1337"/>
      <c r="VX10" s="1337"/>
      <c r="VY10" s="1337"/>
      <c r="VZ10" s="1337"/>
      <c r="WA10" s="1337"/>
      <c r="WB10" s="1338"/>
      <c r="WC10" s="1339"/>
      <c r="WD10" s="1340"/>
      <c r="WE10" s="1340"/>
      <c r="WF10" s="1340"/>
      <c r="WG10" s="1341"/>
      <c r="WH10" s="1342"/>
      <c r="WI10" s="1336"/>
      <c r="WJ10" s="1336"/>
      <c r="WK10" s="1336"/>
      <c r="WL10" s="1336"/>
      <c r="WM10" s="1337"/>
      <c r="WN10" s="1337"/>
      <c r="WO10" s="1337"/>
      <c r="WP10" s="1337"/>
      <c r="WQ10" s="1337"/>
      <c r="WR10" s="1338"/>
      <c r="WS10" s="1339"/>
      <c r="WT10" s="1340"/>
      <c r="WU10" s="1340"/>
      <c r="WV10" s="1340"/>
      <c r="WW10" s="1341"/>
      <c r="WX10" s="1342"/>
      <c r="WY10" s="1336"/>
      <c r="WZ10" s="1336"/>
      <c r="XA10" s="1336"/>
      <c r="XB10" s="1336"/>
      <c r="XC10" s="1337"/>
      <c r="XD10" s="1337"/>
      <c r="XE10" s="1337"/>
      <c r="XF10" s="1337"/>
      <c r="XG10" s="1337"/>
      <c r="XH10" s="1338"/>
      <c r="XI10" s="1339"/>
      <c r="XJ10" s="1340"/>
      <c r="XK10" s="1340"/>
      <c r="XL10" s="1340"/>
      <c r="XM10" s="1341"/>
      <c r="XN10" s="1342"/>
      <c r="XO10" s="1336"/>
      <c r="XP10" s="1336"/>
      <c r="XQ10" s="1336"/>
      <c r="XR10" s="1336"/>
      <c r="XS10" s="1337"/>
      <c r="XT10" s="1337"/>
      <c r="XU10" s="1337"/>
      <c r="XV10" s="1337"/>
      <c r="XW10" s="1337"/>
      <c r="XX10" s="1338"/>
      <c r="XY10" s="1339"/>
      <c r="XZ10" s="1340"/>
      <c r="YA10" s="1340"/>
      <c r="YB10" s="1340"/>
      <c r="YC10" s="1341"/>
      <c r="YD10" s="1342"/>
      <c r="YE10" s="1336"/>
      <c r="YF10" s="1336"/>
      <c r="YG10" s="1336"/>
      <c r="YH10" s="1336"/>
      <c r="YI10" s="1337"/>
      <c r="YJ10" s="1337"/>
      <c r="YK10" s="1337"/>
      <c r="YL10" s="1337"/>
      <c r="YM10" s="1337"/>
      <c r="YN10" s="1338"/>
      <c r="YO10" s="1339"/>
      <c r="YP10" s="1340"/>
      <c r="YQ10" s="1340"/>
      <c r="YR10" s="1340"/>
      <c r="YS10" s="1341"/>
      <c r="YT10" s="1342"/>
      <c r="YU10" s="1336"/>
      <c r="YV10" s="1336"/>
      <c r="YW10" s="1336"/>
      <c r="YX10" s="1336"/>
      <c r="YY10" s="1337"/>
      <c r="YZ10" s="1337"/>
      <c r="ZA10" s="1337"/>
      <c r="ZB10" s="1337"/>
      <c r="ZC10" s="1337"/>
      <c r="ZD10" s="1338"/>
      <c r="ZE10" s="1339"/>
      <c r="ZF10" s="1340"/>
      <c r="ZG10" s="1340"/>
      <c r="ZH10" s="1340"/>
      <c r="ZI10" s="1341"/>
      <c r="ZJ10" s="1342"/>
      <c r="ZK10" s="1336"/>
      <c r="ZL10" s="1336"/>
      <c r="ZM10" s="1336"/>
      <c r="ZN10" s="1336"/>
      <c r="ZO10" s="1337"/>
      <c r="ZP10" s="1337"/>
      <c r="ZQ10" s="1337"/>
      <c r="ZR10" s="1337"/>
      <c r="ZS10" s="1337"/>
      <c r="ZT10" s="1338"/>
      <c r="ZU10" s="1339"/>
      <c r="ZV10" s="1340"/>
      <c r="ZW10" s="1340"/>
      <c r="ZX10" s="1340"/>
      <c r="ZY10" s="1341"/>
      <c r="ZZ10" s="1342"/>
      <c r="AAA10" s="1336"/>
      <c r="AAB10" s="1336"/>
      <c r="AAC10" s="1336"/>
      <c r="AAD10" s="1336"/>
      <c r="AAE10" s="1337"/>
      <c r="AAF10" s="1337"/>
      <c r="AAG10" s="1337"/>
      <c r="AAH10" s="1337"/>
      <c r="AAI10" s="1337"/>
      <c r="AAJ10" s="1338"/>
      <c r="AAK10" s="1339"/>
      <c r="AAL10" s="1340"/>
      <c r="AAM10" s="1340"/>
      <c r="AAN10" s="1340"/>
      <c r="AAO10" s="1341"/>
      <c r="AAP10" s="1342"/>
      <c r="AAQ10" s="1336"/>
      <c r="AAR10" s="1336"/>
      <c r="AAS10" s="1336"/>
      <c r="AAT10" s="1336"/>
      <c r="AAU10" s="1337"/>
      <c r="AAV10" s="1337"/>
      <c r="AAW10" s="1337"/>
      <c r="AAX10" s="1337"/>
      <c r="AAY10" s="1337"/>
      <c r="AAZ10" s="1338"/>
      <c r="ABA10" s="1339"/>
      <c r="ABB10" s="1340"/>
      <c r="ABC10" s="1340"/>
      <c r="ABD10" s="1340"/>
      <c r="ABE10" s="1341"/>
      <c r="ABF10" s="1342"/>
      <c r="ABG10" s="1336"/>
      <c r="ABH10" s="1336"/>
      <c r="ABI10" s="1336"/>
      <c r="ABJ10" s="1336"/>
      <c r="ABK10" s="1337"/>
      <c r="ABL10" s="1337"/>
      <c r="ABM10" s="1337"/>
      <c r="ABN10" s="1337"/>
      <c r="ABO10" s="1337"/>
      <c r="ABP10" s="1338"/>
      <c r="ABQ10" s="1339"/>
      <c r="ABR10" s="1340"/>
      <c r="ABS10" s="1340"/>
      <c r="ABT10" s="1340"/>
      <c r="ABU10" s="1341"/>
      <c r="ABV10" s="1342"/>
      <c r="ABW10" s="1336"/>
      <c r="ABX10" s="1336"/>
      <c r="ABY10" s="1336"/>
      <c r="ABZ10" s="1336"/>
      <c r="ACA10" s="1337"/>
      <c r="ACB10" s="1337"/>
      <c r="ACC10" s="1337"/>
      <c r="ACD10" s="1337"/>
      <c r="ACE10" s="1337"/>
      <c r="ACF10" s="1338"/>
      <c r="ACG10" s="1339"/>
      <c r="ACH10" s="1340"/>
      <c r="ACI10" s="1340"/>
      <c r="ACJ10" s="1340"/>
      <c r="ACK10" s="1341"/>
      <c r="ACL10" s="1342"/>
      <c r="ACM10" s="1336"/>
      <c r="ACN10" s="1336"/>
      <c r="ACO10" s="1336"/>
      <c r="ACP10" s="1336"/>
      <c r="ACQ10" s="1337"/>
      <c r="ACR10" s="1337"/>
      <c r="ACS10" s="1337"/>
      <c r="ACT10" s="1337"/>
      <c r="ACU10" s="1337"/>
      <c r="ACV10" s="1338"/>
      <c r="ACW10" s="1339"/>
      <c r="ACX10" s="1340"/>
      <c r="ACY10" s="1340"/>
      <c r="ACZ10" s="1340"/>
      <c r="ADA10" s="1341"/>
      <c r="ADB10" s="1342"/>
      <c r="ADC10" s="1336"/>
      <c r="ADD10" s="1336"/>
      <c r="ADE10" s="1336"/>
      <c r="ADF10" s="1336"/>
      <c r="ADG10" s="1337"/>
      <c r="ADH10" s="1337"/>
      <c r="ADI10" s="1337"/>
      <c r="ADJ10" s="1337"/>
      <c r="ADK10" s="1337"/>
      <c r="ADL10" s="1338"/>
      <c r="ADM10" s="1339"/>
      <c r="ADN10" s="1340"/>
      <c r="ADO10" s="1340"/>
      <c r="ADP10" s="1340"/>
      <c r="ADQ10" s="1341"/>
      <c r="ADR10" s="1342"/>
      <c r="ADS10" s="1336"/>
      <c r="ADT10" s="1336"/>
      <c r="ADU10" s="1336"/>
      <c r="ADV10" s="1336"/>
      <c r="ADW10" s="1337"/>
      <c r="ADX10" s="1337"/>
      <c r="ADY10" s="1337"/>
      <c r="ADZ10" s="1337"/>
      <c r="AEA10" s="1337"/>
      <c r="AEB10" s="1338"/>
      <c r="AEC10" s="1339"/>
      <c r="AED10" s="1340"/>
      <c r="AEE10" s="1340"/>
      <c r="AEF10" s="1340"/>
      <c r="AEG10" s="1341"/>
      <c r="AEH10" s="1342"/>
      <c r="AEI10" s="1336"/>
      <c r="AEJ10" s="1336"/>
      <c r="AEK10" s="1336"/>
      <c r="AEL10" s="1336"/>
      <c r="AEM10" s="1337"/>
      <c r="AEN10" s="1337"/>
      <c r="AEO10" s="1337"/>
      <c r="AEP10" s="1337"/>
      <c r="AEQ10" s="1337"/>
      <c r="AER10" s="1338"/>
      <c r="AES10" s="1339"/>
      <c r="AET10" s="1340"/>
      <c r="AEU10" s="1340"/>
      <c r="AEV10" s="1340"/>
      <c r="AEW10" s="1341"/>
      <c r="AEX10" s="1342"/>
      <c r="AEY10" s="1336"/>
      <c r="AEZ10" s="1336"/>
      <c r="AFA10" s="1336"/>
      <c r="AFB10" s="1336"/>
      <c r="AFC10" s="1337"/>
      <c r="AFD10" s="1337"/>
      <c r="AFE10" s="1337"/>
      <c r="AFF10" s="1337"/>
      <c r="AFG10" s="1337"/>
      <c r="AFH10" s="1338"/>
      <c r="AFI10" s="1339"/>
      <c r="AFJ10" s="1340"/>
      <c r="AFK10" s="1340"/>
      <c r="AFL10" s="1340"/>
      <c r="AFM10" s="1341"/>
      <c r="AFN10" s="1342"/>
      <c r="AFO10" s="1336"/>
      <c r="AFP10" s="1336"/>
      <c r="AFQ10" s="1336"/>
      <c r="AFR10" s="1336"/>
      <c r="AFS10" s="1337"/>
      <c r="AFT10" s="1337"/>
      <c r="AFU10" s="1337"/>
      <c r="AFV10" s="1337"/>
      <c r="AFW10" s="1337"/>
      <c r="AFX10" s="1338"/>
      <c r="AFY10" s="1339"/>
      <c r="AFZ10" s="1340"/>
      <c r="AGA10" s="1340"/>
      <c r="AGB10" s="1340"/>
      <c r="AGC10" s="1341"/>
      <c r="AGD10" s="1342"/>
      <c r="AGE10" s="1336"/>
      <c r="AGF10" s="1336"/>
      <c r="AGG10" s="1336"/>
      <c r="AGH10" s="1336"/>
      <c r="AGI10" s="1337"/>
      <c r="AGJ10" s="1337"/>
      <c r="AGK10" s="1337"/>
      <c r="AGL10" s="1337"/>
      <c r="AGM10" s="1337"/>
      <c r="AGN10" s="1338"/>
      <c r="AGO10" s="1339"/>
      <c r="AGP10" s="1340"/>
      <c r="AGQ10" s="1340"/>
      <c r="AGR10" s="1340"/>
      <c r="AGS10" s="1341"/>
      <c r="AGT10" s="1342"/>
      <c r="AGU10" s="1336"/>
      <c r="AGV10" s="1336"/>
      <c r="AGW10" s="1336"/>
      <c r="AGX10" s="1336"/>
      <c r="AGY10" s="1337"/>
      <c r="AGZ10" s="1337"/>
      <c r="AHA10" s="1337"/>
      <c r="AHB10" s="1337"/>
      <c r="AHC10" s="1337"/>
      <c r="AHD10" s="1338"/>
      <c r="AHE10" s="1339"/>
      <c r="AHF10" s="1340"/>
      <c r="AHG10" s="1340"/>
      <c r="AHH10" s="1340"/>
      <c r="AHI10" s="1341"/>
      <c r="AHJ10" s="1342"/>
      <c r="AHK10" s="1336"/>
      <c r="AHL10" s="1336"/>
      <c r="AHM10" s="1336"/>
      <c r="AHN10" s="1336"/>
      <c r="AHO10" s="1337"/>
      <c r="AHP10" s="1337"/>
      <c r="AHQ10" s="1337"/>
      <c r="AHR10" s="1337"/>
      <c r="AHS10" s="1337"/>
      <c r="AHT10" s="1338"/>
      <c r="AHU10" s="1339"/>
      <c r="AHV10" s="1340"/>
      <c r="AHW10" s="1340"/>
      <c r="AHX10" s="1340"/>
      <c r="AHY10" s="1341"/>
      <c r="AHZ10" s="1342"/>
      <c r="AIA10" s="1336"/>
      <c r="AIB10" s="1336"/>
      <c r="AIC10" s="1336"/>
      <c r="AID10" s="1336"/>
      <c r="AIE10" s="1337"/>
      <c r="AIF10" s="1337"/>
      <c r="AIG10" s="1337"/>
      <c r="AIH10" s="1337"/>
      <c r="AII10" s="1337"/>
      <c r="AIJ10" s="1338"/>
      <c r="AIK10" s="1339"/>
      <c r="AIL10" s="1340"/>
      <c r="AIM10" s="1340"/>
      <c r="AIN10" s="1340"/>
      <c r="AIO10" s="1341"/>
      <c r="AIP10" s="1342"/>
      <c r="AIQ10" s="1336"/>
      <c r="AIR10" s="1336"/>
      <c r="AIS10" s="1336"/>
      <c r="AIT10" s="1336"/>
      <c r="AIU10" s="1337"/>
      <c r="AIV10" s="1337"/>
      <c r="AIW10" s="1337"/>
      <c r="AIX10" s="1337"/>
      <c r="AIY10" s="1337"/>
      <c r="AIZ10" s="1338"/>
      <c r="AJA10" s="1339"/>
      <c r="AJB10" s="1340"/>
      <c r="AJC10" s="1340"/>
      <c r="AJD10" s="1340"/>
      <c r="AJE10" s="1341"/>
      <c r="AJF10" s="1342"/>
      <c r="AJG10" s="1336"/>
      <c r="AJH10" s="1336"/>
      <c r="AJI10" s="1336"/>
      <c r="AJJ10" s="1336"/>
      <c r="AJK10" s="1337"/>
      <c r="AJL10" s="1337"/>
      <c r="AJM10" s="1337"/>
      <c r="AJN10" s="1337"/>
      <c r="AJO10" s="1337"/>
      <c r="AJP10" s="1338"/>
      <c r="AJQ10" s="1339"/>
      <c r="AJR10" s="1340"/>
      <c r="AJS10" s="1340"/>
      <c r="AJT10" s="1340"/>
      <c r="AJU10" s="1341"/>
      <c r="AJV10" s="1342"/>
      <c r="AJW10" s="1336"/>
      <c r="AJX10" s="1336"/>
      <c r="AJY10" s="1336"/>
      <c r="AJZ10" s="1336"/>
      <c r="AKA10" s="1337"/>
      <c r="AKB10" s="1337"/>
      <c r="AKC10" s="1337"/>
      <c r="AKD10" s="1337"/>
      <c r="AKE10" s="1337"/>
      <c r="AKF10" s="1338"/>
      <c r="AKG10" s="1339"/>
      <c r="AKH10" s="1340"/>
      <c r="AKI10" s="1340"/>
      <c r="AKJ10" s="1340"/>
      <c r="AKK10" s="1341"/>
      <c r="AKL10" s="1342"/>
      <c r="AKM10" s="1336"/>
      <c r="AKN10" s="1336"/>
      <c r="AKO10" s="1336"/>
      <c r="AKP10" s="1336"/>
      <c r="AKQ10" s="1337"/>
      <c r="AKR10" s="1337"/>
      <c r="AKS10" s="1337"/>
      <c r="AKT10" s="1337"/>
      <c r="AKU10" s="1337"/>
      <c r="AKV10" s="1338"/>
      <c r="AKW10" s="1339"/>
      <c r="AKX10" s="1340"/>
      <c r="AKY10" s="1340"/>
      <c r="AKZ10" s="1340"/>
      <c r="ALA10" s="1341"/>
      <c r="ALB10" s="1342"/>
      <c r="ALC10" s="1336"/>
      <c r="ALD10" s="1336"/>
      <c r="ALE10" s="1336"/>
      <c r="ALF10" s="1336"/>
      <c r="ALG10" s="1337"/>
      <c r="ALH10" s="1337"/>
      <c r="ALI10" s="1337"/>
      <c r="ALJ10" s="1337"/>
      <c r="ALK10" s="1337"/>
      <c r="ALL10" s="1338"/>
      <c r="ALM10" s="1339"/>
      <c r="ALN10" s="1340"/>
      <c r="ALO10" s="1340"/>
      <c r="ALP10" s="1340"/>
      <c r="ALQ10" s="1341"/>
      <c r="ALR10" s="1342"/>
      <c r="ALS10" s="1336"/>
      <c r="ALT10" s="1336"/>
      <c r="ALU10" s="1336"/>
      <c r="ALV10" s="1336"/>
      <c r="ALW10" s="1337"/>
      <c r="ALX10" s="1337"/>
      <c r="ALY10" s="1337"/>
      <c r="ALZ10" s="1337"/>
      <c r="AMA10" s="1337"/>
      <c r="AMB10" s="1338"/>
      <c r="AMC10" s="1339"/>
      <c r="AMD10" s="1340"/>
      <c r="AME10" s="1340"/>
      <c r="AMF10" s="1340"/>
      <c r="AMG10" s="1341"/>
      <c r="AMH10" s="1342"/>
      <c r="AMI10" s="1336"/>
      <c r="AMJ10" s="1336"/>
      <c r="AMK10" s="1336"/>
      <c r="AML10" s="1336"/>
      <c r="AMM10" s="1337"/>
      <c r="AMN10" s="1337"/>
      <c r="AMO10" s="1337"/>
      <c r="AMP10" s="1337"/>
      <c r="AMQ10" s="1337"/>
      <c r="AMR10" s="1338"/>
      <c r="AMS10" s="1339"/>
      <c r="AMT10" s="1340"/>
      <c r="AMU10" s="1340"/>
      <c r="AMV10" s="1340"/>
      <c r="AMW10" s="1341"/>
      <c r="AMX10" s="1342"/>
      <c r="AMY10" s="1336"/>
      <c r="AMZ10" s="1336"/>
      <c r="ANA10" s="1336"/>
      <c r="ANB10" s="1336"/>
      <c r="ANC10" s="1337"/>
      <c r="AND10" s="1337"/>
      <c r="ANE10" s="1337"/>
      <c r="ANF10" s="1337"/>
      <c r="ANG10" s="1337"/>
      <c r="ANH10" s="1338"/>
      <c r="ANI10" s="1339"/>
      <c r="ANJ10" s="1340"/>
      <c r="ANK10" s="1340"/>
      <c r="ANL10" s="1340"/>
      <c r="ANM10" s="1341"/>
      <c r="ANN10" s="1342"/>
      <c r="ANO10" s="1336"/>
      <c r="ANP10" s="1336"/>
      <c r="ANQ10" s="1336"/>
      <c r="ANR10" s="1336"/>
      <c r="ANS10" s="1337"/>
      <c r="ANT10" s="1337"/>
      <c r="ANU10" s="1337"/>
      <c r="ANV10" s="1337"/>
      <c r="ANW10" s="1337"/>
      <c r="ANX10" s="1338"/>
      <c r="ANY10" s="1339"/>
      <c r="ANZ10" s="1340"/>
      <c r="AOA10" s="1340"/>
      <c r="AOB10" s="1340"/>
      <c r="AOC10" s="1341"/>
      <c r="AOD10" s="1342"/>
      <c r="AOE10" s="1336"/>
      <c r="AOF10" s="1336"/>
      <c r="AOG10" s="1336"/>
      <c r="AOH10" s="1336"/>
      <c r="AOI10" s="1337"/>
      <c r="AOJ10" s="1337"/>
      <c r="AOK10" s="1337"/>
      <c r="AOL10" s="1337"/>
      <c r="AOM10" s="1337"/>
      <c r="AON10" s="1338"/>
      <c r="AOO10" s="1339"/>
      <c r="AOP10" s="1340"/>
      <c r="AOQ10" s="1340"/>
      <c r="AOR10" s="1340"/>
      <c r="AOS10" s="1341"/>
      <c r="AOT10" s="1342"/>
      <c r="AOU10" s="1336"/>
      <c r="AOV10" s="1336"/>
      <c r="AOW10" s="1336"/>
      <c r="AOX10" s="1336"/>
      <c r="AOY10" s="1337"/>
      <c r="AOZ10" s="1337"/>
      <c r="APA10" s="1337"/>
      <c r="APB10" s="1337"/>
      <c r="APC10" s="1337"/>
      <c r="APD10" s="1338"/>
      <c r="APE10" s="1339"/>
      <c r="APF10" s="1340"/>
      <c r="APG10" s="1340"/>
      <c r="APH10" s="1340"/>
      <c r="API10" s="1341"/>
      <c r="APJ10" s="1342"/>
      <c r="APK10" s="1336"/>
      <c r="APL10" s="1336"/>
      <c r="APM10" s="1336"/>
      <c r="APN10" s="1336"/>
      <c r="APO10" s="1337"/>
      <c r="APP10" s="1337"/>
      <c r="APQ10" s="1337"/>
      <c r="APR10" s="1337"/>
      <c r="APS10" s="1337"/>
      <c r="APT10" s="1338"/>
      <c r="APU10" s="1339"/>
      <c r="APV10" s="1340"/>
      <c r="APW10" s="1340"/>
      <c r="APX10" s="1340"/>
      <c r="APY10" s="1341"/>
      <c r="APZ10" s="1342"/>
      <c r="AQA10" s="1336"/>
      <c r="AQB10" s="1336"/>
      <c r="AQC10" s="1336"/>
      <c r="AQD10" s="1336"/>
      <c r="AQE10" s="1337"/>
      <c r="AQF10" s="1337"/>
      <c r="AQG10" s="1337"/>
      <c r="AQH10" s="1337"/>
      <c r="AQI10" s="1337"/>
      <c r="AQJ10" s="1338"/>
      <c r="AQK10" s="1339"/>
      <c r="AQL10" s="1340"/>
      <c r="AQM10" s="1340"/>
      <c r="AQN10" s="1340"/>
      <c r="AQO10" s="1341"/>
      <c r="AQP10" s="1342"/>
      <c r="AQQ10" s="1336"/>
      <c r="AQR10" s="1336"/>
      <c r="AQS10" s="1336"/>
      <c r="AQT10" s="1336"/>
      <c r="AQU10" s="1337"/>
      <c r="AQV10" s="1337"/>
      <c r="AQW10" s="1337"/>
      <c r="AQX10" s="1337"/>
      <c r="AQY10" s="1337"/>
      <c r="AQZ10" s="1338"/>
      <c r="ARA10" s="1339"/>
      <c r="ARB10" s="1340"/>
      <c r="ARC10" s="1340"/>
      <c r="ARD10" s="1340"/>
      <c r="ARE10" s="1341"/>
      <c r="ARF10" s="1342"/>
      <c r="ARG10" s="1336"/>
      <c r="ARH10" s="1336"/>
      <c r="ARI10" s="1336"/>
      <c r="ARJ10" s="1336"/>
      <c r="ARK10" s="1337"/>
      <c r="ARL10" s="1337"/>
      <c r="ARM10" s="1337"/>
      <c r="ARN10" s="1337"/>
      <c r="ARO10" s="1337"/>
      <c r="ARP10" s="1338"/>
      <c r="ARQ10" s="1339"/>
      <c r="ARR10" s="1340"/>
      <c r="ARS10" s="1340"/>
      <c r="ART10" s="1340"/>
      <c r="ARU10" s="1341"/>
      <c r="ARV10" s="1342"/>
      <c r="ARW10" s="1336"/>
      <c r="ARX10" s="1336"/>
      <c r="ARY10" s="1336"/>
      <c r="ARZ10" s="1336"/>
      <c r="ASA10" s="1337"/>
      <c r="ASB10" s="1337"/>
      <c r="ASC10" s="1337"/>
      <c r="ASD10" s="1337"/>
      <c r="ASE10" s="1337"/>
      <c r="ASF10" s="1338"/>
      <c r="ASG10" s="1339"/>
      <c r="ASH10" s="1340"/>
      <c r="ASI10" s="1340"/>
      <c r="ASJ10" s="1340"/>
      <c r="ASK10" s="1341"/>
      <c r="ASL10" s="1342"/>
      <c r="ASM10" s="1336"/>
      <c r="ASN10" s="1336"/>
      <c r="ASO10" s="1336"/>
      <c r="ASP10" s="1336"/>
      <c r="ASQ10" s="1337"/>
      <c r="ASR10" s="1337"/>
      <c r="ASS10" s="1337"/>
      <c r="AST10" s="1337"/>
      <c r="ASU10" s="1337"/>
      <c r="ASV10" s="1338"/>
      <c r="ASW10" s="1339"/>
      <c r="ASX10" s="1340"/>
      <c r="ASY10" s="1340"/>
      <c r="ASZ10" s="1340"/>
      <c r="ATA10" s="1341"/>
      <c r="ATB10" s="1342"/>
      <c r="ATC10" s="1336"/>
      <c r="ATD10" s="1336"/>
      <c r="ATE10" s="1336"/>
      <c r="ATF10" s="1336"/>
      <c r="ATG10" s="1337"/>
      <c r="ATH10" s="1337"/>
      <c r="ATI10" s="1337"/>
      <c r="ATJ10" s="1337"/>
      <c r="ATK10" s="1337"/>
      <c r="ATL10" s="1338"/>
      <c r="ATM10" s="1339"/>
      <c r="ATN10" s="1340"/>
      <c r="ATO10" s="1340"/>
      <c r="ATP10" s="1340"/>
      <c r="ATQ10" s="1341"/>
      <c r="ATR10" s="1342"/>
      <c r="ATS10" s="1336"/>
      <c r="ATT10" s="1336"/>
      <c r="ATU10" s="1336"/>
      <c r="ATV10" s="1336"/>
      <c r="ATW10" s="1337"/>
      <c r="ATX10" s="1337"/>
      <c r="ATY10" s="1337"/>
      <c r="ATZ10" s="1337"/>
      <c r="AUA10" s="1337"/>
      <c r="AUB10" s="1338"/>
      <c r="AUC10" s="1339"/>
      <c r="AUD10" s="1340"/>
      <c r="AUE10" s="1340"/>
      <c r="AUF10" s="1340"/>
      <c r="AUG10" s="1341"/>
      <c r="AUH10" s="1342"/>
      <c r="AUI10" s="1336"/>
      <c r="AUJ10" s="1336"/>
      <c r="AUK10" s="1336"/>
      <c r="AUL10" s="1336"/>
      <c r="AUM10" s="1337"/>
      <c r="AUN10" s="1337"/>
      <c r="AUO10" s="1337"/>
      <c r="AUP10" s="1337"/>
      <c r="AUQ10" s="1337"/>
      <c r="AUR10" s="1338"/>
      <c r="AUS10" s="1339"/>
      <c r="AUT10" s="1340"/>
      <c r="AUU10" s="1340"/>
      <c r="AUV10" s="1340"/>
      <c r="AUW10" s="1341"/>
      <c r="AUX10" s="1342"/>
      <c r="AUY10" s="1336"/>
      <c r="AUZ10" s="1336"/>
      <c r="AVA10" s="1336"/>
      <c r="AVB10" s="1336"/>
      <c r="AVC10" s="1337"/>
      <c r="AVD10" s="1337"/>
      <c r="AVE10" s="1337"/>
      <c r="AVF10" s="1337"/>
      <c r="AVG10" s="1337"/>
      <c r="AVH10" s="1338"/>
      <c r="AVI10" s="1339"/>
      <c r="AVJ10" s="1340"/>
      <c r="AVK10" s="1340"/>
      <c r="AVL10" s="1340"/>
      <c r="AVM10" s="1341"/>
      <c r="AVN10" s="1342"/>
      <c r="AVO10" s="1336"/>
      <c r="AVP10" s="1336"/>
      <c r="AVQ10" s="1336"/>
      <c r="AVR10" s="1336"/>
      <c r="AVS10" s="1337"/>
      <c r="AVT10" s="1337"/>
      <c r="AVU10" s="1337"/>
      <c r="AVV10" s="1337"/>
      <c r="AVW10" s="1337"/>
      <c r="AVX10" s="1338"/>
      <c r="AVY10" s="1339"/>
      <c r="AVZ10" s="1340"/>
      <c r="AWA10" s="1340"/>
      <c r="AWB10" s="1340"/>
      <c r="AWC10" s="1341"/>
      <c r="AWD10" s="1342"/>
      <c r="AWE10" s="1336"/>
      <c r="AWF10" s="1336"/>
      <c r="AWG10" s="1336"/>
      <c r="AWH10" s="1336"/>
      <c r="AWI10" s="1337"/>
      <c r="AWJ10" s="1337"/>
      <c r="AWK10" s="1337"/>
      <c r="AWL10" s="1337"/>
      <c r="AWM10" s="1337"/>
      <c r="AWN10" s="1338"/>
      <c r="AWO10" s="1339"/>
      <c r="AWP10" s="1340"/>
      <c r="AWQ10" s="1340"/>
      <c r="AWR10" s="1340"/>
      <c r="AWS10" s="1341"/>
      <c r="AWT10" s="1342"/>
      <c r="AWU10" s="1336"/>
      <c r="AWV10" s="1336"/>
      <c r="AWW10" s="1336"/>
      <c r="AWX10" s="1336"/>
      <c r="AWY10" s="1337"/>
      <c r="AWZ10" s="1337"/>
      <c r="AXA10" s="1337"/>
      <c r="AXB10" s="1337"/>
      <c r="AXC10" s="1337"/>
      <c r="AXD10" s="1338"/>
      <c r="AXE10" s="1339"/>
      <c r="AXF10" s="1340"/>
      <c r="AXG10" s="1340"/>
      <c r="AXH10" s="1340"/>
      <c r="AXI10" s="1341"/>
      <c r="AXJ10" s="1342"/>
      <c r="AXK10" s="1336"/>
      <c r="AXL10" s="1336"/>
      <c r="AXM10" s="1336"/>
      <c r="AXN10" s="1336"/>
      <c r="AXO10" s="1337"/>
      <c r="AXP10" s="1337"/>
      <c r="AXQ10" s="1337"/>
      <c r="AXR10" s="1337"/>
      <c r="AXS10" s="1337"/>
      <c r="AXT10" s="1338"/>
      <c r="AXU10" s="1339"/>
      <c r="AXV10" s="1340"/>
      <c r="AXW10" s="1340"/>
      <c r="AXX10" s="1340"/>
      <c r="AXY10" s="1341"/>
      <c r="AXZ10" s="1342"/>
      <c r="AYA10" s="1336"/>
      <c r="AYB10" s="1336"/>
      <c r="AYC10" s="1336"/>
      <c r="AYD10" s="1336"/>
      <c r="AYE10" s="1337"/>
      <c r="AYF10" s="1337"/>
      <c r="AYG10" s="1337"/>
      <c r="AYH10" s="1337"/>
      <c r="AYI10" s="1337"/>
      <c r="AYJ10" s="1338"/>
      <c r="AYK10" s="1339"/>
      <c r="AYL10" s="1340"/>
      <c r="AYM10" s="1340"/>
      <c r="AYN10" s="1340"/>
      <c r="AYO10" s="1341"/>
      <c r="AYP10" s="1342"/>
      <c r="AYQ10" s="1336"/>
      <c r="AYR10" s="1336"/>
      <c r="AYS10" s="1336"/>
      <c r="AYT10" s="1336"/>
      <c r="AYU10" s="1337"/>
      <c r="AYV10" s="1337"/>
      <c r="AYW10" s="1337"/>
      <c r="AYX10" s="1337"/>
      <c r="AYY10" s="1337"/>
      <c r="AYZ10" s="1338"/>
      <c r="AZA10" s="1339"/>
      <c r="AZB10" s="1340"/>
      <c r="AZC10" s="1340"/>
      <c r="AZD10" s="1340"/>
      <c r="AZE10" s="1341"/>
      <c r="AZF10" s="1342"/>
      <c r="AZG10" s="1336"/>
      <c r="AZH10" s="1336"/>
      <c r="AZI10" s="1336"/>
      <c r="AZJ10" s="1336"/>
      <c r="AZK10" s="1337"/>
      <c r="AZL10" s="1337"/>
      <c r="AZM10" s="1337"/>
      <c r="AZN10" s="1337"/>
      <c r="AZO10" s="1337"/>
      <c r="AZP10" s="1338"/>
      <c r="AZQ10" s="1339"/>
      <c r="AZR10" s="1340"/>
      <c r="AZS10" s="1340"/>
      <c r="AZT10" s="1340"/>
      <c r="AZU10" s="1341"/>
      <c r="AZV10" s="1342"/>
      <c r="AZW10" s="1336"/>
      <c r="AZX10" s="1336"/>
      <c r="AZY10" s="1336"/>
      <c r="AZZ10" s="1336"/>
      <c r="BAA10" s="1337"/>
      <c r="BAB10" s="1337"/>
      <c r="BAC10" s="1337"/>
      <c r="BAD10" s="1337"/>
      <c r="BAE10" s="1337"/>
      <c r="BAF10" s="1338"/>
      <c r="BAG10" s="1339"/>
      <c r="BAH10" s="1340"/>
      <c r="BAI10" s="1340"/>
      <c r="BAJ10" s="1340"/>
      <c r="BAK10" s="1341"/>
      <c r="BAL10" s="1342"/>
      <c r="BAM10" s="1336"/>
      <c r="BAN10" s="1336"/>
      <c r="BAO10" s="1336"/>
      <c r="BAP10" s="1336"/>
      <c r="BAQ10" s="1337"/>
      <c r="BAR10" s="1337"/>
      <c r="BAS10" s="1337"/>
      <c r="BAT10" s="1337"/>
      <c r="BAU10" s="1337"/>
      <c r="BAV10" s="1338"/>
      <c r="BAW10" s="1339"/>
      <c r="BAX10" s="1340"/>
      <c r="BAY10" s="1340"/>
      <c r="BAZ10" s="1340"/>
      <c r="BBA10" s="1341"/>
      <c r="BBB10" s="1342"/>
      <c r="BBC10" s="1336"/>
      <c r="BBD10" s="1336"/>
      <c r="BBE10" s="1336"/>
      <c r="BBF10" s="1336"/>
      <c r="BBG10" s="1337"/>
      <c r="BBH10" s="1337"/>
      <c r="BBI10" s="1337"/>
      <c r="BBJ10" s="1337"/>
      <c r="BBK10" s="1337"/>
      <c r="BBL10" s="1338"/>
      <c r="BBM10" s="1339"/>
      <c r="BBN10" s="1340"/>
      <c r="BBO10" s="1340"/>
      <c r="BBP10" s="1340"/>
      <c r="BBQ10" s="1341"/>
      <c r="BBR10" s="1342"/>
      <c r="BBS10" s="1336"/>
      <c r="BBT10" s="1336"/>
      <c r="BBU10" s="1336"/>
      <c r="BBV10" s="1336"/>
      <c r="BBW10" s="1337"/>
      <c r="BBX10" s="1337"/>
      <c r="BBY10" s="1337"/>
      <c r="BBZ10" s="1337"/>
      <c r="BCA10" s="1337"/>
      <c r="BCB10" s="1338"/>
      <c r="BCC10" s="1339"/>
      <c r="BCD10" s="1340"/>
      <c r="BCE10" s="1340"/>
      <c r="BCF10" s="1340"/>
      <c r="BCG10" s="1341"/>
      <c r="BCH10" s="1342"/>
      <c r="BCI10" s="1336"/>
      <c r="BCJ10" s="1336"/>
      <c r="BCK10" s="1336"/>
      <c r="BCL10" s="1336"/>
      <c r="BCM10" s="1337"/>
      <c r="BCN10" s="1337"/>
      <c r="BCO10" s="1337"/>
      <c r="BCP10" s="1337"/>
      <c r="BCQ10" s="1337"/>
      <c r="BCR10" s="1338"/>
      <c r="BCS10" s="1339"/>
      <c r="BCT10" s="1340"/>
      <c r="BCU10" s="1340"/>
      <c r="BCV10" s="1340"/>
      <c r="BCW10" s="1341"/>
      <c r="BCX10" s="1342"/>
      <c r="BCY10" s="1336"/>
      <c r="BCZ10" s="1336"/>
      <c r="BDA10" s="1336"/>
      <c r="BDB10" s="1336"/>
      <c r="BDC10" s="1337"/>
      <c r="BDD10" s="1337"/>
      <c r="BDE10" s="1337"/>
      <c r="BDF10" s="1337"/>
      <c r="BDG10" s="1337"/>
      <c r="BDH10" s="1338"/>
      <c r="BDI10" s="1339"/>
      <c r="BDJ10" s="1340"/>
      <c r="BDK10" s="1340"/>
      <c r="BDL10" s="1340"/>
      <c r="BDM10" s="1341"/>
      <c r="BDN10" s="1342"/>
      <c r="BDO10" s="1336"/>
      <c r="BDP10" s="1336"/>
      <c r="BDQ10" s="1336"/>
      <c r="BDR10" s="1336"/>
      <c r="BDS10" s="1337"/>
      <c r="BDT10" s="1337"/>
      <c r="BDU10" s="1337"/>
      <c r="BDV10" s="1337"/>
      <c r="BDW10" s="1337"/>
      <c r="BDX10" s="1338"/>
      <c r="BDY10" s="1339"/>
      <c r="BDZ10" s="1340"/>
      <c r="BEA10" s="1340"/>
      <c r="BEB10" s="1340"/>
      <c r="BEC10" s="1341"/>
      <c r="BED10" s="1342"/>
      <c r="BEE10" s="1336"/>
      <c r="BEF10" s="1336"/>
      <c r="BEG10" s="1336"/>
      <c r="BEH10" s="1336"/>
      <c r="BEI10" s="1337"/>
      <c r="BEJ10" s="1337"/>
      <c r="BEK10" s="1337"/>
      <c r="BEL10" s="1337"/>
      <c r="BEM10" s="1337"/>
      <c r="BEN10" s="1338"/>
      <c r="BEO10" s="1339"/>
      <c r="BEP10" s="1340"/>
      <c r="BEQ10" s="1340"/>
      <c r="BER10" s="1340"/>
      <c r="BES10" s="1341"/>
      <c r="BET10" s="1342"/>
      <c r="BEU10" s="1336"/>
      <c r="BEV10" s="1336"/>
      <c r="BEW10" s="1336"/>
      <c r="BEX10" s="1336"/>
      <c r="BEY10" s="1337"/>
      <c r="BEZ10" s="1337"/>
      <c r="BFA10" s="1337"/>
      <c r="BFB10" s="1337"/>
      <c r="BFC10" s="1337"/>
      <c r="BFD10" s="1338"/>
      <c r="BFE10" s="1339"/>
      <c r="BFF10" s="1340"/>
      <c r="BFG10" s="1340"/>
      <c r="BFH10" s="1340"/>
      <c r="BFI10" s="1341"/>
      <c r="BFJ10" s="1342"/>
      <c r="BFK10" s="1336"/>
      <c r="BFL10" s="1336"/>
      <c r="BFM10" s="1336"/>
      <c r="BFN10" s="1336"/>
      <c r="BFO10" s="1337"/>
      <c r="BFP10" s="1337"/>
      <c r="BFQ10" s="1337"/>
      <c r="BFR10" s="1337"/>
      <c r="BFS10" s="1337"/>
      <c r="BFT10" s="1338"/>
      <c r="BFU10" s="1339"/>
      <c r="BFV10" s="1340"/>
      <c r="BFW10" s="1340"/>
      <c r="BFX10" s="1340"/>
      <c r="BFY10" s="1341"/>
      <c r="BFZ10" s="1342"/>
      <c r="BGA10" s="1336"/>
      <c r="BGB10" s="1336"/>
      <c r="BGC10" s="1336"/>
      <c r="BGD10" s="1336"/>
      <c r="BGE10" s="1337"/>
      <c r="BGF10" s="1337"/>
      <c r="BGG10" s="1337"/>
      <c r="BGH10" s="1337"/>
      <c r="BGI10" s="1337"/>
      <c r="BGJ10" s="1338"/>
      <c r="BGK10" s="1339"/>
      <c r="BGL10" s="1340"/>
      <c r="BGM10" s="1340"/>
      <c r="BGN10" s="1340"/>
      <c r="BGO10" s="1341"/>
      <c r="BGP10" s="1342"/>
      <c r="BGQ10" s="1336"/>
      <c r="BGR10" s="1336"/>
      <c r="BGS10" s="1336"/>
      <c r="BGT10" s="1336"/>
      <c r="BGU10" s="1337"/>
      <c r="BGV10" s="1337"/>
      <c r="BGW10" s="1337"/>
      <c r="BGX10" s="1337"/>
      <c r="BGY10" s="1337"/>
      <c r="BGZ10" s="1338"/>
      <c r="BHA10" s="1339"/>
      <c r="BHB10" s="1340"/>
      <c r="BHC10" s="1340"/>
      <c r="BHD10" s="1340"/>
      <c r="BHE10" s="1341"/>
      <c r="BHF10" s="1342"/>
      <c r="BHG10" s="1336"/>
      <c r="BHH10" s="1336"/>
      <c r="BHI10" s="1336"/>
      <c r="BHJ10" s="1336"/>
      <c r="BHK10" s="1337"/>
      <c r="BHL10" s="1337"/>
      <c r="BHM10" s="1337"/>
      <c r="BHN10" s="1337"/>
      <c r="BHO10" s="1337"/>
      <c r="BHP10" s="1338"/>
      <c r="BHQ10" s="1339"/>
      <c r="BHR10" s="1340"/>
      <c r="BHS10" s="1340"/>
      <c r="BHT10" s="1340"/>
      <c r="BHU10" s="1341"/>
      <c r="BHV10" s="1342"/>
      <c r="BHW10" s="1336"/>
      <c r="BHX10" s="1336"/>
      <c r="BHY10" s="1336"/>
      <c r="BHZ10" s="1336"/>
      <c r="BIA10" s="1337"/>
      <c r="BIB10" s="1337"/>
      <c r="BIC10" s="1337"/>
      <c r="BID10" s="1337"/>
      <c r="BIE10" s="1337"/>
      <c r="BIF10" s="1338"/>
      <c r="BIG10" s="1339"/>
      <c r="BIH10" s="1340"/>
      <c r="BII10" s="1340"/>
      <c r="BIJ10" s="1340"/>
      <c r="BIK10" s="1341"/>
      <c r="BIL10" s="1342"/>
      <c r="BIM10" s="1336"/>
      <c r="BIN10" s="1336"/>
      <c r="BIO10" s="1336"/>
      <c r="BIP10" s="1336"/>
      <c r="BIQ10" s="1337"/>
      <c r="BIR10" s="1337"/>
      <c r="BIS10" s="1337"/>
      <c r="BIT10" s="1337"/>
      <c r="BIU10" s="1337"/>
      <c r="BIV10" s="1338"/>
      <c r="BIW10" s="1339"/>
      <c r="BIX10" s="1340"/>
      <c r="BIY10" s="1340"/>
      <c r="BIZ10" s="1340"/>
      <c r="BJA10" s="1341"/>
      <c r="BJB10" s="1342"/>
      <c r="BJC10" s="1336"/>
      <c r="BJD10" s="1336"/>
      <c r="BJE10" s="1336"/>
      <c r="BJF10" s="1336"/>
      <c r="BJG10" s="1337"/>
      <c r="BJH10" s="1337"/>
      <c r="BJI10" s="1337"/>
      <c r="BJJ10" s="1337"/>
      <c r="BJK10" s="1337"/>
      <c r="BJL10" s="1338"/>
      <c r="BJM10" s="1339"/>
      <c r="BJN10" s="1340"/>
      <c r="BJO10" s="1340"/>
      <c r="BJP10" s="1340"/>
      <c r="BJQ10" s="1341"/>
      <c r="BJR10" s="1342"/>
      <c r="BJS10" s="1336"/>
      <c r="BJT10" s="1336"/>
      <c r="BJU10" s="1336"/>
      <c r="BJV10" s="1336"/>
      <c r="BJW10" s="1337"/>
      <c r="BJX10" s="1337"/>
      <c r="BJY10" s="1337"/>
      <c r="BJZ10" s="1337"/>
      <c r="BKA10" s="1337"/>
      <c r="BKB10" s="1338"/>
      <c r="BKC10" s="1339"/>
      <c r="BKD10" s="1340"/>
      <c r="BKE10" s="1340"/>
      <c r="BKF10" s="1340"/>
      <c r="BKG10" s="1341"/>
      <c r="BKH10" s="1342"/>
      <c r="BKI10" s="1336"/>
      <c r="BKJ10" s="1336"/>
      <c r="BKK10" s="1336"/>
      <c r="BKL10" s="1336"/>
      <c r="BKM10" s="1337"/>
      <c r="BKN10" s="1337"/>
      <c r="BKO10" s="1337"/>
      <c r="BKP10" s="1337"/>
      <c r="BKQ10" s="1337"/>
      <c r="BKR10" s="1338"/>
      <c r="BKS10" s="1339"/>
      <c r="BKT10" s="1340"/>
      <c r="BKU10" s="1340"/>
      <c r="BKV10" s="1340"/>
      <c r="BKW10" s="1341"/>
      <c r="BKX10" s="1342"/>
      <c r="BKY10" s="1336"/>
      <c r="BKZ10" s="1336"/>
      <c r="BLA10" s="1336"/>
      <c r="BLB10" s="1336"/>
      <c r="BLC10" s="1337"/>
      <c r="BLD10" s="1337"/>
      <c r="BLE10" s="1337"/>
      <c r="BLF10" s="1337"/>
      <c r="BLG10" s="1337"/>
      <c r="BLH10" s="1338"/>
      <c r="BLI10" s="1339"/>
      <c r="BLJ10" s="1340"/>
      <c r="BLK10" s="1340"/>
      <c r="BLL10" s="1340"/>
      <c r="BLM10" s="1341"/>
      <c r="BLN10" s="1342"/>
      <c r="BLO10" s="1336"/>
      <c r="BLP10" s="1336"/>
      <c r="BLQ10" s="1336"/>
      <c r="BLR10" s="1336"/>
      <c r="BLS10" s="1337"/>
      <c r="BLT10" s="1337"/>
      <c r="BLU10" s="1337"/>
      <c r="BLV10" s="1337"/>
      <c r="BLW10" s="1337"/>
      <c r="BLX10" s="1338"/>
      <c r="BLY10" s="1339"/>
      <c r="BLZ10" s="1340"/>
      <c r="BMA10" s="1340"/>
      <c r="BMB10" s="1340"/>
      <c r="BMC10" s="1341"/>
      <c r="BMD10" s="1342"/>
      <c r="BME10" s="1336"/>
      <c r="BMF10" s="1336"/>
      <c r="BMG10" s="1336"/>
      <c r="BMH10" s="1336"/>
      <c r="BMI10" s="1337"/>
      <c r="BMJ10" s="1337"/>
      <c r="BMK10" s="1337"/>
      <c r="BML10" s="1337"/>
      <c r="BMM10" s="1337"/>
      <c r="BMN10" s="1338"/>
      <c r="BMO10" s="1339"/>
      <c r="BMP10" s="1340"/>
      <c r="BMQ10" s="1340"/>
      <c r="BMR10" s="1340"/>
      <c r="BMS10" s="1341"/>
      <c r="BMT10" s="1342"/>
      <c r="BMU10" s="1336"/>
      <c r="BMV10" s="1336"/>
      <c r="BMW10" s="1336"/>
      <c r="BMX10" s="1336"/>
      <c r="BMY10" s="1337"/>
      <c r="BMZ10" s="1337"/>
      <c r="BNA10" s="1337"/>
      <c r="BNB10" s="1337"/>
      <c r="BNC10" s="1337"/>
      <c r="BND10" s="1338"/>
      <c r="BNE10" s="1339"/>
      <c r="BNF10" s="1340"/>
      <c r="BNG10" s="1340"/>
      <c r="BNH10" s="1340"/>
      <c r="BNI10" s="1341"/>
      <c r="BNJ10" s="1342"/>
      <c r="BNK10" s="1336"/>
      <c r="BNL10" s="1336"/>
      <c r="BNM10" s="1336"/>
      <c r="BNN10" s="1336"/>
      <c r="BNO10" s="1337"/>
      <c r="BNP10" s="1337"/>
      <c r="BNQ10" s="1337"/>
      <c r="BNR10" s="1337"/>
      <c r="BNS10" s="1337"/>
      <c r="BNT10" s="1338"/>
      <c r="BNU10" s="1339"/>
      <c r="BNV10" s="1340"/>
      <c r="BNW10" s="1340"/>
      <c r="BNX10" s="1340"/>
      <c r="BNY10" s="1341"/>
      <c r="BNZ10" s="1342"/>
      <c r="BOA10" s="1336"/>
      <c r="BOB10" s="1336"/>
      <c r="BOC10" s="1336"/>
      <c r="BOD10" s="1336"/>
      <c r="BOE10" s="1337"/>
      <c r="BOF10" s="1337"/>
      <c r="BOG10" s="1337"/>
      <c r="BOH10" s="1337"/>
      <c r="BOI10" s="1337"/>
      <c r="BOJ10" s="1338"/>
      <c r="BOK10" s="1339"/>
      <c r="BOL10" s="1340"/>
      <c r="BOM10" s="1340"/>
      <c r="BON10" s="1340"/>
      <c r="BOO10" s="1341"/>
      <c r="BOP10" s="1342"/>
      <c r="BOQ10" s="1336"/>
      <c r="BOR10" s="1336"/>
      <c r="BOS10" s="1336"/>
      <c r="BOT10" s="1336"/>
      <c r="BOU10" s="1337"/>
      <c r="BOV10" s="1337"/>
      <c r="BOW10" s="1337"/>
      <c r="BOX10" s="1337"/>
      <c r="BOY10" s="1337"/>
      <c r="BOZ10" s="1338"/>
      <c r="BPA10" s="1339"/>
      <c r="BPB10" s="1340"/>
      <c r="BPC10" s="1340"/>
      <c r="BPD10" s="1340"/>
      <c r="BPE10" s="1341"/>
      <c r="BPF10" s="1342"/>
      <c r="BPG10" s="1336"/>
      <c r="BPH10" s="1336"/>
      <c r="BPI10" s="1336"/>
      <c r="BPJ10" s="1336"/>
      <c r="BPK10" s="1337"/>
      <c r="BPL10" s="1337"/>
      <c r="BPM10" s="1337"/>
      <c r="BPN10" s="1337"/>
      <c r="BPO10" s="1337"/>
      <c r="BPP10" s="1338"/>
      <c r="BPQ10" s="1339"/>
      <c r="BPR10" s="1340"/>
      <c r="BPS10" s="1340"/>
      <c r="BPT10" s="1340"/>
      <c r="BPU10" s="1341"/>
      <c r="BPV10" s="1342"/>
      <c r="BPW10" s="1336"/>
      <c r="BPX10" s="1336"/>
      <c r="BPY10" s="1336"/>
      <c r="BPZ10" s="1336"/>
      <c r="BQA10" s="1337"/>
      <c r="BQB10" s="1337"/>
      <c r="BQC10" s="1337"/>
      <c r="BQD10" s="1337"/>
      <c r="BQE10" s="1337"/>
      <c r="BQF10" s="1338"/>
      <c r="BQG10" s="1339"/>
      <c r="BQH10" s="1340"/>
      <c r="BQI10" s="1340"/>
      <c r="BQJ10" s="1340"/>
      <c r="BQK10" s="1341"/>
      <c r="BQL10" s="1342"/>
      <c r="BQM10" s="1336"/>
      <c r="BQN10" s="1336"/>
      <c r="BQO10" s="1336"/>
      <c r="BQP10" s="1336"/>
      <c r="BQQ10" s="1337"/>
      <c r="BQR10" s="1337"/>
      <c r="BQS10" s="1337"/>
      <c r="BQT10" s="1337"/>
      <c r="BQU10" s="1337"/>
      <c r="BQV10" s="1338"/>
      <c r="BQW10" s="1339"/>
      <c r="BQX10" s="1340"/>
      <c r="BQY10" s="1340"/>
      <c r="BQZ10" s="1340"/>
      <c r="BRA10" s="1341"/>
      <c r="BRB10" s="1342"/>
      <c r="BRC10" s="1336"/>
      <c r="BRD10" s="1336"/>
      <c r="BRE10" s="1336"/>
      <c r="BRF10" s="1336"/>
      <c r="BRG10" s="1337"/>
      <c r="BRH10" s="1337"/>
      <c r="BRI10" s="1337"/>
      <c r="BRJ10" s="1337"/>
      <c r="BRK10" s="1337"/>
      <c r="BRL10" s="1338"/>
      <c r="BRM10" s="1339"/>
      <c r="BRN10" s="1340"/>
      <c r="BRO10" s="1340"/>
      <c r="BRP10" s="1340"/>
      <c r="BRQ10" s="1341"/>
      <c r="BRR10" s="1342"/>
      <c r="BRS10" s="1336"/>
      <c r="BRT10" s="1336"/>
      <c r="BRU10" s="1336"/>
      <c r="BRV10" s="1336"/>
      <c r="BRW10" s="1337"/>
      <c r="BRX10" s="1337"/>
      <c r="BRY10" s="1337"/>
      <c r="BRZ10" s="1337"/>
      <c r="BSA10" s="1337"/>
      <c r="BSB10" s="1338"/>
      <c r="BSC10" s="1339"/>
      <c r="BSD10" s="1340"/>
      <c r="BSE10" s="1340"/>
      <c r="BSF10" s="1340"/>
      <c r="BSG10" s="1341"/>
      <c r="BSH10" s="1342"/>
      <c r="BSI10" s="1336"/>
      <c r="BSJ10" s="1336"/>
      <c r="BSK10" s="1336"/>
      <c r="BSL10" s="1336"/>
      <c r="BSM10" s="1337"/>
      <c r="BSN10" s="1337"/>
      <c r="BSO10" s="1337"/>
      <c r="BSP10" s="1337"/>
      <c r="BSQ10" s="1337"/>
      <c r="BSR10" s="1338"/>
      <c r="BSS10" s="1339"/>
      <c r="BST10" s="1340"/>
      <c r="BSU10" s="1340"/>
      <c r="BSV10" s="1340"/>
      <c r="BSW10" s="1341"/>
      <c r="BSX10" s="1342"/>
      <c r="BSY10" s="1336"/>
      <c r="BSZ10" s="1336"/>
      <c r="BTA10" s="1336"/>
      <c r="BTB10" s="1336"/>
      <c r="BTC10" s="1337"/>
      <c r="BTD10" s="1337"/>
      <c r="BTE10" s="1337"/>
      <c r="BTF10" s="1337"/>
      <c r="BTG10" s="1337"/>
      <c r="BTH10" s="1338"/>
      <c r="BTI10" s="1339"/>
      <c r="BTJ10" s="1340"/>
      <c r="BTK10" s="1340"/>
      <c r="BTL10" s="1340"/>
      <c r="BTM10" s="1341"/>
      <c r="BTN10" s="1342"/>
      <c r="BTO10" s="1336"/>
      <c r="BTP10" s="1336"/>
      <c r="BTQ10" s="1336"/>
      <c r="BTR10" s="1336"/>
      <c r="BTS10" s="1337"/>
      <c r="BTT10" s="1337"/>
      <c r="BTU10" s="1337"/>
      <c r="BTV10" s="1337"/>
      <c r="BTW10" s="1337"/>
      <c r="BTX10" s="1338"/>
      <c r="BTY10" s="1339"/>
      <c r="BTZ10" s="1340"/>
      <c r="BUA10" s="1340"/>
      <c r="BUB10" s="1340"/>
      <c r="BUC10" s="1341"/>
      <c r="BUD10" s="1342"/>
      <c r="BUE10" s="1336"/>
      <c r="BUF10" s="1336"/>
      <c r="BUG10" s="1336"/>
      <c r="BUH10" s="1336"/>
      <c r="BUI10" s="1337"/>
      <c r="BUJ10" s="1337"/>
      <c r="BUK10" s="1337"/>
      <c r="BUL10" s="1337"/>
      <c r="BUM10" s="1337"/>
      <c r="BUN10" s="1338"/>
      <c r="BUO10" s="1339"/>
      <c r="BUP10" s="1340"/>
      <c r="BUQ10" s="1340"/>
      <c r="BUR10" s="1340"/>
      <c r="BUS10" s="1341"/>
      <c r="BUT10" s="1342"/>
      <c r="BUU10" s="1336"/>
      <c r="BUV10" s="1336"/>
      <c r="BUW10" s="1336"/>
      <c r="BUX10" s="1336"/>
      <c r="BUY10" s="1337"/>
      <c r="BUZ10" s="1337"/>
      <c r="BVA10" s="1337"/>
      <c r="BVB10" s="1337"/>
      <c r="BVC10" s="1337"/>
      <c r="BVD10" s="1338"/>
      <c r="BVE10" s="1339"/>
      <c r="BVF10" s="1340"/>
      <c r="BVG10" s="1340"/>
      <c r="BVH10" s="1340"/>
      <c r="BVI10" s="1341"/>
      <c r="BVJ10" s="1342"/>
      <c r="BVK10" s="1336"/>
      <c r="BVL10" s="1336"/>
      <c r="BVM10" s="1336"/>
      <c r="BVN10" s="1336"/>
      <c r="BVO10" s="1337"/>
      <c r="BVP10" s="1337"/>
      <c r="BVQ10" s="1337"/>
      <c r="BVR10" s="1337"/>
      <c r="BVS10" s="1337"/>
      <c r="BVT10" s="1338"/>
      <c r="BVU10" s="1339"/>
      <c r="BVV10" s="1340"/>
      <c r="BVW10" s="1340"/>
      <c r="BVX10" s="1340"/>
      <c r="BVY10" s="1341"/>
      <c r="BVZ10" s="1342"/>
      <c r="BWA10" s="1336"/>
      <c r="BWB10" s="1336"/>
      <c r="BWC10" s="1336"/>
      <c r="BWD10" s="1336"/>
      <c r="BWE10" s="1337"/>
      <c r="BWF10" s="1337"/>
      <c r="BWG10" s="1337"/>
      <c r="BWH10" s="1337"/>
      <c r="BWI10" s="1337"/>
      <c r="BWJ10" s="1338"/>
      <c r="BWK10" s="1339"/>
      <c r="BWL10" s="1340"/>
      <c r="BWM10" s="1340"/>
      <c r="BWN10" s="1340"/>
      <c r="BWO10" s="1341"/>
      <c r="BWP10" s="1342"/>
      <c r="BWQ10" s="1336"/>
      <c r="BWR10" s="1336"/>
      <c r="BWS10" s="1336"/>
      <c r="BWT10" s="1336"/>
      <c r="BWU10" s="1337"/>
      <c r="BWV10" s="1337"/>
      <c r="BWW10" s="1337"/>
      <c r="BWX10" s="1337"/>
      <c r="BWY10" s="1337"/>
      <c r="BWZ10" s="1338"/>
      <c r="BXA10" s="1339"/>
      <c r="BXB10" s="1340"/>
      <c r="BXC10" s="1340"/>
      <c r="BXD10" s="1340"/>
      <c r="BXE10" s="1341"/>
      <c r="BXF10" s="1342"/>
      <c r="BXG10" s="1336"/>
      <c r="BXH10" s="1336"/>
      <c r="BXI10" s="1336"/>
      <c r="BXJ10" s="1336"/>
      <c r="BXK10" s="1337"/>
      <c r="BXL10" s="1337"/>
      <c r="BXM10" s="1337"/>
      <c r="BXN10" s="1337"/>
      <c r="BXO10" s="1337"/>
      <c r="BXP10" s="1338"/>
      <c r="BXQ10" s="1339"/>
      <c r="BXR10" s="1340"/>
      <c r="BXS10" s="1340"/>
      <c r="BXT10" s="1340"/>
      <c r="BXU10" s="1341"/>
      <c r="BXV10" s="1342"/>
      <c r="BXW10" s="1336"/>
      <c r="BXX10" s="1336"/>
      <c r="BXY10" s="1336"/>
      <c r="BXZ10" s="1336"/>
      <c r="BYA10" s="1337"/>
      <c r="BYB10" s="1337"/>
      <c r="BYC10" s="1337"/>
      <c r="BYD10" s="1337"/>
      <c r="BYE10" s="1337"/>
      <c r="BYF10" s="1338"/>
      <c r="BYG10" s="1339"/>
      <c r="BYH10" s="1340"/>
      <c r="BYI10" s="1340"/>
      <c r="BYJ10" s="1340"/>
      <c r="BYK10" s="1341"/>
      <c r="BYL10" s="1342"/>
      <c r="BYM10" s="1336"/>
      <c r="BYN10" s="1336"/>
      <c r="BYO10" s="1336"/>
      <c r="BYP10" s="1336"/>
      <c r="BYQ10" s="1337"/>
      <c r="BYR10" s="1337"/>
      <c r="BYS10" s="1337"/>
      <c r="BYT10" s="1337"/>
      <c r="BYU10" s="1337"/>
      <c r="BYV10" s="1338"/>
      <c r="BYW10" s="1339"/>
      <c r="BYX10" s="1340"/>
      <c r="BYY10" s="1340"/>
      <c r="BYZ10" s="1340"/>
      <c r="BZA10" s="1341"/>
      <c r="BZB10" s="1342"/>
      <c r="BZC10" s="1336"/>
      <c r="BZD10" s="1336"/>
      <c r="BZE10" s="1336"/>
      <c r="BZF10" s="1336"/>
      <c r="BZG10" s="1337"/>
      <c r="BZH10" s="1337"/>
      <c r="BZI10" s="1337"/>
      <c r="BZJ10" s="1337"/>
      <c r="BZK10" s="1337"/>
      <c r="BZL10" s="1338"/>
      <c r="BZM10" s="1339"/>
      <c r="BZN10" s="1340"/>
      <c r="BZO10" s="1340"/>
      <c r="BZP10" s="1340"/>
      <c r="BZQ10" s="1341"/>
      <c r="BZR10" s="1342"/>
      <c r="BZS10" s="1336"/>
      <c r="BZT10" s="1336"/>
      <c r="BZU10" s="1336"/>
      <c r="BZV10" s="1336"/>
      <c r="BZW10" s="1337"/>
      <c r="BZX10" s="1337"/>
      <c r="BZY10" s="1337"/>
      <c r="BZZ10" s="1337"/>
      <c r="CAA10" s="1337"/>
      <c r="CAB10" s="1338"/>
      <c r="CAC10" s="1339"/>
      <c r="CAD10" s="1340"/>
      <c r="CAE10" s="1340"/>
      <c r="CAF10" s="1340"/>
      <c r="CAG10" s="1341"/>
      <c r="CAH10" s="1342"/>
      <c r="CAI10" s="1336"/>
      <c r="CAJ10" s="1336"/>
      <c r="CAK10" s="1336"/>
      <c r="CAL10" s="1336"/>
      <c r="CAM10" s="1337"/>
      <c r="CAN10" s="1337"/>
      <c r="CAO10" s="1337"/>
      <c r="CAP10" s="1337"/>
      <c r="CAQ10" s="1337"/>
      <c r="CAR10" s="1338"/>
      <c r="CAS10" s="1339"/>
      <c r="CAT10" s="1340"/>
      <c r="CAU10" s="1340"/>
      <c r="CAV10" s="1340"/>
      <c r="CAW10" s="1341"/>
      <c r="CAX10" s="1342"/>
      <c r="CAY10" s="1336"/>
      <c r="CAZ10" s="1336"/>
      <c r="CBA10" s="1336"/>
      <c r="CBB10" s="1336"/>
      <c r="CBC10" s="1337"/>
      <c r="CBD10" s="1337"/>
      <c r="CBE10" s="1337"/>
      <c r="CBF10" s="1337"/>
      <c r="CBG10" s="1337"/>
      <c r="CBH10" s="1338"/>
      <c r="CBI10" s="1339"/>
      <c r="CBJ10" s="1340"/>
      <c r="CBK10" s="1340"/>
      <c r="CBL10" s="1340"/>
      <c r="CBM10" s="1341"/>
      <c r="CBN10" s="1342"/>
      <c r="CBO10" s="1336"/>
      <c r="CBP10" s="1336"/>
      <c r="CBQ10" s="1336"/>
      <c r="CBR10" s="1336"/>
      <c r="CBS10" s="1337"/>
      <c r="CBT10" s="1337"/>
      <c r="CBU10" s="1337"/>
      <c r="CBV10" s="1337"/>
      <c r="CBW10" s="1337"/>
      <c r="CBX10" s="1338"/>
      <c r="CBY10" s="1339"/>
      <c r="CBZ10" s="1340"/>
      <c r="CCA10" s="1340"/>
      <c r="CCB10" s="1340"/>
      <c r="CCC10" s="1341"/>
      <c r="CCD10" s="1342"/>
      <c r="CCE10" s="1336"/>
      <c r="CCF10" s="1336"/>
      <c r="CCG10" s="1336"/>
      <c r="CCH10" s="1336"/>
      <c r="CCI10" s="1337"/>
      <c r="CCJ10" s="1337"/>
      <c r="CCK10" s="1337"/>
      <c r="CCL10" s="1337"/>
      <c r="CCM10" s="1337"/>
      <c r="CCN10" s="1338"/>
      <c r="CCO10" s="1339"/>
      <c r="CCP10" s="1340"/>
      <c r="CCQ10" s="1340"/>
      <c r="CCR10" s="1340"/>
      <c r="CCS10" s="1341"/>
      <c r="CCT10" s="1342"/>
      <c r="CCU10" s="1336"/>
      <c r="CCV10" s="1336"/>
      <c r="CCW10" s="1336"/>
      <c r="CCX10" s="1336"/>
      <c r="CCY10" s="1337"/>
      <c r="CCZ10" s="1337"/>
      <c r="CDA10" s="1337"/>
      <c r="CDB10" s="1337"/>
      <c r="CDC10" s="1337"/>
      <c r="CDD10" s="1338"/>
      <c r="CDE10" s="1339"/>
      <c r="CDF10" s="1340"/>
      <c r="CDG10" s="1340"/>
      <c r="CDH10" s="1340"/>
      <c r="CDI10" s="1341"/>
      <c r="CDJ10" s="1342"/>
      <c r="CDK10" s="1336"/>
      <c r="CDL10" s="1336"/>
      <c r="CDM10" s="1336"/>
      <c r="CDN10" s="1336"/>
      <c r="CDO10" s="1337"/>
      <c r="CDP10" s="1337"/>
      <c r="CDQ10" s="1337"/>
      <c r="CDR10" s="1337"/>
      <c r="CDS10" s="1337"/>
      <c r="CDT10" s="1338"/>
      <c r="CDU10" s="1339"/>
      <c r="CDV10" s="1340"/>
      <c r="CDW10" s="1340"/>
      <c r="CDX10" s="1340"/>
      <c r="CDY10" s="1341"/>
      <c r="CDZ10" s="1342"/>
      <c r="CEA10" s="1336"/>
      <c r="CEB10" s="1336"/>
      <c r="CEC10" s="1336"/>
      <c r="CED10" s="1336"/>
      <c r="CEE10" s="1337"/>
      <c r="CEF10" s="1337"/>
      <c r="CEG10" s="1337"/>
      <c r="CEH10" s="1337"/>
      <c r="CEI10" s="1337"/>
      <c r="CEJ10" s="1338"/>
      <c r="CEK10" s="1339"/>
      <c r="CEL10" s="1340"/>
      <c r="CEM10" s="1340"/>
      <c r="CEN10" s="1340"/>
      <c r="CEO10" s="1341"/>
      <c r="CEP10" s="1342"/>
      <c r="CEQ10" s="1336"/>
      <c r="CER10" s="1336"/>
      <c r="CES10" s="1336"/>
      <c r="CET10" s="1336"/>
      <c r="CEU10" s="1337"/>
      <c r="CEV10" s="1337"/>
      <c r="CEW10" s="1337"/>
      <c r="CEX10" s="1337"/>
      <c r="CEY10" s="1337"/>
      <c r="CEZ10" s="1338"/>
      <c r="CFA10" s="1339"/>
      <c r="CFB10" s="1340"/>
      <c r="CFC10" s="1340"/>
      <c r="CFD10" s="1340"/>
      <c r="CFE10" s="1341"/>
      <c r="CFF10" s="1342"/>
      <c r="CFG10" s="1336"/>
      <c r="CFH10" s="1336"/>
      <c r="CFI10" s="1336"/>
      <c r="CFJ10" s="1336"/>
      <c r="CFK10" s="1337"/>
      <c r="CFL10" s="1337"/>
      <c r="CFM10" s="1337"/>
      <c r="CFN10" s="1337"/>
      <c r="CFO10" s="1337"/>
      <c r="CFP10" s="1338"/>
      <c r="CFQ10" s="1339"/>
      <c r="CFR10" s="1340"/>
      <c r="CFS10" s="1340"/>
      <c r="CFT10" s="1340"/>
      <c r="CFU10" s="1341"/>
      <c r="CFV10" s="1342"/>
      <c r="CFW10" s="1336"/>
      <c r="CFX10" s="1336"/>
      <c r="CFY10" s="1336"/>
      <c r="CFZ10" s="1336"/>
      <c r="CGA10" s="1337"/>
      <c r="CGB10" s="1337"/>
      <c r="CGC10" s="1337"/>
      <c r="CGD10" s="1337"/>
      <c r="CGE10" s="1337"/>
      <c r="CGF10" s="1338"/>
      <c r="CGG10" s="1339"/>
      <c r="CGH10" s="1340"/>
      <c r="CGI10" s="1340"/>
      <c r="CGJ10" s="1340"/>
      <c r="CGK10" s="1341"/>
      <c r="CGL10" s="1342"/>
      <c r="CGM10" s="1336"/>
      <c r="CGN10" s="1336"/>
      <c r="CGO10" s="1336"/>
      <c r="CGP10" s="1336"/>
      <c r="CGQ10" s="1337"/>
      <c r="CGR10" s="1337"/>
      <c r="CGS10" s="1337"/>
      <c r="CGT10" s="1337"/>
      <c r="CGU10" s="1337"/>
      <c r="CGV10" s="1338"/>
      <c r="CGW10" s="1339"/>
      <c r="CGX10" s="1340"/>
      <c r="CGY10" s="1340"/>
      <c r="CGZ10" s="1340"/>
      <c r="CHA10" s="1341"/>
      <c r="CHB10" s="1342"/>
      <c r="CHC10" s="1336"/>
      <c r="CHD10" s="1336"/>
      <c r="CHE10" s="1336"/>
      <c r="CHF10" s="1336"/>
      <c r="CHG10" s="1337"/>
      <c r="CHH10" s="1337"/>
      <c r="CHI10" s="1337"/>
      <c r="CHJ10" s="1337"/>
      <c r="CHK10" s="1337"/>
      <c r="CHL10" s="1338"/>
      <c r="CHM10" s="1339"/>
      <c r="CHN10" s="1340"/>
      <c r="CHO10" s="1340"/>
      <c r="CHP10" s="1340"/>
      <c r="CHQ10" s="1341"/>
      <c r="CHR10" s="1342"/>
      <c r="CHS10" s="1336"/>
      <c r="CHT10" s="1336"/>
      <c r="CHU10" s="1336"/>
      <c r="CHV10" s="1336"/>
      <c r="CHW10" s="1337"/>
      <c r="CHX10" s="1337"/>
      <c r="CHY10" s="1337"/>
      <c r="CHZ10" s="1337"/>
      <c r="CIA10" s="1337"/>
      <c r="CIB10" s="1338"/>
      <c r="CIC10" s="1339"/>
      <c r="CID10" s="1340"/>
      <c r="CIE10" s="1340"/>
      <c r="CIF10" s="1340"/>
      <c r="CIG10" s="1341"/>
      <c r="CIH10" s="1342"/>
      <c r="CII10" s="1336"/>
      <c r="CIJ10" s="1336"/>
      <c r="CIK10" s="1336"/>
      <c r="CIL10" s="1336"/>
      <c r="CIM10" s="1337"/>
      <c r="CIN10" s="1337"/>
      <c r="CIO10" s="1337"/>
      <c r="CIP10" s="1337"/>
      <c r="CIQ10" s="1337"/>
      <c r="CIR10" s="1338"/>
      <c r="CIS10" s="1339"/>
      <c r="CIT10" s="1340"/>
      <c r="CIU10" s="1340"/>
      <c r="CIV10" s="1340"/>
      <c r="CIW10" s="1341"/>
      <c r="CIX10" s="1342"/>
      <c r="CIY10" s="1336"/>
      <c r="CIZ10" s="1336"/>
      <c r="CJA10" s="1336"/>
      <c r="CJB10" s="1336"/>
      <c r="CJC10" s="1337"/>
      <c r="CJD10" s="1337"/>
      <c r="CJE10" s="1337"/>
      <c r="CJF10" s="1337"/>
      <c r="CJG10" s="1337"/>
      <c r="CJH10" s="1338"/>
      <c r="CJI10" s="1339"/>
      <c r="CJJ10" s="1340"/>
      <c r="CJK10" s="1340"/>
      <c r="CJL10" s="1340"/>
      <c r="CJM10" s="1341"/>
      <c r="CJN10" s="1342"/>
      <c r="CJO10" s="1336"/>
      <c r="CJP10" s="1336"/>
      <c r="CJQ10" s="1336"/>
      <c r="CJR10" s="1336"/>
      <c r="CJS10" s="1337"/>
      <c r="CJT10" s="1337"/>
      <c r="CJU10" s="1337"/>
      <c r="CJV10" s="1337"/>
      <c r="CJW10" s="1337"/>
      <c r="CJX10" s="1338"/>
      <c r="CJY10" s="1339"/>
      <c r="CJZ10" s="1340"/>
      <c r="CKA10" s="1340"/>
      <c r="CKB10" s="1340"/>
      <c r="CKC10" s="1341"/>
      <c r="CKD10" s="1342"/>
      <c r="CKE10" s="1336"/>
      <c r="CKF10" s="1336"/>
      <c r="CKG10" s="1336"/>
      <c r="CKH10" s="1336"/>
      <c r="CKI10" s="1337"/>
      <c r="CKJ10" s="1337"/>
      <c r="CKK10" s="1337"/>
      <c r="CKL10" s="1337"/>
      <c r="CKM10" s="1337"/>
      <c r="CKN10" s="1338"/>
      <c r="CKO10" s="1339"/>
      <c r="CKP10" s="1340"/>
      <c r="CKQ10" s="1340"/>
      <c r="CKR10" s="1340"/>
      <c r="CKS10" s="1341"/>
      <c r="CKT10" s="1342"/>
      <c r="CKU10" s="1336"/>
      <c r="CKV10" s="1336"/>
      <c r="CKW10" s="1336"/>
      <c r="CKX10" s="1336"/>
      <c r="CKY10" s="1337"/>
      <c r="CKZ10" s="1337"/>
      <c r="CLA10" s="1337"/>
      <c r="CLB10" s="1337"/>
      <c r="CLC10" s="1337"/>
      <c r="CLD10" s="1338"/>
      <c r="CLE10" s="1339"/>
      <c r="CLF10" s="1340"/>
      <c r="CLG10" s="1340"/>
      <c r="CLH10" s="1340"/>
      <c r="CLI10" s="1341"/>
      <c r="CLJ10" s="1342"/>
      <c r="CLK10" s="1336"/>
      <c r="CLL10" s="1336"/>
      <c r="CLM10" s="1336"/>
      <c r="CLN10" s="1336"/>
      <c r="CLO10" s="1337"/>
      <c r="CLP10" s="1337"/>
      <c r="CLQ10" s="1337"/>
      <c r="CLR10" s="1337"/>
      <c r="CLS10" s="1337"/>
      <c r="CLT10" s="1338"/>
      <c r="CLU10" s="1339"/>
      <c r="CLV10" s="1340"/>
      <c r="CLW10" s="1340"/>
      <c r="CLX10" s="1340"/>
      <c r="CLY10" s="1341"/>
      <c r="CLZ10" s="1342"/>
      <c r="CMA10" s="1336"/>
      <c r="CMB10" s="1336"/>
      <c r="CMC10" s="1336"/>
      <c r="CMD10" s="1336"/>
      <c r="CME10" s="1337"/>
      <c r="CMF10" s="1337"/>
      <c r="CMG10" s="1337"/>
      <c r="CMH10" s="1337"/>
      <c r="CMI10" s="1337"/>
      <c r="CMJ10" s="1338"/>
      <c r="CMK10" s="1339"/>
      <c r="CML10" s="1340"/>
      <c r="CMM10" s="1340"/>
      <c r="CMN10" s="1340"/>
      <c r="CMO10" s="1341"/>
      <c r="CMP10" s="1342"/>
      <c r="CMQ10" s="1336"/>
      <c r="CMR10" s="1336"/>
      <c r="CMS10" s="1336"/>
      <c r="CMT10" s="1336"/>
      <c r="CMU10" s="1337"/>
      <c r="CMV10" s="1337"/>
      <c r="CMW10" s="1337"/>
      <c r="CMX10" s="1337"/>
      <c r="CMY10" s="1337"/>
      <c r="CMZ10" s="1338"/>
      <c r="CNA10" s="1339"/>
      <c r="CNB10" s="1340"/>
      <c r="CNC10" s="1340"/>
      <c r="CND10" s="1340"/>
      <c r="CNE10" s="1341"/>
      <c r="CNF10" s="1342"/>
      <c r="CNG10" s="1336"/>
      <c r="CNH10" s="1336"/>
      <c r="CNI10" s="1336"/>
      <c r="CNJ10" s="1336"/>
      <c r="CNK10" s="1337"/>
      <c r="CNL10" s="1337"/>
      <c r="CNM10" s="1337"/>
      <c r="CNN10" s="1337"/>
      <c r="CNO10" s="1337"/>
      <c r="CNP10" s="1338"/>
      <c r="CNQ10" s="1339"/>
      <c r="CNR10" s="1340"/>
      <c r="CNS10" s="1340"/>
      <c r="CNT10" s="1340"/>
      <c r="CNU10" s="1341"/>
      <c r="CNV10" s="1342"/>
      <c r="CNW10" s="1336"/>
      <c r="CNX10" s="1336"/>
      <c r="CNY10" s="1336"/>
      <c r="CNZ10" s="1336"/>
      <c r="COA10" s="1337"/>
      <c r="COB10" s="1337"/>
      <c r="COC10" s="1337"/>
      <c r="COD10" s="1337"/>
      <c r="COE10" s="1337"/>
      <c r="COF10" s="1338"/>
      <c r="COG10" s="1339"/>
      <c r="COH10" s="1340"/>
      <c r="COI10" s="1340"/>
      <c r="COJ10" s="1340"/>
      <c r="COK10" s="1341"/>
      <c r="COL10" s="1342"/>
      <c r="COM10" s="1336"/>
      <c r="CON10" s="1336"/>
      <c r="COO10" s="1336"/>
      <c r="COP10" s="1336"/>
      <c r="COQ10" s="1337"/>
      <c r="COR10" s="1337"/>
      <c r="COS10" s="1337"/>
      <c r="COT10" s="1337"/>
      <c r="COU10" s="1337"/>
      <c r="COV10" s="1338"/>
      <c r="COW10" s="1339"/>
      <c r="COX10" s="1340"/>
      <c r="COY10" s="1340"/>
      <c r="COZ10" s="1340"/>
      <c r="CPA10" s="1341"/>
      <c r="CPB10" s="1342"/>
      <c r="CPC10" s="1336"/>
      <c r="CPD10" s="1336"/>
      <c r="CPE10" s="1336"/>
      <c r="CPF10" s="1336"/>
      <c r="CPG10" s="1337"/>
      <c r="CPH10" s="1337"/>
      <c r="CPI10" s="1337"/>
      <c r="CPJ10" s="1337"/>
      <c r="CPK10" s="1337"/>
      <c r="CPL10" s="1338"/>
      <c r="CPM10" s="1339"/>
      <c r="CPN10" s="1340"/>
      <c r="CPO10" s="1340"/>
      <c r="CPP10" s="1340"/>
      <c r="CPQ10" s="1341"/>
      <c r="CPR10" s="1342"/>
      <c r="CPS10" s="1336"/>
      <c r="CPT10" s="1336"/>
      <c r="CPU10" s="1336"/>
      <c r="CPV10" s="1336"/>
      <c r="CPW10" s="1337"/>
      <c r="CPX10" s="1337"/>
      <c r="CPY10" s="1337"/>
      <c r="CPZ10" s="1337"/>
      <c r="CQA10" s="1337"/>
      <c r="CQB10" s="1338"/>
      <c r="CQC10" s="1339"/>
      <c r="CQD10" s="1340"/>
      <c r="CQE10" s="1340"/>
      <c r="CQF10" s="1340"/>
      <c r="CQG10" s="1341"/>
      <c r="CQH10" s="1342"/>
      <c r="CQI10" s="1336"/>
      <c r="CQJ10" s="1336"/>
      <c r="CQK10" s="1336"/>
      <c r="CQL10" s="1336"/>
      <c r="CQM10" s="1337"/>
      <c r="CQN10" s="1337"/>
      <c r="CQO10" s="1337"/>
      <c r="CQP10" s="1337"/>
      <c r="CQQ10" s="1337"/>
      <c r="CQR10" s="1338"/>
      <c r="CQS10" s="1339"/>
      <c r="CQT10" s="1340"/>
      <c r="CQU10" s="1340"/>
      <c r="CQV10" s="1340"/>
      <c r="CQW10" s="1341"/>
      <c r="CQX10" s="1342"/>
      <c r="CQY10" s="1336"/>
      <c r="CQZ10" s="1336"/>
      <c r="CRA10" s="1336"/>
      <c r="CRB10" s="1336"/>
      <c r="CRC10" s="1337"/>
      <c r="CRD10" s="1337"/>
      <c r="CRE10" s="1337"/>
      <c r="CRF10" s="1337"/>
      <c r="CRG10" s="1337"/>
      <c r="CRH10" s="1338"/>
      <c r="CRI10" s="1339"/>
      <c r="CRJ10" s="1340"/>
      <c r="CRK10" s="1340"/>
      <c r="CRL10" s="1340"/>
      <c r="CRM10" s="1341"/>
      <c r="CRN10" s="1342"/>
      <c r="CRO10" s="1336"/>
      <c r="CRP10" s="1336"/>
      <c r="CRQ10" s="1336"/>
      <c r="CRR10" s="1336"/>
      <c r="CRS10" s="1337"/>
      <c r="CRT10" s="1337"/>
      <c r="CRU10" s="1337"/>
      <c r="CRV10" s="1337"/>
      <c r="CRW10" s="1337"/>
      <c r="CRX10" s="1338"/>
      <c r="CRY10" s="1339"/>
      <c r="CRZ10" s="1340"/>
      <c r="CSA10" s="1340"/>
      <c r="CSB10" s="1340"/>
      <c r="CSC10" s="1341"/>
      <c r="CSD10" s="1342"/>
      <c r="CSE10" s="1336"/>
      <c r="CSF10" s="1336"/>
      <c r="CSG10" s="1336"/>
      <c r="CSH10" s="1336"/>
      <c r="CSI10" s="1337"/>
      <c r="CSJ10" s="1337"/>
      <c r="CSK10" s="1337"/>
      <c r="CSL10" s="1337"/>
      <c r="CSM10" s="1337"/>
      <c r="CSN10" s="1338"/>
      <c r="CSO10" s="1339"/>
      <c r="CSP10" s="1340"/>
      <c r="CSQ10" s="1340"/>
      <c r="CSR10" s="1340"/>
      <c r="CSS10" s="1341"/>
      <c r="CST10" s="1342"/>
      <c r="CSU10" s="1336"/>
      <c r="CSV10" s="1336"/>
      <c r="CSW10" s="1336"/>
      <c r="CSX10" s="1336"/>
      <c r="CSY10" s="1337"/>
      <c r="CSZ10" s="1337"/>
      <c r="CTA10" s="1337"/>
      <c r="CTB10" s="1337"/>
      <c r="CTC10" s="1337"/>
      <c r="CTD10" s="1338"/>
      <c r="CTE10" s="1339"/>
      <c r="CTF10" s="1340"/>
      <c r="CTG10" s="1340"/>
      <c r="CTH10" s="1340"/>
      <c r="CTI10" s="1341"/>
      <c r="CTJ10" s="1342"/>
      <c r="CTK10" s="1336"/>
      <c r="CTL10" s="1336"/>
      <c r="CTM10" s="1336"/>
      <c r="CTN10" s="1336"/>
      <c r="CTO10" s="1337"/>
      <c r="CTP10" s="1337"/>
      <c r="CTQ10" s="1337"/>
      <c r="CTR10" s="1337"/>
      <c r="CTS10" s="1337"/>
      <c r="CTT10" s="1338"/>
      <c r="CTU10" s="1339"/>
      <c r="CTV10" s="1340"/>
      <c r="CTW10" s="1340"/>
      <c r="CTX10" s="1340"/>
      <c r="CTY10" s="1341"/>
      <c r="CTZ10" s="1342"/>
      <c r="CUA10" s="1336"/>
      <c r="CUB10" s="1336"/>
      <c r="CUC10" s="1336"/>
      <c r="CUD10" s="1336"/>
      <c r="CUE10" s="1337"/>
      <c r="CUF10" s="1337"/>
      <c r="CUG10" s="1337"/>
      <c r="CUH10" s="1337"/>
      <c r="CUI10" s="1337"/>
      <c r="CUJ10" s="1338"/>
      <c r="CUK10" s="1339"/>
      <c r="CUL10" s="1340"/>
      <c r="CUM10" s="1340"/>
      <c r="CUN10" s="1340"/>
      <c r="CUO10" s="1341"/>
      <c r="CUP10" s="1342"/>
      <c r="CUQ10" s="1336"/>
      <c r="CUR10" s="1336"/>
      <c r="CUS10" s="1336"/>
      <c r="CUT10" s="1336"/>
      <c r="CUU10" s="1337"/>
      <c r="CUV10" s="1337"/>
      <c r="CUW10" s="1337"/>
      <c r="CUX10" s="1337"/>
      <c r="CUY10" s="1337"/>
      <c r="CUZ10" s="1338"/>
      <c r="CVA10" s="1339"/>
      <c r="CVB10" s="1340"/>
      <c r="CVC10" s="1340"/>
      <c r="CVD10" s="1340"/>
      <c r="CVE10" s="1341"/>
      <c r="CVF10" s="1342"/>
      <c r="CVG10" s="1336"/>
      <c r="CVH10" s="1336"/>
      <c r="CVI10" s="1336"/>
      <c r="CVJ10" s="1336"/>
      <c r="CVK10" s="1337"/>
      <c r="CVL10" s="1337"/>
      <c r="CVM10" s="1337"/>
      <c r="CVN10" s="1337"/>
      <c r="CVO10" s="1337"/>
      <c r="CVP10" s="1338"/>
      <c r="CVQ10" s="1339"/>
      <c r="CVR10" s="1340"/>
      <c r="CVS10" s="1340"/>
      <c r="CVT10" s="1340"/>
      <c r="CVU10" s="1341"/>
      <c r="CVV10" s="1342"/>
      <c r="CVW10" s="1336"/>
      <c r="CVX10" s="1336"/>
      <c r="CVY10" s="1336"/>
      <c r="CVZ10" s="1336"/>
      <c r="CWA10" s="1337"/>
      <c r="CWB10" s="1337"/>
      <c r="CWC10" s="1337"/>
      <c r="CWD10" s="1337"/>
      <c r="CWE10" s="1337"/>
      <c r="CWF10" s="1338"/>
      <c r="CWG10" s="1339"/>
      <c r="CWH10" s="1340"/>
      <c r="CWI10" s="1340"/>
      <c r="CWJ10" s="1340"/>
      <c r="CWK10" s="1341"/>
      <c r="CWL10" s="1342"/>
      <c r="CWM10" s="1336"/>
      <c r="CWN10" s="1336"/>
      <c r="CWO10" s="1336"/>
      <c r="CWP10" s="1336"/>
      <c r="CWQ10" s="1337"/>
      <c r="CWR10" s="1337"/>
      <c r="CWS10" s="1337"/>
      <c r="CWT10" s="1337"/>
      <c r="CWU10" s="1337"/>
      <c r="CWV10" s="1338"/>
      <c r="CWW10" s="1339"/>
      <c r="CWX10" s="1340"/>
      <c r="CWY10" s="1340"/>
      <c r="CWZ10" s="1340"/>
      <c r="CXA10" s="1341"/>
      <c r="CXB10" s="1342"/>
      <c r="CXC10" s="1336"/>
      <c r="CXD10" s="1336"/>
      <c r="CXE10" s="1336"/>
      <c r="CXF10" s="1336"/>
      <c r="CXG10" s="1337"/>
      <c r="CXH10" s="1337"/>
      <c r="CXI10" s="1337"/>
      <c r="CXJ10" s="1337"/>
      <c r="CXK10" s="1337"/>
      <c r="CXL10" s="1338"/>
      <c r="CXM10" s="1339"/>
      <c r="CXN10" s="1340"/>
      <c r="CXO10" s="1340"/>
      <c r="CXP10" s="1340"/>
      <c r="CXQ10" s="1341"/>
      <c r="CXR10" s="1342"/>
      <c r="CXS10" s="1336"/>
      <c r="CXT10" s="1336"/>
      <c r="CXU10" s="1336"/>
      <c r="CXV10" s="1336"/>
      <c r="CXW10" s="1337"/>
      <c r="CXX10" s="1337"/>
      <c r="CXY10" s="1337"/>
      <c r="CXZ10" s="1337"/>
      <c r="CYA10" s="1337"/>
      <c r="CYB10" s="1338"/>
      <c r="CYC10" s="1339"/>
      <c r="CYD10" s="1340"/>
      <c r="CYE10" s="1340"/>
      <c r="CYF10" s="1340"/>
      <c r="CYG10" s="1341"/>
      <c r="CYH10" s="1342"/>
      <c r="CYI10" s="1336"/>
      <c r="CYJ10" s="1336"/>
      <c r="CYK10" s="1336"/>
      <c r="CYL10" s="1336"/>
      <c r="CYM10" s="1337"/>
      <c r="CYN10" s="1337"/>
      <c r="CYO10" s="1337"/>
      <c r="CYP10" s="1337"/>
      <c r="CYQ10" s="1337"/>
      <c r="CYR10" s="1338"/>
      <c r="CYS10" s="1339"/>
      <c r="CYT10" s="1340"/>
      <c r="CYU10" s="1340"/>
      <c r="CYV10" s="1340"/>
      <c r="CYW10" s="1341"/>
      <c r="CYX10" s="1342"/>
      <c r="CYY10" s="1336"/>
      <c r="CYZ10" s="1336"/>
      <c r="CZA10" s="1336"/>
      <c r="CZB10" s="1336"/>
      <c r="CZC10" s="1337"/>
      <c r="CZD10" s="1337"/>
      <c r="CZE10" s="1337"/>
      <c r="CZF10" s="1337"/>
      <c r="CZG10" s="1337"/>
      <c r="CZH10" s="1338"/>
      <c r="CZI10" s="1339"/>
      <c r="CZJ10" s="1340"/>
      <c r="CZK10" s="1340"/>
      <c r="CZL10" s="1340"/>
      <c r="CZM10" s="1341"/>
      <c r="CZN10" s="1342"/>
      <c r="CZO10" s="1336"/>
      <c r="CZP10" s="1336"/>
      <c r="CZQ10" s="1336"/>
      <c r="CZR10" s="1336"/>
      <c r="CZS10" s="1337"/>
      <c r="CZT10" s="1337"/>
      <c r="CZU10" s="1337"/>
      <c r="CZV10" s="1337"/>
      <c r="CZW10" s="1337"/>
      <c r="CZX10" s="1338"/>
      <c r="CZY10" s="1339"/>
      <c r="CZZ10" s="1340"/>
      <c r="DAA10" s="1340"/>
      <c r="DAB10" s="1340"/>
      <c r="DAC10" s="1341"/>
      <c r="DAD10" s="1342"/>
      <c r="DAE10" s="1336"/>
      <c r="DAF10" s="1336"/>
      <c r="DAG10" s="1336"/>
      <c r="DAH10" s="1336"/>
      <c r="DAI10" s="1337"/>
      <c r="DAJ10" s="1337"/>
      <c r="DAK10" s="1337"/>
      <c r="DAL10" s="1337"/>
      <c r="DAM10" s="1337"/>
      <c r="DAN10" s="1338"/>
      <c r="DAO10" s="1339"/>
      <c r="DAP10" s="1340"/>
      <c r="DAQ10" s="1340"/>
      <c r="DAR10" s="1340"/>
      <c r="DAS10" s="1341"/>
      <c r="DAT10" s="1342"/>
      <c r="DAU10" s="1336"/>
      <c r="DAV10" s="1336"/>
      <c r="DAW10" s="1336"/>
      <c r="DAX10" s="1336"/>
      <c r="DAY10" s="1337"/>
      <c r="DAZ10" s="1337"/>
      <c r="DBA10" s="1337"/>
      <c r="DBB10" s="1337"/>
      <c r="DBC10" s="1337"/>
      <c r="DBD10" s="1338"/>
      <c r="DBE10" s="1339"/>
      <c r="DBF10" s="1340"/>
      <c r="DBG10" s="1340"/>
      <c r="DBH10" s="1340"/>
      <c r="DBI10" s="1341"/>
      <c r="DBJ10" s="1342"/>
      <c r="DBK10" s="1336"/>
      <c r="DBL10" s="1336"/>
      <c r="DBM10" s="1336"/>
      <c r="DBN10" s="1336"/>
      <c r="DBO10" s="1337"/>
      <c r="DBP10" s="1337"/>
      <c r="DBQ10" s="1337"/>
      <c r="DBR10" s="1337"/>
      <c r="DBS10" s="1337"/>
      <c r="DBT10" s="1338"/>
      <c r="DBU10" s="1339"/>
      <c r="DBV10" s="1340"/>
      <c r="DBW10" s="1340"/>
      <c r="DBX10" s="1340"/>
      <c r="DBY10" s="1341"/>
      <c r="DBZ10" s="1342"/>
      <c r="DCA10" s="1336"/>
      <c r="DCB10" s="1336"/>
      <c r="DCC10" s="1336"/>
      <c r="DCD10" s="1336"/>
      <c r="DCE10" s="1337"/>
      <c r="DCF10" s="1337"/>
      <c r="DCG10" s="1337"/>
      <c r="DCH10" s="1337"/>
      <c r="DCI10" s="1337"/>
      <c r="DCJ10" s="1338"/>
      <c r="DCK10" s="1339"/>
      <c r="DCL10" s="1340"/>
      <c r="DCM10" s="1340"/>
      <c r="DCN10" s="1340"/>
      <c r="DCO10" s="1341"/>
      <c r="DCP10" s="1342"/>
      <c r="DCQ10" s="1336"/>
      <c r="DCR10" s="1336"/>
      <c r="DCS10" s="1336"/>
      <c r="DCT10" s="1336"/>
      <c r="DCU10" s="1337"/>
      <c r="DCV10" s="1337"/>
      <c r="DCW10" s="1337"/>
      <c r="DCX10" s="1337"/>
      <c r="DCY10" s="1337"/>
      <c r="DCZ10" s="1338"/>
      <c r="DDA10" s="1339"/>
      <c r="DDB10" s="1340"/>
      <c r="DDC10" s="1340"/>
      <c r="DDD10" s="1340"/>
      <c r="DDE10" s="1341"/>
      <c r="DDF10" s="1342"/>
      <c r="DDG10" s="1336"/>
      <c r="DDH10" s="1336"/>
      <c r="DDI10" s="1336"/>
      <c r="DDJ10" s="1336"/>
      <c r="DDK10" s="1337"/>
      <c r="DDL10" s="1337"/>
      <c r="DDM10" s="1337"/>
      <c r="DDN10" s="1337"/>
      <c r="DDO10" s="1337"/>
      <c r="DDP10" s="1338"/>
      <c r="DDQ10" s="1339"/>
      <c r="DDR10" s="1340"/>
      <c r="DDS10" s="1340"/>
      <c r="DDT10" s="1340"/>
      <c r="DDU10" s="1341"/>
      <c r="DDV10" s="1342"/>
      <c r="DDW10" s="1336"/>
      <c r="DDX10" s="1336"/>
      <c r="DDY10" s="1336"/>
      <c r="DDZ10" s="1336"/>
      <c r="DEA10" s="1337"/>
      <c r="DEB10" s="1337"/>
      <c r="DEC10" s="1337"/>
      <c r="DED10" s="1337"/>
      <c r="DEE10" s="1337"/>
      <c r="DEF10" s="1338"/>
      <c r="DEG10" s="1339"/>
      <c r="DEH10" s="1340"/>
      <c r="DEI10" s="1340"/>
      <c r="DEJ10" s="1340"/>
      <c r="DEK10" s="1341"/>
      <c r="DEL10" s="1342"/>
      <c r="DEM10" s="1336"/>
      <c r="DEN10" s="1336"/>
      <c r="DEO10" s="1336"/>
      <c r="DEP10" s="1336"/>
      <c r="DEQ10" s="1337"/>
      <c r="DER10" s="1337"/>
      <c r="DES10" s="1337"/>
      <c r="DET10" s="1337"/>
      <c r="DEU10" s="1337"/>
      <c r="DEV10" s="1338"/>
      <c r="DEW10" s="1339"/>
      <c r="DEX10" s="1340"/>
      <c r="DEY10" s="1340"/>
      <c r="DEZ10" s="1340"/>
      <c r="DFA10" s="1341"/>
      <c r="DFB10" s="1342"/>
      <c r="DFC10" s="1336"/>
      <c r="DFD10" s="1336"/>
      <c r="DFE10" s="1336"/>
      <c r="DFF10" s="1336"/>
      <c r="DFG10" s="1337"/>
      <c r="DFH10" s="1337"/>
      <c r="DFI10" s="1337"/>
      <c r="DFJ10" s="1337"/>
      <c r="DFK10" s="1337"/>
      <c r="DFL10" s="1338"/>
      <c r="DFM10" s="1339"/>
      <c r="DFN10" s="1340"/>
      <c r="DFO10" s="1340"/>
      <c r="DFP10" s="1340"/>
      <c r="DFQ10" s="1341"/>
      <c r="DFR10" s="1342"/>
      <c r="DFS10" s="1336"/>
      <c r="DFT10" s="1336"/>
      <c r="DFU10" s="1336"/>
      <c r="DFV10" s="1336"/>
      <c r="DFW10" s="1337"/>
      <c r="DFX10" s="1337"/>
      <c r="DFY10" s="1337"/>
      <c r="DFZ10" s="1337"/>
      <c r="DGA10" s="1337"/>
      <c r="DGB10" s="1338"/>
      <c r="DGC10" s="1339"/>
      <c r="DGD10" s="1340"/>
      <c r="DGE10" s="1340"/>
      <c r="DGF10" s="1340"/>
      <c r="DGG10" s="1341"/>
      <c r="DGH10" s="1342"/>
      <c r="DGI10" s="1336"/>
      <c r="DGJ10" s="1336"/>
      <c r="DGK10" s="1336"/>
      <c r="DGL10" s="1336"/>
      <c r="DGM10" s="1337"/>
      <c r="DGN10" s="1337"/>
      <c r="DGO10" s="1337"/>
      <c r="DGP10" s="1337"/>
      <c r="DGQ10" s="1337"/>
      <c r="DGR10" s="1338"/>
      <c r="DGS10" s="1339"/>
      <c r="DGT10" s="1340"/>
      <c r="DGU10" s="1340"/>
      <c r="DGV10" s="1340"/>
      <c r="DGW10" s="1341"/>
      <c r="DGX10" s="1342"/>
      <c r="DGY10" s="1336"/>
      <c r="DGZ10" s="1336"/>
      <c r="DHA10" s="1336"/>
      <c r="DHB10" s="1336"/>
      <c r="DHC10" s="1337"/>
      <c r="DHD10" s="1337"/>
      <c r="DHE10" s="1337"/>
      <c r="DHF10" s="1337"/>
      <c r="DHG10" s="1337"/>
      <c r="DHH10" s="1338"/>
      <c r="DHI10" s="1339"/>
      <c r="DHJ10" s="1340"/>
      <c r="DHK10" s="1340"/>
      <c r="DHL10" s="1340"/>
      <c r="DHM10" s="1341"/>
      <c r="DHN10" s="1342"/>
      <c r="DHO10" s="1336"/>
      <c r="DHP10" s="1336"/>
      <c r="DHQ10" s="1336"/>
      <c r="DHR10" s="1336"/>
      <c r="DHS10" s="1337"/>
      <c r="DHT10" s="1337"/>
      <c r="DHU10" s="1337"/>
      <c r="DHV10" s="1337"/>
      <c r="DHW10" s="1337"/>
      <c r="DHX10" s="1338"/>
      <c r="DHY10" s="1339"/>
      <c r="DHZ10" s="1340"/>
      <c r="DIA10" s="1340"/>
      <c r="DIB10" s="1340"/>
      <c r="DIC10" s="1341"/>
      <c r="DID10" s="1342"/>
      <c r="DIE10" s="1336"/>
      <c r="DIF10" s="1336"/>
      <c r="DIG10" s="1336"/>
      <c r="DIH10" s="1336"/>
      <c r="DII10" s="1337"/>
      <c r="DIJ10" s="1337"/>
      <c r="DIK10" s="1337"/>
      <c r="DIL10" s="1337"/>
      <c r="DIM10" s="1337"/>
      <c r="DIN10" s="1338"/>
      <c r="DIO10" s="1339"/>
      <c r="DIP10" s="1340"/>
      <c r="DIQ10" s="1340"/>
      <c r="DIR10" s="1340"/>
      <c r="DIS10" s="1341"/>
      <c r="DIT10" s="1342"/>
      <c r="DIU10" s="1336"/>
      <c r="DIV10" s="1336"/>
      <c r="DIW10" s="1336"/>
      <c r="DIX10" s="1336"/>
      <c r="DIY10" s="1337"/>
      <c r="DIZ10" s="1337"/>
      <c r="DJA10" s="1337"/>
      <c r="DJB10" s="1337"/>
      <c r="DJC10" s="1337"/>
      <c r="DJD10" s="1338"/>
      <c r="DJE10" s="1339"/>
      <c r="DJF10" s="1340"/>
      <c r="DJG10" s="1340"/>
      <c r="DJH10" s="1340"/>
      <c r="DJI10" s="1341"/>
      <c r="DJJ10" s="1342"/>
      <c r="DJK10" s="1336"/>
      <c r="DJL10" s="1336"/>
      <c r="DJM10" s="1336"/>
      <c r="DJN10" s="1336"/>
      <c r="DJO10" s="1337"/>
      <c r="DJP10" s="1337"/>
      <c r="DJQ10" s="1337"/>
      <c r="DJR10" s="1337"/>
      <c r="DJS10" s="1337"/>
      <c r="DJT10" s="1338"/>
      <c r="DJU10" s="1339"/>
      <c r="DJV10" s="1340"/>
      <c r="DJW10" s="1340"/>
      <c r="DJX10" s="1340"/>
      <c r="DJY10" s="1341"/>
      <c r="DJZ10" s="1342"/>
      <c r="DKA10" s="1336"/>
      <c r="DKB10" s="1336"/>
      <c r="DKC10" s="1336"/>
      <c r="DKD10" s="1336"/>
      <c r="DKE10" s="1337"/>
      <c r="DKF10" s="1337"/>
      <c r="DKG10" s="1337"/>
      <c r="DKH10" s="1337"/>
      <c r="DKI10" s="1337"/>
      <c r="DKJ10" s="1338"/>
      <c r="DKK10" s="1339"/>
      <c r="DKL10" s="1340"/>
      <c r="DKM10" s="1340"/>
      <c r="DKN10" s="1340"/>
      <c r="DKO10" s="1341"/>
      <c r="DKP10" s="1342"/>
      <c r="DKQ10" s="1336"/>
      <c r="DKR10" s="1336"/>
      <c r="DKS10" s="1336"/>
      <c r="DKT10" s="1336"/>
      <c r="DKU10" s="1337"/>
      <c r="DKV10" s="1337"/>
      <c r="DKW10" s="1337"/>
      <c r="DKX10" s="1337"/>
      <c r="DKY10" s="1337"/>
      <c r="DKZ10" s="1338"/>
      <c r="DLA10" s="1339"/>
      <c r="DLB10" s="1340"/>
      <c r="DLC10" s="1340"/>
      <c r="DLD10" s="1340"/>
      <c r="DLE10" s="1341"/>
      <c r="DLF10" s="1342"/>
      <c r="DLG10" s="1336"/>
      <c r="DLH10" s="1336"/>
      <c r="DLI10" s="1336"/>
      <c r="DLJ10" s="1336"/>
      <c r="DLK10" s="1337"/>
      <c r="DLL10" s="1337"/>
      <c r="DLM10" s="1337"/>
      <c r="DLN10" s="1337"/>
      <c r="DLO10" s="1337"/>
      <c r="DLP10" s="1338"/>
      <c r="DLQ10" s="1339"/>
      <c r="DLR10" s="1340"/>
      <c r="DLS10" s="1340"/>
      <c r="DLT10" s="1340"/>
      <c r="DLU10" s="1341"/>
      <c r="DLV10" s="1342"/>
      <c r="DLW10" s="1336"/>
      <c r="DLX10" s="1336"/>
      <c r="DLY10" s="1336"/>
      <c r="DLZ10" s="1336"/>
      <c r="DMA10" s="1337"/>
      <c r="DMB10" s="1337"/>
      <c r="DMC10" s="1337"/>
      <c r="DMD10" s="1337"/>
      <c r="DME10" s="1337"/>
      <c r="DMF10" s="1338"/>
      <c r="DMG10" s="1339"/>
      <c r="DMH10" s="1340"/>
      <c r="DMI10" s="1340"/>
      <c r="DMJ10" s="1340"/>
      <c r="DMK10" s="1341"/>
      <c r="DML10" s="1342"/>
      <c r="DMM10" s="1336"/>
      <c r="DMN10" s="1336"/>
      <c r="DMO10" s="1336"/>
      <c r="DMP10" s="1336"/>
      <c r="DMQ10" s="1337"/>
      <c r="DMR10" s="1337"/>
      <c r="DMS10" s="1337"/>
      <c r="DMT10" s="1337"/>
      <c r="DMU10" s="1337"/>
      <c r="DMV10" s="1338"/>
      <c r="DMW10" s="1339"/>
      <c r="DMX10" s="1340"/>
      <c r="DMY10" s="1340"/>
      <c r="DMZ10" s="1340"/>
      <c r="DNA10" s="1341"/>
      <c r="DNB10" s="1342"/>
      <c r="DNC10" s="1336"/>
      <c r="DND10" s="1336"/>
      <c r="DNE10" s="1336"/>
      <c r="DNF10" s="1336"/>
      <c r="DNG10" s="1337"/>
      <c r="DNH10" s="1337"/>
      <c r="DNI10" s="1337"/>
      <c r="DNJ10" s="1337"/>
      <c r="DNK10" s="1337"/>
      <c r="DNL10" s="1338"/>
      <c r="DNM10" s="1339"/>
      <c r="DNN10" s="1340"/>
      <c r="DNO10" s="1340"/>
      <c r="DNP10" s="1340"/>
      <c r="DNQ10" s="1341"/>
      <c r="DNR10" s="1342"/>
      <c r="DNS10" s="1336"/>
      <c r="DNT10" s="1336"/>
      <c r="DNU10" s="1336"/>
      <c r="DNV10" s="1336"/>
      <c r="DNW10" s="1337"/>
      <c r="DNX10" s="1337"/>
      <c r="DNY10" s="1337"/>
      <c r="DNZ10" s="1337"/>
      <c r="DOA10" s="1337"/>
      <c r="DOB10" s="1338"/>
      <c r="DOC10" s="1339"/>
      <c r="DOD10" s="1340"/>
      <c r="DOE10" s="1340"/>
      <c r="DOF10" s="1340"/>
      <c r="DOG10" s="1341"/>
      <c r="DOH10" s="1342"/>
      <c r="DOI10" s="1336"/>
      <c r="DOJ10" s="1336"/>
      <c r="DOK10" s="1336"/>
      <c r="DOL10" s="1336"/>
      <c r="DOM10" s="1337"/>
      <c r="DON10" s="1337"/>
      <c r="DOO10" s="1337"/>
      <c r="DOP10" s="1337"/>
      <c r="DOQ10" s="1337"/>
      <c r="DOR10" s="1338"/>
      <c r="DOS10" s="1339"/>
      <c r="DOT10" s="1340"/>
      <c r="DOU10" s="1340"/>
      <c r="DOV10" s="1340"/>
      <c r="DOW10" s="1341"/>
      <c r="DOX10" s="1342"/>
      <c r="DOY10" s="1336"/>
      <c r="DOZ10" s="1336"/>
      <c r="DPA10" s="1336"/>
      <c r="DPB10" s="1336"/>
      <c r="DPC10" s="1337"/>
      <c r="DPD10" s="1337"/>
      <c r="DPE10" s="1337"/>
      <c r="DPF10" s="1337"/>
      <c r="DPG10" s="1337"/>
      <c r="DPH10" s="1338"/>
      <c r="DPI10" s="1339"/>
      <c r="DPJ10" s="1340"/>
      <c r="DPK10" s="1340"/>
      <c r="DPL10" s="1340"/>
      <c r="DPM10" s="1341"/>
      <c r="DPN10" s="1342"/>
      <c r="DPO10" s="1336"/>
      <c r="DPP10" s="1336"/>
      <c r="DPQ10" s="1336"/>
      <c r="DPR10" s="1336"/>
      <c r="DPS10" s="1337"/>
      <c r="DPT10" s="1337"/>
      <c r="DPU10" s="1337"/>
      <c r="DPV10" s="1337"/>
      <c r="DPW10" s="1337"/>
      <c r="DPX10" s="1338"/>
      <c r="DPY10" s="1339"/>
      <c r="DPZ10" s="1340"/>
      <c r="DQA10" s="1340"/>
      <c r="DQB10" s="1340"/>
      <c r="DQC10" s="1341"/>
      <c r="DQD10" s="1342"/>
      <c r="DQE10" s="1336"/>
      <c r="DQF10" s="1336"/>
      <c r="DQG10" s="1336"/>
      <c r="DQH10" s="1336"/>
      <c r="DQI10" s="1337"/>
      <c r="DQJ10" s="1337"/>
      <c r="DQK10" s="1337"/>
      <c r="DQL10" s="1337"/>
      <c r="DQM10" s="1337"/>
      <c r="DQN10" s="1338"/>
      <c r="DQO10" s="1339"/>
      <c r="DQP10" s="1340"/>
      <c r="DQQ10" s="1340"/>
      <c r="DQR10" s="1340"/>
      <c r="DQS10" s="1341"/>
      <c r="DQT10" s="1342"/>
      <c r="DQU10" s="1336"/>
      <c r="DQV10" s="1336"/>
      <c r="DQW10" s="1336"/>
      <c r="DQX10" s="1336"/>
      <c r="DQY10" s="1337"/>
      <c r="DQZ10" s="1337"/>
      <c r="DRA10" s="1337"/>
      <c r="DRB10" s="1337"/>
      <c r="DRC10" s="1337"/>
      <c r="DRD10" s="1338"/>
      <c r="DRE10" s="1339"/>
      <c r="DRF10" s="1340"/>
      <c r="DRG10" s="1340"/>
      <c r="DRH10" s="1340"/>
      <c r="DRI10" s="1341"/>
      <c r="DRJ10" s="1342"/>
      <c r="DRK10" s="1336"/>
      <c r="DRL10" s="1336"/>
      <c r="DRM10" s="1336"/>
      <c r="DRN10" s="1336"/>
      <c r="DRO10" s="1337"/>
      <c r="DRP10" s="1337"/>
      <c r="DRQ10" s="1337"/>
      <c r="DRR10" s="1337"/>
      <c r="DRS10" s="1337"/>
      <c r="DRT10" s="1338"/>
      <c r="DRU10" s="1339"/>
      <c r="DRV10" s="1340"/>
      <c r="DRW10" s="1340"/>
      <c r="DRX10" s="1340"/>
      <c r="DRY10" s="1341"/>
      <c r="DRZ10" s="1342"/>
      <c r="DSA10" s="1336"/>
      <c r="DSB10" s="1336"/>
      <c r="DSC10" s="1336"/>
      <c r="DSD10" s="1336"/>
      <c r="DSE10" s="1337"/>
      <c r="DSF10" s="1337"/>
      <c r="DSG10" s="1337"/>
      <c r="DSH10" s="1337"/>
      <c r="DSI10" s="1337"/>
      <c r="DSJ10" s="1338"/>
      <c r="DSK10" s="1339"/>
      <c r="DSL10" s="1340"/>
      <c r="DSM10" s="1340"/>
      <c r="DSN10" s="1340"/>
      <c r="DSO10" s="1341"/>
      <c r="DSP10" s="1342"/>
      <c r="DSQ10" s="1336"/>
      <c r="DSR10" s="1336"/>
      <c r="DSS10" s="1336"/>
      <c r="DST10" s="1336"/>
      <c r="DSU10" s="1337"/>
      <c r="DSV10" s="1337"/>
      <c r="DSW10" s="1337"/>
      <c r="DSX10" s="1337"/>
      <c r="DSY10" s="1337"/>
      <c r="DSZ10" s="1338"/>
      <c r="DTA10" s="1339"/>
      <c r="DTB10" s="1340"/>
      <c r="DTC10" s="1340"/>
      <c r="DTD10" s="1340"/>
      <c r="DTE10" s="1341"/>
      <c r="DTF10" s="1342"/>
      <c r="DTG10" s="1336"/>
      <c r="DTH10" s="1336"/>
      <c r="DTI10" s="1336"/>
      <c r="DTJ10" s="1336"/>
      <c r="DTK10" s="1337"/>
      <c r="DTL10" s="1337"/>
      <c r="DTM10" s="1337"/>
      <c r="DTN10" s="1337"/>
      <c r="DTO10" s="1337"/>
      <c r="DTP10" s="1338"/>
      <c r="DTQ10" s="1339"/>
      <c r="DTR10" s="1340"/>
      <c r="DTS10" s="1340"/>
      <c r="DTT10" s="1340"/>
      <c r="DTU10" s="1341"/>
      <c r="DTV10" s="1342"/>
      <c r="DTW10" s="1336"/>
      <c r="DTX10" s="1336"/>
      <c r="DTY10" s="1336"/>
      <c r="DTZ10" s="1336"/>
      <c r="DUA10" s="1337"/>
      <c r="DUB10" s="1337"/>
      <c r="DUC10" s="1337"/>
      <c r="DUD10" s="1337"/>
      <c r="DUE10" s="1337"/>
      <c r="DUF10" s="1338"/>
      <c r="DUG10" s="1339"/>
      <c r="DUH10" s="1340"/>
      <c r="DUI10" s="1340"/>
      <c r="DUJ10" s="1340"/>
      <c r="DUK10" s="1341"/>
      <c r="DUL10" s="1342"/>
      <c r="DUM10" s="1336"/>
      <c r="DUN10" s="1336"/>
      <c r="DUO10" s="1336"/>
      <c r="DUP10" s="1336"/>
      <c r="DUQ10" s="1337"/>
      <c r="DUR10" s="1337"/>
      <c r="DUS10" s="1337"/>
      <c r="DUT10" s="1337"/>
      <c r="DUU10" s="1337"/>
      <c r="DUV10" s="1338"/>
      <c r="DUW10" s="1339"/>
      <c r="DUX10" s="1340"/>
      <c r="DUY10" s="1340"/>
      <c r="DUZ10" s="1340"/>
      <c r="DVA10" s="1341"/>
      <c r="DVB10" s="1342"/>
      <c r="DVC10" s="1336"/>
      <c r="DVD10" s="1336"/>
      <c r="DVE10" s="1336"/>
      <c r="DVF10" s="1336"/>
      <c r="DVG10" s="1337"/>
      <c r="DVH10" s="1337"/>
      <c r="DVI10" s="1337"/>
      <c r="DVJ10" s="1337"/>
      <c r="DVK10" s="1337"/>
      <c r="DVL10" s="1338"/>
      <c r="DVM10" s="1339"/>
      <c r="DVN10" s="1340"/>
      <c r="DVO10" s="1340"/>
      <c r="DVP10" s="1340"/>
      <c r="DVQ10" s="1341"/>
      <c r="DVR10" s="1342"/>
      <c r="DVS10" s="1336"/>
      <c r="DVT10" s="1336"/>
      <c r="DVU10" s="1336"/>
      <c r="DVV10" s="1336"/>
      <c r="DVW10" s="1337"/>
      <c r="DVX10" s="1337"/>
      <c r="DVY10" s="1337"/>
      <c r="DVZ10" s="1337"/>
      <c r="DWA10" s="1337"/>
      <c r="DWB10" s="1338"/>
      <c r="DWC10" s="1339"/>
      <c r="DWD10" s="1340"/>
      <c r="DWE10" s="1340"/>
      <c r="DWF10" s="1340"/>
      <c r="DWG10" s="1341"/>
      <c r="DWH10" s="1342"/>
      <c r="DWI10" s="1336"/>
      <c r="DWJ10" s="1336"/>
      <c r="DWK10" s="1336"/>
      <c r="DWL10" s="1336"/>
      <c r="DWM10" s="1337"/>
      <c r="DWN10" s="1337"/>
      <c r="DWO10" s="1337"/>
      <c r="DWP10" s="1337"/>
      <c r="DWQ10" s="1337"/>
      <c r="DWR10" s="1338"/>
      <c r="DWS10" s="1339"/>
      <c r="DWT10" s="1340"/>
      <c r="DWU10" s="1340"/>
      <c r="DWV10" s="1340"/>
      <c r="DWW10" s="1341"/>
      <c r="DWX10" s="1342"/>
      <c r="DWY10" s="1336"/>
      <c r="DWZ10" s="1336"/>
      <c r="DXA10" s="1336"/>
      <c r="DXB10" s="1336"/>
      <c r="DXC10" s="1337"/>
      <c r="DXD10" s="1337"/>
      <c r="DXE10" s="1337"/>
      <c r="DXF10" s="1337"/>
      <c r="DXG10" s="1337"/>
      <c r="DXH10" s="1338"/>
      <c r="DXI10" s="1339"/>
      <c r="DXJ10" s="1340"/>
      <c r="DXK10" s="1340"/>
      <c r="DXL10" s="1340"/>
      <c r="DXM10" s="1341"/>
      <c r="DXN10" s="1342"/>
      <c r="DXO10" s="1336"/>
      <c r="DXP10" s="1336"/>
      <c r="DXQ10" s="1336"/>
      <c r="DXR10" s="1336"/>
      <c r="DXS10" s="1337"/>
      <c r="DXT10" s="1337"/>
      <c r="DXU10" s="1337"/>
      <c r="DXV10" s="1337"/>
      <c r="DXW10" s="1337"/>
      <c r="DXX10" s="1338"/>
      <c r="DXY10" s="1339"/>
      <c r="DXZ10" s="1340"/>
      <c r="DYA10" s="1340"/>
      <c r="DYB10" s="1340"/>
      <c r="DYC10" s="1341"/>
      <c r="DYD10" s="1342"/>
      <c r="DYE10" s="1336"/>
      <c r="DYF10" s="1336"/>
      <c r="DYG10" s="1336"/>
      <c r="DYH10" s="1336"/>
      <c r="DYI10" s="1337"/>
      <c r="DYJ10" s="1337"/>
      <c r="DYK10" s="1337"/>
      <c r="DYL10" s="1337"/>
      <c r="DYM10" s="1337"/>
      <c r="DYN10" s="1338"/>
      <c r="DYO10" s="1339"/>
      <c r="DYP10" s="1340"/>
      <c r="DYQ10" s="1340"/>
      <c r="DYR10" s="1340"/>
      <c r="DYS10" s="1341"/>
      <c r="DYT10" s="1342"/>
      <c r="DYU10" s="1336"/>
      <c r="DYV10" s="1336"/>
      <c r="DYW10" s="1336"/>
      <c r="DYX10" s="1336"/>
      <c r="DYY10" s="1337"/>
      <c r="DYZ10" s="1337"/>
      <c r="DZA10" s="1337"/>
      <c r="DZB10" s="1337"/>
      <c r="DZC10" s="1337"/>
      <c r="DZD10" s="1338"/>
      <c r="DZE10" s="1339"/>
      <c r="DZF10" s="1340"/>
      <c r="DZG10" s="1340"/>
      <c r="DZH10" s="1340"/>
      <c r="DZI10" s="1341"/>
      <c r="DZJ10" s="1342"/>
      <c r="DZK10" s="1336"/>
      <c r="DZL10" s="1336"/>
      <c r="DZM10" s="1336"/>
      <c r="DZN10" s="1336"/>
      <c r="DZO10" s="1337"/>
      <c r="DZP10" s="1337"/>
      <c r="DZQ10" s="1337"/>
      <c r="DZR10" s="1337"/>
      <c r="DZS10" s="1337"/>
      <c r="DZT10" s="1338"/>
      <c r="DZU10" s="1339"/>
      <c r="DZV10" s="1340"/>
      <c r="DZW10" s="1340"/>
      <c r="DZX10" s="1340"/>
      <c r="DZY10" s="1341"/>
      <c r="DZZ10" s="1342"/>
      <c r="EAA10" s="1336"/>
      <c r="EAB10" s="1336"/>
      <c r="EAC10" s="1336"/>
      <c r="EAD10" s="1336"/>
      <c r="EAE10" s="1337"/>
      <c r="EAF10" s="1337"/>
      <c r="EAG10" s="1337"/>
      <c r="EAH10" s="1337"/>
      <c r="EAI10" s="1337"/>
      <c r="EAJ10" s="1338"/>
      <c r="EAK10" s="1339"/>
      <c r="EAL10" s="1340"/>
      <c r="EAM10" s="1340"/>
      <c r="EAN10" s="1340"/>
      <c r="EAO10" s="1341"/>
      <c r="EAP10" s="1342"/>
      <c r="EAQ10" s="1336"/>
      <c r="EAR10" s="1336"/>
      <c r="EAS10" s="1336"/>
      <c r="EAT10" s="1336"/>
      <c r="EAU10" s="1337"/>
      <c r="EAV10" s="1337"/>
      <c r="EAW10" s="1337"/>
      <c r="EAX10" s="1337"/>
      <c r="EAY10" s="1337"/>
      <c r="EAZ10" s="1338"/>
      <c r="EBA10" s="1339"/>
      <c r="EBB10" s="1340"/>
      <c r="EBC10" s="1340"/>
      <c r="EBD10" s="1340"/>
      <c r="EBE10" s="1341"/>
      <c r="EBF10" s="1342"/>
      <c r="EBG10" s="1336"/>
      <c r="EBH10" s="1336"/>
      <c r="EBI10" s="1336"/>
      <c r="EBJ10" s="1336"/>
      <c r="EBK10" s="1337"/>
      <c r="EBL10" s="1337"/>
      <c r="EBM10" s="1337"/>
      <c r="EBN10" s="1337"/>
      <c r="EBO10" s="1337"/>
      <c r="EBP10" s="1338"/>
      <c r="EBQ10" s="1339"/>
      <c r="EBR10" s="1340"/>
      <c r="EBS10" s="1340"/>
      <c r="EBT10" s="1340"/>
      <c r="EBU10" s="1341"/>
      <c r="EBV10" s="1342"/>
      <c r="EBW10" s="1336"/>
      <c r="EBX10" s="1336"/>
      <c r="EBY10" s="1336"/>
      <c r="EBZ10" s="1336"/>
      <c r="ECA10" s="1337"/>
      <c r="ECB10" s="1337"/>
      <c r="ECC10" s="1337"/>
      <c r="ECD10" s="1337"/>
      <c r="ECE10" s="1337"/>
      <c r="ECF10" s="1338"/>
      <c r="ECG10" s="1339"/>
      <c r="ECH10" s="1340"/>
      <c r="ECI10" s="1340"/>
      <c r="ECJ10" s="1340"/>
      <c r="ECK10" s="1341"/>
      <c r="ECL10" s="1342"/>
      <c r="ECM10" s="1336"/>
      <c r="ECN10" s="1336"/>
      <c r="ECO10" s="1336"/>
      <c r="ECP10" s="1336"/>
      <c r="ECQ10" s="1337"/>
      <c r="ECR10" s="1337"/>
      <c r="ECS10" s="1337"/>
      <c r="ECT10" s="1337"/>
      <c r="ECU10" s="1337"/>
      <c r="ECV10" s="1338"/>
      <c r="ECW10" s="1339"/>
      <c r="ECX10" s="1340"/>
      <c r="ECY10" s="1340"/>
      <c r="ECZ10" s="1340"/>
      <c r="EDA10" s="1341"/>
      <c r="EDB10" s="1342"/>
      <c r="EDC10" s="1336"/>
      <c r="EDD10" s="1336"/>
      <c r="EDE10" s="1336"/>
      <c r="EDF10" s="1336"/>
      <c r="EDG10" s="1337"/>
      <c r="EDH10" s="1337"/>
      <c r="EDI10" s="1337"/>
      <c r="EDJ10" s="1337"/>
      <c r="EDK10" s="1337"/>
      <c r="EDL10" s="1338"/>
      <c r="EDM10" s="1339"/>
      <c r="EDN10" s="1340"/>
      <c r="EDO10" s="1340"/>
      <c r="EDP10" s="1340"/>
      <c r="EDQ10" s="1341"/>
      <c r="EDR10" s="1342"/>
      <c r="EDS10" s="1336"/>
      <c r="EDT10" s="1336"/>
      <c r="EDU10" s="1336"/>
      <c r="EDV10" s="1336"/>
      <c r="EDW10" s="1337"/>
      <c r="EDX10" s="1337"/>
      <c r="EDY10" s="1337"/>
      <c r="EDZ10" s="1337"/>
      <c r="EEA10" s="1337"/>
      <c r="EEB10" s="1338"/>
      <c r="EEC10" s="1339"/>
      <c r="EED10" s="1340"/>
      <c r="EEE10" s="1340"/>
      <c r="EEF10" s="1340"/>
      <c r="EEG10" s="1341"/>
      <c r="EEH10" s="1342"/>
      <c r="EEI10" s="1336"/>
      <c r="EEJ10" s="1336"/>
      <c r="EEK10" s="1336"/>
      <c r="EEL10" s="1336"/>
      <c r="EEM10" s="1337"/>
      <c r="EEN10" s="1337"/>
      <c r="EEO10" s="1337"/>
      <c r="EEP10" s="1337"/>
      <c r="EEQ10" s="1337"/>
      <c r="EER10" s="1338"/>
      <c r="EES10" s="1339"/>
      <c r="EET10" s="1340"/>
      <c r="EEU10" s="1340"/>
      <c r="EEV10" s="1340"/>
      <c r="EEW10" s="1341"/>
      <c r="EEX10" s="1342"/>
      <c r="EEY10" s="1336"/>
      <c r="EEZ10" s="1336"/>
      <c r="EFA10" s="1336"/>
      <c r="EFB10" s="1336"/>
      <c r="EFC10" s="1337"/>
      <c r="EFD10" s="1337"/>
      <c r="EFE10" s="1337"/>
      <c r="EFF10" s="1337"/>
      <c r="EFG10" s="1337"/>
      <c r="EFH10" s="1338"/>
      <c r="EFI10" s="1339"/>
      <c r="EFJ10" s="1340"/>
      <c r="EFK10" s="1340"/>
      <c r="EFL10" s="1340"/>
      <c r="EFM10" s="1341"/>
      <c r="EFN10" s="1342"/>
      <c r="EFO10" s="1336"/>
      <c r="EFP10" s="1336"/>
      <c r="EFQ10" s="1336"/>
      <c r="EFR10" s="1336"/>
      <c r="EFS10" s="1337"/>
      <c r="EFT10" s="1337"/>
      <c r="EFU10" s="1337"/>
      <c r="EFV10" s="1337"/>
      <c r="EFW10" s="1337"/>
      <c r="EFX10" s="1338"/>
      <c r="EFY10" s="1339"/>
      <c r="EFZ10" s="1340"/>
      <c r="EGA10" s="1340"/>
      <c r="EGB10" s="1340"/>
      <c r="EGC10" s="1341"/>
      <c r="EGD10" s="1342"/>
      <c r="EGE10" s="1336"/>
      <c r="EGF10" s="1336"/>
      <c r="EGG10" s="1336"/>
      <c r="EGH10" s="1336"/>
      <c r="EGI10" s="1337"/>
      <c r="EGJ10" s="1337"/>
      <c r="EGK10" s="1337"/>
      <c r="EGL10" s="1337"/>
      <c r="EGM10" s="1337"/>
      <c r="EGN10" s="1338"/>
      <c r="EGO10" s="1339"/>
      <c r="EGP10" s="1340"/>
      <c r="EGQ10" s="1340"/>
      <c r="EGR10" s="1340"/>
      <c r="EGS10" s="1341"/>
      <c r="EGT10" s="1342"/>
      <c r="EGU10" s="1336"/>
      <c r="EGV10" s="1336"/>
      <c r="EGW10" s="1336"/>
      <c r="EGX10" s="1336"/>
      <c r="EGY10" s="1337"/>
      <c r="EGZ10" s="1337"/>
      <c r="EHA10" s="1337"/>
      <c r="EHB10" s="1337"/>
      <c r="EHC10" s="1337"/>
      <c r="EHD10" s="1338"/>
      <c r="EHE10" s="1339"/>
      <c r="EHF10" s="1340"/>
      <c r="EHG10" s="1340"/>
      <c r="EHH10" s="1340"/>
      <c r="EHI10" s="1341"/>
      <c r="EHJ10" s="1342"/>
      <c r="EHK10" s="1336"/>
      <c r="EHL10" s="1336"/>
      <c r="EHM10" s="1336"/>
      <c r="EHN10" s="1336"/>
      <c r="EHO10" s="1337"/>
      <c r="EHP10" s="1337"/>
      <c r="EHQ10" s="1337"/>
      <c r="EHR10" s="1337"/>
      <c r="EHS10" s="1337"/>
      <c r="EHT10" s="1338"/>
      <c r="EHU10" s="1339"/>
      <c r="EHV10" s="1340"/>
      <c r="EHW10" s="1340"/>
      <c r="EHX10" s="1340"/>
      <c r="EHY10" s="1341"/>
      <c r="EHZ10" s="1342"/>
      <c r="EIA10" s="1336"/>
      <c r="EIB10" s="1336"/>
      <c r="EIC10" s="1336"/>
      <c r="EID10" s="1336"/>
      <c r="EIE10" s="1337"/>
      <c r="EIF10" s="1337"/>
      <c r="EIG10" s="1337"/>
      <c r="EIH10" s="1337"/>
      <c r="EII10" s="1337"/>
      <c r="EIJ10" s="1338"/>
      <c r="EIK10" s="1339"/>
      <c r="EIL10" s="1340"/>
      <c r="EIM10" s="1340"/>
      <c r="EIN10" s="1340"/>
      <c r="EIO10" s="1341"/>
      <c r="EIP10" s="1342"/>
      <c r="EIQ10" s="1336"/>
      <c r="EIR10" s="1336"/>
      <c r="EIS10" s="1336"/>
      <c r="EIT10" s="1336"/>
      <c r="EIU10" s="1337"/>
      <c r="EIV10" s="1337"/>
      <c r="EIW10" s="1337"/>
      <c r="EIX10" s="1337"/>
      <c r="EIY10" s="1337"/>
      <c r="EIZ10" s="1338"/>
      <c r="EJA10" s="1339"/>
      <c r="EJB10" s="1340"/>
      <c r="EJC10" s="1340"/>
      <c r="EJD10" s="1340"/>
      <c r="EJE10" s="1341"/>
      <c r="EJF10" s="1342"/>
      <c r="EJG10" s="1336"/>
      <c r="EJH10" s="1336"/>
      <c r="EJI10" s="1336"/>
      <c r="EJJ10" s="1336"/>
      <c r="EJK10" s="1337"/>
      <c r="EJL10" s="1337"/>
      <c r="EJM10" s="1337"/>
      <c r="EJN10" s="1337"/>
      <c r="EJO10" s="1337"/>
      <c r="EJP10" s="1338"/>
      <c r="EJQ10" s="1339"/>
      <c r="EJR10" s="1340"/>
      <c r="EJS10" s="1340"/>
      <c r="EJT10" s="1340"/>
      <c r="EJU10" s="1341"/>
      <c r="EJV10" s="1342"/>
      <c r="EJW10" s="1336"/>
      <c r="EJX10" s="1336"/>
      <c r="EJY10" s="1336"/>
      <c r="EJZ10" s="1336"/>
      <c r="EKA10" s="1337"/>
      <c r="EKB10" s="1337"/>
      <c r="EKC10" s="1337"/>
      <c r="EKD10" s="1337"/>
      <c r="EKE10" s="1337"/>
      <c r="EKF10" s="1338"/>
      <c r="EKG10" s="1339"/>
      <c r="EKH10" s="1340"/>
      <c r="EKI10" s="1340"/>
      <c r="EKJ10" s="1340"/>
      <c r="EKK10" s="1341"/>
      <c r="EKL10" s="1342"/>
      <c r="EKM10" s="1336"/>
      <c r="EKN10" s="1336"/>
      <c r="EKO10" s="1336"/>
      <c r="EKP10" s="1336"/>
      <c r="EKQ10" s="1337"/>
      <c r="EKR10" s="1337"/>
      <c r="EKS10" s="1337"/>
      <c r="EKT10" s="1337"/>
      <c r="EKU10" s="1337"/>
      <c r="EKV10" s="1338"/>
      <c r="EKW10" s="1339"/>
      <c r="EKX10" s="1340"/>
      <c r="EKY10" s="1340"/>
      <c r="EKZ10" s="1340"/>
      <c r="ELA10" s="1341"/>
      <c r="ELB10" s="1342"/>
      <c r="ELC10" s="1336"/>
      <c r="ELD10" s="1336"/>
      <c r="ELE10" s="1336"/>
      <c r="ELF10" s="1336"/>
      <c r="ELG10" s="1337"/>
      <c r="ELH10" s="1337"/>
      <c r="ELI10" s="1337"/>
      <c r="ELJ10" s="1337"/>
      <c r="ELK10" s="1337"/>
      <c r="ELL10" s="1338"/>
      <c r="ELM10" s="1339"/>
      <c r="ELN10" s="1340"/>
      <c r="ELO10" s="1340"/>
      <c r="ELP10" s="1340"/>
      <c r="ELQ10" s="1341"/>
      <c r="ELR10" s="1342"/>
      <c r="ELS10" s="1336"/>
      <c r="ELT10" s="1336"/>
      <c r="ELU10" s="1336"/>
      <c r="ELV10" s="1336"/>
      <c r="ELW10" s="1337"/>
      <c r="ELX10" s="1337"/>
      <c r="ELY10" s="1337"/>
      <c r="ELZ10" s="1337"/>
      <c r="EMA10" s="1337"/>
      <c r="EMB10" s="1338"/>
      <c r="EMC10" s="1339"/>
      <c r="EMD10" s="1340"/>
      <c r="EME10" s="1340"/>
      <c r="EMF10" s="1340"/>
      <c r="EMG10" s="1341"/>
      <c r="EMH10" s="1342"/>
      <c r="EMI10" s="1336"/>
      <c r="EMJ10" s="1336"/>
      <c r="EMK10" s="1336"/>
      <c r="EML10" s="1336"/>
      <c r="EMM10" s="1337"/>
      <c r="EMN10" s="1337"/>
      <c r="EMO10" s="1337"/>
      <c r="EMP10" s="1337"/>
      <c r="EMQ10" s="1337"/>
      <c r="EMR10" s="1338"/>
      <c r="EMS10" s="1339"/>
      <c r="EMT10" s="1340"/>
      <c r="EMU10" s="1340"/>
      <c r="EMV10" s="1340"/>
      <c r="EMW10" s="1341"/>
      <c r="EMX10" s="1342"/>
      <c r="EMY10" s="1336"/>
      <c r="EMZ10" s="1336"/>
      <c r="ENA10" s="1336"/>
      <c r="ENB10" s="1336"/>
      <c r="ENC10" s="1337"/>
      <c r="END10" s="1337"/>
      <c r="ENE10" s="1337"/>
      <c r="ENF10" s="1337"/>
      <c r="ENG10" s="1337"/>
      <c r="ENH10" s="1338"/>
      <c r="ENI10" s="1339"/>
      <c r="ENJ10" s="1340"/>
      <c r="ENK10" s="1340"/>
      <c r="ENL10" s="1340"/>
      <c r="ENM10" s="1341"/>
      <c r="ENN10" s="1342"/>
      <c r="ENO10" s="1336"/>
      <c r="ENP10" s="1336"/>
      <c r="ENQ10" s="1336"/>
      <c r="ENR10" s="1336"/>
      <c r="ENS10" s="1337"/>
      <c r="ENT10" s="1337"/>
      <c r="ENU10" s="1337"/>
      <c r="ENV10" s="1337"/>
      <c r="ENW10" s="1337"/>
      <c r="ENX10" s="1338"/>
      <c r="ENY10" s="1339"/>
      <c r="ENZ10" s="1340"/>
      <c r="EOA10" s="1340"/>
      <c r="EOB10" s="1340"/>
      <c r="EOC10" s="1341"/>
      <c r="EOD10" s="1342"/>
      <c r="EOE10" s="1336"/>
      <c r="EOF10" s="1336"/>
      <c r="EOG10" s="1336"/>
      <c r="EOH10" s="1336"/>
      <c r="EOI10" s="1337"/>
      <c r="EOJ10" s="1337"/>
      <c r="EOK10" s="1337"/>
      <c r="EOL10" s="1337"/>
      <c r="EOM10" s="1337"/>
      <c r="EON10" s="1338"/>
      <c r="EOO10" s="1339"/>
      <c r="EOP10" s="1340"/>
      <c r="EOQ10" s="1340"/>
      <c r="EOR10" s="1340"/>
      <c r="EOS10" s="1341"/>
      <c r="EOT10" s="1342"/>
      <c r="EOU10" s="1336"/>
      <c r="EOV10" s="1336"/>
      <c r="EOW10" s="1336"/>
      <c r="EOX10" s="1336"/>
      <c r="EOY10" s="1337"/>
      <c r="EOZ10" s="1337"/>
      <c r="EPA10" s="1337"/>
      <c r="EPB10" s="1337"/>
      <c r="EPC10" s="1337"/>
      <c r="EPD10" s="1338"/>
      <c r="EPE10" s="1339"/>
      <c r="EPF10" s="1340"/>
      <c r="EPG10" s="1340"/>
      <c r="EPH10" s="1340"/>
      <c r="EPI10" s="1341"/>
      <c r="EPJ10" s="1342"/>
      <c r="EPK10" s="1336"/>
      <c r="EPL10" s="1336"/>
      <c r="EPM10" s="1336"/>
      <c r="EPN10" s="1336"/>
      <c r="EPO10" s="1337"/>
      <c r="EPP10" s="1337"/>
      <c r="EPQ10" s="1337"/>
      <c r="EPR10" s="1337"/>
      <c r="EPS10" s="1337"/>
      <c r="EPT10" s="1338"/>
      <c r="EPU10" s="1339"/>
      <c r="EPV10" s="1340"/>
      <c r="EPW10" s="1340"/>
      <c r="EPX10" s="1340"/>
      <c r="EPY10" s="1341"/>
      <c r="EPZ10" s="1342"/>
      <c r="EQA10" s="1336"/>
      <c r="EQB10" s="1336"/>
      <c r="EQC10" s="1336"/>
      <c r="EQD10" s="1336"/>
      <c r="EQE10" s="1337"/>
      <c r="EQF10" s="1337"/>
      <c r="EQG10" s="1337"/>
      <c r="EQH10" s="1337"/>
      <c r="EQI10" s="1337"/>
      <c r="EQJ10" s="1338"/>
      <c r="EQK10" s="1339"/>
      <c r="EQL10" s="1340"/>
      <c r="EQM10" s="1340"/>
      <c r="EQN10" s="1340"/>
      <c r="EQO10" s="1341"/>
      <c r="EQP10" s="1342"/>
      <c r="EQQ10" s="1336"/>
      <c r="EQR10" s="1336"/>
      <c r="EQS10" s="1336"/>
      <c r="EQT10" s="1336"/>
      <c r="EQU10" s="1337"/>
      <c r="EQV10" s="1337"/>
      <c r="EQW10" s="1337"/>
      <c r="EQX10" s="1337"/>
      <c r="EQY10" s="1337"/>
      <c r="EQZ10" s="1338"/>
      <c r="ERA10" s="1339"/>
      <c r="ERB10" s="1340"/>
      <c r="ERC10" s="1340"/>
      <c r="ERD10" s="1340"/>
      <c r="ERE10" s="1341"/>
      <c r="ERF10" s="1342"/>
      <c r="ERG10" s="1336"/>
      <c r="ERH10" s="1336"/>
      <c r="ERI10" s="1336"/>
      <c r="ERJ10" s="1336"/>
      <c r="ERK10" s="1337"/>
      <c r="ERL10" s="1337"/>
      <c r="ERM10" s="1337"/>
      <c r="ERN10" s="1337"/>
      <c r="ERO10" s="1337"/>
      <c r="ERP10" s="1338"/>
      <c r="ERQ10" s="1339"/>
      <c r="ERR10" s="1340"/>
      <c r="ERS10" s="1340"/>
      <c r="ERT10" s="1340"/>
      <c r="ERU10" s="1341"/>
      <c r="ERV10" s="1342"/>
      <c r="ERW10" s="1336"/>
      <c r="ERX10" s="1336"/>
      <c r="ERY10" s="1336"/>
      <c r="ERZ10" s="1336"/>
      <c r="ESA10" s="1337"/>
      <c r="ESB10" s="1337"/>
      <c r="ESC10" s="1337"/>
      <c r="ESD10" s="1337"/>
      <c r="ESE10" s="1337"/>
      <c r="ESF10" s="1338"/>
      <c r="ESG10" s="1339"/>
      <c r="ESH10" s="1340"/>
      <c r="ESI10" s="1340"/>
      <c r="ESJ10" s="1340"/>
      <c r="ESK10" s="1341"/>
      <c r="ESL10" s="1342"/>
      <c r="ESM10" s="1336"/>
      <c r="ESN10" s="1336"/>
      <c r="ESO10" s="1336"/>
      <c r="ESP10" s="1336"/>
      <c r="ESQ10" s="1337"/>
      <c r="ESR10" s="1337"/>
      <c r="ESS10" s="1337"/>
      <c r="EST10" s="1337"/>
      <c r="ESU10" s="1337"/>
      <c r="ESV10" s="1338"/>
      <c r="ESW10" s="1339"/>
      <c r="ESX10" s="1340"/>
      <c r="ESY10" s="1340"/>
      <c r="ESZ10" s="1340"/>
      <c r="ETA10" s="1341"/>
      <c r="ETB10" s="1342"/>
      <c r="ETC10" s="1336"/>
      <c r="ETD10" s="1336"/>
      <c r="ETE10" s="1336"/>
      <c r="ETF10" s="1336"/>
      <c r="ETG10" s="1337"/>
      <c r="ETH10" s="1337"/>
      <c r="ETI10" s="1337"/>
      <c r="ETJ10" s="1337"/>
      <c r="ETK10" s="1337"/>
      <c r="ETL10" s="1338"/>
      <c r="ETM10" s="1339"/>
      <c r="ETN10" s="1340"/>
      <c r="ETO10" s="1340"/>
      <c r="ETP10" s="1340"/>
      <c r="ETQ10" s="1341"/>
      <c r="ETR10" s="1342"/>
      <c r="ETS10" s="1336"/>
      <c r="ETT10" s="1336"/>
      <c r="ETU10" s="1336"/>
      <c r="ETV10" s="1336"/>
      <c r="ETW10" s="1337"/>
      <c r="ETX10" s="1337"/>
      <c r="ETY10" s="1337"/>
      <c r="ETZ10" s="1337"/>
      <c r="EUA10" s="1337"/>
      <c r="EUB10" s="1338"/>
      <c r="EUC10" s="1339"/>
      <c r="EUD10" s="1340"/>
      <c r="EUE10" s="1340"/>
      <c r="EUF10" s="1340"/>
      <c r="EUG10" s="1341"/>
      <c r="EUH10" s="1342"/>
      <c r="EUI10" s="1336"/>
      <c r="EUJ10" s="1336"/>
      <c r="EUK10" s="1336"/>
      <c r="EUL10" s="1336"/>
      <c r="EUM10" s="1337"/>
      <c r="EUN10" s="1337"/>
      <c r="EUO10" s="1337"/>
      <c r="EUP10" s="1337"/>
      <c r="EUQ10" s="1337"/>
      <c r="EUR10" s="1338"/>
      <c r="EUS10" s="1339"/>
      <c r="EUT10" s="1340"/>
      <c r="EUU10" s="1340"/>
      <c r="EUV10" s="1340"/>
      <c r="EUW10" s="1341"/>
      <c r="EUX10" s="1342"/>
      <c r="EUY10" s="1336"/>
      <c r="EUZ10" s="1336"/>
      <c r="EVA10" s="1336"/>
      <c r="EVB10" s="1336"/>
      <c r="EVC10" s="1337"/>
      <c r="EVD10" s="1337"/>
      <c r="EVE10" s="1337"/>
      <c r="EVF10" s="1337"/>
      <c r="EVG10" s="1337"/>
      <c r="EVH10" s="1338"/>
      <c r="EVI10" s="1339"/>
      <c r="EVJ10" s="1340"/>
      <c r="EVK10" s="1340"/>
      <c r="EVL10" s="1340"/>
      <c r="EVM10" s="1341"/>
      <c r="EVN10" s="1342"/>
      <c r="EVO10" s="1336"/>
      <c r="EVP10" s="1336"/>
      <c r="EVQ10" s="1336"/>
      <c r="EVR10" s="1336"/>
      <c r="EVS10" s="1337"/>
      <c r="EVT10" s="1337"/>
      <c r="EVU10" s="1337"/>
      <c r="EVV10" s="1337"/>
      <c r="EVW10" s="1337"/>
      <c r="EVX10" s="1338"/>
      <c r="EVY10" s="1339"/>
      <c r="EVZ10" s="1340"/>
      <c r="EWA10" s="1340"/>
      <c r="EWB10" s="1340"/>
      <c r="EWC10" s="1341"/>
      <c r="EWD10" s="1342"/>
      <c r="EWE10" s="1336"/>
      <c r="EWF10" s="1336"/>
      <c r="EWG10" s="1336"/>
      <c r="EWH10" s="1336"/>
      <c r="EWI10" s="1337"/>
      <c r="EWJ10" s="1337"/>
      <c r="EWK10" s="1337"/>
      <c r="EWL10" s="1337"/>
      <c r="EWM10" s="1337"/>
      <c r="EWN10" s="1338"/>
      <c r="EWO10" s="1339"/>
      <c r="EWP10" s="1340"/>
      <c r="EWQ10" s="1340"/>
      <c r="EWR10" s="1340"/>
      <c r="EWS10" s="1341"/>
      <c r="EWT10" s="1342"/>
      <c r="EWU10" s="1336"/>
      <c r="EWV10" s="1336"/>
      <c r="EWW10" s="1336"/>
      <c r="EWX10" s="1336"/>
      <c r="EWY10" s="1337"/>
      <c r="EWZ10" s="1337"/>
      <c r="EXA10" s="1337"/>
      <c r="EXB10" s="1337"/>
      <c r="EXC10" s="1337"/>
      <c r="EXD10" s="1338"/>
      <c r="EXE10" s="1339"/>
      <c r="EXF10" s="1340"/>
      <c r="EXG10" s="1340"/>
      <c r="EXH10" s="1340"/>
      <c r="EXI10" s="1341"/>
      <c r="EXJ10" s="1342"/>
      <c r="EXK10" s="1336"/>
      <c r="EXL10" s="1336"/>
      <c r="EXM10" s="1336"/>
      <c r="EXN10" s="1336"/>
      <c r="EXO10" s="1337"/>
      <c r="EXP10" s="1337"/>
      <c r="EXQ10" s="1337"/>
      <c r="EXR10" s="1337"/>
      <c r="EXS10" s="1337"/>
      <c r="EXT10" s="1338"/>
      <c r="EXU10" s="1339"/>
      <c r="EXV10" s="1340"/>
      <c r="EXW10" s="1340"/>
      <c r="EXX10" s="1340"/>
      <c r="EXY10" s="1341"/>
      <c r="EXZ10" s="1342"/>
      <c r="EYA10" s="1336"/>
      <c r="EYB10" s="1336"/>
      <c r="EYC10" s="1336"/>
      <c r="EYD10" s="1336"/>
      <c r="EYE10" s="1337"/>
      <c r="EYF10" s="1337"/>
      <c r="EYG10" s="1337"/>
      <c r="EYH10" s="1337"/>
      <c r="EYI10" s="1337"/>
      <c r="EYJ10" s="1338"/>
      <c r="EYK10" s="1339"/>
      <c r="EYL10" s="1340"/>
      <c r="EYM10" s="1340"/>
      <c r="EYN10" s="1340"/>
      <c r="EYO10" s="1341"/>
      <c r="EYP10" s="1342"/>
      <c r="EYQ10" s="1336"/>
      <c r="EYR10" s="1336"/>
      <c r="EYS10" s="1336"/>
      <c r="EYT10" s="1336"/>
      <c r="EYU10" s="1337"/>
      <c r="EYV10" s="1337"/>
      <c r="EYW10" s="1337"/>
      <c r="EYX10" s="1337"/>
      <c r="EYY10" s="1337"/>
      <c r="EYZ10" s="1338"/>
      <c r="EZA10" s="1339"/>
      <c r="EZB10" s="1340"/>
      <c r="EZC10" s="1340"/>
      <c r="EZD10" s="1340"/>
      <c r="EZE10" s="1341"/>
      <c r="EZF10" s="1342"/>
      <c r="EZG10" s="1336"/>
      <c r="EZH10" s="1336"/>
      <c r="EZI10" s="1336"/>
      <c r="EZJ10" s="1336"/>
      <c r="EZK10" s="1337"/>
      <c r="EZL10" s="1337"/>
      <c r="EZM10" s="1337"/>
      <c r="EZN10" s="1337"/>
      <c r="EZO10" s="1337"/>
      <c r="EZP10" s="1338"/>
      <c r="EZQ10" s="1339"/>
      <c r="EZR10" s="1340"/>
      <c r="EZS10" s="1340"/>
      <c r="EZT10" s="1340"/>
      <c r="EZU10" s="1341"/>
      <c r="EZV10" s="1342"/>
      <c r="EZW10" s="1336"/>
      <c r="EZX10" s="1336"/>
      <c r="EZY10" s="1336"/>
      <c r="EZZ10" s="1336"/>
      <c r="FAA10" s="1337"/>
      <c r="FAB10" s="1337"/>
      <c r="FAC10" s="1337"/>
      <c r="FAD10" s="1337"/>
      <c r="FAE10" s="1337"/>
      <c r="FAF10" s="1338"/>
      <c r="FAG10" s="1339"/>
      <c r="FAH10" s="1340"/>
      <c r="FAI10" s="1340"/>
      <c r="FAJ10" s="1340"/>
      <c r="FAK10" s="1341"/>
      <c r="FAL10" s="1342"/>
      <c r="FAM10" s="1336"/>
      <c r="FAN10" s="1336"/>
      <c r="FAO10" s="1336"/>
      <c r="FAP10" s="1336"/>
      <c r="FAQ10" s="1337"/>
      <c r="FAR10" s="1337"/>
      <c r="FAS10" s="1337"/>
      <c r="FAT10" s="1337"/>
      <c r="FAU10" s="1337"/>
      <c r="FAV10" s="1338"/>
      <c r="FAW10" s="1339"/>
      <c r="FAX10" s="1340"/>
      <c r="FAY10" s="1340"/>
      <c r="FAZ10" s="1340"/>
      <c r="FBA10" s="1341"/>
      <c r="FBB10" s="1342"/>
      <c r="FBC10" s="1336"/>
      <c r="FBD10" s="1336"/>
      <c r="FBE10" s="1336"/>
      <c r="FBF10" s="1336"/>
      <c r="FBG10" s="1337"/>
      <c r="FBH10" s="1337"/>
      <c r="FBI10" s="1337"/>
      <c r="FBJ10" s="1337"/>
      <c r="FBK10" s="1337"/>
      <c r="FBL10" s="1338"/>
      <c r="FBM10" s="1339"/>
      <c r="FBN10" s="1340"/>
      <c r="FBO10" s="1340"/>
      <c r="FBP10" s="1340"/>
      <c r="FBQ10" s="1341"/>
      <c r="FBR10" s="1342"/>
      <c r="FBS10" s="1336"/>
      <c r="FBT10" s="1336"/>
      <c r="FBU10" s="1336"/>
      <c r="FBV10" s="1336"/>
      <c r="FBW10" s="1337"/>
      <c r="FBX10" s="1337"/>
      <c r="FBY10" s="1337"/>
      <c r="FBZ10" s="1337"/>
      <c r="FCA10" s="1337"/>
      <c r="FCB10" s="1338"/>
      <c r="FCC10" s="1339"/>
      <c r="FCD10" s="1340"/>
      <c r="FCE10" s="1340"/>
      <c r="FCF10" s="1340"/>
      <c r="FCG10" s="1341"/>
      <c r="FCH10" s="1342"/>
      <c r="FCI10" s="1336"/>
      <c r="FCJ10" s="1336"/>
      <c r="FCK10" s="1336"/>
      <c r="FCL10" s="1336"/>
      <c r="FCM10" s="1337"/>
      <c r="FCN10" s="1337"/>
      <c r="FCO10" s="1337"/>
      <c r="FCP10" s="1337"/>
      <c r="FCQ10" s="1337"/>
      <c r="FCR10" s="1338"/>
      <c r="FCS10" s="1339"/>
      <c r="FCT10" s="1340"/>
      <c r="FCU10" s="1340"/>
      <c r="FCV10" s="1340"/>
      <c r="FCW10" s="1341"/>
      <c r="FCX10" s="1342"/>
      <c r="FCY10" s="1336"/>
      <c r="FCZ10" s="1336"/>
      <c r="FDA10" s="1336"/>
      <c r="FDB10" s="1336"/>
      <c r="FDC10" s="1337"/>
      <c r="FDD10" s="1337"/>
      <c r="FDE10" s="1337"/>
      <c r="FDF10" s="1337"/>
      <c r="FDG10" s="1337"/>
      <c r="FDH10" s="1338"/>
      <c r="FDI10" s="1339"/>
      <c r="FDJ10" s="1340"/>
      <c r="FDK10" s="1340"/>
      <c r="FDL10" s="1340"/>
      <c r="FDM10" s="1341"/>
      <c r="FDN10" s="1342"/>
      <c r="FDO10" s="1336"/>
      <c r="FDP10" s="1336"/>
      <c r="FDQ10" s="1336"/>
      <c r="FDR10" s="1336"/>
      <c r="FDS10" s="1337"/>
      <c r="FDT10" s="1337"/>
      <c r="FDU10" s="1337"/>
      <c r="FDV10" s="1337"/>
      <c r="FDW10" s="1337"/>
      <c r="FDX10" s="1338"/>
      <c r="FDY10" s="1339"/>
      <c r="FDZ10" s="1340"/>
      <c r="FEA10" s="1340"/>
      <c r="FEB10" s="1340"/>
      <c r="FEC10" s="1341"/>
      <c r="FED10" s="1342"/>
      <c r="FEE10" s="1336"/>
      <c r="FEF10" s="1336"/>
      <c r="FEG10" s="1336"/>
      <c r="FEH10" s="1336"/>
      <c r="FEI10" s="1337"/>
      <c r="FEJ10" s="1337"/>
      <c r="FEK10" s="1337"/>
      <c r="FEL10" s="1337"/>
      <c r="FEM10" s="1337"/>
      <c r="FEN10" s="1338"/>
      <c r="FEO10" s="1339"/>
      <c r="FEP10" s="1340"/>
      <c r="FEQ10" s="1340"/>
      <c r="FER10" s="1340"/>
      <c r="FES10" s="1341"/>
      <c r="FET10" s="1342"/>
      <c r="FEU10" s="1336"/>
      <c r="FEV10" s="1336"/>
      <c r="FEW10" s="1336"/>
      <c r="FEX10" s="1336"/>
      <c r="FEY10" s="1337"/>
      <c r="FEZ10" s="1337"/>
      <c r="FFA10" s="1337"/>
      <c r="FFB10" s="1337"/>
      <c r="FFC10" s="1337"/>
      <c r="FFD10" s="1338"/>
      <c r="FFE10" s="1339"/>
      <c r="FFF10" s="1340"/>
      <c r="FFG10" s="1340"/>
      <c r="FFH10" s="1340"/>
      <c r="FFI10" s="1341"/>
      <c r="FFJ10" s="1342"/>
      <c r="FFK10" s="1336"/>
      <c r="FFL10" s="1336"/>
      <c r="FFM10" s="1336"/>
      <c r="FFN10" s="1336"/>
      <c r="FFO10" s="1337"/>
      <c r="FFP10" s="1337"/>
      <c r="FFQ10" s="1337"/>
      <c r="FFR10" s="1337"/>
      <c r="FFS10" s="1337"/>
      <c r="FFT10" s="1338"/>
      <c r="FFU10" s="1339"/>
      <c r="FFV10" s="1340"/>
      <c r="FFW10" s="1340"/>
      <c r="FFX10" s="1340"/>
      <c r="FFY10" s="1341"/>
      <c r="FFZ10" s="1342"/>
      <c r="FGA10" s="1336"/>
      <c r="FGB10" s="1336"/>
      <c r="FGC10" s="1336"/>
      <c r="FGD10" s="1336"/>
      <c r="FGE10" s="1337"/>
      <c r="FGF10" s="1337"/>
      <c r="FGG10" s="1337"/>
      <c r="FGH10" s="1337"/>
      <c r="FGI10" s="1337"/>
      <c r="FGJ10" s="1338"/>
      <c r="FGK10" s="1339"/>
      <c r="FGL10" s="1340"/>
      <c r="FGM10" s="1340"/>
      <c r="FGN10" s="1340"/>
      <c r="FGO10" s="1341"/>
      <c r="FGP10" s="1342"/>
      <c r="FGQ10" s="1336"/>
      <c r="FGR10" s="1336"/>
      <c r="FGS10" s="1336"/>
      <c r="FGT10" s="1336"/>
      <c r="FGU10" s="1337"/>
      <c r="FGV10" s="1337"/>
      <c r="FGW10" s="1337"/>
      <c r="FGX10" s="1337"/>
      <c r="FGY10" s="1337"/>
      <c r="FGZ10" s="1338"/>
      <c r="FHA10" s="1339"/>
      <c r="FHB10" s="1340"/>
      <c r="FHC10" s="1340"/>
      <c r="FHD10" s="1340"/>
      <c r="FHE10" s="1341"/>
      <c r="FHF10" s="1342"/>
      <c r="FHG10" s="1336"/>
      <c r="FHH10" s="1336"/>
      <c r="FHI10" s="1336"/>
      <c r="FHJ10" s="1336"/>
      <c r="FHK10" s="1337"/>
      <c r="FHL10" s="1337"/>
      <c r="FHM10" s="1337"/>
      <c r="FHN10" s="1337"/>
      <c r="FHO10" s="1337"/>
      <c r="FHP10" s="1338"/>
      <c r="FHQ10" s="1339"/>
      <c r="FHR10" s="1340"/>
      <c r="FHS10" s="1340"/>
      <c r="FHT10" s="1340"/>
      <c r="FHU10" s="1341"/>
      <c r="FHV10" s="1342"/>
      <c r="FHW10" s="1336"/>
      <c r="FHX10" s="1336"/>
      <c r="FHY10" s="1336"/>
      <c r="FHZ10" s="1336"/>
      <c r="FIA10" s="1337"/>
      <c r="FIB10" s="1337"/>
      <c r="FIC10" s="1337"/>
      <c r="FID10" s="1337"/>
      <c r="FIE10" s="1337"/>
      <c r="FIF10" s="1338"/>
      <c r="FIG10" s="1339"/>
      <c r="FIH10" s="1340"/>
      <c r="FII10" s="1340"/>
      <c r="FIJ10" s="1340"/>
      <c r="FIK10" s="1341"/>
      <c r="FIL10" s="1342"/>
      <c r="FIM10" s="1336"/>
      <c r="FIN10" s="1336"/>
      <c r="FIO10" s="1336"/>
      <c r="FIP10" s="1336"/>
      <c r="FIQ10" s="1337"/>
      <c r="FIR10" s="1337"/>
      <c r="FIS10" s="1337"/>
      <c r="FIT10" s="1337"/>
      <c r="FIU10" s="1337"/>
      <c r="FIV10" s="1338"/>
      <c r="FIW10" s="1339"/>
      <c r="FIX10" s="1340"/>
      <c r="FIY10" s="1340"/>
      <c r="FIZ10" s="1340"/>
      <c r="FJA10" s="1341"/>
      <c r="FJB10" s="1342"/>
      <c r="FJC10" s="1336"/>
      <c r="FJD10" s="1336"/>
      <c r="FJE10" s="1336"/>
      <c r="FJF10" s="1336"/>
      <c r="FJG10" s="1337"/>
      <c r="FJH10" s="1337"/>
      <c r="FJI10" s="1337"/>
      <c r="FJJ10" s="1337"/>
      <c r="FJK10" s="1337"/>
      <c r="FJL10" s="1338"/>
      <c r="FJM10" s="1339"/>
      <c r="FJN10" s="1340"/>
      <c r="FJO10" s="1340"/>
      <c r="FJP10" s="1340"/>
      <c r="FJQ10" s="1341"/>
      <c r="FJR10" s="1342"/>
      <c r="FJS10" s="1336"/>
      <c r="FJT10" s="1336"/>
      <c r="FJU10" s="1336"/>
      <c r="FJV10" s="1336"/>
      <c r="FJW10" s="1337"/>
      <c r="FJX10" s="1337"/>
      <c r="FJY10" s="1337"/>
      <c r="FJZ10" s="1337"/>
      <c r="FKA10" s="1337"/>
      <c r="FKB10" s="1338"/>
      <c r="FKC10" s="1339"/>
      <c r="FKD10" s="1340"/>
      <c r="FKE10" s="1340"/>
      <c r="FKF10" s="1340"/>
      <c r="FKG10" s="1341"/>
      <c r="FKH10" s="1342"/>
      <c r="FKI10" s="1336"/>
      <c r="FKJ10" s="1336"/>
      <c r="FKK10" s="1336"/>
      <c r="FKL10" s="1336"/>
      <c r="FKM10" s="1337"/>
      <c r="FKN10" s="1337"/>
      <c r="FKO10" s="1337"/>
      <c r="FKP10" s="1337"/>
      <c r="FKQ10" s="1337"/>
      <c r="FKR10" s="1338"/>
      <c r="FKS10" s="1339"/>
      <c r="FKT10" s="1340"/>
      <c r="FKU10" s="1340"/>
      <c r="FKV10" s="1340"/>
      <c r="FKW10" s="1341"/>
      <c r="FKX10" s="1342"/>
      <c r="FKY10" s="1336"/>
      <c r="FKZ10" s="1336"/>
      <c r="FLA10" s="1336"/>
      <c r="FLB10" s="1336"/>
      <c r="FLC10" s="1337"/>
      <c r="FLD10" s="1337"/>
      <c r="FLE10" s="1337"/>
      <c r="FLF10" s="1337"/>
      <c r="FLG10" s="1337"/>
      <c r="FLH10" s="1338"/>
      <c r="FLI10" s="1339"/>
      <c r="FLJ10" s="1340"/>
      <c r="FLK10" s="1340"/>
      <c r="FLL10" s="1340"/>
      <c r="FLM10" s="1341"/>
      <c r="FLN10" s="1342"/>
      <c r="FLO10" s="1336"/>
      <c r="FLP10" s="1336"/>
      <c r="FLQ10" s="1336"/>
      <c r="FLR10" s="1336"/>
      <c r="FLS10" s="1337"/>
      <c r="FLT10" s="1337"/>
      <c r="FLU10" s="1337"/>
      <c r="FLV10" s="1337"/>
      <c r="FLW10" s="1337"/>
      <c r="FLX10" s="1338"/>
      <c r="FLY10" s="1339"/>
      <c r="FLZ10" s="1340"/>
      <c r="FMA10" s="1340"/>
      <c r="FMB10" s="1340"/>
      <c r="FMC10" s="1341"/>
      <c r="FMD10" s="1342"/>
      <c r="FME10" s="1336"/>
      <c r="FMF10" s="1336"/>
      <c r="FMG10" s="1336"/>
      <c r="FMH10" s="1336"/>
      <c r="FMI10" s="1337"/>
      <c r="FMJ10" s="1337"/>
      <c r="FMK10" s="1337"/>
      <c r="FML10" s="1337"/>
      <c r="FMM10" s="1337"/>
      <c r="FMN10" s="1338"/>
      <c r="FMO10" s="1339"/>
      <c r="FMP10" s="1340"/>
      <c r="FMQ10" s="1340"/>
      <c r="FMR10" s="1340"/>
      <c r="FMS10" s="1341"/>
      <c r="FMT10" s="1342"/>
      <c r="FMU10" s="1336"/>
      <c r="FMV10" s="1336"/>
      <c r="FMW10" s="1336"/>
      <c r="FMX10" s="1336"/>
      <c r="FMY10" s="1337"/>
      <c r="FMZ10" s="1337"/>
      <c r="FNA10" s="1337"/>
      <c r="FNB10" s="1337"/>
      <c r="FNC10" s="1337"/>
      <c r="FND10" s="1338"/>
      <c r="FNE10" s="1339"/>
      <c r="FNF10" s="1340"/>
      <c r="FNG10" s="1340"/>
      <c r="FNH10" s="1340"/>
      <c r="FNI10" s="1341"/>
      <c r="FNJ10" s="1342"/>
      <c r="FNK10" s="1336"/>
      <c r="FNL10" s="1336"/>
      <c r="FNM10" s="1336"/>
      <c r="FNN10" s="1336"/>
      <c r="FNO10" s="1337"/>
      <c r="FNP10" s="1337"/>
      <c r="FNQ10" s="1337"/>
      <c r="FNR10" s="1337"/>
      <c r="FNS10" s="1337"/>
      <c r="FNT10" s="1338"/>
      <c r="FNU10" s="1339"/>
      <c r="FNV10" s="1340"/>
      <c r="FNW10" s="1340"/>
      <c r="FNX10" s="1340"/>
      <c r="FNY10" s="1341"/>
      <c r="FNZ10" s="1342"/>
      <c r="FOA10" s="1336"/>
      <c r="FOB10" s="1336"/>
      <c r="FOC10" s="1336"/>
      <c r="FOD10" s="1336"/>
      <c r="FOE10" s="1337"/>
      <c r="FOF10" s="1337"/>
      <c r="FOG10" s="1337"/>
      <c r="FOH10" s="1337"/>
      <c r="FOI10" s="1337"/>
      <c r="FOJ10" s="1338"/>
      <c r="FOK10" s="1339"/>
      <c r="FOL10" s="1340"/>
      <c r="FOM10" s="1340"/>
      <c r="FON10" s="1340"/>
      <c r="FOO10" s="1341"/>
      <c r="FOP10" s="1342"/>
      <c r="FOQ10" s="1336"/>
      <c r="FOR10" s="1336"/>
      <c r="FOS10" s="1336"/>
      <c r="FOT10" s="1336"/>
      <c r="FOU10" s="1337"/>
      <c r="FOV10" s="1337"/>
      <c r="FOW10" s="1337"/>
      <c r="FOX10" s="1337"/>
      <c r="FOY10" s="1337"/>
      <c r="FOZ10" s="1338"/>
      <c r="FPA10" s="1339"/>
      <c r="FPB10" s="1340"/>
      <c r="FPC10" s="1340"/>
      <c r="FPD10" s="1340"/>
      <c r="FPE10" s="1341"/>
      <c r="FPF10" s="1342"/>
      <c r="FPG10" s="1336"/>
      <c r="FPH10" s="1336"/>
      <c r="FPI10" s="1336"/>
      <c r="FPJ10" s="1336"/>
      <c r="FPK10" s="1337"/>
      <c r="FPL10" s="1337"/>
      <c r="FPM10" s="1337"/>
      <c r="FPN10" s="1337"/>
      <c r="FPO10" s="1337"/>
      <c r="FPP10" s="1338"/>
      <c r="FPQ10" s="1339"/>
      <c r="FPR10" s="1340"/>
      <c r="FPS10" s="1340"/>
      <c r="FPT10" s="1340"/>
      <c r="FPU10" s="1341"/>
      <c r="FPV10" s="1342"/>
      <c r="FPW10" s="1336"/>
      <c r="FPX10" s="1336"/>
      <c r="FPY10" s="1336"/>
      <c r="FPZ10" s="1336"/>
      <c r="FQA10" s="1337"/>
      <c r="FQB10" s="1337"/>
      <c r="FQC10" s="1337"/>
      <c r="FQD10" s="1337"/>
      <c r="FQE10" s="1337"/>
      <c r="FQF10" s="1338"/>
      <c r="FQG10" s="1339"/>
      <c r="FQH10" s="1340"/>
      <c r="FQI10" s="1340"/>
      <c r="FQJ10" s="1340"/>
      <c r="FQK10" s="1341"/>
      <c r="FQL10" s="1342"/>
      <c r="FQM10" s="1336"/>
      <c r="FQN10" s="1336"/>
      <c r="FQO10" s="1336"/>
      <c r="FQP10" s="1336"/>
      <c r="FQQ10" s="1337"/>
      <c r="FQR10" s="1337"/>
      <c r="FQS10" s="1337"/>
      <c r="FQT10" s="1337"/>
      <c r="FQU10" s="1337"/>
      <c r="FQV10" s="1338"/>
      <c r="FQW10" s="1339"/>
      <c r="FQX10" s="1340"/>
      <c r="FQY10" s="1340"/>
      <c r="FQZ10" s="1340"/>
      <c r="FRA10" s="1341"/>
      <c r="FRB10" s="1342"/>
      <c r="FRC10" s="1336"/>
      <c r="FRD10" s="1336"/>
      <c r="FRE10" s="1336"/>
      <c r="FRF10" s="1336"/>
      <c r="FRG10" s="1337"/>
      <c r="FRH10" s="1337"/>
      <c r="FRI10" s="1337"/>
      <c r="FRJ10" s="1337"/>
      <c r="FRK10" s="1337"/>
      <c r="FRL10" s="1338"/>
      <c r="FRM10" s="1339"/>
      <c r="FRN10" s="1340"/>
      <c r="FRO10" s="1340"/>
      <c r="FRP10" s="1340"/>
      <c r="FRQ10" s="1341"/>
      <c r="FRR10" s="1342"/>
      <c r="FRS10" s="1336"/>
      <c r="FRT10" s="1336"/>
      <c r="FRU10" s="1336"/>
      <c r="FRV10" s="1336"/>
      <c r="FRW10" s="1337"/>
      <c r="FRX10" s="1337"/>
      <c r="FRY10" s="1337"/>
      <c r="FRZ10" s="1337"/>
      <c r="FSA10" s="1337"/>
      <c r="FSB10" s="1338"/>
      <c r="FSC10" s="1339"/>
      <c r="FSD10" s="1340"/>
      <c r="FSE10" s="1340"/>
      <c r="FSF10" s="1340"/>
      <c r="FSG10" s="1341"/>
      <c r="FSH10" s="1342"/>
      <c r="FSI10" s="1336"/>
      <c r="FSJ10" s="1336"/>
      <c r="FSK10" s="1336"/>
      <c r="FSL10" s="1336"/>
      <c r="FSM10" s="1337"/>
      <c r="FSN10" s="1337"/>
      <c r="FSO10" s="1337"/>
      <c r="FSP10" s="1337"/>
      <c r="FSQ10" s="1337"/>
      <c r="FSR10" s="1338"/>
      <c r="FSS10" s="1339"/>
      <c r="FST10" s="1340"/>
      <c r="FSU10" s="1340"/>
      <c r="FSV10" s="1340"/>
      <c r="FSW10" s="1341"/>
      <c r="FSX10" s="1342"/>
      <c r="FSY10" s="1336"/>
      <c r="FSZ10" s="1336"/>
      <c r="FTA10" s="1336"/>
      <c r="FTB10" s="1336"/>
      <c r="FTC10" s="1337"/>
      <c r="FTD10" s="1337"/>
      <c r="FTE10" s="1337"/>
      <c r="FTF10" s="1337"/>
      <c r="FTG10" s="1337"/>
      <c r="FTH10" s="1338"/>
      <c r="FTI10" s="1339"/>
      <c r="FTJ10" s="1340"/>
      <c r="FTK10" s="1340"/>
      <c r="FTL10" s="1340"/>
      <c r="FTM10" s="1341"/>
      <c r="FTN10" s="1342"/>
      <c r="FTO10" s="1336"/>
      <c r="FTP10" s="1336"/>
      <c r="FTQ10" s="1336"/>
      <c r="FTR10" s="1336"/>
      <c r="FTS10" s="1337"/>
      <c r="FTT10" s="1337"/>
      <c r="FTU10" s="1337"/>
      <c r="FTV10" s="1337"/>
      <c r="FTW10" s="1337"/>
      <c r="FTX10" s="1338"/>
      <c r="FTY10" s="1339"/>
      <c r="FTZ10" s="1340"/>
      <c r="FUA10" s="1340"/>
      <c r="FUB10" s="1340"/>
      <c r="FUC10" s="1341"/>
      <c r="FUD10" s="1342"/>
      <c r="FUE10" s="1336"/>
      <c r="FUF10" s="1336"/>
      <c r="FUG10" s="1336"/>
      <c r="FUH10" s="1336"/>
      <c r="FUI10" s="1337"/>
      <c r="FUJ10" s="1337"/>
      <c r="FUK10" s="1337"/>
      <c r="FUL10" s="1337"/>
      <c r="FUM10" s="1337"/>
      <c r="FUN10" s="1338"/>
      <c r="FUO10" s="1339"/>
      <c r="FUP10" s="1340"/>
      <c r="FUQ10" s="1340"/>
      <c r="FUR10" s="1340"/>
      <c r="FUS10" s="1341"/>
      <c r="FUT10" s="1342"/>
      <c r="FUU10" s="1336"/>
      <c r="FUV10" s="1336"/>
      <c r="FUW10" s="1336"/>
      <c r="FUX10" s="1336"/>
      <c r="FUY10" s="1337"/>
      <c r="FUZ10" s="1337"/>
      <c r="FVA10" s="1337"/>
      <c r="FVB10" s="1337"/>
      <c r="FVC10" s="1337"/>
      <c r="FVD10" s="1338"/>
      <c r="FVE10" s="1339"/>
      <c r="FVF10" s="1340"/>
      <c r="FVG10" s="1340"/>
      <c r="FVH10" s="1340"/>
      <c r="FVI10" s="1341"/>
      <c r="FVJ10" s="1342"/>
      <c r="FVK10" s="1336"/>
      <c r="FVL10" s="1336"/>
      <c r="FVM10" s="1336"/>
      <c r="FVN10" s="1336"/>
      <c r="FVO10" s="1337"/>
      <c r="FVP10" s="1337"/>
      <c r="FVQ10" s="1337"/>
      <c r="FVR10" s="1337"/>
      <c r="FVS10" s="1337"/>
      <c r="FVT10" s="1338"/>
      <c r="FVU10" s="1339"/>
      <c r="FVV10" s="1340"/>
      <c r="FVW10" s="1340"/>
      <c r="FVX10" s="1340"/>
      <c r="FVY10" s="1341"/>
      <c r="FVZ10" s="1342"/>
      <c r="FWA10" s="1336"/>
      <c r="FWB10" s="1336"/>
      <c r="FWC10" s="1336"/>
      <c r="FWD10" s="1336"/>
      <c r="FWE10" s="1337"/>
      <c r="FWF10" s="1337"/>
      <c r="FWG10" s="1337"/>
      <c r="FWH10" s="1337"/>
      <c r="FWI10" s="1337"/>
      <c r="FWJ10" s="1338"/>
      <c r="FWK10" s="1339"/>
      <c r="FWL10" s="1340"/>
      <c r="FWM10" s="1340"/>
      <c r="FWN10" s="1340"/>
      <c r="FWO10" s="1341"/>
      <c r="FWP10" s="1342"/>
      <c r="FWQ10" s="1336"/>
      <c r="FWR10" s="1336"/>
      <c r="FWS10" s="1336"/>
      <c r="FWT10" s="1336"/>
      <c r="FWU10" s="1337"/>
      <c r="FWV10" s="1337"/>
      <c r="FWW10" s="1337"/>
      <c r="FWX10" s="1337"/>
      <c r="FWY10" s="1337"/>
      <c r="FWZ10" s="1338"/>
      <c r="FXA10" s="1339"/>
      <c r="FXB10" s="1340"/>
      <c r="FXC10" s="1340"/>
      <c r="FXD10" s="1340"/>
      <c r="FXE10" s="1341"/>
      <c r="FXF10" s="1342"/>
      <c r="FXG10" s="1336"/>
      <c r="FXH10" s="1336"/>
      <c r="FXI10" s="1336"/>
      <c r="FXJ10" s="1336"/>
      <c r="FXK10" s="1337"/>
      <c r="FXL10" s="1337"/>
      <c r="FXM10" s="1337"/>
      <c r="FXN10" s="1337"/>
      <c r="FXO10" s="1337"/>
      <c r="FXP10" s="1338"/>
      <c r="FXQ10" s="1339"/>
      <c r="FXR10" s="1340"/>
      <c r="FXS10" s="1340"/>
      <c r="FXT10" s="1340"/>
      <c r="FXU10" s="1341"/>
      <c r="FXV10" s="1342"/>
      <c r="FXW10" s="1336"/>
      <c r="FXX10" s="1336"/>
      <c r="FXY10" s="1336"/>
      <c r="FXZ10" s="1336"/>
      <c r="FYA10" s="1337"/>
      <c r="FYB10" s="1337"/>
      <c r="FYC10" s="1337"/>
      <c r="FYD10" s="1337"/>
      <c r="FYE10" s="1337"/>
      <c r="FYF10" s="1338"/>
      <c r="FYG10" s="1339"/>
      <c r="FYH10" s="1340"/>
      <c r="FYI10" s="1340"/>
      <c r="FYJ10" s="1340"/>
      <c r="FYK10" s="1341"/>
      <c r="FYL10" s="1342"/>
      <c r="FYM10" s="1336"/>
      <c r="FYN10" s="1336"/>
      <c r="FYO10" s="1336"/>
      <c r="FYP10" s="1336"/>
      <c r="FYQ10" s="1337"/>
      <c r="FYR10" s="1337"/>
      <c r="FYS10" s="1337"/>
      <c r="FYT10" s="1337"/>
      <c r="FYU10" s="1337"/>
      <c r="FYV10" s="1338"/>
      <c r="FYW10" s="1339"/>
      <c r="FYX10" s="1340"/>
      <c r="FYY10" s="1340"/>
      <c r="FYZ10" s="1340"/>
      <c r="FZA10" s="1341"/>
      <c r="FZB10" s="1342"/>
      <c r="FZC10" s="1336"/>
      <c r="FZD10" s="1336"/>
      <c r="FZE10" s="1336"/>
      <c r="FZF10" s="1336"/>
      <c r="FZG10" s="1337"/>
      <c r="FZH10" s="1337"/>
      <c r="FZI10" s="1337"/>
      <c r="FZJ10" s="1337"/>
      <c r="FZK10" s="1337"/>
      <c r="FZL10" s="1338"/>
      <c r="FZM10" s="1339"/>
      <c r="FZN10" s="1340"/>
      <c r="FZO10" s="1340"/>
      <c r="FZP10" s="1340"/>
      <c r="FZQ10" s="1341"/>
      <c r="FZR10" s="1342"/>
      <c r="FZS10" s="1336"/>
      <c r="FZT10" s="1336"/>
      <c r="FZU10" s="1336"/>
      <c r="FZV10" s="1336"/>
      <c r="FZW10" s="1337"/>
      <c r="FZX10" s="1337"/>
      <c r="FZY10" s="1337"/>
      <c r="FZZ10" s="1337"/>
      <c r="GAA10" s="1337"/>
      <c r="GAB10" s="1338"/>
      <c r="GAC10" s="1339"/>
      <c r="GAD10" s="1340"/>
      <c r="GAE10" s="1340"/>
      <c r="GAF10" s="1340"/>
      <c r="GAG10" s="1341"/>
      <c r="GAH10" s="1342"/>
      <c r="GAI10" s="1336"/>
      <c r="GAJ10" s="1336"/>
      <c r="GAK10" s="1336"/>
      <c r="GAL10" s="1336"/>
      <c r="GAM10" s="1337"/>
      <c r="GAN10" s="1337"/>
      <c r="GAO10" s="1337"/>
      <c r="GAP10" s="1337"/>
      <c r="GAQ10" s="1337"/>
      <c r="GAR10" s="1338"/>
      <c r="GAS10" s="1339"/>
      <c r="GAT10" s="1340"/>
      <c r="GAU10" s="1340"/>
      <c r="GAV10" s="1340"/>
      <c r="GAW10" s="1341"/>
      <c r="GAX10" s="1342"/>
      <c r="GAY10" s="1336"/>
      <c r="GAZ10" s="1336"/>
      <c r="GBA10" s="1336"/>
      <c r="GBB10" s="1336"/>
      <c r="GBC10" s="1337"/>
      <c r="GBD10" s="1337"/>
      <c r="GBE10" s="1337"/>
      <c r="GBF10" s="1337"/>
      <c r="GBG10" s="1337"/>
      <c r="GBH10" s="1338"/>
      <c r="GBI10" s="1339"/>
      <c r="GBJ10" s="1340"/>
      <c r="GBK10" s="1340"/>
      <c r="GBL10" s="1340"/>
      <c r="GBM10" s="1341"/>
      <c r="GBN10" s="1342"/>
      <c r="GBO10" s="1336"/>
      <c r="GBP10" s="1336"/>
      <c r="GBQ10" s="1336"/>
      <c r="GBR10" s="1336"/>
      <c r="GBS10" s="1337"/>
      <c r="GBT10" s="1337"/>
      <c r="GBU10" s="1337"/>
      <c r="GBV10" s="1337"/>
      <c r="GBW10" s="1337"/>
      <c r="GBX10" s="1338"/>
      <c r="GBY10" s="1339"/>
      <c r="GBZ10" s="1340"/>
      <c r="GCA10" s="1340"/>
      <c r="GCB10" s="1340"/>
      <c r="GCC10" s="1341"/>
      <c r="GCD10" s="1342"/>
      <c r="GCE10" s="1336"/>
      <c r="GCF10" s="1336"/>
      <c r="GCG10" s="1336"/>
      <c r="GCH10" s="1336"/>
      <c r="GCI10" s="1337"/>
      <c r="GCJ10" s="1337"/>
      <c r="GCK10" s="1337"/>
      <c r="GCL10" s="1337"/>
      <c r="GCM10" s="1337"/>
      <c r="GCN10" s="1338"/>
      <c r="GCO10" s="1339"/>
      <c r="GCP10" s="1340"/>
      <c r="GCQ10" s="1340"/>
      <c r="GCR10" s="1340"/>
      <c r="GCS10" s="1341"/>
      <c r="GCT10" s="1342"/>
      <c r="GCU10" s="1336"/>
      <c r="GCV10" s="1336"/>
      <c r="GCW10" s="1336"/>
      <c r="GCX10" s="1336"/>
      <c r="GCY10" s="1337"/>
      <c r="GCZ10" s="1337"/>
      <c r="GDA10" s="1337"/>
      <c r="GDB10" s="1337"/>
      <c r="GDC10" s="1337"/>
      <c r="GDD10" s="1338"/>
      <c r="GDE10" s="1339"/>
      <c r="GDF10" s="1340"/>
      <c r="GDG10" s="1340"/>
      <c r="GDH10" s="1340"/>
      <c r="GDI10" s="1341"/>
      <c r="GDJ10" s="1342"/>
      <c r="GDK10" s="1336"/>
      <c r="GDL10" s="1336"/>
      <c r="GDM10" s="1336"/>
      <c r="GDN10" s="1336"/>
      <c r="GDO10" s="1337"/>
      <c r="GDP10" s="1337"/>
      <c r="GDQ10" s="1337"/>
      <c r="GDR10" s="1337"/>
      <c r="GDS10" s="1337"/>
      <c r="GDT10" s="1338"/>
      <c r="GDU10" s="1339"/>
      <c r="GDV10" s="1340"/>
      <c r="GDW10" s="1340"/>
      <c r="GDX10" s="1340"/>
      <c r="GDY10" s="1341"/>
      <c r="GDZ10" s="1342"/>
      <c r="GEA10" s="1336"/>
      <c r="GEB10" s="1336"/>
      <c r="GEC10" s="1336"/>
      <c r="GED10" s="1336"/>
      <c r="GEE10" s="1337"/>
      <c r="GEF10" s="1337"/>
      <c r="GEG10" s="1337"/>
      <c r="GEH10" s="1337"/>
      <c r="GEI10" s="1337"/>
      <c r="GEJ10" s="1338"/>
      <c r="GEK10" s="1339"/>
      <c r="GEL10" s="1340"/>
      <c r="GEM10" s="1340"/>
      <c r="GEN10" s="1340"/>
      <c r="GEO10" s="1341"/>
      <c r="GEP10" s="1342"/>
      <c r="GEQ10" s="1336"/>
      <c r="GER10" s="1336"/>
      <c r="GES10" s="1336"/>
      <c r="GET10" s="1336"/>
      <c r="GEU10" s="1337"/>
      <c r="GEV10" s="1337"/>
      <c r="GEW10" s="1337"/>
      <c r="GEX10" s="1337"/>
      <c r="GEY10" s="1337"/>
      <c r="GEZ10" s="1338"/>
      <c r="GFA10" s="1339"/>
      <c r="GFB10" s="1340"/>
      <c r="GFC10" s="1340"/>
      <c r="GFD10" s="1340"/>
      <c r="GFE10" s="1341"/>
      <c r="GFF10" s="1342"/>
      <c r="GFG10" s="1336"/>
      <c r="GFH10" s="1336"/>
      <c r="GFI10" s="1336"/>
      <c r="GFJ10" s="1336"/>
      <c r="GFK10" s="1337"/>
      <c r="GFL10" s="1337"/>
      <c r="GFM10" s="1337"/>
      <c r="GFN10" s="1337"/>
      <c r="GFO10" s="1337"/>
      <c r="GFP10" s="1338"/>
      <c r="GFQ10" s="1339"/>
      <c r="GFR10" s="1340"/>
      <c r="GFS10" s="1340"/>
      <c r="GFT10" s="1340"/>
      <c r="GFU10" s="1341"/>
      <c r="GFV10" s="1342"/>
      <c r="GFW10" s="1336"/>
      <c r="GFX10" s="1336"/>
      <c r="GFY10" s="1336"/>
      <c r="GFZ10" s="1336"/>
      <c r="GGA10" s="1337"/>
      <c r="GGB10" s="1337"/>
      <c r="GGC10" s="1337"/>
      <c r="GGD10" s="1337"/>
      <c r="GGE10" s="1337"/>
      <c r="GGF10" s="1338"/>
      <c r="GGG10" s="1339"/>
      <c r="GGH10" s="1340"/>
      <c r="GGI10" s="1340"/>
      <c r="GGJ10" s="1340"/>
      <c r="GGK10" s="1341"/>
      <c r="GGL10" s="1342"/>
      <c r="GGM10" s="1336"/>
      <c r="GGN10" s="1336"/>
      <c r="GGO10" s="1336"/>
      <c r="GGP10" s="1336"/>
      <c r="GGQ10" s="1337"/>
      <c r="GGR10" s="1337"/>
      <c r="GGS10" s="1337"/>
      <c r="GGT10" s="1337"/>
      <c r="GGU10" s="1337"/>
      <c r="GGV10" s="1338"/>
      <c r="GGW10" s="1339"/>
      <c r="GGX10" s="1340"/>
      <c r="GGY10" s="1340"/>
      <c r="GGZ10" s="1340"/>
      <c r="GHA10" s="1341"/>
      <c r="GHB10" s="1342"/>
      <c r="GHC10" s="1336"/>
      <c r="GHD10" s="1336"/>
      <c r="GHE10" s="1336"/>
      <c r="GHF10" s="1336"/>
      <c r="GHG10" s="1337"/>
      <c r="GHH10" s="1337"/>
      <c r="GHI10" s="1337"/>
      <c r="GHJ10" s="1337"/>
      <c r="GHK10" s="1337"/>
      <c r="GHL10" s="1338"/>
      <c r="GHM10" s="1339"/>
      <c r="GHN10" s="1340"/>
      <c r="GHO10" s="1340"/>
      <c r="GHP10" s="1340"/>
      <c r="GHQ10" s="1341"/>
      <c r="GHR10" s="1342"/>
      <c r="GHS10" s="1336"/>
      <c r="GHT10" s="1336"/>
      <c r="GHU10" s="1336"/>
      <c r="GHV10" s="1336"/>
      <c r="GHW10" s="1337"/>
      <c r="GHX10" s="1337"/>
      <c r="GHY10" s="1337"/>
      <c r="GHZ10" s="1337"/>
      <c r="GIA10" s="1337"/>
      <c r="GIB10" s="1338"/>
      <c r="GIC10" s="1339"/>
      <c r="GID10" s="1340"/>
      <c r="GIE10" s="1340"/>
      <c r="GIF10" s="1340"/>
      <c r="GIG10" s="1341"/>
      <c r="GIH10" s="1342"/>
      <c r="GII10" s="1336"/>
      <c r="GIJ10" s="1336"/>
      <c r="GIK10" s="1336"/>
      <c r="GIL10" s="1336"/>
      <c r="GIM10" s="1337"/>
      <c r="GIN10" s="1337"/>
      <c r="GIO10" s="1337"/>
      <c r="GIP10" s="1337"/>
      <c r="GIQ10" s="1337"/>
      <c r="GIR10" s="1338"/>
      <c r="GIS10" s="1339"/>
      <c r="GIT10" s="1340"/>
      <c r="GIU10" s="1340"/>
      <c r="GIV10" s="1340"/>
      <c r="GIW10" s="1341"/>
      <c r="GIX10" s="1342"/>
      <c r="GIY10" s="1336"/>
      <c r="GIZ10" s="1336"/>
      <c r="GJA10" s="1336"/>
      <c r="GJB10" s="1336"/>
      <c r="GJC10" s="1337"/>
      <c r="GJD10" s="1337"/>
      <c r="GJE10" s="1337"/>
      <c r="GJF10" s="1337"/>
      <c r="GJG10" s="1337"/>
      <c r="GJH10" s="1338"/>
      <c r="GJI10" s="1339"/>
      <c r="GJJ10" s="1340"/>
      <c r="GJK10" s="1340"/>
      <c r="GJL10" s="1340"/>
      <c r="GJM10" s="1341"/>
      <c r="GJN10" s="1342"/>
      <c r="GJO10" s="1336"/>
      <c r="GJP10" s="1336"/>
      <c r="GJQ10" s="1336"/>
      <c r="GJR10" s="1336"/>
      <c r="GJS10" s="1337"/>
      <c r="GJT10" s="1337"/>
      <c r="GJU10" s="1337"/>
      <c r="GJV10" s="1337"/>
      <c r="GJW10" s="1337"/>
      <c r="GJX10" s="1338"/>
      <c r="GJY10" s="1339"/>
      <c r="GJZ10" s="1340"/>
      <c r="GKA10" s="1340"/>
      <c r="GKB10" s="1340"/>
      <c r="GKC10" s="1341"/>
      <c r="GKD10" s="1342"/>
      <c r="GKE10" s="1336"/>
      <c r="GKF10" s="1336"/>
      <c r="GKG10" s="1336"/>
      <c r="GKH10" s="1336"/>
      <c r="GKI10" s="1337"/>
      <c r="GKJ10" s="1337"/>
      <c r="GKK10" s="1337"/>
      <c r="GKL10" s="1337"/>
      <c r="GKM10" s="1337"/>
      <c r="GKN10" s="1338"/>
      <c r="GKO10" s="1339"/>
      <c r="GKP10" s="1340"/>
      <c r="GKQ10" s="1340"/>
      <c r="GKR10" s="1340"/>
      <c r="GKS10" s="1341"/>
      <c r="GKT10" s="1342"/>
      <c r="GKU10" s="1336"/>
      <c r="GKV10" s="1336"/>
      <c r="GKW10" s="1336"/>
      <c r="GKX10" s="1336"/>
      <c r="GKY10" s="1337"/>
      <c r="GKZ10" s="1337"/>
      <c r="GLA10" s="1337"/>
      <c r="GLB10" s="1337"/>
      <c r="GLC10" s="1337"/>
      <c r="GLD10" s="1338"/>
      <c r="GLE10" s="1339"/>
      <c r="GLF10" s="1340"/>
      <c r="GLG10" s="1340"/>
      <c r="GLH10" s="1340"/>
      <c r="GLI10" s="1341"/>
      <c r="GLJ10" s="1342"/>
      <c r="GLK10" s="1336"/>
      <c r="GLL10" s="1336"/>
      <c r="GLM10" s="1336"/>
      <c r="GLN10" s="1336"/>
      <c r="GLO10" s="1337"/>
      <c r="GLP10" s="1337"/>
      <c r="GLQ10" s="1337"/>
      <c r="GLR10" s="1337"/>
      <c r="GLS10" s="1337"/>
      <c r="GLT10" s="1338"/>
      <c r="GLU10" s="1339"/>
      <c r="GLV10" s="1340"/>
      <c r="GLW10" s="1340"/>
      <c r="GLX10" s="1340"/>
      <c r="GLY10" s="1341"/>
      <c r="GLZ10" s="1342"/>
      <c r="GMA10" s="1336"/>
      <c r="GMB10" s="1336"/>
      <c r="GMC10" s="1336"/>
      <c r="GMD10" s="1336"/>
      <c r="GME10" s="1337"/>
      <c r="GMF10" s="1337"/>
      <c r="GMG10" s="1337"/>
      <c r="GMH10" s="1337"/>
      <c r="GMI10" s="1337"/>
      <c r="GMJ10" s="1338"/>
      <c r="GMK10" s="1339"/>
      <c r="GML10" s="1340"/>
      <c r="GMM10" s="1340"/>
      <c r="GMN10" s="1340"/>
      <c r="GMO10" s="1341"/>
      <c r="GMP10" s="1342"/>
      <c r="GMQ10" s="1336"/>
      <c r="GMR10" s="1336"/>
      <c r="GMS10" s="1336"/>
      <c r="GMT10" s="1336"/>
      <c r="GMU10" s="1337"/>
      <c r="GMV10" s="1337"/>
      <c r="GMW10" s="1337"/>
      <c r="GMX10" s="1337"/>
      <c r="GMY10" s="1337"/>
      <c r="GMZ10" s="1338"/>
      <c r="GNA10" s="1339"/>
      <c r="GNB10" s="1340"/>
      <c r="GNC10" s="1340"/>
      <c r="GND10" s="1340"/>
      <c r="GNE10" s="1341"/>
      <c r="GNF10" s="1342"/>
      <c r="GNG10" s="1336"/>
      <c r="GNH10" s="1336"/>
      <c r="GNI10" s="1336"/>
      <c r="GNJ10" s="1336"/>
      <c r="GNK10" s="1337"/>
      <c r="GNL10" s="1337"/>
      <c r="GNM10" s="1337"/>
      <c r="GNN10" s="1337"/>
      <c r="GNO10" s="1337"/>
      <c r="GNP10" s="1338"/>
      <c r="GNQ10" s="1339"/>
      <c r="GNR10" s="1340"/>
      <c r="GNS10" s="1340"/>
      <c r="GNT10" s="1340"/>
      <c r="GNU10" s="1341"/>
      <c r="GNV10" s="1342"/>
      <c r="GNW10" s="1336"/>
      <c r="GNX10" s="1336"/>
      <c r="GNY10" s="1336"/>
      <c r="GNZ10" s="1336"/>
      <c r="GOA10" s="1337"/>
      <c r="GOB10" s="1337"/>
      <c r="GOC10" s="1337"/>
      <c r="GOD10" s="1337"/>
      <c r="GOE10" s="1337"/>
      <c r="GOF10" s="1338"/>
      <c r="GOG10" s="1339"/>
      <c r="GOH10" s="1340"/>
      <c r="GOI10" s="1340"/>
      <c r="GOJ10" s="1340"/>
      <c r="GOK10" s="1341"/>
      <c r="GOL10" s="1342"/>
      <c r="GOM10" s="1336"/>
      <c r="GON10" s="1336"/>
      <c r="GOO10" s="1336"/>
      <c r="GOP10" s="1336"/>
      <c r="GOQ10" s="1337"/>
      <c r="GOR10" s="1337"/>
      <c r="GOS10" s="1337"/>
      <c r="GOT10" s="1337"/>
      <c r="GOU10" s="1337"/>
      <c r="GOV10" s="1338"/>
      <c r="GOW10" s="1339"/>
      <c r="GOX10" s="1340"/>
      <c r="GOY10" s="1340"/>
      <c r="GOZ10" s="1340"/>
      <c r="GPA10" s="1341"/>
      <c r="GPB10" s="1342"/>
      <c r="GPC10" s="1336"/>
      <c r="GPD10" s="1336"/>
      <c r="GPE10" s="1336"/>
      <c r="GPF10" s="1336"/>
      <c r="GPG10" s="1337"/>
      <c r="GPH10" s="1337"/>
      <c r="GPI10" s="1337"/>
      <c r="GPJ10" s="1337"/>
      <c r="GPK10" s="1337"/>
      <c r="GPL10" s="1338"/>
      <c r="GPM10" s="1339"/>
      <c r="GPN10" s="1340"/>
      <c r="GPO10" s="1340"/>
      <c r="GPP10" s="1340"/>
      <c r="GPQ10" s="1341"/>
      <c r="GPR10" s="1342"/>
      <c r="GPS10" s="1336"/>
      <c r="GPT10" s="1336"/>
      <c r="GPU10" s="1336"/>
      <c r="GPV10" s="1336"/>
      <c r="GPW10" s="1337"/>
      <c r="GPX10" s="1337"/>
      <c r="GPY10" s="1337"/>
      <c r="GPZ10" s="1337"/>
      <c r="GQA10" s="1337"/>
      <c r="GQB10" s="1338"/>
      <c r="GQC10" s="1339"/>
      <c r="GQD10" s="1340"/>
      <c r="GQE10" s="1340"/>
      <c r="GQF10" s="1340"/>
      <c r="GQG10" s="1341"/>
      <c r="GQH10" s="1342"/>
      <c r="GQI10" s="1336"/>
      <c r="GQJ10" s="1336"/>
      <c r="GQK10" s="1336"/>
      <c r="GQL10" s="1336"/>
      <c r="GQM10" s="1337"/>
      <c r="GQN10" s="1337"/>
      <c r="GQO10" s="1337"/>
      <c r="GQP10" s="1337"/>
      <c r="GQQ10" s="1337"/>
      <c r="GQR10" s="1338"/>
      <c r="GQS10" s="1339"/>
      <c r="GQT10" s="1340"/>
      <c r="GQU10" s="1340"/>
      <c r="GQV10" s="1340"/>
      <c r="GQW10" s="1341"/>
      <c r="GQX10" s="1342"/>
      <c r="GQY10" s="1336"/>
      <c r="GQZ10" s="1336"/>
      <c r="GRA10" s="1336"/>
      <c r="GRB10" s="1336"/>
      <c r="GRC10" s="1337"/>
      <c r="GRD10" s="1337"/>
      <c r="GRE10" s="1337"/>
      <c r="GRF10" s="1337"/>
      <c r="GRG10" s="1337"/>
      <c r="GRH10" s="1338"/>
      <c r="GRI10" s="1339"/>
      <c r="GRJ10" s="1340"/>
      <c r="GRK10" s="1340"/>
      <c r="GRL10" s="1340"/>
      <c r="GRM10" s="1341"/>
      <c r="GRN10" s="1342"/>
      <c r="GRO10" s="1336"/>
      <c r="GRP10" s="1336"/>
      <c r="GRQ10" s="1336"/>
      <c r="GRR10" s="1336"/>
      <c r="GRS10" s="1337"/>
      <c r="GRT10" s="1337"/>
      <c r="GRU10" s="1337"/>
      <c r="GRV10" s="1337"/>
      <c r="GRW10" s="1337"/>
      <c r="GRX10" s="1338"/>
      <c r="GRY10" s="1339"/>
      <c r="GRZ10" s="1340"/>
      <c r="GSA10" s="1340"/>
      <c r="GSB10" s="1340"/>
      <c r="GSC10" s="1341"/>
      <c r="GSD10" s="1342"/>
      <c r="GSE10" s="1336"/>
      <c r="GSF10" s="1336"/>
      <c r="GSG10" s="1336"/>
      <c r="GSH10" s="1336"/>
      <c r="GSI10" s="1337"/>
      <c r="GSJ10" s="1337"/>
      <c r="GSK10" s="1337"/>
      <c r="GSL10" s="1337"/>
      <c r="GSM10" s="1337"/>
      <c r="GSN10" s="1338"/>
      <c r="GSO10" s="1339"/>
      <c r="GSP10" s="1340"/>
      <c r="GSQ10" s="1340"/>
      <c r="GSR10" s="1340"/>
      <c r="GSS10" s="1341"/>
      <c r="GST10" s="1342"/>
      <c r="GSU10" s="1336"/>
      <c r="GSV10" s="1336"/>
      <c r="GSW10" s="1336"/>
      <c r="GSX10" s="1336"/>
      <c r="GSY10" s="1337"/>
      <c r="GSZ10" s="1337"/>
      <c r="GTA10" s="1337"/>
      <c r="GTB10" s="1337"/>
      <c r="GTC10" s="1337"/>
      <c r="GTD10" s="1338"/>
      <c r="GTE10" s="1339"/>
      <c r="GTF10" s="1340"/>
      <c r="GTG10" s="1340"/>
      <c r="GTH10" s="1340"/>
      <c r="GTI10" s="1341"/>
      <c r="GTJ10" s="1342"/>
      <c r="GTK10" s="1336"/>
      <c r="GTL10" s="1336"/>
      <c r="GTM10" s="1336"/>
      <c r="GTN10" s="1336"/>
      <c r="GTO10" s="1337"/>
      <c r="GTP10" s="1337"/>
      <c r="GTQ10" s="1337"/>
      <c r="GTR10" s="1337"/>
      <c r="GTS10" s="1337"/>
      <c r="GTT10" s="1338"/>
      <c r="GTU10" s="1339"/>
      <c r="GTV10" s="1340"/>
      <c r="GTW10" s="1340"/>
      <c r="GTX10" s="1340"/>
      <c r="GTY10" s="1341"/>
      <c r="GTZ10" s="1342"/>
      <c r="GUA10" s="1336"/>
      <c r="GUB10" s="1336"/>
      <c r="GUC10" s="1336"/>
      <c r="GUD10" s="1336"/>
      <c r="GUE10" s="1337"/>
      <c r="GUF10" s="1337"/>
      <c r="GUG10" s="1337"/>
      <c r="GUH10" s="1337"/>
      <c r="GUI10" s="1337"/>
      <c r="GUJ10" s="1338"/>
      <c r="GUK10" s="1339"/>
      <c r="GUL10" s="1340"/>
      <c r="GUM10" s="1340"/>
      <c r="GUN10" s="1340"/>
      <c r="GUO10" s="1341"/>
      <c r="GUP10" s="1342"/>
      <c r="GUQ10" s="1336"/>
      <c r="GUR10" s="1336"/>
      <c r="GUS10" s="1336"/>
      <c r="GUT10" s="1336"/>
      <c r="GUU10" s="1337"/>
      <c r="GUV10" s="1337"/>
      <c r="GUW10" s="1337"/>
      <c r="GUX10" s="1337"/>
      <c r="GUY10" s="1337"/>
      <c r="GUZ10" s="1338"/>
      <c r="GVA10" s="1339"/>
      <c r="GVB10" s="1340"/>
      <c r="GVC10" s="1340"/>
      <c r="GVD10" s="1340"/>
      <c r="GVE10" s="1341"/>
      <c r="GVF10" s="1342"/>
      <c r="GVG10" s="1336"/>
      <c r="GVH10" s="1336"/>
      <c r="GVI10" s="1336"/>
      <c r="GVJ10" s="1336"/>
      <c r="GVK10" s="1337"/>
      <c r="GVL10" s="1337"/>
      <c r="GVM10" s="1337"/>
      <c r="GVN10" s="1337"/>
      <c r="GVO10" s="1337"/>
      <c r="GVP10" s="1338"/>
      <c r="GVQ10" s="1339"/>
      <c r="GVR10" s="1340"/>
      <c r="GVS10" s="1340"/>
      <c r="GVT10" s="1340"/>
      <c r="GVU10" s="1341"/>
      <c r="GVV10" s="1342"/>
      <c r="GVW10" s="1336"/>
      <c r="GVX10" s="1336"/>
      <c r="GVY10" s="1336"/>
      <c r="GVZ10" s="1336"/>
      <c r="GWA10" s="1337"/>
      <c r="GWB10" s="1337"/>
      <c r="GWC10" s="1337"/>
      <c r="GWD10" s="1337"/>
      <c r="GWE10" s="1337"/>
      <c r="GWF10" s="1338"/>
      <c r="GWG10" s="1339"/>
      <c r="GWH10" s="1340"/>
      <c r="GWI10" s="1340"/>
      <c r="GWJ10" s="1340"/>
      <c r="GWK10" s="1341"/>
      <c r="GWL10" s="1342"/>
      <c r="GWM10" s="1336"/>
      <c r="GWN10" s="1336"/>
      <c r="GWO10" s="1336"/>
      <c r="GWP10" s="1336"/>
      <c r="GWQ10" s="1337"/>
      <c r="GWR10" s="1337"/>
      <c r="GWS10" s="1337"/>
      <c r="GWT10" s="1337"/>
      <c r="GWU10" s="1337"/>
      <c r="GWV10" s="1338"/>
      <c r="GWW10" s="1339"/>
      <c r="GWX10" s="1340"/>
      <c r="GWY10" s="1340"/>
      <c r="GWZ10" s="1340"/>
      <c r="GXA10" s="1341"/>
      <c r="GXB10" s="1342"/>
      <c r="GXC10" s="1336"/>
      <c r="GXD10" s="1336"/>
      <c r="GXE10" s="1336"/>
      <c r="GXF10" s="1336"/>
      <c r="GXG10" s="1337"/>
      <c r="GXH10" s="1337"/>
      <c r="GXI10" s="1337"/>
      <c r="GXJ10" s="1337"/>
      <c r="GXK10" s="1337"/>
      <c r="GXL10" s="1338"/>
      <c r="GXM10" s="1339"/>
      <c r="GXN10" s="1340"/>
      <c r="GXO10" s="1340"/>
      <c r="GXP10" s="1340"/>
      <c r="GXQ10" s="1341"/>
      <c r="GXR10" s="1342"/>
      <c r="GXS10" s="1336"/>
      <c r="GXT10" s="1336"/>
      <c r="GXU10" s="1336"/>
      <c r="GXV10" s="1336"/>
      <c r="GXW10" s="1337"/>
      <c r="GXX10" s="1337"/>
      <c r="GXY10" s="1337"/>
      <c r="GXZ10" s="1337"/>
      <c r="GYA10" s="1337"/>
      <c r="GYB10" s="1338"/>
      <c r="GYC10" s="1339"/>
      <c r="GYD10" s="1340"/>
      <c r="GYE10" s="1340"/>
      <c r="GYF10" s="1340"/>
      <c r="GYG10" s="1341"/>
      <c r="GYH10" s="1342"/>
      <c r="GYI10" s="1336"/>
      <c r="GYJ10" s="1336"/>
      <c r="GYK10" s="1336"/>
      <c r="GYL10" s="1336"/>
      <c r="GYM10" s="1337"/>
      <c r="GYN10" s="1337"/>
      <c r="GYO10" s="1337"/>
      <c r="GYP10" s="1337"/>
      <c r="GYQ10" s="1337"/>
      <c r="GYR10" s="1338"/>
      <c r="GYS10" s="1339"/>
      <c r="GYT10" s="1340"/>
      <c r="GYU10" s="1340"/>
      <c r="GYV10" s="1340"/>
      <c r="GYW10" s="1341"/>
      <c r="GYX10" s="1342"/>
      <c r="GYY10" s="1336"/>
      <c r="GYZ10" s="1336"/>
      <c r="GZA10" s="1336"/>
      <c r="GZB10" s="1336"/>
      <c r="GZC10" s="1337"/>
      <c r="GZD10" s="1337"/>
      <c r="GZE10" s="1337"/>
      <c r="GZF10" s="1337"/>
      <c r="GZG10" s="1337"/>
      <c r="GZH10" s="1338"/>
      <c r="GZI10" s="1339"/>
      <c r="GZJ10" s="1340"/>
      <c r="GZK10" s="1340"/>
      <c r="GZL10" s="1340"/>
      <c r="GZM10" s="1341"/>
      <c r="GZN10" s="1342"/>
      <c r="GZO10" s="1336"/>
      <c r="GZP10" s="1336"/>
      <c r="GZQ10" s="1336"/>
      <c r="GZR10" s="1336"/>
      <c r="GZS10" s="1337"/>
      <c r="GZT10" s="1337"/>
      <c r="GZU10" s="1337"/>
      <c r="GZV10" s="1337"/>
      <c r="GZW10" s="1337"/>
      <c r="GZX10" s="1338"/>
      <c r="GZY10" s="1339"/>
      <c r="GZZ10" s="1340"/>
      <c r="HAA10" s="1340"/>
      <c r="HAB10" s="1340"/>
      <c r="HAC10" s="1341"/>
      <c r="HAD10" s="1342"/>
      <c r="HAE10" s="1336"/>
      <c r="HAF10" s="1336"/>
      <c r="HAG10" s="1336"/>
      <c r="HAH10" s="1336"/>
      <c r="HAI10" s="1337"/>
      <c r="HAJ10" s="1337"/>
      <c r="HAK10" s="1337"/>
      <c r="HAL10" s="1337"/>
      <c r="HAM10" s="1337"/>
      <c r="HAN10" s="1338"/>
      <c r="HAO10" s="1339"/>
      <c r="HAP10" s="1340"/>
      <c r="HAQ10" s="1340"/>
      <c r="HAR10" s="1340"/>
      <c r="HAS10" s="1341"/>
      <c r="HAT10" s="1342"/>
      <c r="HAU10" s="1336"/>
      <c r="HAV10" s="1336"/>
      <c r="HAW10" s="1336"/>
      <c r="HAX10" s="1336"/>
      <c r="HAY10" s="1337"/>
      <c r="HAZ10" s="1337"/>
      <c r="HBA10" s="1337"/>
      <c r="HBB10" s="1337"/>
      <c r="HBC10" s="1337"/>
      <c r="HBD10" s="1338"/>
      <c r="HBE10" s="1339"/>
      <c r="HBF10" s="1340"/>
      <c r="HBG10" s="1340"/>
      <c r="HBH10" s="1340"/>
      <c r="HBI10" s="1341"/>
      <c r="HBJ10" s="1342"/>
      <c r="HBK10" s="1336"/>
      <c r="HBL10" s="1336"/>
      <c r="HBM10" s="1336"/>
      <c r="HBN10" s="1336"/>
      <c r="HBO10" s="1337"/>
      <c r="HBP10" s="1337"/>
      <c r="HBQ10" s="1337"/>
      <c r="HBR10" s="1337"/>
      <c r="HBS10" s="1337"/>
      <c r="HBT10" s="1338"/>
      <c r="HBU10" s="1339"/>
      <c r="HBV10" s="1340"/>
      <c r="HBW10" s="1340"/>
      <c r="HBX10" s="1340"/>
      <c r="HBY10" s="1341"/>
      <c r="HBZ10" s="1342"/>
      <c r="HCA10" s="1336"/>
      <c r="HCB10" s="1336"/>
      <c r="HCC10" s="1336"/>
      <c r="HCD10" s="1336"/>
      <c r="HCE10" s="1337"/>
      <c r="HCF10" s="1337"/>
      <c r="HCG10" s="1337"/>
      <c r="HCH10" s="1337"/>
      <c r="HCI10" s="1337"/>
      <c r="HCJ10" s="1338"/>
      <c r="HCK10" s="1339"/>
      <c r="HCL10" s="1340"/>
      <c r="HCM10" s="1340"/>
      <c r="HCN10" s="1340"/>
      <c r="HCO10" s="1341"/>
      <c r="HCP10" s="1342"/>
      <c r="HCQ10" s="1336"/>
      <c r="HCR10" s="1336"/>
      <c r="HCS10" s="1336"/>
      <c r="HCT10" s="1336"/>
      <c r="HCU10" s="1337"/>
      <c r="HCV10" s="1337"/>
      <c r="HCW10" s="1337"/>
      <c r="HCX10" s="1337"/>
      <c r="HCY10" s="1337"/>
      <c r="HCZ10" s="1338"/>
      <c r="HDA10" s="1339"/>
      <c r="HDB10" s="1340"/>
      <c r="HDC10" s="1340"/>
      <c r="HDD10" s="1340"/>
      <c r="HDE10" s="1341"/>
      <c r="HDF10" s="1342"/>
      <c r="HDG10" s="1336"/>
      <c r="HDH10" s="1336"/>
      <c r="HDI10" s="1336"/>
      <c r="HDJ10" s="1336"/>
      <c r="HDK10" s="1337"/>
      <c r="HDL10" s="1337"/>
      <c r="HDM10" s="1337"/>
      <c r="HDN10" s="1337"/>
      <c r="HDO10" s="1337"/>
      <c r="HDP10" s="1338"/>
      <c r="HDQ10" s="1339"/>
      <c r="HDR10" s="1340"/>
      <c r="HDS10" s="1340"/>
      <c r="HDT10" s="1340"/>
      <c r="HDU10" s="1341"/>
      <c r="HDV10" s="1342"/>
      <c r="HDW10" s="1336"/>
      <c r="HDX10" s="1336"/>
      <c r="HDY10" s="1336"/>
      <c r="HDZ10" s="1336"/>
      <c r="HEA10" s="1337"/>
      <c r="HEB10" s="1337"/>
      <c r="HEC10" s="1337"/>
      <c r="HED10" s="1337"/>
      <c r="HEE10" s="1337"/>
      <c r="HEF10" s="1338"/>
      <c r="HEG10" s="1339"/>
      <c r="HEH10" s="1340"/>
      <c r="HEI10" s="1340"/>
      <c r="HEJ10" s="1340"/>
      <c r="HEK10" s="1341"/>
      <c r="HEL10" s="1342"/>
      <c r="HEM10" s="1336"/>
      <c r="HEN10" s="1336"/>
      <c r="HEO10" s="1336"/>
      <c r="HEP10" s="1336"/>
      <c r="HEQ10" s="1337"/>
      <c r="HER10" s="1337"/>
      <c r="HES10" s="1337"/>
      <c r="HET10" s="1337"/>
      <c r="HEU10" s="1337"/>
      <c r="HEV10" s="1338"/>
      <c r="HEW10" s="1339"/>
      <c r="HEX10" s="1340"/>
      <c r="HEY10" s="1340"/>
      <c r="HEZ10" s="1340"/>
      <c r="HFA10" s="1341"/>
      <c r="HFB10" s="1342"/>
      <c r="HFC10" s="1336"/>
      <c r="HFD10" s="1336"/>
      <c r="HFE10" s="1336"/>
      <c r="HFF10" s="1336"/>
      <c r="HFG10" s="1337"/>
      <c r="HFH10" s="1337"/>
      <c r="HFI10" s="1337"/>
      <c r="HFJ10" s="1337"/>
      <c r="HFK10" s="1337"/>
      <c r="HFL10" s="1338"/>
      <c r="HFM10" s="1339"/>
      <c r="HFN10" s="1340"/>
      <c r="HFO10" s="1340"/>
      <c r="HFP10" s="1340"/>
      <c r="HFQ10" s="1341"/>
      <c r="HFR10" s="1342"/>
      <c r="HFS10" s="1336"/>
      <c r="HFT10" s="1336"/>
      <c r="HFU10" s="1336"/>
      <c r="HFV10" s="1336"/>
      <c r="HFW10" s="1337"/>
      <c r="HFX10" s="1337"/>
      <c r="HFY10" s="1337"/>
      <c r="HFZ10" s="1337"/>
      <c r="HGA10" s="1337"/>
      <c r="HGB10" s="1338"/>
      <c r="HGC10" s="1339"/>
      <c r="HGD10" s="1340"/>
      <c r="HGE10" s="1340"/>
      <c r="HGF10" s="1340"/>
      <c r="HGG10" s="1341"/>
      <c r="HGH10" s="1342"/>
      <c r="HGI10" s="1336"/>
      <c r="HGJ10" s="1336"/>
      <c r="HGK10" s="1336"/>
      <c r="HGL10" s="1336"/>
      <c r="HGM10" s="1337"/>
      <c r="HGN10" s="1337"/>
      <c r="HGO10" s="1337"/>
      <c r="HGP10" s="1337"/>
      <c r="HGQ10" s="1337"/>
      <c r="HGR10" s="1338"/>
      <c r="HGS10" s="1339"/>
      <c r="HGT10" s="1340"/>
      <c r="HGU10" s="1340"/>
      <c r="HGV10" s="1340"/>
      <c r="HGW10" s="1341"/>
      <c r="HGX10" s="1342"/>
      <c r="HGY10" s="1336"/>
      <c r="HGZ10" s="1336"/>
      <c r="HHA10" s="1336"/>
      <c r="HHB10" s="1336"/>
      <c r="HHC10" s="1337"/>
      <c r="HHD10" s="1337"/>
      <c r="HHE10" s="1337"/>
      <c r="HHF10" s="1337"/>
      <c r="HHG10" s="1337"/>
      <c r="HHH10" s="1338"/>
      <c r="HHI10" s="1339"/>
      <c r="HHJ10" s="1340"/>
      <c r="HHK10" s="1340"/>
      <c r="HHL10" s="1340"/>
      <c r="HHM10" s="1341"/>
      <c r="HHN10" s="1342"/>
      <c r="HHO10" s="1336"/>
      <c r="HHP10" s="1336"/>
      <c r="HHQ10" s="1336"/>
      <c r="HHR10" s="1336"/>
      <c r="HHS10" s="1337"/>
      <c r="HHT10" s="1337"/>
      <c r="HHU10" s="1337"/>
      <c r="HHV10" s="1337"/>
      <c r="HHW10" s="1337"/>
      <c r="HHX10" s="1338"/>
      <c r="HHY10" s="1339"/>
      <c r="HHZ10" s="1340"/>
      <c r="HIA10" s="1340"/>
      <c r="HIB10" s="1340"/>
      <c r="HIC10" s="1341"/>
      <c r="HID10" s="1342"/>
      <c r="HIE10" s="1336"/>
      <c r="HIF10" s="1336"/>
      <c r="HIG10" s="1336"/>
      <c r="HIH10" s="1336"/>
      <c r="HII10" s="1337"/>
      <c r="HIJ10" s="1337"/>
      <c r="HIK10" s="1337"/>
      <c r="HIL10" s="1337"/>
      <c r="HIM10" s="1337"/>
      <c r="HIN10" s="1338"/>
      <c r="HIO10" s="1339"/>
      <c r="HIP10" s="1340"/>
      <c r="HIQ10" s="1340"/>
      <c r="HIR10" s="1340"/>
      <c r="HIS10" s="1341"/>
      <c r="HIT10" s="1342"/>
      <c r="HIU10" s="1336"/>
      <c r="HIV10" s="1336"/>
      <c r="HIW10" s="1336"/>
      <c r="HIX10" s="1336"/>
      <c r="HIY10" s="1337"/>
      <c r="HIZ10" s="1337"/>
      <c r="HJA10" s="1337"/>
      <c r="HJB10" s="1337"/>
      <c r="HJC10" s="1337"/>
      <c r="HJD10" s="1338"/>
      <c r="HJE10" s="1339"/>
      <c r="HJF10" s="1340"/>
      <c r="HJG10" s="1340"/>
      <c r="HJH10" s="1340"/>
      <c r="HJI10" s="1341"/>
      <c r="HJJ10" s="1342"/>
      <c r="HJK10" s="1336"/>
      <c r="HJL10" s="1336"/>
      <c r="HJM10" s="1336"/>
      <c r="HJN10" s="1336"/>
      <c r="HJO10" s="1337"/>
      <c r="HJP10" s="1337"/>
      <c r="HJQ10" s="1337"/>
      <c r="HJR10" s="1337"/>
      <c r="HJS10" s="1337"/>
      <c r="HJT10" s="1338"/>
      <c r="HJU10" s="1339"/>
      <c r="HJV10" s="1340"/>
      <c r="HJW10" s="1340"/>
      <c r="HJX10" s="1340"/>
      <c r="HJY10" s="1341"/>
      <c r="HJZ10" s="1342"/>
      <c r="HKA10" s="1336"/>
      <c r="HKB10" s="1336"/>
      <c r="HKC10" s="1336"/>
      <c r="HKD10" s="1336"/>
      <c r="HKE10" s="1337"/>
      <c r="HKF10" s="1337"/>
      <c r="HKG10" s="1337"/>
      <c r="HKH10" s="1337"/>
      <c r="HKI10" s="1337"/>
      <c r="HKJ10" s="1338"/>
      <c r="HKK10" s="1339"/>
      <c r="HKL10" s="1340"/>
      <c r="HKM10" s="1340"/>
      <c r="HKN10" s="1340"/>
      <c r="HKO10" s="1341"/>
      <c r="HKP10" s="1342"/>
      <c r="HKQ10" s="1336"/>
      <c r="HKR10" s="1336"/>
      <c r="HKS10" s="1336"/>
      <c r="HKT10" s="1336"/>
      <c r="HKU10" s="1337"/>
      <c r="HKV10" s="1337"/>
      <c r="HKW10" s="1337"/>
      <c r="HKX10" s="1337"/>
      <c r="HKY10" s="1337"/>
      <c r="HKZ10" s="1338"/>
      <c r="HLA10" s="1339"/>
      <c r="HLB10" s="1340"/>
      <c r="HLC10" s="1340"/>
      <c r="HLD10" s="1340"/>
      <c r="HLE10" s="1341"/>
      <c r="HLF10" s="1342"/>
      <c r="HLG10" s="1336"/>
      <c r="HLH10" s="1336"/>
      <c r="HLI10" s="1336"/>
      <c r="HLJ10" s="1336"/>
      <c r="HLK10" s="1337"/>
      <c r="HLL10" s="1337"/>
      <c r="HLM10" s="1337"/>
      <c r="HLN10" s="1337"/>
      <c r="HLO10" s="1337"/>
      <c r="HLP10" s="1338"/>
      <c r="HLQ10" s="1339"/>
      <c r="HLR10" s="1340"/>
      <c r="HLS10" s="1340"/>
      <c r="HLT10" s="1340"/>
      <c r="HLU10" s="1341"/>
      <c r="HLV10" s="1342"/>
      <c r="HLW10" s="1336"/>
      <c r="HLX10" s="1336"/>
      <c r="HLY10" s="1336"/>
      <c r="HLZ10" s="1336"/>
      <c r="HMA10" s="1337"/>
      <c r="HMB10" s="1337"/>
      <c r="HMC10" s="1337"/>
      <c r="HMD10" s="1337"/>
      <c r="HME10" s="1337"/>
      <c r="HMF10" s="1338"/>
      <c r="HMG10" s="1339"/>
      <c r="HMH10" s="1340"/>
      <c r="HMI10" s="1340"/>
      <c r="HMJ10" s="1340"/>
      <c r="HMK10" s="1341"/>
      <c r="HML10" s="1342"/>
      <c r="HMM10" s="1336"/>
      <c r="HMN10" s="1336"/>
      <c r="HMO10" s="1336"/>
      <c r="HMP10" s="1336"/>
      <c r="HMQ10" s="1337"/>
      <c r="HMR10" s="1337"/>
      <c r="HMS10" s="1337"/>
      <c r="HMT10" s="1337"/>
      <c r="HMU10" s="1337"/>
      <c r="HMV10" s="1338"/>
      <c r="HMW10" s="1339"/>
      <c r="HMX10" s="1340"/>
      <c r="HMY10" s="1340"/>
      <c r="HMZ10" s="1340"/>
      <c r="HNA10" s="1341"/>
      <c r="HNB10" s="1342"/>
      <c r="HNC10" s="1336"/>
      <c r="HND10" s="1336"/>
      <c r="HNE10" s="1336"/>
      <c r="HNF10" s="1336"/>
      <c r="HNG10" s="1337"/>
      <c r="HNH10" s="1337"/>
      <c r="HNI10" s="1337"/>
      <c r="HNJ10" s="1337"/>
      <c r="HNK10" s="1337"/>
      <c r="HNL10" s="1338"/>
      <c r="HNM10" s="1339"/>
      <c r="HNN10" s="1340"/>
      <c r="HNO10" s="1340"/>
      <c r="HNP10" s="1340"/>
      <c r="HNQ10" s="1341"/>
      <c r="HNR10" s="1342"/>
      <c r="HNS10" s="1336"/>
      <c r="HNT10" s="1336"/>
      <c r="HNU10" s="1336"/>
      <c r="HNV10" s="1336"/>
      <c r="HNW10" s="1337"/>
      <c r="HNX10" s="1337"/>
      <c r="HNY10" s="1337"/>
      <c r="HNZ10" s="1337"/>
      <c r="HOA10" s="1337"/>
      <c r="HOB10" s="1338"/>
      <c r="HOC10" s="1339"/>
      <c r="HOD10" s="1340"/>
      <c r="HOE10" s="1340"/>
      <c r="HOF10" s="1340"/>
      <c r="HOG10" s="1341"/>
      <c r="HOH10" s="1342"/>
      <c r="HOI10" s="1336"/>
      <c r="HOJ10" s="1336"/>
      <c r="HOK10" s="1336"/>
      <c r="HOL10" s="1336"/>
      <c r="HOM10" s="1337"/>
      <c r="HON10" s="1337"/>
      <c r="HOO10" s="1337"/>
      <c r="HOP10" s="1337"/>
      <c r="HOQ10" s="1337"/>
      <c r="HOR10" s="1338"/>
      <c r="HOS10" s="1339"/>
      <c r="HOT10" s="1340"/>
      <c r="HOU10" s="1340"/>
      <c r="HOV10" s="1340"/>
      <c r="HOW10" s="1341"/>
      <c r="HOX10" s="1342"/>
      <c r="HOY10" s="1336"/>
      <c r="HOZ10" s="1336"/>
      <c r="HPA10" s="1336"/>
      <c r="HPB10" s="1336"/>
      <c r="HPC10" s="1337"/>
      <c r="HPD10" s="1337"/>
      <c r="HPE10" s="1337"/>
      <c r="HPF10" s="1337"/>
      <c r="HPG10" s="1337"/>
      <c r="HPH10" s="1338"/>
      <c r="HPI10" s="1339"/>
      <c r="HPJ10" s="1340"/>
      <c r="HPK10" s="1340"/>
      <c r="HPL10" s="1340"/>
      <c r="HPM10" s="1341"/>
      <c r="HPN10" s="1342"/>
      <c r="HPO10" s="1336"/>
      <c r="HPP10" s="1336"/>
      <c r="HPQ10" s="1336"/>
      <c r="HPR10" s="1336"/>
      <c r="HPS10" s="1337"/>
      <c r="HPT10" s="1337"/>
      <c r="HPU10" s="1337"/>
      <c r="HPV10" s="1337"/>
      <c r="HPW10" s="1337"/>
      <c r="HPX10" s="1338"/>
      <c r="HPY10" s="1339"/>
      <c r="HPZ10" s="1340"/>
      <c r="HQA10" s="1340"/>
      <c r="HQB10" s="1340"/>
      <c r="HQC10" s="1341"/>
      <c r="HQD10" s="1342"/>
      <c r="HQE10" s="1336"/>
      <c r="HQF10" s="1336"/>
      <c r="HQG10" s="1336"/>
      <c r="HQH10" s="1336"/>
      <c r="HQI10" s="1337"/>
      <c r="HQJ10" s="1337"/>
      <c r="HQK10" s="1337"/>
      <c r="HQL10" s="1337"/>
      <c r="HQM10" s="1337"/>
      <c r="HQN10" s="1338"/>
      <c r="HQO10" s="1339"/>
      <c r="HQP10" s="1340"/>
      <c r="HQQ10" s="1340"/>
      <c r="HQR10" s="1340"/>
      <c r="HQS10" s="1341"/>
      <c r="HQT10" s="1342"/>
      <c r="HQU10" s="1336"/>
      <c r="HQV10" s="1336"/>
      <c r="HQW10" s="1336"/>
      <c r="HQX10" s="1336"/>
      <c r="HQY10" s="1337"/>
      <c r="HQZ10" s="1337"/>
      <c r="HRA10" s="1337"/>
      <c r="HRB10" s="1337"/>
      <c r="HRC10" s="1337"/>
      <c r="HRD10" s="1338"/>
      <c r="HRE10" s="1339"/>
      <c r="HRF10" s="1340"/>
      <c r="HRG10" s="1340"/>
      <c r="HRH10" s="1340"/>
      <c r="HRI10" s="1341"/>
      <c r="HRJ10" s="1342"/>
      <c r="HRK10" s="1336"/>
      <c r="HRL10" s="1336"/>
      <c r="HRM10" s="1336"/>
      <c r="HRN10" s="1336"/>
      <c r="HRO10" s="1337"/>
      <c r="HRP10" s="1337"/>
      <c r="HRQ10" s="1337"/>
      <c r="HRR10" s="1337"/>
      <c r="HRS10" s="1337"/>
      <c r="HRT10" s="1338"/>
      <c r="HRU10" s="1339"/>
      <c r="HRV10" s="1340"/>
      <c r="HRW10" s="1340"/>
      <c r="HRX10" s="1340"/>
      <c r="HRY10" s="1341"/>
      <c r="HRZ10" s="1342"/>
      <c r="HSA10" s="1336"/>
      <c r="HSB10" s="1336"/>
      <c r="HSC10" s="1336"/>
      <c r="HSD10" s="1336"/>
      <c r="HSE10" s="1337"/>
      <c r="HSF10" s="1337"/>
      <c r="HSG10" s="1337"/>
      <c r="HSH10" s="1337"/>
      <c r="HSI10" s="1337"/>
      <c r="HSJ10" s="1338"/>
      <c r="HSK10" s="1339"/>
      <c r="HSL10" s="1340"/>
      <c r="HSM10" s="1340"/>
      <c r="HSN10" s="1340"/>
      <c r="HSO10" s="1341"/>
      <c r="HSP10" s="1342"/>
      <c r="HSQ10" s="1336"/>
      <c r="HSR10" s="1336"/>
      <c r="HSS10" s="1336"/>
      <c r="HST10" s="1336"/>
      <c r="HSU10" s="1337"/>
      <c r="HSV10" s="1337"/>
      <c r="HSW10" s="1337"/>
      <c r="HSX10" s="1337"/>
      <c r="HSY10" s="1337"/>
      <c r="HSZ10" s="1338"/>
      <c r="HTA10" s="1339"/>
      <c r="HTB10" s="1340"/>
      <c r="HTC10" s="1340"/>
      <c r="HTD10" s="1340"/>
      <c r="HTE10" s="1341"/>
      <c r="HTF10" s="1342"/>
      <c r="HTG10" s="1336"/>
      <c r="HTH10" s="1336"/>
      <c r="HTI10" s="1336"/>
      <c r="HTJ10" s="1336"/>
      <c r="HTK10" s="1337"/>
      <c r="HTL10" s="1337"/>
      <c r="HTM10" s="1337"/>
      <c r="HTN10" s="1337"/>
      <c r="HTO10" s="1337"/>
      <c r="HTP10" s="1338"/>
      <c r="HTQ10" s="1339"/>
      <c r="HTR10" s="1340"/>
      <c r="HTS10" s="1340"/>
      <c r="HTT10" s="1340"/>
      <c r="HTU10" s="1341"/>
      <c r="HTV10" s="1342"/>
      <c r="HTW10" s="1336"/>
      <c r="HTX10" s="1336"/>
      <c r="HTY10" s="1336"/>
      <c r="HTZ10" s="1336"/>
      <c r="HUA10" s="1337"/>
      <c r="HUB10" s="1337"/>
      <c r="HUC10" s="1337"/>
      <c r="HUD10" s="1337"/>
      <c r="HUE10" s="1337"/>
      <c r="HUF10" s="1338"/>
      <c r="HUG10" s="1339"/>
      <c r="HUH10" s="1340"/>
      <c r="HUI10" s="1340"/>
      <c r="HUJ10" s="1340"/>
      <c r="HUK10" s="1341"/>
      <c r="HUL10" s="1342"/>
      <c r="HUM10" s="1336"/>
      <c r="HUN10" s="1336"/>
      <c r="HUO10" s="1336"/>
      <c r="HUP10" s="1336"/>
      <c r="HUQ10" s="1337"/>
      <c r="HUR10" s="1337"/>
      <c r="HUS10" s="1337"/>
      <c r="HUT10" s="1337"/>
      <c r="HUU10" s="1337"/>
      <c r="HUV10" s="1338"/>
      <c r="HUW10" s="1339"/>
      <c r="HUX10" s="1340"/>
      <c r="HUY10" s="1340"/>
      <c r="HUZ10" s="1340"/>
      <c r="HVA10" s="1341"/>
      <c r="HVB10" s="1342"/>
      <c r="HVC10" s="1336"/>
      <c r="HVD10" s="1336"/>
      <c r="HVE10" s="1336"/>
      <c r="HVF10" s="1336"/>
      <c r="HVG10" s="1337"/>
      <c r="HVH10" s="1337"/>
      <c r="HVI10" s="1337"/>
      <c r="HVJ10" s="1337"/>
      <c r="HVK10" s="1337"/>
      <c r="HVL10" s="1338"/>
      <c r="HVM10" s="1339"/>
      <c r="HVN10" s="1340"/>
      <c r="HVO10" s="1340"/>
      <c r="HVP10" s="1340"/>
      <c r="HVQ10" s="1341"/>
      <c r="HVR10" s="1342"/>
      <c r="HVS10" s="1336"/>
      <c r="HVT10" s="1336"/>
      <c r="HVU10" s="1336"/>
      <c r="HVV10" s="1336"/>
      <c r="HVW10" s="1337"/>
      <c r="HVX10" s="1337"/>
      <c r="HVY10" s="1337"/>
      <c r="HVZ10" s="1337"/>
      <c r="HWA10" s="1337"/>
      <c r="HWB10" s="1338"/>
      <c r="HWC10" s="1339"/>
      <c r="HWD10" s="1340"/>
      <c r="HWE10" s="1340"/>
      <c r="HWF10" s="1340"/>
      <c r="HWG10" s="1341"/>
      <c r="HWH10" s="1342"/>
      <c r="HWI10" s="1336"/>
      <c r="HWJ10" s="1336"/>
      <c r="HWK10" s="1336"/>
      <c r="HWL10" s="1336"/>
      <c r="HWM10" s="1337"/>
      <c r="HWN10" s="1337"/>
      <c r="HWO10" s="1337"/>
      <c r="HWP10" s="1337"/>
      <c r="HWQ10" s="1337"/>
      <c r="HWR10" s="1338"/>
      <c r="HWS10" s="1339"/>
      <c r="HWT10" s="1340"/>
      <c r="HWU10" s="1340"/>
      <c r="HWV10" s="1340"/>
      <c r="HWW10" s="1341"/>
      <c r="HWX10" s="1342"/>
      <c r="HWY10" s="1336"/>
      <c r="HWZ10" s="1336"/>
      <c r="HXA10" s="1336"/>
      <c r="HXB10" s="1336"/>
      <c r="HXC10" s="1337"/>
      <c r="HXD10" s="1337"/>
      <c r="HXE10" s="1337"/>
      <c r="HXF10" s="1337"/>
      <c r="HXG10" s="1337"/>
      <c r="HXH10" s="1338"/>
      <c r="HXI10" s="1339"/>
      <c r="HXJ10" s="1340"/>
      <c r="HXK10" s="1340"/>
      <c r="HXL10" s="1340"/>
      <c r="HXM10" s="1341"/>
      <c r="HXN10" s="1342"/>
      <c r="HXO10" s="1336"/>
      <c r="HXP10" s="1336"/>
      <c r="HXQ10" s="1336"/>
      <c r="HXR10" s="1336"/>
      <c r="HXS10" s="1337"/>
      <c r="HXT10" s="1337"/>
      <c r="HXU10" s="1337"/>
      <c r="HXV10" s="1337"/>
      <c r="HXW10" s="1337"/>
      <c r="HXX10" s="1338"/>
      <c r="HXY10" s="1339"/>
      <c r="HXZ10" s="1340"/>
      <c r="HYA10" s="1340"/>
      <c r="HYB10" s="1340"/>
      <c r="HYC10" s="1341"/>
      <c r="HYD10" s="1342"/>
      <c r="HYE10" s="1336"/>
      <c r="HYF10" s="1336"/>
      <c r="HYG10" s="1336"/>
      <c r="HYH10" s="1336"/>
      <c r="HYI10" s="1337"/>
      <c r="HYJ10" s="1337"/>
      <c r="HYK10" s="1337"/>
      <c r="HYL10" s="1337"/>
      <c r="HYM10" s="1337"/>
      <c r="HYN10" s="1338"/>
      <c r="HYO10" s="1339"/>
      <c r="HYP10" s="1340"/>
      <c r="HYQ10" s="1340"/>
      <c r="HYR10" s="1340"/>
      <c r="HYS10" s="1341"/>
      <c r="HYT10" s="1342"/>
      <c r="HYU10" s="1336"/>
      <c r="HYV10" s="1336"/>
      <c r="HYW10" s="1336"/>
      <c r="HYX10" s="1336"/>
      <c r="HYY10" s="1337"/>
      <c r="HYZ10" s="1337"/>
      <c r="HZA10" s="1337"/>
      <c r="HZB10" s="1337"/>
      <c r="HZC10" s="1337"/>
      <c r="HZD10" s="1338"/>
      <c r="HZE10" s="1339"/>
      <c r="HZF10" s="1340"/>
      <c r="HZG10" s="1340"/>
      <c r="HZH10" s="1340"/>
      <c r="HZI10" s="1341"/>
      <c r="HZJ10" s="1342"/>
      <c r="HZK10" s="1336"/>
      <c r="HZL10" s="1336"/>
      <c r="HZM10" s="1336"/>
      <c r="HZN10" s="1336"/>
      <c r="HZO10" s="1337"/>
      <c r="HZP10" s="1337"/>
      <c r="HZQ10" s="1337"/>
      <c r="HZR10" s="1337"/>
      <c r="HZS10" s="1337"/>
      <c r="HZT10" s="1338"/>
      <c r="HZU10" s="1339"/>
      <c r="HZV10" s="1340"/>
      <c r="HZW10" s="1340"/>
      <c r="HZX10" s="1340"/>
      <c r="HZY10" s="1341"/>
      <c r="HZZ10" s="1342"/>
      <c r="IAA10" s="1336"/>
      <c r="IAB10" s="1336"/>
      <c r="IAC10" s="1336"/>
      <c r="IAD10" s="1336"/>
      <c r="IAE10" s="1337"/>
      <c r="IAF10" s="1337"/>
      <c r="IAG10" s="1337"/>
      <c r="IAH10" s="1337"/>
      <c r="IAI10" s="1337"/>
      <c r="IAJ10" s="1338"/>
      <c r="IAK10" s="1339"/>
      <c r="IAL10" s="1340"/>
      <c r="IAM10" s="1340"/>
      <c r="IAN10" s="1340"/>
      <c r="IAO10" s="1341"/>
      <c r="IAP10" s="1342"/>
      <c r="IAQ10" s="1336"/>
      <c r="IAR10" s="1336"/>
      <c r="IAS10" s="1336"/>
      <c r="IAT10" s="1336"/>
      <c r="IAU10" s="1337"/>
      <c r="IAV10" s="1337"/>
      <c r="IAW10" s="1337"/>
      <c r="IAX10" s="1337"/>
      <c r="IAY10" s="1337"/>
      <c r="IAZ10" s="1338"/>
      <c r="IBA10" s="1339"/>
      <c r="IBB10" s="1340"/>
      <c r="IBC10" s="1340"/>
      <c r="IBD10" s="1340"/>
      <c r="IBE10" s="1341"/>
      <c r="IBF10" s="1342"/>
      <c r="IBG10" s="1336"/>
      <c r="IBH10" s="1336"/>
      <c r="IBI10" s="1336"/>
      <c r="IBJ10" s="1336"/>
      <c r="IBK10" s="1337"/>
      <c r="IBL10" s="1337"/>
      <c r="IBM10" s="1337"/>
      <c r="IBN10" s="1337"/>
      <c r="IBO10" s="1337"/>
      <c r="IBP10" s="1338"/>
      <c r="IBQ10" s="1339"/>
      <c r="IBR10" s="1340"/>
      <c r="IBS10" s="1340"/>
      <c r="IBT10" s="1340"/>
      <c r="IBU10" s="1341"/>
      <c r="IBV10" s="1342"/>
      <c r="IBW10" s="1336"/>
      <c r="IBX10" s="1336"/>
      <c r="IBY10" s="1336"/>
      <c r="IBZ10" s="1336"/>
      <c r="ICA10" s="1337"/>
      <c r="ICB10" s="1337"/>
      <c r="ICC10" s="1337"/>
      <c r="ICD10" s="1337"/>
      <c r="ICE10" s="1337"/>
      <c r="ICF10" s="1338"/>
      <c r="ICG10" s="1339"/>
      <c r="ICH10" s="1340"/>
      <c r="ICI10" s="1340"/>
      <c r="ICJ10" s="1340"/>
      <c r="ICK10" s="1341"/>
      <c r="ICL10" s="1342"/>
      <c r="ICM10" s="1336"/>
      <c r="ICN10" s="1336"/>
      <c r="ICO10" s="1336"/>
      <c r="ICP10" s="1336"/>
      <c r="ICQ10" s="1337"/>
      <c r="ICR10" s="1337"/>
      <c r="ICS10" s="1337"/>
      <c r="ICT10" s="1337"/>
      <c r="ICU10" s="1337"/>
      <c r="ICV10" s="1338"/>
      <c r="ICW10" s="1339"/>
      <c r="ICX10" s="1340"/>
      <c r="ICY10" s="1340"/>
      <c r="ICZ10" s="1340"/>
      <c r="IDA10" s="1341"/>
      <c r="IDB10" s="1342"/>
      <c r="IDC10" s="1336"/>
      <c r="IDD10" s="1336"/>
      <c r="IDE10" s="1336"/>
      <c r="IDF10" s="1336"/>
      <c r="IDG10" s="1337"/>
      <c r="IDH10" s="1337"/>
      <c r="IDI10" s="1337"/>
      <c r="IDJ10" s="1337"/>
      <c r="IDK10" s="1337"/>
      <c r="IDL10" s="1338"/>
      <c r="IDM10" s="1339"/>
      <c r="IDN10" s="1340"/>
      <c r="IDO10" s="1340"/>
      <c r="IDP10" s="1340"/>
      <c r="IDQ10" s="1341"/>
      <c r="IDR10" s="1342"/>
      <c r="IDS10" s="1336"/>
      <c r="IDT10" s="1336"/>
      <c r="IDU10" s="1336"/>
      <c r="IDV10" s="1336"/>
      <c r="IDW10" s="1337"/>
      <c r="IDX10" s="1337"/>
      <c r="IDY10" s="1337"/>
      <c r="IDZ10" s="1337"/>
      <c r="IEA10" s="1337"/>
      <c r="IEB10" s="1338"/>
      <c r="IEC10" s="1339"/>
      <c r="IED10" s="1340"/>
      <c r="IEE10" s="1340"/>
      <c r="IEF10" s="1340"/>
      <c r="IEG10" s="1341"/>
      <c r="IEH10" s="1342"/>
      <c r="IEI10" s="1336"/>
      <c r="IEJ10" s="1336"/>
      <c r="IEK10" s="1336"/>
      <c r="IEL10" s="1336"/>
      <c r="IEM10" s="1337"/>
      <c r="IEN10" s="1337"/>
      <c r="IEO10" s="1337"/>
      <c r="IEP10" s="1337"/>
      <c r="IEQ10" s="1337"/>
      <c r="IER10" s="1338"/>
      <c r="IES10" s="1339"/>
      <c r="IET10" s="1340"/>
      <c r="IEU10" s="1340"/>
      <c r="IEV10" s="1340"/>
      <c r="IEW10" s="1341"/>
      <c r="IEX10" s="1342"/>
      <c r="IEY10" s="1336"/>
      <c r="IEZ10" s="1336"/>
      <c r="IFA10" s="1336"/>
      <c r="IFB10" s="1336"/>
      <c r="IFC10" s="1337"/>
      <c r="IFD10" s="1337"/>
      <c r="IFE10" s="1337"/>
      <c r="IFF10" s="1337"/>
      <c r="IFG10" s="1337"/>
      <c r="IFH10" s="1338"/>
      <c r="IFI10" s="1339"/>
      <c r="IFJ10" s="1340"/>
      <c r="IFK10" s="1340"/>
      <c r="IFL10" s="1340"/>
      <c r="IFM10" s="1341"/>
      <c r="IFN10" s="1342"/>
      <c r="IFO10" s="1336"/>
      <c r="IFP10" s="1336"/>
      <c r="IFQ10" s="1336"/>
      <c r="IFR10" s="1336"/>
      <c r="IFS10" s="1337"/>
      <c r="IFT10" s="1337"/>
      <c r="IFU10" s="1337"/>
      <c r="IFV10" s="1337"/>
      <c r="IFW10" s="1337"/>
      <c r="IFX10" s="1338"/>
      <c r="IFY10" s="1339"/>
      <c r="IFZ10" s="1340"/>
      <c r="IGA10" s="1340"/>
      <c r="IGB10" s="1340"/>
      <c r="IGC10" s="1341"/>
      <c r="IGD10" s="1342"/>
      <c r="IGE10" s="1336"/>
      <c r="IGF10" s="1336"/>
      <c r="IGG10" s="1336"/>
      <c r="IGH10" s="1336"/>
      <c r="IGI10" s="1337"/>
      <c r="IGJ10" s="1337"/>
      <c r="IGK10" s="1337"/>
      <c r="IGL10" s="1337"/>
      <c r="IGM10" s="1337"/>
      <c r="IGN10" s="1338"/>
      <c r="IGO10" s="1339"/>
      <c r="IGP10" s="1340"/>
      <c r="IGQ10" s="1340"/>
      <c r="IGR10" s="1340"/>
      <c r="IGS10" s="1341"/>
      <c r="IGT10" s="1342"/>
      <c r="IGU10" s="1336"/>
      <c r="IGV10" s="1336"/>
      <c r="IGW10" s="1336"/>
      <c r="IGX10" s="1336"/>
      <c r="IGY10" s="1337"/>
      <c r="IGZ10" s="1337"/>
      <c r="IHA10" s="1337"/>
      <c r="IHB10" s="1337"/>
      <c r="IHC10" s="1337"/>
      <c r="IHD10" s="1338"/>
      <c r="IHE10" s="1339"/>
      <c r="IHF10" s="1340"/>
      <c r="IHG10" s="1340"/>
      <c r="IHH10" s="1340"/>
      <c r="IHI10" s="1341"/>
      <c r="IHJ10" s="1342"/>
      <c r="IHK10" s="1336"/>
      <c r="IHL10" s="1336"/>
      <c r="IHM10" s="1336"/>
      <c r="IHN10" s="1336"/>
      <c r="IHO10" s="1337"/>
      <c r="IHP10" s="1337"/>
      <c r="IHQ10" s="1337"/>
      <c r="IHR10" s="1337"/>
      <c r="IHS10" s="1337"/>
      <c r="IHT10" s="1338"/>
      <c r="IHU10" s="1339"/>
      <c r="IHV10" s="1340"/>
      <c r="IHW10" s="1340"/>
      <c r="IHX10" s="1340"/>
      <c r="IHY10" s="1341"/>
      <c r="IHZ10" s="1342"/>
      <c r="IIA10" s="1336"/>
      <c r="IIB10" s="1336"/>
      <c r="IIC10" s="1336"/>
      <c r="IID10" s="1336"/>
      <c r="IIE10" s="1337"/>
      <c r="IIF10" s="1337"/>
      <c r="IIG10" s="1337"/>
      <c r="IIH10" s="1337"/>
      <c r="III10" s="1337"/>
      <c r="IIJ10" s="1338"/>
      <c r="IIK10" s="1339"/>
      <c r="IIL10" s="1340"/>
      <c r="IIM10" s="1340"/>
      <c r="IIN10" s="1340"/>
      <c r="IIO10" s="1341"/>
      <c r="IIP10" s="1342"/>
      <c r="IIQ10" s="1336"/>
      <c r="IIR10" s="1336"/>
      <c r="IIS10" s="1336"/>
      <c r="IIT10" s="1336"/>
      <c r="IIU10" s="1337"/>
      <c r="IIV10" s="1337"/>
      <c r="IIW10" s="1337"/>
      <c r="IIX10" s="1337"/>
      <c r="IIY10" s="1337"/>
      <c r="IIZ10" s="1338"/>
      <c r="IJA10" s="1339"/>
      <c r="IJB10" s="1340"/>
      <c r="IJC10" s="1340"/>
      <c r="IJD10" s="1340"/>
      <c r="IJE10" s="1341"/>
      <c r="IJF10" s="1342"/>
      <c r="IJG10" s="1336"/>
      <c r="IJH10" s="1336"/>
      <c r="IJI10" s="1336"/>
      <c r="IJJ10" s="1336"/>
      <c r="IJK10" s="1337"/>
      <c r="IJL10" s="1337"/>
      <c r="IJM10" s="1337"/>
      <c r="IJN10" s="1337"/>
      <c r="IJO10" s="1337"/>
      <c r="IJP10" s="1338"/>
      <c r="IJQ10" s="1339"/>
      <c r="IJR10" s="1340"/>
      <c r="IJS10" s="1340"/>
      <c r="IJT10" s="1340"/>
      <c r="IJU10" s="1341"/>
      <c r="IJV10" s="1342"/>
      <c r="IJW10" s="1336"/>
      <c r="IJX10" s="1336"/>
      <c r="IJY10" s="1336"/>
      <c r="IJZ10" s="1336"/>
      <c r="IKA10" s="1337"/>
      <c r="IKB10" s="1337"/>
      <c r="IKC10" s="1337"/>
      <c r="IKD10" s="1337"/>
      <c r="IKE10" s="1337"/>
      <c r="IKF10" s="1338"/>
      <c r="IKG10" s="1339"/>
      <c r="IKH10" s="1340"/>
      <c r="IKI10" s="1340"/>
      <c r="IKJ10" s="1340"/>
      <c r="IKK10" s="1341"/>
      <c r="IKL10" s="1342"/>
      <c r="IKM10" s="1336"/>
      <c r="IKN10" s="1336"/>
      <c r="IKO10" s="1336"/>
      <c r="IKP10" s="1336"/>
      <c r="IKQ10" s="1337"/>
      <c r="IKR10" s="1337"/>
      <c r="IKS10" s="1337"/>
      <c r="IKT10" s="1337"/>
      <c r="IKU10" s="1337"/>
      <c r="IKV10" s="1338"/>
      <c r="IKW10" s="1339"/>
      <c r="IKX10" s="1340"/>
      <c r="IKY10" s="1340"/>
      <c r="IKZ10" s="1340"/>
      <c r="ILA10" s="1341"/>
      <c r="ILB10" s="1342"/>
      <c r="ILC10" s="1336"/>
      <c r="ILD10" s="1336"/>
      <c r="ILE10" s="1336"/>
      <c r="ILF10" s="1336"/>
      <c r="ILG10" s="1337"/>
      <c r="ILH10" s="1337"/>
      <c r="ILI10" s="1337"/>
      <c r="ILJ10" s="1337"/>
      <c r="ILK10" s="1337"/>
      <c r="ILL10" s="1338"/>
      <c r="ILM10" s="1339"/>
      <c r="ILN10" s="1340"/>
      <c r="ILO10" s="1340"/>
      <c r="ILP10" s="1340"/>
      <c r="ILQ10" s="1341"/>
      <c r="ILR10" s="1342"/>
      <c r="ILS10" s="1336"/>
      <c r="ILT10" s="1336"/>
      <c r="ILU10" s="1336"/>
      <c r="ILV10" s="1336"/>
      <c r="ILW10" s="1337"/>
      <c r="ILX10" s="1337"/>
      <c r="ILY10" s="1337"/>
      <c r="ILZ10" s="1337"/>
      <c r="IMA10" s="1337"/>
      <c r="IMB10" s="1338"/>
      <c r="IMC10" s="1339"/>
      <c r="IMD10" s="1340"/>
      <c r="IME10" s="1340"/>
      <c r="IMF10" s="1340"/>
      <c r="IMG10" s="1341"/>
      <c r="IMH10" s="1342"/>
      <c r="IMI10" s="1336"/>
      <c r="IMJ10" s="1336"/>
      <c r="IMK10" s="1336"/>
      <c r="IML10" s="1336"/>
      <c r="IMM10" s="1337"/>
      <c r="IMN10" s="1337"/>
      <c r="IMO10" s="1337"/>
      <c r="IMP10" s="1337"/>
      <c r="IMQ10" s="1337"/>
      <c r="IMR10" s="1338"/>
      <c r="IMS10" s="1339"/>
      <c r="IMT10" s="1340"/>
      <c r="IMU10" s="1340"/>
      <c r="IMV10" s="1340"/>
      <c r="IMW10" s="1341"/>
      <c r="IMX10" s="1342"/>
      <c r="IMY10" s="1336"/>
      <c r="IMZ10" s="1336"/>
      <c r="INA10" s="1336"/>
      <c r="INB10" s="1336"/>
      <c r="INC10" s="1337"/>
      <c r="IND10" s="1337"/>
      <c r="INE10" s="1337"/>
      <c r="INF10" s="1337"/>
      <c r="ING10" s="1337"/>
      <c r="INH10" s="1338"/>
      <c r="INI10" s="1339"/>
      <c r="INJ10" s="1340"/>
      <c r="INK10" s="1340"/>
      <c r="INL10" s="1340"/>
      <c r="INM10" s="1341"/>
      <c r="INN10" s="1342"/>
      <c r="INO10" s="1336"/>
      <c r="INP10" s="1336"/>
      <c r="INQ10" s="1336"/>
      <c r="INR10" s="1336"/>
      <c r="INS10" s="1337"/>
      <c r="INT10" s="1337"/>
      <c r="INU10" s="1337"/>
      <c r="INV10" s="1337"/>
      <c r="INW10" s="1337"/>
      <c r="INX10" s="1338"/>
      <c r="INY10" s="1339"/>
      <c r="INZ10" s="1340"/>
      <c r="IOA10" s="1340"/>
      <c r="IOB10" s="1340"/>
      <c r="IOC10" s="1341"/>
      <c r="IOD10" s="1342"/>
      <c r="IOE10" s="1336"/>
      <c r="IOF10" s="1336"/>
      <c r="IOG10" s="1336"/>
      <c r="IOH10" s="1336"/>
      <c r="IOI10" s="1337"/>
      <c r="IOJ10" s="1337"/>
      <c r="IOK10" s="1337"/>
      <c r="IOL10" s="1337"/>
      <c r="IOM10" s="1337"/>
      <c r="ION10" s="1338"/>
      <c r="IOO10" s="1339"/>
      <c r="IOP10" s="1340"/>
      <c r="IOQ10" s="1340"/>
      <c r="IOR10" s="1340"/>
      <c r="IOS10" s="1341"/>
      <c r="IOT10" s="1342"/>
      <c r="IOU10" s="1336"/>
      <c r="IOV10" s="1336"/>
      <c r="IOW10" s="1336"/>
      <c r="IOX10" s="1336"/>
      <c r="IOY10" s="1337"/>
      <c r="IOZ10" s="1337"/>
      <c r="IPA10" s="1337"/>
      <c r="IPB10" s="1337"/>
      <c r="IPC10" s="1337"/>
      <c r="IPD10" s="1338"/>
      <c r="IPE10" s="1339"/>
      <c r="IPF10" s="1340"/>
      <c r="IPG10" s="1340"/>
      <c r="IPH10" s="1340"/>
      <c r="IPI10" s="1341"/>
      <c r="IPJ10" s="1342"/>
      <c r="IPK10" s="1336"/>
      <c r="IPL10" s="1336"/>
      <c r="IPM10" s="1336"/>
      <c r="IPN10" s="1336"/>
      <c r="IPO10" s="1337"/>
      <c r="IPP10" s="1337"/>
      <c r="IPQ10" s="1337"/>
      <c r="IPR10" s="1337"/>
      <c r="IPS10" s="1337"/>
      <c r="IPT10" s="1338"/>
      <c r="IPU10" s="1339"/>
      <c r="IPV10" s="1340"/>
      <c r="IPW10" s="1340"/>
      <c r="IPX10" s="1340"/>
      <c r="IPY10" s="1341"/>
      <c r="IPZ10" s="1342"/>
      <c r="IQA10" s="1336"/>
      <c r="IQB10" s="1336"/>
      <c r="IQC10" s="1336"/>
      <c r="IQD10" s="1336"/>
      <c r="IQE10" s="1337"/>
      <c r="IQF10" s="1337"/>
      <c r="IQG10" s="1337"/>
      <c r="IQH10" s="1337"/>
      <c r="IQI10" s="1337"/>
      <c r="IQJ10" s="1338"/>
      <c r="IQK10" s="1339"/>
      <c r="IQL10" s="1340"/>
      <c r="IQM10" s="1340"/>
      <c r="IQN10" s="1340"/>
      <c r="IQO10" s="1341"/>
      <c r="IQP10" s="1342"/>
      <c r="IQQ10" s="1336"/>
      <c r="IQR10" s="1336"/>
      <c r="IQS10" s="1336"/>
      <c r="IQT10" s="1336"/>
      <c r="IQU10" s="1337"/>
      <c r="IQV10" s="1337"/>
      <c r="IQW10" s="1337"/>
      <c r="IQX10" s="1337"/>
      <c r="IQY10" s="1337"/>
      <c r="IQZ10" s="1338"/>
      <c r="IRA10" s="1339"/>
      <c r="IRB10" s="1340"/>
      <c r="IRC10" s="1340"/>
      <c r="IRD10" s="1340"/>
      <c r="IRE10" s="1341"/>
      <c r="IRF10" s="1342"/>
      <c r="IRG10" s="1336"/>
      <c r="IRH10" s="1336"/>
      <c r="IRI10" s="1336"/>
      <c r="IRJ10" s="1336"/>
      <c r="IRK10" s="1337"/>
      <c r="IRL10" s="1337"/>
      <c r="IRM10" s="1337"/>
      <c r="IRN10" s="1337"/>
      <c r="IRO10" s="1337"/>
      <c r="IRP10" s="1338"/>
      <c r="IRQ10" s="1339"/>
      <c r="IRR10" s="1340"/>
      <c r="IRS10" s="1340"/>
      <c r="IRT10" s="1340"/>
      <c r="IRU10" s="1341"/>
      <c r="IRV10" s="1342"/>
      <c r="IRW10" s="1336"/>
      <c r="IRX10" s="1336"/>
      <c r="IRY10" s="1336"/>
      <c r="IRZ10" s="1336"/>
      <c r="ISA10" s="1337"/>
      <c r="ISB10" s="1337"/>
      <c r="ISC10" s="1337"/>
      <c r="ISD10" s="1337"/>
      <c r="ISE10" s="1337"/>
      <c r="ISF10" s="1338"/>
      <c r="ISG10" s="1339"/>
      <c r="ISH10" s="1340"/>
      <c r="ISI10" s="1340"/>
      <c r="ISJ10" s="1340"/>
      <c r="ISK10" s="1341"/>
      <c r="ISL10" s="1342"/>
      <c r="ISM10" s="1336"/>
      <c r="ISN10" s="1336"/>
      <c r="ISO10" s="1336"/>
      <c r="ISP10" s="1336"/>
      <c r="ISQ10" s="1337"/>
      <c r="ISR10" s="1337"/>
      <c r="ISS10" s="1337"/>
      <c r="IST10" s="1337"/>
      <c r="ISU10" s="1337"/>
      <c r="ISV10" s="1338"/>
      <c r="ISW10" s="1339"/>
      <c r="ISX10" s="1340"/>
      <c r="ISY10" s="1340"/>
      <c r="ISZ10" s="1340"/>
      <c r="ITA10" s="1341"/>
      <c r="ITB10" s="1342"/>
      <c r="ITC10" s="1336"/>
      <c r="ITD10" s="1336"/>
      <c r="ITE10" s="1336"/>
      <c r="ITF10" s="1336"/>
      <c r="ITG10" s="1337"/>
      <c r="ITH10" s="1337"/>
      <c r="ITI10" s="1337"/>
      <c r="ITJ10" s="1337"/>
      <c r="ITK10" s="1337"/>
      <c r="ITL10" s="1338"/>
      <c r="ITM10" s="1339"/>
      <c r="ITN10" s="1340"/>
      <c r="ITO10" s="1340"/>
      <c r="ITP10" s="1340"/>
      <c r="ITQ10" s="1341"/>
      <c r="ITR10" s="1342"/>
      <c r="ITS10" s="1336"/>
      <c r="ITT10" s="1336"/>
      <c r="ITU10" s="1336"/>
      <c r="ITV10" s="1336"/>
      <c r="ITW10" s="1337"/>
      <c r="ITX10" s="1337"/>
      <c r="ITY10" s="1337"/>
      <c r="ITZ10" s="1337"/>
      <c r="IUA10" s="1337"/>
      <c r="IUB10" s="1338"/>
      <c r="IUC10" s="1339"/>
      <c r="IUD10" s="1340"/>
      <c r="IUE10" s="1340"/>
      <c r="IUF10" s="1340"/>
      <c r="IUG10" s="1341"/>
      <c r="IUH10" s="1342"/>
      <c r="IUI10" s="1336"/>
      <c r="IUJ10" s="1336"/>
      <c r="IUK10" s="1336"/>
      <c r="IUL10" s="1336"/>
      <c r="IUM10" s="1337"/>
      <c r="IUN10" s="1337"/>
      <c r="IUO10" s="1337"/>
      <c r="IUP10" s="1337"/>
      <c r="IUQ10" s="1337"/>
      <c r="IUR10" s="1338"/>
      <c r="IUS10" s="1339"/>
      <c r="IUT10" s="1340"/>
      <c r="IUU10" s="1340"/>
      <c r="IUV10" s="1340"/>
      <c r="IUW10" s="1341"/>
      <c r="IUX10" s="1342"/>
      <c r="IUY10" s="1336"/>
      <c r="IUZ10" s="1336"/>
      <c r="IVA10" s="1336"/>
      <c r="IVB10" s="1336"/>
      <c r="IVC10" s="1337"/>
      <c r="IVD10" s="1337"/>
      <c r="IVE10" s="1337"/>
      <c r="IVF10" s="1337"/>
      <c r="IVG10" s="1337"/>
      <c r="IVH10" s="1338"/>
      <c r="IVI10" s="1339"/>
      <c r="IVJ10" s="1340"/>
      <c r="IVK10" s="1340"/>
      <c r="IVL10" s="1340"/>
      <c r="IVM10" s="1341"/>
      <c r="IVN10" s="1342"/>
      <c r="IVO10" s="1336"/>
      <c r="IVP10" s="1336"/>
      <c r="IVQ10" s="1336"/>
      <c r="IVR10" s="1336"/>
      <c r="IVS10" s="1337"/>
      <c r="IVT10" s="1337"/>
      <c r="IVU10" s="1337"/>
      <c r="IVV10" s="1337"/>
      <c r="IVW10" s="1337"/>
      <c r="IVX10" s="1338"/>
      <c r="IVY10" s="1339"/>
      <c r="IVZ10" s="1340"/>
      <c r="IWA10" s="1340"/>
      <c r="IWB10" s="1340"/>
      <c r="IWC10" s="1341"/>
      <c r="IWD10" s="1342"/>
      <c r="IWE10" s="1336"/>
      <c r="IWF10" s="1336"/>
      <c r="IWG10" s="1336"/>
      <c r="IWH10" s="1336"/>
      <c r="IWI10" s="1337"/>
      <c r="IWJ10" s="1337"/>
      <c r="IWK10" s="1337"/>
      <c r="IWL10" s="1337"/>
      <c r="IWM10" s="1337"/>
      <c r="IWN10" s="1338"/>
      <c r="IWO10" s="1339"/>
      <c r="IWP10" s="1340"/>
      <c r="IWQ10" s="1340"/>
      <c r="IWR10" s="1340"/>
      <c r="IWS10" s="1341"/>
      <c r="IWT10" s="1342"/>
      <c r="IWU10" s="1336"/>
      <c r="IWV10" s="1336"/>
      <c r="IWW10" s="1336"/>
      <c r="IWX10" s="1336"/>
      <c r="IWY10" s="1337"/>
      <c r="IWZ10" s="1337"/>
      <c r="IXA10" s="1337"/>
      <c r="IXB10" s="1337"/>
      <c r="IXC10" s="1337"/>
      <c r="IXD10" s="1338"/>
      <c r="IXE10" s="1339"/>
      <c r="IXF10" s="1340"/>
      <c r="IXG10" s="1340"/>
      <c r="IXH10" s="1340"/>
      <c r="IXI10" s="1341"/>
      <c r="IXJ10" s="1342"/>
      <c r="IXK10" s="1336"/>
      <c r="IXL10" s="1336"/>
      <c r="IXM10" s="1336"/>
      <c r="IXN10" s="1336"/>
      <c r="IXO10" s="1337"/>
      <c r="IXP10" s="1337"/>
      <c r="IXQ10" s="1337"/>
      <c r="IXR10" s="1337"/>
      <c r="IXS10" s="1337"/>
      <c r="IXT10" s="1338"/>
      <c r="IXU10" s="1339"/>
      <c r="IXV10" s="1340"/>
      <c r="IXW10" s="1340"/>
      <c r="IXX10" s="1340"/>
      <c r="IXY10" s="1341"/>
      <c r="IXZ10" s="1342"/>
      <c r="IYA10" s="1336"/>
      <c r="IYB10" s="1336"/>
      <c r="IYC10" s="1336"/>
      <c r="IYD10" s="1336"/>
      <c r="IYE10" s="1337"/>
      <c r="IYF10" s="1337"/>
      <c r="IYG10" s="1337"/>
      <c r="IYH10" s="1337"/>
      <c r="IYI10" s="1337"/>
      <c r="IYJ10" s="1338"/>
      <c r="IYK10" s="1339"/>
      <c r="IYL10" s="1340"/>
      <c r="IYM10" s="1340"/>
      <c r="IYN10" s="1340"/>
      <c r="IYO10" s="1341"/>
      <c r="IYP10" s="1342"/>
      <c r="IYQ10" s="1336"/>
      <c r="IYR10" s="1336"/>
      <c r="IYS10" s="1336"/>
      <c r="IYT10" s="1336"/>
      <c r="IYU10" s="1337"/>
      <c r="IYV10" s="1337"/>
      <c r="IYW10" s="1337"/>
      <c r="IYX10" s="1337"/>
      <c r="IYY10" s="1337"/>
      <c r="IYZ10" s="1338"/>
      <c r="IZA10" s="1339"/>
      <c r="IZB10" s="1340"/>
      <c r="IZC10" s="1340"/>
      <c r="IZD10" s="1340"/>
      <c r="IZE10" s="1341"/>
      <c r="IZF10" s="1342"/>
      <c r="IZG10" s="1336"/>
      <c r="IZH10" s="1336"/>
      <c r="IZI10" s="1336"/>
      <c r="IZJ10" s="1336"/>
      <c r="IZK10" s="1337"/>
      <c r="IZL10" s="1337"/>
      <c r="IZM10" s="1337"/>
      <c r="IZN10" s="1337"/>
      <c r="IZO10" s="1337"/>
      <c r="IZP10" s="1338"/>
      <c r="IZQ10" s="1339"/>
      <c r="IZR10" s="1340"/>
      <c r="IZS10" s="1340"/>
      <c r="IZT10" s="1340"/>
      <c r="IZU10" s="1341"/>
      <c r="IZV10" s="1342"/>
      <c r="IZW10" s="1336"/>
      <c r="IZX10" s="1336"/>
      <c r="IZY10" s="1336"/>
      <c r="IZZ10" s="1336"/>
      <c r="JAA10" s="1337"/>
      <c r="JAB10" s="1337"/>
      <c r="JAC10" s="1337"/>
      <c r="JAD10" s="1337"/>
      <c r="JAE10" s="1337"/>
      <c r="JAF10" s="1338"/>
      <c r="JAG10" s="1339"/>
      <c r="JAH10" s="1340"/>
      <c r="JAI10" s="1340"/>
      <c r="JAJ10" s="1340"/>
      <c r="JAK10" s="1341"/>
      <c r="JAL10" s="1342"/>
      <c r="JAM10" s="1336"/>
      <c r="JAN10" s="1336"/>
      <c r="JAO10" s="1336"/>
      <c r="JAP10" s="1336"/>
      <c r="JAQ10" s="1337"/>
      <c r="JAR10" s="1337"/>
      <c r="JAS10" s="1337"/>
      <c r="JAT10" s="1337"/>
      <c r="JAU10" s="1337"/>
      <c r="JAV10" s="1338"/>
      <c r="JAW10" s="1339"/>
      <c r="JAX10" s="1340"/>
      <c r="JAY10" s="1340"/>
      <c r="JAZ10" s="1340"/>
      <c r="JBA10" s="1341"/>
      <c r="JBB10" s="1342"/>
      <c r="JBC10" s="1336"/>
      <c r="JBD10" s="1336"/>
      <c r="JBE10" s="1336"/>
      <c r="JBF10" s="1336"/>
      <c r="JBG10" s="1337"/>
      <c r="JBH10" s="1337"/>
      <c r="JBI10" s="1337"/>
      <c r="JBJ10" s="1337"/>
      <c r="JBK10" s="1337"/>
      <c r="JBL10" s="1338"/>
      <c r="JBM10" s="1339"/>
      <c r="JBN10" s="1340"/>
      <c r="JBO10" s="1340"/>
      <c r="JBP10" s="1340"/>
      <c r="JBQ10" s="1341"/>
      <c r="JBR10" s="1342"/>
      <c r="JBS10" s="1336"/>
      <c r="JBT10" s="1336"/>
      <c r="JBU10" s="1336"/>
      <c r="JBV10" s="1336"/>
      <c r="JBW10" s="1337"/>
      <c r="JBX10" s="1337"/>
      <c r="JBY10" s="1337"/>
      <c r="JBZ10" s="1337"/>
      <c r="JCA10" s="1337"/>
      <c r="JCB10" s="1338"/>
      <c r="JCC10" s="1339"/>
      <c r="JCD10" s="1340"/>
      <c r="JCE10" s="1340"/>
      <c r="JCF10" s="1340"/>
      <c r="JCG10" s="1341"/>
      <c r="JCH10" s="1342"/>
      <c r="JCI10" s="1336"/>
      <c r="JCJ10" s="1336"/>
      <c r="JCK10" s="1336"/>
      <c r="JCL10" s="1336"/>
      <c r="JCM10" s="1337"/>
      <c r="JCN10" s="1337"/>
      <c r="JCO10" s="1337"/>
      <c r="JCP10" s="1337"/>
      <c r="JCQ10" s="1337"/>
      <c r="JCR10" s="1338"/>
      <c r="JCS10" s="1339"/>
      <c r="JCT10" s="1340"/>
      <c r="JCU10" s="1340"/>
      <c r="JCV10" s="1340"/>
      <c r="JCW10" s="1341"/>
      <c r="JCX10" s="1342"/>
      <c r="JCY10" s="1336"/>
      <c r="JCZ10" s="1336"/>
      <c r="JDA10" s="1336"/>
      <c r="JDB10" s="1336"/>
      <c r="JDC10" s="1337"/>
      <c r="JDD10" s="1337"/>
      <c r="JDE10" s="1337"/>
      <c r="JDF10" s="1337"/>
      <c r="JDG10" s="1337"/>
      <c r="JDH10" s="1338"/>
      <c r="JDI10" s="1339"/>
      <c r="JDJ10" s="1340"/>
      <c r="JDK10" s="1340"/>
      <c r="JDL10" s="1340"/>
      <c r="JDM10" s="1341"/>
      <c r="JDN10" s="1342"/>
      <c r="JDO10" s="1336"/>
      <c r="JDP10" s="1336"/>
      <c r="JDQ10" s="1336"/>
      <c r="JDR10" s="1336"/>
      <c r="JDS10" s="1337"/>
      <c r="JDT10" s="1337"/>
      <c r="JDU10" s="1337"/>
      <c r="JDV10" s="1337"/>
      <c r="JDW10" s="1337"/>
      <c r="JDX10" s="1338"/>
      <c r="JDY10" s="1339"/>
      <c r="JDZ10" s="1340"/>
      <c r="JEA10" s="1340"/>
      <c r="JEB10" s="1340"/>
      <c r="JEC10" s="1341"/>
      <c r="JED10" s="1342"/>
      <c r="JEE10" s="1336"/>
      <c r="JEF10" s="1336"/>
      <c r="JEG10" s="1336"/>
      <c r="JEH10" s="1336"/>
      <c r="JEI10" s="1337"/>
      <c r="JEJ10" s="1337"/>
      <c r="JEK10" s="1337"/>
      <c r="JEL10" s="1337"/>
      <c r="JEM10" s="1337"/>
      <c r="JEN10" s="1338"/>
      <c r="JEO10" s="1339"/>
      <c r="JEP10" s="1340"/>
      <c r="JEQ10" s="1340"/>
      <c r="JER10" s="1340"/>
      <c r="JES10" s="1341"/>
      <c r="JET10" s="1342"/>
      <c r="JEU10" s="1336"/>
      <c r="JEV10" s="1336"/>
      <c r="JEW10" s="1336"/>
      <c r="JEX10" s="1336"/>
      <c r="JEY10" s="1337"/>
      <c r="JEZ10" s="1337"/>
      <c r="JFA10" s="1337"/>
      <c r="JFB10" s="1337"/>
      <c r="JFC10" s="1337"/>
      <c r="JFD10" s="1338"/>
      <c r="JFE10" s="1339"/>
      <c r="JFF10" s="1340"/>
      <c r="JFG10" s="1340"/>
      <c r="JFH10" s="1340"/>
      <c r="JFI10" s="1341"/>
      <c r="JFJ10" s="1342"/>
      <c r="JFK10" s="1336"/>
      <c r="JFL10" s="1336"/>
      <c r="JFM10" s="1336"/>
      <c r="JFN10" s="1336"/>
      <c r="JFO10" s="1337"/>
      <c r="JFP10" s="1337"/>
      <c r="JFQ10" s="1337"/>
      <c r="JFR10" s="1337"/>
      <c r="JFS10" s="1337"/>
      <c r="JFT10" s="1338"/>
      <c r="JFU10" s="1339"/>
      <c r="JFV10" s="1340"/>
      <c r="JFW10" s="1340"/>
      <c r="JFX10" s="1340"/>
      <c r="JFY10" s="1341"/>
      <c r="JFZ10" s="1342"/>
      <c r="JGA10" s="1336"/>
      <c r="JGB10" s="1336"/>
      <c r="JGC10" s="1336"/>
      <c r="JGD10" s="1336"/>
      <c r="JGE10" s="1337"/>
      <c r="JGF10" s="1337"/>
      <c r="JGG10" s="1337"/>
      <c r="JGH10" s="1337"/>
      <c r="JGI10" s="1337"/>
      <c r="JGJ10" s="1338"/>
      <c r="JGK10" s="1339"/>
      <c r="JGL10" s="1340"/>
      <c r="JGM10" s="1340"/>
      <c r="JGN10" s="1340"/>
      <c r="JGO10" s="1341"/>
      <c r="JGP10" s="1342"/>
      <c r="JGQ10" s="1336"/>
      <c r="JGR10" s="1336"/>
      <c r="JGS10" s="1336"/>
      <c r="JGT10" s="1336"/>
      <c r="JGU10" s="1337"/>
      <c r="JGV10" s="1337"/>
      <c r="JGW10" s="1337"/>
      <c r="JGX10" s="1337"/>
      <c r="JGY10" s="1337"/>
      <c r="JGZ10" s="1338"/>
      <c r="JHA10" s="1339"/>
      <c r="JHB10" s="1340"/>
      <c r="JHC10" s="1340"/>
      <c r="JHD10" s="1340"/>
      <c r="JHE10" s="1341"/>
      <c r="JHF10" s="1342"/>
      <c r="JHG10" s="1336"/>
      <c r="JHH10" s="1336"/>
      <c r="JHI10" s="1336"/>
      <c r="JHJ10" s="1336"/>
      <c r="JHK10" s="1337"/>
      <c r="JHL10" s="1337"/>
      <c r="JHM10" s="1337"/>
      <c r="JHN10" s="1337"/>
      <c r="JHO10" s="1337"/>
      <c r="JHP10" s="1338"/>
      <c r="JHQ10" s="1339"/>
      <c r="JHR10" s="1340"/>
      <c r="JHS10" s="1340"/>
      <c r="JHT10" s="1340"/>
      <c r="JHU10" s="1341"/>
      <c r="JHV10" s="1342"/>
      <c r="JHW10" s="1336"/>
      <c r="JHX10" s="1336"/>
      <c r="JHY10" s="1336"/>
      <c r="JHZ10" s="1336"/>
      <c r="JIA10" s="1337"/>
      <c r="JIB10" s="1337"/>
      <c r="JIC10" s="1337"/>
      <c r="JID10" s="1337"/>
      <c r="JIE10" s="1337"/>
      <c r="JIF10" s="1338"/>
      <c r="JIG10" s="1339"/>
      <c r="JIH10" s="1340"/>
      <c r="JII10" s="1340"/>
      <c r="JIJ10" s="1340"/>
      <c r="JIK10" s="1341"/>
      <c r="JIL10" s="1342"/>
      <c r="JIM10" s="1336"/>
      <c r="JIN10" s="1336"/>
      <c r="JIO10" s="1336"/>
      <c r="JIP10" s="1336"/>
      <c r="JIQ10" s="1337"/>
      <c r="JIR10" s="1337"/>
      <c r="JIS10" s="1337"/>
      <c r="JIT10" s="1337"/>
      <c r="JIU10" s="1337"/>
      <c r="JIV10" s="1338"/>
      <c r="JIW10" s="1339"/>
      <c r="JIX10" s="1340"/>
      <c r="JIY10" s="1340"/>
      <c r="JIZ10" s="1340"/>
      <c r="JJA10" s="1341"/>
      <c r="JJB10" s="1342"/>
      <c r="JJC10" s="1336"/>
      <c r="JJD10" s="1336"/>
      <c r="JJE10" s="1336"/>
      <c r="JJF10" s="1336"/>
      <c r="JJG10" s="1337"/>
      <c r="JJH10" s="1337"/>
      <c r="JJI10" s="1337"/>
      <c r="JJJ10" s="1337"/>
      <c r="JJK10" s="1337"/>
      <c r="JJL10" s="1338"/>
      <c r="JJM10" s="1339"/>
      <c r="JJN10" s="1340"/>
      <c r="JJO10" s="1340"/>
      <c r="JJP10" s="1340"/>
      <c r="JJQ10" s="1341"/>
      <c r="JJR10" s="1342"/>
      <c r="JJS10" s="1336"/>
      <c r="JJT10" s="1336"/>
      <c r="JJU10" s="1336"/>
      <c r="JJV10" s="1336"/>
      <c r="JJW10" s="1337"/>
      <c r="JJX10" s="1337"/>
      <c r="JJY10" s="1337"/>
      <c r="JJZ10" s="1337"/>
      <c r="JKA10" s="1337"/>
      <c r="JKB10" s="1338"/>
      <c r="JKC10" s="1339"/>
      <c r="JKD10" s="1340"/>
      <c r="JKE10" s="1340"/>
      <c r="JKF10" s="1340"/>
      <c r="JKG10" s="1341"/>
      <c r="JKH10" s="1342"/>
      <c r="JKI10" s="1336"/>
      <c r="JKJ10" s="1336"/>
      <c r="JKK10" s="1336"/>
      <c r="JKL10" s="1336"/>
      <c r="JKM10" s="1337"/>
      <c r="JKN10" s="1337"/>
      <c r="JKO10" s="1337"/>
      <c r="JKP10" s="1337"/>
      <c r="JKQ10" s="1337"/>
      <c r="JKR10" s="1338"/>
      <c r="JKS10" s="1339"/>
      <c r="JKT10" s="1340"/>
      <c r="JKU10" s="1340"/>
      <c r="JKV10" s="1340"/>
      <c r="JKW10" s="1341"/>
      <c r="JKX10" s="1342"/>
      <c r="JKY10" s="1336"/>
      <c r="JKZ10" s="1336"/>
      <c r="JLA10" s="1336"/>
      <c r="JLB10" s="1336"/>
      <c r="JLC10" s="1337"/>
      <c r="JLD10" s="1337"/>
      <c r="JLE10" s="1337"/>
      <c r="JLF10" s="1337"/>
      <c r="JLG10" s="1337"/>
      <c r="JLH10" s="1338"/>
      <c r="JLI10" s="1339"/>
      <c r="JLJ10" s="1340"/>
      <c r="JLK10" s="1340"/>
      <c r="JLL10" s="1340"/>
      <c r="JLM10" s="1341"/>
      <c r="JLN10" s="1342"/>
      <c r="JLO10" s="1336"/>
      <c r="JLP10" s="1336"/>
      <c r="JLQ10" s="1336"/>
      <c r="JLR10" s="1336"/>
      <c r="JLS10" s="1337"/>
      <c r="JLT10" s="1337"/>
      <c r="JLU10" s="1337"/>
      <c r="JLV10" s="1337"/>
      <c r="JLW10" s="1337"/>
      <c r="JLX10" s="1338"/>
      <c r="JLY10" s="1339"/>
      <c r="JLZ10" s="1340"/>
      <c r="JMA10" s="1340"/>
      <c r="JMB10" s="1340"/>
      <c r="JMC10" s="1341"/>
      <c r="JMD10" s="1342"/>
      <c r="JME10" s="1336"/>
      <c r="JMF10" s="1336"/>
      <c r="JMG10" s="1336"/>
      <c r="JMH10" s="1336"/>
      <c r="JMI10" s="1337"/>
      <c r="JMJ10" s="1337"/>
      <c r="JMK10" s="1337"/>
      <c r="JML10" s="1337"/>
      <c r="JMM10" s="1337"/>
      <c r="JMN10" s="1338"/>
      <c r="JMO10" s="1339"/>
      <c r="JMP10" s="1340"/>
      <c r="JMQ10" s="1340"/>
      <c r="JMR10" s="1340"/>
      <c r="JMS10" s="1341"/>
      <c r="JMT10" s="1342"/>
      <c r="JMU10" s="1336"/>
      <c r="JMV10" s="1336"/>
      <c r="JMW10" s="1336"/>
      <c r="JMX10" s="1336"/>
      <c r="JMY10" s="1337"/>
      <c r="JMZ10" s="1337"/>
      <c r="JNA10" s="1337"/>
      <c r="JNB10" s="1337"/>
      <c r="JNC10" s="1337"/>
      <c r="JND10" s="1338"/>
      <c r="JNE10" s="1339"/>
      <c r="JNF10" s="1340"/>
      <c r="JNG10" s="1340"/>
      <c r="JNH10" s="1340"/>
      <c r="JNI10" s="1341"/>
      <c r="JNJ10" s="1342"/>
      <c r="JNK10" s="1336"/>
      <c r="JNL10" s="1336"/>
      <c r="JNM10" s="1336"/>
      <c r="JNN10" s="1336"/>
      <c r="JNO10" s="1337"/>
      <c r="JNP10" s="1337"/>
      <c r="JNQ10" s="1337"/>
      <c r="JNR10" s="1337"/>
      <c r="JNS10" s="1337"/>
      <c r="JNT10" s="1338"/>
      <c r="JNU10" s="1339"/>
      <c r="JNV10" s="1340"/>
      <c r="JNW10" s="1340"/>
      <c r="JNX10" s="1340"/>
      <c r="JNY10" s="1341"/>
      <c r="JNZ10" s="1342"/>
      <c r="JOA10" s="1336"/>
      <c r="JOB10" s="1336"/>
      <c r="JOC10" s="1336"/>
      <c r="JOD10" s="1336"/>
      <c r="JOE10" s="1337"/>
      <c r="JOF10" s="1337"/>
      <c r="JOG10" s="1337"/>
      <c r="JOH10" s="1337"/>
      <c r="JOI10" s="1337"/>
      <c r="JOJ10" s="1338"/>
      <c r="JOK10" s="1339"/>
      <c r="JOL10" s="1340"/>
      <c r="JOM10" s="1340"/>
      <c r="JON10" s="1340"/>
      <c r="JOO10" s="1341"/>
      <c r="JOP10" s="1342"/>
      <c r="JOQ10" s="1336"/>
      <c r="JOR10" s="1336"/>
      <c r="JOS10" s="1336"/>
      <c r="JOT10" s="1336"/>
      <c r="JOU10" s="1337"/>
      <c r="JOV10" s="1337"/>
      <c r="JOW10" s="1337"/>
      <c r="JOX10" s="1337"/>
      <c r="JOY10" s="1337"/>
      <c r="JOZ10" s="1338"/>
      <c r="JPA10" s="1339"/>
      <c r="JPB10" s="1340"/>
      <c r="JPC10" s="1340"/>
      <c r="JPD10" s="1340"/>
      <c r="JPE10" s="1341"/>
      <c r="JPF10" s="1342"/>
      <c r="JPG10" s="1336"/>
      <c r="JPH10" s="1336"/>
      <c r="JPI10" s="1336"/>
      <c r="JPJ10" s="1336"/>
      <c r="JPK10" s="1337"/>
      <c r="JPL10" s="1337"/>
      <c r="JPM10" s="1337"/>
      <c r="JPN10" s="1337"/>
      <c r="JPO10" s="1337"/>
      <c r="JPP10" s="1338"/>
      <c r="JPQ10" s="1339"/>
      <c r="JPR10" s="1340"/>
      <c r="JPS10" s="1340"/>
      <c r="JPT10" s="1340"/>
      <c r="JPU10" s="1341"/>
      <c r="JPV10" s="1342"/>
      <c r="JPW10" s="1336"/>
      <c r="JPX10" s="1336"/>
      <c r="JPY10" s="1336"/>
      <c r="JPZ10" s="1336"/>
      <c r="JQA10" s="1337"/>
      <c r="JQB10" s="1337"/>
      <c r="JQC10" s="1337"/>
      <c r="JQD10" s="1337"/>
      <c r="JQE10" s="1337"/>
      <c r="JQF10" s="1338"/>
      <c r="JQG10" s="1339"/>
      <c r="JQH10" s="1340"/>
      <c r="JQI10" s="1340"/>
      <c r="JQJ10" s="1340"/>
      <c r="JQK10" s="1341"/>
      <c r="JQL10" s="1342"/>
      <c r="JQM10" s="1336"/>
      <c r="JQN10" s="1336"/>
      <c r="JQO10" s="1336"/>
      <c r="JQP10" s="1336"/>
      <c r="JQQ10" s="1337"/>
      <c r="JQR10" s="1337"/>
      <c r="JQS10" s="1337"/>
      <c r="JQT10" s="1337"/>
      <c r="JQU10" s="1337"/>
      <c r="JQV10" s="1338"/>
      <c r="JQW10" s="1339"/>
      <c r="JQX10" s="1340"/>
      <c r="JQY10" s="1340"/>
      <c r="JQZ10" s="1340"/>
      <c r="JRA10" s="1341"/>
      <c r="JRB10" s="1342"/>
      <c r="JRC10" s="1336"/>
      <c r="JRD10" s="1336"/>
      <c r="JRE10" s="1336"/>
      <c r="JRF10" s="1336"/>
      <c r="JRG10" s="1337"/>
      <c r="JRH10" s="1337"/>
      <c r="JRI10" s="1337"/>
      <c r="JRJ10" s="1337"/>
      <c r="JRK10" s="1337"/>
      <c r="JRL10" s="1338"/>
      <c r="JRM10" s="1339"/>
      <c r="JRN10" s="1340"/>
      <c r="JRO10" s="1340"/>
      <c r="JRP10" s="1340"/>
      <c r="JRQ10" s="1341"/>
      <c r="JRR10" s="1342"/>
      <c r="JRS10" s="1336"/>
      <c r="JRT10" s="1336"/>
      <c r="JRU10" s="1336"/>
      <c r="JRV10" s="1336"/>
      <c r="JRW10" s="1337"/>
      <c r="JRX10" s="1337"/>
      <c r="JRY10" s="1337"/>
      <c r="JRZ10" s="1337"/>
      <c r="JSA10" s="1337"/>
      <c r="JSB10" s="1338"/>
      <c r="JSC10" s="1339"/>
      <c r="JSD10" s="1340"/>
      <c r="JSE10" s="1340"/>
      <c r="JSF10" s="1340"/>
      <c r="JSG10" s="1341"/>
      <c r="JSH10" s="1342"/>
      <c r="JSI10" s="1336"/>
      <c r="JSJ10" s="1336"/>
      <c r="JSK10" s="1336"/>
      <c r="JSL10" s="1336"/>
      <c r="JSM10" s="1337"/>
      <c r="JSN10" s="1337"/>
      <c r="JSO10" s="1337"/>
      <c r="JSP10" s="1337"/>
      <c r="JSQ10" s="1337"/>
      <c r="JSR10" s="1338"/>
      <c r="JSS10" s="1339"/>
      <c r="JST10" s="1340"/>
      <c r="JSU10" s="1340"/>
      <c r="JSV10" s="1340"/>
      <c r="JSW10" s="1341"/>
      <c r="JSX10" s="1342"/>
      <c r="JSY10" s="1336"/>
      <c r="JSZ10" s="1336"/>
      <c r="JTA10" s="1336"/>
      <c r="JTB10" s="1336"/>
      <c r="JTC10" s="1337"/>
      <c r="JTD10" s="1337"/>
      <c r="JTE10" s="1337"/>
      <c r="JTF10" s="1337"/>
      <c r="JTG10" s="1337"/>
      <c r="JTH10" s="1338"/>
      <c r="JTI10" s="1339"/>
      <c r="JTJ10" s="1340"/>
      <c r="JTK10" s="1340"/>
      <c r="JTL10" s="1340"/>
      <c r="JTM10" s="1341"/>
      <c r="JTN10" s="1342"/>
      <c r="JTO10" s="1336"/>
      <c r="JTP10" s="1336"/>
      <c r="JTQ10" s="1336"/>
      <c r="JTR10" s="1336"/>
      <c r="JTS10" s="1337"/>
      <c r="JTT10" s="1337"/>
      <c r="JTU10" s="1337"/>
      <c r="JTV10" s="1337"/>
      <c r="JTW10" s="1337"/>
      <c r="JTX10" s="1338"/>
      <c r="JTY10" s="1339"/>
      <c r="JTZ10" s="1340"/>
      <c r="JUA10" s="1340"/>
      <c r="JUB10" s="1340"/>
      <c r="JUC10" s="1341"/>
      <c r="JUD10" s="1342"/>
      <c r="JUE10" s="1336"/>
      <c r="JUF10" s="1336"/>
      <c r="JUG10" s="1336"/>
      <c r="JUH10" s="1336"/>
      <c r="JUI10" s="1337"/>
      <c r="JUJ10" s="1337"/>
      <c r="JUK10" s="1337"/>
      <c r="JUL10" s="1337"/>
      <c r="JUM10" s="1337"/>
      <c r="JUN10" s="1338"/>
      <c r="JUO10" s="1339"/>
      <c r="JUP10" s="1340"/>
      <c r="JUQ10" s="1340"/>
      <c r="JUR10" s="1340"/>
      <c r="JUS10" s="1341"/>
      <c r="JUT10" s="1342"/>
      <c r="JUU10" s="1336"/>
      <c r="JUV10" s="1336"/>
      <c r="JUW10" s="1336"/>
      <c r="JUX10" s="1336"/>
      <c r="JUY10" s="1337"/>
      <c r="JUZ10" s="1337"/>
      <c r="JVA10" s="1337"/>
      <c r="JVB10" s="1337"/>
      <c r="JVC10" s="1337"/>
      <c r="JVD10" s="1338"/>
      <c r="JVE10" s="1339"/>
      <c r="JVF10" s="1340"/>
      <c r="JVG10" s="1340"/>
      <c r="JVH10" s="1340"/>
      <c r="JVI10" s="1341"/>
      <c r="JVJ10" s="1342"/>
      <c r="JVK10" s="1336"/>
      <c r="JVL10" s="1336"/>
      <c r="JVM10" s="1336"/>
      <c r="JVN10" s="1336"/>
      <c r="JVO10" s="1337"/>
      <c r="JVP10" s="1337"/>
      <c r="JVQ10" s="1337"/>
      <c r="JVR10" s="1337"/>
      <c r="JVS10" s="1337"/>
      <c r="JVT10" s="1338"/>
      <c r="JVU10" s="1339"/>
      <c r="JVV10" s="1340"/>
      <c r="JVW10" s="1340"/>
      <c r="JVX10" s="1340"/>
      <c r="JVY10" s="1341"/>
      <c r="JVZ10" s="1342"/>
      <c r="JWA10" s="1336"/>
      <c r="JWB10" s="1336"/>
      <c r="JWC10" s="1336"/>
      <c r="JWD10" s="1336"/>
      <c r="JWE10" s="1337"/>
      <c r="JWF10" s="1337"/>
      <c r="JWG10" s="1337"/>
      <c r="JWH10" s="1337"/>
      <c r="JWI10" s="1337"/>
      <c r="JWJ10" s="1338"/>
      <c r="JWK10" s="1339"/>
      <c r="JWL10" s="1340"/>
      <c r="JWM10" s="1340"/>
      <c r="JWN10" s="1340"/>
      <c r="JWO10" s="1341"/>
      <c r="JWP10" s="1342"/>
      <c r="JWQ10" s="1336"/>
      <c r="JWR10" s="1336"/>
      <c r="JWS10" s="1336"/>
      <c r="JWT10" s="1336"/>
      <c r="JWU10" s="1337"/>
      <c r="JWV10" s="1337"/>
      <c r="JWW10" s="1337"/>
      <c r="JWX10" s="1337"/>
      <c r="JWY10" s="1337"/>
      <c r="JWZ10" s="1338"/>
      <c r="JXA10" s="1339"/>
      <c r="JXB10" s="1340"/>
      <c r="JXC10" s="1340"/>
      <c r="JXD10" s="1340"/>
      <c r="JXE10" s="1341"/>
      <c r="JXF10" s="1342"/>
      <c r="JXG10" s="1336"/>
      <c r="JXH10" s="1336"/>
      <c r="JXI10" s="1336"/>
      <c r="JXJ10" s="1336"/>
      <c r="JXK10" s="1337"/>
      <c r="JXL10" s="1337"/>
      <c r="JXM10" s="1337"/>
      <c r="JXN10" s="1337"/>
      <c r="JXO10" s="1337"/>
      <c r="JXP10" s="1338"/>
      <c r="JXQ10" s="1339"/>
      <c r="JXR10" s="1340"/>
      <c r="JXS10" s="1340"/>
      <c r="JXT10" s="1340"/>
      <c r="JXU10" s="1341"/>
      <c r="JXV10" s="1342"/>
      <c r="JXW10" s="1336"/>
      <c r="JXX10" s="1336"/>
      <c r="JXY10" s="1336"/>
      <c r="JXZ10" s="1336"/>
      <c r="JYA10" s="1337"/>
      <c r="JYB10" s="1337"/>
      <c r="JYC10" s="1337"/>
      <c r="JYD10" s="1337"/>
      <c r="JYE10" s="1337"/>
      <c r="JYF10" s="1338"/>
      <c r="JYG10" s="1339"/>
      <c r="JYH10" s="1340"/>
      <c r="JYI10" s="1340"/>
      <c r="JYJ10" s="1340"/>
      <c r="JYK10" s="1341"/>
      <c r="JYL10" s="1342"/>
      <c r="JYM10" s="1336"/>
      <c r="JYN10" s="1336"/>
      <c r="JYO10" s="1336"/>
      <c r="JYP10" s="1336"/>
      <c r="JYQ10" s="1337"/>
      <c r="JYR10" s="1337"/>
      <c r="JYS10" s="1337"/>
      <c r="JYT10" s="1337"/>
      <c r="JYU10" s="1337"/>
      <c r="JYV10" s="1338"/>
      <c r="JYW10" s="1339"/>
      <c r="JYX10" s="1340"/>
      <c r="JYY10" s="1340"/>
      <c r="JYZ10" s="1340"/>
      <c r="JZA10" s="1341"/>
      <c r="JZB10" s="1342"/>
      <c r="JZC10" s="1336"/>
      <c r="JZD10" s="1336"/>
      <c r="JZE10" s="1336"/>
      <c r="JZF10" s="1336"/>
      <c r="JZG10" s="1337"/>
      <c r="JZH10" s="1337"/>
      <c r="JZI10" s="1337"/>
      <c r="JZJ10" s="1337"/>
      <c r="JZK10" s="1337"/>
      <c r="JZL10" s="1338"/>
      <c r="JZM10" s="1339"/>
      <c r="JZN10" s="1340"/>
      <c r="JZO10" s="1340"/>
      <c r="JZP10" s="1340"/>
      <c r="JZQ10" s="1341"/>
      <c r="JZR10" s="1342"/>
      <c r="JZS10" s="1336"/>
      <c r="JZT10" s="1336"/>
      <c r="JZU10" s="1336"/>
      <c r="JZV10" s="1336"/>
      <c r="JZW10" s="1337"/>
      <c r="JZX10" s="1337"/>
      <c r="JZY10" s="1337"/>
      <c r="JZZ10" s="1337"/>
      <c r="KAA10" s="1337"/>
      <c r="KAB10" s="1338"/>
      <c r="KAC10" s="1339"/>
      <c r="KAD10" s="1340"/>
      <c r="KAE10" s="1340"/>
      <c r="KAF10" s="1340"/>
      <c r="KAG10" s="1341"/>
      <c r="KAH10" s="1342"/>
      <c r="KAI10" s="1336"/>
      <c r="KAJ10" s="1336"/>
      <c r="KAK10" s="1336"/>
      <c r="KAL10" s="1336"/>
      <c r="KAM10" s="1337"/>
      <c r="KAN10" s="1337"/>
      <c r="KAO10" s="1337"/>
      <c r="KAP10" s="1337"/>
      <c r="KAQ10" s="1337"/>
      <c r="KAR10" s="1338"/>
      <c r="KAS10" s="1339"/>
      <c r="KAT10" s="1340"/>
      <c r="KAU10" s="1340"/>
      <c r="KAV10" s="1340"/>
      <c r="KAW10" s="1341"/>
      <c r="KAX10" s="1342"/>
      <c r="KAY10" s="1336"/>
      <c r="KAZ10" s="1336"/>
      <c r="KBA10" s="1336"/>
      <c r="KBB10" s="1336"/>
      <c r="KBC10" s="1337"/>
      <c r="KBD10" s="1337"/>
      <c r="KBE10" s="1337"/>
      <c r="KBF10" s="1337"/>
      <c r="KBG10" s="1337"/>
      <c r="KBH10" s="1338"/>
      <c r="KBI10" s="1339"/>
      <c r="KBJ10" s="1340"/>
      <c r="KBK10" s="1340"/>
      <c r="KBL10" s="1340"/>
      <c r="KBM10" s="1341"/>
      <c r="KBN10" s="1342"/>
      <c r="KBO10" s="1336"/>
      <c r="KBP10" s="1336"/>
      <c r="KBQ10" s="1336"/>
      <c r="KBR10" s="1336"/>
      <c r="KBS10" s="1337"/>
      <c r="KBT10" s="1337"/>
      <c r="KBU10" s="1337"/>
      <c r="KBV10" s="1337"/>
      <c r="KBW10" s="1337"/>
      <c r="KBX10" s="1338"/>
      <c r="KBY10" s="1339"/>
      <c r="KBZ10" s="1340"/>
      <c r="KCA10" s="1340"/>
      <c r="KCB10" s="1340"/>
      <c r="KCC10" s="1341"/>
      <c r="KCD10" s="1342"/>
      <c r="KCE10" s="1336"/>
      <c r="KCF10" s="1336"/>
      <c r="KCG10" s="1336"/>
      <c r="KCH10" s="1336"/>
      <c r="KCI10" s="1337"/>
      <c r="KCJ10" s="1337"/>
      <c r="KCK10" s="1337"/>
      <c r="KCL10" s="1337"/>
      <c r="KCM10" s="1337"/>
      <c r="KCN10" s="1338"/>
      <c r="KCO10" s="1339"/>
      <c r="KCP10" s="1340"/>
      <c r="KCQ10" s="1340"/>
      <c r="KCR10" s="1340"/>
      <c r="KCS10" s="1341"/>
      <c r="KCT10" s="1342"/>
      <c r="KCU10" s="1336"/>
      <c r="KCV10" s="1336"/>
      <c r="KCW10" s="1336"/>
      <c r="KCX10" s="1336"/>
      <c r="KCY10" s="1337"/>
      <c r="KCZ10" s="1337"/>
      <c r="KDA10" s="1337"/>
      <c r="KDB10" s="1337"/>
      <c r="KDC10" s="1337"/>
      <c r="KDD10" s="1338"/>
      <c r="KDE10" s="1339"/>
      <c r="KDF10" s="1340"/>
      <c r="KDG10" s="1340"/>
      <c r="KDH10" s="1340"/>
      <c r="KDI10" s="1341"/>
      <c r="KDJ10" s="1342"/>
      <c r="KDK10" s="1336"/>
      <c r="KDL10" s="1336"/>
      <c r="KDM10" s="1336"/>
      <c r="KDN10" s="1336"/>
      <c r="KDO10" s="1337"/>
      <c r="KDP10" s="1337"/>
      <c r="KDQ10" s="1337"/>
      <c r="KDR10" s="1337"/>
      <c r="KDS10" s="1337"/>
      <c r="KDT10" s="1338"/>
      <c r="KDU10" s="1339"/>
      <c r="KDV10" s="1340"/>
      <c r="KDW10" s="1340"/>
      <c r="KDX10" s="1340"/>
      <c r="KDY10" s="1341"/>
      <c r="KDZ10" s="1342"/>
      <c r="KEA10" s="1336"/>
      <c r="KEB10" s="1336"/>
      <c r="KEC10" s="1336"/>
      <c r="KED10" s="1336"/>
      <c r="KEE10" s="1337"/>
      <c r="KEF10" s="1337"/>
      <c r="KEG10" s="1337"/>
      <c r="KEH10" s="1337"/>
      <c r="KEI10" s="1337"/>
      <c r="KEJ10" s="1338"/>
      <c r="KEK10" s="1339"/>
      <c r="KEL10" s="1340"/>
      <c r="KEM10" s="1340"/>
      <c r="KEN10" s="1340"/>
      <c r="KEO10" s="1341"/>
      <c r="KEP10" s="1342"/>
      <c r="KEQ10" s="1336"/>
      <c r="KER10" s="1336"/>
      <c r="KES10" s="1336"/>
      <c r="KET10" s="1336"/>
      <c r="KEU10" s="1337"/>
      <c r="KEV10" s="1337"/>
      <c r="KEW10" s="1337"/>
      <c r="KEX10" s="1337"/>
      <c r="KEY10" s="1337"/>
      <c r="KEZ10" s="1338"/>
      <c r="KFA10" s="1339"/>
      <c r="KFB10" s="1340"/>
      <c r="KFC10" s="1340"/>
      <c r="KFD10" s="1340"/>
      <c r="KFE10" s="1341"/>
      <c r="KFF10" s="1342"/>
      <c r="KFG10" s="1336"/>
      <c r="KFH10" s="1336"/>
      <c r="KFI10" s="1336"/>
      <c r="KFJ10" s="1336"/>
      <c r="KFK10" s="1337"/>
      <c r="KFL10" s="1337"/>
      <c r="KFM10" s="1337"/>
      <c r="KFN10" s="1337"/>
      <c r="KFO10" s="1337"/>
      <c r="KFP10" s="1338"/>
      <c r="KFQ10" s="1339"/>
      <c r="KFR10" s="1340"/>
      <c r="KFS10" s="1340"/>
      <c r="KFT10" s="1340"/>
      <c r="KFU10" s="1341"/>
      <c r="KFV10" s="1342"/>
      <c r="KFW10" s="1336"/>
      <c r="KFX10" s="1336"/>
      <c r="KFY10" s="1336"/>
      <c r="KFZ10" s="1336"/>
      <c r="KGA10" s="1337"/>
      <c r="KGB10" s="1337"/>
      <c r="KGC10" s="1337"/>
      <c r="KGD10" s="1337"/>
      <c r="KGE10" s="1337"/>
      <c r="KGF10" s="1338"/>
      <c r="KGG10" s="1339"/>
      <c r="KGH10" s="1340"/>
      <c r="KGI10" s="1340"/>
      <c r="KGJ10" s="1340"/>
      <c r="KGK10" s="1341"/>
      <c r="KGL10" s="1342"/>
      <c r="KGM10" s="1336"/>
      <c r="KGN10" s="1336"/>
      <c r="KGO10" s="1336"/>
      <c r="KGP10" s="1336"/>
      <c r="KGQ10" s="1337"/>
      <c r="KGR10" s="1337"/>
      <c r="KGS10" s="1337"/>
      <c r="KGT10" s="1337"/>
      <c r="KGU10" s="1337"/>
      <c r="KGV10" s="1338"/>
      <c r="KGW10" s="1339"/>
      <c r="KGX10" s="1340"/>
      <c r="KGY10" s="1340"/>
      <c r="KGZ10" s="1340"/>
      <c r="KHA10" s="1341"/>
      <c r="KHB10" s="1342"/>
      <c r="KHC10" s="1336"/>
      <c r="KHD10" s="1336"/>
      <c r="KHE10" s="1336"/>
      <c r="KHF10" s="1336"/>
      <c r="KHG10" s="1337"/>
      <c r="KHH10" s="1337"/>
      <c r="KHI10" s="1337"/>
      <c r="KHJ10" s="1337"/>
      <c r="KHK10" s="1337"/>
      <c r="KHL10" s="1338"/>
      <c r="KHM10" s="1339"/>
      <c r="KHN10" s="1340"/>
      <c r="KHO10" s="1340"/>
      <c r="KHP10" s="1340"/>
      <c r="KHQ10" s="1341"/>
      <c r="KHR10" s="1342"/>
      <c r="KHS10" s="1336"/>
      <c r="KHT10" s="1336"/>
      <c r="KHU10" s="1336"/>
      <c r="KHV10" s="1336"/>
      <c r="KHW10" s="1337"/>
      <c r="KHX10" s="1337"/>
      <c r="KHY10" s="1337"/>
      <c r="KHZ10" s="1337"/>
      <c r="KIA10" s="1337"/>
      <c r="KIB10" s="1338"/>
      <c r="KIC10" s="1339"/>
      <c r="KID10" s="1340"/>
      <c r="KIE10" s="1340"/>
      <c r="KIF10" s="1340"/>
      <c r="KIG10" s="1341"/>
      <c r="KIH10" s="1342"/>
      <c r="KII10" s="1336"/>
      <c r="KIJ10" s="1336"/>
      <c r="KIK10" s="1336"/>
      <c r="KIL10" s="1336"/>
      <c r="KIM10" s="1337"/>
      <c r="KIN10" s="1337"/>
      <c r="KIO10" s="1337"/>
      <c r="KIP10" s="1337"/>
      <c r="KIQ10" s="1337"/>
      <c r="KIR10" s="1338"/>
      <c r="KIS10" s="1339"/>
      <c r="KIT10" s="1340"/>
      <c r="KIU10" s="1340"/>
      <c r="KIV10" s="1340"/>
      <c r="KIW10" s="1341"/>
      <c r="KIX10" s="1342"/>
      <c r="KIY10" s="1336"/>
      <c r="KIZ10" s="1336"/>
      <c r="KJA10" s="1336"/>
      <c r="KJB10" s="1336"/>
      <c r="KJC10" s="1337"/>
      <c r="KJD10" s="1337"/>
      <c r="KJE10" s="1337"/>
      <c r="KJF10" s="1337"/>
      <c r="KJG10" s="1337"/>
      <c r="KJH10" s="1338"/>
      <c r="KJI10" s="1339"/>
      <c r="KJJ10" s="1340"/>
      <c r="KJK10" s="1340"/>
      <c r="KJL10" s="1340"/>
      <c r="KJM10" s="1341"/>
      <c r="KJN10" s="1342"/>
      <c r="KJO10" s="1336"/>
      <c r="KJP10" s="1336"/>
      <c r="KJQ10" s="1336"/>
      <c r="KJR10" s="1336"/>
      <c r="KJS10" s="1337"/>
      <c r="KJT10" s="1337"/>
      <c r="KJU10" s="1337"/>
      <c r="KJV10" s="1337"/>
      <c r="KJW10" s="1337"/>
      <c r="KJX10" s="1338"/>
      <c r="KJY10" s="1339"/>
      <c r="KJZ10" s="1340"/>
      <c r="KKA10" s="1340"/>
      <c r="KKB10" s="1340"/>
      <c r="KKC10" s="1341"/>
      <c r="KKD10" s="1342"/>
      <c r="KKE10" s="1336"/>
      <c r="KKF10" s="1336"/>
      <c r="KKG10" s="1336"/>
      <c r="KKH10" s="1336"/>
      <c r="KKI10" s="1337"/>
      <c r="KKJ10" s="1337"/>
      <c r="KKK10" s="1337"/>
      <c r="KKL10" s="1337"/>
      <c r="KKM10" s="1337"/>
      <c r="KKN10" s="1338"/>
      <c r="KKO10" s="1339"/>
      <c r="KKP10" s="1340"/>
      <c r="KKQ10" s="1340"/>
      <c r="KKR10" s="1340"/>
      <c r="KKS10" s="1341"/>
      <c r="KKT10" s="1342"/>
      <c r="KKU10" s="1336"/>
      <c r="KKV10" s="1336"/>
      <c r="KKW10" s="1336"/>
      <c r="KKX10" s="1336"/>
      <c r="KKY10" s="1337"/>
      <c r="KKZ10" s="1337"/>
      <c r="KLA10" s="1337"/>
      <c r="KLB10" s="1337"/>
      <c r="KLC10" s="1337"/>
      <c r="KLD10" s="1338"/>
      <c r="KLE10" s="1339"/>
      <c r="KLF10" s="1340"/>
      <c r="KLG10" s="1340"/>
      <c r="KLH10" s="1340"/>
      <c r="KLI10" s="1341"/>
      <c r="KLJ10" s="1342"/>
      <c r="KLK10" s="1336"/>
      <c r="KLL10" s="1336"/>
      <c r="KLM10" s="1336"/>
      <c r="KLN10" s="1336"/>
      <c r="KLO10" s="1337"/>
      <c r="KLP10" s="1337"/>
      <c r="KLQ10" s="1337"/>
      <c r="KLR10" s="1337"/>
      <c r="KLS10" s="1337"/>
      <c r="KLT10" s="1338"/>
      <c r="KLU10" s="1339"/>
      <c r="KLV10" s="1340"/>
      <c r="KLW10" s="1340"/>
      <c r="KLX10" s="1340"/>
      <c r="KLY10" s="1341"/>
      <c r="KLZ10" s="1342"/>
      <c r="KMA10" s="1336"/>
      <c r="KMB10" s="1336"/>
      <c r="KMC10" s="1336"/>
      <c r="KMD10" s="1336"/>
      <c r="KME10" s="1337"/>
      <c r="KMF10" s="1337"/>
      <c r="KMG10" s="1337"/>
      <c r="KMH10" s="1337"/>
      <c r="KMI10" s="1337"/>
      <c r="KMJ10" s="1338"/>
      <c r="KMK10" s="1339"/>
      <c r="KML10" s="1340"/>
      <c r="KMM10" s="1340"/>
      <c r="KMN10" s="1340"/>
      <c r="KMO10" s="1341"/>
      <c r="KMP10" s="1342"/>
      <c r="KMQ10" s="1336"/>
      <c r="KMR10" s="1336"/>
      <c r="KMS10" s="1336"/>
      <c r="KMT10" s="1336"/>
      <c r="KMU10" s="1337"/>
      <c r="KMV10" s="1337"/>
      <c r="KMW10" s="1337"/>
      <c r="KMX10" s="1337"/>
      <c r="KMY10" s="1337"/>
      <c r="KMZ10" s="1338"/>
      <c r="KNA10" s="1339"/>
      <c r="KNB10" s="1340"/>
      <c r="KNC10" s="1340"/>
      <c r="KND10" s="1340"/>
      <c r="KNE10" s="1341"/>
      <c r="KNF10" s="1342"/>
      <c r="KNG10" s="1336"/>
      <c r="KNH10" s="1336"/>
      <c r="KNI10" s="1336"/>
      <c r="KNJ10" s="1336"/>
      <c r="KNK10" s="1337"/>
      <c r="KNL10" s="1337"/>
      <c r="KNM10" s="1337"/>
      <c r="KNN10" s="1337"/>
      <c r="KNO10" s="1337"/>
      <c r="KNP10" s="1338"/>
      <c r="KNQ10" s="1339"/>
      <c r="KNR10" s="1340"/>
      <c r="KNS10" s="1340"/>
      <c r="KNT10" s="1340"/>
      <c r="KNU10" s="1341"/>
      <c r="KNV10" s="1342"/>
      <c r="KNW10" s="1336"/>
      <c r="KNX10" s="1336"/>
      <c r="KNY10" s="1336"/>
      <c r="KNZ10" s="1336"/>
      <c r="KOA10" s="1337"/>
      <c r="KOB10" s="1337"/>
      <c r="KOC10" s="1337"/>
      <c r="KOD10" s="1337"/>
      <c r="KOE10" s="1337"/>
      <c r="KOF10" s="1338"/>
      <c r="KOG10" s="1339"/>
      <c r="KOH10" s="1340"/>
      <c r="KOI10" s="1340"/>
      <c r="KOJ10" s="1340"/>
      <c r="KOK10" s="1341"/>
      <c r="KOL10" s="1342"/>
      <c r="KOM10" s="1336"/>
      <c r="KON10" s="1336"/>
      <c r="KOO10" s="1336"/>
      <c r="KOP10" s="1336"/>
      <c r="KOQ10" s="1337"/>
      <c r="KOR10" s="1337"/>
      <c r="KOS10" s="1337"/>
      <c r="KOT10" s="1337"/>
      <c r="KOU10" s="1337"/>
      <c r="KOV10" s="1338"/>
      <c r="KOW10" s="1339"/>
      <c r="KOX10" s="1340"/>
      <c r="KOY10" s="1340"/>
      <c r="KOZ10" s="1340"/>
      <c r="KPA10" s="1341"/>
      <c r="KPB10" s="1342"/>
      <c r="KPC10" s="1336"/>
      <c r="KPD10" s="1336"/>
      <c r="KPE10" s="1336"/>
      <c r="KPF10" s="1336"/>
      <c r="KPG10" s="1337"/>
      <c r="KPH10" s="1337"/>
      <c r="KPI10" s="1337"/>
      <c r="KPJ10" s="1337"/>
      <c r="KPK10" s="1337"/>
      <c r="KPL10" s="1338"/>
      <c r="KPM10" s="1339"/>
      <c r="KPN10" s="1340"/>
      <c r="KPO10" s="1340"/>
      <c r="KPP10" s="1340"/>
      <c r="KPQ10" s="1341"/>
      <c r="KPR10" s="1342"/>
      <c r="KPS10" s="1336"/>
      <c r="KPT10" s="1336"/>
      <c r="KPU10" s="1336"/>
      <c r="KPV10" s="1336"/>
      <c r="KPW10" s="1337"/>
      <c r="KPX10" s="1337"/>
      <c r="KPY10" s="1337"/>
      <c r="KPZ10" s="1337"/>
      <c r="KQA10" s="1337"/>
      <c r="KQB10" s="1338"/>
      <c r="KQC10" s="1339"/>
      <c r="KQD10" s="1340"/>
      <c r="KQE10" s="1340"/>
      <c r="KQF10" s="1340"/>
      <c r="KQG10" s="1341"/>
      <c r="KQH10" s="1342"/>
      <c r="KQI10" s="1336"/>
      <c r="KQJ10" s="1336"/>
      <c r="KQK10" s="1336"/>
      <c r="KQL10" s="1336"/>
      <c r="KQM10" s="1337"/>
      <c r="KQN10" s="1337"/>
      <c r="KQO10" s="1337"/>
      <c r="KQP10" s="1337"/>
      <c r="KQQ10" s="1337"/>
      <c r="KQR10" s="1338"/>
      <c r="KQS10" s="1339"/>
      <c r="KQT10" s="1340"/>
      <c r="KQU10" s="1340"/>
      <c r="KQV10" s="1340"/>
      <c r="KQW10" s="1341"/>
      <c r="KQX10" s="1342"/>
      <c r="KQY10" s="1336"/>
      <c r="KQZ10" s="1336"/>
      <c r="KRA10" s="1336"/>
      <c r="KRB10" s="1336"/>
      <c r="KRC10" s="1337"/>
      <c r="KRD10" s="1337"/>
      <c r="KRE10" s="1337"/>
      <c r="KRF10" s="1337"/>
      <c r="KRG10" s="1337"/>
      <c r="KRH10" s="1338"/>
      <c r="KRI10" s="1339"/>
      <c r="KRJ10" s="1340"/>
      <c r="KRK10" s="1340"/>
      <c r="KRL10" s="1340"/>
      <c r="KRM10" s="1341"/>
      <c r="KRN10" s="1342"/>
      <c r="KRO10" s="1336"/>
      <c r="KRP10" s="1336"/>
      <c r="KRQ10" s="1336"/>
      <c r="KRR10" s="1336"/>
      <c r="KRS10" s="1337"/>
      <c r="KRT10" s="1337"/>
      <c r="KRU10" s="1337"/>
      <c r="KRV10" s="1337"/>
      <c r="KRW10" s="1337"/>
      <c r="KRX10" s="1338"/>
      <c r="KRY10" s="1339"/>
      <c r="KRZ10" s="1340"/>
      <c r="KSA10" s="1340"/>
      <c r="KSB10" s="1340"/>
      <c r="KSC10" s="1341"/>
      <c r="KSD10" s="1342"/>
      <c r="KSE10" s="1336"/>
      <c r="KSF10" s="1336"/>
      <c r="KSG10" s="1336"/>
      <c r="KSH10" s="1336"/>
      <c r="KSI10" s="1337"/>
      <c r="KSJ10" s="1337"/>
      <c r="KSK10" s="1337"/>
      <c r="KSL10" s="1337"/>
      <c r="KSM10" s="1337"/>
      <c r="KSN10" s="1338"/>
      <c r="KSO10" s="1339"/>
      <c r="KSP10" s="1340"/>
      <c r="KSQ10" s="1340"/>
      <c r="KSR10" s="1340"/>
      <c r="KSS10" s="1341"/>
      <c r="KST10" s="1342"/>
      <c r="KSU10" s="1336"/>
      <c r="KSV10" s="1336"/>
      <c r="KSW10" s="1336"/>
      <c r="KSX10" s="1336"/>
      <c r="KSY10" s="1337"/>
      <c r="KSZ10" s="1337"/>
      <c r="KTA10" s="1337"/>
      <c r="KTB10" s="1337"/>
      <c r="KTC10" s="1337"/>
      <c r="KTD10" s="1338"/>
      <c r="KTE10" s="1339"/>
      <c r="KTF10" s="1340"/>
      <c r="KTG10" s="1340"/>
      <c r="KTH10" s="1340"/>
      <c r="KTI10" s="1341"/>
      <c r="KTJ10" s="1342"/>
      <c r="KTK10" s="1336"/>
      <c r="KTL10" s="1336"/>
      <c r="KTM10" s="1336"/>
      <c r="KTN10" s="1336"/>
      <c r="KTO10" s="1337"/>
      <c r="KTP10" s="1337"/>
      <c r="KTQ10" s="1337"/>
      <c r="KTR10" s="1337"/>
      <c r="KTS10" s="1337"/>
      <c r="KTT10" s="1338"/>
      <c r="KTU10" s="1339"/>
      <c r="KTV10" s="1340"/>
      <c r="KTW10" s="1340"/>
      <c r="KTX10" s="1340"/>
      <c r="KTY10" s="1341"/>
      <c r="KTZ10" s="1342"/>
      <c r="KUA10" s="1336"/>
      <c r="KUB10" s="1336"/>
      <c r="KUC10" s="1336"/>
      <c r="KUD10" s="1336"/>
      <c r="KUE10" s="1337"/>
      <c r="KUF10" s="1337"/>
      <c r="KUG10" s="1337"/>
      <c r="KUH10" s="1337"/>
      <c r="KUI10" s="1337"/>
      <c r="KUJ10" s="1338"/>
      <c r="KUK10" s="1339"/>
      <c r="KUL10" s="1340"/>
      <c r="KUM10" s="1340"/>
      <c r="KUN10" s="1340"/>
      <c r="KUO10" s="1341"/>
      <c r="KUP10" s="1342"/>
      <c r="KUQ10" s="1336"/>
      <c r="KUR10" s="1336"/>
      <c r="KUS10" s="1336"/>
      <c r="KUT10" s="1336"/>
      <c r="KUU10" s="1337"/>
      <c r="KUV10" s="1337"/>
      <c r="KUW10" s="1337"/>
      <c r="KUX10" s="1337"/>
      <c r="KUY10" s="1337"/>
      <c r="KUZ10" s="1338"/>
      <c r="KVA10" s="1339"/>
      <c r="KVB10" s="1340"/>
      <c r="KVC10" s="1340"/>
      <c r="KVD10" s="1340"/>
      <c r="KVE10" s="1341"/>
      <c r="KVF10" s="1342"/>
      <c r="KVG10" s="1336"/>
      <c r="KVH10" s="1336"/>
      <c r="KVI10" s="1336"/>
      <c r="KVJ10" s="1336"/>
      <c r="KVK10" s="1337"/>
      <c r="KVL10" s="1337"/>
      <c r="KVM10" s="1337"/>
      <c r="KVN10" s="1337"/>
      <c r="KVO10" s="1337"/>
      <c r="KVP10" s="1338"/>
      <c r="KVQ10" s="1339"/>
      <c r="KVR10" s="1340"/>
      <c r="KVS10" s="1340"/>
      <c r="KVT10" s="1340"/>
      <c r="KVU10" s="1341"/>
      <c r="KVV10" s="1342"/>
      <c r="KVW10" s="1336"/>
      <c r="KVX10" s="1336"/>
      <c r="KVY10" s="1336"/>
      <c r="KVZ10" s="1336"/>
      <c r="KWA10" s="1337"/>
      <c r="KWB10" s="1337"/>
      <c r="KWC10" s="1337"/>
      <c r="KWD10" s="1337"/>
      <c r="KWE10" s="1337"/>
      <c r="KWF10" s="1338"/>
      <c r="KWG10" s="1339"/>
      <c r="KWH10" s="1340"/>
      <c r="KWI10" s="1340"/>
      <c r="KWJ10" s="1340"/>
      <c r="KWK10" s="1341"/>
      <c r="KWL10" s="1342"/>
      <c r="KWM10" s="1336"/>
      <c r="KWN10" s="1336"/>
      <c r="KWO10" s="1336"/>
      <c r="KWP10" s="1336"/>
      <c r="KWQ10" s="1337"/>
      <c r="KWR10" s="1337"/>
      <c r="KWS10" s="1337"/>
      <c r="KWT10" s="1337"/>
      <c r="KWU10" s="1337"/>
      <c r="KWV10" s="1338"/>
      <c r="KWW10" s="1339"/>
      <c r="KWX10" s="1340"/>
      <c r="KWY10" s="1340"/>
      <c r="KWZ10" s="1340"/>
      <c r="KXA10" s="1341"/>
      <c r="KXB10" s="1342"/>
      <c r="KXC10" s="1336"/>
      <c r="KXD10" s="1336"/>
      <c r="KXE10" s="1336"/>
      <c r="KXF10" s="1336"/>
      <c r="KXG10" s="1337"/>
      <c r="KXH10" s="1337"/>
      <c r="KXI10" s="1337"/>
      <c r="KXJ10" s="1337"/>
      <c r="KXK10" s="1337"/>
      <c r="KXL10" s="1338"/>
      <c r="KXM10" s="1339"/>
      <c r="KXN10" s="1340"/>
      <c r="KXO10" s="1340"/>
      <c r="KXP10" s="1340"/>
      <c r="KXQ10" s="1341"/>
      <c r="KXR10" s="1342"/>
      <c r="KXS10" s="1336"/>
      <c r="KXT10" s="1336"/>
      <c r="KXU10" s="1336"/>
      <c r="KXV10" s="1336"/>
      <c r="KXW10" s="1337"/>
      <c r="KXX10" s="1337"/>
      <c r="KXY10" s="1337"/>
      <c r="KXZ10" s="1337"/>
      <c r="KYA10" s="1337"/>
      <c r="KYB10" s="1338"/>
      <c r="KYC10" s="1339"/>
      <c r="KYD10" s="1340"/>
      <c r="KYE10" s="1340"/>
      <c r="KYF10" s="1340"/>
      <c r="KYG10" s="1341"/>
      <c r="KYH10" s="1342"/>
      <c r="KYI10" s="1336"/>
      <c r="KYJ10" s="1336"/>
      <c r="KYK10" s="1336"/>
      <c r="KYL10" s="1336"/>
      <c r="KYM10" s="1337"/>
      <c r="KYN10" s="1337"/>
      <c r="KYO10" s="1337"/>
      <c r="KYP10" s="1337"/>
      <c r="KYQ10" s="1337"/>
      <c r="KYR10" s="1338"/>
      <c r="KYS10" s="1339"/>
      <c r="KYT10" s="1340"/>
      <c r="KYU10" s="1340"/>
      <c r="KYV10" s="1340"/>
      <c r="KYW10" s="1341"/>
      <c r="KYX10" s="1342"/>
      <c r="KYY10" s="1336"/>
      <c r="KYZ10" s="1336"/>
      <c r="KZA10" s="1336"/>
      <c r="KZB10" s="1336"/>
      <c r="KZC10" s="1337"/>
      <c r="KZD10" s="1337"/>
      <c r="KZE10" s="1337"/>
      <c r="KZF10" s="1337"/>
      <c r="KZG10" s="1337"/>
      <c r="KZH10" s="1338"/>
      <c r="KZI10" s="1339"/>
      <c r="KZJ10" s="1340"/>
      <c r="KZK10" s="1340"/>
      <c r="KZL10" s="1340"/>
      <c r="KZM10" s="1341"/>
      <c r="KZN10" s="1342"/>
      <c r="KZO10" s="1336"/>
      <c r="KZP10" s="1336"/>
      <c r="KZQ10" s="1336"/>
      <c r="KZR10" s="1336"/>
      <c r="KZS10" s="1337"/>
      <c r="KZT10" s="1337"/>
      <c r="KZU10" s="1337"/>
      <c r="KZV10" s="1337"/>
      <c r="KZW10" s="1337"/>
      <c r="KZX10" s="1338"/>
      <c r="KZY10" s="1339"/>
      <c r="KZZ10" s="1340"/>
      <c r="LAA10" s="1340"/>
      <c r="LAB10" s="1340"/>
      <c r="LAC10" s="1341"/>
      <c r="LAD10" s="1342"/>
      <c r="LAE10" s="1336"/>
      <c r="LAF10" s="1336"/>
      <c r="LAG10" s="1336"/>
      <c r="LAH10" s="1336"/>
      <c r="LAI10" s="1337"/>
      <c r="LAJ10" s="1337"/>
      <c r="LAK10" s="1337"/>
      <c r="LAL10" s="1337"/>
      <c r="LAM10" s="1337"/>
      <c r="LAN10" s="1338"/>
      <c r="LAO10" s="1339"/>
      <c r="LAP10" s="1340"/>
      <c r="LAQ10" s="1340"/>
      <c r="LAR10" s="1340"/>
      <c r="LAS10" s="1341"/>
      <c r="LAT10" s="1342"/>
      <c r="LAU10" s="1336"/>
      <c r="LAV10" s="1336"/>
      <c r="LAW10" s="1336"/>
      <c r="LAX10" s="1336"/>
      <c r="LAY10" s="1337"/>
      <c r="LAZ10" s="1337"/>
      <c r="LBA10" s="1337"/>
      <c r="LBB10" s="1337"/>
      <c r="LBC10" s="1337"/>
      <c r="LBD10" s="1338"/>
      <c r="LBE10" s="1339"/>
      <c r="LBF10" s="1340"/>
      <c r="LBG10" s="1340"/>
      <c r="LBH10" s="1340"/>
      <c r="LBI10" s="1341"/>
      <c r="LBJ10" s="1342"/>
      <c r="LBK10" s="1336"/>
      <c r="LBL10" s="1336"/>
      <c r="LBM10" s="1336"/>
      <c r="LBN10" s="1336"/>
      <c r="LBO10" s="1337"/>
      <c r="LBP10" s="1337"/>
      <c r="LBQ10" s="1337"/>
      <c r="LBR10" s="1337"/>
      <c r="LBS10" s="1337"/>
      <c r="LBT10" s="1338"/>
      <c r="LBU10" s="1339"/>
      <c r="LBV10" s="1340"/>
      <c r="LBW10" s="1340"/>
      <c r="LBX10" s="1340"/>
      <c r="LBY10" s="1341"/>
      <c r="LBZ10" s="1342"/>
      <c r="LCA10" s="1336"/>
      <c r="LCB10" s="1336"/>
      <c r="LCC10" s="1336"/>
      <c r="LCD10" s="1336"/>
      <c r="LCE10" s="1337"/>
      <c r="LCF10" s="1337"/>
      <c r="LCG10" s="1337"/>
      <c r="LCH10" s="1337"/>
      <c r="LCI10" s="1337"/>
      <c r="LCJ10" s="1338"/>
      <c r="LCK10" s="1339"/>
      <c r="LCL10" s="1340"/>
      <c r="LCM10" s="1340"/>
      <c r="LCN10" s="1340"/>
      <c r="LCO10" s="1341"/>
      <c r="LCP10" s="1342"/>
      <c r="LCQ10" s="1336"/>
      <c r="LCR10" s="1336"/>
      <c r="LCS10" s="1336"/>
      <c r="LCT10" s="1336"/>
      <c r="LCU10" s="1337"/>
      <c r="LCV10" s="1337"/>
      <c r="LCW10" s="1337"/>
      <c r="LCX10" s="1337"/>
      <c r="LCY10" s="1337"/>
      <c r="LCZ10" s="1338"/>
      <c r="LDA10" s="1339"/>
      <c r="LDB10" s="1340"/>
      <c r="LDC10" s="1340"/>
      <c r="LDD10" s="1340"/>
      <c r="LDE10" s="1341"/>
      <c r="LDF10" s="1342"/>
      <c r="LDG10" s="1336"/>
      <c r="LDH10" s="1336"/>
      <c r="LDI10" s="1336"/>
      <c r="LDJ10" s="1336"/>
      <c r="LDK10" s="1337"/>
      <c r="LDL10" s="1337"/>
      <c r="LDM10" s="1337"/>
      <c r="LDN10" s="1337"/>
      <c r="LDO10" s="1337"/>
      <c r="LDP10" s="1338"/>
      <c r="LDQ10" s="1339"/>
      <c r="LDR10" s="1340"/>
      <c r="LDS10" s="1340"/>
      <c r="LDT10" s="1340"/>
      <c r="LDU10" s="1341"/>
      <c r="LDV10" s="1342"/>
      <c r="LDW10" s="1336"/>
      <c r="LDX10" s="1336"/>
      <c r="LDY10" s="1336"/>
      <c r="LDZ10" s="1336"/>
      <c r="LEA10" s="1337"/>
      <c r="LEB10" s="1337"/>
      <c r="LEC10" s="1337"/>
      <c r="LED10" s="1337"/>
      <c r="LEE10" s="1337"/>
      <c r="LEF10" s="1338"/>
      <c r="LEG10" s="1339"/>
      <c r="LEH10" s="1340"/>
      <c r="LEI10" s="1340"/>
      <c r="LEJ10" s="1340"/>
      <c r="LEK10" s="1341"/>
      <c r="LEL10" s="1342"/>
      <c r="LEM10" s="1336"/>
      <c r="LEN10" s="1336"/>
      <c r="LEO10" s="1336"/>
      <c r="LEP10" s="1336"/>
      <c r="LEQ10" s="1337"/>
      <c r="LER10" s="1337"/>
      <c r="LES10" s="1337"/>
      <c r="LET10" s="1337"/>
      <c r="LEU10" s="1337"/>
      <c r="LEV10" s="1338"/>
      <c r="LEW10" s="1339"/>
      <c r="LEX10" s="1340"/>
      <c r="LEY10" s="1340"/>
      <c r="LEZ10" s="1340"/>
      <c r="LFA10" s="1341"/>
      <c r="LFB10" s="1342"/>
      <c r="LFC10" s="1336"/>
      <c r="LFD10" s="1336"/>
      <c r="LFE10" s="1336"/>
      <c r="LFF10" s="1336"/>
      <c r="LFG10" s="1337"/>
      <c r="LFH10" s="1337"/>
      <c r="LFI10" s="1337"/>
      <c r="LFJ10" s="1337"/>
      <c r="LFK10" s="1337"/>
      <c r="LFL10" s="1338"/>
      <c r="LFM10" s="1339"/>
      <c r="LFN10" s="1340"/>
      <c r="LFO10" s="1340"/>
      <c r="LFP10" s="1340"/>
      <c r="LFQ10" s="1341"/>
      <c r="LFR10" s="1342"/>
      <c r="LFS10" s="1336"/>
      <c r="LFT10" s="1336"/>
      <c r="LFU10" s="1336"/>
      <c r="LFV10" s="1336"/>
      <c r="LFW10" s="1337"/>
      <c r="LFX10" s="1337"/>
      <c r="LFY10" s="1337"/>
      <c r="LFZ10" s="1337"/>
      <c r="LGA10" s="1337"/>
      <c r="LGB10" s="1338"/>
      <c r="LGC10" s="1339"/>
      <c r="LGD10" s="1340"/>
      <c r="LGE10" s="1340"/>
      <c r="LGF10" s="1340"/>
      <c r="LGG10" s="1341"/>
      <c r="LGH10" s="1342"/>
      <c r="LGI10" s="1336"/>
      <c r="LGJ10" s="1336"/>
      <c r="LGK10" s="1336"/>
      <c r="LGL10" s="1336"/>
      <c r="LGM10" s="1337"/>
      <c r="LGN10" s="1337"/>
      <c r="LGO10" s="1337"/>
      <c r="LGP10" s="1337"/>
      <c r="LGQ10" s="1337"/>
      <c r="LGR10" s="1338"/>
      <c r="LGS10" s="1339"/>
      <c r="LGT10" s="1340"/>
      <c r="LGU10" s="1340"/>
      <c r="LGV10" s="1340"/>
      <c r="LGW10" s="1341"/>
      <c r="LGX10" s="1342"/>
      <c r="LGY10" s="1336"/>
      <c r="LGZ10" s="1336"/>
      <c r="LHA10" s="1336"/>
      <c r="LHB10" s="1336"/>
      <c r="LHC10" s="1337"/>
      <c r="LHD10" s="1337"/>
      <c r="LHE10" s="1337"/>
      <c r="LHF10" s="1337"/>
      <c r="LHG10" s="1337"/>
      <c r="LHH10" s="1338"/>
      <c r="LHI10" s="1339"/>
      <c r="LHJ10" s="1340"/>
      <c r="LHK10" s="1340"/>
      <c r="LHL10" s="1340"/>
      <c r="LHM10" s="1341"/>
      <c r="LHN10" s="1342"/>
      <c r="LHO10" s="1336"/>
      <c r="LHP10" s="1336"/>
      <c r="LHQ10" s="1336"/>
      <c r="LHR10" s="1336"/>
      <c r="LHS10" s="1337"/>
      <c r="LHT10" s="1337"/>
      <c r="LHU10" s="1337"/>
      <c r="LHV10" s="1337"/>
      <c r="LHW10" s="1337"/>
      <c r="LHX10" s="1338"/>
      <c r="LHY10" s="1339"/>
      <c r="LHZ10" s="1340"/>
      <c r="LIA10" s="1340"/>
      <c r="LIB10" s="1340"/>
      <c r="LIC10" s="1341"/>
      <c r="LID10" s="1342"/>
      <c r="LIE10" s="1336"/>
      <c r="LIF10" s="1336"/>
      <c r="LIG10" s="1336"/>
      <c r="LIH10" s="1336"/>
      <c r="LII10" s="1337"/>
      <c r="LIJ10" s="1337"/>
      <c r="LIK10" s="1337"/>
      <c r="LIL10" s="1337"/>
      <c r="LIM10" s="1337"/>
      <c r="LIN10" s="1338"/>
      <c r="LIO10" s="1339"/>
      <c r="LIP10" s="1340"/>
      <c r="LIQ10" s="1340"/>
      <c r="LIR10" s="1340"/>
      <c r="LIS10" s="1341"/>
      <c r="LIT10" s="1342"/>
      <c r="LIU10" s="1336"/>
      <c r="LIV10" s="1336"/>
      <c r="LIW10" s="1336"/>
      <c r="LIX10" s="1336"/>
      <c r="LIY10" s="1337"/>
      <c r="LIZ10" s="1337"/>
      <c r="LJA10" s="1337"/>
      <c r="LJB10" s="1337"/>
      <c r="LJC10" s="1337"/>
      <c r="LJD10" s="1338"/>
      <c r="LJE10" s="1339"/>
      <c r="LJF10" s="1340"/>
      <c r="LJG10" s="1340"/>
      <c r="LJH10" s="1340"/>
      <c r="LJI10" s="1341"/>
      <c r="LJJ10" s="1342"/>
      <c r="LJK10" s="1336"/>
      <c r="LJL10" s="1336"/>
      <c r="LJM10" s="1336"/>
      <c r="LJN10" s="1336"/>
      <c r="LJO10" s="1337"/>
      <c r="LJP10" s="1337"/>
      <c r="LJQ10" s="1337"/>
      <c r="LJR10" s="1337"/>
      <c r="LJS10" s="1337"/>
      <c r="LJT10" s="1338"/>
      <c r="LJU10" s="1339"/>
      <c r="LJV10" s="1340"/>
      <c r="LJW10" s="1340"/>
      <c r="LJX10" s="1340"/>
      <c r="LJY10" s="1341"/>
      <c r="LJZ10" s="1342"/>
      <c r="LKA10" s="1336"/>
      <c r="LKB10" s="1336"/>
      <c r="LKC10" s="1336"/>
      <c r="LKD10" s="1336"/>
      <c r="LKE10" s="1337"/>
      <c r="LKF10" s="1337"/>
      <c r="LKG10" s="1337"/>
      <c r="LKH10" s="1337"/>
      <c r="LKI10" s="1337"/>
      <c r="LKJ10" s="1338"/>
      <c r="LKK10" s="1339"/>
      <c r="LKL10" s="1340"/>
      <c r="LKM10" s="1340"/>
      <c r="LKN10" s="1340"/>
      <c r="LKO10" s="1341"/>
      <c r="LKP10" s="1342"/>
      <c r="LKQ10" s="1336"/>
      <c r="LKR10" s="1336"/>
      <c r="LKS10" s="1336"/>
      <c r="LKT10" s="1336"/>
      <c r="LKU10" s="1337"/>
      <c r="LKV10" s="1337"/>
      <c r="LKW10" s="1337"/>
      <c r="LKX10" s="1337"/>
      <c r="LKY10" s="1337"/>
      <c r="LKZ10" s="1338"/>
      <c r="LLA10" s="1339"/>
      <c r="LLB10" s="1340"/>
      <c r="LLC10" s="1340"/>
      <c r="LLD10" s="1340"/>
      <c r="LLE10" s="1341"/>
      <c r="LLF10" s="1342"/>
      <c r="LLG10" s="1336"/>
      <c r="LLH10" s="1336"/>
      <c r="LLI10" s="1336"/>
      <c r="LLJ10" s="1336"/>
      <c r="LLK10" s="1337"/>
      <c r="LLL10" s="1337"/>
      <c r="LLM10" s="1337"/>
      <c r="LLN10" s="1337"/>
      <c r="LLO10" s="1337"/>
      <c r="LLP10" s="1338"/>
      <c r="LLQ10" s="1339"/>
      <c r="LLR10" s="1340"/>
      <c r="LLS10" s="1340"/>
      <c r="LLT10" s="1340"/>
      <c r="LLU10" s="1341"/>
      <c r="LLV10" s="1342"/>
      <c r="LLW10" s="1336"/>
      <c r="LLX10" s="1336"/>
      <c r="LLY10" s="1336"/>
      <c r="LLZ10" s="1336"/>
      <c r="LMA10" s="1337"/>
      <c r="LMB10" s="1337"/>
      <c r="LMC10" s="1337"/>
      <c r="LMD10" s="1337"/>
      <c r="LME10" s="1337"/>
      <c r="LMF10" s="1338"/>
      <c r="LMG10" s="1339"/>
      <c r="LMH10" s="1340"/>
      <c r="LMI10" s="1340"/>
      <c r="LMJ10" s="1340"/>
      <c r="LMK10" s="1341"/>
      <c r="LML10" s="1342"/>
      <c r="LMM10" s="1336"/>
      <c r="LMN10" s="1336"/>
      <c r="LMO10" s="1336"/>
      <c r="LMP10" s="1336"/>
      <c r="LMQ10" s="1337"/>
      <c r="LMR10" s="1337"/>
      <c r="LMS10" s="1337"/>
      <c r="LMT10" s="1337"/>
      <c r="LMU10" s="1337"/>
      <c r="LMV10" s="1338"/>
      <c r="LMW10" s="1339"/>
      <c r="LMX10" s="1340"/>
      <c r="LMY10" s="1340"/>
      <c r="LMZ10" s="1340"/>
      <c r="LNA10" s="1341"/>
      <c r="LNB10" s="1342"/>
      <c r="LNC10" s="1336"/>
      <c r="LND10" s="1336"/>
      <c r="LNE10" s="1336"/>
      <c r="LNF10" s="1336"/>
      <c r="LNG10" s="1337"/>
      <c r="LNH10" s="1337"/>
      <c r="LNI10" s="1337"/>
      <c r="LNJ10" s="1337"/>
      <c r="LNK10" s="1337"/>
      <c r="LNL10" s="1338"/>
      <c r="LNM10" s="1339"/>
      <c r="LNN10" s="1340"/>
      <c r="LNO10" s="1340"/>
      <c r="LNP10" s="1340"/>
      <c r="LNQ10" s="1341"/>
      <c r="LNR10" s="1342"/>
      <c r="LNS10" s="1336"/>
      <c r="LNT10" s="1336"/>
      <c r="LNU10" s="1336"/>
      <c r="LNV10" s="1336"/>
      <c r="LNW10" s="1337"/>
      <c r="LNX10" s="1337"/>
      <c r="LNY10" s="1337"/>
      <c r="LNZ10" s="1337"/>
      <c r="LOA10" s="1337"/>
      <c r="LOB10" s="1338"/>
      <c r="LOC10" s="1339"/>
      <c r="LOD10" s="1340"/>
      <c r="LOE10" s="1340"/>
      <c r="LOF10" s="1340"/>
      <c r="LOG10" s="1341"/>
      <c r="LOH10" s="1342"/>
      <c r="LOI10" s="1336"/>
      <c r="LOJ10" s="1336"/>
      <c r="LOK10" s="1336"/>
      <c r="LOL10" s="1336"/>
      <c r="LOM10" s="1337"/>
      <c r="LON10" s="1337"/>
      <c r="LOO10" s="1337"/>
      <c r="LOP10" s="1337"/>
      <c r="LOQ10" s="1337"/>
      <c r="LOR10" s="1338"/>
      <c r="LOS10" s="1339"/>
      <c r="LOT10" s="1340"/>
      <c r="LOU10" s="1340"/>
      <c r="LOV10" s="1340"/>
      <c r="LOW10" s="1341"/>
      <c r="LOX10" s="1342"/>
      <c r="LOY10" s="1336"/>
      <c r="LOZ10" s="1336"/>
      <c r="LPA10" s="1336"/>
      <c r="LPB10" s="1336"/>
      <c r="LPC10" s="1337"/>
      <c r="LPD10" s="1337"/>
      <c r="LPE10" s="1337"/>
      <c r="LPF10" s="1337"/>
      <c r="LPG10" s="1337"/>
      <c r="LPH10" s="1338"/>
      <c r="LPI10" s="1339"/>
      <c r="LPJ10" s="1340"/>
      <c r="LPK10" s="1340"/>
      <c r="LPL10" s="1340"/>
      <c r="LPM10" s="1341"/>
      <c r="LPN10" s="1342"/>
      <c r="LPO10" s="1336"/>
      <c r="LPP10" s="1336"/>
      <c r="LPQ10" s="1336"/>
      <c r="LPR10" s="1336"/>
      <c r="LPS10" s="1337"/>
      <c r="LPT10" s="1337"/>
      <c r="LPU10" s="1337"/>
      <c r="LPV10" s="1337"/>
      <c r="LPW10" s="1337"/>
      <c r="LPX10" s="1338"/>
      <c r="LPY10" s="1339"/>
      <c r="LPZ10" s="1340"/>
      <c r="LQA10" s="1340"/>
      <c r="LQB10" s="1340"/>
      <c r="LQC10" s="1341"/>
      <c r="LQD10" s="1342"/>
      <c r="LQE10" s="1336"/>
      <c r="LQF10" s="1336"/>
      <c r="LQG10" s="1336"/>
      <c r="LQH10" s="1336"/>
      <c r="LQI10" s="1337"/>
      <c r="LQJ10" s="1337"/>
      <c r="LQK10" s="1337"/>
      <c r="LQL10" s="1337"/>
      <c r="LQM10" s="1337"/>
      <c r="LQN10" s="1338"/>
      <c r="LQO10" s="1339"/>
      <c r="LQP10" s="1340"/>
      <c r="LQQ10" s="1340"/>
      <c r="LQR10" s="1340"/>
      <c r="LQS10" s="1341"/>
      <c r="LQT10" s="1342"/>
      <c r="LQU10" s="1336"/>
      <c r="LQV10" s="1336"/>
      <c r="LQW10" s="1336"/>
      <c r="LQX10" s="1336"/>
      <c r="LQY10" s="1337"/>
      <c r="LQZ10" s="1337"/>
      <c r="LRA10" s="1337"/>
      <c r="LRB10" s="1337"/>
      <c r="LRC10" s="1337"/>
      <c r="LRD10" s="1338"/>
      <c r="LRE10" s="1339"/>
      <c r="LRF10" s="1340"/>
      <c r="LRG10" s="1340"/>
      <c r="LRH10" s="1340"/>
      <c r="LRI10" s="1341"/>
      <c r="LRJ10" s="1342"/>
      <c r="LRK10" s="1336"/>
      <c r="LRL10" s="1336"/>
      <c r="LRM10" s="1336"/>
      <c r="LRN10" s="1336"/>
      <c r="LRO10" s="1337"/>
      <c r="LRP10" s="1337"/>
      <c r="LRQ10" s="1337"/>
      <c r="LRR10" s="1337"/>
      <c r="LRS10" s="1337"/>
      <c r="LRT10" s="1338"/>
      <c r="LRU10" s="1339"/>
      <c r="LRV10" s="1340"/>
      <c r="LRW10" s="1340"/>
      <c r="LRX10" s="1340"/>
      <c r="LRY10" s="1341"/>
      <c r="LRZ10" s="1342"/>
      <c r="LSA10" s="1336"/>
      <c r="LSB10" s="1336"/>
      <c r="LSC10" s="1336"/>
      <c r="LSD10" s="1336"/>
      <c r="LSE10" s="1337"/>
      <c r="LSF10" s="1337"/>
      <c r="LSG10" s="1337"/>
      <c r="LSH10" s="1337"/>
      <c r="LSI10" s="1337"/>
      <c r="LSJ10" s="1338"/>
      <c r="LSK10" s="1339"/>
      <c r="LSL10" s="1340"/>
      <c r="LSM10" s="1340"/>
      <c r="LSN10" s="1340"/>
      <c r="LSO10" s="1341"/>
      <c r="LSP10" s="1342"/>
      <c r="LSQ10" s="1336"/>
      <c r="LSR10" s="1336"/>
      <c r="LSS10" s="1336"/>
      <c r="LST10" s="1336"/>
      <c r="LSU10" s="1337"/>
      <c r="LSV10" s="1337"/>
      <c r="LSW10" s="1337"/>
      <c r="LSX10" s="1337"/>
      <c r="LSY10" s="1337"/>
      <c r="LSZ10" s="1338"/>
      <c r="LTA10" s="1339"/>
      <c r="LTB10" s="1340"/>
      <c r="LTC10" s="1340"/>
      <c r="LTD10" s="1340"/>
      <c r="LTE10" s="1341"/>
      <c r="LTF10" s="1342"/>
      <c r="LTG10" s="1336"/>
      <c r="LTH10" s="1336"/>
      <c r="LTI10" s="1336"/>
      <c r="LTJ10" s="1336"/>
      <c r="LTK10" s="1337"/>
      <c r="LTL10" s="1337"/>
      <c r="LTM10" s="1337"/>
      <c r="LTN10" s="1337"/>
      <c r="LTO10" s="1337"/>
      <c r="LTP10" s="1338"/>
      <c r="LTQ10" s="1339"/>
      <c r="LTR10" s="1340"/>
      <c r="LTS10" s="1340"/>
      <c r="LTT10" s="1340"/>
      <c r="LTU10" s="1341"/>
      <c r="LTV10" s="1342"/>
      <c r="LTW10" s="1336"/>
      <c r="LTX10" s="1336"/>
      <c r="LTY10" s="1336"/>
      <c r="LTZ10" s="1336"/>
      <c r="LUA10" s="1337"/>
      <c r="LUB10" s="1337"/>
      <c r="LUC10" s="1337"/>
      <c r="LUD10" s="1337"/>
      <c r="LUE10" s="1337"/>
      <c r="LUF10" s="1338"/>
      <c r="LUG10" s="1339"/>
      <c r="LUH10" s="1340"/>
      <c r="LUI10" s="1340"/>
      <c r="LUJ10" s="1340"/>
      <c r="LUK10" s="1341"/>
      <c r="LUL10" s="1342"/>
      <c r="LUM10" s="1336"/>
      <c r="LUN10" s="1336"/>
      <c r="LUO10" s="1336"/>
      <c r="LUP10" s="1336"/>
      <c r="LUQ10" s="1337"/>
      <c r="LUR10" s="1337"/>
      <c r="LUS10" s="1337"/>
      <c r="LUT10" s="1337"/>
      <c r="LUU10" s="1337"/>
      <c r="LUV10" s="1338"/>
      <c r="LUW10" s="1339"/>
      <c r="LUX10" s="1340"/>
      <c r="LUY10" s="1340"/>
      <c r="LUZ10" s="1340"/>
      <c r="LVA10" s="1341"/>
      <c r="LVB10" s="1342"/>
      <c r="LVC10" s="1336"/>
      <c r="LVD10" s="1336"/>
      <c r="LVE10" s="1336"/>
      <c r="LVF10" s="1336"/>
      <c r="LVG10" s="1337"/>
      <c r="LVH10" s="1337"/>
      <c r="LVI10" s="1337"/>
      <c r="LVJ10" s="1337"/>
      <c r="LVK10" s="1337"/>
      <c r="LVL10" s="1338"/>
      <c r="LVM10" s="1339"/>
      <c r="LVN10" s="1340"/>
      <c r="LVO10" s="1340"/>
      <c r="LVP10" s="1340"/>
      <c r="LVQ10" s="1341"/>
      <c r="LVR10" s="1342"/>
      <c r="LVS10" s="1336"/>
      <c r="LVT10" s="1336"/>
      <c r="LVU10" s="1336"/>
      <c r="LVV10" s="1336"/>
      <c r="LVW10" s="1337"/>
      <c r="LVX10" s="1337"/>
      <c r="LVY10" s="1337"/>
      <c r="LVZ10" s="1337"/>
      <c r="LWA10" s="1337"/>
      <c r="LWB10" s="1338"/>
      <c r="LWC10" s="1339"/>
      <c r="LWD10" s="1340"/>
      <c r="LWE10" s="1340"/>
      <c r="LWF10" s="1340"/>
      <c r="LWG10" s="1341"/>
      <c r="LWH10" s="1342"/>
      <c r="LWI10" s="1336"/>
      <c r="LWJ10" s="1336"/>
      <c r="LWK10" s="1336"/>
      <c r="LWL10" s="1336"/>
      <c r="LWM10" s="1337"/>
      <c r="LWN10" s="1337"/>
      <c r="LWO10" s="1337"/>
      <c r="LWP10" s="1337"/>
      <c r="LWQ10" s="1337"/>
      <c r="LWR10" s="1338"/>
      <c r="LWS10" s="1339"/>
      <c r="LWT10" s="1340"/>
      <c r="LWU10" s="1340"/>
      <c r="LWV10" s="1340"/>
      <c r="LWW10" s="1341"/>
      <c r="LWX10" s="1342"/>
      <c r="LWY10" s="1336"/>
      <c r="LWZ10" s="1336"/>
      <c r="LXA10" s="1336"/>
      <c r="LXB10" s="1336"/>
      <c r="LXC10" s="1337"/>
      <c r="LXD10" s="1337"/>
      <c r="LXE10" s="1337"/>
      <c r="LXF10" s="1337"/>
      <c r="LXG10" s="1337"/>
      <c r="LXH10" s="1338"/>
      <c r="LXI10" s="1339"/>
      <c r="LXJ10" s="1340"/>
      <c r="LXK10" s="1340"/>
      <c r="LXL10" s="1340"/>
      <c r="LXM10" s="1341"/>
      <c r="LXN10" s="1342"/>
      <c r="LXO10" s="1336"/>
      <c r="LXP10" s="1336"/>
      <c r="LXQ10" s="1336"/>
      <c r="LXR10" s="1336"/>
      <c r="LXS10" s="1337"/>
      <c r="LXT10" s="1337"/>
      <c r="LXU10" s="1337"/>
      <c r="LXV10" s="1337"/>
      <c r="LXW10" s="1337"/>
      <c r="LXX10" s="1338"/>
      <c r="LXY10" s="1339"/>
      <c r="LXZ10" s="1340"/>
      <c r="LYA10" s="1340"/>
      <c r="LYB10" s="1340"/>
      <c r="LYC10" s="1341"/>
      <c r="LYD10" s="1342"/>
      <c r="LYE10" s="1336"/>
      <c r="LYF10" s="1336"/>
      <c r="LYG10" s="1336"/>
      <c r="LYH10" s="1336"/>
      <c r="LYI10" s="1337"/>
      <c r="LYJ10" s="1337"/>
      <c r="LYK10" s="1337"/>
      <c r="LYL10" s="1337"/>
      <c r="LYM10" s="1337"/>
      <c r="LYN10" s="1338"/>
      <c r="LYO10" s="1339"/>
      <c r="LYP10" s="1340"/>
      <c r="LYQ10" s="1340"/>
      <c r="LYR10" s="1340"/>
      <c r="LYS10" s="1341"/>
      <c r="LYT10" s="1342"/>
      <c r="LYU10" s="1336"/>
      <c r="LYV10" s="1336"/>
      <c r="LYW10" s="1336"/>
      <c r="LYX10" s="1336"/>
      <c r="LYY10" s="1337"/>
      <c r="LYZ10" s="1337"/>
      <c r="LZA10" s="1337"/>
      <c r="LZB10" s="1337"/>
      <c r="LZC10" s="1337"/>
      <c r="LZD10" s="1338"/>
      <c r="LZE10" s="1339"/>
      <c r="LZF10" s="1340"/>
      <c r="LZG10" s="1340"/>
      <c r="LZH10" s="1340"/>
      <c r="LZI10" s="1341"/>
      <c r="LZJ10" s="1342"/>
      <c r="LZK10" s="1336"/>
      <c r="LZL10" s="1336"/>
      <c r="LZM10" s="1336"/>
      <c r="LZN10" s="1336"/>
      <c r="LZO10" s="1337"/>
      <c r="LZP10" s="1337"/>
      <c r="LZQ10" s="1337"/>
      <c r="LZR10" s="1337"/>
      <c r="LZS10" s="1337"/>
      <c r="LZT10" s="1338"/>
      <c r="LZU10" s="1339"/>
      <c r="LZV10" s="1340"/>
      <c r="LZW10" s="1340"/>
      <c r="LZX10" s="1340"/>
      <c r="LZY10" s="1341"/>
      <c r="LZZ10" s="1342"/>
      <c r="MAA10" s="1336"/>
      <c r="MAB10" s="1336"/>
      <c r="MAC10" s="1336"/>
      <c r="MAD10" s="1336"/>
      <c r="MAE10" s="1337"/>
      <c r="MAF10" s="1337"/>
      <c r="MAG10" s="1337"/>
      <c r="MAH10" s="1337"/>
      <c r="MAI10" s="1337"/>
      <c r="MAJ10" s="1338"/>
      <c r="MAK10" s="1339"/>
      <c r="MAL10" s="1340"/>
      <c r="MAM10" s="1340"/>
      <c r="MAN10" s="1340"/>
      <c r="MAO10" s="1341"/>
      <c r="MAP10" s="1342"/>
      <c r="MAQ10" s="1336"/>
      <c r="MAR10" s="1336"/>
      <c r="MAS10" s="1336"/>
      <c r="MAT10" s="1336"/>
      <c r="MAU10" s="1337"/>
      <c r="MAV10" s="1337"/>
      <c r="MAW10" s="1337"/>
      <c r="MAX10" s="1337"/>
      <c r="MAY10" s="1337"/>
      <c r="MAZ10" s="1338"/>
      <c r="MBA10" s="1339"/>
      <c r="MBB10" s="1340"/>
      <c r="MBC10" s="1340"/>
      <c r="MBD10" s="1340"/>
      <c r="MBE10" s="1341"/>
      <c r="MBF10" s="1342"/>
      <c r="MBG10" s="1336"/>
      <c r="MBH10" s="1336"/>
      <c r="MBI10" s="1336"/>
      <c r="MBJ10" s="1336"/>
      <c r="MBK10" s="1337"/>
      <c r="MBL10" s="1337"/>
      <c r="MBM10" s="1337"/>
      <c r="MBN10" s="1337"/>
      <c r="MBO10" s="1337"/>
      <c r="MBP10" s="1338"/>
      <c r="MBQ10" s="1339"/>
      <c r="MBR10" s="1340"/>
      <c r="MBS10" s="1340"/>
      <c r="MBT10" s="1340"/>
      <c r="MBU10" s="1341"/>
      <c r="MBV10" s="1342"/>
      <c r="MBW10" s="1336"/>
      <c r="MBX10" s="1336"/>
      <c r="MBY10" s="1336"/>
      <c r="MBZ10" s="1336"/>
      <c r="MCA10" s="1337"/>
      <c r="MCB10" s="1337"/>
      <c r="MCC10" s="1337"/>
      <c r="MCD10" s="1337"/>
      <c r="MCE10" s="1337"/>
      <c r="MCF10" s="1338"/>
      <c r="MCG10" s="1339"/>
      <c r="MCH10" s="1340"/>
      <c r="MCI10" s="1340"/>
      <c r="MCJ10" s="1340"/>
      <c r="MCK10" s="1341"/>
      <c r="MCL10" s="1342"/>
      <c r="MCM10" s="1336"/>
      <c r="MCN10" s="1336"/>
      <c r="MCO10" s="1336"/>
      <c r="MCP10" s="1336"/>
      <c r="MCQ10" s="1337"/>
      <c r="MCR10" s="1337"/>
      <c r="MCS10" s="1337"/>
      <c r="MCT10" s="1337"/>
      <c r="MCU10" s="1337"/>
      <c r="MCV10" s="1338"/>
      <c r="MCW10" s="1339"/>
      <c r="MCX10" s="1340"/>
      <c r="MCY10" s="1340"/>
      <c r="MCZ10" s="1340"/>
      <c r="MDA10" s="1341"/>
      <c r="MDB10" s="1342"/>
      <c r="MDC10" s="1336"/>
      <c r="MDD10" s="1336"/>
      <c r="MDE10" s="1336"/>
      <c r="MDF10" s="1336"/>
      <c r="MDG10" s="1337"/>
      <c r="MDH10" s="1337"/>
      <c r="MDI10" s="1337"/>
      <c r="MDJ10" s="1337"/>
      <c r="MDK10" s="1337"/>
      <c r="MDL10" s="1338"/>
      <c r="MDM10" s="1339"/>
      <c r="MDN10" s="1340"/>
      <c r="MDO10" s="1340"/>
      <c r="MDP10" s="1340"/>
      <c r="MDQ10" s="1341"/>
      <c r="MDR10" s="1342"/>
      <c r="MDS10" s="1336"/>
      <c r="MDT10" s="1336"/>
      <c r="MDU10" s="1336"/>
      <c r="MDV10" s="1336"/>
      <c r="MDW10" s="1337"/>
      <c r="MDX10" s="1337"/>
      <c r="MDY10" s="1337"/>
      <c r="MDZ10" s="1337"/>
      <c r="MEA10" s="1337"/>
      <c r="MEB10" s="1338"/>
      <c r="MEC10" s="1339"/>
      <c r="MED10" s="1340"/>
      <c r="MEE10" s="1340"/>
      <c r="MEF10" s="1340"/>
      <c r="MEG10" s="1341"/>
      <c r="MEH10" s="1342"/>
      <c r="MEI10" s="1336"/>
      <c r="MEJ10" s="1336"/>
      <c r="MEK10" s="1336"/>
      <c r="MEL10" s="1336"/>
      <c r="MEM10" s="1337"/>
      <c r="MEN10" s="1337"/>
      <c r="MEO10" s="1337"/>
      <c r="MEP10" s="1337"/>
      <c r="MEQ10" s="1337"/>
      <c r="MER10" s="1338"/>
      <c r="MES10" s="1339"/>
      <c r="MET10" s="1340"/>
      <c r="MEU10" s="1340"/>
      <c r="MEV10" s="1340"/>
      <c r="MEW10" s="1341"/>
      <c r="MEX10" s="1342"/>
      <c r="MEY10" s="1336"/>
      <c r="MEZ10" s="1336"/>
      <c r="MFA10" s="1336"/>
      <c r="MFB10" s="1336"/>
      <c r="MFC10" s="1337"/>
      <c r="MFD10" s="1337"/>
      <c r="MFE10" s="1337"/>
      <c r="MFF10" s="1337"/>
      <c r="MFG10" s="1337"/>
      <c r="MFH10" s="1338"/>
      <c r="MFI10" s="1339"/>
      <c r="MFJ10" s="1340"/>
      <c r="MFK10" s="1340"/>
      <c r="MFL10" s="1340"/>
      <c r="MFM10" s="1341"/>
      <c r="MFN10" s="1342"/>
      <c r="MFO10" s="1336"/>
      <c r="MFP10" s="1336"/>
      <c r="MFQ10" s="1336"/>
      <c r="MFR10" s="1336"/>
      <c r="MFS10" s="1337"/>
      <c r="MFT10" s="1337"/>
      <c r="MFU10" s="1337"/>
      <c r="MFV10" s="1337"/>
      <c r="MFW10" s="1337"/>
      <c r="MFX10" s="1338"/>
      <c r="MFY10" s="1339"/>
      <c r="MFZ10" s="1340"/>
      <c r="MGA10" s="1340"/>
      <c r="MGB10" s="1340"/>
      <c r="MGC10" s="1341"/>
      <c r="MGD10" s="1342"/>
      <c r="MGE10" s="1336"/>
      <c r="MGF10" s="1336"/>
      <c r="MGG10" s="1336"/>
      <c r="MGH10" s="1336"/>
      <c r="MGI10" s="1337"/>
      <c r="MGJ10" s="1337"/>
      <c r="MGK10" s="1337"/>
      <c r="MGL10" s="1337"/>
      <c r="MGM10" s="1337"/>
      <c r="MGN10" s="1338"/>
      <c r="MGO10" s="1339"/>
      <c r="MGP10" s="1340"/>
      <c r="MGQ10" s="1340"/>
      <c r="MGR10" s="1340"/>
      <c r="MGS10" s="1341"/>
      <c r="MGT10" s="1342"/>
      <c r="MGU10" s="1336"/>
      <c r="MGV10" s="1336"/>
      <c r="MGW10" s="1336"/>
      <c r="MGX10" s="1336"/>
      <c r="MGY10" s="1337"/>
      <c r="MGZ10" s="1337"/>
      <c r="MHA10" s="1337"/>
      <c r="MHB10" s="1337"/>
      <c r="MHC10" s="1337"/>
      <c r="MHD10" s="1338"/>
      <c r="MHE10" s="1339"/>
      <c r="MHF10" s="1340"/>
      <c r="MHG10" s="1340"/>
      <c r="MHH10" s="1340"/>
      <c r="MHI10" s="1341"/>
      <c r="MHJ10" s="1342"/>
      <c r="MHK10" s="1336"/>
      <c r="MHL10" s="1336"/>
      <c r="MHM10" s="1336"/>
      <c r="MHN10" s="1336"/>
      <c r="MHO10" s="1337"/>
      <c r="MHP10" s="1337"/>
      <c r="MHQ10" s="1337"/>
      <c r="MHR10" s="1337"/>
      <c r="MHS10" s="1337"/>
      <c r="MHT10" s="1338"/>
      <c r="MHU10" s="1339"/>
      <c r="MHV10" s="1340"/>
      <c r="MHW10" s="1340"/>
      <c r="MHX10" s="1340"/>
      <c r="MHY10" s="1341"/>
      <c r="MHZ10" s="1342"/>
      <c r="MIA10" s="1336"/>
      <c r="MIB10" s="1336"/>
      <c r="MIC10" s="1336"/>
      <c r="MID10" s="1336"/>
      <c r="MIE10" s="1337"/>
      <c r="MIF10" s="1337"/>
      <c r="MIG10" s="1337"/>
      <c r="MIH10" s="1337"/>
      <c r="MII10" s="1337"/>
      <c r="MIJ10" s="1338"/>
      <c r="MIK10" s="1339"/>
      <c r="MIL10" s="1340"/>
      <c r="MIM10" s="1340"/>
      <c r="MIN10" s="1340"/>
      <c r="MIO10" s="1341"/>
      <c r="MIP10" s="1342"/>
      <c r="MIQ10" s="1336"/>
      <c r="MIR10" s="1336"/>
      <c r="MIS10" s="1336"/>
      <c r="MIT10" s="1336"/>
      <c r="MIU10" s="1337"/>
      <c r="MIV10" s="1337"/>
      <c r="MIW10" s="1337"/>
      <c r="MIX10" s="1337"/>
      <c r="MIY10" s="1337"/>
      <c r="MIZ10" s="1338"/>
      <c r="MJA10" s="1339"/>
      <c r="MJB10" s="1340"/>
      <c r="MJC10" s="1340"/>
      <c r="MJD10" s="1340"/>
      <c r="MJE10" s="1341"/>
      <c r="MJF10" s="1342"/>
      <c r="MJG10" s="1336"/>
      <c r="MJH10" s="1336"/>
      <c r="MJI10" s="1336"/>
      <c r="MJJ10" s="1336"/>
      <c r="MJK10" s="1337"/>
      <c r="MJL10" s="1337"/>
      <c r="MJM10" s="1337"/>
      <c r="MJN10" s="1337"/>
      <c r="MJO10" s="1337"/>
      <c r="MJP10" s="1338"/>
      <c r="MJQ10" s="1339"/>
      <c r="MJR10" s="1340"/>
      <c r="MJS10" s="1340"/>
      <c r="MJT10" s="1340"/>
      <c r="MJU10" s="1341"/>
      <c r="MJV10" s="1342"/>
      <c r="MJW10" s="1336"/>
      <c r="MJX10" s="1336"/>
      <c r="MJY10" s="1336"/>
      <c r="MJZ10" s="1336"/>
      <c r="MKA10" s="1337"/>
      <c r="MKB10" s="1337"/>
      <c r="MKC10" s="1337"/>
      <c r="MKD10" s="1337"/>
      <c r="MKE10" s="1337"/>
      <c r="MKF10" s="1338"/>
      <c r="MKG10" s="1339"/>
      <c r="MKH10" s="1340"/>
      <c r="MKI10" s="1340"/>
      <c r="MKJ10" s="1340"/>
      <c r="MKK10" s="1341"/>
      <c r="MKL10" s="1342"/>
      <c r="MKM10" s="1336"/>
      <c r="MKN10" s="1336"/>
      <c r="MKO10" s="1336"/>
      <c r="MKP10" s="1336"/>
      <c r="MKQ10" s="1337"/>
      <c r="MKR10" s="1337"/>
      <c r="MKS10" s="1337"/>
      <c r="MKT10" s="1337"/>
      <c r="MKU10" s="1337"/>
      <c r="MKV10" s="1338"/>
      <c r="MKW10" s="1339"/>
      <c r="MKX10" s="1340"/>
      <c r="MKY10" s="1340"/>
      <c r="MKZ10" s="1340"/>
      <c r="MLA10" s="1341"/>
      <c r="MLB10" s="1342"/>
      <c r="MLC10" s="1336"/>
      <c r="MLD10" s="1336"/>
      <c r="MLE10" s="1336"/>
      <c r="MLF10" s="1336"/>
      <c r="MLG10" s="1337"/>
      <c r="MLH10" s="1337"/>
      <c r="MLI10" s="1337"/>
      <c r="MLJ10" s="1337"/>
      <c r="MLK10" s="1337"/>
      <c r="MLL10" s="1338"/>
      <c r="MLM10" s="1339"/>
      <c r="MLN10" s="1340"/>
      <c r="MLO10" s="1340"/>
      <c r="MLP10" s="1340"/>
      <c r="MLQ10" s="1341"/>
      <c r="MLR10" s="1342"/>
      <c r="MLS10" s="1336"/>
      <c r="MLT10" s="1336"/>
      <c r="MLU10" s="1336"/>
      <c r="MLV10" s="1336"/>
      <c r="MLW10" s="1337"/>
      <c r="MLX10" s="1337"/>
      <c r="MLY10" s="1337"/>
      <c r="MLZ10" s="1337"/>
      <c r="MMA10" s="1337"/>
      <c r="MMB10" s="1338"/>
      <c r="MMC10" s="1339"/>
      <c r="MMD10" s="1340"/>
      <c r="MME10" s="1340"/>
      <c r="MMF10" s="1340"/>
      <c r="MMG10" s="1341"/>
      <c r="MMH10" s="1342"/>
      <c r="MMI10" s="1336"/>
      <c r="MMJ10" s="1336"/>
      <c r="MMK10" s="1336"/>
      <c r="MML10" s="1336"/>
      <c r="MMM10" s="1337"/>
      <c r="MMN10" s="1337"/>
      <c r="MMO10" s="1337"/>
      <c r="MMP10" s="1337"/>
      <c r="MMQ10" s="1337"/>
      <c r="MMR10" s="1338"/>
      <c r="MMS10" s="1339"/>
      <c r="MMT10" s="1340"/>
      <c r="MMU10" s="1340"/>
      <c r="MMV10" s="1340"/>
      <c r="MMW10" s="1341"/>
      <c r="MMX10" s="1342"/>
      <c r="MMY10" s="1336"/>
      <c r="MMZ10" s="1336"/>
      <c r="MNA10" s="1336"/>
      <c r="MNB10" s="1336"/>
      <c r="MNC10" s="1337"/>
      <c r="MND10" s="1337"/>
      <c r="MNE10" s="1337"/>
      <c r="MNF10" s="1337"/>
      <c r="MNG10" s="1337"/>
      <c r="MNH10" s="1338"/>
      <c r="MNI10" s="1339"/>
      <c r="MNJ10" s="1340"/>
      <c r="MNK10" s="1340"/>
      <c r="MNL10" s="1340"/>
      <c r="MNM10" s="1341"/>
      <c r="MNN10" s="1342"/>
      <c r="MNO10" s="1336"/>
      <c r="MNP10" s="1336"/>
      <c r="MNQ10" s="1336"/>
      <c r="MNR10" s="1336"/>
      <c r="MNS10" s="1337"/>
      <c r="MNT10" s="1337"/>
      <c r="MNU10" s="1337"/>
      <c r="MNV10" s="1337"/>
      <c r="MNW10" s="1337"/>
      <c r="MNX10" s="1338"/>
      <c r="MNY10" s="1339"/>
      <c r="MNZ10" s="1340"/>
      <c r="MOA10" s="1340"/>
      <c r="MOB10" s="1340"/>
      <c r="MOC10" s="1341"/>
      <c r="MOD10" s="1342"/>
      <c r="MOE10" s="1336"/>
      <c r="MOF10" s="1336"/>
      <c r="MOG10" s="1336"/>
      <c r="MOH10" s="1336"/>
      <c r="MOI10" s="1337"/>
      <c r="MOJ10" s="1337"/>
      <c r="MOK10" s="1337"/>
      <c r="MOL10" s="1337"/>
      <c r="MOM10" s="1337"/>
      <c r="MON10" s="1338"/>
      <c r="MOO10" s="1339"/>
      <c r="MOP10" s="1340"/>
      <c r="MOQ10" s="1340"/>
      <c r="MOR10" s="1340"/>
      <c r="MOS10" s="1341"/>
      <c r="MOT10" s="1342"/>
      <c r="MOU10" s="1336"/>
      <c r="MOV10" s="1336"/>
      <c r="MOW10" s="1336"/>
      <c r="MOX10" s="1336"/>
      <c r="MOY10" s="1337"/>
      <c r="MOZ10" s="1337"/>
      <c r="MPA10" s="1337"/>
      <c r="MPB10" s="1337"/>
      <c r="MPC10" s="1337"/>
      <c r="MPD10" s="1338"/>
      <c r="MPE10" s="1339"/>
      <c r="MPF10" s="1340"/>
      <c r="MPG10" s="1340"/>
      <c r="MPH10" s="1340"/>
      <c r="MPI10" s="1341"/>
      <c r="MPJ10" s="1342"/>
      <c r="MPK10" s="1336"/>
      <c r="MPL10" s="1336"/>
      <c r="MPM10" s="1336"/>
      <c r="MPN10" s="1336"/>
      <c r="MPO10" s="1337"/>
      <c r="MPP10" s="1337"/>
      <c r="MPQ10" s="1337"/>
      <c r="MPR10" s="1337"/>
      <c r="MPS10" s="1337"/>
      <c r="MPT10" s="1338"/>
      <c r="MPU10" s="1339"/>
      <c r="MPV10" s="1340"/>
      <c r="MPW10" s="1340"/>
      <c r="MPX10" s="1340"/>
      <c r="MPY10" s="1341"/>
      <c r="MPZ10" s="1342"/>
      <c r="MQA10" s="1336"/>
      <c r="MQB10" s="1336"/>
      <c r="MQC10" s="1336"/>
      <c r="MQD10" s="1336"/>
      <c r="MQE10" s="1337"/>
      <c r="MQF10" s="1337"/>
      <c r="MQG10" s="1337"/>
      <c r="MQH10" s="1337"/>
      <c r="MQI10" s="1337"/>
      <c r="MQJ10" s="1338"/>
      <c r="MQK10" s="1339"/>
      <c r="MQL10" s="1340"/>
      <c r="MQM10" s="1340"/>
      <c r="MQN10" s="1340"/>
      <c r="MQO10" s="1341"/>
      <c r="MQP10" s="1342"/>
      <c r="MQQ10" s="1336"/>
      <c r="MQR10" s="1336"/>
      <c r="MQS10" s="1336"/>
      <c r="MQT10" s="1336"/>
      <c r="MQU10" s="1337"/>
      <c r="MQV10" s="1337"/>
      <c r="MQW10" s="1337"/>
      <c r="MQX10" s="1337"/>
      <c r="MQY10" s="1337"/>
      <c r="MQZ10" s="1338"/>
      <c r="MRA10" s="1339"/>
      <c r="MRB10" s="1340"/>
      <c r="MRC10" s="1340"/>
      <c r="MRD10" s="1340"/>
      <c r="MRE10" s="1341"/>
      <c r="MRF10" s="1342"/>
      <c r="MRG10" s="1336"/>
      <c r="MRH10" s="1336"/>
      <c r="MRI10" s="1336"/>
      <c r="MRJ10" s="1336"/>
      <c r="MRK10" s="1337"/>
      <c r="MRL10" s="1337"/>
      <c r="MRM10" s="1337"/>
      <c r="MRN10" s="1337"/>
      <c r="MRO10" s="1337"/>
      <c r="MRP10" s="1338"/>
      <c r="MRQ10" s="1339"/>
      <c r="MRR10" s="1340"/>
      <c r="MRS10" s="1340"/>
      <c r="MRT10" s="1340"/>
      <c r="MRU10" s="1341"/>
      <c r="MRV10" s="1342"/>
      <c r="MRW10" s="1336"/>
      <c r="MRX10" s="1336"/>
      <c r="MRY10" s="1336"/>
      <c r="MRZ10" s="1336"/>
      <c r="MSA10" s="1337"/>
      <c r="MSB10" s="1337"/>
      <c r="MSC10" s="1337"/>
      <c r="MSD10" s="1337"/>
      <c r="MSE10" s="1337"/>
      <c r="MSF10" s="1338"/>
      <c r="MSG10" s="1339"/>
      <c r="MSH10" s="1340"/>
      <c r="MSI10" s="1340"/>
      <c r="MSJ10" s="1340"/>
      <c r="MSK10" s="1341"/>
      <c r="MSL10" s="1342"/>
      <c r="MSM10" s="1336"/>
      <c r="MSN10" s="1336"/>
      <c r="MSO10" s="1336"/>
      <c r="MSP10" s="1336"/>
      <c r="MSQ10" s="1337"/>
      <c r="MSR10" s="1337"/>
      <c r="MSS10" s="1337"/>
      <c r="MST10" s="1337"/>
      <c r="MSU10" s="1337"/>
      <c r="MSV10" s="1338"/>
      <c r="MSW10" s="1339"/>
      <c r="MSX10" s="1340"/>
      <c r="MSY10" s="1340"/>
      <c r="MSZ10" s="1340"/>
      <c r="MTA10" s="1341"/>
      <c r="MTB10" s="1342"/>
      <c r="MTC10" s="1336"/>
      <c r="MTD10" s="1336"/>
      <c r="MTE10" s="1336"/>
      <c r="MTF10" s="1336"/>
      <c r="MTG10" s="1337"/>
      <c r="MTH10" s="1337"/>
      <c r="MTI10" s="1337"/>
      <c r="MTJ10" s="1337"/>
      <c r="MTK10" s="1337"/>
      <c r="MTL10" s="1338"/>
      <c r="MTM10" s="1339"/>
      <c r="MTN10" s="1340"/>
      <c r="MTO10" s="1340"/>
      <c r="MTP10" s="1340"/>
      <c r="MTQ10" s="1341"/>
      <c r="MTR10" s="1342"/>
      <c r="MTS10" s="1336"/>
      <c r="MTT10" s="1336"/>
      <c r="MTU10" s="1336"/>
      <c r="MTV10" s="1336"/>
      <c r="MTW10" s="1337"/>
      <c r="MTX10" s="1337"/>
      <c r="MTY10" s="1337"/>
      <c r="MTZ10" s="1337"/>
      <c r="MUA10" s="1337"/>
      <c r="MUB10" s="1338"/>
      <c r="MUC10" s="1339"/>
      <c r="MUD10" s="1340"/>
      <c r="MUE10" s="1340"/>
      <c r="MUF10" s="1340"/>
      <c r="MUG10" s="1341"/>
      <c r="MUH10" s="1342"/>
      <c r="MUI10" s="1336"/>
      <c r="MUJ10" s="1336"/>
      <c r="MUK10" s="1336"/>
      <c r="MUL10" s="1336"/>
      <c r="MUM10" s="1337"/>
      <c r="MUN10" s="1337"/>
      <c r="MUO10" s="1337"/>
      <c r="MUP10" s="1337"/>
      <c r="MUQ10" s="1337"/>
      <c r="MUR10" s="1338"/>
      <c r="MUS10" s="1339"/>
      <c r="MUT10" s="1340"/>
      <c r="MUU10" s="1340"/>
      <c r="MUV10" s="1340"/>
      <c r="MUW10" s="1341"/>
      <c r="MUX10" s="1342"/>
      <c r="MUY10" s="1336"/>
      <c r="MUZ10" s="1336"/>
      <c r="MVA10" s="1336"/>
      <c r="MVB10" s="1336"/>
      <c r="MVC10" s="1337"/>
      <c r="MVD10" s="1337"/>
      <c r="MVE10" s="1337"/>
      <c r="MVF10" s="1337"/>
      <c r="MVG10" s="1337"/>
      <c r="MVH10" s="1338"/>
      <c r="MVI10" s="1339"/>
      <c r="MVJ10" s="1340"/>
      <c r="MVK10" s="1340"/>
      <c r="MVL10" s="1340"/>
      <c r="MVM10" s="1341"/>
      <c r="MVN10" s="1342"/>
      <c r="MVO10" s="1336"/>
      <c r="MVP10" s="1336"/>
      <c r="MVQ10" s="1336"/>
      <c r="MVR10" s="1336"/>
      <c r="MVS10" s="1337"/>
      <c r="MVT10" s="1337"/>
      <c r="MVU10" s="1337"/>
      <c r="MVV10" s="1337"/>
      <c r="MVW10" s="1337"/>
      <c r="MVX10" s="1338"/>
      <c r="MVY10" s="1339"/>
      <c r="MVZ10" s="1340"/>
      <c r="MWA10" s="1340"/>
      <c r="MWB10" s="1340"/>
      <c r="MWC10" s="1341"/>
      <c r="MWD10" s="1342"/>
      <c r="MWE10" s="1336"/>
      <c r="MWF10" s="1336"/>
      <c r="MWG10" s="1336"/>
      <c r="MWH10" s="1336"/>
      <c r="MWI10" s="1337"/>
      <c r="MWJ10" s="1337"/>
      <c r="MWK10" s="1337"/>
      <c r="MWL10" s="1337"/>
      <c r="MWM10" s="1337"/>
      <c r="MWN10" s="1338"/>
      <c r="MWO10" s="1339"/>
      <c r="MWP10" s="1340"/>
      <c r="MWQ10" s="1340"/>
      <c r="MWR10" s="1340"/>
      <c r="MWS10" s="1341"/>
      <c r="MWT10" s="1342"/>
      <c r="MWU10" s="1336"/>
      <c r="MWV10" s="1336"/>
      <c r="MWW10" s="1336"/>
      <c r="MWX10" s="1336"/>
      <c r="MWY10" s="1337"/>
      <c r="MWZ10" s="1337"/>
      <c r="MXA10" s="1337"/>
      <c r="MXB10" s="1337"/>
      <c r="MXC10" s="1337"/>
      <c r="MXD10" s="1338"/>
      <c r="MXE10" s="1339"/>
      <c r="MXF10" s="1340"/>
      <c r="MXG10" s="1340"/>
      <c r="MXH10" s="1340"/>
      <c r="MXI10" s="1341"/>
      <c r="MXJ10" s="1342"/>
      <c r="MXK10" s="1336"/>
      <c r="MXL10" s="1336"/>
      <c r="MXM10" s="1336"/>
      <c r="MXN10" s="1336"/>
      <c r="MXO10" s="1337"/>
      <c r="MXP10" s="1337"/>
      <c r="MXQ10" s="1337"/>
      <c r="MXR10" s="1337"/>
      <c r="MXS10" s="1337"/>
      <c r="MXT10" s="1338"/>
      <c r="MXU10" s="1339"/>
      <c r="MXV10" s="1340"/>
      <c r="MXW10" s="1340"/>
      <c r="MXX10" s="1340"/>
      <c r="MXY10" s="1341"/>
      <c r="MXZ10" s="1342"/>
      <c r="MYA10" s="1336"/>
      <c r="MYB10" s="1336"/>
      <c r="MYC10" s="1336"/>
      <c r="MYD10" s="1336"/>
      <c r="MYE10" s="1337"/>
      <c r="MYF10" s="1337"/>
      <c r="MYG10" s="1337"/>
      <c r="MYH10" s="1337"/>
      <c r="MYI10" s="1337"/>
      <c r="MYJ10" s="1338"/>
      <c r="MYK10" s="1339"/>
      <c r="MYL10" s="1340"/>
      <c r="MYM10" s="1340"/>
      <c r="MYN10" s="1340"/>
      <c r="MYO10" s="1341"/>
      <c r="MYP10" s="1342"/>
      <c r="MYQ10" s="1336"/>
      <c r="MYR10" s="1336"/>
      <c r="MYS10" s="1336"/>
      <c r="MYT10" s="1336"/>
      <c r="MYU10" s="1337"/>
      <c r="MYV10" s="1337"/>
      <c r="MYW10" s="1337"/>
      <c r="MYX10" s="1337"/>
      <c r="MYY10" s="1337"/>
      <c r="MYZ10" s="1338"/>
      <c r="MZA10" s="1339"/>
      <c r="MZB10" s="1340"/>
      <c r="MZC10" s="1340"/>
      <c r="MZD10" s="1340"/>
      <c r="MZE10" s="1341"/>
      <c r="MZF10" s="1342"/>
      <c r="MZG10" s="1336"/>
      <c r="MZH10" s="1336"/>
      <c r="MZI10" s="1336"/>
      <c r="MZJ10" s="1336"/>
      <c r="MZK10" s="1337"/>
      <c r="MZL10" s="1337"/>
      <c r="MZM10" s="1337"/>
      <c r="MZN10" s="1337"/>
      <c r="MZO10" s="1337"/>
      <c r="MZP10" s="1338"/>
      <c r="MZQ10" s="1339"/>
      <c r="MZR10" s="1340"/>
      <c r="MZS10" s="1340"/>
      <c r="MZT10" s="1340"/>
      <c r="MZU10" s="1341"/>
      <c r="MZV10" s="1342"/>
      <c r="MZW10" s="1336"/>
      <c r="MZX10" s="1336"/>
      <c r="MZY10" s="1336"/>
      <c r="MZZ10" s="1336"/>
      <c r="NAA10" s="1337"/>
      <c r="NAB10" s="1337"/>
      <c r="NAC10" s="1337"/>
      <c r="NAD10" s="1337"/>
      <c r="NAE10" s="1337"/>
      <c r="NAF10" s="1338"/>
      <c r="NAG10" s="1339"/>
      <c r="NAH10" s="1340"/>
      <c r="NAI10" s="1340"/>
      <c r="NAJ10" s="1340"/>
      <c r="NAK10" s="1341"/>
      <c r="NAL10" s="1342"/>
      <c r="NAM10" s="1336"/>
      <c r="NAN10" s="1336"/>
      <c r="NAO10" s="1336"/>
      <c r="NAP10" s="1336"/>
      <c r="NAQ10" s="1337"/>
      <c r="NAR10" s="1337"/>
      <c r="NAS10" s="1337"/>
      <c r="NAT10" s="1337"/>
      <c r="NAU10" s="1337"/>
      <c r="NAV10" s="1338"/>
      <c r="NAW10" s="1339"/>
      <c r="NAX10" s="1340"/>
      <c r="NAY10" s="1340"/>
      <c r="NAZ10" s="1340"/>
      <c r="NBA10" s="1341"/>
      <c r="NBB10" s="1342"/>
      <c r="NBC10" s="1336"/>
      <c r="NBD10" s="1336"/>
      <c r="NBE10" s="1336"/>
      <c r="NBF10" s="1336"/>
      <c r="NBG10" s="1337"/>
      <c r="NBH10" s="1337"/>
      <c r="NBI10" s="1337"/>
      <c r="NBJ10" s="1337"/>
      <c r="NBK10" s="1337"/>
      <c r="NBL10" s="1338"/>
      <c r="NBM10" s="1339"/>
      <c r="NBN10" s="1340"/>
      <c r="NBO10" s="1340"/>
      <c r="NBP10" s="1340"/>
      <c r="NBQ10" s="1341"/>
      <c r="NBR10" s="1342"/>
      <c r="NBS10" s="1336"/>
      <c r="NBT10" s="1336"/>
      <c r="NBU10" s="1336"/>
      <c r="NBV10" s="1336"/>
      <c r="NBW10" s="1337"/>
      <c r="NBX10" s="1337"/>
      <c r="NBY10" s="1337"/>
      <c r="NBZ10" s="1337"/>
      <c r="NCA10" s="1337"/>
      <c r="NCB10" s="1338"/>
      <c r="NCC10" s="1339"/>
      <c r="NCD10" s="1340"/>
      <c r="NCE10" s="1340"/>
      <c r="NCF10" s="1340"/>
      <c r="NCG10" s="1341"/>
      <c r="NCH10" s="1342"/>
      <c r="NCI10" s="1336"/>
      <c r="NCJ10" s="1336"/>
      <c r="NCK10" s="1336"/>
      <c r="NCL10" s="1336"/>
      <c r="NCM10" s="1337"/>
      <c r="NCN10" s="1337"/>
      <c r="NCO10" s="1337"/>
      <c r="NCP10" s="1337"/>
      <c r="NCQ10" s="1337"/>
      <c r="NCR10" s="1338"/>
      <c r="NCS10" s="1339"/>
      <c r="NCT10" s="1340"/>
      <c r="NCU10" s="1340"/>
      <c r="NCV10" s="1340"/>
      <c r="NCW10" s="1341"/>
      <c r="NCX10" s="1342"/>
      <c r="NCY10" s="1336"/>
      <c r="NCZ10" s="1336"/>
      <c r="NDA10" s="1336"/>
      <c r="NDB10" s="1336"/>
      <c r="NDC10" s="1337"/>
      <c r="NDD10" s="1337"/>
      <c r="NDE10" s="1337"/>
      <c r="NDF10" s="1337"/>
      <c r="NDG10" s="1337"/>
      <c r="NDH10" s="1338"/>
      <c r="NDI10" s="1339"/>
      <c r="NDJ10" s="1340"/>
      <c r="NDK10" s="1340"/>
      <c r="NDL10" s="1340"/>
      <c r="NDM10" s="1341"/>
      <c r="NDN10" s="1342"/>
      <c r="NDO10" s="1336"/>
      <c r="NDP10" s="1336"/>
      <c r="NDQ10" s="1336"/>
      <c r="NDR10" s="1336"/>
      <c r="NDS10" s="1337"/>
      <c r="NDT10" s="1337"/>
      <c r="NDU10" s="1337"/>
      <c r="NDV10" s="1337"/>
      <c r="NDW10" s="1337"/>
      <c r="NDX10" s="1338"/>
      <c r="NDY10" s="1339"/>
      <c r="NDZ10" s="1340"/>
      <c r="NEA10" s="1340"/>
      <c r="NEB10" s="1340"/>
      <c r="NEC10" s="1341"/>
      <c r="NED10" s="1342"/>
      <c r="NEE10" s="1336"/>
      <c r="NEF10" s="1336"/>
      <c r="NEG10" s="1336"/>
      <c r="NEH10" s="1336"/>
      <c r="NEI10" s="1337"/>
      <c r="NEJ10" s="1337"/>
      <c r="NEK10" s="1337"/>
      <c r="NEL10" s="1337"/>
      <c r="NEM10" s="1337"/>
      <c r="NEN10" s="1338"/>
      <c r="NEO10" s="1339"/>
      <c r="NEP10" s="1340"/>
      <c r="NEQ10" s="1340"/>
      <c r="NER10" s="1340"/>
      <c r="NES10" s="1341"/>
      <c r="NET10" s="1342"/>
      <c r="NEU10" s="1336"/>
      <c r="NEV10" s="1336"/>
      <c r="NEW10" s="1336"/>
      <c r="NEX10" s="1336"/>
      <c r="NEY10" s="1337"/>
      <c r="NEZ10" s="1337"/>
      <c r="NFA10" s="1337"/>
      <c r="NFB10" s="1337"/>
      <c r="NFC10" s="1337"/>
      <c r="NFD10" s="1338"/>
      <c r="NFE10" s="1339"/>
      <c r="NFF10" s="1340"/>
      <c r="NFG10" s="1340"/>
      <c r="NFH10" s="1340"/>
      <c r="NFI10" s="1341"/>
      <c r="NFJ10" s="1342"/>
      <c r="NFK10" s="1336"/>
      <c r="NFL10" s="1336"/>
      <c r="NFM10" s="1336"/>
      <c r="NFN10" s="1336"/>
      <c r="NFO10" s="1337"/>
      <c r="NFP10" s="1337"/>
      <c r="NFQ10" s="1337"/>
      <c r="NFR10" s="1337"/>
      <c r="NFS10" s="1337"/>
      <c r="NFT10" s="1338"/>
      <c r="NFU10" s="1339"/>
      <c r="NFV10" s="1340"/>
      <c r="NFW10" s="1340"/>
      <c r="NFX10" s="1340"/>
      <c r="NFY10" s="1341"/>
      <c r="NFZ10" s="1342"/>
      <c r="NGA10" s="1336"/>
      <c r="NGB10" s="1336"/>
      <c r="NGC10" s="1336"/>
      <c r="NGD10" s="1336"/>
      <c r="NGE10" s="1337"/>
      <c r="NGF10" s="1337"/>
      <c r="NGG10" s="1337"/>
      <c r="NGH10" s="1337"/>
      <c r="NGI10" s="1337"/>
      <c r="NGJ10" s="1338"/>
      <c r="NGK10" s="1339"/>
      <c r="NGL10" s="1340"/>
      <c r="NGM10" s="1340"/>
      <c r="NGN10" s="1340"/>
      <c r="NGO10" s="1341"/>
      <c r="NGP10" s="1342"/>
      <c r="NGQ10" s="1336"/>
      <c r="NGR10" s="1336"/>
      <c r="NGS10" s="1336"/>
      <c r="NGT10" s="1336"/>
      <c r="NGU10" s="1337"/>
      <c r="NGV10" s="1337"/>
      <c r="NGW10" s="1337"/>
      <c r="NGX10" s="1337"/>
      <c r="NGY10" s="1337"/>
      <c r="NGZ10" s="1338"/>
      <c r="NHA10" s="1339"/>
      <c r="NHB10" s="1340"/>
      <c r="NHC10" s="1340"/>
      <c r="NHD10" s="1340"/>
      <c r="NHE10" s="1341"/>
      <c r="NHF10" s="1342"/>
      <c r="NHG10" s="1336"/>
      <c r="NHH10" s="1336"/>
      <c r="NHI10" s="1336"/>
      <c r="NHJ10" s="1336"/>
      <c r="NHK10" s="1337"/>
      <c r="NHL10" s="1337"/>
      <c r="NHM10" s="1337"/>
      <c r="NHN10" s="1337"/>
      <c r="NHO10" s="1337"/>
      <c r="NHP10" s="1338"/>
      <c r="NHQ10" s="1339"/>
      <c r="NHR10" s="1340"/>
      <c r="NHS10" s="1340"/>
      <c r="NHT10" s="1340"/>
      <c r="NHU10" s="1341"/>
      <c r="NHV10" s="1342"/>
      <c r="NHW10" s="1336"/>
      <c r="NHX10" s="1336"/>
      <c r="NHY10" s="1336"/>
      <c r="NHZ10" s="1336"/>
      <c r="NIA10" s="1337"/>
      <c r="NIB10" s="1337"/>
      <c r="NIC10" s="1337"/>
      <c r="NID10" s="1337"/>
      <c r="NIE10" s="1337"/>
      <c r="NIF10" s="1338"/>
      <c r="NIG10" s="1339"/>
      <c r="NIH10" s="1340"/>
      <c r="NII10" s="1340"/>
      <c r="NIJ10" s="1340"/>
      <c r="NIK10" s="1341"/>
      <c r="NIL10" s="1342"/>
      <c r="NIM10" s="1336"/>
      <c r="NIN10" s="1336"/>
      <c r="NIO10" s="1336"/>
      <c r="NIP10" s="1336"/>
      <c r="NIQ10" s="1337"/>
      <c r="NIR10" s="1337"/>
      <c r="NIS10" s="1337"/>
      <c r="NIT10" s="1337"/>
      <c r="NIU10" s="1337"/>
      <c r="NIV10" s="1338"/>
      <c r="NIW10" s="1339"/>
      <c r="NIX10" s="1340"/>
      <c r="NIY10" s="1340"/>
      <c r="NIZ10" s="1340"/>
      <c r="NJA10" s="1341"/>
      <c r="NJB10" s="1342"/>
      <c r="NJC10" s="1336"/>
      <c r="NJD10" s="1336"/>
      <c r="NJE10" s="1336"/>
      <c r="NJF10" s="1336"/>
      <c r="NJG10" s="1337"/>
      <c r="NJH10" s="1337"/>
      <c r="NJI10" s="1337"/>
      <c r="NJJ10" s="1337"/>
      <c r="NJK10" s="1337"/>
      <c r="NJL10" s="1338"/>
      <c r="NJM10" s="1339"/>
      <c r="NJN10" s="1340"/>
      <c r="NJO10" s="1340"/>
      <c r="NJP10" s="1340"/>
      <c r="NJQ10" s="1341"/>
      <c r="NJR10" s="1342"/>
      <c r="NJS10" s="1336"/>
      <c r="NJT10" s="1336"/>
      <c r="NJU10" s="1336"/>
      <c r="NJV10" s="1336"/>
      <c r="NJW10" s="1337"/>
      <c r="NJX10" s="1337"/>
      <c r="NJY10" s="1337"/>
      <c r="NJZ10" s="1337"/>
      <c r="NKA10" s="1337"/>
      <c r="NKB10" s="1338"/>
      <c r="NKC10" s="1339"/>
      <c r="NKD10" s="1340"/>
      <c r="NKE10" s="1340"/>
      <c r="NKF10" s="1340"/>
      <c r="NKG10" s="1341"/>
      <c r="NKH10" s="1342"/>
      <c r="NKI10" s="1336"/>
      <c r="NKJ10" s="1336"/>
      <c r="NKK10" s="1336"/>
      <c r="NKL10" s="1336"/>
      <c r="NKM10" s="1337"/>
      <c r="NKN10" s="1337"/>
      <c r="NKO10" s="1337"/>
      <c r="NKP10" s="1337"/>
      <c r="NKQ10" s="1337"/>
      <c r="NKR10" s="1338"/>
      <c r="NKS10" s="1339"/>
      <c r="NKT10" s="1340"/>
      <c r="NKU10" s="1340"/>
      <c r="NKV10" s="1340"/>
      <c r="NKW10" s="1341"/>
      <c r="NKX10" s="1342"/>
      <c r="NKY10" s="1336"/>
      <c r="NKZ10" s="1336"/>
      <c r="NLA10" s="1336"/>
      <c r="NLB10" s="1336"/>
      <c r="NLC10" s="1337"/>
      <c r="NLD10" s="1337"/>
      <c r="NLE10" s="1337"/>
      <c r="NLF10" s="1337"/>
      <c r="NLG10" s="1337"/>
      <c r="NLH10" s="1338"/>
      <c r="NLI10" s="1339"/>
      <c r="NLJ10" s="1340"/>
      <c r="NLK10" s="1340"/>
      <c r="NLL10" s="1340"/>
      <c r="NLM10" s="1341"/>
      <c r="NLN10" s="1342"/>
      <c r="NLO10" s="1336"/>
      <c r="NLP10" s="1336"/>
      <c r="NLQ10" s="1336"/>
      <c r="NLR10" s="1336"/>
      <c r="NLS10" s="1337"/>
      <c r="NLT10" s="1337"/>
      <c r="NLU10" s="1337"/>
      <c r="NLV10" s="1337"/>
      <c r="NLW10" s="1337"/>
      <c r="NLX10" s="1338"/>
      <c r="NLY10" s="1339"/>
      <c r="NLZ10" s="1340"/>
      <c r="NMA10" s="1340"/>
      <c r="NMB10" s="1340"/>
      <c r="NMC10" s="1341"/>
      <c r="NMD10" s="1342"/>
      <c r="NME10" s="1336"/>
      <c r="NMF10" s="1336"/>
      <c r="NMG10" s="1336"/>
      <c r="NMH10" s="1336"/>
      <c r="NMI10" s="1337"/>
      <c r="NMJ10" s="1337"/>
      <c r="NMK10" s="1337"/>
      <c r="NML10" s="1337"/>
      <c r="NMM10" s="1337"/>
      <c r="NMN10" s="1338"/>
      <c r="NMO10" s="1339"/>
      <c r="NMP10" s="1340"/>
      <c r="NMQ10" s="1340"/>
      <c r="NMR10" s="1340"/>
      <c r="NMS10" s="1341"/>
      <c r="NMT10" s="1342"/>
      <c r="NMU10" s="1336"/>
      <c r="NMV10" s="1336"/>
      <c r="NMW10" s="1336"/>
      <c r="NMX10" s="1336"/>
      <c r="NMY10" s="1337"/>
      <c r="NMZ10" s="1337"/>
      <c r="NNA10" s="1337"/>
      <c r="NNB10" s="1337"/>
      <c r="NNC10" s="1337"/>
      <c r="NND10" s="1338"/>
      <c r="NNE10" s="1339"/>
      <c r="NNF10" s="1340"/>
      <c r="NNG10" s="1340"/>
      <c r="NNH10" s="1340"/>
      <c r="NNI10" s="1341"/>
      <c r="NNJ10" s="1342"/>
      <c r="NNK10" s="1336"/>
      <c r="NNL10" s="1336"/>
      <c r="NNM10" s="1336"/>
      <c r="NNN10" s="1336"/>
      <c r="NNO10" s="1337"/>
      <c r="NNP10" s="1337"/>
      <c r="NNQ10" s="1337"/>
      <c r="NNR10" s="1337"/>
      <c r="NNS10" s="1337"/>
      <c r="NNT10" s="1338"/>
      <c r="NNU10" s="1339"/>
      <c r="NNV10" s="1340"/>
      <c r="NNW10" s="1340"/>
      <c r="NNX10" s="1340"/>
      <c r="NNY10" s="1341"/>
      <c r="NNZ10" s="1342"/>
      <c r="NOA10" s="1336"/>
      <c r="NOB10" s="1336"/>
      <c r="NOC10" s="1336"/>
      <c r="NOD10" s="1336"/>
      <c r="NOE10" s="1337"/>
      <c r="NOF10" s="1337"/>
      <c r="NOG10" s="1337"/>
      <c r="NOH10" s="1337"/>
      <c r="NOI10" s="1337"/>
      <c r="NOJ10" s="1338"/>
      <c r="NOK10" s="1339"/>
      <c r="NOL10" s="1340"/>
      <c r="NOM10" s="1340"/>
      <c r="NON10" s="1340"/>
      <c r="NOO10" s="1341"/>
      <c r="NOP10" s="1342"/>
      <c r="NOQ10" s="1336"/>
      <c r="NOR10" s="1336"/>
      <c r="NOS10" s="1336"/>
      <c r="NOT10" s="1336"/>
      <c r="NOU10" s="1337"/>
      <c r="NOV10" s="1337"/>
      <c r="NOW10" s="1337"/>
      <c r="NOX10" s="1337"/>
      <c r="NOY10" s="1337"/>
      <c r="NOZ10" s="1338"/>
      <c r="NPA10" s="1339"/>
      <c r="NPB10" s="1340"/>
      <c r="NPC10" s="1340"/>
      <c r="NPD10" s="1340"/>
      <c r="NPE10" s="1341"/>
      <c r="NPF10" s="1342"/>
      <c r="NPG10" s="1336"/>
      <c r="NPH10" s="1336"/>
      <c r="NPI10" s="1336"/>
      <c r="NPJ10" s="1336"/>
      <c r="NPK10" s="1337"/>
      <c r="NPL10" s="1337"/>
      <c r="NPM10" s="1337"/>
      <c r="NPN10" s="1337"/>
      <c r="NPO10" s="1337"/>
      <c r="NPP10" s="1338"/>
      <c r="NPQ10" s="1339"/>
      <c r="NPR10" s="1340"/>
      <c r="NPS10" s="1340"/>
      <c r="NPT10" s="1340"/>
      <c r="NPU10" s="1341"/>
      <c r="NPV10" s="1342"/>
      <c r="NPW10" s="1336"/>
      <c r="NPX10" s="1336"/>
      <c r="NPY10" s="1336"/>
      <c r="NPZ10" s="1336"/>
      <c r="NQA10" s="1337"/>
      <c r="NQB10" s="1337"/>
      <c r="NQC10" s="1337"/>
      <c r="NQD10" s="1337"/>
      <c r="NQE10" s="1337"/>
      <c r="NQF10" s="1338"/>
      <c r="NQG10" s="1339"/>
      <c r="NQH10" s="1340"/>
      <c r="NQI10" s="1340"/>
      <c r="NQJ10" s="1340"/>
      <c r="NQK10" s="1341"/>
      <c r="NQL10" s="1342"/>
      <c r="NQM10" s="1336"/>
      <c r="NQN10" s="1336"/>
      <c r="NQO10" s="1336"/>
      <c r="NQP10" s="1336"/>
      <c r="NQQ10" s="1337"/>
      <c r="NQR10" s="1337"/>
      <c r="NQS10" s="1337"/>
      <c r="NQT10" s="1337"/>
      <c r="NQU10" s="1337"/>
      <c r="NQV10" s="1338"/>
      <c r="NQW10" s="1339"/>
      <c r="NQX10" s="1340"/>
      <c r="NQY10" s="1340"/>
      <c r="NQZ10" s="1340"/>
      <c r="NRA10" s="1341"/>
      <c r="NRB10" s="1342"/>
      <c r="NRC10" s="1336"/>
      <c r="NRD10" s="1336"/>
      <c r="NRE10" s="1336"/>
      <c r="NRF10" s="1336"/>
      <c r="NRG10" s="1337"/>
      <c r="NRH10" s="1337"/>
      <c r="NRI10" s="1337"/>
      <c r="NRJ10" s="1337"/>
      <c r="NRK10" s="1337"/>
      <c r="NRL10" s="1338"/>
      <c r="NRM10" s="1339"/>
      <c r="NRN10" s="1340"/>
      <c r="NRO10" s="1340"/>
      <c r="NRP10" s="1340"/>
      <c r="NRQ10" s="1341"/>
      <c r="NRR10" s="1342"/>
      <c r="NRS10" s="1336"/>
      <c r="NRT10" s="1336"/>
      <c r="NRU10" s="1336"/>
      <c r="NRV10" s="1336"/>
      <c r="NRW10" s="1337"/>
      <c r="NRX10" s="1337"/>
      <c r="NRY10" s="1337"/>
      <c r="NRZ10" s="1337"/>
      <c r="NSA10" s="1337"/>
      <c r="NSB10" s="1338"/>
      <c r="NSC10" s="1339"/>
      <c r="NSD10" s="1340"/>
      <c r="NSE10" s="1340"/>
      <c r="NSF10" s="1340"/>
      <c r="NSG10" s="1341"/>
      <c r="NSH10" s="1342"/>
      <c r="NSI10" s="1336"/>
      <c r="NSJ10" s="1336"/>
      <c r="NSK10" s="1336"/>
      <c r="NSL10" s="1336"/>
      <c r="NSM10" s="1337"/>
      <c r="NSN10" s="1337"/>
      <c r="NSO10" s="1337"/>
      <c r="NSP10" s="1337"/>
      <c r="NSQ10" s="1337"/>
      <c r="NSR10" s="1338"/>
      <c r="NSS10" s="1339"/>
      <c r="NST10" s="1340"/>
      <c r="NSU10" s="1340"/>
      <c r="NSV10" s="1340"/>
      <c r="NSW10" s="1341"/>
      <c r="NSX10" s="1342"/>
      <c r="NSY10" s="1336"/>
      <c r="NSZ10" s="1336"/>
      <c r="NTA10" s="1336"/>
      <c r="NTB10" s="1336"/>
      <c r="NTC10" s="1337"/>
      <c r="NTD10" s="1337"/>
      <c r="NTE10" s="1337"/>
      <c r="NTF10" s="1337"/>
      <c r="NTG10" s="1337"/>
      <c r="NTH10" s="1338"/>
      <c r="NTI10" s="1339"/>
      <c r="NTJ10" s="1340"/>
      <c r="NTK10" s="1340"/>
      <c r="NTL10" s="1340"/>
      <c r="NTM10" s="1341"/>
      <c r="NTN10" s="1342"/>
      <c r="NTO10" s="1336"/>
      <c r="NTP10" s="1336"/>
      <c r="NTQ10" s="1336"/>
      <c r="NTR10" s="1336"/>
      <c r="NTS10" s="1337"/>
      <c r="NTT10" s="1337"/>
      <c r="NTU10" s="1337"/>
      <c r="NTV10" s="1337"/>
      <c r="NTW10" s="1337"/>
      <c r="NTX10" s="1338"/>
      <c r="NTY10" s="1339"/>
      <c r="NTZ10" s="1340"/>
      <c r="NUA10" s="1340"/>
      <c r="NUB10" s="1340"/>
      <c r="NUC10" s="1341"/>
      <c r="NUD10" s="1342"/>
      <c r="NUE10" s="1336"/>
      <c r="NUF10" s="1336"/>
      <c r="NUG10" s="1336"/>
      <c r="NUH10" s="1336"/>
      <c r="NUI10" s="1337"/>
      <c r="NUJ10" s="1337"/>
      <c r="NUK10" s="1337"/>
      <c r="NUL10" s="1337"/>
      <c r="NUM10" s="1337"/>
      <c r="NUN10" s="1338"/>
      <c r="NUO10" s="1339"/>
      <c r="NUP10" s="1340"/>
      <c r="NUQ10" s="1340"/>
      <c r="NUR10" s="1340"/>
      <c r="NUS10" s="1341"/>
      <c r="NUT10" s="1342"/>
      <c r="NUU10" s="1336"/>
      <c r="NUV10" s="1336"/>
      <c r="NUW10" s="1336"/>
      <c r="NUX10" s="1336"/>
      <c r="NUY10" s="1337"/>
      <c r="NUZ10" s="1337"/>
      <c r="NVA10" s="1337"/>
      <c r="NVB10" s="1337"/>
      <c r="NVC10" s="1337"/>
      <c r="NVD10" s="1338"/>
      <c r="NVE10" s="1339"/>
      <c r="NVF10" s="1340"/>
      <c r="NVG10" s="1340"/>
      <c r="NVH10" s="1340"/>
      <c r="NVI10" s="1341"/>
      <c r="NVJ10" s="1342"/>
      <c r="NVK10" s="1336"/>
      <c r="NVL10" s="1336"/>
      <c r="NVM10" s="1336"/>
      <c r="NVN10" s="1336"/>
      <c r="NVO10" s="1337"/>
      <c r="NVP10" s="1337"/>
      <c r="NVQ10" s="1337"/>
      <c r="NVR10" s="1337"/>
      <c r="NVS10" s="1337"/>
      <c r="NVT10" s="1338"/>
      <c r="NVU10" s="1339"/>
      <c r="NVV10" s="1340"/>
      <c r="NVW10" s="1340"/>
      <c r="NVX10" s="1340"/>
      <c r="NVY10" s="1341"/>
      <c r="NVZ10" s="1342"/>
      <c r="NWA10" s="1336"/>
      <c r="NWB10" s="1336"/>
      <c r="NWC10" s="1336"/>
      <c r="NWD10" s="1336"/>
      <c r="NWE10" s="1337"/>
      <c r="NWF10" s="1337"/>
      <c r="NWG10" s="1337"/>
      <c r="NWH10" s="1337"/>
      <c r="NWI10" s="1337"/>
      <c r="NWJ10" s="1338"/>
      <c r="NWK10" s="1339"/>
      <c r="NWL10" s="1340"/>
      <c r="NWM10" s="1340"/>
      <c r="NWN10" s="1340"/>
      <c r="NWO10" s="1341"/>
      <c r="NWP10" s="1342"/>
      <c r="NWQ10" s="1336"/>
      <c r="NWR10" s="1336"/>
      <c r="NWS10" s="1336"/>
      <c r="NWT10" s="1336"/>
      <c r="NWU10" s="1337"/>
      <c r="NWV10" s="1337"/>
      <c r="NWW10" s="1337"/>
      <c r="NWX10" s="1337"/>
      <c r="NWY10" s="1337"/>
      <c r="NWZ10" s="1338"/>
      <c r="NXA10" s="1339"/>
      <c r="NXB10" s="1340"/>
      <c r="NXC10" s="1340"/>
      <c r="NXD10" s="1340"/>
      <c r="NXE10" s="1341"/>
      <c r="NXF10" s="1342"/>
      <c r="NXG10" s="1336"/>
      <c r="NXH10" s="1336"/>
      <c r="NXI10" s="1336"/>
      <c r="NXJ10" s="1336"/>
      <c r="NXK10" s="1337"/>
      <c r="NXL10" s="1337"/>
      <c r="NXM10" s="1337"/>
      <c r="NXN10" s="1337"/>
      <c r="NXO10" s="1337"/>
      <c r="NXP10" s="1338"/>
      <c r="NXQ10" s="1339"/>
      <c r="NXR10" s="1340"/>
      <c r="NXS10" s="1340"/>
      <c r="NXT10" s="1340"/>
      <c r="NXU10" s="1341"/>
      <c r="NXV10" s="1342"/>
      <c r="NXW10" s="1336"/>
      <c r="NXX10" s="1336"/>
      <c r="NXY10" s="1336"/>
      <c r="NXZ10" s="1336"/>
      <c r="NYA10" s="1337"/>
      <c r="NYB10" s="1337"/>
      <c r="NYC10" s="1337"/>
      <c r="NYD10" s="1337"/>
      <c r="NYE10" s="1337"/>
      <c r="NYF10" s="1338"/>
      <c r="NYG10" s="1339"/>
      <c r="NYH10" s="1340"/>
      <c r="NYI10" s="1340"/>
      <c r="NYJ10" s="1340"/>
      <c r="NYK10" s="1341"/>
      <c r="NYL10" s="1342"/>
      <c r="NYM10" s="1336"/>
      <c r="NYN10" s="1336"/>
      <c r="NYO10" s="1336"/>
      <c r="NYP10" s="1336"/>
      <c r="NYQ10" s="1337"/>
      <c r="NYR10" s="1337"/>
      <c r="NYS10" s="1337"/>
      <c r="NYT10" s="1337"/>
      <c r="NYU10" s="1337"/>
      <c r="NYV10" s="1338"/>
      <c r="NYW10" s="1339"/>
      <c r="NYX10" s="1340"/>
      <c r="NYY10" s="1340"/>
      <c r="NYZ10" s="1340"/>
      <c r="NZA10" s="1341"/>
      <c r="NZB10" s="1342"/>
      <c r="NZC10" s="1336"/>
      <c r="NZD10" s="1336"/>
      <c r="NZE10" s="1336"/>
      <c r="NZF10" s="1336"/>
      <c r="NZG10" s="1337"/>
      <c r="NZH10" s="1337"/>
      <c r="NZI10" s="1337"/>
      <c r="NZJ10" s="1337"/>
      <c r="NZK10" s="1337"/>
      <c r="NZL10" s="1338"/>
      <c r="NZM10" s="1339"/>
      <c r="NZN10" s="1340"/>
      <c r="NZO10" s="1340"/>
      <c r="NZP10" s="1340"/>
      <c r="NZQ10" s="1341"/>
      <c r="NZR10" s="1342"/>
      <c r="NZS10" s="1336"/>
      <c r="NZT10" s="1336"/>
      <c r="NZU10" s="1336"/>
      <c r="NZV10" s="1336"/>
      <c r="NZW10" s="1337"/>
      <c r="NZX10" s="1337"/>
      <c r="NZY10" s="1337"/>
      <c r="NZZ10" s="1337"/>
      <c r="OAA10" s="1337"/>
      <c r="OAB10" s="1338"/>
      <c r="OAC10" s="1339"/>
      <c r="OAD10" s="1340"/>
      <c r="OAE10" s="1340"/>
      <c r="OAF10" s="1340"/>
      <c r="OAG10" s="1341"/>
      <c r="OAH10" s="1342"/>
      <c r="OAI10" s="1336"/>
      <c r="OAJ10" s="1336"/>
      <c r="OAK10" s="1336"/>
      <c r="OAL10" s="1336"/>
      <c r="OAM10" s="1337"/>
      <c r="OAN10" s="1337"/>
      <c r="OAO10" s="1337"/>
      <c r="OAP10" s="1337"/>
      <c r="OAQ10" s="1337"/>
      <c r="OAR10" s="1338"/>
      <c r="OAS10" s="1339"/>
      <c r="OAT10" s="1340"/>
      <c r="OAU10" s="1340"/>
      <c r="OAV10" s="1340"/>
      <c r="OAW10" s="1341"/>
      <c r="OAX10" s="1342"/>
      <c r="OAY10" s="1336"/>
      <c r="OAZ10" s="1336"/>
      <c r="OBA10" s="1336"/>
      <c r="OBB10" s="1336"/>
      <c r="OBC10" s="1337"/>
      <c r="OBD10" s="1337"/>
      <c r="OBE10" s="1337"/>
      <c r="OBF10" s="1337"/>
      <c r="OBG10" s="1337"/>
      <c r="OBH10" s="1338"/>
      <c r="OBI10" s="1339"/>
      <c r="OBJ10" s="1340"/>
      <c r="OBK10" s="1340"/>
      <c r="OBL10" s="1340"/>
      <c r="OBM10" s="1341"/>
      <c r="OBN10" s="1342"/>
      <c r="OBO10" s="1336"/>
      <c r="OBP10" s="1336"/>
      <c r="OBQ10" s="1336"/>
      <c r="OBR10" s="1336"/>
      <c r="OBS10" s="1337"/>
      <c r="OBT10" s="1337"/>
      <c r="OBU10" s="1337"/>
      <c r="OBV10" s="1337"/>
      <c r="OBW10" s="1337"/>
      <c r="OBX10" s="1338"/>
      <c r="OBY10" s="1339"/>
      <c r="OBZ10" s="1340"/>
      <c r="OCA10" s="1340"/>
      <c r="OCB10" s="1340"/>
      <c r="OCC10" s="1341"/>
      <c r="OCD10" s="1342"/>
      <c r="OCE10" s="1336"/>
      <c r="OCF10" s="1336"/>
      <c r="OCG10" s="1336"/>
      <c r="OCH10" s="1336"/>
      <c r="OCI10" s="1337"/>
      <c r="OCJ10" s="1337"/>
      <c r="OCK10" s="1337"/>
      <c r="OCL10" s="1337"/>
      <c r="OCM10" s="1337"/>
      <c r="OCN10" s="1338"/>
      <c r="OCO10" s="1339"/>
      <c r="OCP10" s="1340"/>
      <c r="OCQ10" s="1340"/>
      <c r="OCR10" s="1340"/>
      <c r="OCS10" s="1341"/>
      <c r="OCT10" s="1342"/>
      <c r="OCU10" s="1336"/>
      <c r="OCV10" s="1336"/>
      <c r="OCW10" s="1336"/>
      <c r="OCX10" s="1336"/>
      <c r="OCY10" s="1337"/>
      <c r="OCZ10" s="1337"/>
      <c r="ODA10" s="1337"/>
      <c r="ODB10" s="1337"/>
      <c r="ODC10" s="1337"/>
      <c r="ODD10" s="1338"/>
      <c r="ODE10" s="1339"/>
      <c r="ODF10" s="1340"/>
      <c r="ODG10" s="1340"/>
      <c r="ODH10" s="1340"/>
      <c r="ODI10" s="1341"/>
      <c r="ODJ10" s="1342"/>
      <c r="ODK10" s="1336"/>
      <c r="ODL10" s="1336"/>
      <c r="ODM10" s="1336"/>
      <c r="ODN10" s="1336"/>
      <c r="ODO10" s="1337"/>
      <c r="ODP10" s="1337"/>
      <c r="ODQ10" s="1337"/>
      <c r="ODR10" s="1337"/>
      <c r="ODS10" s="1337"/>
      <c r="ODT10" s="1338"/>
      <c r="ODU10" s="1339"/>
      <c r="ODV10" s="1340"/>
      <c r="ODW10" s="1340"/>
      <c r="ODX10" s="1340"/>
      <c r="ODY10" s="1341"/>
      <c r="ODZ10" s="1342"/>
      <c r="OEA10" s="1336"/>
      <c r="OEB10" s="1336"/>
      <c r="OEC10" s="1336"/>
      <c r="OED10" s="1336"/>
      <c r="OEE10" s="1337"/>
      <c r="OEF10" s="1337"/>
      <c r="OEG10" s="1337"/>
      <c r="OEH10" s="1337"/>
      <c r="OEI10" s="1337"/>
      <c r="OEJ10" s="1338"/>
      <c r="OEK10" s="1339"/>
      <c r="OEL10" s="1340"/>
      <c r="OEM10" s="1340"/>
      <c r="OEN10" s="1340"/>
      <c r="OEO10" s="1341"/>
      <c r="OEP10" s="1342"/>
      <c r="OEQ10" s="1336"/>
      <c r="OER10" s="1336"/>
      <c r="OES10" s="1336"/>
      <c r="OET10" s="1336"/>
      <c r="OEU10" s="1337"/>
      <c r="OEV10" s="1337"/>
      <c r="OEW10" s="1337"/>
      <c r="OEX10" s="1337"/>
      <c r="OEY10" s="1337"/>
      <c r="OEZ10" s="1338"/>
      <c r="OFA10" s="1339"/>
      <c r="OFB10" s="1340"/>
      <c r="OFC10" s="1340"/>
      <c r="OFD10" s="1340"/>
      <c r="OFE10" s="1341"/>
      <c r="OFF10" s="1342"/>
      <c r="OFG10" s="1336"/>
      <c r="OFH10" s="1336"/>
      <c r="OFI10" s="1336"/>
      <c r="OFJ10" s="1336"/>
      <c r="OFK10" s="1337"/>
      <c r="OFL10" s="1337"/>
      <c r="OFM10" s="1337"/>
      <c r="OFN10" s="1337"/>
      <c r="OFO10" s="1337"/>
      <c r="OFP10" s="1338"/>
      <c r="OFQ10" s="1339"/>
      <c r="OFR10" s="1340"/>
      <c r="OFS10" s="1340"/>
      <c r="OFT10" s="1340"/>
      <c r="OFU10" s="1341"/>
      <c r="OFV10" s="1342"/>
      <c r="OFW10" s="1336"/>
      <c r="OFX10" s="1336"/>
      <c r="OFY10" s="1336"/>
      <c r="OFZ10" s="1336"/>
      <c r="OGA10" s="1337"/>
      <c r="OGB10" s="1337"/>
      <c r="OGC10" s="1337"/>
      <c r="OGD10" s="1337"/>
      <c r="OGE10" s="1337"/>
      <c r="OGF10" s="1338"/>
      <c r="OGG10" s="1339"/>
      <c r="OGH10" s="1340"/>
      <c r="OGI10" s="1340"/>
      <c r="OGJ10" s="1340"/>
      <c r="OGK10" s="1341"/>
      <c r="OGL10" s="1342"/>
      <c r="OGM10" s="1336"/>
      <c r="OGN10" s="1336"/>
      <c r="OGO10" s="1336"/>
      <c r="OGP10" s="1336"/>
      <c r="OGQ10" s="1337"/>
      <c r="OGR10" s="1337"/>
      <c r="OGS10" s="1337"/>
      <c r="OGT10" s="1337"/>
      <c r="OGU10" s="1337"/>
      <c r="OGV10" s="1338"/>
      <c r="OGW10" s="1339"/>
      <c r="OGX10" s="1340"/>
      <c r="OGY10" s="1340"/>
      <c r="OGZ10" s="1340"/>
      <c r="OHA10" s="1341"/>
      <c r="OHB10" s="1342"/>
      <c r="OHC10" s="1336"/>
      <c r="OHD10" s="1336"/>
      <c r="OHE10" s="1336"/>
      <c r="OHF10" s="1336"/>
      <c r="OHG10" s="1337"/>
      <c r="OHH10" s="1337"/>
      <c r="OHI10" s="1337"/>
      <c r="OHJ10" s="1337"/>
      <c r="OHK10" s="1337"/>
      <c r="OHL10" s="1338"/>
      <c r="OHM10" s="1339"/>
      <c r="OHN10" s="1340"/>
      <c r="OHO10" s="1340"/>
      <c r="OHP10" s="1340"/>
      <c r="OHQ10" s="1341"/>
      <c r="OHR10" s="1342"/>
      <c r="OHS10" s="1336"/>
      <c r="OHT10" s="1336"/>
      <c r="OHU10" s="1336"/>
      <c r="OHV10" s="1336"/>
      <c r="OHW10" s="1337"/>
      <c r="OHX10" s="1337"/>
      <c r="OHY10" s="1337"/>
      <c r="OHZ10" s="1337"/>
      <c r="OIA10" s="1337"/>
      <c r="OIB10" s="1338"/>
      <c r="OIC10" s="1339"/>
      <c r="OID10" s="1340"/>
      <c r="OIE10" s="1340"/>
      <c r="OIF10" s="1340"/>
      <c r="OIG10" s="1341"/>
      <c r="OIH10" s="1342"/>
      <c r="OII10" s="1336"/>
      <c r="OIJ10" s="1336"/>
      <c r="OIK10" s="1336"/>
      <c r="OIL10" s="1336"/>
      <c r="OIM10" s="1337"/>
      <c r="OIN10" s="1337"/>
      <c r="OIO10" s="1337"/>
      <c r="OIP10" s="1337"/>
      <c r="OIQ10" s="1337"/>
      <c r="OIR10" s="1338"/>
      <c r="OIS10" s="1339"/>
      <c r="OIT10" s="1340"/>
      <c r="OIU10" s="1340"/>
      <c r="OIV10" s="1340"/>
      <c r="OIW10" s="1341"/>
      <c r="OIX10" s="1342"/>
      <c r="OIY10" s="1336"/>
      <c r="OIZ10" s="1336"/>
      <c r="OJA10" s="1336"/>
      <c r="OJB10" s="1336"/>
      <c r="OJC10" s="1337"/>
      <c r="OJD10" s="1337"/>
      <c r="OJE10" s="1337"/>
      <c r="OJF10" s="1337"/>
      <c r="OJG10" s="1337"/>
      <c r="OJH10" s="1338"/>
      <c r="OJI10" s="1339"/>
      <c r="OJJ10" s="1340"/>
      <c r="OJK10" s="1340"/>
      <c r="OJL10" s="1340"/>
      <c r="OJM10" s="1341"/>
      <c r="OJN10" s="1342"/>
      <c r="OJO10" s="1336"/>
      <c r="OJP10" s="1336"/>
      <c r="OJQ10" s="1336"/>
      <c r="OJR10" s="1336"/>
      <c r="OJS10" s="1337"/>
      <c r="OJT10" s="1337"/>
      <c r="OJU10" s="1337"/>
      <c r="OJV10" s="1337"/>
      <c r="OJW10" s="1337"/>
      <c r="OJX10" s="1338"/>
      <c r="OJY10" s="1339"/>
      <c r="OJZ10" s="1340"/>
      <c r="OKA10" s="1340"/>
      <c r="OKB10" s="1340"/>
      <c r="OKC10" s="1341"/>
      <c r="OKD10" s="1342"/>
      <c r="OKE10" s="1336"/>
      <c r="OKF10" s="1336"/>
      <c r="OKG10" s="1336"/>
      <c r="OKH10" s="1336"/>
      <c r="OKI10" s="1337"/>
      <c r="OKJ10" s="1337"/>
      <c r="OKK10" s="1337"/>
      <c r="OKL10" s="1337"/>
      <c r="OKM10" s="1337"/>
      <c r="OKN10" s="1338"/>
      <c r="OKO10" s="1339"/>
      <c r="OKP10" s="1340"/>
      <c r="OKQ10" s="1340"/>
      <c r="OKR10" s="1340"/>
      <c r="OKS10" s="1341"/>
      <c r="OKT10" s="1342"/>
      <c r="OKU10" s="1336"/>
      <c r="OKV10" s="1336"/>
      <c r="OKW10" s="1336"/>
      <c r="OKX10" s="1336"/>
      <c r="OKY10" s="1337"/>
      <c r="OKZ10" s="1337"/>
      <c r="OLA10" s="1337"/>
      <c r="OLB10" s="1337"/>
      <c r="OLC10" s="1337"/>
      <c r="OLD10" s="1338"/>
      <c r="OLE10" s="1339"/>
      <c r="OLF10" s="1340"/>
      <c r="OLG10" s="1340"/>
      <c r="OLH10" s="1340"/>
      <c r="OLI10" s="1341"/>
      <c r="OLJ10" s="1342"/>
      <c r="OLK10" s="1336"/>
      <c r="OLL10" s="1336"/>
      <c r="OLM10" s="1336"/>
      <c r="OLN10" s="1336"/>
      <c r="OLO10" s="1337"/>
      <c r="OLP10" s="1337"/>
      <c r="OLQ10" s="1337"/>
      <c r="OLR10" s="1337"/>
      <c r="OLS10" s="1337"/>
      <c r="OLT10" s="1338"/>
      <c r="OLU10" s="1339"/>
      <c r="OLV10" s="1340"/>
      <c r="OLW10" s="1340"/>
      <c r="OLX10" s="1340"/>
      <c r="OLY10" s="1341"/>
      <c r="OLZ10" s="1342"/>
      <c r="OMA10" s="1336"/>
      <c r="OMB10" s="1336"/>
      <c r="OMC10" s="1336"/>
      <c r="OMD10" s="1336"/>
      <c r="OME10" s="1337"/>
      <c r="OMF10" s="1337"/>
      <c r="OMG10" s="1337"/>
      <c r="OMH10" s="1337"/>
      <c r="OMI10" s="1337"/>
      <c r="OMJ10" s="1338"/>
      <c r="OMK10" s="1339"/>
      <c r="OML10" s="1340"/>
      <c r="OMM10" s="1340"/>
      <c r="OMN10" s="1340"/>
      <c r="OMO10" s="1341"/>
      <c r="OMP10" s="1342"/>
      <c r="OMQ10" s="1336"/>
      <c r="OMR10" s="1336"/>
      <c r="OMS10" s="1336"/>
      <c r="OMT10" s="1336"/>
      <c r="OMU10" s="1337"/>
      <c r="OMV10" s="1337"/>
      <c r="OMW10" s="1337"/>
      <c r="OMX10" s="1337"/>
      <c r="OMY10" s="1337"/>
      <c r="OMZ10" s="1338"/>
      <c r="ONA10" s="1339"/>
      <c r="ONB10" s="1340"/>
      <c r="ONC10" s="1340"/>
      <c r="OND10" s="1340"/>
      <c r="ONE10" s="1341"/>
      <c r="ONF10" s="1342"/>
      <c r="ONG10" s="1336"/>
      <c r="ONH10" s="1336"/>
      <c r="ONI10" s="1336"/>
      <c r="ONJ10" s="1336"/>
      <c r="ONK10" s="1337"/>
      <c r="ONL10" s="1337"/>
      <c r="ONM10" s="1337"/>
      <c r="ONN10" s="1337"/>
      <c r="ONO10" s="1337"/>
      <c r="ONP10" s="1338"/>
      <c r="ONQ10" s="1339"/>
      <c r="ONR10" s="1340"/>
      <c r="ONS10" s="1340"/>
      <c r="ONT10" s="1340"/>
      <c r="ONU10" s="1341"/>
      <c r="ONV10" s="1342"/>
      <c r="ONW10" s="1336"/>
      <c r="ONX10" s="1336"/>
      <c r="ONY10" s="1336"/>
      <c r="ONZ10" s="1336"/>
      <c r="OOA10" s="1337"/>
      <c r="OOB10" s="1337"/>
      <c r="OOC10" s="1337"/>
      <c r="OOD10" s="1337"/>
      <c r="OOE10" s="1337"/>
      <c r="OOF10" s="1338"/>
      <c r="OOG10" s="1339"/>
      <c r="OOH10" s="1340"/>
      <c r="OOI10" s="1340"/>
      <c r="OOJ10" s="1340"/>
      <c r="OOK10" s="1341"/>
      <c r="OOL10" s="1342"/>
      <c r="OOM10" s="1336"/>
      <c r="OON10" s="1336"/>
      <c r="OOO10" s="1336"/>
      <c r="OOP10" s="1336"/>
      <c r="OOQ10" s="1337"/>
      <c r="OOR10" s="1337"/>
      <c r="OOS10" s="1337"/>
      <c r="OOT10" s="1337"/>
      <c r="OOU10" s="1337"/>
      <c r="OOV10" s="1338"/>
      <c r="OOW10" s="1339"/>
      <c r="OOX10" s="1340"/>
      <c r="OOY10" s="1340"/>
      <c r="OOZ10" s="1340"/>
      <c r="OPA10" s="1341"/>
      <c r="OPB10" s="1342"/>
      <c r="OPC10" s="1336"/>
      <c r="OPD10" s="1336"/>
      <c r="OPE10" s="1336"/>
      <c r="OPF10" s="1336"/>
      <c r="OPG10" s="1337"/>
      <c r="OPH10" s="1337"/>
      <c r="OPI10" s="1337"/>
      <c r="OPJ10" s="1337"/>
      <c r="OPK10" s="1337"/>
      <c r="OPL10" s="1338"/>
      <c r="OPM10" s="1339"/>
      <c r="OPN10" s="1340"/>
      <c r="OPO10" s="1340"/>
      <c r="OPP10" s="1340"/>
      <c r="OPQ10" s="1341"/>
      <c r="OPR10" s="1342"/>
      <c r="OPS10" s="1336"/>
      <c r="OPT10" s="1336"/>
      <c r="OPU10" s="1336"/>
      <c r="OPV10" s="1336"/>
      <c r="OPW10" s="1337"/>
      <c r="OPX10" s="1337"/>
      <c r="OPY10" s="1337"/>
      <c r="OPZ10" s="1337"/>
      <c r="OQA10" s="1337"/>
      <c r="OQB10" s="1338"/>
      <c r="OQC10" s="1339"/>
      <c r="OQD10" s="1340"/>
      <c r="OQE10" s="1340"/>
      <c r="OQF10" s="1340"/>
      <c r="OQG10" s="1341"/>
      <c r="OQH10" s="1342"/>
      <c r="OQI10" s="1336"/>
      <c r="OQJ10" s="1336"/>
      <c r="OQK10" s="1336"/>
      <c r="OQL10" s="1336"/>
      <c r="OQM10" s="1337"/>
      <c r="OQN10" s="1337"/>
      <c r="OQO10" s="1337"/>
      <c r="OQP10" s="1337"/>
      <c r="OQQ10" s="1337"/>
      <c r="OQR10" s="1338"/>
      <c r="OQS10" s="1339"/>
      <c r="OQT10" s="1340"/>
      <c r="OQU10" s="1340"/>
      <c r="OQV10" s="1340"/>
      <c r="OQW10" s="1341"/>
      <c r="OQX10" s="1342"/>
      <c r="OQY10" s="1336"/>
      <c r="OQZ10" s="1336"/>
      <c r="ORA10" s="1336"/>
      <c r="ORB10" s="1336"/>
      <c r="ORC10" s="1337"/>
      <c r="ORD10" s="1337"/>
      <c r="ORE10" s="1337"/>
      <c r="ORF10" s="1337"/>
      <c r="ORG10" s="1337"/>
      <c r="ORH10" s="1338"/>
      <c r="ORI10" s="1339"/>
      <c r="ORJ10" s="1340"/>
      <c r="ORK10" s="1340"/>
      <c r="ORL10" s="1340"/>
      <c r="ORM10" s="1341"/>
      <c r="ORN10" s="1342"/>
      <c r="ORO10" s="1336"/>
      <c r="ORP10" s="1336"/>
      <c r="ORQ10" s="1336"/>
      <c r="ORR10" s="1336"/>
      <c r="ORS10" s="1337"/>
      <c r="ORT10" s="1337"/>
      <c r="ORU10" s="1337"/>
      <c r="ORV10" s="1337"/>
      <c r="ORW10" s="1337"/>
      <c r="ORX10" s="1338"/>
      <c r="ORY10" s="1339"/>
      <c r="ORZ10" s="1340"/>
      <c r="OSA10" s="1340"/>
      <c r="OSB10" s="1340"/>
      <c r="OSC10" s="1341"/>
      <c r="OSD10" s="1342"/>
      <c r="OSE10" s="1336"/>
      <c r="OSF10" s="1336"/>
      <c r="OSG10" s="1336"/>
      <c r="OSH10" s="1336"/>
      <c r="OSI10" s="1337"/>
      <c r="OSJ10" s="1337"/>
      <c r="OSK10" s="1337"/>
      <c r="OSL10" s="1337"/>
      <c r="OSM10" s="1337"/>
      <c r="OSN10" s="1338"/>
      <c r="OSO10" s="1339"/>
      <c r="OSP10" s="1340"/>
      <c r="OSQ10" s="1340"/>
      <c r="OSR10" s="1340"/>
      <c r="OSS10" s="1341"/>
      <c r="OST10" s="1342"/>
      <c r="OSU10" s="1336"/>
      <c r="OSV10" s="1336"/>
      <c r="OSW10" s="1336"/>
      <c r="OSX10" s="1336"/>
      <c r="OSY10" s="1337"/>
      <c r="OSZ10" s="1337"/>
      <c r="OTA10" s="1337"/>
      <c r="OTB10" s="1337"/>
      <c r="OTC10" s="1337"/>
      <c r="OTD10" s="1338"/>
      <c r="OTE10" s="1339"/>
      <c r="OTF10" s="1340"/>
      <c r="OTG10" s="1340"/>
      <c r="OTH10" s="1340"/>
      <c r="OTI10" s="1341"/>
      <c r="OTJ10" s="1342"/>
      <c r="OTK10" s="1336"/>
      <c r="OTL10" s="1336"/>
      <c r="OTM10" s="1336"/>
      <c r="OTN10" s="1336"/>
      <c r="OTO10" s="1337"/>
      <c r="OTP10" s="1337"/>
      <c r="OTQ10" s="1337"/>
      <c r="OTR10" s="1337"/>
      <c r="OTS10" s="1337"/>
      <c r="OTT10" s="1338"/>
      <c r="OTU10" s="1339"/>
      <c r="OTV10" s="1340"/>
      <c r="OTW10" s="1340"/>
      <c r="OTX10" s="1340"/>
      <c r="OTY10" s="1341"/>
      <c r="OTZ10" s="1342"/>
      <c r="OUA10" s="1336"/>
      <c r="OUB10" s="1336"/>
      <c r="OUC10" s="1336"/>
      <c r="OUD10" s="1336"/>
      <c r="OUE10" s="1337"/>
      <c r="OUF10" s="1337"/>
      <c r="OUG10" s="1337"/>
      <c r="OUH10" s="1337"/>
      <c r="OUI10" s="1337"/>
      <c r="OUJ10" s="1338"/>
      <c r="OUK10" s="1339"/>
      <c r="OUL10" s="1340"/>
      <c r="OUM10" s="1340"/>
      <c r="OUN10" s="1340"/>
      <c r="OUO10" s="1341"/>
      <c r="OUP10" s="1342"/>
      <c r="OUQ10" s="1336"/>
      <c r="OUR10" s="1336"/>
      <c r="OUS10" s="1336"/>
      <c r="OUT10" s="1336"/>
      <c r="OUU10" s="1337"/>
      <c r="OUV10" s="1337"/>
      <c r="OUW10" s="1337"/>
      <c r="OUX10" s="1337"/>
      <c r="OUY10" s="1337"/>
      <c r="OUZ10" s="1338"/>
      <c r="OVA10" s="1339"/>
      <c r="OVB10" s="1340"/>
      <c r="OVC10" s="1340"/>
      <c r="OVD10" s="1340"/>
      <c r="OVE10" s="1341"/>
      <c r="OVF10" s="1342"/>
      <c r="OVG10" s="1336"/>
      <c r="OVH10" s="1336"/>
      <c r="OVI10" s="1336"/>
      <c r="OVJ10" s="1336"/>
      <c r="OVK10" s="1337"/>
      <c r="OVL10" s="1337"/>
      <c r="OVM10" s="1337"/>
      <c r="OVN10" s="1337"/>
      <c r="OVO10" s="1337"/>
      <c r="OVP10" s="1338"/>
      <c r="OVQ10" s="1339"/>
      <c r="OVR10" s="1340"/>
      <c r="OVS10" s="1340"/>
      <c r="OVT10" s="1340"/>
      <c r="OVU10" s="1341"/>
      <c r="OVV10" s="1342"/>
      <c r="OVW10" s="1336"/>
      <c r="OVX10" s="1336"/>
      <c r="OVY10" s="1336"/>
      <c r="OVZ10" s="1336"/>
      <c r="OWA10" s="1337"/>
      <c r="OWB10" s="1337"/>
      <c r="OWC10" s="1337"/>
      <c r="OWD10" s="1337"/>
      <c r="OWE10" s="1337"/>
      <c r="OWF10" s="1338"/>
      <c r="OWG10" s="1339"/>
      <c r="OWH10" s="1340"/>
      <c r="OWI10" s="1340"/>
      <c r="OWJ10" s="1340"/>
      <c r="OWK10" s="1341"/>
      <c r="OWL10" s="1342"/>
      <c r="OWM10" s="1336"/>
      <c r="OWN10" s="1336"/>
      <c r="OWO10" s="1336"/>
      <c r="OWP10" s="1336"/>
      <c r="OWQ10" s="1337"/>
      <c r="OWR10" s="1337"/>
      <c r="OWS10" s="1337"/>
      <c r="OWT10" s="1337"/>
      <c r="OWU10" s="1337"/>
      <c r="OWV10" s="1338"/>
      <c r="OWW10" s="1339"/>
      <c r="OWX10" s="1340"/>
      <c r="OWY10" s="1340"/>
      <c r="OWZ10" s="1340"/>
      <c r="OXA10" s="1341"/>
      <c r="OXB10" s="1342"/>
      <c r="OXC10" s="1336"/>
      <c r="OXD10" s="1336"/>
      <c r="OXE10" s="1336"/>
      <c r="OXF10" s="1336"/>
      <c r="OXG10" s="1337"/>
      <c r="OXH10" s="1337"/>
      <c r="OXI10" s="1337"/>
      <c r="OXJ10" s="1337"/>
      <c r="OXK10" s="1337"/>
      <c r="OXL10" s="1338"/>
      <c r="OXM10" s="1339"/>
      <c r="OXN10" s="1340"/>
      <c r="OXO10" s="1340"/>
      <c r="OXP10" s="1340"/>
      <c r="OXQ10" s="1341"/>
      <c r="OXR10" s="1342"/>
      <c r="OXS10" s="1336"/>
      <c r="OXT10" s="1336"/>
      <c r="OXU10" s="1336"/>
      <c r="OXV10" s="1336"/>
      <c r="OXW10" s="1337"/>
      <c r="OXX10" s="1337"/>
      <c r="OXY10" s="1337"/>
      <c r="OXZ10" s="1337"/>
      <c r="OYA10" s="1337"/>
      <c r="OYB10" s="1338"/>
      <c r="OYC10" s="1339"/>
      <c r="OYD10" s="1340"/>
      <c r="OYE10" s="1340"/>
      <c r="OYF10" s="1340"/>
      <c r="OYG10" s="1341"/>
      <c r="OYH10" s="1342"/>
      <c r="OYI10" s="1336"/>
      <c r="OYJ10" s="1336"/>
      <c r="OYK10" s="1336"/>
      <c r="OYL10" s="1336"/>
      <c r="OYM10" s="1337"/>
      <c r="OYN10" s="1337"/>
      <c r="OYO10" s="1337"/>
      <c r="OYP10" s="1337"/>
      <c r="OYQ10" s="1337"/>
      <c r="OYR10" s="1338"/>
      <c r="OYS10" s="1339"/>
      <c r="OYT10" s="1340"/>
      <c r="OYU10" s="1340"/>
      <c r="OYV10" s="1340"/>
      <c r="OYW10" s="1341"/>
      <c r="OYX10" s="1342"/>
      <c r="OYY10" s="1336"/>
      <c r="OYZ10" s="1336"/>
      <c r="OZA10" s="1336"/>
      <c r="OZB10" s="1336"/>
      <c r="OZC10" s="1337"/>
      <c r="OZD10" s="1337"/>
      <c r="OZE10" s="1337"/>
      <c r="OZF10" s="1337"/>
      <c r="OZG10" s="1337"/>
      <c r="OZH10" s="1338"/>
      <c r="OZI10" s="1339"/>
      <c r="OZJ10" s="1340"/>
      <c r="OZK10" s="1340"/>
      <c r="OZL10" s="1340"/>
      <c r="OZM10" s="1341"/>
      <c r="OZN10" s="1342"/>
      <c r="OZO10" s="1336"/>
      <c r="OZP10" s="1336"/>
      <c r="OZQ10" s="1336"/>
      <c r="OZR10" s="1336"/>
      <c r="OZS10" s="1337"/>
      <c r="OZT10" s="1337"/>
      <c r="OZU10" s="1337"/>
      <c r="OZV10" s="1337"/>
      <c r="OZW10" s="1337"/>
      <c r="OZX10" s="1338"/>
      <c r="OZY10" s="1339"/>
      <c r="OZZ10" s="1340"/>
      <c r="PAA10" s="1340"/>
      <c r="PAB10" s="1340"/>
      <c r="PAC10" s="1341"/>
      <c r="PAD10" s="1342"/>
      <c r="PAE10" s="1336"/>
      <c r="PAF10" s="1336"/>
      <c r="PAG10" s="1336"/>
      <c r="PAH10" s="1336"/>
      <c r="PAI10" s="1337"/>
      <c r="PAJ10" s="1337"/>
      <c r="PAK10" s="1337"/>
      <c r="PAL10" s="1337"/>
      <c r="PAM10" s="1337"/>
      <c r="PAN10" s="1338"/>
      <c r="PAO10" s="1339"/>
      <c r="PAP10" s="1340"/>
      <c r="PAQ10" s="1340"/>
      <c r="PAR10" s="1340"/>
      <c r="PAS10" s="1341"/>
      <c r="PAT10" s="1342"/>
      <c r="PAU10" s="1336"/>
      <c r="PAV10" s="1336"/>
      <c r="PAW10" s="1336"/>
      <c r="PAX10" s="1336"/>
      <c r="PAY10" s="1337"/>
      <c r="PAZ10" s="1337"/>
      <c r="PBA10" s="1337"/>
      <c r="PBB10" s="1337"/>
      <c r="PBC10" s="1337"/>
      <c r="PBD10" s="1338"/>
      <c r="PBE10" s="1339"/>
      <c r="PBF10" s="1340"/>
      <c r="PBG10" s="1340"/>
      <c r="PBH10" s="1340"/>
      <c r="PBI10" s="1341"/>
      <c r="PBJ10" s="1342"/>
      <c r="PBK10" s="1336"/>
      <c r="PBL10" s="1336"/>
      <c r="PBM10" s="1336"/>
      <c r="PBN10" s="1336"/>
      <c r="PBO10" s="1337"/>
      <c r="PBP10" s="1337"/>
      <c r="PBQ10" s="1337"/>
      <c r="PBR10" s="1337"/>
      <c r="PBS10" s="1337"/>
      <c r="PBT10" s="1338"/>
      <c r="PBU10" s="1339"/>
      <c r="PBV10" s="1340"/>
      <c r="PBW10" s="1340"/>
      <c r="PBX10" s="1340"/>
      <c r="PBY10" s="1341"/>
      <c r="PBZ10" s="1342"/>
      <c r="PCA10" s="1336"/>
      <c r="PCB10" s="1336"/>
      <c r="PCC10" s="1336"/>
      <c r="PCD10" s="1336"/>
      <c r="PCE10" s="1337"/>
      <c r="PCF10" s="1337"/>
      <c r="PCG10" s="1337"/>
      <c r="PCH10" s="1337"/>
      <c r="PCI10" s="1337"/>
      <c r="PCJ10" s="1338"/>
      <c r="PCK10" s="1339"/>
      <c r="PCL10" s="1340"/>
      <c r="PCM10" s="1340"/>
      <c r="PCN10" s="1340"/>
      <c r="PCO10" s="1341"/>
      <c r="PCP10" s="1342"/>
      <c r="PCQ10" s="1336"/>
      <c r="PCR10" s="1336"/>
      <c r="PCS10" s="1336"/>
      <c r="PCT10" s="1336"/>
      <c r="PCU10" s="1337"/>
      <c r="PCV10" s="1337"/>
      <c r="PCW10" s="1337"/>
      <c r="PCX10" s="1337"/>
      <c r="PCY10" s="1337"/>
      <c r="PCZ10" s="1338"/>
      <c r="PDA10" s="1339"/>
      <c r="PDB10" s="1340"/>
      <c r="PDC10" s="1340"/>
      <c r="PDD10" s="1340"/>
      <c r="PDE10" s="1341"/>
      <c r="PDF10" s="1342"/>
      <c r="PDG10" s="1336"/>
      <c r="PDH10" s="1336"/>
      <c r="PDI10" s="1336"/>
      <c r="PDJ10" s="1336"/>
      <c r="PDK10" s="1337"/>
      <c r="PDL10" s="1337"/>
      <c r="PDM10" s="1337"/>
      <c r="PDN10" s="1337"/>
      <c r="PDO10" s="1337"/>
      <c r="PDP10" s="1338"/>
      <c r="PDQ10" s="1339"/>
      <c r="PDR10" s="1340"/>
      <c r="PDS10" s="1340"/>
      <c r="PDT10" s="1340"/>
      <c r="PDU10" s="1341"/>
      <c r="PDV10" s="1342"/>
      <c r="PDW10" s="1336"/>
      <c r="PDX10" s="1336"/>
      <c r="PDY10" s="1336"/>
      <c r="PDZ10" s="1336"/>
      <c r="PEA10" s="1337"/>
      <c r="PEB10" s="1337"/>
      <c r="PEC10" s="1337"/>
      <c r="PED10" s="1337"/>
      <c r="PEE10" s="1337"/>
      <c r="PEF10" s="1338"/>
      <c r="PEG10" s="1339"/>
      <c r="PEH10" s="1340"/>
      <c r="PEI10" s="1340"/>
      <c r="PEJ10" s="1340"/>
      <c r="PEK10" s="1341"/>
      <c r="PEL10" s="1342"/>
      <c r="PEM10" s="1336"/>
      <c r="PEN10" s="1336"/>
      <c r="PEO10" s="1336"/>
      <c r="PEP10" s="1336"/>
      <c r="PEQ10" s="1337"/>
      <c r="PER10" s="1337"/>
      <c r="PES10" s="1337"/>
      <c r="PET10" s="1337"/>
      <c r="PEU10" s="1337"/>
      <c r="PEV10" s="1338"/>
      <c r="PEW10" s="1339"/>
      <c r="PEX10" s="1340"/>
      <c r="PEY10" s="1340"/>
      <c r="PEZ10" s="1340"/>
      <c r="PFA10" s="1341"/>
      <c r="PFB10" s="1342"/>
      <c r="PFC10" s="1336"/>
      <c r="PFD10" s="1336"/>
      <c r="PFE10" s="1336"/>
      <c r="PFF10" s="1336"/>
      <c r="PFG10" s="1337"/>
      <c r="PFH10" s="1337"/>
      <c r="PFI10" s="1337"/>
      <c r="PFJ10" s="1337"/>
      <c r="PFK10" s="1337"/>
      <c r="PFL10" s="1338"/>
      <c r="PFM10" s="1339"/>
      <c r="PFN10" s="1340"/>
      <c r="PFO10" s="1340"/>
      <c r="PFP10" s="1340"/>
      <c r="PFQ10" s="1341"/>
      <c r="PFR10" s="1342"/>
      <c r="PFS10" s="1336"/>
      <c r="PFT10" s="1336"/>
      <c r="PFU10" s="1336"/>
      <c r="PFV10" s="1336"/>
      <c r="PFW10" s="1337"/>
      <c r="PFX10" s="1337"/>
      <c r="PFY10" s="1337"/>
      <c r="PFZ10" s="1337"/>
      <c r="PGA10" s="1337"/>
      <c r="PGB10" s="1338"/>
      <c r="PGC10" s="1339"/>
      <c r="PGD10" s="1340"/>
      <c r="PGE10" s="1340"/>
      <c r="PGF10" s="1340"/>
      <c r="PGG10" s="1341"/>
      <c r="PGH10" s="1342"/>
      <c r="PGI10" s="1336"/>
      <c r="PGJ10" s="1336"/>
      <c r="PGK10" s="1336"/>
      <c r="PGL10" s="1336"/>
      <c r="PGM10" s="1337"/>
      <c r="PGN10" s="1337"/>
      <c r="PGO10" s="1337"/>
      <c r="PGP10" s="1337"/>
      <c r="PGQ10" s="1337"/>
      <c r="PGR10" s="1338"/>
      <c r="PGS10" s="1339"/>
      <c r="PGT10" s="1340"/>
      <c r="PGU10" s="1340"/>
      <c r="PGV10" s="1340"/>
      <c r="PGW10" s="1341"/>
      <c r="PGX10" s="1342"/>
      <c r="PGY10" s="1336"/>
      <c r="PGZ10" s="1336"/>
      <c r="PHA10" s="1336"/>
      <c r="PHB10" s="1336"/>
      <c r="PHC10" s="1337"/>
      <c r="PHD10" s="1337"/>
      <c r="PHE10" s="1337"/>
      <c r="PHF10" s="1337"/>
      <c r="PHG10" s="1337"/>
      <c r="PHH10" s="1338"/>
      <c r="PHI10" s="1339"/>
      <c r="PHJ10" s="1340"/>
      <c r="PHK10" s="1340"/>
      <c r="PHL10" s="1340"/>
      <c r="PHM10" s="1341"/>
      <c r="PHN10" s="1342"/>
      <c r="PHO10" s="1336"/>
      <c r="PHP10" s="1336"/>
      <c r="PHQ10" s="1336"/>
      <c r="PHR10" s="1336"/>
      <c r="PHS10" s="1337"/>
      <c r="PHT10" s="1337"/>
      <c r="PHU10" s="1337"/>
      <c r="PHV10" s="1337"/>
      <c r="PHW10" s="1337"/>
      <c r="PHX10" s="1338"/>
      <c r="PHY10" s="1339"/>
      <c r="PHZ10" s="1340"/>
      <c r="PIA10" s="1340"/>
      <c r="PIB10" s="1340"/>
      <c r="PIC10" s="1341"/>
      <c r="PID10" s="1342"/>
      <c r="PIE10" s="1336"/>
      <c r="PIF10" s="1336"/>
      <c r="PIG10" s="1336"/>
      <c r="PIH10" s="1336"/>
      <c r="PII10" s="1337"/>
      <c r="PIJ10" s="1337"/>
      <c r="PIK10" s="1337"/>
      <c r="PIL10" s="1337"/>
      <c r="PIM10" s="1337"/>
      <c r="PIN10" s="1338"/>
      <c r="PIO10" s="1339"/>
      <c r="PIP10" s="1340"/>
      <c r="PIQ10" s="1340"/>
      <c r="PIR10" s="1340"/>
      <c r="PIS10" s="1341"/>
      <c r="PIT10" s="1342"/>
      <c r="PIU10" s="1336"/>
      <c r="PIV10" s="1336"/>
      <c r="PIW10" s="1336"/>
      <c r="PIX10" s="1336"/>
      <c r="PIY10" s="1337"/>
      <c r="PIZ10" s="1337"/>
      <c r="PJA10" s="1337"/>
      <c r="PJB10" s="1337"/>
      <c r="PJC10" s="1337"/>
      <c r="PJD10" s="1338"/>
      <c r="PJE10" s="1339"/>
      <c r="PJF10" s="1340"/>
      <c r="PJG10" s="1340"/>
      <c r="PJH10" s="1340"/>
      <c r="PJI10" s="1341"/>
      <c r="PJJ10" s="1342"/>
      <c r="PJK10" s="1336"/>
      <c r="PJL10" s="1336"/>
      <c r="PJM10" s="1336"/>
      <c r="PJN10" s="1336"/>
      <c r="PJO10" s="1337"/>
      <c r="PJP10" s="1337"/>
      <c r="PJQ10" s="1337"/>
      <c r="PJR10" s="1337"/>
      <c r="PJS10" s="1337"/>
      <c r="PJT10" s="1338"/>
      <c r="PJU10" s="1339"/>
      <c r="PJV10" s="1340"/>
      <c r="PJW10" s="1340"/>
      <c r="PJX10" s="1340"/>
      <c r="PJY10" s="1341"/>
      <c r="PJZ10" s="1342"/>
      <c r="PKA10" s="1336"/>
      <c r="PKB10" s="1336"/>
      <c r="PKC10" s="1336"/>
      <c r="PKD10" s="1336"/>
      <c r="PKE10" s="1337"/>
      <c r="PKF10" s="1337"/>
      <c r="PKG10" s="1337"/>
      <c r="PKH10" s="1337"/>
      <c r="PKI10" s="1337"/>
      <c r="PKJ10" s="1338"/>
      <c r="PKK10" s="1339"/>
      <c r="PKL10" s="1340"/>
      <c r="PKM10" s="1340"/>
      <c r="PKN10" s="1340"/>
      <c r="PKO10" s="1341"/>
      <c r="PKP10" s="1342"/>
      <c r="PKQ10" s="1336"/>
      <c r="PKR10" s="1336"/>
      <c r="PKS10" s="1336"/>
      <c r="PKT10" s="1336"/>
      <c r="PKU10" s="1337"/>
      <c r="PKV10" s="1337"/>
      <c r="PKW10" s="1337"/>
      <c r="PKX10" s="1337"/>
      <c r="PKY10" s="1337"/>
      <c r="PKZ10" s="1338"/>
      <c r="PLA10" s="1339"/>
      <c r="PLB10" s="1340"/>
      <c r="PLC10" s="1340"/>
      <c r="PLD10" s="1340"/>
      <c r="PLE10" s="1341"/>
      <c r="PLF10" s="1342"/>
      <c r="PLG10" s="1336"/>
      <c r="PLH10" s="1336"/>
      <c r="PLI10" s="1336"/>
      <c r="PLJ10" s="1336"/>
      <c r="PLK10" s="1337"/>
      <c r="PLL10" s="1337"/>
      <c r="PLM10" s="1337"/>
      <c r="PLN10" s="1337"/>
      <c r="PLO10" s="1337"/>
      <c r="PLP10" s="1338"/>
      <c r="PLQ10" s="1339"/>
      <c r="PLR10" s="1340"/>
      <c r="PLS10" s="1340"/>
      <c r="PLT10" s="1340"/>
      <c r="PLU10" s="1341"/>
      <c r="PLV10" s="1342"/>
      <c r="PLW10" s="1336"/>
      <c r="PLX10" s="1336"/>
      <c r="PLY10" s="1336"/>
      <c r="PLZ10" s="1336"/>
      <c r="PMA10" s="1337"/>
      <c r="PMB10" s="1337"/>
      <c r="PMC10" s="1337"/>
      <c r="PMD10" s="1337"/>
      <c r="PME10" s="1337"/>
      <c r="PMF10" s="1338"/>
      <c r="PMG10" s="1339"/>
      <c r="PMH10" s="1340"/>
      <c r="PMI10" s="1340"/>
      <c r="PMJ10" s="1340"/>
      <c r="PMK10" s="1341"/>
      <c r="PML10" s="1342"/>
      <c r="PMM10" s="1336"/>
      <c r="PMN10" s="1336"/>
      <c r="PMO10" s="1336"/>
      <c r="PMP10" s="1336"/>
      <c r="PMQ10" s="1337"/>
      <c r="PMR10" s="1337"/>
      <c r="PMS10" s="1337"/>
      <c r="PMT10" s="1337"/>
      <c r="PMU10" s="1337"/>
      <c r="PMV10" s="1338"/>
      <c r="PMW10" s="1339"/>
      <c r="PMX10" s="1340"/>
      <c r="PMY10" s="1340"/>
      <c r="PMZ10" s="1340"/>
      <c r="PNA10" s="1341"/>
      <c r="PNB10" s="1342"/>
      <c r="PNC10" s="1336"/>
      <c r="PND10" s="1336"/>
      <c r="PNE10" s="1336"/>
      <c r="PNF10" s="1336"/>
      <c r="PNG10" s="1337"/>
      <c r="PNH10" s="1337"/>
      <c r="PNI10" s="1337"/>
      <c r="PNJ10" s="1337"/>
      <c r="PNK10" s="1337"/>
      <c r="PNL10" s="1338"/>
      <c r="PNM10" s="1339"/>
      <c r="PNN10" s="1340"/>
      <c r="PNO10" s="1340"/>
      <c r="PNP10" s="1340"/>
      <c r="PNQ10" s="1341"/>
      <c r="PNR10" s="1342"/>
      <c r="PNS10" s="1336"/>
      <c r="PNT10" s="1336"/>
      <c r="PNU10" s="1336"/>
      <c r="PNV10" s="1336"/>
      <c r="PNW10" s="1337"/>
      <c r="PNX10" s="1337"/>
      <c r="PNY10" s="1337"/>
      <c r="PNZ10" s="1337"/>
      <c r="POA10" s="1337"/>
      <c r="POB10" s="1338"/>
      <c r="POC10" s="1339"/>
      <c r="POD10" s="1340"/>
      <c r="POE10" s="1340"/>
      <c r="POF10" s="1340"/>
      <c r="POG10" s="1341"/>
      <c r="POH10" s="1342"/>
      <c r="POI10" s="1336"/>
      <c r="POJ10" s="1336"/>
      <c r="POK10" s="1336"/>
      <c r="POL10" s="1336"/>
      <c r="POM10" s="1337"/>
      <c r="PON10" s="1337"/>
      <c r="POO10" s="1337"/>
      <c r="POP10" s="1337"/>
      <c r="POQ10" s="1337"/>
      <c r="POR10" s="1338"/>
      <c r="POS10" s="1339"/>
      <c r="POT10" s="1340"/>
      <c r="POU10" s="1340"/>
      <c r="POV10" s="1340"/>
      <c r="POW10" s="1341"/>
      <c r="POX10" s="1342"/>
      <c r="POY10" s="1336"/>
      <c r="POZ10" s="1336"/>
      <c r="PPA10" s="1336"/>
      <c r="PPB10" s="1336"/>
      <c r="PPC10" s="1337"/>
      <c r="PPD10" s="1337"/>
      <c r="PPE10" s="1337"/>
      <c r="PPF10" s="1337"/>
      <c r="PPG10" s="1337"/>
      <c r="PPH10" s="1338"/>
      <c r="PPI10" s="1339"/>
      <c r="PPJ10" s="1340"/>
      <c r="PPK10" s="1340"/>
      <c r="PPL10" s="1340"/>
      <c r="PPM10" s="1341"/>
      <c r="PPN10" s="1342"/>
      <c r="PPO10" s="1336"/>
      <c r="PPP10" s="1336"/>
      <c r="PPQ10" s="1336"/>
      <c r="PPR10" s="1336"/>
      <c r="PPS10" s="1337"/>
      <c r="PPT10" s="1337"/>
      <c r="PPU10" s="1337"/>
      <c r="PPV10" s="1337"/>
      <c r="PPW10" s="1337"/>
      <c r="PPX10" s="1338"/>
      <c r="PPY10" s="1339"/>
      <c r="PPZ10" s="1340"/>
      <c r="PQA10" s="1340"/>
      <c r="PQB10" s="1340"/>
      <c r="PQC10" s="1341"/>
      <c r="PQD10" s="1342"/>
      <c r="PQE10" s="1336"/>
      <c r="PQF10" s="1336"/>
      <c r="PQG10" s="1336"/>
      <c r="PQH10" s="1336"/>
      <c r="PQI10" s="1337"/>
      <c r="PQJ10" s="1337"/>
      <c r="PQK10" s="1337"/>
      <c r="PQL10" s="1337"/>
      <c r="PQM10" s="1337"/>
      <c r="PQN10" s="1338"/>
      <c r="PQO10" s="1339"/>
      <c r="PQP10" s="1340"/>
      <c r="PQQ10" s="1340"/>
      <c r="PQR10" s="1340"/>
      <c r="PQS10" s="1341"/>
      <c r="PQT10" s="1342"/>
      <c r="PQU10" s="1336"/>
      <c r="PQV10" s="1336"/>
      <c r="PQW10" s="1336"/>
      <c r="PQX10" s="1336"/>
      <c r="PQY10" s="1337"/>
      <c r="PQZ10" s="1337"/>
      <c r="PRA10" s="1337"/>
      <c r="PRB10" s="1337"/>
      <c r="PRC10" s="1337"/>
      <c r="PRD10" s="1338"/>
      <c r="PRE10" s="1339"/>
      <c r="PRF10" s="1340"/>
      <c r="PRG10" s="1340"/>
      <c r="PRH10" s="1340"/>
      <c r="PRI10" s="1341"/>
      <c r="PRJ10" s="1342"/>
      <c r="PRK10" s="1336"/>
      <c r="PRL10" s="1336"/>
      <c r="PRM10" s="1336"/>
      <c r="PRN10" s="1336"/>
      <c r="PRO10" s="1337"/>
      <c r="PRP10" s="1337"/>
      <c r="PRQ10" s="1337"/>
      <c r="PRR10" s="1337"/>
      <c r="PRS10" s="1337"/>
      <c r="PRT10" s="1338"/>
      <c r="PRU10" s="1339"/>
      <c r="PRV10" s="1340"/>
      <c r="PRW10" s="1340"/>
      <c r="PRX10" s="1340"/>
      <c r="PRY10" s="1341"/>
      <c r="PRZ10" s="1342"/>
      <c r="PSA10" s="1336"/>
      <c r="PSB10" s="1336"/>
      <c r="PSC10" s="1336"/>
      <c r="PSD10" s="1336"/>
      <c r="PSE10" s="1337"/>
      <c r="PSF10" s="1337"/>
      <c r="PSG10" s="1337"/>
      <c r="PSH10" s="1337"/>
      <c r="PSI10" s="1337"/>
      <c r="PSJ10" s="1338"/>
      <c r="PSK10" s="1339"/>
      <c r="PSL10" s="1340"/>
      <c r="PSM10" s="1340"/>
      <c r="PSN10" s="1340"/>
      <c r="PSO10" s="1341"/>
      <c r="PSP10" s="1342"/>
      <c r="PSQ10" s="1336"/>
      <c r="PSR10" s="1336"/>
      <c r="PSS10" s="1336"/>
      <c r="PST10" s="1336"/>
      <c r="PSU10" s="1337"/>
      <c r="PSV10" s="1337"/>
      <c r="PSW10" s="1337"/>
      <c r="PSX10" s="1337"/>
      <c r="PSY10" s="1337"/>
      <c r="PSZ10" s="1338"/>
      <c r="PTA10" s="1339"/>
      <c r="PTB10" s="1340"/>
      <c r="PTC10" s="1340"/>
      <c r="PTD10" s="1340"/>
      <c r="PTE10" s="1341"/>
      <c r="PTF10" s="1342"/>
      <c r="PTG10" s="1336"/>
      <c r="PTH10" s="1336"/>
      <c r="PTI10" s="1336"/>
      <c r="PTJ10" s="1336"/>
      <c r="PTK10" s="1337"/>
      <c r="PTL10" s="1337"/>
      <c r="PTM10" s="1337"/>
      <c r="PTN10" s="1337"/>
      <c r="PTO10" s="1337"/>
      <c r="PTP10" s="1338"/>
      <c r="PTQ10" s="1339"/>
      <c r="PTR10" s="1340"/>
      <c r="PTS10" s="1340"/>
      <c r="PTT10" s="1340"/>
      <c r="PTU10" s="1341"/>
      <c r="PTV10" s="1342"/>
      <c r="PTW10" s="1336"/>
      <c r="PTX10" s="1336"/>
      <c r="PTY10" s="1336"/>
      <c r="PTZ10" s="1336"/>
      <c r="PUA10" s="1337"/>
      <c r="PUB10" s="1337"/>
      <c r="PUC10" s="1337"/>
      <c r="PUD10" s="1337"/>
      <c r="PUE10" s="1337"/>
      <c r="PUF10" s="1338"/>
      <c r="PUG10" s="1339"/>
      <c r="PUH10" s="1340"/>
      <c r="PUI10" s="1340"/>
      <c r="PUJ10" s="1340"/>
      <c r="PUK10" s="1341"/>
      <c r="PUL10" s="1342"/>
      <c r="PUM10" s="1336"/>
      <c r="PUN10" s="1336"/>
      <c r="PUO10" s="1336"/>
      <c r="PUP10" s="1336"/>
      <c r="PUQ10" s="1337"/>
      <c r="PUR10" s="1337"/>
      <c r="PUS10" s="1337"/>
      <c r="PUT10" s="1337"/>
      <c r="PUU10" s="1337"/>
      <c r="PUV10" s="1338"/>
      <c r="PUW10" s="1339"/>
      <c r="PUX10" s="1340"/>
      <c r="PUY10" s="1340"/>
      <c r="PUZ10" s="1340"/>
      <c r="PVA10" s="1341"/>
      <c r="PVB10" s="1342"/>
      <c r="PVC10" s="1336"/>
      <c r="PVD10" s="1336"/>
      <c r="PVE10" s="1336"/>
      <c r="PVF10" s="1336"/>
      <c r="PVG10" s="1337"/>
      <c r="PVH10" s="1337"/>
      <c r="PVI10" s="1337"/>
      <c r="PVJ10" s="1337"/>
      <c r="PVK10" s="1337"/>
      <c r="PVL10" s="1338"/>
      <c r="PVM10" s="1339"/>
      <c r="PVN10" s="1340"/>
      <c r="PVO10" s="1340"/>
      <c r="PVP10" s="1340"/>
      <c r="PVQ10" s="1341"/>
      <c r="PVR10" s="1342"/>
      <c r="PVS10" s="1336"/>
      <c r="PVT10" s="1336"/>
      <c r="PVU10" s="1336"/>
      <c r="PVV10" s="1336"/>
      <c r="PVW10" s="1337"/>
      <c r="PVX10" s="1337"/>
      <c r="PVY10" s="1337"/>
      <c r="PVZ10" s="1337"/>
      <c r="PWA10" s="1337"/>
      <c r="PWB10" s="1338"/>
      <c r="PWC10" s="1339"/>
      <c r="PWD10" s="1340"/>
      <c r="PWE10" s="1340"/>
      <c r="PWF10" s="1340"/>
      <c r="PWG10" s="1341"/>
      <c r="PWH10" s="1342"/>
      <c r="PWI10" s="1336"/>
      <c r="PWJ10" s="1336"/>
      <c r="PWK10" s="1336"/>
      <c r="PWL10" s="1336"/>
      <c r="PWM10" s="1337"/>
      <c r="PWN10" s="1337"/>
      <c r="PWO10" s="1337"/>
      <c r="PWP10" s="1337"/>
      <c r="PWQ10" s="1337"/>
      <c r="PWR10" s="1338"/>
      <c r="PWS10" s="1339"/>
      <c r="PWT10" s="1340"/>
      <c r="PWU10" s="1340"/>
      <c r="PWV10" s="1340"/>
      <c r="PWW10" s="1341"/>
      <c r="PWX10" s="1342"/>
      <c r="PWY10" s="1336"/>
      <c r="PWZ10" s="1336"/>
      <c r="PXA10" s="1336"/>
      <c r="PXB10" s="1336"/>
      <c r="PXC10" s="1337"/>
      <c r="PXD10" s="1337"/>
      <c r="PXE10" s="1337"/>
      <c r="PXF10" s="1337"/>
      <c r="PXG10" s="1337"/>
      <c r="PXH10" s="1338"/>
      <c r="PXI10" s="1339"/>
      <c r="PXJ10" s="1340"/>
      <c r="PXK10" s="1340"/>
      <c r="PXL10" s="1340"/>
      <c r="PXM10" s="1341"/>
      <c r="PXN10" s="1342"/>
      <c r="PXO10" s="1336"/>
      <c r="PXP10" s="1336"/>
      <c r="PXQ10" s="1336"/>
      <c r="PXR10" s="1336"/>
      <c r="PXS10" s="1337"/>
      <c r="PXT10" s="1337"/>
      <c r="PXU10" s="1337"/>
      <c r="PXV10" s="1337"/>
      <c r="PXW10" s="1337"/>
      <c r="PXX10" s="1338"/>
      <c r="PXY10" s="1339"/>
      <c r="PXZ10" s="1340"/>
      <c r="PYA10" s="1340"/>
      <c r="PYB10" s="1340"/>
      <c r="PYC10" s="1341"/>
      <c r="PYD10" s="1342"/>
      <c r="PYE10" s="1336"/>
      <c r="PYF10" s="1336"/>
      <c r="PYG10" s="1336"/>
      <c r="PYH10" s="1336"/>
      <c r="PYI10" s="1337"/>
      <c r="PYJ10" s="1337"/>
      <c r="PYK10" s="1337"/>
      <c r="PYL10" s="1337"/>
      <c r="PYM10" s="1337"/>
      <c r="PYN10" s="1338"/>
      <c r="PYO10" s="1339"/>
      <c r="PYP10" s="1340"/>
      <c r="PYQ10" s="1340"/>
      <c r="PYR10" s="1340"/>
      <c r="PYS10" s="1341"/>
      <c r="PYT10" s="1342"/>
      <c r="PYU10" s="1336"/>
      <c r="PYV10" s="1336"/>
      <c r="PYW10" s="1336"/>
      <c r="PYX10" s="1336"/>
      <c r="PYY10" s="1337"/>
      <c r="PYZ10" s="1337"/>
      <c r="PZA10" s="1337"/>
      <c r="PZB10" s="1337"/>
      <c r="PZC10" s="1337"/>
      <c r="PZD10" s="1338"/>
      <c r="PZE10" s="1339"/>
      <c r="PZF10" s="1340"/>
      <c r="PZG10" s="1340"/>
      <c r="PZH10" s="1340"/>
      <c r="PZI10" s="1341"/>
      <c r="PZJ10" s="1342"/>
      <c r="PZK10" s="1336"/>
      <c r="PZL10" s="1336"/>
      <c r="PZM10" s="1336"/>
      <c r="PZN10" s="1336"/>
      <c r="PZO10" s="1337"/>
      <c r="PZP10" s="1337"/>
      <c r="PZQ10" s="1337"/>
      <c r="PZR10" s="1337"/>
      <c r="PZS10" s="1337"/>
      <c r="PZT10" s="1338"/>
      <c r="PZU10" s="1339"/>
      <c r="PZV10" s="1340"/>
      <c r="PZW10" s="1340"/>
      <c r="PZX10" s="1340"/>
      <c r="PZY10" s="1341"/>
      <c r="PZZ10" s="1342"/>
      <c r="QAA10" s="1336"/>
      <c r="QAB10" s="1336"/>
      <c r="QAC10" s="1336"/>
      <c r="QAD10" s="1336"/>
      <c r="QAE10" s="1337"/>
      <c r="QAF10" s="1337"/>
      <c r="QAG10" s="1337"/>
      <c r="QAH10" s="1337"/>
      <c r="QAI10" s="1337"/>
      <c r="QAJ10" s="1338"/>
      <c r="QAK10" s="1339"/>
      <c r="QAL10" s="1340"/>
      <c r="QAM10" s="1340"/>
      <c r="QAN10" s="1340"/>
      <c r="QAO10" s="1341"/>
      <c r="QAP10" s="1342"/>
      <c r="QAQ10" s="1336"/>
      <c r="QAR10" s="1336"/>
      <c r="QAS10" s="1336"/>
      <c r="QAT10" s="1336"/>
      <c r="QAU10" s="1337"/>
      <c r="QAV10" s="1337"/>
      <c r="QAW10" s="1337"/>
      <c r="QAX10" s="1337"/>
      <c r="QAY10" s="1337"/>
      <c r="QAZ10" s="1338"/>
      <c r="QBA10" s="1339"/>
      <c r="QBB10" s="1340"/>
      <c r="QBC10" s="1340"/>
      <c r="QBD10" s="1340"/>
      <c r="QBE10" s="1341"/>
      <c r="QBF10" s="1342"/>
      <c r="QBG10" s="1336"/>
      <c r="QBH10" s="1336"/>
      <c r="QBI10" s="1336"/>
      <c r="QBJ10" s="1336"/>
      <c r="QBK10" s="1337"/>
      <c r="QBL10" s="1337"/>
      <c r="QBM10" s="1337"/>
      <c r="QBN10" s="1337"/>
      <c r="QBO10" s="1337"/>
      <c r="QBP10" s="1338"/>
      <c r="QBQ10" s="1339"/>
      <c r="QBR10" s="1340"/>
      <c r="QBS10" s="1340"/>
      <c r="QBT10" s="1340"/>
      <c r="QBU10" s="1341"/>
      <c r="QBV10" s="1342"/>
      <c r="QBW10" s="1336"/>
      <c r="QBX10" s="1336"/>
      <c r="QBY10" s="1336"/>
      <c r="QBZ10" s="1336"/>
      <c r="QCA10" s="1337"/>
      <c r="QCB10" s="1337"/>
      <c r="QCC10" s="1337"/>
      <c r="QCD10" s="1337"/>
      <c r="QCE10" s="1337"/>
      <c r="QCF10" s="1338"/>
      <c r="QCG10" s="1339"/>
      <c r="QCH10" s="1340"/>
      <c r="QCI10" s="1340"/>
      <c r="QCJ10" s="1340"/>
      <c r="QCK10" s="1341"/>
      <c r="QCL10" s="1342"/>
      <c r="QCM10" s="1336"/>
      <c r="QCN10" s="1336"/>
      <c r="QCO10" s="1336"/>
      <c r="QCP10" s="1336"/>
      <c r="QCQ10" s="1337"/>
      <c r="QCR10" s="1337"/>
      <c r="QCS10" s="1337"/>
      <c r="QCT10" s="1337"/>
      <c r="QCU10" s="1337"/>
      <c r="QCV10" s="1338"/>
      <c r="QCW10" s="1339"/>
      <c r="QCX10" s="1340"/>
      <c r="QCY10" s="1340"/>
      <c r="QCZ10" s="1340"/>
      <c r="QDA10" s="1341"/>
      <c r="QDB10" s="1342"/>
      <c r="QDC10" s="1336"/>
      <c r="QDD10" s="1336"/>
      <c r="QDE10" s="1336"/>
      <c r="QDF10" s="1336"/>
      <c r="QDG10" s="1337"/>
      <c r="QDH10" s="1337"/>
      <c r="QDI10" s="1337"/>
      <c r="QDJ10" s="1337"/>
      <c r="QDK10" s="1337"/>
      <c r="QDL10" s="1338"/>
      <c r="QDM10" s="1339"/>
      <c r="QDN10" s="1340"/>
      <c r="QDO10" s="1340"/>
      <c r="QDP10" s="1340"/>
      <c r="QDQ10" s="1341"/>
      <c r="QDR10" s="1342"/>
      <c r="QDS10" s="1336"/>
      <c r="QDT10" s="1336"/>
      <c r="QDU10" s="1336"/>
      <c r="QDV10" s="1336"/>
      <c r="QDW10" s="1337"/>
      <c r="QDX10" s="1337"/>
      <c r="QDY10" s="1337"/>
      <c r="QDZ10" s="1337"/>
      <c r="QEA10" s="1337"/>
      <c r="QEB10" s="1338"/>
      <c r="QEC10" s="1339"/>
      <c r="QED10" s="1340"/>
      <c r="QEE10" s="1340"/>
      <c r="QEF10" s="1340"/>
      <c r="QEG10" s="1341"/>
      <c r="QEH10" s="1342"/>
      <c r="QEI10" s="1336"/>
      <c r="QEJ10" s="1336"/>
      <c r="QEK10" s="1336"/>
      <c r="QEL10" s="1336"/>
      <c r="QEM10" s="1337"/>
      <c r="QEN10" s="1337"/>
      <c r="QEO10" s="1337"/>
      <c r="QEP10" s="1337"/>
      <c r="QEQ10" s="1337"/>
      <c r="QER10" s="1338"/>
      <c r="QES10" s="1339"/>
      <c r="QET10" s="1340"/>
      <c r="QEU10" s="1340"/>
      <c r="QEV10" s="1340"/>
      <c r="QEW10" s="1341"/>
      <c r="QEX10" s="1342"/>
      <c r="QEY10" s="1336"/>
      <c r="QEZ10" s="1336"/>
      <c r="QFA10" s="1336"/>
      <c r="QFB10" s="1336"/>
      <c r="QFC10" s="1337"/>
      <c r="QFD10" s="1337"/>
      <c r="QFE10" s="1337"/>
      <c r="QFF10" s="1337"/>
      <c r="QFG10" s="1337"/>
      <c r="QFH10" s="1338"/>
      <c r="QFI10" s="1339"/>
      <c r="QFJ10" s="1340"/>
      <c r="QFK10" s="1340"/>
      <c r="QFL10" s="1340"/>
      <c r="QFM10" s="1341"/>
      <c r="QFN10" s="1342"/>
      <c r="QFO10" s="1336"/>
      <c r="QFP10" s="1336"/>
      <c r="QFQ10" s="1336"/>
      <c r="QFR10" s="1336"/>
      <c r="QFS10" s="1337"/>
      <c r="QFT10" s="1337"/>
      <c r="QFU10" s="1337"/>
      <c r="QFV10" s="1337"/>
      <c r="QFW10" s="1337"/>
      <c r="QFX10" s="1338"/>
      <c r="QFY10" s="1339"/>
      <c r="QFZ10" s="1340"/>
      <c r="QGA10" s="1340"/>
      <c r="QGB10" s="1340"/>
      <c r="QGC10" s="1341"/>
      <c r="QGD10" s="1342"/>
      <c r="QGE10" s="1336"/>
      <c r="QGF10" s="1336"/>
      <c r="QGG10" s="1336"/>
      <c r="QGH10" s="1336"/>
      <c r="QGI10" s="1337"/>
      <c r="QGJ10" s="1337"/>
      <c r="QGK10" s="1337"/>
      <c r="QGL10" s="1337"/>
      <c r="QGM10" s="1337"/>
      <c r="QGN10" s="1338"/>
      <c r="QGO10" s="1339"/>
      <c r="QGP10" s="1340"/>
      <c r="QGQ10" s="1340"/>
      <c r="QGR10" s="1340"/>
      <c r="QGS10" s="1341"/>
      <c r="QGT10" s="1342"/>
      <c r="QGU10" s="1336"/>
      <c r="QGV10" s="1336"/>
      <c r="QGW10" s="1336"/>
      <c r="QGX10" s="1336"/>
      <c r="QGY10" s="1337"/>
      <c r="QGZ10" s="1337"/>
      <c r="QHA10" s="1337"/>
      <c r="QHB10" s="1337"/>
      <c r="QHC10" s="1337"/>
      <c r="QHD10" s="1338"/>
      <c r="QHE10" s="1339"/>
      <c r="QHF10" s="1340"/>
      <c r="QHG10" s="1340"/>
      <c r="QHH10" s="1340"/>
      <c r="QHI10" s="1341"/>
      <c r="QHJ10" s="1342"/>
      <c r="QHK10" s="1336"/>
      <c r="QHL10" s="1336"/>
      <c r="QHM10" s="1336"/>
      <c r="QHN10" s="1336"/>
      <c r="QHO10" s="1337"/>
      <c r="QHP10" s="1337"/>
      <c r="QHQ10" s="1337"/>
      <c r="QHR10" s="1337"/>
      <c r="QHS10" s="1337"/>
      <c r="QHT10" s="1338"/>
      <c r="QHU10" s="1339"/>
      <c r="QHV10" s="1340"/>
      <c r="QHW10" s="1340"/>
      <c r="QHX10" s="1340"/>
      <c r="QHY10" s="1341"/>
      <c r="QHZ10" s="1342"/>
      <c r="QIA10" s="1336"/>
      <c r="QIB10" s="1336"/>
      <c r="QIC10" s="1336"/>
      <c r="QID10" s="1336"/>
      <c r="QIE10" s="1337"/>
      <c r="QIF10" s="1337"/>
      <c r="QIG10" s="1337"/>
      <c r="QIH10" s="1337"/>
      <c r="QII10" s="1337"/>
      <c r="QIJ10" s="1338"/>
      <c r="QIK10" s="1339"/>
      <c r="QIL10" s="1340"/>
      <c r="QIM10" s="1340"/>
      <c r="QIN10" s="1340"/>
      <c r="QIO10" s="1341"/>
      <c r="QIP10" s="1342"/>
      <c r="QIQ10" s="1336"/>
      <c r="QIR10" s="1336"/>
      <c r="QIS10" s="1336"/>
      <c r="QIT10" s="1336"/>
      <c r="QIU10" s="1337"/>
      <c r="QIV10" s="1337"/>
      <c r="QIW10" s="1337"/>
      <c r="QIX10" s="1337"/>
      <c r="QIY10" s="1337"/>
      <c r="QIZ10" s="1338"/>
      <c r="QJA10" s="1339"/>
      <c r="QJB10" s="1340"/>
      <c r="QJC10" s="1340"/>
      <c r="QJD10" s="1340"/>
      <c r="QJE10" s="1341"/>
      <c r="QJF10" s="1342"/>
      <c r="QJG10" s="1336"/>
      <c r="QJH10" s="1336"/>
      <c r="QJI10" s="1336"/>
      <c r="QJJ10" s="1336"/>
      <c r="QJK10" s="1337"/>
      <c r="QJL10" s="1337"/>
      <c r="QJM10" s="1337"/>
      <c r="QJN10" s="1337"/>
      <c r="QJO10" s="1337"/>
      <c r="QJP10" s="1338"/>
      <c r="QJQ10" s="1339"/>
      <c r="QJR10" s="1340"/>
      <c r="QJS10" s="1340"/>
      <c r="QJT10" s="1340"/>
      <c r="QJU10" s="1341"/>
      <c r="QJV10" s="1342"/>
      <c r="QJW10" s="1336"/>
      <c r="QJX10" s="1336"/>
      <c r="QJY10" s="1336"/>
      <c r="QJZ10" s="1336"/>
      <c r="QKA10" s="1337"/>
      <c r="QKB10" s="1337"/>
      <c r="QKC10" s="1337"/>
      <c r="QKD10" s="1337"/>
      <c r="QKE10" s="1337"/>
      <c r="QKF10" s="1338"/>
      <c r="QKG10" s="1339"/>
      <c r="QKH10" s="1340"/>
      <c r="QKI10" s="1340"/>
      <c r="QKJ10" s="1340"/>
      <c r="QKK10" s="1341"/>
      <c r="QKL10" s="1342"/>
      <c r="QKM10" s="1336"/>
      <c r="QKN10" s="1336"/>
      <c r="QKO10" s="1336"/>
      <c r="QKP10" s="1336"/>
      <c r="QKQ10" s="1337"/>
      <c r="QKR10" s="1337"/>
      <c r="QKS10" s="1337"/>
      <c r="QKT10" s="1337"/>
      <c r="QKU10" s="1337"/>
      <c r="QKV10" s="1338"/>
      <c r="QKW10" s="1339"/>
      <c r="QKX10" s="1340"/>
      <c r="QKY10" s="1340"/>
      <c r="QKZ10" s="1340"/>
      <c r="QLA10" s="1341"/>
      <c r="QLB10" s="1342"/>
      <c r="QLC10" s="1336"/>
      <c r="QLD10" s="1336"/>
      <c r="QLE10" s="1336"/>
      <c r="QLF10" s="1336"/>
      <c r="QLG10" s="1337"/>
      <c r="QLH10" s="1337"/>
      <c r="QLI10" s="1337"/>
      <c r="QLJ10" s="1337"/>
      <c r="QLK10" s="1337"/>
      <c r="QLL10" s="1338"/>
      <c r="QLM10" s="1339"/>
      <c r="QLN10" s="1340"/>
      <c r="QLO10" s="1340"/>
      <c r="QLP10" s="1340"/>
      <c r="QLQ10" s="1341"/>
      <c r="QLR10" s="1342"/>
      <c r="QLS10" s="1336"/>
      <c r="QLT10" s="1336"/>
      <c r="QLU10" s="1336"/>
      <c r="QLV10" s="1336"/>
      <c r="QLW10" s="1337"/>
      <c r="QLX10" s="1337"/>
      <c r="QLY10" s="1337"/>
      <c r="QLZ10" s="1337"/>
      <c r="QMA10" s="1337"/>
      <c r="QMB10" s="1338"/>
      <c r="QMC10" s="1339"/>
      <c r="QMD10" s="1340"/>
      <c r="QME10" s="1340"/>
      <c r="QMF10" s="1340"/>
      <c r="QMG10" s="1341"/>
      <c r="QMH10" s="1342"/>
      <c r="QMI10" s="1336"/>
      <c r="QMJ10" s="1336"/>
      <c r="QMK10" s="1336"/>
      <c r="QML10" s="1336"/>
      <c r="QMM10" s="1337"/>
      <c r="QMN10" s="1337"/>
      <c r="QMO10" s="1337"/>
      <c r="QMP10" s="1337"/>
      <c r="QMQ10" s="1337"/>
      <c r="QMR10" s="1338"/>
      <c r="QMS10" s="1339"/>
      <c r="QMT10" s="1340"/>
      <c r="QMU10" s="1340"/>
      <c r="QMV10" s="1340"/>
      <c r="QMW10" s="1341"/>
      <c r="QMX10" s="1342"/>
      <c r="QMY10" s="1336"/>
      <c r="QMZ10" s="1336"/>
      <c r="QNA10" s="1336"/>
      <c r="QNB10" s="1336"/>
      <c r="QNC10" s="1337"/>
      <c r="QND10" s="1337"/>
      <c r="QNE10" s="1337"/>
      <c r="QNF10" s="1337"/>
      <c r="QNG10" s="1337"/>
      <c r="QNH10" s="1338"/>
      <c r="QNI10" s="1339"/>
      <c r="QNJ10" s="1340"/>
      <c r="QNK10" s="1340"/>
      <c r="QNL10" s="1340"/>
      <c r="QNM10" s="1341"/>
      <c r="QNN10" s="1342"/>
      <c r="QNO10" s="1336"/>
      <c r="QNP10" s="1336"/>
      <c r="QNQ10" s="1336"/>
      <c r="QNR10" s="1336"/>
      <c r="QNS10" s="1337"/>
      <c r="QNT10" s="1337"/>
      <c r="QNU10" s="1337"/>
      <c r="QNV10" s="1337"/>
      <c r="QNW10" s="1337"/>
      <c r="QNX10" s="1338"/>
      <c r="QNY10" s="1339"/>
      <c r="QNZ10" s="1340"/>
      <c r="QOA10" s="1340"/>
      <c r="QOB10" s="1340"/>
      <c r="QOC10" s="1341"/>
      <c r="QOD10" s="1342"/>
      <c r="QOE10" s="1336"/>
      <c r="QOF10" s="1336"/>
      <c r="QOG10" s="1336"/>
      <c r="QOH10" s="1336"/>
      <c r="QOI10" s="1337"/>
      <c r="QOJ10" s="1337"/>
      <c r="QOK10" s="1337"/>
      <c r="QOL10" s="1337"/>
      <c r="QOM10" s="1337"/>
      <c r="QON10" s="1338"/>
      <c r="QOO10" s="1339"/>
      <c r="QOP10" s="1340"/>
      <c r="QOQ10" s="1340"/>
      <c r="QOR10" s="1340"/>
      <c r="QOS10" s="1341"/>
      <c r="QOT10" s="1342"/>
      <c r="QOU10" s="1336"/>
      <c r="QOV10" s="1336"/>
      <c r="QOW10" s="1336"/>
      <c r="QOX10" s="1336"/>
      <c r="QOY10" s="1337"/>
      <c r="QOZ10" s="1337"/>
      <c r="QPA10" s="1337"/>
      <c r="QPB10" s="1337"/>
      <c r="QPC10" s="1337"/>
      <c r="QPD10" s="1338"/>
      <c r="QPE10" s="1339"/>
      <c r="QPF10" s="1340"/>
      <c r="QPG10" s="1340"/>
      <c r="QPH10" s="1340"/>
      <c r="QPI10" s="1341"/>
      <c r="QPJ10" s="1342"/>
      <c r="QPK10" s="1336"/>
      <c r="QPL10" s="1336"/>
      <c r="QPM10" s="1336"/>
      <c r="QPN10" s="1336"/>
      <c r="QPO10" s="1337"/>
      <c r="QPP10" s="1337"/>
      <c r="QPQ10" s="1337"/>
      <c r="QPR10" s="1337"/>
      <c r="QPS10" s="1337"/>
      <c r="QPT10" s="1338"/>
      <c r="QPU10" s="1339"/>
      <c r="QPV10" s="1340"/>
      <c r="QPW10" s="1340"/>
      <c r="QPX10" s="1340"/>
      <c r="QPY10" s="1341"/>
      <c r="QPZ10" s="1342"/>
      <c r="QQA10" s="1336"/>
      <c r="QQB10" s="1336"/>
      <c r="QQC10" s="1336"/>
      <c r="QQD10" s="1336"/>
      <c r="QQE10" s="1337"/>
      <c r="QQF10" s="1337"/>
      <c r="QQG10" s="1337"/>
      <c r="QQH10" s="1337"/>
      <c r="QQI10" s="1337"/>
      <c r="QQJ10" s="1338"/>
      <c r="QQK10" s="1339"/>
      <c r="QQL10" s="1340"/>
      <c r="QQM10" s="1340"/>
      <c r="QQN10" s="1340"/>
      <c r="QQO10" s="1341"/>
      <c r="QQP10" s="1342"/>
      <c r="QQQ10" s="1336"/>
      <c r="QQR10" s="1336"/>
      <c r="QQS10" s="1336"/>
      <c r="QQT10" s="1336"/>
      <c r="QQU10" s="1337"/>
      <c r="QQV10" s="1337"/>
      <c r="QQW10" s="1337"/>
      <c r="QQX10" s="1337"/>
      <c r="QQY10" s="1337"/>
      <c r="QQZ10" s="1338"/>
      <c r="QRA10" s="1339"/>
      <c r="QRB10" s="1340"/>
      <c r="QRC10" s="1340"/>
      <c r="QRD10" s="1340"/>
      <c r="QRE10" s="1341"/>
      <c r="QRF10" s="1342"/>
      <c r="QRG10" s="1336"/>
      <c r="QRH10" s="1336"/>
      <c r="QRI10" s="1336"/>
      <c r="QRJ10" s="1336"/>
      <c r="QRK10" s="1337"/>
      <c r="QRL10" s="1337"/>
      <c r="QRM10" s="1337"/>
      <c r="QRN10" s="1337"/>
      <c r="QRO10" s="1337"/>
      <c r="QRP10" s="1338"/>
      <c r="QRQ10" s="1339"/>
      <c r="QRR10" s="1340"/>
      <c r="QRS10" s="1340"/>
      <c r="QRT10" s="1340"/>
      <c r="QRU10" s="1341"/>
      <c r="QRV10" s="1342"/>
      <c r="QRW10" s="1336"/>
      <c r="QRX10" s="1336"/>
      <c r="QRY10" s="1336"/>
      <c r="QRZ10" s="1336"/>
      <c r="QSA10" s="1337"/>
      <c r="QSB10" s="1337"/>
      <c r="QSC10" s="1337"/>
      <c r="QSD10" s="1337"/>
      <c r="QSE10" s="1337"/>
      <c r="QSF10" s="1338"/>
      <c r="QSG10" s="1339"/>
      <c r="QSH10" s="1340"/>
      <c r="QSI10" s="1340"/>
      <c r="QSJ10" s="1340"/>
      <c r="QSK10" s="1341"/>
      <c r="QSL10" s="1342"/>
      <c r="QSM10" s="1336"/>
      <c r="QSN10" s="1336"/>
      <c r="QSO10" s="1336"/>
      <c r="QSP10" s="1336"/>
      <c r="QSQ10" s="1337"/>
      <c r="QSR10" s="1337"/>
      <c r="QSS10" s="1337"/>
      <c r="QST10" s="1337"/>
      <c r="QSU10" s="1337"/>
      <c r="QSV10" s="1338"/>
      <c r="QSW10" s="1339"/>
      <c r="QSX10" s="1340"/>
      <c r="QSY10" s="1340"/>
      <c r="QSZ10" s="1340"/>
      <c r="QTA10" s="1341"/>
      <c r="QTB10" s="1342"/>
      <c r="QTC10" s="1336"/>
      <c r="QTD10" s="1336"/>
      <c r="QTE10" s="1336"/>
      <c r="QTF10" s="1336"/>
      <c r="QTG10" s="1337"/>
      <c r="QTH10" s="1337"/>
      <c r="QTI10" s="1337"/>
      <c r="QTJ10" s="1337"/>
      <c r="QTK10" s="1337"/>
      <c r="QTL10" s="1338"/>
      <c r="QTM10" s="1339"/>
      <c r="QTN10" s="1340"/>
      <c r="QTO10" s="1340"/>
      <c r="QTP10" s="1340"/>
      <c r="QTQ10" s="1341"/>
      <c r="QTR10" s="1342"/>
      <c r="QTS10" s="1336"/>
      <c r="QTT10" s="1336"/>
      <c r="QTU10" s="1336"/>
      <c r="QTV10" s="1336"/>
      <c r="QTW10" s="1337"/>
      <c r="QTX10" s="1337"/>
      <c r="QTY10" s="1337"/>
      <c r="QTZ10" s="1337"/>
      <c r="QUA10" s="1337"/>
      <c r="QUB10" s="1338"/>
      <c r="QUC10" s="1339"/>
      <c r="QUD10" s="1340"/>
      <c r="QUE10" s="1340"/>
      <c r="QUF10" s="1340"/>
      <c r="QUG10" s="1341"/>
      <c r="QUH10" s="1342"/>
      <c r="QUI10" s="1336"/>
      <c r="QUJ10" s="1336"/>
      <c r="QUK10" s="1336"/>
      <c r="QUL10" s="1336"/>
      <c r="QUM10" s="1337"/>
      <c r="QUN10" s="1337"/>
      <c r="QUO10" s="1337"/>
      <c r="QUP10" s="1337"/>
      <c r="QUQ10" s="1337"/>
      <c r="QUR10" s="1338"/>
      <c r="QUS10" s="1339"/>
      <c r="QUT10" s="1340"/>
      <c r="QUU10" s="1340"/>
      <c r="QUV10" s="1340"/>
      <c r="QUW10" s="1341"/>
      <c r="QUX10" s="1342"/>
      <c r="QUY10" s="1336"/>
      <c r="QUZ10" s="1336"/>
      <c r="QVA10" s="1336"/>
      <c r="QVB10" s="1336"/>
      <c r="QVC10" s="1337"/>
      <c r="QVD10" s="1337"/>
      <c r="QVE10" s="1337"/>
      <c r="QVF10" s="1337"/>
      <c r="QVG10" s="1337"/>
      <c r="QVH10" s="1338"/>
      <c r="QVI10" s="1339"/>
      <c r="QVJ10" s="1340"/>
      <c r="QVK10" s="1340"/>
      <c r="QVL10" s="1340"/>
      <c r="QVM10" s="1341"/>
      <c r="QVN10" s="1342"/>
      <c r="QVO10" s="1336"/>
      <c r="QVP10" s="1336"/>
      <c r="QVQ10" s="1336"/>
      <c r="QVR10" s="1336"/>
      <c r="QVS10" s="1337"/>
      <c r="QVT10" s="1337"/>
      <c r="QVU10" s="1337"/>
      <c r="QVV10" s="1337"/>
      <c r="QVW10" s="1337"/>
      <c r="QVX10" s="1338"/>
      <c r="QVY10" s="1339"/>
      <c r="QVZ10" s="1340"/>
      <c r="QWA10" s="1340"/>
      <c r="QWB10" s="1340"/>
      <c r="QWC10" s="1341"/>
      <c r="QWD10" s="1342"/>
      <c r="QWE10" s="1336"/>
      <c r="QWF10" s="1336"/>
      <c r="QWG10" s="1336"/>
      <c r="QWH10" s="1336"/>
      <c r="QWI10" s="1337"/>
      <c r="QWJ10" s="1337"/>
      <c r="QWK10" s="1337"/>
      <c r="QWL10" s="1337"/>
      <c r="QWM10" s="1337"/>
      <c r="QWN10" s="1338"/>
      <c r="QWO10" s="1339"/>
      <c r="QWP10" s="1340"/>
      <c r="QWQ10" s="1340"/>
      <c r="QWR10" s="1340"/>
      <c r="QWS10" s="1341"/>
      <c r="QWT10" s="1342"/>
      <c r="QWU10" s="1336"/>
      <c r="QWV10" s="1336"/>
      <c r="QWW10" s="1336"/>
      <c r="QWX10" s="1336"/>
      <c r="QWY10" s="1337"/>
      <c r="QWZ10" s="1337"/>
      <c r="QXA10" s="1337"/>
      <c r="QXB10" s="1337"/>
      <c r="QXC10" s="1337"/>
      <c r="QXD10" s="1338"/>
      <c r="QXE10" s="1339"/>
      <c r="QXF10" s="1340"/>
      <c r="QXG10" s="1340"/>
      <c r="QXH10" s="1340"/>
      <c r="QXI10" s="1341"/>
      <c r="QXJ10" s="1342"/>
      <c r="QXK10" s="1336"/>
      <c r="QXL10" s="1336"/>
      <c r="QXM10" s="1336"/>
      <c r="QXN10" s="1336"/>
      <c r="QXO10" s="1337"/>
      <c r="QXP10" s="1337"/>
      <c r="QXQ10" s="1337"/>
      <c r="QXR10" s="1337"/>
      <c r="QXS10" s="1337"/>
      <c r="QXT10" s="1338"/>
      <c r="QXU10" s="1339"/>
      <c r="QXV10" s="1340"/>
      <c r="QXW10" s="1340"/>
      <c r="QXX10" s="1340"/>
      <c r="QXY10" s="1341"/>
      <c r="QXZ10" s="1342"/>
      <c r="QYA10" s="1336"/>
      <c r="QYB10" s="1336"/>
      <c r="QYC10" s="1336"/>
      <c r="QYD10" s="1336"/>
      <c r="QYE10" s="1337"/>
      <c r="QYF10" s="1337"/>
      <c r="QYG10" s="1337"/>
      <c r="QYH10" s="1337"/>
      <c r="QYI10" s="1337"/>
      <c r="QYJ10" s="1338"/>
      <c r="QYK10" s="1339"/>
      <c r="QYL10" s="1340"/>
      <c r="QYM10" s="1340"/>
      <c r="QYN10" s="1340"/>
      <c r="QYO10" s="1341"/>
      <c r="QYP10" s="1342"/>
      <c r="QYQ10" s="1336"/>
      <c r="QYR10" s="1336"/>
      <c r="QYS10" s="1336"/>
      <c r="QYT10" s="1336"/>
      <c r="QYU10" s="1337"/>
      <c r="QYV10" s="1337"/>
      <c r="QYW10" s="1337"/>
      <c r="QYX10" s="1337"/>
      <c r="QYY10" s="1337"/>
      <c r="QYZ10" s="1338"/>
      <c r="QZA10" s="1339"/>
      <c r="QZB10" s="1340"/>
      <c r="QZC10" s="1340"/>
      <c r="QZD10" s="1340"/>
      <c r="QZE10" s="1341"/>
      <c r="QZF10" s="1342"/>
      <c r="QZG10" s="1336"/>
      <c r="QZH10" s="1336"/>
      <c r="QZI10" s="1336"/>
      <c r="QZJ10" s="1336"/>
      <c r="QZK10" s="1337"/>
      <c r="QZL10" s="1337"/>
      <c r="QZM10" s="1337"/>
      <c r="QZN10" s="1337"/>
      <c r="QZO10" s="1337"/>
      <c r="QZP10" s="1338"/>
      <c r="QZQ10" s="1339"/>
      <c r="QZR10" s="1340"/>
      <c r="QZS10" s="1340"/>
      <c r="QZT10" s="1340"/>
      <c r="QZU10" s="1341"/>
      <c r="QZV10" s="1342"/>
      <c r="QZW10" s="1336"/>
      <c r="QZX10" s="1336"/>
      <c r="QZY10" s="1336"/>
      <c r="QZZ10" s="1336"/>
      <c r="RAA10" s="1337"/>
      <c r="RAB10" s="1337"/>
      <c r="RAC10" s="1337"/>
      <c r="RAD10" s="1337"/>
      <c r="RAE10" s="1337"/>
      <c r="RAF10" s="1338"/>
      <c r="RAG10" s="1339"/>
      <c r="RAH10" s="1340"/>
      <c r="RAI10" s="1340"/>
      <c r="RAJ10" s="1340"/>
      <c r="RAK10" s="1341"/>
      <c r="RAL10" s="1342"/>
      <c r="RAM10" s="1336"/>
      <c r="RAN10" s="1336"/>
      <c r="RAO10" s="1336"/>
      <c r="RAP10" s="1336"/>
      <c r="RAQ10" s="1337"/>
      <c r="RAR10" s="1337"/>
      <c r="RAS10" s="1337"/>
      <c r="RAT10" s="1337"/>
      <c r="RAU10" s="1337"/>
      <c r="RAV10" s="1338"/>
      <c r="RAW10" s="1339"/>
      <c r="RAX10" s="1340"/>
      <c r="RAY10" s="1340"/>
      <c r="RAZ10" s="1340"/>
      <c r="RBA10" s="1341"/>
      <c r="RBB10" s="1342"/>
      <c r="RBC10" s="1336"/>
      <c r="RBD10" s="1336"/>
      <c r="RBE10" s="1336"/>
      <c r="RBF10" s="1336"/>
      <c r="RBG10" s="1337"/>
      <c r="RBH10" s="1337"/>
      <c r="RBI10" s="1337"/>
      <c r="RBJ10" s="1337"/>
      <c r="RBK10" s="1337"/>
      <c r="RBL10" s="1338"/>
      <c r="RBM10" s="1339"/>
      <c r="RBN10" s="1340"/>
      <c r="RBO10" s="1340"/>
      <c r="RBP10" s="1340"/>
      <c r="RBQ10" s="1341"/>
      <c r="RBR10" s="1342"/>
      <c r="RBS10" s="1336"/>
      <c r="RBT10" s="1336"/>
      <c r="RBU10" s="1336"/>
      <c r="RBV10" s="1336"/>
      <c r="RBW10" s="1337"/>
      <c r="RBX10" s="1337"/>
      <c r="RBY10" s="1337"/>
      <c r="RBZ10" s="1337"/>
      <c r="RCA10" s="1337"/>
      <c r="RCB10" s="1338"/>
      <c r="RCC10" s="1339"/>
      <c r="RCD10" s="1340"/>
      <c r="RCE10" s="1340"/>
      <c r="RCF10" s="1340"/>
      <c r="RCG10" s="1341"/>
      <c r="RCH10" s="1342"/>
      <c r="RCI10" s="1336"/>
      <c r="RCJ10" s="1336"/>
      <c r="RCK10" s="1336"/>
      <c r="RCL10" s="1336"/>
      <c r="RCM10" s="1337"/>
      <c r="RCN10" s="1337"/>
      <c r="RCO10" s="1337"/>
      <c r="RCP10" s="1337"/>
      <c r="RCQ10" s="1337"/>
      <c r="RCR10" s="1338"/>
      <c r="RCS10" s="1339"/>
      <c r="RCT10" s="1340"/>
      <c r="RCU10" s="1340"/>
      <c r="RCV10" s="1340"/>
      <c r="RCW10" s="1341"/>
      <c r="RCX10" s="1342"/>
      <c r="RCY10" s="1336"/>
      <c r="RCZ10" s="1336"/>
      <c r="RDA10" s="1336"/>
      <c r="RDB10" s="1336"/>
      <c r="RDC10" s="1337"/>
      <c r="RDD10" s="1337"/>
      <c r="RDE10" s="1337"/>
      <c r="RDF10" s="1337"/>
      <c r="RDG10" s="1337"/>
      <c r="RDH10" s="1338"/>
      <c r="RDI10" s="1339"/>
      <c r="RDJ10" s="1340"/>
      <c r="RDK10" s="1340"/>
      <c r="RDL10" s="1340"/>
      <c r="RDM10" s="1341"/>
      <c r="RDN10" s="1342"/>
      <c r="RDO10" s="1336"/>
      <c r="RDP10" s="1336"/>
      <c r="RDQ10" s="1336"/>
      <c r="RDR10" s="1336"/>
      <c r="RDS10" s="1337"/>
      <c r="RDT10" s="1337"/>
      <c r="RDU10" s="1337"/>
      <c r="RDV10" s="1337"/>
      <c r="RDW10" s="1337"/>
      <c r="RDX10" s="1338"/>
      <c r="RDY10" s="1339"/>
      <c r="RDZ10" s="1340"/>
      <c r="REA10" s="1340"/>
      <c r="REB10" s="1340"/>
      <c r="REC10" s="1341"/>
      <c r="RED10" s="1342"/>
      <c r="REE10" s="1336"/>
      <c r="REF10" s="1336"/>
      <c r="REG10" s="1336"/>
      <c r="REH10" s="1336"/>
      <c r="REI10" s="1337"/>
      <c r="REJ10" s="1337"/>
      <c r="REK10" s="1337"/>
      <c r="REL10" s="1337"/>
      <c r="REM10" s="1337"/>
      <c r="REN10" s="1338"/>
      <c r="REO10" s="1339"/>
      <c r="REP10" s="1340"/>
      <c r="REQ10" s="1340"/>
      <c r="RER10" s="1340"/>
      <c r="RES10" s="1341"/>
      <c r="RET10" s="1342"/>
      <c r="REU10" s="1336"/>
      <c r="REV10" s="1336"/>
      <c r="REW10" s="1336"/>
      <c r="REX10" s="1336"/>
      <c r="REY10" s="1337"/>
      <c r="REZ10" s="1337"/>
      <c r="RFA10" s="1337"/>
      <c r="RFB10" s="1337"/>
      <c r="RFC10" s="1337"/>
      <c r="RFD10" s="1338"/>
      <c r="RFE10" s="1339"/>
      <c r="RFF10" s="1340"/>
      <c r="RFG10" s="1340"/>
      <c r="RFH10" s="1340"/>
      <c r="RFI10" s="1341"/>
      <c r="RFJ10" s="1342"/>
      <c r="RFK10" s="1336"/>
      <c r="RFL10" s="1336"/>
      <c r="RFM10" s="1336"/>
      <c r="RFN10" s="1336"/>
      <c r="RFO10" s="1337"/>
      <c r="RFP10" s="1337"/>
      <c r="RFQ10" s="1337"/>
      <c r="RFR10" s="1337"/>
      <c r="RFS10" s="1337"/>
      <c r="RFT10" s="1338"/>
      <c r="RFU10" s="1339"/>
      <c r="RFV10" s="1340"/>
      <c r="RFW10" s="1340"/>
      <c r="RFX10" s="1340"/>
      <c r="RFY10" s="1341"/>
      <c r="RFZ10" s="1342"/>
      <c r="RGA10" s="1336"/>
      <c r="RGB10" s="1336"/>
      <c r="RGC10" s="1336"/>
      <c r="RGD10" s="1336"/>
      <c r="RGE10" s="1337"/>
      <c r="RGF10" s="1337"/>
      <c r="RGG10" s="1337"/>
      <c r="RGH10" s="1337"/>
      <c r="RGI10" s="1337"/>
      <c r="RGJ10" s="1338"/>
      <c r="RGK10" s="1339"/>
      <c r="RGL10" s="1340"/>
      <c r="RGM10" s="1340"/>
      <c r="RGN10" s="1340"/>
      <c r="RGO10" s="1341"/>
      <c r="RGP10" s="1342"/>
      <c r="RGQ10" s="1336"/>
      <c r="RGR10" s="1336"/>
      <c r="RGS10" s="1336"/>
      <c r="RGT10" s="1336"/>
      <c r="RGU10" s="1337"/>
      <c r="RGV10" s="1337"/>
      <c r="RGW10" s="1337"/>
      <c r="RGX10" s="1337"/>
      <c r="RGY10" s="1337"/>
      <c r="RGZ10" s="1338"/>
      <c r="RHA10" s="1339"/>
      <c r="RHB10" s="1340"/>
      <c r="RHC10" s="1340"/>
      <c r="RHD10" s="1340"/>
      <c r="RHE10" s="1341"/>
      <c r="RHF10" s="1342"/>
      <c r="RHG10" s="1336"/>
      <c r="RHH10" s="1336"/>
      <c r="RHI10" s="1336"/>
      <c r="RHJ10" s="1336"/>
      <c r="RHK10" s="1337"/>
      <c r="RHL10" s="1337"/>
      <c r="RHM10" s="1337"/>
      <c r="RHN10" s="1337"/>
      <c r="RHO10" s="1337"/>
      <c r="RHP10" s="1338"/>
      <c r="RHQ10" s="1339"/>
      <c r="RHR10" s="1340"/>
      <c r="RHS10" s="1340"/>
      <c r="RHT10" s="1340"/>
      <c r="RHU10" s="1341"/>
      <c r="RHV10" s="1342"/>
      <c r="RHW10" s="1336"/>
      <c r="RHX10" s="1336"/>
      <c r="RHY10" s="1336"/>
      <c r="RHZ10" s="1336"/>
      <c r="RIA10" s="1337"/>
      <c r="RIB10" s="1337"/>
      <c r="RIC10" s="1337"/>
      <c r="RID10" s="1337"/>
      <c r="RIE10" s="1337"/>
      <c r="RIF10" s="1338"/>
      <c r="RIG10" s="1339"/>
      <c r="RIH10" s="1340"/>
      <c r="RII10" s="1340"/>
      <c r="RIJ10" s="1340"/>
      <c r="RIK10" s="1341"/>
      <c r="RIL10" s="1342"/>
      <c r="RIM10" s="1336"/>
      <c r="RIN10" s="1336"/>
      <c r="RIO10" s="1336"/>
      <c r="RIP10" s="1336"/>
      <c r="RIQ10" s="1337"/>
      <c r="RIR10" s="1337"/>
      <c r="RIS10" s="1337"/>
      <c r="RIT10" s="1337"/>
      <c r="RIU10" s="1337"/>
      <c r="RIV10" s="1338"/>
      <c r="RIW10" s="1339"/>
      <c r="RIX10" s="1340"/>
      <c r="RIY10" s="1340"/>
      <c r="RIZ10" s="1340"/>
      <c r="RJA10" s="1341"/>
      <c r="RJB10" s="1342"/>
      <c r="RJC10" s="1336"/>
      <c r="RJD10" s="1336"/>
      <c r="RJE10" s="1336"/>
      <c r="RJF10" s="1336"/>
      <c r="RJG10" s="1337"/>
      <c r="RJH10" s="1337"/>
      <c r="RJI10" s="1337"/>
      <c r="RJJ10" s="1337"/>
      <c r="RJK10" s="1337"/>
      <c r="RJL10" s="1338"/>
      <c r="RJM10" s="1339"/>
      <c r="RJN10" s="1340"/>
      <c r="RJO10" s="1340"/>
      <c r="RJP10" s="1340"/>
      <c r="RJQ10" s="1341"/>
      <c r="RJR10" s="1342"/>
      <c r="RJS10" s="1336"/>
      <c r="RJT10" s="1336"/>
      <c r="RJU10" s="1336"/>
      <c r="RJV10" s="1336"/>
      <c r="RJW10" s="1337"/>
      <c r="RJX10" s="1337"/>
      <c r="RJY10" s="1337"/>
      <c r="RJZ10" s="1337"/>
      <c r="RKA10" s="1337"/>
      <c r="RKB10" s="1338"/>
      <c r="RKC10" s="1339"/>
      <c r="RKD10" s="1340"/>
      <c r="RKE10" s="1340"/>
      <c r="RKF10" s="1340"/>
      <c r="RKG10" s="1341"/>
      <c r="RKH10" s="1342"/>
      <c r="RKI10" s="1336"/>
      <c r="RKJ10" s="1336"/>
      <c r="RKK10" s="1336"/>
      <c r="RKL10" s="1336"/>
      <c r="RKM10" s="1337"/>
      <c r="RKN10" s="1337"/>
      <c r="RKO10" s="1337"/>
      <c r="RKP10" s="1337"/>
      <c r="RKQ10" s="1337"/>
      <c r="RKR10" s="1338"/>
      <c r="RKS10" s="1339"/>
      <c r="RKT10" s="1340"/>
      <c r="RKU10" s="1340"/>
      <c r="RKV10" s="1340"/>
      <c r="RKW10" s="1341"/>
      <c r="RKX10" s="1342"/>
      <c r="RKY10" s="1336"/>
      <c r="RKZ10" s="1336"/>
      <c r="RLA10" s="1336"/>
      <c r="RLB10" s="1336"/>
      <c r="RLC10" s="1337"/>
      <c r="RLD10" s="1337"/>
      <c r="RLE10" s="1337"/>
      <c r="RLF10" s="1337"/>
      <c r="RLG10" s="1337"/>
      <c r="RLH10" s="1338"/>
      <c r="RLI10" s="1339"/>
      <c r="RLJ10" s="1340"/>
      <c r="RLK10" s="1340"/>
      <c r="RLL10" s="1340"/>
      <c r="RLM10" s="1341"/>
      <c r="RLN10" s="1342"/>
      <c r="RLO10" s="1336"/>
      <c r="RLP10" s="1336"/>
      <c r="RLQ10" s="1336"/>
      <c r="RLR10" s="1336"/>
      <c r="RLS10" s="1337"/>
      <c r="RLT10" s="1337"/>
      <c r="RLU10" s="1337"/>
      <c r="RLV10" s="1337"/>
      <c r="RLW10" s="1337"/>
      <c r="RLX10" s="1338"/>
      <c r="RLY10" s="1339"/>
      <c r="RLZ10" s="1340"/>
      <c r="RMA10" s="1340"/>
      <c r="RMB10" s="1340"/>
      <c r="RMC10" s="1341"/>
      <c r="RMD10" s="1342"/>
      <c r="RME10" s="1336"/>
      <c r="RMF10" s="1336"/>
      <c r="RMG10" s="1336"/>
      <c r="RMH10" s="1336"/>
      <c r="RMI10" s="1337"/>
      <c r="RMJ10" s="1337"/>
      <c r="RMK10" s="1337"/>
      <c r="RML10" s="1337"/>
      <c r="RMM10" s="1337"/>
      <c r="RMN10" s="1338"/>
      <c r="RMO10" s="1339"/>
      <c r="RMP10" s="1340"/>
      <c r="RMQ10" s="1340"/>
      <c r="RMR10" s="1340"/>
      <c r="RMS10" s="1341"/>
      <c r="RMT10" s="1342"/>
      <c r="RMU10" s="1336"/>
      <c r="RMV10" s="1336"/>
      <c r="RMW10" s="1336"/>
      <c r="RMX10" s="1336"/>
      <c r="RMY10" s="1337"/>
      <c r="RMZ10" s="1337"/>
      <c r="RNA10" s="1337"/>
      <c r="RNB10" s="1337"/>
      <c r="RNC10" s="1337"/>
      <c r="RND10" s="1338"/>
      <c r="RNE10" s="1339"/>
      <c r="RNF10" s="1340"/>
      <c r="RNG10" s="1340"/>
      <c r="RNH10" s="1340"/>
      <c r="RNI10" s="1341"/>
      <c r="RNJ10" s="1342"/>
      <c r="RNK10" s="1336"/>
      <c r="RNL10" s="1336"/>
      <c r="RNM10" s="1336"/>
      <c r="RNN10" s="1336"/>
      <c r="RNO10" s="1337"/>
      <c r="RNP10" s="1337"/>
      <c r="RNQ10" s="1337"/>
      <c r="RNR10" s="1337"/>
      <c r="RNS10" s="1337"/>
      <c r="RNT10" s="1338"/>
      <c r="RNU10" s="1339"/>
      <c r="RNV10" s="1340"/>
      <c r="RNW10" s="1340"/>
      <c r="RNX10" s="1340"/>
      <c r="RNY10" s="1341"/>
      <c r="RNZ10" s="1342"/>
      <c r="ROA10" s="1336"/>
      <c r="ROB10" s="1336"/>
      <c r="ROC10" s="1336"/>
      <c r="ROD10" s="1336"/>
      <c r="ROE10" s="1337"/>
      <c r="ROF10" s="1337"/>
      <c r="ROG10" s="1337"/>
      <c r="ROH10" s="1337"/>
      <c r="ROI10" s="1337"/>
      <c r="ROJ10" s="1338"/>
      <c r="ROK10" s="1339"/>
      <c r="ROL10" s="1340"/>
      <c r="ROM10" s="1340"/>
      <c r="RON10" s="1340"/>
      <c r="ROO10" s="1341"/>
      <c r="ROP10" s="1342"/>
      <c r="ROQ10" s="1336"/>
      <c r="ROR10" s="1336"/>
      <c r="ROS10" s="1336"/>
      <c r="ROT10" s="1336"/>
      <c r="ROU10" s="1337"/>
      <c r="ROV10" s="1337"/>
      <c r="ROW10" s="1337"/>
      <c r="ROX10" s="1337"/>
      <c r="ROY10" s="1337"/>
      <c r="ROZ10" s="1338"/>
      <c r="RPA10" s="1339"/>
      <c r="RPB10" s="1340"/>
      <c r="RPC10" s="1340"/>
      <c r="RPD10" s="1340"/>
      <c r="RPE10" s="1341"/>
      <c r="RPF10" s="1342"/>
      <c r="RPG10" s="1336"/>
      <c r="RPH10" s="1336"/>
      <c r="RPI10" s="1336"/>
      <c r="RPJ10" s="1336"/>
      <c r="RPK10" s="1337"/>
      <c r="RPL10" s="1337"/>
      <c r="RPM10" s="1337"/>
      <c r="RPN10" s="1337"/>
      <c r="RPO10" s="1337"/>
      <c r="RPP10" s="1338"/>
      <c r="RPQ10" s="1339"/>
      <c r="RPR10" s="1340"/>
      <c r="RPS10" s="1340"/>
      <c r="RPT10" s="1340"/>
      <c r="RPU10" s="1341"/>
      <c r="RPV10" s="1342"/>
      <c r="RPW10" s="1336"/>
      <c r="RPX10" s="1336"/>
      <c r="RPY10" s="1336"/>
      <c r="RPZ10" s="1336"/>
      <c r="RQA10" s="1337"/>
      <c r="RQB10" s="1337"/>
      <c r="RQC10" s="1337"/>
      <c r="RQD10" s="1337"/>
      <c r="RQE10" s="1337"/>
      <c r="RQF10" s="1338"/>
      <c r="RQG10" s="1339"/>
      <c r="RQH10" s="1340"/>
      <c r="RQI10" s="1340"/>
      <c r="RQJ10" s="1340"/>
      <c r="RQK10" s="1341"/>
      <c r="RQL10" s="1342"/>
      <c r="RQM10" s="1336"/>
      <c r="RQN10" s="1336"/>
      <c r="RQO10" s="1336"/>
      <c r="RQP10" s="1336"/>
      <c r="RQQ10" s="1337"/>
      <c r="RQR10" s="1337"/>
      <c r="RQS10" s="1337"/>
      <c r="RQT10" s="1337"/>
      <c r="RQU10" s="1337"/>
      <c r="RQV10" s="1338"/>
      <c r="RQW10" s="1339"/>
      <c r="RQX10" s="1340"/>
      <c r="RQY10" s="1340"/>
      <c r="RQZ10" s="1340"/>
      <c r="RRA10" s="1341"/>
      <c r="RRB10" s="1342"/>
      <c r="RRC10" s="1336"/>
      <c r="RRD10" s="1336"/>
      <c r="RRE10" s="1336"/>
      <c r="RRF10" s="1336"/>
      <c r="RRG10" s="1337"/>
      <c r="RRH10" s="1337"/>
      <c r="RRI10" s="1337"/>
      <c r="RRJ10" s="1337"/>
      <c r="RRK10" s="1337"/>
      <c r="RRL10" s="1338"/>
      <c r="RRM10" s="1339"/>
      <c r="RRN10" s="1340"/>
      <c r="RRO10" s="1340"/>
      <c r="RRP10" s="1340"/>
      <c r="RRQ10" s="1341"/>
      <c r="RRR10" s="1342"/>
      <c r="RRS10" s="1336"/>
      <c r="RRT10" s="1336"/>
      <c r="RRU10" s="1336"/>
      <c r="RRV10" s="1336"/>
      <c r="RRW10" s="1337"/>
      <c r="RRX10" s="1337"/>
      <c r="RRY10" s="1337"/>
      <c r="RRZ10" s="1337"/>
      <c r="RSA10" s="1337"/>
      <c r="RSB10" s="1338"/>
      <c r="RSC10" s="1339"/>
      <c r="RSD10" s="1340"/>
      <c r="RSE10" s="1340"/>
      <c r="RSF10" s="1340"/>
      <c r="RSG10" s="1341"/>
      <c r="RSH10" s="1342"/>
      <c r="RSI10" s="1336"/>
      <c r="RSJ10" s="1336"/>
      <c r="RSK10" s="1336"/>
      <c r="RSL10" s="1336"/>
      <c r="RSM10" s="1337"/>
      <c r="RSN10" s="1337"/>
      <c r="RSO10" s="1337"/>
      <c r="RSP10" s="1337"/>
      <c r="RSQ10" s="1337"/>
      <c r="RSR10" s="1338"/>
      <c r="RSS10" s="1339"/>
      <c r="RST10" s="1340"/>
      <c r="RSU10" s="1340"/>
      <c r="RSV10" s="1340"/>
      <c r="RSW10" s="1341"/>
      <c r="RSX10" s="1342"/>
      <c r="RSY10" s="1336"/>
      <c r="RSZ10" s="1336"/>
      <c r="RTA10" s="1336"/>
      <c r="RTB10" s="1336"/>
      <c r="RTC10" s="1337"/>
      <c r="RTD10" s="1337"/>
      <c r="RTE10" s="1337"/>
      <c r="RTF10" s="1337"/>
      <c r="RTG10" s="1337"/>
      <c r="RTH10" s="1338"/>
      <c r="RTI10" s="1339"/>
      <c r="RTJ10" s="1340"/>
      <c r="RTK10" s="1340"/>
      <c r="RTL10" s="1340"/>
      <c r="RTM10" s="1341"/>
      <c r="RTN10" s="1342"/>
      <c r="RTO10" s="1336"/>
      <c r="RTP10" s="1336"/>
      <c r="RTQ10" s="1336"/>
      <c r="RTR10" s="1336"/>
      <c r="RTS10" s="1337"/>
      <c r="RTT10" s="1337"/>
      <c r="RTU10" s="1337"/>
      <c r="RTV10" s="1337"/>
      <c r="RTW10" s="1337"/>
      <c r="RTX10" s="1338"/>
      <c r="RTY10" s="1339"/>
      <c r="RTZ10" s="1340"/>
      <c r="RUA10" s="1340"/>
      <c r="RUB10" s="1340"/>
      <c r="RUC10" s="1341"/>
      <c r="RUD10" s="1342"/>
      <c r="RUE10" s="1336"/>
      <c r="RUF10" s="1336"/>
      <c r="RUG10" s="1336"/>
      <c r="RUH10" s="1336"/>
      <c r="RUI10" s="1337"/>
      <c r="RUJ10" s="1337"/>
      <c r="RUK10" s="1337"/>
      <c r="RUL10" s="1337"/>
      <c r="RUM10" s="1337"/>
      <c r="RUN10" s="1338"/>
      <c r="RUO10" s="1339"/>
      <c r="RUP10" s="1340"/>
      <c r="RUQ10" s="1340"/>
      <c r="RUR10" s="1340"/>
      <c r="RUS10" s="1341"/>
      <c r="RUT10" s="1342"/>
      <c r="RUU10" s="1336"/>
      <c r="RUV10" s="1336"/>
      <c r="RUW10" s="1336"/>
      <c r="RUX10" s="1336"/>
      <c r="RUY10" s="1337"/>
      <c r="RUZ10" s="1337"/>
      <c r="RVA10" s="1337"/>
      <c r="RVB10" s="1337"/>
      <c r="RVC10" s="1337"/>
      <c r="RVD10" s="1338"/>
      <c r="RVE10" s="1339"/>
      <c r="RVF10" s="1340"/>
      <c r="RVG10" s="1340"/>
      <c r="RVH10" s="1340"/>
      <c r="RVI10" s="1341"/>
      <c r="RVJ10" s="1342"/>
      <c r="RVK10" s="1336"/>
      <c r="RVL10" s="1336"/>
      <c r="RVM10" s="1336"/>
      <c r="RVN10" s="1336"/>
      <c r="RVO10" s="1337"/>
      <c r="RVP10" s="1337"/>
      <c r="RVQ10" s="1337"/>
      <c r="RVR10" s="1337"/>
      <c r="RVS10" s="1337"/>
      <c r="RVT10" s="1338"/>
      <c r="RVU10" s="1339"/>
      <c r="RVV10" s="1340"/>
      <c r="RVW10" s="1340"/>
      <c r="RVX10" s="1340"/>
      <c r="RVY10" s="1341"/>
      <c r="RVZ10" s="1342"/>
      <c r="RWA10" s="1336"/>
      <c r="RWB10" s="1336"/>
      <c r="RWC10" s="1336"/>
      <c r="RWD10" s="1336"/>
      <c r="RWE10" s="1337"/>
      <c r="RWF10" s="1337"/>
      <c r="RWG10" s="1337"/>
      <c r="RWH10" s="1337"/>
      <c r="RWI10" s="1337"/>
      <c r="RWJ10" s="1338"/>
      <c r="RWK10" s="1339"/>
      <c r="RWL10" s="1340"/>
      <c r="RWM10" s="1340"/>
      <c r="RWN10" s="1340"/>
      <c r="RWO10" s="1341"/>
      <c r="RWP10" s="1342"/>
      <c r="RWQ10" s="1336"/>
      <c r="RWR10" s="1336"/>
      <c r="RWS10" s="1336"/>
      <c r="RWT10" s="1336"/>
      <c r="RWU10" s="1337"/>
      <c r="RWV10" s="1337"/>
      <c r="RWW10" s="1337"/>
      <c r="RWX10" s="1337"/>
      <c r="RWY10" s="1337"/>
      <c r="RWZ10" s="1338"/>
      <c r="RXA10" s="1339"/>
      <c r="RXB10" s="1340"/>
      <c r="RXC10" s="1340"/>
      <c r="RXD10" s="1340"/>
      <c r="RXE10" s="1341"/>
      <c r="RXF10" s="1342"/>
      <c r="RXG10" s="1336"/>
      <c r="RXH10" s="1336"/>
      <c r="RXI10" s="1336"/>
      <c r="RXJ10" s="1336"/>
      <c r="RXK10" s="1337"/>
      <c r="RXL10" s="1337"/>
      <c r="RXM10" s="1337"/>
      <c r="RXN10" s="1337"/>
      <c r="RXO10" s="1337"/>
      <c r="RXP10" s="1338"/>
      <c r="RXQ10" s="1339"/>
      <c r="RXR10" s="1340"/>
      <c r="RXS10" s="1340"/>
      <c r="RXT10" s="1340"/>
      <c r="RXU10" s="1341"/>
      <c r="RXV10" s="1342"/>
      <c r="RXW10" s="1336"/>
      <c r="RXX10" s="1336"/>
      <c r="RXY10" s="1336"/>
      <c r="RXZ10" s="1336"/>
      <c r="RYA10" s="1337"/>
      <c r="RYB10" s="1337"/>
      <c r="RYC10" s="1337"/>
      <c r="RYD10" s="1337"/>
      <c r="RYE10" s="1337"/>
      <c r="RYF10" s="1338"/>
      <c r="RYG10" s="1339"/>
      <c r="RYH10" s="1340"/>
      <c r="RYI10" s="1340"/>
      <c r="RYJ10" s="1340"/>
      <c r="RYK10" s="1341"/>
      <c r="RYL10" s="1342"/>
      <c r="RYM10" s="1336"/>
      <c r="RYN10" s="1336"/>
      <c r="RYO10" s="1336"/>
      <c r="RYP10" s="1336"/>
      <c r="RYQ10" s="1337"/>
      <c r="RYR10" s="1337"/>
      <c r="RYS10" s="1337"/>
      <c r="RYT10" s="1337"/>
      <c r="RYU10" s="1337"/>
      <c r="RYV10" s="1338"/>
      <c r="RYW10" s="1339"/>
      <c r="RYX10" s="1340"/>
      <c r="RYY10" s="1340"/>
      <c r="RYZ10" s="1340"/>
      <c r="RZA10" s="1341"/>
      <c r="RZB10" s="1342"/>
      <c r="RZC10" s="1336"/>
      <c r="RZD10" s="1336"/>
      <c r="RZE10" s="1336"/>
      <c r="RZF10" s="1336"/>
      <c r="RZG10" s="1337"/>
      <c r="RZH10" s="1337"/>
      <c r="RZI10" s="1337"/>
      <c r="RZJ10" s="1337"/>
      <c r="RZK10" s="1337"/>
      <c r="RZL10" s="1338"/>
      <c r="RZM10" s="1339"/>
      <c r="RZN10" s="1340"/>
      <c r="RZO10" s="1340"/>
      <c r="RZP10" s="1340"/>
      <c r="RZQ10" s="1341"/>
      <c r="RZR10" s="1342"/>
      <c r="RZS10" s="1336"/>
      <c r="RZT10" s="1336"/>
      <c r="RZU10" s="1336"/>
      <c r="RZV10" s="1336"/>
      <c r="RZW10" s="1337"/>
      <c r="RZX10" s="1337"/>
      <c r="RZY10" s="1337"/>
      <c r="RZZ10" s="1337"/>
      <c r="SAA10" s="1337"/>
      <c r="SAB10" s="1338"/>
      <c r="SAC10" s="1339"/>
      <c r="SAD10" s="1340"/>
      <c r="SAE10" s="1340"/>
      <c r="SAF10" s="1340"/>
      <c r="SAG10" s="1341"/>
      <c r="SAH10" s="1342"/>
      <c r="SAI10" s="1336"/>
      <c r="SAJ10" s="1336"/>
      <c r="SAK10" s="1336"/>
      <c r="SAL10" s="1336"/>
      <c r="SAM10" s="1337"/>
      <c r="SAN10" s="1337"/>
      <c r="SAO10" s="1337"/>
      <c r="SAP10" s="1337"/>
      <c r="SAQ10" s="1337"/>
      <c r="SAR10" s="1338"/>
      <c r="SAS10" s="1339"/>
      <c r="SAT10" s="1340"/>
      <c r="SAU10" s="1340"/>
      <c r="SAV10" s="1340"/>
      <c r="SAW10" s="1341"/>
      <c r="SAX10" s="1342"/>
      <c r="SAY10" s="1336"/>
      <c r="SAZ10" s="1336"/>
      <c r="SBA10" s="1336"/>
      <c r="SBB10" s="1336"/>
      <c r="SBC10" s="1337"/>
      <c r="SBD10" s="1337"/>
      <c r="SBE10" s="1337"/>
      <c r="SBF10" s="1337"/>
      <c r="SBG10" s="1337"/>
      <c r="SBH10" s="1338"/>
      <c r="SBI10" s="1339"/>
      <c r="SBJ10" s="1340"/>
      <c r="SBK10" s="1340"/>
      <c r="SBL10" s="1340"/>
      <c r="SBM10" s="1341"/>
      <c r="SBN10" s="1342"/>
      <c r="SBO10" s="1336"/>
      <c r="SBP10" s="1336"/>
      <c r="SBQ10" s="1336"/>
      <c r="SBR10" s="1336"/>
      <c r="SBS10" s="1337"/>
      <c r="SBT10" s="1337"/>
      <c r="SBU10" s="1337"/>
      <c r="SBV10" s="1337"/>
      <c r="SBW10" s="1337"/>
      <c r="SBX10" s="1338"/>
      <c r="SBY10" s="1339"/>
      <c r="SBZ10" s="1340"/>
      <c r="SCA10" s="1340"/>
      <c r="SCB10" s="1340"/>
      <c r="SCC10" s="1341"/>
      <c r="SCD10" s="1342"/>
      <c r="SCE10" s="1336"/>
      <c r="SCF10" s="1336"/>
      <c r="SCG10" s="1336"/>
      <c r="SCH10" s="1336"/>
      <c r="SCI10" s="1337"/>
      <c r="SCJ10" s="1337"/>
      <c r="SCK10" s="1337"/>
      <c r="SCL10" s="1337"/>
      <c r="SCM10" s="1337"/>
      <c r="SCN10" s="1338"/>
      <c r="SCO10" s="1339"/>
      <c r="SCP10" s="1340"/>
      <c r="SCQ10" s="1340"/>
      <c r="SCR10" s="1340"/>
      <c r="SCS10" s="1341"/>
      <c r="SCT10" s="1342"/>
      <c r="SCU10" s="1336"/>
      <c r="SCV10" s="1336"/>
      <c r="SCW10" s="1336"/>
      <c r="SCX10" s="1336"/>
      <c r="SCY10" s="1337"/>
      <c r="SCZ10" s="1337"/>
      <c r="SDA10" s="1337"/>
      <c r="SDB10" s="1337"/>
      <c r="SDC10" s="1337"/>
      <c r="SDD10" s="1338"/>
      <c r="SDE10" s="1339"/>
      <c r="SDF10" s="1340"/>
      <c r="SDG10" s="1340"/>
      <c r="SDH10" s="1340"/>
      <c r="SDI10" s="1341"/>
      <c r="SDJ10" s="1342"/>
      <c r="SDK10" s="1336"/>
      <c r="SDL10" s="1336"/>
      <c r="SDM10" s="1336"/>
      <c r="SDN10" s="1336"/>
      <c r="SDO10" s="1337"/>
      <c r="SDP10" s="1337"/>
      <c r="SDQ10" s="1337"/>
      <c r="SDR10" s="1337"/>
      <c r="SDS10" s="1337"/>
      <c r="SDT10" s="1338"/>
      <c r="SDU10" s="1339"/>
      <c r="SDV10" s="1340"/>
      <c r="SDW10" s="1340"/>
      <c r="SDX10" s="1340"/>
      <c r="SDY10" s="1341"/>
      <c r="SDZ10" s="1342"/>
      <c r="SEA10" s="1336"/>
      <c r="SEB10" s="1336"/>
      <c r="SEC10" s="1336"/>
      <c r="SED10" s="1336"/>
      <c r="SEE10" s="1337"/>
      <c r="SEF10" s="1337"/>
      <c r="SEG10" s="1337"/>
      <c r="SEH10" s="1337"/>
      <c r="SEI10" s="1337"/>
      <c r="SEJ10" s="1338"/>
      <c r="SEK10" s="1339"/>
      <c r="SEL10" s="1340"/>
      <c r="SEM10" s="1340"/>
      <c r="SEN10" s="1340"/>
      <c r="SEO10" s="1341"/>
      <c r="SEP10" s="1342"/>
      <c r="SEQ10" s="1336"/>
      <c r="SER10" s="1336"/>
      <c r="SES10" s="1336"/>
      <c r="SET10" s="1336"/>
      <c r="SEU10" s="1337"/>
      <c r="SEV10" s="1337"/>
      <c r="SEW10" s="1337"/>
      <c r="SEX10" s="1337"/>
      <c r="SEY10" s="1337"/>
      <c r="SEZ10" s="1338"/>
      <c r="SFA10" s="1339"/>
      <c r="SFB10" s="1340"/>
      <c r="SFC10" s="1340"/>
      <c r="SFD10" s="1340"/>
      <c r="SFE10" s="1341"/>
      <c r="SFF10" s="1342"/>
      <c r="SFG10" s="1336"/>
      <c r="SFH10" s="1336"/>
      <c r="SFI10" s="1336"/>
      <c r="SFJ10" s="1336"/>
      <c r="SFK10" s="1337"/>
      <c r="SFL10" s="1337"/>
      <c r="SFM10" s="1337"/>
      <c r="SFN10" s="1337"/>
      <c r="SFO10" s="1337"/>
      <c r="SFP10" s="1338"/>
      <c r="SFQ10" s="1339"/>
      <c r="SFR10" s="1340"/>
      <c r="SFS10" s="1340"/>
      <c r="SFT10" s="1340"/>
      <c r="SFU10" s="1341"/>
      <c r="SFV10" s="1342"/>
      <c r="SFW10" s="1336"/>
      <c r="SFX10" s="1336"/>
      <c r="SFY10" s="1336"/>
      <c r="SFZ10" s="1336"/>
      <c r="SGA10" s="1337"/>
      <c r="SGB10" s="1337"/>
      <c r="SGC10" s="1337"/>
      <c r="SGD10" s="1337"/>
      <c r="SGE10" s="1337"/>
      <c r="SGF10" s="1338"/>
      <c r="SGG10" s="1339"/>
      <c r="SGH10" s="1340"/>
      <c r="SGI10" s="1340"/>
      <c r="SGJ10" s="1340"/>
      <c r="SGK10" s="1341"/>
      <c r="SGL10" s="1342"/>
      <c r="SGM10" s="1336"/>
      <c r="SGN10" s="1336"/>
      <c r="SGO10" s="1336"/>
      <c r="SGP10" s="1336"/>
      <c r="SGQ10" s="1337"/>
      <c r="SGR10" s="1337"/>
      <c r="SGS10" s="1337"/>
      <c r="SGT10" s="1337"/>
      <c r="SGU10" s="1337"/>
      <c r="SGV10" s="1338"/>
      <c r="SGW10" s="1339"/>
      <c r="SGX10" s="1340"/>
      <c r="SGY10" s="1340"/>
      <c r="SGZ10" s="1340"/>
      <c r="SHA10" s="1341"/>
      <c r="SHB10" s="1342"/>
      <c r="SHC10" s="1336"/>
      <c r="SHD10" s="1336"/>
      <c r="SHE10" s="1336"/>
      <c r="SHF10" s="1336"/>
      <c r="SHG10" s="1337"/>
      <c r="SHH10" s="1337"/>
      <c r="SHI10" s="1337"/>
      <c r="SHJ10" s="1337"/>
      <c r="SHK10" s="1337"/>
      <c r="SHL10" s="1338"/>
      <c r="SHM10" s="1339"/>
      <c r="SHN10" s="1340"/>
      <c r="SHO10" s="1340"/>
      <c r="SHP10" s="1340"/>
      <c r="SHQ10" s="1341"/>
      <c r="SHR10" s="1342"/>
      <c r="SHS10" s="1336"/>
      <c r="SHT10" s="1336"/>
      <c r="SHU10" s="1336"/>
      <c r="SHV10" s="1336"/>
      <c r="SHW10" s="1337"/>
      <c r="SHX10" s="1337"/>
      <c r="SHY10" s="1337"/>
      <c r="SHZ10" s="1337"/>
      <c r="SIA10" s="1337"/>
      <c r="SIB10" s="1338"/>
      <c r="SIC10" s="1339"/>
      <c r="SID10" s="1340"/>
      <c r="SIE10" s="1340"/>
      <c r="SIF10" s="1340"/>
      <c r="SIG10" s="1341"/>
      <c r="SIH10" s="1342"/>
      <c r="SII10" s="1336"/>
      <c r="SIJ10" s="1336"/>
      <c r="SIK10" s="1336"/>
      <c r="SIL10" s="1336"/>
      <c r="SIM10" s="1337"/>
      <c r="SIN10" s="1337"/>
      <c r="SIO10" s="1337"/>
      <c r="SIP10" s="1337"/>
      <c r="SIQ10" s="1337"/>
      <c r="SIR10" s="1338"/>
      <c r="SIS10" s="1339"/>
      <c r="SIT10" s="1340"/>
      <c r="SIU10" s="1340"/>
      <c r="SIV10" s="1340"/>
      <c r="SIW10" s="1341"/>
      <c r="SIX10" s="1342"/>
      <c r="SIY10" s="1336"/>
      <c r="SIZ10" s="1336"/>
      <c r="SJA10" s="1336"/>
      <c r="SJB10" s="1336"/>
      <c r="SJC10" s="1337"/>
      <c r="SJD10" s="1337"/>
      <c r="SJE10" s="1337"/>
      <c r="SJF10" s="1337"/>
      <c r="SJG10" s="1337"/>
      <c r="SJH10" s="1338"/>
      <c r="SJI10" s="1339"/>
      <c r="SJJ10" s="1340"/>
      <c r="SJK10" s="1340"/>
      <c r="SJL10" s="1340"/>
      <c r="SJM10" s="1341"/>
      <c r="SJN10" s="1342"/>
      <c r="SJO10" s="1336"/>
      <c r="SJP10" s="1336"/>
      <c r="SJQ10" s="1336"/>
      <c r="SJR10" s="1336"/>
      <c r="SJS10" s="1337"/>
      <c r="SJT10" s="1337"/>
      <c r="SJU10" s="1337"/>
      <c r="SJV10" s="1337"/>
      <c r="SJW10" s="1337"/>
      <c r="SJX10" s="1338"/>
      <c r="SJY10" s="1339"/>
      <c r="SJZ10" s="1340"/>
      <c r="SKA10" s="1340"/>
      <c r="SKB10" s="1340"/>
      <c r="SKC10" s="1341"/>
      <c r="SKD10" s="1342"/>
      <c r="SKE10" s="1336"/>
      <c r="SKF10" s="1336"/>
      <c r="SKG10" s="1336"/>
      <c r="SKH10" s="1336"/>
      <c r="SKI10" s="1337"/>
      <c r="SKJ10" s="1337"/>
      <c r="SKK10" s="1337"/>
      <c r="SKL10" s="1337"/>
      <c r="SKM10" s="1337"/>
      <c r="SKN10" s="1338"/>
      <c r="SKO10" s="1339"/>
      <c r="SKP10" s="1340"/>
      <c r="SKQ10" s="1340"/>
      <c r="SKR10" s="1340"/>
      <c r="SKS10" s="1341"/>
      <c r="SKT10" s="1342"/>
      <c r="SKU10" s="1336"/>
      <c r="SKV10" s="1336"/>
      <c r="SKW10" s="1336"/>
      <c r="SKX10" s="1336"/>
      <c r="SKY10" s="1337"/>
      <c r="SKZ10" s="1337"/>
      <c r="SLA10" s="1337"/>
      <c r="SLB10" s="1337"/>
      <c r="SLC10" s="1337"/>
      <c r="SLD10" s="1338"/>
      <c r="SLE10" s="1339"/>
      <c r="SLF10" s="1340"/>
      <c r="SLG10" s="1340"/>
      <c r="SLH10" s="1340"/>
      <c r="SLI10" s="1341"/>
      <c r="SLJ10" s="1342"/>
      <c r="SLK10" s="1336"/>
      <c r="SLL10" s="1336"/>
      <c r="SLM10" s="1336"/>
      <c r="SLN10" s="1336"/>
      <c r="SLO10" s="1337"/>
      <c r="SLP10" s="1337"/>
      <c r="SLQ10" s="1337"/>
      <c r="SLR10" s="1337"/>
      <c r="SLS10" s="1337"/>
      <c r="SLT10" s="1338"/>
      <c r="SLU10" s="1339"/>
      <c r="SLV10" s="1340"/>
      <c r="SLW10" s="1340"/>
      <c r="SLX10" s="1340"/>
      <c r="SLY10" s="1341"/>
      <c r="SLZ10" s="1342"/>
      <c r="SMA10" s="1336"/>
      <c r="SMB10" s="1336"/>
      <c r="SMC10" s="1336"/>
      <c r="SMD10" s="1336"/>
      <c r="SME10" s="1337"/>
      <c r="SMF10" s="1337"/>
      <c r="SMG10" s="1337"/>
      <c r="SMH10" s="1337"/>
      <c r="SMI10" s="1337"/>
      <c r="SMJ10" s="1338"/>
      <c r="SMK10" s="1339"/>
      <c r="SML10" s="1340"/>
      <c r="SMM10" s="1340"/>
      <c r="SMN10" s="1340"/>
      <c r="SMO10" s="1341"/>
      <c r="SMP10" s="1342"/>
      <c r="SMQ10" s="1336"/>
      <c r="SMR10" s="1336"/>
      <c r="SMS10" s="1336"/>
      <c r="SMT10" s="1336"/>
      <c r="SMU10" s="1337"/>
      <c r="SMV10" s="1337"/>
      <c r="SMW10" s="1337"/>
      <c r="SMX10" s="1337"/>
      <c r="SMY10" s="1337"/>
      <c r="SMZ10" s="1338"/>
      <c r="SNA10" s="1339"/>
      <c r="SNB10" s="1340"/>
      <c r="SNC10" s="1340"/>
      <c r="SND10" s="1340"/>
      <c r="SNE10" s="1341"/>
      <c r="SNF10" s="1342"/>
      <c r="SNG10" s="1336"/>
      <c r="SNH10" s="1336"/>
      <c r="SNI10" s="1336"/>
      <c r="SNJ10" s="1336"/>
      <c r="SNK10" s="1337"/>
      <c r="SNL10" s="1337"/>
      <c r="SNM10" s="1337"/>
      <c r="SNN10" s="1337"/>
      <c r="SNO10" s="1337"/>
      <c r="SNP10" s="1338"/>
      <c r="SNQ10" s="1339"/>
      <c r="SNR10" s="1340"/>
      <c r="SNS10" s="1340"/>
      <c r="SNT10" s="1340"/>
      <c r="SNU10" s="1341"/>
      <c r="SNV10" s="1342"/>
      <c r="SNW10" s="1336"/>
      <c r="SNX10" s="1336"/>
      <c r="SNY10" s="1336"/>
      <c r="SNZ10" s="1336"/>
      <c r="SOA10" s="1337"/>
      <c r="SOB10" s="1337"/>
      <c r="SOC10" s="1337"/>
      <c r="SOD10" s="1337"/>
      <c r="SOE10" s="1337"/>
      <c r="SOF10" s="1338"/>
      <c r="SOG10" s="1339"/>
      <c r="SOH10" s="1340"/>
      <c r="SOI10" s="1340"/>
      <c r="SOJ10" s="1340"/>
      <c r="SOK10" s="1341"/>
      <c r="SOL10" s="1342"/>
      <c r="SOM10" s="1336"/>
      <c r="SON10" s="1336"/>
      <c r="SOO10" s="1336"/>
      <c r="SOP10" s="1336"/>
      <c r="SOQ10" s="1337"/>
      <c r="SOR10" s="1337"/>
      <c r="SOS10" s="1337"/>
      <c r="SOT10" s="1337"/>
      <c r="SOU10" s="1337"/>
      <c r="SOV10" s="1338"/>
      <c r="SOW10" s="1339"/>
      <c r="SOX10" s="1340"/>
      <c r="SOY10" s="1340"/>
      <c r="SOZ10" s="1340"/>
      <c r="SPA10" s="1341"/>
      <c r="SPB10" s="1342"/>
      <c r="SPC10" s="1336"/>
      <c r="SPD10" s="1336"/>
      <c r="SPE10" s="1336"/>
      <c r="SPF10" s="1336"/>
      <c r="SPG10" s="1337"/>
      <c r="SPH10" s="1337"/>
      <c r="SPI10" s="1337"/>
      <c r="SPJ10" s="1337"/>
      <c r="SPK10" s="1337"/>
      <c r="SPL10" s="1338"/>
      <c r="SPM10" s="1339"/>
      <c r="SPN10" s="1340"/>
      <c r="SPO10" s="1340"/>
      <c r="SPP10" s="1340"/>
      <c r="SPQ10" s="1341"/>
      <c r="SPR10" s="1342"/>
      <c r="SPS10" s="1336"/>
      <c r="SPT10" s="1336"/>
      <c r="SPU10" s="1336"/>
      <c r="SPV10" s="1336"/>
      <c r="SPW10" s="1337"/>
      <c r="SPX10" s="1337"/>
      <c r="SPY10" s="1337"/>
      <c r="SPZ10" s="1337"/>
      <c r="SQA10" s="1337"/>
      <c r="SQB10" s="1338"/>
      <c r="SQC10" s="1339"/>
      <c r="SQD10" s="1340"/>
      <c r="SQE10" s="1340"/>
      <c r="SQF10" s="1340"/>
      <c r="SQG10" s="1341"/>
      <c r="SQH10" s="1342"/>
      <c r="SQI10" s="1336"/>
      <c r="SQJ10" s="1336"/>
      <c r="SQK10" s="1336"/>
      <c r="SQL10" s="1336"/>
      <c r="SQM10" s="1337"/>
      <c r="SQN10" s="1337"/>
      <c r="SQO10" s="1337"/>
      <c r="SQP10" s="1337"/>
      <c r="SQQ10" s="1337"/>
      <c r="SQR10" s="1338"/>
      <c r="SQS10" s="1339"/>
      <c r="SQT10" s="1340"/>
      <c r="SQU10" s="1340"/>
      <c r="SQV10" s="1340"/>
      <c r="SQW10" s="1341"/>
      <c r="SQX10" s="1342"/>
      <c r="SQY10" s="1336"/>
      <c r="SQZ10" s="1336"/>
      <c r="SRA10" s="1336"/>
      <c r="SRB10" s="1336"/>
      <c r="SRC10" s="1337"/>
      <c r="SRD10" s="1337"/>
      <c r="SRE10" s="1337"/>
      <c r="SRF10" s="1337"/>
      <c r="SRG10" s="1337"/>
      <c r="SRH10" s="1338"/>
      <c r="SRI10" s="1339"/>
      <c r="SRJ10" s="1340"/>
      <c r="SRK10" s="1340"/>
      <c r="SRL10" s="1340"/>
      <c r="SRM10" s="1341"/>
      <c r="SRN10" s="1342"/>
      <c r="SRO10" s="1336"/>
      <c r="SRP10" s="1336"/>
      <c r="SRQ10" s="1336"/>
      <c r="SRR10" s="1336"/>
      <c r="SRS10" s="1337"/>
      <c r="SRT10" s="1337"/>
      <c r="SRU10" s="1337"/>
      <c r="SRV10" s="1337"/>
      <c r="SRW10" s="1337"/>
      <c r="SRX10" s="1338"/>
      <c r="SRY10" s="1339"/>
      <c r="SRZ10" s="1340"/>
      <c r="SSA10" s="1340"/>
      <c r="SSB10" s="1340"/>
      <c r="SSC10" s="1341"/>
      <c r="SSD10" s="1342"/>
      <c r="SSE10" s="1336"/>
      <c r="SSF10" s="1336"/>
      <c r="SSG10" s="1336"/>
      <c r="SSH10" s="1336"/>
      <c r="SSI10" s="1337"/>
      <c r="SSJ10" s="1337"/>
      <c r="SSK10" s="1337"/>
      <c r="SSL10" s="1337"/>
      <c r="SSM10" s="1337"/>
      <c r="SSN10" s="1338"/>
      <c r="SSO10" s="1339"/>
      <c r="SSP10" s="1340"/>
      <c r="SSQ10" s="1340"/>
      <c r="SSR10" s="1340"/>
      <c r="SSS10" s="1341"/>
      <c r="SST10" s="1342"/>
      <c r="SSU10" s="1336"/>
      <c r="SSV10" s="1336"/>
      <c r="SSW10" s="1336"/>
      <c r="SSX10" s="1336"/>
      <c r="SSY10" s="1337"/>
      <c r="SSZ10" s="1337"/>
      <c r="STA10" s="1337"/>
      <c r="STB10" s="1337"/>
      <c r="STC10" s="1337"/>
      <c r="STD10" s="1338"/>
      <c r="STE10" s="1339"/>
      <c r="STF10" s="1340"/>
      <c r="STG10" s="1340"/>
      <c r="STH10" s="1340"/>
      <c r="STI10" s="1341"/>
      <c r="STJ10" s="1342"/>
      <c r="STK10" s="1336"/>
      <c r="STL10" s="1336"/>
      <c r="STM10" s="1336"/>
      <c r="STN10" s="1336"/>
      <c r="STO10" s="1337"/>
      <c r="STP10" s="1337"/>
      <c r="STQ10" s="1337"/>
      <c r="STR10" s="1337"/>
      <c r="STS10" s="1337"/>
      <c r="STT10" s="1338"/>
      <c r="STU10" s="1339"/>
      <c r="STV10" s="1340"/>
      <c r="STW10" s="1340"/>
      <c r="STX10" s="1340"/>
      <c r="STY10" s="1341"/>
      <c r="STZ10" s="1342"/>
      <c r="SUA10" s="1336"/>
      <c r="SUB10" s="1336"/>
      <c r="SUC10" s="1336"/>
      <c r="SUD10" s="1336"/>
      <c r="SUE10" s="1337"/>
      <c r="SUF10" s="1337"/>
      <c r="SUG10" s="1337"/>
      <c r="SUH10" s="1337"/>
      <c r="SUI10" s="1337"/>
      <c r="SUJ10" s="1338"/>
      <c r="SUK10" s="1339"/>
      <c r="SUL10" s="1340"/>
      <c r="SUM10" s="1340"/>
      <c r="SUN10" s="1340"/>
      <c r="SUO10" s="1341"/>
      <c r="SUP10" s="1342"/>
      <c r="SUQ10" s="1336"/>
      <c r="SUR10" s="1336"/>
      <c r="SUS10" s="1336"/>
      <c r="SUT10" s="1336"/>
      <c r="SUU10" s="1337"/>
      <c r="SUV10" s="1337"/>
      <c r="SUW10" s="1337"/>
      <c r="SUX10" s="1337"/>
      <c r="SUY10" s="1337"/>
      <c r="SUZ10" s="1338"/>
      <c r="SVA10" s="1339"/>
      <c r="SVB10" s="1340"/>
      <c r="SVC10" s="1340"/>
      <c r="SVD10" s="1340"/>
      <c r="SVE10" s="1341"/>
      <c r="SVF10" s="1342"/>
      <c r="SVG10" s="1336"/>
      <c r="SVH10" s="1336"/>
      <c r="SVI10" s="1336"/>
      <c r="SVJ10" s="1336"/>
      <c r="SVK10" s="1337"/>
      <c r="SVL10" s="1337"/>
      <c r="SVM10" s="1337"/>
      <c r="SVN10" s="1337"/>
      <c r="SVO10" s="1337"/>
      <c r="SVP10" s="1338"/>
      <c r="SVQ10" s="1339"/>
      <c r="SVR10" s="1340"/>
      <c r="SVS10" s="1340"/>
      <c r="SVT10" s="1340"/>
      <c r="SVU10" s="1341"/>
      <c r="SVV10" s="1342"/>
      <c r="SVW10" s="1336"/>
      <c r="SVX10" s="1336"/>
      <c r="SVY10" s="1336"/>
      <c r="SVZ10" s="1336"/>
      <c r="SWA10" s="1337"/>
      <c r="SWB10" s="1337"/>
      <c r="SWC10" s="1337"/>
      <c r="SWD10" s="1337"/>
      <c r="SWE10" s="1337"/>
      <c r="SWF10" s="1338"/>
      <c r="SWG10" s="1339"/>
      <c r="SWH10" s="1340"/>
      <c r="SWI10" s="1340"/>
      <c r="SWJ10" s="1340"/>
      <c r="SWK10" s="1341"/>
      <c r="SWL10" s="1342"/>
      <c r="SWM10" s="1336"/>
      <c r="SWN10" s="1336"/>
      <c r="SWO10" s="1336"/>
      <c r="SWP10" s="1336"/>
      <c r="SWQ10" s="1337"/>
      <c r="SWR10" s="1337"/>
      <c r="SWS10" s="1337"/>
      <c r="SWT10" s="1337"/>
      <c r="SWU10" s="1337"/>
      <c r="SWV10" s="1338"/>
      <c r="SWW10" s="1339"/>
      <c r="SWX10" s="1340"/>
      <c r="SWY10" s="1340"/>
      <c r="SWZ10" s="1340"/>
      <c r="SXA10" s="1341"/>
      <c r="SXB10" s="1342"/>
      <c r="SXC10" s="1336"/>
      <c r="SXD10" s="1336"/>
      <c r="SXE10" s="1336"/>
      <c r="SXF10" s="1336"/>
      <c r="SXG10" s="1337"/>
      <c r="SXH10" s="1337"/>
      <c r="SXI10" s="1337"/>
      <c r="SXJ10" s="1337"/>
      <c r="SXK10" s="1337"/>
      <c r="SXL10" s="1338"/>
      <c r="SXM10" s="1339"/>
      <c r="SXN10" s="1340"/>
      <c r="SXO10" s="1340"/>
      <c r="SXP10" s="1340"/>
      <c r="SXQ10" s="1341"/>
      <c r="SXR10" s="1342"/>
      <c r="SXS10" s="1336"/>
      <c r="SXT10" s="1336"/>
      <c r="SXU10" s="1336"/>
      <c r="SXV10" s="1336"/>
      <c r="SXW10" s="1337"/>
      <c r="SXX10" s="1337"/>
      <c r="SXY10" s="1337"/>
      <c r="SXZ10" s="1337"/>
      <c r="SYA10" s="1337"/>
      <c r="SYB10" s="1338"/>
      <c r="SYC10" s="1339"/>
      <c r="SYD10" s="1340"/>
      <c r="SYE10" s="1340"/>
      <c r="SYF10" s="1340"/>
      <c r="SYG10" s="1341"/>
      <c r="SYH10" s="1342"/>
      <c r="SYI10" s="1336"/>
      <c r="SYJ10" s="1336"/>
      <c r="SYK10" s="1336"/>
      <c r="SYL10" s="1336"/>
      <c r="SYM10" s="1337"/>
      <c r="SYN10" s="1337"/>
      <c r="SYO10" s="1337"/>
      <c r="SYP10" s="1337"/>
      <c r="SYQ10" s="1337"/>
      <c r="SYR10" s="1338"/>
      <c r="SYS10" s="1339"/>
      <c r="SYT10" s="1340"/>
      <c r="SYU10" s="1340"/>
      <c r="SYV10" s="1340"/>
      <c r="SYW10" s="1341"/>
      <c r="SYX10" s="1342"/>
      <c r="SYY10" s="1336"/>
      <c r="SYZ10" s="1336"/>
      <c r="SZA10" s="1336"/>
      <c r="SZB10" s="1336"/>
      <c r="SZC10" s="1337"/>
      <c r="SZD10" s="1337"/>
      <c r="SZE10" s="1337"/>
      <c r="SZF10" s="1337"/>
      <c r="SZG10" s="1337"/>
      <c r="SZH10" s="1338"/>
      <c r="SZI10" s="1339"/>
      <c r="SZJ10" s="1340"/>
      <c r="SZK10" s="1340"/>
      <c r="SZL10" s="1340"/>
      <c r="SZM10" s="1341"/>
      <c r="SZN10" s="1342"/>
      <c r="SZO10" s="1336"/>
      <c r="SZP10" s="1336"/>
      <c r="SZQ10" s="1336"/>
      <c r="SZR10" s="1336"/>
      <c r="SZS10" s="1337"/>
      <c r="SZT10" s="1337"/>
      <c r="SZU10" s="1337"/>
      <c r="SZV10" s="1337"/>
      <c r="SZW10" s="1337"/>
      <c r="SZX10" s="1338"/>
      <c r="SZY10" s="1339"/>
      <c r="SZZ10" s="1340"/>
      <c r="TAA10" s="1340"/>
      <c r="TAB10" s="1340"/>
      <c r="TAC10" s="1341"/>
      <c r="TAD10" s="1342"/>
      <c r="TAE10" s="1336"/>
      <c r="TAF10" s="1336"/>
      <c r="TAG10" s="1336"/>
      <c r="TAH10" s="1336"/>
      <c r="TAI10" s="1337"/>
      <c r="TAJ10" s="1337"/>
      <c r="TAK10" s="1337"/>
      <c r="TAL10" s="1337"/>
      <c r="TAM10" s="1337"/>
      <c r="TAN10" s="1338"/>
      <c r="TAO10" s="1339"/>
      <c r="TAP10" s="1340"/>
      <c r="TAQ10" s="1340"/>
      <c r="TAR10" s="1340"/>
      <c r="TAS10" s="1341"/>
      <c r="TAT10" s="1342"/>
      <c r="TAU10" s="1336"/>
      <c r="TAV10" s="1336"/>
      <c r="TAW10" s="1336"/>
      <c r="TAX10" s="1336"/>
      <c r="TAY10" s="1337"/>
      <c r="TAZ10" s="1337"/>
      <c r="TBA10" s="1337"/>
      <c r="TBB10" s="1337"/>
      <c r="TBC10" s="1337"/>
      <c r="TBD10" s="1338"/>
      <c r="TBE10" s="1339"/>
      <c r="TBF10" s="1340"/>
      <c r="TBG10" s="1340"/>
      <c r="TBH10" s="1340"/>
      <c r="TBI10" s="1341"/>
      <c r="TBJ10" s="1342"/>
      <c r="TBK10" s="1336"/>
      <c r="TBL10" s="1336"/>
      <c r="TBM10" s="1336"/>
      <c r="TBN10" s="1336"/>
      <c r="TBO10" s="1337"/>
      <c r="TBP10" s="1337"/>
      <c r="TBQ10" s="1337"/>
      <c r="TBR10" s="1337"/>
      <c r="TBS10" s="1337"/>
      <c r="TBT10" s="1338"/>
      <c r="TBU10" s="1339"/>
      <c r="TBV10" s="1340"/>
      <c r="TBW10" s="1340"/>
      <c r="TBX10" s="1340"/>
      <c r="TBY10" s="1341"/>
      <c r="TBZ10" s="1342"/>
      <c r="TCA10" s="1336"/>
      <c r="TCB10" s="1336"/>
      <c r="TCC10" s="1336"/>
      <c r="TCD10" s="1336"/>
      <c r="TCE10" s="1337"/>
      <c r="TCF10" s="1337"/>
      <c r="TCG10" s="1337"/>
      <c r="TCH10" s="1337"/>
      <c r="TCI10" s="1337"/>
      <c r="TCJ10" s="1338"/>
      <c r="TCK10" s="1339"/>
      <c r="TCL10" s="1340"/>
      <c r="TCM10" s="1340"/>
      <c r="TCN10" s="1340"/>
      <c r="TCO10" s="1341"/>
      <c r="TCP10" s="1342"/>
      <c r="TCQ10" s="1336"/>
      <c r="TCR10" s="1336"/>
      <c r="TCS10" s="1336"/>
      <c r="TCT10" s="1336"/>
      <c r="TCU10" s="1337"/>
      <c r="TCV10" s="1337"/>
      <c r="TCW10" s="1337"/>
      <c r="TCX10" s="1337"/>
      <c r="TCY10" s="1337"/>
      <c r="TCZ10" s="1338"/>
      <c r="TDA10" s="1339"/>
      <c r="TDB10" s="1340"/>
      <c r="TDC10" s="1340"/>
      <c r="TDD10" s="1340"/>
      <c r="TDE10" s="1341"/>
      <c r="TDF10" s="1342"/>
      <c r="TDG10" s="1336"/>
      <c r="TDH10" s="1336"/>
      <c r="TDI10" s="1336"/>
      <c r="TDJ10" s="1336"/>
      <c r="TDK10" s="1337"/>
      <c r="TDL10" s="1337"/>
      <c r="TDM10" s="1337"/>
      <c r="TDN10" s="1337"/>
      <c r="TDO10" s="1337"/>
      <c r="TDP10" s="1338"/>
      <c r="TDQ10" s="1339"/>
      <c r="TDR10" s="1340"/>
      <c r="TDS10" s="1340"/>
      <c r="TDT10" s="1340"/>
      <c r="TDU10" s="1341"/>
      <c r="TDV10" s="1342"/>
      <c r="TDW10" s="1336"/>
      <c r="TDX10" s="1336"/>
      <c r="TDY10" s="1336"/>
      <c r="TDZ10" s="1336"/>
      <c r="TEA10" s="1337"/>
      <c r="TEB10" s="1337"/>
      <c r="TEC10" s="1337"/>
      <c r="TED10" s="1337"/>
      <c r="TEE10" s="1337"/>
      <c r="TEF10" s="1338"/>
      <c r="TEG10" s="1339"/>
      <c r="TEH10" s="1340"/>
      <c r="TEI10" s="1340"/>
      <c r="TEJ10" s="1340"/>
      <c r="TEK10" s="1341"/>
      <c r="TEL10" s="1342"/>
      <c r="TEM10" s="1336"/>
      <c r="TEN10" s="1336"/>
      <c r="TEO10" s="1336"/>
      <c r="TEP10" s="1336"/>
      <c r="TEQ10" s="1337"/>
      <c r="TER10" s="1337"/>
      <c r="TES10" s="1337"/>
      <c r="TET10" s="1337"/>
      <c r="TEU10" s="1337"/>
      <c r="TEV10" s="1338"/>
      <c r="TEW10" s="1339"/>
      <c r="TEX10" s="1340"/>
      <c r="TEY10" s="1340"/>
      <c r="TEZ10" s="1340"/>
      <c r="TFA10" s="1341"/>
      <c r="TFB10" s="1342"/>
      <c r="TFC10" s="1336"/>
      <c r="TFD10" s="1336"/>
      <c r="TFE10" s="1336"/>
      <c r="TFF10" s="1336"/>
      <c r="TFG10" s="1337"/>
      <c r="TFH10" s="1337"/>
      <c r="TFI10" s="1337"/>
      <c r="TFJ10" s="1337"/>
      <c r="TFK10" s="1337"/>
      <c r="TFL10" s="1338"/>
      <c r="TFM10" s="1339"/>
      <c r="TFN10" s="1340"/>
      <c r="TFO10" s="1340"/>
      <c r="TFP10" s="1340"/>
      <c r="TFQ10" s="1341"/>
      <c r="TFR10" s="1342"/>
      <c r="TFS10" s="1336"/>
      <c r="TFT10" s="1336"/>
      <c r="TFU10" s="1336"/>
      <c r="TFV10" s="1336"/>
      <c r="TFW10" s="1337"/>
      <c r="TFX10" s="1337"/>
      <c r="TFY10" s="1337"/>
      <c r="TFZ10" s="1337"/>
      <c r="TGA10" s="1337"/>
      <c r="TGB10" s="1338"/>
      <c r="TGC10" s="1339"/>
      <c r="TGD10" s="1340"/>
      <c r="TGE10" s="1340"/>
      <c r="TGF10" s="1340"/>
      <c r="TGG10" s="1341"/>
      <c r="TGH10" s="1342"/>
      <c r="TGI10" s="1336"/>
      <c r="TGJ10" s="1336"/>
      <c r="TGK10" s="1336"/>
      <c r="TGL10" s="1336"/>
      <c r="TGM10" s="1337"/>
      <c r="TGN10" s="1337"/>
      <c r="TGO10" s="1337"/>
      <c r="TGP10" s="1337"/>
      <c r="TGQ10" s="1337"/>
      <c r="TGR10" s="1338"/>
      <c r="TGS10" s="1339"/>
      <c r="TGT10" s="1340"/>
      <c r="TGU10" s="1340"/>
      <c r="TGV10" s="1340"/>
      <c r="TGW10" s="1341"/>
      <c r="TGX10" s="1342"/>
      <c r="TGY10" s="1336"/>
      <c r="TGZ10" s="1336"/>
      <c r="THA10" s="1336"/>
      <c r="THB10" s="1336"/>
      <c r="THC10" s="1337"/>
      <c r="THD10" s="1337"/>
      <c r="THE10" s="1337"/>
      <c r="THF10" s="1337"/>
      <c r="THG10" s="1337"/>
      <c r="THH10" s="1338"/>
      <c r="THI10" s="1339"/>
      <c r="THJ10" s="1340"/>
      <c r="THK10" s="1340"/>
      <c r="THL10" s="1340"/>
      <c r="THM10" s="1341"/>
      <c r="THN10" s="1342"/>
      <c r="THO10" s="1336"/>
      <c r="THP10" s="1336"/>
      <c r="THQ10" s="1336"/>
      <c r="THR10" s="1336"/>
      <c r="THS10" s="1337"/>
      <c r="THT10" s="1337"/>
      <c r="THU10" s="1337"/>
      <c r="THV10" s="1337"/>
      <c r="THW10" s="1337"/>
      <c r="THX10" s="1338"/>
      <c r="THY10" s="1339"/>
      <c r="THZ10" s="1340"/>
      <c r="TIA10" s="1340"/>
      <c r="TIB10" s="1340"/>
      <c r="TIC10" s="1341"/>
      <c r="TID10" s="1342"/>
      <c r="TIE10" s="1336"/>
      <c r="TIF10" s="1336"/>
      <c r="TIG10" s="1336"/>
      <c r="TIH10" s="1336"/>
      <c r="TII10" s="1337"/>
      <c r="TIJ10" s="1337"/>
      <c r="TIK10" s="1337"/>
      <c r="TIL10" s="1337"/>
      <c r="TIM10" s="1337"/>
      <c r="TIN10" s="1338"/>
      <c r="TIO10" s="1339"/>
      <c r="TIP10" s="1340"/>
      <c r="TIQ10" s="1340"/>
      <c r="TIR10" s="1340"/>
      <c r="TIS10" s="1341"/>
      <c r="TIT10" s="1342"/>
      <c r="TIU10" s="1336"/>
      <c r="TIV10" s="1336"/>
      <c r="TIW10" s="1336"/>
      <c r="TIX10" s="1336"/>
      <c r="TIY10" s="1337"/>
      <c r="TIZ10" s="1337"/>
      <c r="TJA10" s="1337"/>
      <c r="TJB10" s="1337"/>
      <c r="TJC10" s="1337"/>
      <c r="TJD10" s="1338"/>
      <c r="TJE10" s="1339"/>
      <c r="TJF10" s="1340"/>
      <c r="TJG10" s="1340"/>
      <c r="TJH10" s="1340"/>
      <c r="TJI10" s="1341"/>
      <c r="TJJ10" s="1342"/>
      <c r="TJK10" s="1336"/>
      <c r="TJL10" s="1336"/>
      <c r="TJM10" s="1336"/>
      <c r="TJN10" s="1336"/>
      <c r="TJO10" s="1337"/>
      <c r="TJP10" s="1337"/>
      <c r="TJQ10" s="1337"/>
      <c r="TJR10" s="1337"/>
      <c r="TJS10" s="1337"/>
      <c r="TJT10" s="1338"/>
      <c r="TJU10" s="1339"/>
      <c r="TJV10" s="1340"/>
      <c r="TJW10" s="1340"/>
      <c r="TJX10" s="1340"/>
      <c r="TJY10" s="1341"/>
      <c r="TJZ10" s="1342"/>
      <c r="TKA10" s="1336"/>
      <c r="TKB10" s="1336"/>
      <c r="TKC10" s="1336"/>
      <c r="TKD10" s="1336"/>
      <c r="TKE10" s="1337"/>
      <c r="TKF10" s="1337"/>
      <c r="TKG10" s="1337"/>
      <c r="TKH10" s="1337"/>
      <c r="TKI10" s="1337"/>
      <c r="TKJ10" s="1338"/>
      <c r="TKK10" s="1339"/>
      <c r="TKL10" s="1340"/>
      <c r="TKM10" s="1340"/>
      <c r="TKN10" s="1340"/>
      <c r="TKO10" s="1341"/>
      <c r="TKP10" s="1342"/>
      <c r="TKQ10" s="1336"/>
      <c r="TKR10" s="1336"/>
      <c r="TKS10" s="1336"/>
      <c r="TKT10" s="1336"/>
      <c r="TKU10" s="1337"/>
      <c r="TKV10" s="1337"/>
      <c r="TKW10" s="1337"/>
      <c r="TKX10" s="1337"/>
      <c r="TKY10" s="1337"/>
      <c r="TKZ10" s="1338"/>
      <c r="TLA10" s="1339"/>
      <c r="TLB10" s="1340"/>
      <c r="TLC10" s="1340"/>
      <c r="TLD10" s="1340"/>
      <c r="TLE10" s="1341"/>
      <c r="TLF10" s="1342"/>
      <c r="TLG10" s="1336"/>
      <c r="TLH10" s="1336"/>
      <c r="TLI10" s="1336"/>
      <c r="TLJ10" s="1336"/>
      <c r="TLK10" s="1337"/>
      <c r="TLL10" s="1337"/>
      <c r="TLM10" s="1337"/>
      <c r="TLN10" s="1337"/>
      <c r="TLO10" s="1337"/>
      <c r="TLP10" s="1338"/>
      <c r="TLQ10" s="1339"/>
      <c r="TLR10" s="1340"/>
      <c r="TLS10" s="1340"/>
      <c r="TLT10" s="1340"/>
      <c r="TLU10" s="1341"/>
      <c r="TLV10" s="1342"/>
      <c r="TLW10" s="1336"/>
      <c r="TLX10" s="1336"/>
      <c r="TLY10" s="1336"/>
      <c r="TLZ10" s="1336"/>
      <c r="TMA10" s="1337"/>
      <c r="TMB10" s="1337"/>
      <c r="TMC10" s="1337"/>
      <c r="TMD10" s="1337"/>
      <c r="TME10" s="1337"/>
      <c r="TMF10" s="1338"/>
      <c r="TMG10" s="1339"/>
      <c r="TMH10" s="1340"/>
      <c r="TMI10" s="1340"/>
      <c r="TMJ10" s="1340"/>
      <c r="TMK10" s="1341"/>
      <c r="TML10" s="1342"/>
      <c r="TMM10" s="1336"/>
      <c r="TMN10" s="1336"/>
      <c r="TMO10" s="1336"/>
      <c r="TMP10" s="1336"/>
      <c r="TMQ10" s="1337"/>
      <c r="TMR10" s="1337"/>
      <c r="TMS10" s="1337"/>
      <c r="TMT10" s="1337"/>
      <c r="TMU10" s="1337"/>
      <c r="TMV10" s="1338"/>
      <c r="TMW10" s="1339"/>
      <c r="TMX10" s="1340"/>
      <c r="TMY10" s="1340"/>
      <c r="TMZ10" s="1340"/>
      <c r="TNA10" s="1341"/>
      <c r="TNB10" s="1342"/>
      <c r="TNC10" s="1336"/>
      <c r="TND10" s="1336"/>
      <c r="TNE10" s="1336"/>
      <c r="TNF10" s="1336"/>
      <c r="TNG10" s="1337"/>
      <c r="TNH10" s="1337"/>
      <c r="TNI10" s="1337"/>
      <c r="TNJ10" s="1337"/>
      <c r="TNK10" s="1337"/>
      <c r="TNL10" s="1338"/>
      <c r="TNM10" s="1339"/>
      <c r="TNN10" s="1340"/>
      <c r="TNO10" s="1340"/>
      <c r="TNP10" s="1340"/>
      <c r="TNQ10" s="1341"/>
      <c r="TNR10" s="1342"/>
      <c r="TNS10" s="1336"/>
      <c r="TNT10" s="1336"/>
      <c r="TNU10" s="1336"/>
      <c r="TNV10" s="1336"/>
      <c r="TNW10" s="1337"/>
      <c r="TNX10" s="1337"/>
      <c r="TNY10" s="1337"/>
      <c r="TNZ10" s="1337"/>
      <c r="TOA10" s="1337"/>
      <c r="TOB10" s="1338"/>
      <c r="TOC10" s="1339"/>
      <c r="TOD10" s="1340"/>
      <c r="TOE10" s="1340"/>
      <c r="TOF10" s="1340"/>
      <c r="TOG10" s="1341"/>
      <c r="TOH10" s="1342"/>
      <c r="TOI10" s="1336"/>
      <c r="TOJ10" s="1336"/>
      <c r="TOK10" s="1336"/>
      <c r="TOL10" s="1336"/>
      <c r="TOM10" s="1337"/>
      <c r="TON10" s="1337"/>
      <c r="TOO10" s="1337"/>
      <c r="TOP10" s="1337"/>
      <c r="TOQ10" s="1337"/>
      <c r="TOR10" s="1338"/>
      <c r="TOS10" s="1339"/>
      <c r="TOT10" s="1340"/>
      <c r="TOU10" s="1340"/>
      <c r="TOV10" s="1340"/>
      <c r="TOW10" s="1341"/>
      <c r="TOX10" s="1342"/>
      <c r="TOY10" s="1336"/>
      <c r="TOZ10" s="1336"/>
      <c r="TPA10" s="1336"/>
      <c r="TPB10" s="1336"/>
      <c r="TPC10" s="1337"/>
      <c r="TPD10" s="1337"/>
      <c r="TPE10" s="1337"/>
      <c r="TPF10" s="1337"/>
      <c r="TPG10" s="1337"/>
      <c r="TPH10" s="1338"/>
      <c r="TPI10" s="1339"/>
      <c r="TPJ10" s="1340"/>
      <c r="TPK10" s="1340"/>
      <c r="TPL10" s="1340"/>
      <c r="TPM10" s="1341"/>
      <c r="TPN10" s="1342"/>
      <c r="TPO10" s="1336"/>
      <c r="TPP10" s="1336"/>
      <c r="TPQ10" s="1336"/>
      <c r="TPR10" s="1336"/>
      <c r="TPS10" s="1337"/>
      <c r="TPT10" s="1337"/>
      <c r="TPU10" s="1337"/>
      <c r="TPV10" s="1337"/>
      <c r="TPW10" s="1337"/>
      <c r="TPX10" s="1338"/>
      <c r="TPY10" s="1339"/>
      <c r="TPZ10" s="1340"/>
      <c r="TQA10" s="1340"/>
      <c r="TQB10" s="1340"/>
      <c r="TQC10" s="1341"/>
      <c r="TQD10" s="1342"/>
      <c r="TQE10" s="1336"/>
      <c r="TQF10" s="1336"/>
      <c r="TQG10" s="1336"/>
      <c r="TQH10" s="1336"/>
      <c r="TQI10" s="1337"/>
      <c r="TQJ10" s="1337"/>
      <c r="TQK10" s="1337"/>
      <c r="TQL10" s="1337"/>
      <c r="TQM10" s="1337"/>
      <c r="TQN10" s="1338"/>
      <c r="TQO10" s="1339"/>
      <c r="TQP10" s="1340"/>
      <c r="TQQ10" s="1340"/>
      <c r="TQR10" s="1340"/>
      <c r="TQS10" s="1341"/>
      <c r="TQT10" s="1342"/>
      <c r="TQU10" s="1336"/>
      <c r="TQV10" s="1336"/>
      <c r="TQW10" s="1336"/>
      <c r="TQX10" s="1336"/>
      <c r="TQY10" s="1337"/>
      <c r="TQZ10" s="1337"/>
      <c r="TRA10" s="1337"/>
      <c r="TRB10" s="1337"/>
      <c r="TRC10" s="1337"/>
      <c r="TRD10" s="1338"/>
      <c r="TRE10" s="1339"/>
      <c r="TRF10" s="1340"/>
      <c r="TRG10" s="1340"/>
      <c r="TRH10" s="1340"/>
      <c r="TRI10" s="1341"/>
      <c r="TRJ10" s="1342"/>
      <c r="TRK10" s="1336"/>
      <c r="TRL10" s="1336"/>
      <c r="TRM10" s="1336"/>
      <c r="TRN10" s="1336"/>
      <c r="TRO10" s="1337"/>
      <c r="TRP10" s="1337"/>
      <c r="TRQ10" s="1337"/>
      <c r="TRR10" s="1337"/>
      <c r="TRS10" s="1337"/>
      <c r="TRT10" s="1338"/>
      <c r="TRU10" s="1339"/>
      <c r="TRV10" s="1340"/>
      <c r="TRW10" s="1340"/>
      <c r="TRX10" s="1340"/>
      <c r="TRY10" s="1341"/>
      <c r="TRZ10" s="1342"/>
      <c r="TSA10" s="1336"/>
      <c r="TSB10" s="1336"/>
      <c r="TSC10" s="1336"/>
      <c r="TSD10" s="1336"/>
      <c r="TSE10" s="1337"/>
      <c r="TSF10" s="1337"/>
      <c r="TSG10" s="1337"/>
      <c r="TSH10" s="1337"/>
      <c r="TSI10" s="1337"/>
      <c r="TSJ10" s="1338"/>
      <c r="TSK10" s="1339"/>
      <c r="TSL10" s="1340"/>
      <c r="TSM10" s="1340"/>
      <c r="TSN10" s="1340"/>
      <c r="TSO10" s="1341"/>
      <c r="TSP10" s="1342"/>
      <c r="TSQ10" s="1336"/>
      <c r="TSR10" s="1336"/>
      <c r="TSS10" s="1336"/>
      <c r="TST10" s="1336"/>
      <c r="TSU10" s="1337"/>
      <c r="TSV10" s="1337"/>
      <c r="TSW10" s="1337"/>
      <c r="TSX10" s="1337"/>
      <c r="TSY10" s="1337"/>
      <c r="TSZ10" s="1338"/>
      <c r="TTA10" s="1339"/>
      <c r="TTB10" s="1340"/>
      <c r="TTC10" s="1340"/>
      <c r="TTD10" s="1340"/>
      <c r="TTE10" s="1341"/>
      <c r="TTF10" s="1342"/>
      <c r="TTG10" s="1336"/>
      <c r="TTH10" s="1336"/>
      <c r="TTI10" s="1336"/>
      <c r="TTJ10" s="1336"/>
      <c r="TTK10" s="1337"/>
      <c r="TTL10" s="1337"/>
      <c r="TTM10" s="1337"/>
      <c r="TTN10" s="1337"/>
      <c r="TTO10" s="1337"/>
      <c r="TTP10" s="1338"/>
      <c r="TTQ10" s="1339"/>
      <c r="TTR10" s="1340"/>
      <c r="TTS10" s="1340"/>
      <c r="TTT10" s="1340"/>
      <c r="TTU10" s="1341"/>
      <c r="TTV10" s="1342"/>
      <c r="TTW10" s="1336"/>
      <c r="TTX10" s="1336"/>
      <c r="TTY10" s="1336"/>
      <c r="TTZ10" s="1336"/>
      <c r="TUA10" s="1337"/>
      <c r="TUB10" s="1337"/>
      <c r="TUC10" s="1337"/>
      <c r="TUD10" s="1337"/>
      <c r="TUE10" s="1337"/>
      <c r="TUF10" s="1338"/>
      <c r="TUG10" s="1339"/>
      <c r="TUH10" s="1340"/>
      <c r="TUI10" s="1340"/>
      <c r="TUJ10" s="1340"/>
      <c r="TUK10" s="1341"/>
      <c r="TUL10" s="1342"/>
      <c r="TUM10" s="1336"/>
      <c r="TUN10" s="1336"/>
      <c r="TUO10" s="1336"/>
      <c r="TUP10" s="1336"/>
      <c r="TUQ10" s="1337"/>
      <c r="TUR10" s="1337"/>
      <c r="TUS10" s="1337"/>
      <c r="TUT10" s="1337"/>
      <c r="TUU10" s="1337"/>
      <c r="TUV10" s="1338"/>
      <c r="TUW10" s="1339"/>
      <c r="TUX10" s="1340"/>
      <c r="TUY10" s="1340"/>
      <c r="TUZ10" s="1340"/>
      <c r="TVA10" s="1341"/>
      <c r="TVB10" s="1342"/>
      <c r="TVC10" s="1336"/>
      <c r="TVD10" s="1336"/>
      <c r="TVE10" s="1336"/>
      <c r="TVF10" s="1336"/>
      <c r="TVG10" s="1337"/>
      <c r="TVH10" s="1337"/>
      <c r="TVI10" s="1337"/>
      <c r="TVJ10" s="1337"/>
      <c r="TVK10" s="1337"/>
      <c r="TVL10" s="1338"/>
      <c r="TVM10" s="1339"/>
      <c r="TVN10" s="1340"/>
      <c r="TVO10" s="1340"/>
      <c r="TVP10" s="1340"/>
      <c r="TVQ10" s="1341"/>
      <c r="TVR10" s="1342"/>
      <c r="TVS10" s="1336"/>
      <c r="TVT10" s="1336"/>
      <c r="TVU10" s="1336"/>
      <c r="TVV10" s="1336"/>
      <c r="TVW10" s="1337"/>
      <c r="TVX10" s="1337"/>
      <c r="TVY10" s="1337"/>
      <c r="TVZ10" s="1337"/>
      <c r="TWA10" s="1337"/>
      <c r="TWB10" s="1338"/>
      <c r="TWC10" s="1339"/>
      <c r="TWD10" s="1340"/>
      <c r="TWE10" s="1340"/>
      <c r="TWF10" s="1340"/>
      <c r="TWG10" s="1341"/>
      <c r="TWH10" s="1342"/>
      <c r="TWI10" s="1336"/>
      <c r="TWJ10" s="1336"/>
      <c r="TWK10" s="1336"/>
      <c r="TWL10" s="1336"/>
      <c r="TWM10" s="1337"/>
      <c r="TWN10" s="1337"/>
      <c r="TWO10" s="1337"/>
      <c r="TWP10" s="1337"/>
      <c r="TWQ10" s="1337"/>
      <c r="TWR10" s="1338"/>
      <c r="TWS10" s="1339"/>
      <c r="TWT10" s="1340"/>
      <c r="TWU10" s="1340"/>
      <c r="TWV10" s="1340"/>
      <c r="TWW10" s="1341"/>
      <c r="TWX10" s="1342"/>
      <c r="TWY10" s="1336"/>
      <c r="TWZ10" s="1336"/>
      <c r="TXA10" s="1336"/>
      <c r="TXB10" s="1336"/>
      <c r="TXC10" s="1337"/>
      <c r="TXD10" s="1337"/>
      <c r="TXE10" s="1337"/>
      <c r="TXF10" s="1337"/>
      <c r="TXG10" s="1337"/>
      <c r="TXH10" s="1338"/>
      <c r="TXI10" s="1339"/>
      <c r="TXJ10" s="1340"/>
      <c r="TXK10" s="1340"/>
      <c r="TXL10" s="1340"/>
      <c r="TXM10" s="1341"/>
      <c r="TXN10" s="1342"/>
      <c r="TXO10" s="1336"/>
      <c r="TXP10" s="1336"/>
      <c r="TXQ10" s="1336"/>
      <c r="TXR10" s="1336"/>
      <c r="TXS10" s="1337"/>
      <c r="TXT10" s="1337"/>
      <c r="TXU10" s="1337"/>
      <c r="TXV10" s="1337"/>
      <c r="TXW10" s="1337"/>
      <c r="TXX10" s="1338"/>
      <c r="TXY10" s="1339"/>
      <c r="TXZ10" s="1340"/>
      <c r="TYA10" s="1340"/>
      <c r="TYB10" s="1340"/>
      <c r="TYC10" s="1341"/>
      <c r="TYD10" s="1342"/>
      <c r="TYE10" s="1336"/>
      <c r="TYF10" s="1336"/>
      <c r="TYG10" s="1336"/>
      <c r="TYH10" s="1336"/>
      <c r="TYI10" s="1337"/>
      <c r="TYJ10" s="1337"/>
      <c r="TYK10" s="1337"/>
      <c r="TYL10" s="1337"/>
      <c r="TYM10" s="1337"/>
      <c r="TYN10" s="1338"/>
      <c r="TYO10" s="1339"/>
      <c r="TYP10" s="1340"/>
      <c r="TYQ10" s="1340"/>
      <c r="TYR10" s="1340"/>
      <c r="TYS10" s="1341"/>
      <c r="TYT10" s="1342"/>
      <c r="TYU10" s="1336"/>
      <c r="TYV10" s="1336"/>
      <c r="TYW10" s="1336"/>
      <c r="TYX10" s="1336"/>
      <c r="TYY10" s="1337"/>
      <c r="TYZ10" s="1337"/>
      <c r="TZA10" s="1337"/>
      <c r="TZB10" s="1337"/>
      <c r="TZC10" s="1337"/>
      <c r="TZD10" s="1338"/>
      <c r="TZE10" s="1339"/>
      <c r="TZF10" s="1340"/>
      <c r="TZG10" s="1340"/>
      <c r="TZH10" s="1340"/>
      <c r="TZI10" s="1341"/>
      <c r="TZJ10" s="1342"/>
      <c r="TZK10" s="1336"/>
      <c r="TZL10" s="1336"/>
      <c r="TZM10" s="1336"/>
      <c r="TZN10" s="1336"/>
      <c r="TZO10" s="1337"/>
      <c r="TZP10" s="1337"/>
      <c r="TZQ10" s="1337"/>
      <c r="TZR10" s="1337"/>
      <c r="TZS10" s="1337"/>
      <c r="TZT10" s="1338"/>
      <c r="TZU10" s="1339"/>
      <c r="TZV10" s="1340"/>
      <c r="TZW10" s="1340"/>
      <c r="TZX10" s="1340"/>
      <c r="TZY10" s="1341"/>
      <c r="TZZ10" s="1342"/>
      <c r="UAA10" s="1336"/>
      <c r="UAB10" s="1336"/>
      <c r="UAC10" s="1336"/>
      <c r="UAD10" s="1336"/>
      <c r="UAE10" s="1337"/>
      <c r="UAF10" s="1337"/>
      <c r="UAG10" s="1337"/>
      <c r="UAH10" s="1337"/>
      <c r="UAI10" s="1337"/>
      <c r="UAJ10" s="1338"/>
      <c r="UAK10" s="1339"/>
      <c r="UAL10" s="1340"/>
      <c r="UAM10" s="1340"/>
      <c r="UAN10" s="1340"/>
      <c r="UAO10" s="1341"/>
      <c r="UAP10" s="1342"/>
      <c r="UAQ10" s="1336"/>
      <c r="UAR10" s="1336"/>
      <c r="UAS10" s="1336"/>
      <c r="UAT10" s="1336"/>
      <c r="UAU10" s="1337"/>
      <c r="UAV10" s="1337"/>
      <c r="UAW10" s="1337"/>
      <c r="UAX10" s="1337"/>
      <c r="UAY10" s="1337"/>
      <c r="UAZ10" s="1338"/>
      <c r="UBA10" s="1339"/>
      <c r="UBB10" s="1340"/>
      <c r="UBC10" s="1340"/>
      <c r="UBD10" s="1340"/>
      <c r="UBE10" s="1341"/>
      <c r="UBF10" s="1342"/>
      <c r="UBG10" s="1336"/>
      <c r="UBH10" s="1336"/>
      <c r="UBI10" s="1336"/>
      <c r="UBJ10" s="1336"/>
      <c r="UBK10" s="1337"/>
      <c r="UBL10" s="1337"/>
      <c r="UBM10" s="1337"/>
      <c r="UBN10" s="1337"/>
      <c r="UBO10" s="1337"/>
      <c r="UBP10" s="1338"/>
      <c r="UBQ10" s="1339"/>
      <c r="UBR10" s="1340"/>
      <c r="UBS10" s="1340"/>
      <c r="UBT10" s="1340"/>
      <c r="UBU10" s="1341"/>
      <c r="UBV10" s="1342"/>
      <c r="UBW10" s="1336"/>
      <c r="UBX10" s="1336"/>
      <c r="UBY10" s="1336"/>
      <c r="UBZ10" s="1336"/>
      <c r="UCA10" s="1337"/>
      <c r="UCB10" s="1337"/>
      <c r="UCC10" s="1337"/>
      <c r="UCD10" s="1337"/>
      <c r="UCE10" s="1337"/>
      <c r="UCF10" s="1338"/>
      <c r="UCG10" s="1339"/>
      <c r="UCH10" s="1340"/>
      <c r="UCI10" s="1340"/>
      <c r="UCJ10" s="1340"/>
      <c r="UCK10" s="1341"/>
      <c r="UCL10" s="1342"/>
      <c r="UCM10" s="1336"/>
      <c r="UCN10" s="1336"/>
      <c r="UCO10" s="1336"/>
      <c r="UCP10" s="1336"/>
      <c r="UCQ10" s="1337"/>
      <c r="UCR10" s="1337"/>
      <c r="UCS10" s="1337"/>
      <c r="UCT10" s="1337"/>
      <c r="UCU10" s="1337"/>
      <c r="UCV10" s="1338"/>
      <c r="UCW10" s="1339"/>
      <c r="UCX10" s="1340"/>
      <c r="UCY10" s="1340"/>
      <c r="UCZ10" s="1340"/>
      <c r="UDA10" s="1341"/>
      <c r="UDB10" s="1342"/>
      <c r="UDC10" s="1336"/>
      <c r="UDD10" s="1336"/>
      <c r="UDE10" s="1336"/>
      <c r="UDF10" s="1336"/>
      <c r="UDG10" s="1337"/>
      <c r="UDH10" s="1337"/>
      <c r="UDI10" s="1337"/>
      <c r="UDJ10" s="1337"/>
      <c r="UDK10" s="1337"/>
      <c r="UDL10" s="1338"/>
      <c r="UDM10" s="1339"/>
      <c r="UDN10" s="1340"/>
      <c r="UDO10" s="1340"/>
      <c r="UDP10" s="1340"/>
      <c r="UDQ10" s="1341"/>
      <c r="UDR10" s="1342"/>
      <c r="UDS10" s="1336"/>
      <c r="UDT10" s="1336"/>
      <c r="UDU10" s="1336"/>
      <c r="UDV10" s="1336"/>
      <c r="UDW10" s="1337"/>
      <c r="UDX10" s="1337"/>
      <c r="UDY10" s="1337"/>
      <c r="UDZ10" s="1337"/>
      <c r="UEA10" s="1337"/>
      <c r="UEB10" s="1338"/>
      <c r="UEC10" s="1339"/>
      <c r="UED10" s="1340"/>
      <c r="UEE10" s="1340"/>
      <c r="UEF10" s="1340"/>
      <c r="UEG10" s="1341"/>
      <c r="UEH10" s="1342"/>
      <c r="UEI10" s="1336"/>
      <c r="UEJ10" s="1336"/>
      <c r="UEK10" s="1336"/>
      <c r="UEL10" s="1336"/>
      <c r="UEM10" s="1337"/>
      <c r="UEN10" s="1337"/>
      <c r="UEO10" s="1337"/>
      <c r="UEP10" s="1337"/>
      <c r="UEQ10" s="1337"/>
      <c r="UER10" s="1338"/>
      <c r="UES10" s="1339"/>
      <c r="UET10" s="1340"/>
      <c r="UEU10" s="1340"/>
      <c r="UEV10" s="1340"/>
      <c r="UEW10" s="1341"/>
      <c r="UEX10" s="1342"/>
      <c r="UEY10" s="1336"/>
      <c r="UEZ10" s="1336"/>
      <c r="UFA10" s="1336"/>
      <c r="UFB10" s="1336"/>
      <c r="UFC10" s="1337"/>
      <c r="UFD10" s="1337"/>
      <c r="UFE10" s="1337"/>
      <c r="UFF10" s="1337"/>
      <c r="UFG10" s="1337"/>
      <c r="UFH10" s="1338"/>
      <c r="UFI10" s="1339"/>
      <c r="UFJ10" s="1340"/>
      <c r="UFK10" s="1340"/>
      <c r="UFL10" s="1340"/>
      <c r="UFM10" s="1341"/>
      <c r="UFN10" s="1342"/>
      <c r="UFO10" s="1336"/>
      <c r="UFP10" s="1336"/>
      <c r="UFQ10" s="1336"/>
      <c r="UFR10" s="1336"/>
      <c r="UFS10" s="1337"/>
      <c r="UFT10" s="1337"/>
      <c r="UFU10" s="1337"/>
      <c r="UFV10" s="1337"/>
      <c r="UFW10" s="1337"/>
      <c r="UFX10" s="1338"/>
      <c r="UFY10" s="1339"/>
      <c r="UFZ10" s="1340"/>
      <c r="UGA10" s="1340"/>
      <c r="UGB10" s="1340"/>
      <c r="UGC10" s="1341"/>
      <c r="UGD10" s="1342"/>
      <c r="UGE10" s="1336"/>
      <c r="UGF10" s="1336"/>
      <c r="UGG10" s="1336"/>
      <c r="UGH10" s="1336"/>
      <c r="UGI10" s="1337"/>
      <c r="UGJ10" s="1337"/>
      <c r="UGK10" s="1337"/>
      <c r="UGL10" s="1337"/>
      <c r="UGM10" s="1337"/>
      <c r="UGN10" s="1338"/>
      <c r="UGO10" s="1339"/>
      <c r="UGP10" s="1340"/>
      <c r="UGQ10" s="1340"/>
      <c r="UGR10" s="1340"/>
      <c r="UGS10" s="1341"/>
      <c r="UGT10" s="1342"/>
      <c r="UGU10" s="1336"/>
      <c r="UGV10" s="1336"/>
      <c r="UGW10" s="1336"/>
      <c r="UGX10" s="1336"/>
      <c r="UGY10" s="1337"/>
      <c r="UGZ10" s="1337"/>
      <c r="UHA10" s="1337"/>
      <c r="UHB10" s="1337"/>
      <c r="UHC10" s="1337"/>
      <c r="UHD10" s="1338"/>
      <c r="UHE10" s="1339"/>
      <c r="UHF10" s="1340"/>
      <c r="UHG10" s="1340"/>
      <c r="UHH10" s="1340"/>
      <c r="UHI10" s="1341"/>
      <c r="UHJ10" s="1342"/>
      <c r="UHK10" s="1336"/>
      <c r="UHL10" s="1336"/>
      <c r="UHM10" s="1336"/>
      <c r="UHN10" s="1336"/>
      <c r="UHO10" s="1337"/>
      <c r="UHP10" s="1337"/>
      <c r="UHQ10" s="1337"/>
      <c r="UHR10" s="1337"/>
      <c r="UHS10" s="1337"/>
      <c r="UHT10" s="1338"/>
      <c r="UHU10" s="1339"/>
      <c r="UHV10" s="1340"/>
      <c r="UHW10" s="1340"/>
      <c r="UHX10" s="1340"/>
      <c r="UHY10" s="1341"/>
      <c r="UHZ10" s="1342"/>
      <c r="UIA10" s="1336"/>
      <c r="UIB10" s="1336"/>
      <c r="UIC10" s="1336"/>
      <c r="UID10" s="1336"/>
      <c r="UIE10" s="1337"/>
      <c r="UIF10" s="1337"/>
      <c r="UIG10" s="1337"/>
      <c r="UIH10" s="1337"/>
      <c r="UII10" s="1337"/>
      <c r="UIJ10" s="1338"/>
      <c r="UIK10" s="1339"/>
      <c r="UIL10" s="1340"/>
      <c r="UIM10" s="1340"/>
      <c r="UIN10" s="1340"/>
      <c r="UIO10" s="1341"/>
      <c r="UIP10" s="1342"/>
      <c r="UIQ10" s="1336"/>
      <c r="UIR10" s="1336"/>
      <c r="UIS10" s="1336"/>
      <c r="UIT10" s="1336"/>
      <c r="UIU10" s="1337"/>
      <c r="UIV10" s="1337"/>
      <c r="UIW10" s="1337"/>
      <c r="UIX10" s="1337"/>
      <c r="UIY10" s="1337"/>
      <c r="UIZ10" s="1338"/>
      <c r="UJA10" s="1339"/>
      <c r="UJB10" s="1340"/>
      <c r="UJC10" s="1340"/>
      <c r="UJD10" s="1340"/>
      <c r="UJE10" s="1341"/>
      <c r="UJF10" s="1342"/>
      <c r="UJG10" s="1336"/>
      <c r="UJH10" s="1336"/>
      <c r="UJI10" s="1336"/>
      <c r="UJJ10" s="1336"/>
      <c r="UJK10" s="1337"/>
      <c r="UJL10" s="1337"/>
      <c r="UJM10" s="1337"/>
      <c r="UJN10" s="1337"/>
      <c r="UJO10" s="1337"/>
      <c r="UJP10" s="1338"/>
      <c r="UJQ10" s="1339"/>
      <c r="UJR10" s="1340"/>
      <c r="UJS10" s="1340"/>
      <c r="UJT10" s="1340"/>
      <c r="UJU10" s="1341"/>
      <c r="UJV10" s="1342"/>
      <c r="UJW10" s="1336"/>
      <c r="UJX10" s="1336"/>
      <c r="UJY10" s="1336"/>
      <c r="UJZ10" s="1336"/>
      <c r="UKA10" s="1337"/>
      <c r="UKB10" s="1337"/>
      <c r="UKC10" s="1337"/>
      <c r="UKD10" s="1337"/>
      <c r="UKE10" s="1337"/>
      <c r="UKF10" s="1338"/>
      <c r="UKG10" s="1339"/>
      <c r="UKH10" s="1340"/>
      <c r="UKI10" s="1340"/>
      <c r="UKJ10" s="1340"/>
      <c r="UKK10" s="1341"/>
      <c r="UKL10" s="1342"/>
      <c r="UKM10" s="1336"/>
      <c r="UKN10" s="1336"/>
      <c r="UKO10" s="1336"/>
      <c r="UKP10" s="1336"/>
      <c r="UKQ10" s="1337"/>
      <c r="UKR10" s="1337"/>
      <c r="UKS10" s="1337"/>
      <c r="UKT10" s="1337"/>
      <c r="UKU10" s="1337"/>
      <c r="UKV10" s="1338"/>
      <c r="UKW10" s="1339"/>
      <c r="UKX10" s="1340"/>
      <c r="UKY10" s="1340"/>
      <c r="UKZ10" s="1340"/>
      <c r="ULA10" s="1341"/>
      <c r="ULB10" s="1342"/>
      <c r="ULC10" s="1336"/>
      <c r="ULD10" s="1336"/>
      <c r="ULE10" s="1336"/>
      <c r="ULF10" s="1336"/>
      <c r="ULG10" s="1337"/>
      <c r="ULH10" s="1337"/>
      <c r="ULI10" s="1337"/>
      <c r="ULJ10" s="1337"/>
      <c r="ULK10" s="1337"/>
      <c r="ULL10" s="1338"/>
      <c r="ULM10" s="1339"/>
      <c r="ULN10" s="1340"/>
      <c r="ULO10" s="1340"/>
      <c r="ULP10" s="1340"/>
      <c r="ULQ10" s="1341"/>
      <c r="ULR10" s="1342"/>
      <c r="ULS10" s="1336"/>
      <c r="ULT10" s="1336"/>
      <c r="ULU10" s="1336"/>
      <c r="ULV10" s="1336"/>
      <c r="ULW10" s="1337"/>
      <c r="ULX10" s="1337"/>
      <c r="ULY10" s="1337"/>
      <c r="ULZ10" s="1337"/>
      <c r="UMA10" s="1337"/>
      <c r="UMB10" s="1338"/>
      <c r="UMC10" s="1339"/>
      <c r="UMD10" s="1340"/>
      <c r="UME10" s="1340"/>
      <c r="UMF10" s="1340"/>
      <c r="UMG10" s="1341"/>
      <c r="UMH10" s="1342"/>
      <c r="UMI10" s="1336"/>
      <c r="UMJ10" s="1336"/>
      <c r="UMK10" s="1336"/>
      <c r="UML10" s="1336"/>
      <c r="UMM10" s="1337"/>
      <c r="UMN10" s="1337"/>
      <c r="UMO10" s="1337"/>
      <c r="UMP10" s="1337"/>
      <c r="UMQ10" s="1337"/>
      <c r="UMR10" s="1338"/>
      <c r="UMS10" s="1339"/>
      <c r="UMT10" s="1340"/>
      <c r="UMU10" s="1340"/>
      <c r="UMV10" s="1340"/>
      <c r="UMW10" s="1341"/>
      <c r="UMX10" s="1342"/>
      <c r="UMY10" s="1336"/>
      <c r="UMZ10" s="1336"/>
      <c r="UNA10" s="1336"/>
      <c r="UNB10" s="1336"/>
      <c r="UNC10" s="1337"/>
      <c r="UND10" s="1337"/>
      <c r="UNE10" s="1337"/>
      <c r="UNF10" s="1337"/>
      <c r="UNG10" s="1337"/>
      <c r="UNH10" s="1338"/>
      <c r="UNI10" s="1339"/>
      <c r="UNJ10" s="1340"/>
      <c r="UNK10" s="1340"/>
      <c r="UNL10" s="1340"/>
      <c r="UNM10" s="1341"/>
      <c r="UNN10" s="1342"/>
      <c r="UNO10" s="1336"/>
      <c r="UNP10" s="1336"/>
      <c r="UNQ10" s="1336"/>
      <c r="UNR10" s="1336"/>
      <c r="UNS10" s="1337"/>
      <c r="UNT10" s="1337"/>
      <c r="UNU10" s="1337"/>
      <c r="UNV10" s="1337"/>
      <c r="UNW10" s="1337"/>
      <c r="UNX10" s="1338"/>
      <c r="UNY10" s="1339"/>
      <c r="UNZ10" s="1340"/>
      <c r="UOA10" s="1340"/>
      <c r="UOB10" s="1340"/>
      <c r="UOC10" s="1341"/>
      <c r="UOD10" s="1342"/>
      <c r="UOE10" s="1336"/>
      <c r="UOF10" s="1336"/>
      <c r="UOG10" s="1336"/>
      <c r="UOH10" s="1336"/>
      <c r="UOI10" s="1337"/>
      <c r="UOJ10" s="1337"/>
      <c r="UOK10" s="1337"/>
      <c r="UOL10" s="1337"/>
      <c r="UOM10" s="1337"/>
      <c r="UON10" s="1338"/>
      <c r="UOO10" s="1339"/>
      <c r="UOP10" s="1340"/>
      <c r="UOQ10" s="1340"/>
      <c r="UOR10" s="1340"/>
      <c r="UOS10" s="1341"/>
      <c r="UOT10" s="1342"/>
      <c r="UOU10" s="1336"/>
      <c r="UOV10" s="1336"/>
      <c r="UOW10" s="1336"/>
      <c r="UOX10" s="1336"/>
      <c r="UOY10" s="1337"/>
      <c r="UOZ10" s="1337"/>
      <c r="UPA10" s="1337"/>
      <c r="UPB10" s="1337"/>
      <c r="UPC10" s="1337"/>
      <c r="UPD10" s="1338"/>
      <c r="UPE10" s="1339"/>
      <c r="UPF10" s="1340"/>
      <c r="UPG10" s="1340"/>
      <c r="UPH10" s="1340"/>
      <c r="UPI10" s="1341"/>
      <c r="UPJ10" s="1342"/>
      <c r="UPK10" s="1336"/>
      <c r="UPL10" s="1336"/>
      <c r="UPM10" s="1336"/>
      <c r="UPN10" s="1336"/>
      <c r="UPO10" s="1337"/>
      <c r="UPP10" s="1337"/>
      <c r="UPQ10" s="1337"/>
      <c r="UPR10" s="1337"/>
      <c r="UPS10" s="1337"/>
      <c r="UPT10" s="1338"/>
      <c r="UPU10" s="1339"/>
      <c r="UPV10" s="1340"/>
      <c r="UPW10" s="1340"/>
      <c r="UPX10" s="1340"/>
      <c r="UPY10" s="1341"/>
      <c r="UPZ10" s="1342"/>
      <c r="UQA10" s="1336"/>
      <c r="UQB10" s="1336"/>
      <c r="UQC10" s="1336"/>
      <c r="UQD10" s="1336"/>
      <c r="UQE10" s="1337"/>
      <c r="UQF10" s="1337"/>
      <c r="UQG10" s="1337"/>
      <c r="UQH10" s="1337"/>
      <c r="UQI10" s="1337"/>
      <c r="UQJ10" s="1338"/>
      <c r="UQK10" s="1339"/>
      <c r="UQL10" s="1340"/>
      <c r="UQM10" s="1340"/>
      <c r="UQN10" s="1340"/>
      <c r="UQO10" s="1341"/>
      <c r="UQP10" s="1342"/>
      <c r="UQQ10" s="1336"/>
      <c r="UQR10" s="1336"/>
      <c r="UQS10" s="1336"/>
      <c r="UQT10" s="1336"/>
      <c r="UQU10" s="1337"/>
      <c r="UQV10" s="1337"/>
      <c r="UQW10" s="1337"/>
      <c r="UQX10" s="1337"/>
      <c r="UQY10" s="1337"/>
      <c r="UQZ10" s="1338"/>
      <c r="URA10" s="1339"/>
      <c r="URB10" s="1340"/>
      <c r="URC10" s="1340"/>
      <c r="URD10" s="1340"/>
      <c r="URE10" s="1341"/>
      <c r="URF10" s="1342"/>
      <c r="URG10" s="1336"/>
      <c r="URH10" s="1336"/>
      <c r="URI10" s="1336"/>
      <c r="URJ10" s="1336"/>
      <c r="URK10" s="1337"/>
      <c r="URL10" s="1337"/>
      <c r="URM10" s="1337"/>
      <c r="URN10" s="1337"/>
      <c r="URO10" s="1337"/>
      <c r="URP10" s="1338"/>
      <c r="URQ10" s="1339"/>
      <c r="URR10" s="1340"/>
      <c r="URS10" s="1340"/>
      <c r="URT10" s="1340"/>
      <c r="URU10" s="1341"/>
      <c r="URV10" s="1342"/>
      <c r="URW10" s="1336"/>
      <c r="URX10" s="1336"/>
      <c r="URY10" s="1336"/>
      <c r="URZ10" s="1336"/>
      <c r="USA10" s="1337"/>
      <c r="USB10" s="1337"/>
      <c r="USC10" s="1337"/>
      <c r="USD10" s="1337"/>
      <c r="USE10" s="1337"/>
      <c r="USF10" s="1338"/>
      <c r="USG10" s="1339"/>
      <c r="USH10" s="1340"/>
      <c r="USI10" s="1340"/>
      <c r="USJ10" s="1340"/>
      <c r="USK10" s="1341"/>
      <c r="USL10" s="1342"/>
      <c r="USM10" s="1336"/>
      <c r="USN10" s="1336"/>
      <c r="USO10" s="1336"/>
      <c r="USP10" s="1336"/>
      <c r="USQ10" s="1337"/>
      <c r="USR10" s="1337"/>
      <c r="USS10" s="1337"/>
      <c r="UST10" s="1337"/>
      <c r="USU10" s="1337"/>
      <c r="USV10" s="1338"/>
      <c r="USW10" s="1339"/>
      <c r="USX10" s="1340"/>
      <c r="USY10" s="1340"/>
      <c r="USZ10" s="1340"/>
      <c r="UTA10" s="1341"/>
      <c r="UTB10" s="1342"/>
      <c r="UTC10" s="1336"/>
      <c r="UTD10" s="1336"/>
      <c r="UTE10" s="1336"/>
      <c r="UTF10" s="1336"/>
      <c r="UTG10" s="1337"/>
      <c r="UTH10" s="1337"/>
      <c r="UTI10" s="1337"/>
      <c r="UTJ10" s="1337"/>
      <c r="UTK10" s="1337"/>
      <c r="UTL10" s="1338"/>
      <c r="UTM10" s="1339"/>
      <c r="UTN10" s="1340"/>
      <c r="UTO10" s="1340"/>
      <c r="UTP10" s="1340"/>
      <c r="UTQ10" s="1341"/>
      <c r="UTR10" s="1342"/>
      <c r="UTS10" s="1336"/>
      <c r="UTT10" s="1336"/>
      <c r="UTU10" s="1336"/>
      <c r="UTV10" s="1336"/>
      <c r="UTW10" s="1337"/>
      <c r="UTX10" s="1337"/>
      <c r="UTY10" s="1337"/>
      <c r="UTZ10" s="1337"/>
      <c r="UUA10" s="1337"/>
      <c r="UUB10" s="1338"/>
      <c r="UUC10" s="1339"/>
      <c r="UUD10" s="1340"/>
      <c r="UUE10" s="1340"/>
      <c r="UUF10" s="1340"/>
      <c r="UUG10" s="1341"/>
      <c r="UUH10" s="1342"/>
      <c r="UUI10" s="1336"/>
      <c r="UUJ10" s="1336"/>
      <c r="UUK10" s="1336"/>
      <c r="UUL10" s="1336"/>
      <c r="UUM10" s="1337"/>
      <c r="UUN10" s="1337"/>
      <c r="UUO10" s="1337"/>
      <c r="UUP10" s="1337"/>
      <c r="UUQ10" s="1337"/>
      <c r="UUR10" s="1338"/>
      <c r="UUS10" s="1339"/>
      <c r="UUT10" s="1340"/>
      <c r="UUU10" s="1340"/>
      <c r="UUV10" s="1340"/>
      <c r="UUW10" s="1341"/>
      <c r="UUX10" s="1342"/>
      <c r="UUY10" s="1336"/>
      <c r="UUZ10" s="1336"/>
      <c r="UVA10" s="1336"/>
      <c r="UVB10" s="1336"/>
      <c r="UVC10" s="1337"/>
      <c r="UVD10" s="1337"/>
      <c r="UVE10" s="1337"/>
      <c r="UVF10" s="1337"/>
      <c r="UVG10" s="1337"/>
      <c r="UVH10" s="1338"/>
      <c r="UVI10" s="1339"/>
      <c r="UVJ10" s="1340"/>
      <c r="UVK10" s="1340"/>
      <c r="UVL10" s="1340"/>
      <c r="UVM10" s="1341"/>
      <c r="UVN10" s="1342"/>
      <c r="UVO10" s="1336"/>
      <c r="UVP10" s="1336"/>
      <c r="UVQ10" s="1336"/>
      <c r="UVR10" s="1336"/>
      <c r="UVS10" s="1337"/>
      <c r="UVT10" s="1337"/>
      <c r="UVU10" s="1337"/>
      <c r="UVV10" s="1337"/>
      <c r="UVW10" s="1337"/>
      <c r="UVX10" s="1338"/>
      <c r="UVY10" s="1339"/>
      <c r="UVZ10" s="1340"/>
      <c r="UWA10" s="1340"/>
      <c r="UWB10" s="1340"/>
      <c r="UWC10" s="1341"/>
      <c r="UWD10" s="1342"/>
      <c r="UWE10" s="1336"/>
      <c r="UWF10" s="1336"/>
      <c r="UWG10" s="1336"/>
      <c r="UWH10" s="1336"/>
      <c r="UWI10" s="1337"/>
      <c r="UWJ10" s="1337"/>
      <c r="UWK10" s="1337"/>
      <c r="UWL10" s="1337"/>
      <c r="UWM10" s="1337"/>
      <c r="UWN10" s="1338"/>
      <c r="UWO10" s="1339"/>
      <c r="UWP10" s="1340"/>
      <c r="UWQ10" s="1340"/>
      <c r="UWR10" s="1340"/>
      <c r="UWS10" s="1341"/>
      <c r="UWT10" s="1342"/>
      <c r="UWU10" s="1336"/>
      <c r="UWV10" s="1336"/>
      <c r="UWW10" s="1336"/>
      <c r="UWX10" s="1336"/>
      <c r="UWY10" s="1337"/>
      <c r="UWZ10" s="1337"/>
      <c r="UXA10" s="1337"/>
      <c r="UXB10" s="1337"/>
      <c r="UXC10" s="1337"/>
      <c r="UXD10" s="1338"/>
      <c r="UXE10" s="1339"/>
      <c r="UXF10" s="1340"/>
      <c r="UXG10" s="1340"/>
      <c r="UXH10" s="1340"/>
      <c r="UXI10" s="1341"/>
      <c r="UXJ10" s="1342"/>
      <c r="UXK10" s="1336"/>
      <c r="UXL10" s="1336"/>
      <c r="UXM10" s="1336"/>
      <c r="UXN10" s="1336"/>
      <c r="UXO10" s="1337"/>
      <c r="UXP10" s="1337"/>
      <c r="UXQ10" s="1337"/>
      <c r="UXR10" s="1337"/>
      <c r="UXS10" s="1337"/>
      <c r="UXT10" s="1338"/>
      <c r="UXU10" s="1339"/>
      <c r="UXV10" s="1340"/>
      <c r="UXW10" s="1340"/>
      <c r="UXX10" s="1340"/>
      <c r="UXY10" s="1341"/>
      <c r="UXZ10" s="1342"/>
      <c r="UYA10" s="1336"/>
      <c r="UYB10" s="1336"/>
      <c r="UYC10" s="1336"/>
      <c r="UYD10" s="1336"/>
      <c r="UYE10" s="1337"/>
      <c r="UYF10" s="1337"/>
      <c r="UYG10" s="1337"/>
      <c r="UYH10" s="1337"/>
      <c r="UYI10" s="1337"/>
      <c r="UYJ10" s="1338"/>
      <c r="UYK10" s="1339"/>
      <c r="UYL10" s="1340"/>
      <c r="UYM10" s="1340"/>
      <c r="UYN10" s="1340"/>
      <c r="UYO10" s="1341"/>
      <c r="UYP10" s="1342"/>
      <c r="UYQ10" s="1336"/>
      <c r="UYR10" s="1336"/>
      <c r="UYS10" s="1336"/>
      <c r="UYT10" s="1336"/>
      <c r="UYU10" s="1337"/>
      <c r="UYV10" s="1337"/>
      <c r="UYW10" s="1337"/>
      <c r="UYX10" s="1337"/>
      <c r="UYY10" s="1337"/>
      <c r="UYZ10" s="1338"/>
      <c r="UZA10" s="1339"/>
      <c r="UZB10" s="1340"/>
      <c r="UZC10" s="1340"/>
      <c r="UZD10" s="1340"/>
      <c r="UZE10" s="1341"/>
      <c r="UZF10" s="1342"/>
      <c r="UZG10" s="1336"/>
      <c r="UZH10" s="1336"/>
      <c r="UZI10" s="1336"/>
      <c r="UZJ10" s="1336"/>
      <c r="UZK10" s="1337"/>
      <c r="UZL10" s="1337"/>
      <c r="UZM10" s="1337"/>
      <c r="UZN10" s="1337"/>
      <c r="UZO10" s="1337"/>
      <c r="UZP10" s="1338"/>
      <c r="UZQ10" s="1339"/>
      <c r="UZR10" s="1340"/>
      <c r="UZS10" s="1340"/>
      <c r="UZT10" s="1340"/>
      <c r="UZU10" s="1341"/>
      <c r="UZV10" s="1342"/>
      <c r="UZW10" s="1336"/>
      <c r="UZX10" s="1336"/>
      <c r="UZY10" s="1336"/>
      <c r="UZZ10" s="1336"/>
      <c r="VAA10" s="1337"/>
      <c r="VAB10" s="1337"/>
      <c r="VAC10" s="1337"/>
      <c r="VAD10" s="1337"/>
      <c r="VAE10" s="1337"/>
      <c r="VAF10" s="1338"/>
      <c r="VAG10" s="1339"/>
      <c r="VAH10" s="1340"/>
      <c r="VAI10" s="1340"/>
      <c r="VAJ10" s="1340"/>
      <c r="VAK10" s="1341"/>
      <c r="VAL10" s="1342"/>
      <c r="VAM10" s="1336"/>
      <c r="VAN10" s="1336"/>
      <c r="VAO10" s="1336"/>
      <c r="VAP10" s="1336"/>
      <c r="VAQ10" s="1337"/>
      <c r="VAR10" s="1337"/>
      <c r="VAS10" s="1337"/>
      <c r="VAT10" s="1337"/>
      <c r="VAU10" s="1337"/>
      <c r="VAV10" s="1338"/>
      <c r="VAW10" s="1339"/>
      <c r="VAX10" s="1340"/>
      <c r="VAY10" s="1340"/>
      <c r="VAZ10" s="1340"/>
      <c r="VBA10" s="1341"/>
      <c r="VBB10" s="1342"/>
      <c r="VBC10" s="1336"/>
      <c r="VBD10" s="1336"/>
      <c r="VBE10" s="1336"/>
      <c r="VBF10" s="1336"/>
      <c r="VBG10" s="1337"/>
      <c r="VBH10" s="1337"/>
      <c r="VBI10" s="1337"/>
      <c r="VBJ10" s="1337"/>
      <c r="VBK10" s="1337"/>
      <c r="VBL10" s="1338"/>
      <c r="VBM10" s="1339"/>
      <c r="VBN10" s="1340"/>
      <c r="VBO10" s="1340"/>
      <c r="VBP10" s="1340"/>
      <c r="VBQ10" s="1341"/>
      <c r="VBR10" s="1342"/>
      <c r="VBS10" s="1336"/>
      <c r="VBT10" s="1336"/>
      <c r="VBU10" s="1336"/>
      <c r="VBV10" s="1336"/>
      <c r="VBW10" s="1337"/>
      <c r="VBX10" s="1337"/>
      <c r="VBY10" s="1337"/>
      <c r="VBZ10" s="1337"/>
      <c r="VCA10" s="1337"/>
      <c r="VCB10" s="1338"/>
      <c r="VCC10" s="1339"/>
      <c r="VCD10" s="1340"/>
      <c r="VCE10" s="1340"/>
      <c r="VCF10" s="1340"/>
      <c r="VCG10" s="1341"/>
      <c r="VCH10" s="1342"/>
      <c r="VCI10" s="1336"/>
      <c r="VCJ10" s="1336"/>
      <c r="VCK10" s="1336"/>
      <c r="VCL10" s="1336"/>
      <c r="VCM10" s="1337"/>
      <c r="VCN10" s="1337"/>
      <c r="VCO10" s="1337"/>
      <c r="VCP10" s="1337"/>
      <c r="VCQ10" s="1337"/>
      <c r="VCR10" s="1338"/>
      <c r="VCS10" s="1339"/>
      <c r="VCT10" s="1340"/>
      <c r="VCU10" s="1340"/>
      <c r="VCV10" s="1340"/>
      <c r="VCW10" s="1341"/>
      <c r="VCX10" s="1342"/>
      <c r="VCY10" s="1336"/>
      <c r="VCZ10" s="1336"/>
      <c r="VDA10" s="1336"/>
      <c r="VDB10" s="1336"/>
      <c r="VDC10" s="1337"/>
      <c r="VDD10" s="1337"/>
      <c r="VDE10" s="1337"/>
      <c r="VDF10" s="1337"/>
      <c r="VDG10" s="1337"/>
      <c r="VDH10" s="1338"/>
      <c r="VDI10" s="1339"/>
      <c r="VDJ10" s="1340"/>
      <c r="VDK10" s="1340"/>
      <c r="VDL10" s="1340"/>
      <c r="VDM10" s="1341"/>
      <c r="VDN10" s="1342"/>
      <c r="VDO10" s="1336"/>
      <c r="VDP10" s="1336"/>
      <c r="VDQ10" s="1336"/>
      <c r="VDR10" s="1336"/>
      <c r="VDS10" s="1337"/>
      <c r="VDT10" s="1337"/>
      <c r="VDU10" s="1337"/>
      <c r="VDV10" s="1337"/>
      <c r="VDW10" s="1337"/>
      <c r="VDX10" s="1338"/>
      <c r="VDY10" s="1339"/>
      <c r="VDZ10" s="1340"/>
      <c r="VEA10" s="1340"/>
      <c r="VEB10" s="1340"/>
      <c r="VEC10" s="1341"/>
      <c r="VED10" s="1342"/>
      <c r="VEE10" s="1336"/>
      <c r="VEF10" s="1336"/>
      <c r="VEG10" s="1336"/>
      <c r="VEH10" s="1336"/>
      <c r="VEI10" s="1337"/>
      <c r="VEJ10" s="1337"/>
      <c r="VEK10" s="1337"/>
      <c r="VEL10" s="1337"/>
      <c r="VEM10" s="1337"/>
      <c r="VEN10" s="1338"/>
      <c r="VEO10" s="1339"/>
      <c r="VEP10" s="1340"/>
      <c r="VEQ10" s="1340"/>
      <c r="VER10" s="1340"/>
      <c r="VES10" s="1341"/>
      <c r="VET10" s="1342"/>
      <c r="VEU10" s="1336"/>
      <c r="VEV10" s="1336"/>
      <c r="VEW10" s="1336"/>
      <c r="VEX10" s="1336"/>
      <c r="VEY10" s="1337"/>
      <c r="VEZ10" s="1337"/>
      <c r="VFA10" s="1337"/>
      <c r="VFB10" s="1337"/>
      <c r="VFC10" s="1337"/>
      <c r="VFD10" s="1338"/>
      <c r="VFE10" s="1339"/>
      <c r="VFF10" s="1340"/>
      <c r="VFG10" s="1340"/>
      <c r="VFH10" s="1340"/>
      <c r="VFI10" s="1341"/>
      <c r="VFJ10" s="1342"/>
      <c r="VFK10" s="1336"/>
      <c r="VFL10" s="1336"/>
      <c r="VFM10" s="1336"/>
      <c r="VFN10" s="1336"/>
      <c r="VFO10" s="1337"/>
      <c r="VFP10" s="1337"/>
      <c r="VFQ10" s="1337"/>
      <c r="VFR10" s="1337"/>
      <c r="VFS10" s="1337"/>
      <c r="VFT10" s="1338"/>
      <c r="VFU10" s="1339"/>
      <c r="VFV10" s="1340"/>
      <c r="VFW10" s="1340"/>
      <c r="VFX10" s="1340"/>
      <c r="VFY10" s="1341"/>
      <c r="VFZ10" s="1342"/>
      <c r="VGA10" s="1336"/>
      <c r="VGB10" s="1336"/>
      <c r="VGC10" s="1336"/>
      <c r="VGD10" s="1336"/>
      <c r="VGE10" s="1337"/>
      <c r="VGF10" s="1337"/>
      <c r="VGG10" s="1337"/>
      <c r="VGH10" s="1337"/>
      <c r="VGI10" s="1337"/>
      <c r="VGJ10" s="1338"/>
      <c r="VGK10" s="1339"/>
      <c r="VGL10" s="1340"/>
      <c r="VGM10" s="1340"/>
      <c r="VGN10" s="1340"/>
      <c r="VGO10" s="1341"/>
      <c r="VGP10" s="1342"/>
      <c r="VGQ10" s="1336"/>
      <c r="VGR10" s="1336"/>
      <c r="VGS10" s="1336"/>
      <c r="VGT10" s="1336"/>
      <c r="VGU10" s="1337"/>
      <c r="VGV10" s="1337"/>
      <c r="VGW10" s="1337"/>
      <c r="VGX10" s="1337"/>
      <c r="VGY10" s="1337"/>
      <c r="VGZ10" s="1338"/>
      <c r="VHA10" s="1339"/>
      <c r="VHB10" s="1340"/>
      <c r="VHC10" s="1340"/>
      <c r="VHD10" s="1340"/>
      <c r="VHE10" s="1341"/>
      <c r="VHF10" s="1342"/>
      <c r="VHG10" s="1336"/>
      <c r="VHH10" s="1336"/>
      <c r="VHI10" s="1336"/>
      <c r="VHJ10" s="1336"/>
      <c r="VHK10" s="1337"/>
      <c r="VHL10" s="1337"/>
      <c r="VHM10" s="1337"/>
      <c r="VHN10" s="1337"/>
      <c r="VHO10" s="1337"/>
      <c r="VHP10" s="1338"/>
      <c r="VHQ10" s="1339"/>
      <c r="VHR10" s="1340"/>
      <c r="VHS10" s="1340"/>
      <c r="VHT10" s="1340"/>
      <c r="VHU10" s="1341"/>
      <c r="VHV10" s="1342"/>
      <c r="VHW10" s="1336"/>
      <c r="VHX10" s="1336"/>
      <c r="VHY10" s="1336"/>
      <c r="VHZ10" s="1336"/>
      <c r="VIA10" s="1337"/>
      <c r="VIB10" s="1337"/>
      <c r="VIC10" s="1337"/>
      <c r="VID10" s="1337"/>
      <c r="VIE10" s="1337"/>
      <c r="VIF10" s="1338"/>
      <c r="VIG10" s="1339"/>
      <c r="VIH10" s="1340"/>
      <c r="VII10" s="1340"/>
      <c r="VIJ10" s="1340"/>
      <c r="VIK10" s="1341"/>
      <c r="VIL10" s="1342"/>
      <c r="VIM10" s="1336"/>
      <c r="VIN10" s="1336"/>
      <c r="VIO10" s="1336"/>
      <c r="VIP10" s="1336"/>
      <c r="VIQ10" s="1337"/>
      <c r="VIR10" s="1337"/>
      <c r="VIS10" s="1337"/>
      <c r="VIT10" s="1337"/>
      <c r="VIU10" s="1337"/>
      <c r="VIV10" s="1338"/>
      <c r="VIW10" s="1339"/>
      <c r="VIX10" s="1340"/>
      <c r="VIY10" s="1340"/>
      <c r="VIZ10" s="1340"/>
      <c r="VJA10" s="1341"/>
      <c r="VJB10" s="1342"/>
      <c r="VJC10" s="1336"/>
      <c r="VJD10" s="1336"/>
      <c r="VJE10" s="1336"/>
      <c r="VJF10" s="1336"/>
      <c r="VJG10" s="1337"/>
      <c r="VJH10" s="1337"/>
      <c r="VJI10" s="1337"/>
      <c r="VJJ10" s="1337"/>
      <c r="VJK10" s="1337"/>
      <c r="VJL10" s="1338"/>
      <c r="VJM10" s="1339"/>
      <c r="VJN10" s="1340"/>
      <c r="VJO10" s="1340"/>
      <c r="VJP10" s="1340"/>
      <c r="VJQ10" s="1341"/>
      <c r="VJR10" s="1342"/>
      <c r="VJS10" s="1336"/>
      <c r="VJT10" s="1336"/>
      <c r="VJU10" s="1336"/>
      <c r="VJV10" s="1336"/>
      <c r="VJW10" s="1337"/>
      <c r="VJX10" s="1337"/>
      <c r="VJY10" s="1337"/>
      <c r="VJZ10" s="1337"/>
      <c r="VKA10" s="1337"/>
      <c r="VKB10" s="1338"/>
      <c r="VKC10" s="1339"/>
      <c r="VKD10" s="1340"/>
      <c r="VKE10" s="1340"/>
      <c r="VKF10" s="1340"/>
      <c r="VKG10" s="1341"/>
      <c r="VKH10" s="1342"/>
      <c r="VKI10" s="1336"/>
      <c r="VKJ10" s="1336"/>
      <c r="VKK10" s="1336"/>
      <c r="VKL10" s="1336"/>
      <c r="VKM10" s="1337"/>
      <c r="VKN10" s="1337"/>
      <c r="VKO10" s="1337"/>
      <c r="VKP10" s="1337"/>
      <c r="VKQ10" s="1337"/>
      <c r="VKR10" s="1338"/>
      <c r="VKS10" s="1339"/>
      <c r="VKT10" s="1340"/>
      <c r="VKU10" s="1340"/>
      <c r="VKV10" s="1340"/>
      <c r="VKW10" s="1341"/>
      <c r="VKX10" s="1342"/>
      <c r="VKY10" s="1336"/>
      <c r="VKZ10" s="1336"/>
      <c r="VLA10" s="1336"/>
      <c r="VLB10" s="1336"/>
      <c r="VLC10" s="1337"/>
      <c r="VLD10" s="1337"/>
      <c r="VLE10" s="1337"/>
      <c r="VLF10" s="1337"/>
      <c r="VLG10" s="1337"/>
      <c r="VLH10" s="1338"/>
      <c r="VLI10" s="1339"/>
      <c r="VLJ10" s="1340"/>
      <c r="VLK10" s="1340"/>
      <c r="VLL10" s="1340"/>
      <c r="VLM10" s="1341"/>
      <c r="VLN10" s="1342"/>
      <c r="VLO10" s="1336"/>
      <c r="VLP10" s="1336"/>
      <c r="VLQ10" s="1336"/>
      <c r="VLR10" s="1336"/>
      <c r="VLS10" s="1337"/>
      <c r="VLT10" s="1337"/>
      <c r="VLU10" s="1337"/>
      <c r="VLV10" s="1337"/>
      <c r="VLW10" s="1337"/>
      <c r="VLX10" s="1338"/>
      <c r="VLY10" s="1339"/>
      <c r="VLZ10" s="1340"/>
      <c r="VMA10" s="1340"/>
      <c r="VMB10" s="1340"/>
      <c r="VMC10" s="1341"/>
      <c r="VMD10" s="1342"/>
      <c r="VME10" s="1336"/>
      <c r="VMF10" s="1336"/>
      <c r="VMG10" s="1336"/>
      <c r="VMH10" s="1336"/>
      <c r="VMI10" s="1337"/>
      <c r="VMJ10" s="1337"/>
      <c r="VMK10" s="1337"/>
      <c r="VML10" s="1337"/>
      <c r="VMM10" s="1337"/>
      <c r="VMN10" s="1338"/>
      <c r="VMO10" s="1339"/>
      <c r="VMP10" s="1340"/>
      <c r="VMQ10" s="1340"/>
      <c r="VMR10" s="1340"/>
      <c r="VMS10" s="1341"/>
      <c r="VMT10" s="1342"/>
      <c r="VMU10" s="1336"/>
      <c r="VMV10" s="1336"/>
      <c r="VMW10" s="1336"/>
      <c r="VMX10" s="1336"/>
      <c r="VMY10" s="1337"/>
      <c r="VMZ10" s="1337"/>
      <c r="VNA10" s="1337"/>
      <c r="VNB10" s="1337"/>
      <c r="VNC10" s="1337"/>
      <c r="VND10" s="1338"/>
      <c r="VNE10" s="1339"/>
      <c r="VNF10" s="1340"/>
      <c r="VNG10" s="1340"/>
      <c r="VNH10" s="1340"/>
      <c r="VNI10" s="1341"/>
      <c r="VNJ10" s="1342"/>
      <c r="VNK10" s="1336"/>
      <c r="VNL10" s="1336"/>
      <c r="VNM10" s="1336"/>
      <c r="VNN10" s="1336"/>
      <c r="VNO10" s="1337"/>
      <c r="VNP10" s="1337"/>
      <c r="VNQ10" s="1337"/>
      <c r="VNR10" s="1337"/>
      <c r="VNS10" s="1337"/>
      <c r="VNT10" s="1338"/>
      <c r="VNU10" s="1339"/>
      <c r="VNV10" s="1340"/>
      <c r="VNW10" s="1340"/>
      <c r="VNX10" s="1340"/>
      <c r="VNY10" s="1341"/>
      <c r="VNZ10" s="1342"/>
      <c r="VOA10" s="1336"/>
      <c r="VOB10" s="1336"/>
      <c r="VOC10" s="1336"/>
      <c r="VOD10" s="1336"/>
      <c r="VOE10" s="1337"/>
      <c r="VOF10" s="1337"/>
      <c r="VOG10" s="1337"/>
      <c r="VOH10" s="1337"/>
      <c r="VOI10" s="1337"/>
      <c r="VOJ10" s="1338"/>
      <c r="VOK10" s="1339"/>
      <c r="VOL10" s="1340"/>
      <c r="VOM10" s="1340"/>
      <c r="VON10" s="1340"/>
      <c r="VOO10" s="1341"/>
      <c r="VOP10" s="1342"/>
      <c r="VOQ10" s="1336"/>
      <c r="VOR10" s="1336"/>
      <c r="VOS10" s="1336"/>
      <c r="VOT10" s="1336"/>
      <c r="VOU10" s="1337"/>
      <c r="VOV10" s="1337"/>
      <c r="VOW10" s="1337"/>
      <c r="VOX10" s="1337"/>
      <c r="VOY10" s="1337"/>
      <c r="VOZ10" s="1338"/>
      <c r="VPA10" s="1339"/>
      <c r="VPB10" s="1340"/>
      <c r="VPC10" s="1340"/>
      <c r="VPD10" s="1340"/>
      <c r="VPE10" s="1341"/>
      <c r="VPF10" s="1342"/>
      <c r="VPG10" s="1336"/>
      <c r="VPH10" s="1336"/>
      <c r="VPI10" s="1336"/>
      <c r="VPJ10" s="1336"/>
      <c r="VPK10" s="1337"/>
      <c r="VPL10" s="1337"/>
      <c r="VPM10" s="1337"/>
      <c r="VPN10" s="1337"/>
      <c r="VPO10" s="1337"/>
      <c r="VPP10" s="1338"/>
      <c r="VPQ10" s="1339"/>
      <c r="VPR10" s="1340"/>
      <c r="VPS10" s="1340"/>
      <c r="VPT10" s="1340"/>
      <c r="VPU10" s="1341"/>
      <c r="VPV10" s="1342"/>
      <c r="VPW10" s="1336"/>
      <c r="VPX10" s="1336"/>
      <c r="VPY10" s="1336"/>
      <c r="VPZ10" s="1336"/>
      <c r="VQA10" s="1337"/>
      <c r="VQB10" s="1337"/>
      <c r="VQC10" s="1337"/>
      <c r="VQD10" s="1337"/>
      <c r="VQE10" s="1337"/>
      <c r="VQF10" s="1338"/>
      <c r="VQG10" s="1339"/>
      <c r="VQH10" s="1340"/>
      <c r="VQI10" s="1340"/>
      <c r="VQJ10" s="1340"/>
      <c r="VQK10" s="1341"/>
      <c r="VQL10" s="1342"/>
      <c r="VQM10" s="1336"/>
      <c r="VQN10" s="1336"/>
      <c r="VQO10" s="1336"/>
      <c r="VQP10" s="1336"/>
      <c r="VQQ10" s="1337"/>
      <c r="VQR10" s="1337"/>
      <c r="VQS10" s="1337"/>
      <c r="VQT10" s="1337"/>
      <c r="VQU10" s="1337"/>
      <c r="VQV10" s="1338"/>
      <c r="VQW10" s="1339"/>
      <c r="VQX10" s="1340"/>
      <c r="VQY10" s="1340"/>
      <c r="VQZ10" s="1340"/>
      <c r="VRA10" s="1341"/>
      <c r="VRB10" s="1342"/>
      <c r="VRC10" s="1336"/>
      <c r="VRD10" s="1336"/>
      <c r="VRE10" s="1336"/>
      <c r="VRF10" s="1336"/>
      <c r="VRG10" s="1337"/>
      <c r="VRH10" s="1337"/>
      <c r="VRI10" s="1337"/>
      <c r="VRJ10" s="1337"/>
      <c r="VRK10" s="1337"/>
      <c r="VRL10" s="1338"/>
      <c r="VRM10" s="1339"/>
      <c r="VRN10" s="1340"/>
      <c r="VRO10" s="1340"/>
      <c r="VRP10" s="1340"/>
      <c r="VRQ10" s="1341"/>
      <c r="VRR10" s="1342"/>
      <c r="VRS10" s="1336"/>
      <c r="VRT10" s="1336"/>
      <c r="VRU10" s="1336"/>
      <c r="VRV10" s="1336"/>
      <c r="VRW10" s="1337"/>
      <c r="VRX10" s="1337"/>
      <c r="VRY10" s="1337"/>
      <c r="VRZ10" s="1337"/>
      <c r="VSA10" s="1337"/>
      <c r="VSB10" s="1338"/>
      <c r="VSC10" s="1339"/>
      <c r="VSD10" s="1340"/>
      <c r="VSE10" s="1340"/>
      <c r="VSF10" s="1340"/>
      <c r="VSG10" s="1341"/>
      <c r="VSH10" s="1342"/>
      <c r="VSI10" s="1336"/>
      <c r="VSJ10" s="1336"/>
      <c r="VSK10" s="1336"/>
      <c r="VSL10" s="1336"/>
      <c r="VSM10" s="1337"/>
      <c r="VSN10" s="1337"/>
      <c r="VSO10" s="1337"/>
      <c r="VSP10" s="1337"/>
      <c r="VSQ10" s="1337"/>
      <c r="VSR10" s="1338"/>
      <c r="VSS10" s="1339"/>
      <c r="VST10" s="1340"/>
      <c r="VSU10" s="1340"/>
      <c r="VSV10" s="1340"/>
      <c r="VSW10" s="1341"/>
      <c r="VSX10" s="1342"/>
      <c r="VSY10" s="1336"/>
      <c r="VSZ10" s="1336"/>
      <c r="VTA10" s="1336"/>
      <c r="VTB10" s="1336"/>
      <c r="VTC10" s="1337"/>
      <c r="VTD10" s="1337"/>
      <c r="VTE10" s="1337"/>
      <c r="VTF10" s="1337"/>
      <c r="VTG10" s="1337"/>
      <c r="VTH10" s="1338"/>
      <c r="VTI10" s="1339"/>
      <c r="VTJ10" s="1340"/>
      <c r="VTK10" s="1340"/>
      <c r="VTL10" s="1340"/>
      <c r="VTM10" s="1341"/>
      <c r="VTN10" s="1342"/>
      <c r="VTO10" s="1336"/>
      <c r="VTP10" s="1336"/>
      <c r="VTQ10" s="1336"/>
      <c r="VTR10" s="1336"/>
      <c r="VTS10" s="1337"/>
      <c r="VTT10" s="1337"/>
      <c r="VTU10" s="1337"/>
      <c r="VTV10" s="1337"/>
      <c r="VTW10" s="1337"/>
      <c r="VTX10" s="1338"/>
      <c r="VTY10" s="1339"/>
      <c r="VTZ10" s="1340"/>
      <c r="VUA10" s="1340"/>
      <c r="VUB10" s="1340"/>
      <c r="VUC10" s="1341"/>
      <c r="VUD10" s="1342"/>
      <c r="VUE10" s="1336"/>
      <c r="VUF10" s="1336"/>
      <c r="VUG10" s="1336"/>
      <c r="VUH10" s="1336"/>
      <c r="VUI10" s="1337"/>
      <c r="VUJ10" s="1337"/>
      <c r="VUK10" s="1337"/>
      <c r="VUL10" s="1337"/>
      <c r="VUM10" s="1337"/>
      <c r="VUN10" s="1338"/>
      <c r="VUO10" s="1339"/>
      <c r="VUP10" s="1340"/>
      <c r="VUQ10" s="1340"/>
      <c r="VUR10" s="1340"/>
      <c r="VUS10" s="1341"/>
      <c r="VUT10" s="1342"/>
      <c r="VUU10" s="1336"/>
      <c r="VUV10" s="1336"/>
      <c r="VUW10" s="1336"/>
      <c r="VUX10" s="1336"/>
      <c r="VUY10" s="1337"/>
      <c r="VUZ10" s="1337"/>
      <c r="VVA10" s="1337"/>
      <c r="VVB10" s="1337"/>
      <c r="VVC10" s="1337"/>
      <c r="VVD10" s="1338"/>
      <c r="VVE10" s="1339"/>
      <c r="VVF10" s="1340"/>
      <c r="VVG10" s="1340"/>
      <c r="VVH10" s="1340"/>
      <c r="VVI10" s="1341"/>
      <c r="VVJ10" s="1342"/>
      <c r="VVK10" s="1336"/>
      <c r="VVL10" s="1336"/>
      <c r="VVM10" s="1336"/>
      <c r="VVN10" s="1336"/>
      <c r="VVO10" s="1337"/>
      <c r="VVP10" s="1337"/>
      <c r="VVQ10" s="1337"/>
      <c r="VVR10" s="1337"/>
      <c r="VVS10" s="1337"/>
      <c r="VVT10" s="1338"/>
      <c r="VVU10" s="1339"/>
      <c r="VVV10" s="1340"/>
      <c r="VVW10" s="1340"/>
      <c r="VVX10" s="1340"/>
      <c r="VVY10" s="1341"/>
      <c r="VVZ10" s="1342"/>
      <c r="VWA10" s="1336"/>
      <c r="VWB10" s="1336"/>
      <c r="VWC10" s="1336"/>
      <c r="VWD10" s="1336"/>
      <c r="VWE10" s="1337"/>
      <c r="VWF10" s="1337"/>
      <c r="VWG10" s="1337"/>
      <c r="VWH10" s="1337"/>
      <c r="VWI10" s="1337"/>
      <c r="VWJ10" s="1338"/>
      <c r="VWK10" s="1339"/>
      <c r="VWL10" s="1340"/>
      <c r="VWM10" s="1340"/>
      <c r="VWN10" s="1340"/>
      <c r="VWO10" s="1341"/>
      <c r="VWP10" s="1342"/>
      <c r="VWQ10" s="1336"/>
      <c r="VWR10" s="1336"/>
      <c r="VWS10" s="1336"/>
      <c r="VWT10" s="1336"/>
      <c r="VWU10" s="1337"/>
      <c r="VWV10" s="1337"/>
      <c r="VWW10" s="1337"/>
      <c r="VWX10" s="1337"/>
      <c r="VWY10" s="1337"/>
      <c r="VWZ10" s="1338"/>
      <c r="VXA10" s="1339"/>
      <c r="VXB10" s="1340"/>
      <c r="VXC10" s="1340"/>
      <c r="VXD10" s="1340"/>
      <c r="VXE10" s="1341"/>
      <c r="VXF10" s="1342"/>
      <c r="VXG10" s="1336"/>
      <c r="VXH10" s="1336"/>
      <c r="VXI10" s="1336"/>
      <c r="VXJ10" s="1336"/>
      <c r="VXK10" s="1337"/>
      <c r="VXL10" s="1337"/>
      <c r="VXM10" s="1337"/>
      <c r="VXN10" s="1337"/>
      <c r="VXO10" s="1337"/>
      <c r="VXP10" s="1338"/>
      <c r="VXQ10" s="1339"/>
      <c r="VXR10" s="1340"/>
      <c r="VXS10" s="1340"/>
      <c r="VXT10" s="1340"/>
      <c r="VXU10" s="1341"/>
      <c r="VXV10" s="1342"/>
      <c r="VXW10" s="1336"/>
      <c r="VXX10" s="1336"/>
      <c r="VXY10" s="1336"/>
      <c r="VXZ10" s="1336"/>
      <c r="VYA10" s="1337"/>
      <c r="VYB10" s="1337"/>
      <c r="VYC10" s="1337"/>
      <c r="VYD10" s="1337"/>
      <c r="VYE10" s="1337"/>
      <c r="VYF10" s="1338"/>
      <c r="VYG10" s="1339"/>
      <c r="VYH10" s="1340"/>
      <c r="VYI10" s="1340"/>
      <c r="VYJ10" s="1340"/>
      <c r="VYK10" s="1341"/>
      <c r="VYL10" s="1342"/>
      <c r="VYM10" s="1336"/>
      <c r="VYN10" s="1336"/>
      <c r="VYO10" s="1336"/>
      <c r="VYP10" s="1336"/>
      <c r="VYQ10" s="1337"/>
      <c r="VYR10" s="1337"/>
      <c r="VYS10" s="1337"/>
      <c r="VYT10" s="1337"/>
      <c r="VYU10" s="1337"/>
      <c r="VYV10" s="1338"/>
      <c r="VYW10" s="1339"/>
      <c r="VYX10" s="1340"/>
      <c r="VYY10" s="1340"/>
      <c r="VYZ10" s="1340"/>
      <c r="VZA10" s="1341"/>
      <c r="VZB10" s="1342"/>
      <c r="VZC10" s="1336"/>
      <c r="VZD10" s="1336"/>
      <c r="VZE10" s="1336"/>
      <c r="VZF10" s="1336"/>
      <c r="VZG10" s="1337"/>
      <c r="VZH10" s="1337"/>
      <c r="VZI10" s="1337"/>
      <c r="VZJ10" s="1337"/>
      <c r="VZK10" s="1337"/>
      <c r="VZL10" s="1338"/>
      <c r="VZM10" s="1339"/>
      <c r="VZN10" s="1340"/>
      <c r="VZO10" s="1340"/>
      <c r="VZP10" s="1340"/>
      <c r="VZQ10" s="1341"/>
      <c r="VZR10" s="1342"/>
      <c r="VZS10" s="1336"/>
      <c r="VZT10" s="1336"/>
      <c r="VZU10" s="1336"/>
      <c r="VZV10" s="1336"/>
      <c r="VZW10" s="1337"/>
      <c r="VZX10" s="1337"/>
      <c r="VZY10" s="1337"/>
      <c r="VZZ10" s="1337"/>
      <c r="WAA10" s="1337"/>
      <c r="WAB10" s="1338"/>
      <c r="WAC10" s="1339"/>
      <c r="WAD10" s="1340"/>
      <c r="WAE10" s="1340"/>
      <c r="WAF10" s="1340"/>
      <c r="WAG10" s="1341"/>
      <c r="WAH10" s="1342"/>
      <c r="WAI10" s="1336"/>
      <c r="WAJ10" s="1336"/>
      <c r="WAK10" s="1336"/>
      <c r="WAL10" s="1336"/>
      <c r="WAM10" s="1337"/>
      <c r="WAN10" s="1337"/>
      <c r="WAO10" s="1337"/>
      <c r="WAP10" s="1337"/>
      <c r="WAQ10" s="1337"/>
      <c r="WAR10" s="1338"/>
      <c r="WAS10" s="1339"/>
      <c r="WAT10" s="1340"/>
      <c r="WAU10" s="1340"/>
      <c r="WAV10" s="1340"/>
      <c r="WAW10" s="1341"/>
      <c r="WAX10" s="1342"/>
      <c r="WAY10" s="1336"/>
      <c r="WAZ10" s="1336"/>
      <c r="WBA10" s="1336"/>
      <c r="WBB10" s="1336"/>
      <c r="WBC10" s="1337"/>
      <c r="WBD10" s="1337"/>
      <c r="WBE10" s="1337"/>
      <c r="WBF10" s="1337"/>
      <c r="WBG10" s="1337"/>
      <c r="WBH10" s="1338"/>
      <c r="WBI10" s="1339"/>
      <c r="WBJ10" s="1340"/>
      <c r="WBK10" s="1340"/>
      <c r="WBL10" s="1340"/>
      <c r="WBM10" s="1341"/>
      <c r="WBN10" s="1342"/>
      <c r="WBO10" s="1336"/>
      <c r="WBP10" s="1336"/>
      <c r="WBQ10" s="1336"/>
      <c r="WBR10" s="1336"/>
      <c r="WBS10" s="1337"/>
      <c r="WBT10" s="1337"/>
      <c r="WBU10" s="1337"/>
      <c r="WBV10" s="1337"/>
      <c r="WBW10" s="1337"/>
      <c r="WBX10" s="1338"/>
      <c r="WBY10" s="1339"/>
      <c r="WBZ10" s="1340"/>
      <c r="WCA10" s="1340"/>
      <c r="WCB10" s="1340"/>
      <c r="WCC10" s="1341"/>
      <c r="WCD10" s="1342"/>
      <c r="WCE10" s="1336"/>
      <c r="WCF10" s="1336"/>
      <c r="WCG10" s="1336"/>
      <c r="WCH10" s="1336"/>
      <c r="WCI10" s="1337"/>
      <c r="WCJ10" s="1337"/>
      <c r="WCK10" s="1337"/>
      <c r="WCL10" s="1337"/>
      <c r="WCM10" s="1337"/>
      <c r="WCN10" s="1338"/>
      <c r="WCO10" s="1339"/>
      <c r="WCP10" s="1340"/>
      <c r="WCQ10" s="1340"/>
      <c r="WCR10" s="1340"/>
      <c r="WCS10" s="1341"/>
      <c r="WCT10" s="1342"/>
      <c r="WCU10" s="1336"/>
      <c r="WCV10" s="1336"/>
      <c r="WCW10" s="1336"/>
      <c r="WCX10" s="1336"/>
      <c r="WCY10" s="1337"/>
      <c r="WCZ10" s="1337"/>
      <c r="WDA10" s="1337"/>
      <c r="WDB10" s="1337"/>
      <c r="WDC10" s="1337"/>
      <c r="WDD10" s="1338"/>
      <c r="WDE10" s="1339"/>
      <c r="WDF10" s="1340"/>
      <c r="WDG10" s="1340"/>
      <c r="WDH10" s="1340"/>
      <c r="WDI10" s="1341"/>
      <c r="WDJ10" s="1342"/>
      <c r="WDK10" s="1336"/>
      <c r="WDL10" s="1336"/>
      <c r="WDM10" s="1336"/>
      <c r="WDN10" s="1336"/>
      <c r="WDO10" s="1337"/>
      <c r="WDP10" s="1337"/>
      <c r="WDQ10" s="1337"/>
      <c r="WDR10" s="1337"/>
      <c r="WDS10" s="1337"/>
      <c r="WDT10" s="1338"/>
      <c r="WDU10" s="1339"/>
      <c r="WDV10" s="1340"/>
      <c r="WDW10" s="1340"/>
      <c r="WDX10" s="1340"/>
      <c r="WDY10" s="1341"/>
      <c r="WDZ10" s="1342"/>
      <c r="WEA10" s="1336"/>
      <c r="WEB10" s="1336"/>
      <c r="WEC10" s="1336"/>
      <c r="WED10" s="1336"/>
      <c r="WEE10" s="1337"/>
      <c r="WEF10" s="1337"/>
      <c r="WEG10" s="1337"/>
      <c r="WEH10" s="1337"/>
      <c r="WEI10" s="1337"/>
      <c r="WEJ10" s="1338"/>
      <c r="WEK10" s="1339"/>
      <c r="WEL10" s="1340"/>
      <c r="WEM10" s="1340"/>
      <c r="WEN10" s="1340"/>
      <c r="WEO10" s="1341"/>
      <c r="WEP10" s="1342"/>
      <c r="WEQ10" s="1336"/>
      <c r="WER10" s="1336"/>
      <c r="WES10" s="1336"/>
      <c r="WET10" s="1336"/>
      <c r="WEU10" s="1337"/>
      <c r="WEV10" s="1337"/>
      <c r="WEW10" s="1337"/>
      <c r="WEX10" s="1337"/>
      <c r="WEY10" s="1337"/>
      <c r="WEZ10" s="1338"/>
      <c r="WFA10" s="1339"/>
      <c r="WFB10" s="1340"/>
      <c r="WFC10" s="1340"/>
      <c r="WFD10" s="1340"/>
      <c r="WFE10" s="1341"/>
      <c r="WFF10" s="1342"/>
      <c r="WFG10" s="1336"/>
      <c r="WFH10" s="1336"/>
      <c r="WFI10" s="1336"/>
      <c r="WFJ10" s="1336"/>
      <c r="WFK10" s="1337"/>
      <c r="WFL10" s="1337"/>
      <c r="WFM10" s="1337"/>
      <c r="WFN10" s="1337"/>
      <c r="WFO10" s="1337"/>
      <c r="WFP10" s="1338"/>
      <c r="WFQ10" s="1339"/>
      <c r="WFR10" s="1340"/>
      <c r="WFS10" s="1340"/>
      <c r="WFT10" s="1340"/>
      <c r="WFU10" s="1341"/>
      <c r="WFV10" s="1342"/>
      <c r="WFW10" s="1336"/>
      <c r="WFX10" s="1336"/>
      <c r="WFY10" s="1336"/>
      <c r="WFZ10" s="1336"/>
      <c r="WGA10" s="1337"/>
      <c r="WGB10" s="1337"/>
      <c r="WGC10" s="1337"/>
      <c r="WGD10" s="1337"/>
      <c r="WGE10" s="1337"/>
      <c r="WGF10" s="1338"/>
      <c r="WGG10" s="1339"/>
      <c r="WGH10" s="1340"/>
      <c r="WGI10" s="1340"/>
      <c r="WGJ10" s="1340"/>
      <c r="WGK10" s="1341"/>
      <c r="WGL10" s="1342"/>
      <c r="WGM10" s="1336"/>
      <c r="WGN10" s="1336"/>
      <c r="WGO10" s="1336"/>
      <c r="WGP10" s="1336"/>
      <c r="WGQ10" s="1337"/>
      <c r="WGR10" s="1337"/>
      <c r="WGS10" s="1337"/>
      <c r="WGT10" s="1337"/>
      <c r="WGU10" s="1337"/>
      <c r="WGV10" s="1338"/>
      <c r="WGW10" s="1339"/>
      <c r="WGX10" s="1340"/>
      <c r="WGY10" s="1340"/>
      <c r="WGZ10" s="1340"/>
      <c r="WHA10" s="1341"/>
      <c r="WHB10" s="1342"/>
      <c r="WHC10" s="1336"/>
      <c r="WHD10" s="1336"/>
      <c r="WHE10" s="1336"/>
      <c r="WHF10" s="1336"/>
      <c r="WHG10" s="1337"/>
      <c r="WHH10" s="1337"/>
      <c r="WHI10" s="1337"/>
      <c r="WHJ10" s="1337"/>
      <c r="WHK10" s="1337"/>
      <c r="WHL10" s="1338"/>
      <c r="WHM10" s="1339"/>
      <c r="WHN10" s="1340"/>
      <c r="WHO10" s="1340"/>
      <c r="WHP10" s="1340"/>
      <c r="WHQ10" s="1341"/>
      <c r="WHR10" s="1342"/>
      <c r="WHS10" s="1336"/>
      <c r="WHT10" s="1336"/>
      <c r="WHU10" s="1336"/>
      <c r="WHV10" s="1336"/>
      <c r="WHW10" s="1337"/>
      <c r="WHX10" s="1337"/>
      <c r="WHY10" s="1337"/>
      <c r="WHZ10" s="1337"/>
      <c r="WIA10" s="1337"/>
      <c r="WIB10" s="1338"/>
      <c r="WIC10" s="1339"/>
      <c r="WID10" s="1340"/>
      <c r="WIE10" s="1340"/>
      <c r="WIF10" s="1340"/>
      <c r="WIG10" s="1341"/>
      <c r="WIH10" s="1342"/>
      <c r="WII10" s="1336"/>
      <c r="WIJ10" s="1336"/>
      <c r="WIK10" s="1336"/>
      <c r="WIL10" s="1336"/>
      <c r="WIM10" s="1337"/>
      <c r="WIN10" s="1337"/>
      <c r="WIO10" s="1337"/>
      <c r="WIP10" s="1337"/>
      <c r="WIQ10" s="1337"/>
      <c r="WIR10" s="1338"/>
      <c r="WIS10" s="1339"/>
      <c r="WIT10" s="1340"/>
      <c r="WIU10" s="1340"/>
      <c r="WIV10" s="1340"/>
      <c r="WIW10" s="1341"/>
      <c r="WIX10" s="1342"/>
      <c r="WIY10" s="1336"/>
      <c r="WIZ10" s="1336"/>
      <c r="WJA10" s="1336"/>
      <c r="WJB10" s="1336"/>
      <c r="WJC10" s="1337"/>
      <c r="WJD10" s="1337"/>
      <c r="WJE10" s="1337"/>
      <c r="WJF10" s="1337"/>
      <c r="WJG10" s="1337"/>
      <c r="WJH10" s="1338"/>
      <c r="WJI10" s="1339"/>
      <c r="WJJ10" s="1340"/>
      <c r="WJK10" s="1340"/>
      <c r="WJL10" s="1340"/>
      <c r="WJM10" s="1341"/>
      <c r="WJN10" s="1342"/>
      <c r="WJO10" s="1336"/>
      <c r="WJP10" s="1336"/>
      <c r="WJQ10" s="1336"/>
      <c r="WJR10" s="1336"/>
      <c r="WJS10" s="1337"/>
      <c r="WJT10" s="1337"/>
      <c r="WJU10" s="1337"/>
      <c r="WJV10" s="1337"/>
      <c r="WJW10" s="1337"/>
      <c r="WJX10" s="1338"/>
      <c r="WJY10" s="1339"/>
      <c r="WJZ10" s="1340"/>
      <c r="WKA10" s="1340"/>
      <c r="WKB10" s="1340"/>
      <c r="WKC10" s="1341"/>
      <c r="WKD10" s="1342"/>
      <c r="WKE10" s="1336"/>
      <c r="WKF10" s="1336"/>
      <c r="WKG10" s="1336"/>
      <c r="WKH10" s="1336"/>
      <c r="WKI10" s="1337"/>
      <c r="WKJ10" s="1337"/>
      <c r="WKK10" s="1337"/>
      <c r="WKL10" s="1337"/>
      <c r="WKM10" s="1337"/>
      <c r="WKN10" s="1338"/>
      <c r="WKO10" s="1339"/>
      <c r="WKP10" s="1340"/>
      <c r="WKQ10" s="1340"/>
      <c r="WKR10" s="1340"/>
      <c r="WKS10" s="1341"/>
      <c r="WKT10" s="1342"/>
      <c r="WKU10" s="1336"/>
      <c r="WKV10" s="1336"/>
      <c r="WKW10" s="1336"/>
      <c r="WKX10" s="1336"/>
      <c r="WKY10" s="1337"/>
      <c r="WKZ10" s="1337"/>
      <c r="WLA10" s="1337"/>
      <c r="WLB10" s="1337"/>
      <c r="WLC10" s="1337"/>
      <c r="WLD10" s="1338"/>
      <c r="WLE10" s="1339"/>
      <c r="WLF10" s="1340"/>
      <c r="WLG10" s="1340"/>
      <c r="WLH10" s="1340"/>
      <c r="WLI10" s="1341"/>
      <c r="WLJ10" s="1342"/>
      <c r="WLK10" s="1336"/>
      <c r="WLL10" s="1336"/>
      <c r="WLM10" s="1336"/>
      <c r="WLN10" s="1336"/>
      <c r="WLO10" s="1337"/>
      <c r="WLP10" s="1337"/>
      <c r="WLQ10" s="1337"/>
      <c r="WLR10" s="1337"/>
      <c r="WLS10" s="1337"/>
      <c r="WLT10" s="1338"/>
      <c r="WLU10" s="1339"/>
      <c r="WLV10" s="1340"/>
      <c r="WLW10" s="1340"/>
      <c r="WLX10" s="1340"/>
      <c r="WLY10" s="1341"/>
      <c r="WLZ10" s="1342"/>
      <c r="WMA10" s="1336"/>
      <c r="WMB10" s="1336"/>
      <c r="WMC10" s="1336"/>
      <c r="WMD10" s="1336"/>
      <c r="WME10" s="1337"/>
      <c r="WMF10" s="1337"/>
      <c r="WMG10" s="1337"/>
      <c r="WMH10" s="1337"/>
      <c r="WMI10" s="1337"/>
      <c r="WMJ10" s="1338"/>
      <c r="WMK10" s="1339"/>
      <c r="WML10" s="1340"/>
      <c r="WMM10" s="1340"/>
      <c r="WMN10" s="1340"/>
      <c r="WMO10" s="1341"/>
      <c r="WMP10" s="1342"/>
      <c r="WMQ10" s="1336"/>
      <c r="WMR10" s="1336"/>
      <c r="WMS10" s="1336"/>
      <c r="WMT10" s="1336"/>
      <c r="WMU10" s="1337"/>
      <c r="WMV10" s="1337"/>
      <c r="WMW10" s="1337"/>
      <c r="WMX10" s="1337"/>
      <c r="WMY10" s="1337"/>
      <c r="WMZ10" s="1338"/>
      <c r="WNA10" s="1339"/>
      <c r="WNB10" s="1340"/>
      <c r="WNC10" s="1340"/>
      <c r="WND10" s="1340"/>
      <c r="WNE10" s="1341"/>
      <c r="WNF10" s="1342"/>
      <c r="WNG10" s="1336"/>
      <c r="WNH10" s="1336"/>
      <c r="WNI10" s="1336"/>
      <c r="WNJ10" s="1336"/>
      <c r="WNK10" s="1337"/>
      <c r="WNL10" s="1337"/>
      <c r="WNM10" s="1337"/>
      <c r="WNN10" s="1337"/>
      <c r="WNO10" s="1337"/>
      <c r="WNP10" s="1338"/>
      <c r="WNQ10" s="1339"/>
      <c r="WNR10" s="1340"/>
      <c r="WNS10" s="1340"/>
      <c r="WNT10" s="1340"/>
      <c r="WNU10" s="1341"/>
      <c r="WNV10" s="1342"/>
      <c r="WNW10" s="1336"/>
      <c r="WNX10" s="1336"/>
      <c r="WNY10" s="1336"/>
      <c r="WNZ10" s="1336"/>
      <c r="WOA10" s="1337"/>
      <c r="WOB10" s="1337"/>
      <c r="WOC10" s="1337"/>
      <c r="WOD10" s="1337"/>
      <c r="WOE10" s="1337"/>
      <c r="WOF10" s="1338"/>
      <c r="WOG10" s="1339"/>
      <c r="WOH10" s="1340"/>
      <c r="WOI10" s="1340"/>
      <c r="WOJ10" s="1340"/>
      <c r="WOK10" s="1341"/>
      <c r="WOL10" s="1342"/>
      <c r="WOM10" s="1336"/>
      <c r="WON10" s="1336"/>
      <c r="WOO10" s="1336"/>
      <c r="WOP10" s="1336"/>
      <c r="WOQ10" s="1337"/>
      <c r="WOR10" s="1337"/>
      <c r="WOS10" s="1337"/>
      <c r="WOT10" s="1337"/>
      <c r="WOU10" s="1337"/>
      <c r="WOV10" s="1338"/>
      <c r="WOW10" s="1339"/>
      <c r="WOX10" s="1340"/>
      <c r="WOY10" s="1340"/>
      <c r="WOZ10" s="1340"/>
      <c r="WPA10" s="1341"/>
      <c r="WPB10" s="1342"/>
      <c r="WPC10" s="1336"/>
      <c r="WPD10" s="1336"/>
      <c r="WPE10" s="1336"/>
      <c r="WPF10" s="1336"/>
      <c r="WPG10" s="1337"/>
      <c r="WPH10" s="1337"/>
      <c r="WPI10" s="1337"/>
      <c r="WPJ10" s="1337"/>
      <c r="WPK10" s="1337"/>
      <c r="WPL10" s="1338"/>
      <c r="WPM10" s="1339"/>
      <c r="WPN10" s="1340"/>
      <c r="WPO10" s="1340"/>
      <c r="WPP10" s="1340"/>
      <c r="WPQ10" s="1341"/>
      <c r="WPR10" s="1342"/>
      <c r="WPS10" s="1336"/>
      <c r="WPT10" s="1336"/>
      <c r="WPU10" s="1336"/>
      <c r="WPV10" s="1336"/>
      <c r="WPW10" s="1337"/>
      <c r="WPX10" s="1337"/>
      <c r="WPY10" s="1337"/>
      <c r="WPZ10" s="1337"/>
      <c r="WQA10" s="1337"/>
      <c r="WQB10" s="1338"/>
      <c r="WQC10" s="1339"/>
      <c r="WQD10" s="1340"/>
      <c r="WQE10" s="1340"/>
      <c r="WQF10" s="1340"/>
      <c r="WQG10" s="1341"/>
      <c r="WQH10" s="1342"/>
      <c r="WQI10" s="1336"/>
      <c r="WQJ10" s="1336"/>
      <c r="WQK10" s="1336"/>
      <c r="WQL10" s="1336"/>
      <c r="WQM10" s="1337"/>
      <c r="WQN10" s="1337"/>
      <c r="WQO10" s="1337"/>
      <c r="WQP10" s="1337"/>
      <c r="WQQ10" s="1337"/>
      <c r="WQR10" s="1338"/>
      <c r="WQS10" s="1339"/>
      <c r="WQT10" s="1340"/>
      <c r="WQU10" s="1340"/>
      <c r="WQV10" s="1340"/>
      <c r="WQW10" s="1341"/>
      <c r="WQX10" s="1342"/>
      <c r="WQY10" s="1336"/>
      <c r="WQZ10" s="1336"/>
      <c r="WRA10" s="1336"/>
      <c r="WRB10" s="1336"/>
      <c r="WRC10" s="1337"/>
      <c r="WRD10" s="1337"/>
      <c r="WRE10" s="1337"/>
      <c r="WRF10" s="1337"/>
      <c r="WRG10" s="1337"/>
      <c r="WRH10" s="1338"/>
      <c r="WRI10" s="1339"/>
      <c r="WRJ10" s="1340"/>
      <c r="WRK10" s="1340"/>
      <c r="WRL10" s="1340"/>
      <c r="WRM10" s="1341"/>
      <c r="WRN10" s="1342"/>
      <c r="WRO10" s="1336"/>
      <c r="WRP10" s="1336"/>
      <c r="WRQ10" s="1336"/>
      <c r="WRR10" s="1336"/>
      <c r="WRS10" s="1337"/>
      <c r="WRT10" s="1337"/>
      <c r="WRU10" s="1337"/>
      <c r="WRV10" s="1337"/>
      <c r="WRW10" s="1337"/>
      <c r="WRX10" s="1338"/>
      <c r="WRY10" s="1339"/>
      <c r="WRZ10" s="1340"/>
      <c r="WSA10" s="1340"/>
      <c r="WSB10" s="1340"/>
      <c r="WSC10" s="1341"/>
      <c r="WSD10" s="1342"/>
      <c r="WSE10" s="1336"/>
      <c r="WSF10" s="1336"/>
      <c r="WSG10" s="1336"/>
      <c r="WSH10" s="1336"/>
      <c r="WSI10" s="1337"/>
      <c r="WSJ10" s="1337"/>
      <c r="WSK10" s="1337"/>
      <c r="WSL10" s="1337"/>
      <c r="WSM10" s="1337"/>
      <c r="WSN10" s="1338"/>
      <c r="WSO10" s="1339"/>
      <c r="WSP10" s="1340"/>
      <c r="WSQ10" s="1340"/>
      <c r="WSR10" s="1340"/>
      <c r="WSS10" s="1341"/>
      <c r="WST10" s="1342"/>
      <c r="WSU10" s="1336"/>
      <c r="WSV10" s="1336"/>
      <c r="WSW10" s="1336"/>
      <c r="WSX10" s="1336"/>
      <c r="WSY10" s="1337"/>
      <c r="WSZ10" s="1337"/>
      <c r="WTA10" s="1337"/>
      <c r="WTB10" s="1337"/>
      <c r="WTC10" s="1337"/>
      <c r="WTD10" s="1338"/>
      <c r="WTE10" s="1339"/>
      <c r="WTF10" s="1340"/>
      <c r="WTG10" s="1340"/>
      <c r="WTH10" s="1340"/>
      <c r="WTI10" s="1341"/>
      <c r="WTJ10" s="1342"/>
      <c r="WTK10" s="1336"/>
      <c r="WTL10" s="1336"/>
      <c r="WTM10" s="1336"/>
      <c r="WTN10" s="1336"/>
      <c r="WTO10" s="1337"/>
      <c r="WTP10" s="1337"/>
      <c r="WTQ10" s="1337"/>
      <c r="WTR10" s="1337"/>
      <c r="WTS10" s="1337"/>
      <c r="WTT10" s="1338"/>
      <c r="WTU10" s="1339"/>
      <c r="WTV10" s="1340"/>
      <c r="WTW10" s="1340"/>
      <c r="WTX10" s="1340"/>
      <c r="WTY10" s="1341"/>
      <c r="WTZ10" s="1342"/>
      <c r="WUA10" s="1336"/>
      <c r="WUB10" s="1336"/>
      <c r="WUC10" s="1336"/>
      <c r="WUD10" s="1336"/>
      <c r="WUE10" s="1337"/>
      <c r="WUF10" s="1337"/>
      <c r="WUG10" s="1337"/>
      <c r="WUH10" s="1337"/>
      <c r="WUI10" s="1337"/>
      <c r="WUJ10" s="1338"/>
      <c r="WUK10" s="1339"/>
      <c r="WUL10" s="1340"/>
      <c r="WUM10" s="1340"/>
      <c r="WUN10" s="1340"/>
      <c r="WUO10" s="1341"/>
      <c r="WUP10" s="1342"/>
      <c r="WUQ10" s="1336"/>
      <c r="WUR10" s="1336"/>
      <c r="WUS10" s="1336"/>
      <c r="WUT10" s="1336"/>
      <c r="WUU10" s="1337"/>
      <c r="WUV10" s="1337"/>
      <c r="WUW10" s="1337"/>
      <c r="WUX10" s="1337"/>
      <c r="WUY10" s="1337"/>
      <c r="WUZ10" s="1338"/>
      <c r="WVA10" s="1339"/>
      <c r="WVB10" s="1340"/>
      <c r="WVC10" s="1340"/>
      <c r="WVD10" s="1340"/>
      <c r="WVE10" s="1341"/>
      <c r="WVF10" s="1342"/>
      <c r="WVG10" s="1336"/>
      <c r="WVH10" s="1336"/>
      <c r="WVI10" s="1336"/>
      <c r="WVJ10" s="1336"/>
      <c r="WVK10" s="1337"/>
      <c r="WVL10" s="1337"/>
      <c r="WVM10" s="1337"/>
      <c r="WVN10" s="1337"/>
      <c r="WVO10" s="1337"/>
      <c r="WVP10" s="1338"/>
      <c r="WVQ10" s="1339"/>
      <c r="WVR10" s="1340"/>
      <c r="WVS10" s="1340"/>
      <c r="WVT10" s="1340"/>
      <c r="WVU10" s="1341"/>
      <c r="WVV10" s="1342"/>
      <c r="WVW10" s="1336"/>
      <c r="WVX10" s="1336"/>
      <c r="WVY10" s="1336"/>
      <c r="WVZ10" s="1336"/>
      <c r="WWA10" s="1337"/>
      <c r="WWB10" s="1337"/>
      <c r="WWC10" s="1337"/>
      <c r="WWD10" s="1337"/>
      <c r="WWE10" s="1337"/>
      <c r="WWF10" s="1338"/>
      <c r="WWG10" s="1339"/>
      <c r="WWH10" s="1340"/>
      <c r="WWI10" s="1340"/>
      <c r="WWJ10" s="1340"/>
      <c r="WWK10" s="1341"/>
      <c r="WWL10" s="1342"/>
      <c r="WWM10" s="1336"/>
      <c r="WWN10" s="1336"/>
      <c r="WWO10" s="1336"/>
      <c r="WWP10" s="1336"/>
      <c r="WWQ10" s="1337"/>
      <c r="WWR10" s="1337"/>
      <c r="WWS10" s="1337"/>
      <c r="WWT10" s="1337"/>
      <c r="WWU10" s="1337"/>
      <c r="WWV10" s="1338"/>
      <c r="WWW10" s="1339"/>
      <c r="WWX10" s="1340"/>
      <c r="WWY10" s="1340"/>
      <c r="WWZ10" s="1340"/>
      <c r="WXA10" s="1341"/>
      <c r="WXB10" s="1342"/>
      <c r="WXC10" s="1336"/>
      <c r="WXD10" s="1336"/>
      <c r="WXE10" s="1336"/>
      <c r="WXF10" s="1336"/>
      <c r="WXG10" s="1337"/>
      <c r="WXH10" s="1337"/>
      <c r="WXI10" s="1337"/>
      <c r="WXJ10" s="1337"/>
      <c r="WXK10" s="1337"/>
      <c r="WXL10" s="1338"/>
      <c r="WXM10" s="1339"/>
      <c r="WXN10" s="1340"/>
      <c r="WXO10" s="1340"/>
      <c r="WXP10" s="1340"/>
      <c r="WXQ10" s="1341"/>
      <c r="WXR10" s="1342"/>
      <c r="WXS10" s="1336"/>
      <c r="WXT10" s="1336"/>
      <c r="WXU10" s="1336"/>
      <c r="WXV10" s="1336"/>
      <c r="WXW10" s="1337"/>
      <c r="WXX10" s="1337"/>
      <c r="WXY10" s="1337"/>
      <c r="WXZ10" s="1337"/>
      <c r="WYA10" s="1337"/>
      <c r="WYB10" s="1338"/>
      <c r="WYC10" s="1339"/>
      <c r="WYD10" s="1340"/>
      <c r="WYE10" s="1340"/>
      <c r="WYF10" s="1340"/>
      <c r="WYG10" s="1341"/>
      <c r="WYH10" s="1342"/>
      <c r="WYI10" s="1336"/>
      <c r="WYJ10" s="1336"/>
      <c r="WYK10" s="1336"/>
      <c r="WYL10" s="1336"/>
      <c r="WYM10" s="1337"/>
      <c r="WYN10" s="1337"/>
      <c r="WYO10" s="1337"/>
      <c r="WYP10" s="1337"/>
      <c r="WYQ10" s="1337"/>
      <c r="WYR10" s="1338"/>
      <c r="WYS10" s="1339"/>
      <c r="WYT10" s="1340"/>
      <c r="WYU10" s="1340"/>
      <c r="WYV10" s="1340"/>
      <c r="WYW10" s="1341"/>
      <c r="WYX10" s="1342"/>
      <c r="WYY10" s="1336"/>
      <c r="WYZ10" s="1336"/>
      <c r="WZA10" s="1336"/>
      <c r="WZB10" s="1336"/>
      <c r="WZC10" s="1337"/>
      <c r="WZD10" s="1337"/>
      <c r="WZE10" s="1337"/>
      <c r="WZF10" s="1337"/>
      <c r="WZG10" s="1337"/>
      <c r="WZH10" s="1338"/>
      <c r="WZI10" s="1339"/>
      <c r="WZJ10" s="1340"/>
      <c r="WZK10" s="1340"/>
      <c r="WZL10" s="1340"/>
      <c r="WZM10" s="1341"/>
      <c r="WZN10" s="1342"/>
      <c r="WZO10" s="1336"/>
      <c r="WZP10" s="1336"/>
      <c r="WZQ10" s="1336"/>
      <c r="WZR10" s="1336"/>
      <c r="WZS10" s="1337"/>
      <c r="WZT10" s="1337"/>
      <c r="WZU10" s="1337"/>
      <c r="WZV10" s="1337"/>
      <c r="WZW10" s="1337"/>
      <c r="WZX10" s="1338"/>
      <c r="WZY10" s="1339"/>
      <c r="WZZ10" s="1340"/>
      <c r="XAA10" s="1340"/>
      <c r="XAB10" s="1340"/>
      <c r="XAC10" s="1341"/>
      <c r="XAD10" s="1342"/>
      <c r="XAE10" s="1336"/>
      <c r="XAF10" s="1336"/>
      <c r="XAG10" s="1336"/>
      <c r="XAH10" s="1336"/>
      <c r="XAI10" s="1337"/>
      <c r="XAJ10" s="1337"/>
      <c r="XAK10" s="1337"/>
      <c r="XAL10" s="1337"/>
      <c r="XAM10" s="1337"/>
      <c r="XAN10" s="1338"/>
      <c r="XAO10" s="1339"/>
      <c r="XAP10" s="1340"/>
      <c r="XAQ10" s="1340"/>
      <c r="XAR10" s="1340"/>
      <c r="XAS10" s="1341"/>
      <c r="XAT10" s="1342"/>
      <c r="XAU10" s="1336"/>
      <c r="XAV10" s="1336"/>
      <c r="XAW10" s="1336"/>
      <c r="XAX10" s="1336"/>
      <c r="XAY10" s="1337"/>
      <c r="XAZ10" s="1337"/>
      <c r="XBA10" s="1337"/>
      <c r="XBB10" s="1337"/>
      <c r="XBC10" s="1337"/>
      <c r="XBD10" s="1338"/>
      <c r="XBE10" s="1339"/>
      <c r="XBF10" s="1340"/>
      <c r="XBG10" s="1340"/>
      <c r="XBH10" s="1340"/>
      <c r="XBI10" s="1341"/>
      <c r="XBJ10" s="1342"/>
      <c r="XBK10" s="1336"/>
      <c r="XBL10" s="1336"/>
      <c r="XBM10" s="1336"/>
      <c r="XBN10" s="1336"/>
      <c r="XBO10" s="1337"/>
      <c r="XBP10" s="1337"/>
      <c r="XBQ10" s="1337"/>
      <c r="XBR10" s="1337"/>
      <c r="XBS10" s="1337"/>
      <c r="XBT10" s="1338"/>
    </row>
    <row r="11" spans="1:16296" ht="18" customHeight="1" x14ac:dyDescent="0.35">
      <c r="A11" s="7152" t="s">
        <v>1231</v>
      </c>
      <c r="B11" s="7153"/>
      <c r="C11" s="7153"/>
      <c r="D11" s="7153"/>
      <c r="E11" s="7166">
        <v>0.15</v>
      </c>
      <c r="F11" s="7167"/>
      <c r="G11" s="7183">
        <f>E11*G9</f>
        <v>210.75</v>
      </c>
      <c r="H11" s="7183"/>
      <c r="I11" s="7157"/>
      <c r="J11" s="7157"/>
      <c r="K11" s="7158"/>
      <c r="L11" s="7158"/>
      <c r="M11" s="7158"/>
      <c r="N11" s="7158"/>
      <c r="O11" s="7158"/>
      <c r="P11" s="7159"/>
      <c r="Q11" s="7178"/>
      <c r="R11" s="7179"/>
      <c r="S11" s="7176"/>
      <c r="T11" s="7176"/>
      <c r="U11" s="7176"/>
      <c r="V11" s="7176"/>
      <c r="W11" s="7176"/>
      <c r="X11" s="7176"/>
      <c r="Y11" s="7180"/>
      <c r="Z11" s="7181"/>
      <c r="AA11" s="7181"/>
      <c r="AB11" s="7181"/>
      <c r="AC11" s="7175"/>
      <c r="AD11" s="7175"/>
      <c r="AE11" s="7175"/>
      <c r="AF11" s="7175"/>
      <c r="AG11" s="7175"/>
      <c r="AH11" s="7175"/>
      <c r="AI11" s="7176"/>
      <c r="AJ11" s="7176"/>
      <c r="AK11" s="7176"/>
      <c r="AL11" s="7176"/>
      <c r="AM11" s="7176"/>
      <c r="AN11" s="7176"/>
      <c r="AO11" s="7177"/>
      <c r="AP11" s="7153"/>
      <c r="AQ11" s="7153"/>
      <c r="AR11" s="7153"/>
      <c r="AS11" s="7157"/>
      <c r="AT11" s="7157"/>
      <c r="AU11" s="7157"/>
      <c r="AV11" s="7157"/>
      <c r="AW11" s="7157"/>
      <c r="AX11" s="7157"/>
      <c r="AY11" s="7158"/>
      <c r="AZ11" s="7158"/>
      <c r="BA11" s="7158"/>
      <c r="BB11" s="7158"/>
      <c r="BC11" s="7158"/>
      <c r="BD11" s="7159"/>
      <c r="BE11" s="7152"/>
      <c r="BF11" s="7153"/>
      <c r="BG11" s="7153"/>
      <c r="BH11" s="7153"/>
      <c r="BI11" s="7157"/>
      <c r="BJ11" s="7157"/>
      <c r="BK11" s="7157"/>
      <c r="BL11" s="7157"/>
      <c r="BM11" s="7157"/>
      <c r="BN11" s="7157"/>
      <c r="BO11" s="7158"/>
      <c r="BP11" s="7158"/>
      <c r="BQ11" s="7158"/>
      <c r="BR11" s="7158"/>
      <c r="BS11" s="7158"/>
      <c r="BT11" s="7159"/>
      <c r="BU11" s="7152"/>
      <c r="BV11" s="7153"/>
      <c r="BW11" s="7153"/>
      <c r="BX11" s="7153"/>
      <c r="BY11" s="7157"/>
      <c r="BZ11" s="7157"/>
      <c r="CA11" s="7157"/>
      <c r="CB11" s="7157"/>
      <c r="CC11" s="7157"/>
      <c r="CD11" s="7157"/>
      <c r="CE11" s="7158"/>
      <c r="CF11" s="7158"/>
      <c r="CG11" s="7158"/>
      <c r="CH11" s="7158"/>
      <c r="CI11" s="7158"/>
      <c r="CJ11" s="7159"/>
      <c r="CK11" s="7152"/>
      <c r="CL11" s="7153"/>
      <c r="CM11" s="7153"/>
      <c r="CN11" s="7153"/>
      <c r="CO11" s="7157"/>
      <c r="CP11" s="7157"/>
      <c r="CQ11" s="7157"/>
      <c r="CR11" s="7157"/>
      <c r="CS11" s="7157"/>
      <c r="CT11" s="7157"/>
      <c r="CU11" s="7158"/>
      <c r="CV11" s="7158"/>
      <c r="CW11" s="7158"/>
      <c r="CX11" s="7158"/>
      <c r="CY11" s="7158"/>
      <c r="CZ11" s="7159"/>
      <c r="DA11" s="7152"/>
      <c r="DB11" s="7153"/>
      <c r="DC11" s="7153"/>
      <c r="DD11" s="7153"/>
      <c r="DE11" s="7157"/>
      <c r="DF11" s="7157"/>
      <c r="DG11" s="7157"/>
      <c r="DH11" s="7157"/>
      <c r="DI11" s="7157"/>
      <c r="DJ11" s="7157"/>
      <c r="DK11" s="7158"/>
      <c r="DL11" s="7158"/>
      <c r="DM11" s="7158"/>
      <c r="DN11" s="7158"/>
      <c r="DO11" s="7158"/>
      <c r="DP11" s="7159"/>
      <c r="DQ11" s="7152"/>
      <c r="DR11" s="7153"/>
      <c r="DS11" s="7153"/>
      <c r="DT11" s="7153"/>
      <c r="DU11" s="7157"/>
      <c r="DV11" s="7157"/>
      <c r="DW11" s="7157"/>
      <c r="DX11" s="7157"/>
      <c r="DY11" s="7157"/>
      <c r="DZ11" s="7157"/>
      <c r="EA11" s="7158"/>
      <c r="EB11" s="7158"/>
      <c r="EC11" s="7158"/>
      <c r="ED11" s="7158"/>
      <c r="EE11" s="7158"/>
      <c r="EF11" s="7159"/>
      <c r="EG11" s="7152"/>
      <c r="EH11" s="7153"/>
      <c r="EI11" s="7153"/>
      <c r="EJ11" s="7153"/>
      <c r="EK11" s="7157"/>
      <c r="EL11" s="7157"/>
      <c r="EM11" s="7157"/>
      <c r="EN11" s="7157"/>
      <c r="EO11" s="7157"/>
      <c r="EP11" s="7157"/>
      <c r="EQ11" s="7158"/>
      <c r="ER11" s="7158"/>
      <c r="ES11" s="7158"/>
      <c r="ET11" s="7158"/>
      <c r="EU11" s="7158"/>
      <c r="EV11" s="7159"/>
      <c r="EW11" s="7152"/>
      <c r="EX11" s="7153"/>
      <c r="EY11" s="7153"/>
      <c r="EZ11" s="7153"/>
      <c r="FA11" s="7157"/>
      <c r="FB11" s="7157"/>
      <c r="FC11" s="7157"/>
      <c r="FD11" s="7157"/>
      <c r="FE11" s="7157"/>
      <c r="FF11" s="7157"/>
      <c r="FG11" s="7158"/>
      <c r="FH11" s="7158"/>
      <c r="FI11" s="7158"/>
      <c r="FJ11" s="7158"/>
      <c r="FK11" s="7158"/>
      <c r="FL11" s="7159"/>
      <c r="FM11" s="7152"/>
      <c r="FN11" s="7153"/>
      <c r="FO11" s="7153"/>
      <c r="FP11" s="7153"/>
      <c r="FQ11" s="7157"/>
      <c r="FR11" s="7157"/>
      <c r="FS11" s="7157"/>
      <c r="FT11" s="7157"/>
      <c r="FU11" s="7157"/>
      <c r="FV11" s="7157"/>
      <c r="FW11" s="7158"/>
      <c r="FX11" s="7158"/>
      <c r="FY11" s="7158"/>
      <c r="FZ11" s="7158"/>
      <c r="GA11" s="7158"/>
      <c r="GB11" s="7159"/>
      <c r="GC11" s="7152"/>
      <c r="GD11" s="7153"/>
      <c r="GE11" s="7153"/>
      <c r="GF11" s="7153"/>
      <c r="GG11" s="7157"/>
      <c r="GH11" s="7157"/>
      <c r="GI11" s="7157"/>
      <c r="GJ11" s="7157"/>
      <c r="GK11" s="7157"/>
      <c r="GL11" s="7157"/>
      <c r="GM11" s="7158"/>
      <c r="GN11" s="7158"/>
      <c r="GO11" s="7158"/>
      <c r="GP11" s="7158"/>
      <c r="GQ11" s="7158"/>
      <c r="GR11" s="7159"/>
      <c r="GS11" s="7152"/>
      <c r="GT11" s="7153"/>
      <c r="GU11" s="7153"/>
      <c r="GV11" s="7153"/>
      <c r="GW11" s="7157"/>
      <c r="GX11" s="7157"/>
      <c r="GY11" s="7157"/>
      <c r="GZ11" s="7157"/>
      <c r="HA11" s="7157"/>
      <c r="HB11" s="7157"/>
      <c r="HC11" s="7158"/>
      <c r="HD11" s="7158"/>
      <c r="HE11" s="7158"/>
      <c r="HF11" s="7158"/>
      <c r="HG11" s="7158"/>
      <c r="HH11" s="7159"/>
      <c r="HI11" s="7152"/>
      <c r="HJ11" s="7153"/>
      <c r="HK11" s="7153"/>
      <c r="HL11" s="7153"/>
      <c r="HM11" s="7157"/>
      <c r="HN11" s="7157"/>
      <c r="HO11" s="7157"/>
      <c r="HP11" s="7157"/>
      <c r="HQ11" s="7157"/>
      <c r="HR11" s="7157"/>
      <c r="HS11" s="7158"/>
      <c r="HT11" s="7158"/>
      <c r="HU11" s="7158"/>
      <c r="HV11" s="7158"/>
      <c r="HW11" s="7158"/>
      <c r="HX11" s="7159"/>
      <c r="HY11" s="7152"/>
      <c r="HZ11" s="7153"/>
      <c r="IA11" s="7153"/>
      <c r="IB11" s="7153"/>
      <c r="IC11" s="7157"/>
      <c r="ID11" s="7157"/>
      <c r="IE11" s="7157"/>
      <c r="IF11" s="7157"/>
      <c r="IG11" s="7157"/>
      <c r="IH11" s="7157"/>
      <c r="II11" s="7158"/>
      <c r="IJ11" s="7158"/>
      <c r="IK11" s="7158"/>
      <c r="IL11" s="7158"/>
      <c r="IM11" s="7158"/>
      <c r="IN11" s="7159"/>
      <c r="IO11" s="7152"/>
      <c r="IP11" s="7153"/>
      <c r="IQ11" s="7153"/>
      <c r="IR11" s="7153"/>
      <c r="IS11" s="7157"/>
      <c r="IT11" s="7157"/>
      <c r="IU11" s="7157"/>
      <c r="IV11" s="7157"/>
      <c r="IW11" s="7157"/>
      <c r="IX11" s="7157"/>
      <c r="IY11" s="7158"/>
      <c r="IZ11" s="7158"/>
      <c r="JA11" s="7158"/>
      <c r="JB11" s="7158"/>
      <c r="JC11" s="7158"/>
      <c r="JD11" s="7159"/>
      <c r="JE11" s="7152"/>
      <c r="JF11" s="7153"/>
      <c r="JG11" s="7153"/>
      <c r="JH11" s="7153"/>
      <c r="JI11" s="7157"/>
      <c r="JJ11" s="7157"/>
      <c r="JK11" s="7157"/>
      <c r="JL11" s="7157"/>
      <c r="JM11" s="7157"/>
      <c r="JN11" s="7157"/>
      <c r="JO11" s="7158"/>
      <c r="JP11" s="7158"/>
      <c r="JQ11" s="7158"/>
      <c r="JR11" s="7158"/>
      <c r="JS11" s="7158"/>
      <c r="JT11" s="7159"/>
      <c r="JU11" s="7152"/>
      <c r="JV11" s="7153"/>
      <c r="JW11" s="7153"/>
      <c r="JX11" s="7153"/>
      <c r="JY11" s="7157"/>
      <c r="JZ11" s="7157"/>
      <c r="KA11" s="7157"/>
      <c r="KB11" s="7157"/>
      <c r="KC11" s="7157"/>
      <c r="KD11" s="7157"/>
      <c r="KE11" s="7158"/>
      <c r="KF11" s="7158"/>
      <c r="KG11" s="7158"/>
      <c r="KH11" s="7158"/>
      <c r="KI11" s="7158"/>
      <c r="KJ11" s="7159"/>
      <c r="KK11" s="7152"/>
      <c r="KL11" s="7153"/>
      <c r="KM11" s="7153"/>
      <c r="KN11" s="7153"/>
      <c r="KO11" s="7157"/>
      <c r="KP11" s="7157"/>
      <c r="KQ11" s="7157"/>
      <c r="KR11" s="7157"/>
      <c r="KS11" s="7157"/>
      <c r="KT11" s="7157"/>
      <c r="KU11" s="7158"/>
      <c r="KV11" s="7158"/>
      <c r="KW11" s="7158"/>
      <c r="KX11" s="7158"/>
      <c r="KY11" s="7158"/>
      <c r="KZ11" s="7159"/>
      <c r="LA11" s="7152"/>
      <c r="LB11" s="7153"/>
      <c r="LC11" s="7153"/>
      <c r="LD11" s="7153"/>
      <c r="LE11" s="7157"/>
      <c r="LF11" s="7157"/>
      <c r="LG11" s="7157"/>
      <c r="LH11" s="7157"/>
      <c r="LI11" s="7157"/>
      <c r="LJ11" s="7157"/>
      <c r="LK11" s="7158"/>
      <c r="LL11" s="7158"/>
      <c r="LM11" s="7158"/>
      <c r="LN11" s="7158"/>
      <c r="LO11" s="7158"/>
      <c r="LP11" s="7159"/>
      <c r="LQ11" s="7152"/>
      <c r="LR11" s="7153"/>
      <c r="LS11" s="7153"/>
      <c r="LT11" s="7153"/>
      <c r="LU11" s="7157"/>
      <c r="LV11" s="7157"/>
      <c r="LW11" s="7157"/>
      <c r="LX11" s="7157"/>
      <c r="LY11" s="7157"/>
      <c r="LZ11" s="7157"/>
      <c r="MA11" s="7158"/>
      <c r="MB11" s="7158"/>
      <c r="MC11" s="7158"/>
      <c r="MD11" s="7158"/>
      <c r="ME11" s="7158"/>
      <c r="MF11" s="7159"/>
      <c r="MG11" s="7152"/>
      <c r="MH11" s="7153"/>
      <c r="MI11" s="7153"/>
      <c r="MJ11" s="7153"/>
      <c r="MK11" s="7157"/>
      <c r="ML11" s="7157"/>
      <c r="MM11" s="7157"/>
      <c r="MN11" s="7157"/>
      <c r="MO11" s="7157"/>
      <c r="MP11" s="7157"/>
      <c r="MQ11" s="7158"/>
      <c r="MR11" s="7158"/>
      <c r="MS11" s="7158"/>
      <c r="MT11" s="7158"/>
      <c r="MU11" s="7158"/>
      <c r="MV11" s="7159"/>
      <c r="MW11" s="7152"/>
      <c r="MX11" s="7153"/>
      <c r="MY11" s="7153"/>
      <c r="MZ11" s="7153"/>
      <c r="NA11" s="7157"/>
      <c r="NB11" s="7157"/>
      <c r="NC11" s="7157"/>
      <c r="ND11" s="7157"/>
      <c r="NE11" s="7157"/>
      <c r="NF11" s="7157"/>
      <c r="NG11" s="7158"/>
      <c r="NH11" s="7158"/>
      <c r="NI11" s="7158"/>
      <c r="NJ11" s="7158"/>
      <c r="NK11" s="7158"/>
      <c r="NL11" s="7159"/>
      <c r="NM11" s="7152"/>
      <c r="NN11" s="7153"/>
      <c r="NO11" s="7153"/>
      <c r="NP11" s="7153"/>
      <c r="NQ11" s="7157"/>
      <c r="NR11" s="7157"/>
      <c r="NS11" s="7157"/>
      <c r="NT11" s="7157"/>
      <c r="NU11" s="7157"/>
      <c r="NV11" s="7157"/>
      <c r="NW11" s="7158"/>
      <c r="NX11" s="7158"/>
      <c r="NY11" s="7158"/>
      <c r="NZ11" s="7158"/>
      <c r="OA11" s="7158"/>
      <c r="OB11" s="7159"/>
      <c r="OC11" s="7152"/>
      <c r="OD11" s="7153"/>
      <c r="OE11" s="7153"/>
      <c r="OF11" s="7153"/>
      <c r="OG11" s="7157"/>
      <c r="OH11" s="7157"/>
      <c r="OI11" s="7157"/>
      <c r="OJ11" s="7157"/>
      <c r="OK11" s="7157"/>
      <c r="OL11" s="7157"/>
      <c r="OM11" s="7158"/>
      <c r="ON11" s="7158"/>
      <c r="OO11" s="7158"/>
      <c r="OP11" s="7158"/>
      <c r="OQ11" s="7158"/>
      <c r="OR11" s="7159"/>
      <c r="OS11" s="7152"/>
      <c r="OT11" s="7153"/>
      <c r="OU11" s="7153"/>
      <c r="OV11" s="7153"/>
      <c r="OW11" s="7157"/>
      <c r="OX11" s="7157"/>
      <c r="OY11" s="7157"/>
      <c r="OZ11" s="7157"/>
      <c r="PA11" s="7157"/>
      <c r="PB11" s="7157"/>
      <c r="PC11" s="7158"/>
      <c r="PD11" s="7158"/>
      <c r="PE11" s="7158"/>
      <c r="PF11" s="7158"/>
      <c r="PG11" s="7158"/>
      <c r="PH11" s="7159"/>
      <c r="PI11" s="7152"/>
      <c r="PJ11" s="7153"/>
      <c r="PK11" s="7153"/>
      <c r="PL11" s="7153"/>
      <c r="PM11" s="7157"/>
      <c r="PN11" s="7157"/>
      <c r="PO11" s="7157"/>
      <c r="PP11" s="7157"/>
      <c r="PQ11" s="7157"/>
      <c r="PR11" s="7157"/>
      <c r="PS11" s="7158"/>
      <c r="PT11" s="7158"/>
      <c r="PU11" s="7158"/>
      <c r="PV11" s="7158"/>
      <c r="PW11" s="7158"/>
      <c r="PX11" s="7159"/>
      <c r="PY11" s="7152"/>
      <c r="PZ11" s="7153"/>
      <c r="QA11" s="7153"/>
      <c r="QB11" s="7153"/>
      <c r="QC11" s="7157"/>
      <c r="QD11" s="7157"/>
      <c r="QE11" s="7157"/>
      <c r="QF11" s="7157"/>
      <c r="QG11" s="7157"/>
      <c r="QH11" s="7157"/>
      <c r="QI11" s="7158"/>
      <c r="QJ11" s="7158"/>
      <c r="QK11" s="7158"/>
      <c r="QL11" s="7158"/>
      <c r="QM11" s="7158"/>
      <c r="QN11" s="7159"/>
      <c r="QO11" s="7152"/>
      <c r="QP11" s="7153"/>
      <c r="QQ11" s="7153"/>
      <c r="QR11" s="7153"/>
      <c r="QS11" s="7157"/>
      <c r="QT11" s="7157"/>
      <c r="QU11" s="7157"/>
      <c r="QV11" s="7157"/>
      <c r="QW11" s="7157"/>
      <c r="QX11" s="7157"/>
      <c r="QY11" s="7158"/>
      <c r="QZ11" s="7158"/>
      <c r="RA11" s="7158"/>
      <c r="RB11" s="7158"/>
      <c r="RC11" s="7158"/>
      <c r="RD11" s="7159"/>
      <c r="RE11" s="7152"/>
      <c r="RF11" s="7153"/>
      <c r="RG11" s="7153"/>
      <c r="RH11" s="7153"/>
      <c r="RI11" s="7157"/>
      <c r="RJ11" s="7157"/>
      <c r="RK11" s="7157"/>
      <c r="RL11" s="7157"/>
      <c r="RM11" s="7157"/>
      <c r="RN11" s="7157"/>
      <c r="RO11" s="7158"/>
      <c r="RP11" s="7158"/>
      <c r="RQ11" s="7158"/>
      <c r="RR11" s="7158"/>
      <c r="RS11" s="7158"/>
      <c r="RT11" s="7159"/>
      <c r="RU11" s="7152"/>
      <c r="RV11" s="7153"/>
      <c r="RW11" s="7153"/>
      <c r="RX11" s="7153"/>
      <c r="RY11" s="7157"/>
      <c r="RZ11" s="7157"/>
      <c r="SA11" s="7157"/>
      <c r="SB11" s="7157"/>
      <c r="SC11" s="7157"/>
      <c r="SD11" s="7157"/>
      <c r="SE11" s="7158"/>
      <c r="SF11" s="7158"/>
      <c r="SG11" s="7158"/>
      <c r="SH11" s="7158"/>
      <c r="SI11" s="7158"/>
      <c r="SJ11" s="7159"/>
      <c r="SK11" s="7152"/>
      <c r="SL11" s="7153"/>
      <c r="SM11" s="7153"/>
      <c r="SN11" s="7153"/>
      <c r="SO11" s="7157"/>
      <c r="SP11" s="7157"/>
      <c r="SQ11" s="7157"/>
      <c r="SR11" s="7157"/>
      <c r="SS11" s="7157"/>
      <c r="ST11" s="7157"/>
      <c r="SU11" s="7158"/>
      <c r="SV11" s="7158"/>
      <c r="SW11" s="7158"/>
      <c r="SX11" s="7158"/>
      <c r="SY11" s="7158"/>
      <c r="SZ11" s="7159"/>
      <c r="TA11" s="7152"/>
      <c r="TB11" s="7153"/>
      <c r="TC11" s="7153"/>
      <c r="TD11" s="7153"/>
      <c r="TE11" s="7157"/>
      <c r="TF11" s="7157"/>
      <c r="TG11" s="7157"/>
      <c r="TH11" s="7157"/>
      <c r="TI11" s="7157"/>
      <c r="TJ11" s="7157"/>
      <c r="TK11" s="7158"/>
      <c r="TL11" s="7158"/>
      <c r="TM11" s="7158"/>
      <c r="TN11" s="7158"/>
      <c r="TO11" s="7158"/>
      <c r="TP11" s="7159"/>
      <c r="TQ11" s="7152"/>
      <c r="TR11" s="7153"/>
      <c r="TS11" s="7153"/>
      <c r="TT11" s="7153"/>
      <c r="TU11" s="7157"/>
      <c r="TV11" s="7157"/>
      <c r="TW11" s="7157"/>
      <c r="TX11" s="7157"/>
      <c r="TY11" s="7157"/>
      <c r="TZ11" s="7157"/>
      <c r="UA11" s="7158"/>
      <c r="UB11" s="7158"/>
      <c r="UC11" s="7158"/>
      <c r="UD11" s="7158"/>
      <c r="UE11" s="7158"/>
      <c r="UF11" s="7159"/>
      <c r="UG11" s="7152"/>
      <c r="UH11" s="7153"/>
      <c r="UI11" s="7153"/>
      <c r="UJ11" s="7153"/>
      <c r="UK11" s="7157"/>
      <c r="UL11" s="7157"/>
      <c r="UM11" s="7157"/>
      <c r="UN11" s="7157"/>
      <c r="UO11" s="7157"/>
      <c r="UP11" s="7157"/>
      <c r="UQ11" s="7158"/>
      <c r="UR11" s="7158"/>
      <c r="US11" s="7158"/>
      <c r="UT11" s="7158"/>
      <c r="UU11" s="7158"/>
      <c r="UV11" s="7159"/>
      <c r="UW11" s="7152"/>
      <c r="UX11" s="7153"/>
      <c r="UY11" s="7153"/>
      <c r="UZ11" s="7153"/>
      <c r="VA11" s="7157"/>
      <c r="VB11" s="7157"/>
      <c r="VC11" s="7157"/>
      <c r="VD11" s="7157"/>
      <c r="VE11" s="7157"/>
      <c r="VF11" s="7157"/>
      <c r="VG11" s="7158"/>
      <c r="VH11" s="7158"/>
      <c r="VI11" s="7158"/>
      <c r="VJ11" s="7158"/>
      <c r="VK11" s="7158"/>
      <c r="VL11" s="7159"/>
      <c r="VM11" s="7152"/>
      <c r="VN11" s="7153"/>
      <c r="VO11" s="7153"/>
      <c r="VP11" s="7153"/>
      <c r="VQ11" s="7157"/>
      <c r="VR11" s="7157"/>
      <c r="VS11" s="7157"/>
      <c r="VT11" s="7157"/>
      <c r="VU11" s="7157"/>
      <c r="VV11" s="7157"/>
      <c r="VW11" s="7158"/>
      <c r="VX11" s="7158"/>
      <c r="VY11" s="7158"/>
      <c r="VZ11" s="7158"/>
      <c r="WA11" s="7158"/>
      <c r="WB11" s="7159"/>
      <c r="WC11" s="7152"/>
      <c r="WD11" s="7153"/>
      <c r="WE11" s="7153"/>
      <c r="WF11" s="7153"/>
      <c r="WG11" s="7157"/>
      <c r="WH11" s="7157"/>
      <c r="WI11" s="7157"/>
      <c r="WJ11" s="7157"/>
      <c r="WK11" s="7157"/>
      <c r="WL11" s="7157"/>
      <c r="WM11" s="7158"/>
      <c r="WN11" s="7158"/>
      <c r="WO11" s="7158"/>
      <c r="WP11" s="7158"/>
      <c r="WQ11" s="7158"/>
      <c r="WR11" s="7159"/>
      <c r="WS11" s="7152"/>
      <c r="WT11" s="7153"/>
      <c r="WU11" s="7153"/>
      <c r="WV11" s="7153"/>
      <c r="WW11" s="7157"/>
      <c r="WX11" s="7157"/>
      <c r="WY11" s="7157"/>
      <c r="WZ11" s="7157"/>
      <c r="XA11" s="7157"/>
      <c r="XB11" s="7157"/>
      <c r="XC11" s="7158"/>
      <c r="XD11" s="7158"/>
      <c r="XE11" s="7158"/>
      <c r="XF11" s="7158"/>
      <c r="XG11" s="7158"/>
      <c r="XH11" s="7159"/>
      <c r="XI11" s="7152"/>
      <c r="XJ11" s="7153"/>
      <c r="XK11" s="7153"/>
      <c r="XL11" s="7153"/>
      <c r="XM11" s="7157"/>
      <c r="XN11" s="7157"/>
      <c r="XO11" s="7157"/>
      <c r="XP11" s="7157"/>
      <c r="XQ11" s="7157"/>
      <c r="XR11" s="7157"/>
      <c r="XS11" s="7158"/>
      <c r="XT11" s="7158"/>
      <c r="XU11" s="7158"/>
      <c r="XV11" s="7158"/>
      <c r="XW11" s="7158"/>
      <c r="XX11" s="7159"/>
      <c r="XY11" s="7152"/>
      <c r="XZ11" s="7153"/>
      <c r="YA11" s="7153"/>
      <c r="YB11" s="7153"/>
      <c r="YC11" s="7157"/>
      <c r="YD11" s="7157"/>
      <c r="YE11" s="7157"/>
      <c r="YF11" s="7157"/>
      <c r="YG11" s="7157"/>
      <c r="YH11" s="7157"/>
      <c r="YI11" s="7158"/>
      <c r="YJ11" s="7158"/>
      <c r="YK11" s="7158"/>
      <c r="YL11" s="7158"/>
      <c r="YM11" s="7158"/>
      <c r="YN11" s="7159"/>
      <c r="YO11" s="7152"/>
      <c r="YP11" s="7153"/>
      <c r="YQ11" s="7153"/>
      <c r="YR11" s="7153"/>
      <c r="YS11" s="7157"/>
      <c r="YT11" s="7157"/>
      <c r="YU11" s="7157"/>
      <c r="YV11" s="7157"/>
      <c r="YW11" s="7157"/>
      <c r="YX11" s="7157"/>
      <c r="YY11" s="7158"/>
      <c r="YZ11" s="7158"/>
      <c r="ZA11" s="7158"/>
      <c r="ZB11" s="7158"/>
      <c r="ZC11" s="7158"/>
      <c r="ZD11" s="7159"/>
      <c r="ZE11" s="7152"/>
      <c r="ZF11" s="7153"/>
      <c r="ZG11" s="7153"/>
      <c r="ZH11" s="7153"/>
      <c r="ZI11" s="7157"/>
      <c r="ZJ11" s="7157"/>
      <c r="ZK11" s="7157"/>
      <c r="ZL11" s="7157"/>
      <c r="ZM11" s="7157"/>
      <c r="ZN11" s="7157"/>
      <c r="ZO11" s="7158"/>
      <c r="ZP11" s="7158"/>
      <c r="ZQ11" s="7158"/>
      <c r="ZR11" s="7158"/>
      <c r="ZS11" s="7158"/>
      <c r="ZT11" s="7159"/>
      <c r="ZU11" s="7152"/>
      <c r="ZV11" s="7153"/>
      <c r="ZW11" s="7153"/>
      <c r="ZX11" s="7153"/>
      <c r="ZY11" s="7157"/>
      <c r="ZZ11" s="7157"/>
      <c r="AAA11" s="7157"/>
      <c r="AAB11" s="7157"/>
      <c r="AAC11" s="7157"/>
      <c r="AAD11" s="7157"/>
      <c r="AAE11" s="7158"/>
      <c r="AAF11" s="7158"/>
      <c r="AAG11" s="7158"/>
      <c r="AAH11" s="7158"/>
      <c r="AAI11" s="7158"/>
      <c r="AAJ11" s="7159"/>
      <c r="AAK11" s="7152"/>
      <c r="AAL11" s="7153"/>
      <c r="AAM11" s="7153"/>
      <c r="AAN11" s="7153"/>
      <c r="AAO11" s="7157"/>
      <c r="AAP11" s="7157"/>
      <c r="AAQ11" s="7157"/>
      <c r="AAR11" s="7157"/>
      <c r="AAS11" s="7157"/>
      <c r="AAT11" s="7157"/>
      <c r="AAU11" s="7158"/>
      <c r="AAV11" s="7158"/>
      <c r="AAW11" s="7158"/>
      <c r="AAX11" s="7158"/>
      <c r="AAY11" s="7158"/>
      <c r="AAZ11" s="7159"/>
      <c r="ABA11" s="7152"/>
      <c r="ABB11" s="7153"/>
      <c r="ABC11" s="7153"/>
      <c r="ABD11" s="7153"/>
      <c r="ABE11" s="7157"/>
      <c r="ABF11" s="7157"/>
      <c r="ABG11" s="7157"/>
      <c r="ABH11" s="7157"/>
      <c r="ABI11" s="7157"/>
      <c r="ABJ11" s="7157"/>
      <c r="ABK11" s="7158"/>
      <c r="ABL11" s="7158"/>
      <c r="ABM11" s="7158"/>
      <c r="ABN11" s="7158"/>
      <c r="ABO11" s="7158"/>
      <c r="ABP11" s="7159"/>
      <c r="ABQ11" s="7152"/>
      <c r="ABR11" s="7153"/>
      <c r="ABS11" s="7153"/>
      <c r="ABT11" s="7153"/>
      <c r="ABU11" s="7157"/>
      <c r="ABV11" s="7157"/>
      <c r="ABW11" s="7157"/>
      <c r="ABX11" s="7157"/>
      <c r="ABY11" s="7157"/>
      <c r="ABZ11" s="7157"/>
      <c r="ACA11" s="7158"/>
      <c r="ACB11" s="7158"/>
      <c r="ACC11" s="7158"/>
      <c r="ACD11" s="7158"/>
      <c r="ACE11" s="7158"/>
      <c r="ACF11" s="7159"/>
      <c r="ACG11" s="7152"/>
      <c r="ACH11" s="7153"/>
      <c r="ACI11" s="7153"/>
      <c r="ACJ11" s="7153"/>
      <c r="ACK11" s="7157"/>
      <c r="ACL11" s="7157"/>
      <c r="ACM11" s="7157"/>
      <c r="ACN11" s="7157"/>
      <c r="ACO11" s="7157"/>
      <c r="ACP11" s="7157"/>
      <c r="ACQ11" s="7158"/>
      <c r="ACR11" s="7158"/>
      <c r="ACS11" s="7158"/>
      <c r="ACT11" s="7158"/>
      <c r="ACU11" s="7158"/>
      <c r="ACV11" s="7159"/>
      <c r="ACW11" s="7152"/>
      <c r="ACX11" s="7153"/>
      <c r="ACY11" s="7153"/>
      <c r="ACZ11" s="7153"/>
      <c r="ADA11" s="7157"/>
      <c r="ADB11" s="7157"/>
      <c r="ADC11" s="7157"/>
      <c r="ADD11" s="7157"/>
      <c r="ADE11" s="7157"/>
      <c r="ADF11" s="7157"/>
      <c r="ADG11" s="7158"/>
      <c r="ADH11" s="7158"/>
      <c r="ADI11" s="7158"/>
      <c r="ADJ11" s="7158"/>
      <c r="ADK11" s="7158"/>
      <c r="ADL11" s="7159"/>
      <c r="ADM11" s="7152"/>
      <c r="ADN11" s="7153"/>
      <c r="ADO11" s="7153"/>
      <c r="ADP11" s="7153"/>
      <c r="ADQ11" s="7157"/>
      <c r="ADR11" s="7157"/>
      <c r="ADS11" s="7157"/>
      <c r="ADT11" s="7157"/>
      <c r="ADU11" s="7157"/>
      <c r="ADV11" s="7157"/>
      <c r="ADW11" s="7158"/>
      <c r="ADX11" s="7158"/>
      <c r="ADY11" s="7158"/>
      <c r="ADZ11" s="7158"/>
      <c r="AEA11" s="7158"/>
      <c r="AEB11" s="7159"/>
      <c r="AEC11" s="7152"/>
      <c r="AED11" s="7153"/>
      <c r="AEE11" s="7153"/>
      <c r="AEF11" s="7153"/>
      <c r="AEG11" s="7157"/>
      <c r="AEH11" s="7157"/>
      <c r="AEI11" s="7157"/>
      <c r="AEJ11" s="7157"/>
      <c r="AEK11" s="7157"/>
      <c r="AEL11" s="7157"/>
      <c r="AEM11" s="7158"/>
      <c r="AEN11" s="7158"/>
      <c r="AEO11" s="7158"/>
      <c r="AEP11" s="7158"/>
      <c r="AEQ11" s="7158"/>
      <c r="AER11" s="7159"/>
      <c r="AES11" s="7152"/>
      <c r="AET11" s="7153"/>
      <c r="AEU11" s="7153"/>
      <c r="AEV11" s="7153"/>
      <c r="AEW11" s="7157"/>
      <c r="AEX11" s="7157"/>
      <c r="AEY11" s="7157"/>
      <c r="AEZ11" s="7157"/>
      <c r="AFA11" s="7157"/>
      <c r="AFB11" s="7157"/>
      <c r="AFC11" s="7158"/>
      <c r="AFD11" s="7158"/>
      <c r="AFE11" s="7158"/>
      <c r="AFF11" s="7158"/>
      <c r="AFG11" s="7158"/>
      <c r="AFH11" s="7159"/>
      <c r="AFI11" s="7152"/>
      <c r="AFJ11" s="7153"/>
      <c r="AFK11" s="7153"/>
      <c r="AFL11" s="7153"/>
      <c r="AFM11" s="7157"/>
      <c r="AFN11" s="7157"/>
      <c r="AFO11" s="7157"/>
      <c r="AFP11" s="7157"/>
      <c r="AFQ11" s="7157"/>
      <c r="AFR11" s="7157"/>
      <c r="AFS11" s="7158"/>
      <c r="AFT11" s="7158"/>
      <c r="AFU11" s="7158"/>
      <c r="AFV11" s="7158"/>
      <c r="AFW11" s="7158"/>
      <c r="AFX11" s="7159"/>
      <c r="AFY11" s="7152"/>
      <c r="AFZ11" s="7153"/>
      <c r="AGA11" s="7153"/>
      <c r="AGB11" s="7153"/>
      <c r="AGC11" s="7157"/>
      <c r="AGD11" s="7157"/>
      <c r="AGE11" s="7157"/>
      <c r="AGF11" s="7157"/>
      <c r="AGG11" s="7157"/>
      <c r="AGH11" s="7157"/>
      <c r="AGI11" s="7158"/>
      <c r="AGJ11" s="7158"/>
      <c r="AGK11" s="7158"/>
      <c r="AGL11" s="7158"/>
      <c r="AGM11" s="7158"/>
      <c r="AGN11" s="7159"/>
      <c r="AGO11" s="7152"/>
      <c r="AGP11" s="7153"/>
      <c r="AGQ11" s="7153"/>
      <c r="AGR11" s="7153"/>
      <c r="AGS11" s="7157"/>
      <c r="AGT11" s="7157"/>
      <c r="AGU11" s="7157"/>
      <c r="AGV11" s="7157"/>
      <c r="AGW11" s="7157"/>
      <c r="AGX11" s="7157"/>
      <c r="AGY11" s="7158"/>
      <c r="AGZ11" s="7158"/>
      <c r="AHA11" s="7158"/>
      <c r="AHB11" s="7158"/>
      <c r="AHC11" s="7158"/>
      <c r="AHD11" s="7159"/>
      <c r="AHE11" s="7152"/>
      <c r="AHF11" s="7153"/>
      <c r="AHG11" s="7153"/>
      <c r="AHH11" s="7153"/>
      <c r="AHI11" s="7157"/>
      <c r="AHJ11" s="7157"/>
      <c r="AHK11" s="7157"/>
      <c r="AHL11" s="7157"/>
      <c r="AHM11" s="7157"/>
      <c r="AHN11" s="7157"/>
      <c r="AHO11" s="7158"/>
      <c r="AHP11" s="7158"/>
      <c r="AHQ11" s="7158"/>
      <c r="AHR11" s="7158"/>
      <c r="AHS11" s="7158"/>
      <c r="AHT11" s="7159"/>
      <c r="AHU11" s="7152"/>
      <c r="AHV11" s="7153"/>
      <c r="AHW11" s="7153"/>
      <c r="AHX11" s="7153"/>
      <c r="AHY11" s="7157"/>
      <c r="AHZ11" s="7157"/>
      <c r="AIA11" s="7157"/>
      <c r="AIB11" s="7157"/>
      <c r="AIC11" s="7157"/>
      <c r="AID11" s="7157"/>
      <c r="AIE11" s="7158"/>
      <c r="AIF11" s="7158"/>
      <c r="AIG11" s="7158"/>
      <c r="AIH11" s="7158"/>
      <c r="AII11" s="7158"/>
      <c r="AIJ11" s="7159"/>
      <c r="AIK11" s="7152"/>
      <c r="AIL11" s="7153"/>
      <c r="AIM11" s="7153"/>
      <c r="AIN11" s="7153"/>
      <c r="AIO11" s="7157"/>
      <c r="AIP11" s="7157"/>
      <c r="AIQ11" s="7157"/>
      <c r="AIR11" s="7157"/>
      <c r="AIS11" s="7157"/>
      <c r="AIT11" s="7157"/>
      <c r="AIU11" s="7158"/>
      <c r="AIV11" s="7158"/>
      <c r="AIW11" s="7158"/>
      <c r="AIX11" s="7158"/>
      <c r="AIY11" s="7158"/>
      <c r="AIZ11" s="7159"/>
      <c r="AJA11" s="7152"/>
      <c r="AJB11" s="7153"/>
      <c r="AJC11" s="7153"/>
      <c r="AJD11" s="7153"/>
      <c r="AJE11" s="7157"/>
      <c r="AJF11" s="7157"/>
      <c r="AJG11" s="7157"/>
      <c r="AJH11" s="7157"/>
      <c r="AJI11" s="7157"/>
      <c r="AJJ11" s="7157"/>
      <c r="AJK11" s="7158"/>
      <c r="AJL11" s="7158"/>
      <c r="AJM11" s="7158"/>
      <c r="AJN11" s="7158"/>
      <c r="AJO11" s="7158"/>
      <c r="AJP11" s="7159"/>
      <c r="AJQ11" s="7152"/>
      <c r="AJR11" s="7153"/>
      <c r="AJS11" s="7153"/>
      <c r="AJT11" s="7153"/>
      <c r="AJU11" s="7157"/>
      <c r="AJV11" s="7157"/>
      <c r="AJW11" s="7157"/>
      <c r="AJX11" s="7157"/>
      <c r="AJY11" s="7157"/>
      <c r="AJZ11" s="7157"/>
      <c r="AKA11" s="7158"/>
      <c r="AKB11" s="7158"/>
      <c r="AKC11" s="7158"/>
      <c r="AKD11" s="7158"/>
      <c r="AKE11" s="7158"/>
      <c r="AKF11" s="7159"/>
      <c r="AKG11" s="7152"/>
      <c r="AKH11" s="7153"/>
      <c r="AKI11" s="7153"/>
      <c r="AKJ11" s="7153"/>
      <c r="AKK11" s="7157"/>
      <c r="AKL11" s="7157"/>
      <c r="AKM11" s="7157"/>
      <c r="AKN11" s="7157"/>
      <c r="AKO11" s="7157"/>
      <c r="AKP11" s="7157"/>
      <c r="AKQ11" s="7158"/>
      <c r="AKR11" s="7158"/>
      <c r="AKS11" s="7158"/>
      <c r="AKT11" s="7158"/>
      <c r="AKU11" s="7158"/>
      <c r="AKV11" s="7159"/>
      <c r="AKW11" s="7152"/>
      <c r="AKX11" s="7153"/>
      <c r="AKY11" s="7153"/>
      <c r="AKZ11" s="7153"/>
      <c r="ALA11" s="7157"/>
      <c r="ALB11" s="7157"/>
      <c r="ALC11" s="7157"/>
      <c r="ALD11" s="7157"/>
      <c r="ALE11" s="7157"/>
      <c r="ALF11" s="7157"/>
      <c r="ALG11" s="7158"/>
      <c r="ALH11" s="7158"/>
      <c r="ALI11" s="7158"/>
      <c r="ALJ11" s="7158"/>
      <c r="ALK11" s="7158"/>
      <c r="ALL11" s="7159"/>
      <c r="ALM11" s="7152"/>
      <c r="ALN11" s="7153"/>
      <c r="ALO11" s="7153"/>
      <c r="ALP11" s="7153"/>
      <c r="ALQ11" s="7157"/>
      <c r="ALR11" s="7157"/>
      <c r="ALS11" s="7157"/>
      <c r="ALT11" s="7157"/>
      <c r="ALU11" s="7157"/>
      <c r="ALV11" s="7157"/>
      <c r="ALW11" s="7158"/>
      <c r="ALX11" s="7158"/>
      <c r="ALY11" s="7158"/>
      <c r="ALZ11" s="7158"/>
      <c r="AMA11" s="7158"/>
      <c r="AMB11" s="7159"/>
      <c r="AMC11" s="7152"/>
      <c r="AMD11" s="7153"/>
      <c r="AME11" s="7153"/>
      <c r="AMF11" s="7153"/>
      <c r="AMG11" s="7157"/>
      <c r="AMH11" s="7157"/>
      <c r="AMI11" s="7157"/>
      <c r="AMJ11" s="7157"/>
      <c r="AMK11" s="7157"/>
      <c r="AML11" s="7157"/>
      <c r="AMM11" s="7158"/>
      <c r="AMN11" s="7158"/>
      <c r="AMO11" s="7158"/>
      <c r="AMP11" s="7158"/>
      <c r="AMQ11" s="7158"/>
      <c r="AMR11" s="7159"/>
      <c r="AMS11" s="7152"/>
      <c r="AMT11" s="7153"/>
      <c r="AMU11" s="7153"/>
      <c r="AMV11" s="7153"/>
      <c r="AMW11" s="7157"/>
      <c r="AMX11" s="7157"/>
      <c r="AMY11" s="7157"/>
      <c r="AMZ11" s="7157"/>
      <c r="ANA11" s="7157"/>
      <c r="ANB11" s="7157"/>
      <c r="ANC11" s="7158"/>
      <c r="AND11" s="7158"/>
      <c r="ANE11" s="7158"/>
      <c r="ANF11" s="7158"/>
      <c r="ANG11" s="7158"/>
      <c r="ANH11" s="7159"/>
      <c r="ANI11" s="7152"/>
      <c r="ANJ11" s="7153"/>
      <c r="ANK11" s="7153"/>
      <c r="ANL11" s="7153"/>
      <c r="ANM11" s="7157"/>
      <c r="ANN11" s="7157"/>
      <c r="ANO11" s="7157"/>
      <c r="ANP11" s="7157"/>
      <c r="ANQ11" s="7157"/>
      <c r="ANR11" s="7157"/>
      <c r="ANS11" s="7158"/>
      <c r="ANT11" s="7158"/>
      <c r="ANU11" s="7158"/>
      <c r="ANV11" s="7158"/>
      <c r="ANW11" s="7158"/>
      <c r="ANX11" s="7159"/>
      <c r="ANY11" s="7152"/>
      <c r="ANZ11" s="7153"/>
      <c r="AOA11" s="7153"/>
      <c r="AOB11" s="7153"/>
      <c r="AOC11" s="7157"/>
      <c r="AOD11" s="7157"/>
      <c r="AOE11" s="7157"/>
      <c r="AOF11" s="7157"/>
      <c r="AOG11" s="7157"/>
      <c r="AOH11" s="7157"/>
      <c r="AOI11" s="7158"/>
      <c r="AOJ11" s="7158"/>
      <c r="AOK11" s="7158"/>
      <c r="AOL11" s="7158"/>
      <c r="AOM11" s="7158"/>
      <c r="AON11" s="7159"/>
      <c r="AOO11" s="7152"/>
      <c r="AOP11" s="7153"/>
      <c r="AOQ11" s="7153"/>
      <c r="AOR11" s="7153"/>
      <c r="AOS11" s="7157"/>
      <c r="AOT11" s="7157"/>
      <c r="AOU11" s="7157"/>
      <c r="AOV11" s="7157"/>
      <c r="AOW11" s="7157"/>
      <c r="AOX11" s="7157"/>
      <c r="AOY11" s="7158"/>
      <c r="AOZ11" s="7158"/>
      <c r="APA11" s="7158"/>
      <c r="APB11" s="7158"/>
      <c r="APC11" s="7158"/>
      <c r="APD11" s="7159"/>
      <c r="APE11" s="7152"/>
      <c r="APF11" s="7153"/>
      <c r="APG11" s="7153"/>
      <c r="APH11" s="7153"/>
      <c r="API11" s="7157"/>
      <c r="APJ11" s="7157"/>
      <c r="APK11" s="7157"/>
      <c r="APL11" s="7157"/>
      <c r="APM11" s="7157"/>
      <c r="APN11" s="7157"/>
      <c r="APO11" s="7158"/>
      <c r="APP11" s="7158"/>
      <c r="APQ11" s="7158"/>
      <c r="APR11" s="7158"/>
      <c r="APS11" s="7158"/>
      <c r="APT11" s="7159"/>
      <c r="APU11" s="7152"/>
      <c r="APV11" s="7153"/>
      <c r="APW11" s="7153"/>
      <c r="APX11" s="7153"/>
      <c r="APY11" s="7157"/>
      <c r="APZ11" s="7157"/>
      <c r="AQA11" s="7157"/>
      <c r="AQB11" s="7157"/>
      <c r="AQC11" s="7157"/>
      <c r="AQD11" s="7157"/>
      <c r="AQE11" s="7158"/>
      <c r="AQF11" s="7158"/>
      <c r="AQG11" s="7158"/>
      <c r="AQH11" s="7158"/>
      <c r="AQI11" s="7158"/>
      <c r="AQJ11" s="7159"/>
      <c r="AQK11" s="7152"/>
      <c r="AQL11" s="7153"/>
      <c r="AQM11" s="7153"/>
      <c r="AQN11" s="7153"/>
      <c r="AQO11" s="7157"/>
      <c r="AQP11" s="7157"/>
      <c r="AQQ11" s="7157"/>
      <c r="AQR11" s="7157"/>
      <c r="AQS11" s="7157"/>
      <c r="AQT11" s="7157"/>
      <c r="AQU11" s="7158"/>
      <c r="AQV11" s="7158"/>
      <c r="AQW11" s="7158"/>
      <c r="AQX11" s="7158"/>
      <c r="AQY11" s="7158"/>
      <c r="AQZ11" s="7159"/>
      <c r="ARA11" s="7152"/>
      <c r="ARB11" s="7153"/>
      <c r="ARC11" s="7153"/>
      <c r="ARD11" s="7153"/>
      <c r="ARE11" s="7157"/>
      <c r="ARF11" s="7157"/>
      <c r="ARG11" s="7157"/>
      <c r="ARH11" s="7157"/>
      <c r="ARI11" s="7157"/>
      <c r="ARJ11" s="7157"/>
      <c r="ARK11" s="7158"/>
      <c r="ARL11" s="7158"/>
      <c r="ARM11" s="7158"/>
      <c r="ARN11" s="7158"/>
      <c r="ARO11" s="7158"/>
      <c r="ARP11" s="7159"/>
      <c r="ARQ11" s="7152"/>
      <c r="ARR11" s="7153"/>
      <c r="ARS11" s="7153"/>
      <c r="ART11" s="7153"/>
      <c r="ARU11" s="7157"/>
      <c r="ARV11" s="7157"/>
      <c r="ARW11" s="7157"/>
      <c r="ARX11" s="7157"/>
      <c r="ARY11" s="7157"/>
      <c r="ARZ11" s="7157"/>
      <c r="ASA11" s="7158"/>
      <c r="ASB11" s="7158"/>
      <c r="ASC11" s="7158"/>
      <c r="ASD11" s="7158"/>
      <c r="ASE11" s="7158"/>
      <c r="ASF11" s="7159"/>
      <c r="ASG11" s="7152"/>
      <c r="ASH11" s="7153"/>
      <c r="ASI11" s="7153"/>
      <c r="ASJ11" s="7153"/>
      <c r="ASK11" s="7157"/>
      <c r="ASL11" s="7157"/>
      <c r="ASM11" s="7157"/>
      <c r="ASN11" s="7157"/>
      <c r="ASO11" s="7157"/>
      <c r="ASP11" s="7157"/>
      <c r="ASQ11" s="7158"/>
      <c r="ASR11" s="7158"/>
      <c r="ASS11" s="7158"/>
      <c r="AST11" s="7158"/>
      <c r="ASU11" s="7158"/>
      <c r="ASV11" s="7159"/>
      <c r="ASW11" s="7152"/>
      <c r="ASX11" s="7153"/>
      <c r="ASY11" s="7153"/>
      <c r="ASZ11" s="7153"/>
      <c r="ATA11" s="7157"/>
      <c r="ATB11" s="7157"/>
      <c r="ATC11" s="7157"/>
      <c r="ATD11" s="7157"/>
      <c r="ATE11" s="7157"/>
      <c r="ATF11" s="7157"/>
      <c r="ATG11" s="7158"/>
      <c r="ATH11" s="7158"/>
      <c r="ATI11" s="7158"/>
      <c r="ATJ11" s="7158"/>
      <c r="ATK11" s="7158"/>
      <c r="ATL11" s="7159"/>
      <c r="ATM11" s="7152"/>
      <c r="ATN11" s="7153"/>
      <c r="ATO11" s="7153"/>
      <c r="ATP11" s="7153"/>
      <c r="ATQ11" s="7157"/>
      <c r="ATR11" s="7157"/>
      <c r="ATS11" s="7157"/>
      <c r="ATT11" s="7157"/>
      <c r="ATU11" s="7157"/>
      <c r="ATV11" s="7157"/>
      <c r="ATW11" s="7158"/>
      <c r="ATX11" s="7158"/>
      <c r="ATY11" s="7158"/>
      <c r="ATZ11" s="7158"/>
      <c r="AUA11" s="7158"/>
      <c r="AUB11" s="7159"/>
      <c r="AUC11" s="7152"/>
      <c r="AUD11" s="7153"/>
      <c r="AUE11" s="7153"/>
      <c r="AUF11" s="7153"/>
      <c r="AUG11" s="7157"/>
      <c r="AUH11" s="7157"/>
      <c r="AUI11" s="7157"/>
      <c r="AUJ11" s="7157"/>
      <c r="AUK11" s="7157"/>
      <c r="AUL11" s="7157"/>
      <c r="AUM11" s="7158"/>
      <c r="AUN11" s="7158"/>
      <c r="AUO11" s="7158"/>
      <c r="AUP11" s="7158"/>
      <c r="AUQ11" s="7158"/>
      <c r="AUR11" s="7159"/>
      <c r="AUS11" s="7152"/>
      <c r="AUT11" s="7153"/>
      <c r="AUU11" s="7153"/>
      <c r="AUV11" s="7153"/>
      <c r="AUW11" s="7157"/>
      <c r="AUX11" s="7157"/>
      <c r="AUY11" s="7157"/>
      <c r="AUZ11" s="7157"/>
      <c r="AVA11" s="7157"/>
      <c r="AVB11" s="7157"/>
      <c r="AVC11" s="7158"/>
      <c r="AVD11" s="7158"/>
      <c r="AVE11" s="7158"/>
      <c r="AVF11" s="7158"/>
      <c r="AVG11" s="7158"/>
      <c r="AVH11" s="7159"/>
      <c r="AVI11" s="7152"/>
      <c r="AVJ11" s="7153"/>
      <c r="AVK11" s="7153"/>
      <c r="AVL11" s="7153"/>
      <c r="AVM11" s="7157"/>
      <c r="AVN11" s="7157"/>
      <c r="AVO11" s="7157"/>
      <c r="AVP11" s="7157"/>
      <c r="AVQ11" s="7157"/>
      <c r="AVR11" s="7157"/>
      <c r="AVS11" s="7158"/>
      <c r="AVT11" s="7158"/>
      <c r="AVU11" s="7158"/>
      <c r="AVV11" s="7158"/>
      <c r="AVW11" s="7158"/>
      <c r="AVX11" s="7159"/>
      <c r="AVY11" s="7152"/>
      <c r="AVZ11" s="7153"/>
      <c r="AWA11" s="7153"/>
      <c r="AWB11" s="7153"/>
      <c r="AWC11" s="7157"/>
      <c r="AWD11" s="7157"/>
      <c r="AWE11" s="7157"/>
      <c r="AWF11" s="7157"/>
      <c r="AWG11" s="7157"/>
      <c r="AWH11" s="7157"/>
      <c r="AWI11" s="7158"/>
      <c r="AWJ11" s="7158"/>
      <c r="AWK11" s="7158"/>
      <c r="AWL11" s="7158"/>
      <c r="AWM11" s="7158"/>
      <c r="AWN11" s="7159"/>
      <c r="AWO11" s="7152"/>
      <c r="AWP11" s="7153"/>
      <c r="AWQ11" s="7153"/>
      <c r="AWR11" s="7153"/>
      <c r="AWS11" s="7157"/>
      <c r="AWT11" s="7157"/>
      <c r="AWU11" s="7157"/>
      <c r="AWV11" s="7157"/>
      <c r="AWW11" s="7157"/>
      <c r="AWX11" s="7157"/>
      <c r="AWY11" s="7158"/>
      <c r="AWZ11" s="7158"/>
      <c r="AXA11" s="7158"/>
      <c r="AXB11" s="7158"/>
      <c r="AXC11" s="7158"/>
      <c r="AXD11" s="7159"/>
      <c r="AXE11" s="7152"/>
      <c r="AXF11" s="7153"/>
      <c r="AXG11" s="7153"/>
      <c r="AXH11" s="7153"/>
      <c r="AXI11" s="7157"/>
      <c r="AXJ11" s="7157"/>
      <c r="AXK11" s="7157"/>
      <c r="AXL11" s="7157"/>
      <c r="AXM11" s="7157"/>
      <c r="AXN11" s="7157"/>
      <c r="AXO11" s="7158"/>
      <c r="AXP11" s="7158"/>
      <c r="AXQ11" s="7158"/>
      <c r="AXR11" s="7158"/>
      <c r="AXS11" s="7158"/>
      <c r="AXT11" s="7159"/>
      <c r="AXU11" s="7152"/>
      <c r="AXV11" s="7153"/>
      <c r="AXW11" s="7153"/>
      <c r="AXX11" s="7153"/>
      <c r="AXY11" s="7157"/>
      <c r="AXZ11" s="7157"/>
      <c r="AYA11" s="7157"/>
      <c r="AYB11" s="7157"/>
      <c r="AYC11" s="7157"/>
      <c r="AYD11" s="7157"/>
      <c r="AYE11" s="7158"/>
      <c r="AYF11" s="7158"/>
      <c r="AYG11" s="7158"/>
      <c r="AYH11" s="7158"/>
      <c r="AYI11" s="7158"/>
      <c r="AYJ11" s="7159"/>
      <c r="AYK11" s="7152"/>
      <c r="AYL11" s="7153"/>
      <c r="AYM11" s="7153"/>
      <c r="AYN11" s="7153"/>
      <c r="AYO11" s="7157"/>
      <c r="AYP11" s="7157"/>
      <c r="AYQ11" s="7157"/>
      <c r="AYR11" s="7157"/>
      <c r="AYS11" s="7157"/>
      <c r="AYT11" s="7157"/>
      <c r="AYU11" s="7158"/>
      <c r="AYV11" s="7158"/>
      <c r="AYW11" s="7158"/>
      <c r="AYX11" s="7158"/>
      <c r="AYY11" s="7158"/>
      <c r="AYZ11" s="7159"/>
      <c r="AZA11" s="7152"/>
      <c r="AZB11" s="7153"/>
      <c r="AZC11" s="7153"/>
      <c r="AZD11" s="7153"/>
      <c r="AZE11" s="7157"/>
      <c r="AZF11" s="7157"/>
      <c r="AZG11" s="7157"/>
      <c r="AZH11" s="7157"/>
      <c r="AZI11" s="7157"/>
      <c r="AZJ11" s="7157"/>
      <c r="AZK11" s="7158"/>
      <c r="AZL11" s="7158"/>
      <c r="AZM11" s="7158"/>
      <c r="AZN11" s="7158"/>
      <c r="AZO11" s="7158"/>
      <c r="AZP11" s="7159"/>
      <c r="AZQ11" s="7152"/>
      <c r="AZR11" s="7153"/>
      <c r="AZS11" s="7153"/>
      <c r="AZT11" s="7153"/>
      <c r="AZU11" s="7157"/>
      <c r="AZV11" s="7157"/>
      <c r="AZW11" s="7157"/>
      <c r="AZX11" s="7157"/>
      <c r="AZY11" s="7157"/>
      <c r="AZZ11" s="7157"/>
      <c r="BAA11" s="7158"/>
      <c r="BAB11" s="7158"/>
      <c r="BAC11" s="7158"/>
      <c r="BAD11" s="7158"/>
      <c r="BAE11" s="7158"/>
      <c r="BAF11" s="7159"/>
      <c r="BAG11" s="7152"/>
      <c r="BAH11" s="7153"/>
      <c r="BAI11" s="7153"/>
      <c r="BAJ11" s="7153"/>
      <c r="BAK11" s="7157"/>
      <c r="BAL11" s="7157"/>
      <c r="BAM11" s="7157"/>
      <c r="BAN11" s="7157"/>
      <c r="BAO11" s="7157"/>
      <c r="BAP11" s="7157"/>
      <c r="BAQ11" s="7158"/>
      <c r="BAR11" s="7158"/>
      <c r="BAS11" s="7158"/>
      <c r="BAT11" s="7158"/>
      <c r="BAU11" s="7158"/>
      <c r="BAV11" s="7159"/>
      <c r="BAW11" s="7152"/>
      <c r="BAX11" s="7153"/>
      <c r="BAY11" s="7153"/>
      <c r="BAZ11" s="7153"/>
      <c r="BBA11" s="7157"/>
      <c r="BBB11" s="7157"/>
      <c r="BBC11" s="7157"/>
      <c r="BBD11" s="7157"/>
      <c r="BBE11" s="7157"/>
      <c r="BBF11" s="7157"/>
      <c r="BBG11" s="7158"/>
      <c r="BBH11" s="7158"/>
      <c r="BBI11" s="7158"/>
      <c r="BBJ11" s="7158"/>
      <c r="BBK11" s="7158"/>
      <c r="BBL11" s="7159"/>
      <c r="BBM11" s="7152"/>
      <c r="BBN11" s="7153"/>
      <c r="BBO11" s="7153"/>
      <c r="BBP11" s="7153"/>
      <c r="BBQ11" s="7157"/>
      <c r="BBR11" s="7157"/>
      <c r="BBS11" s="7157"/>
      <c r="BBT11" s="7157"/>
      <c r="BBU11" s="7157"/>
      <c r="BBV11" s="7157"/>
      <c r="BBW11" s="7158"/>
      <c r="BBX11" s="7158"/>
      <c r="BBY11" s="7158"/>
      <c r="BBZ11" s="7158"/>
      <c r="BCA11" s="7158"/>
      <c r="BCB11" s="7159"/>
      <c r="BCC11" s="7152"/>
      <c r="BCD11" s="7153"/>
      <c r="BCE11" s="7153"/>
      <c r="BCF11" s="7153"/>
      <c r="BCG11" s="7157"/>
      <c r="BCH11" s="7157"/>
      <c r="BCI11" s="7157"/>
      <c r="BCJ11" s="7157"/>
      <c r="BCK11" s="7157"/>
      <c r="BCL11" s="7157"/>
      <c r="BCM11" s="7158"/>
      <c r="BCN11" s="7158"/>
      <c r="BCO11" s="7158"/>
      <c r="BCP11" s="7158"/>
      <c r="BCQ11" s="7158"/>
      <c r="BCR11" s="7159"/>
      <c r="BCS11" s="7152"/>
      <c r="BCT11" s="7153"/>
      <c r="BCU11" s="7153"/>
      <c r="BCV11" s="7153"/>
      <c r="BCW11" s="7157"/>
      <c r="BCX11" s="7157"/>
      <c r="BCY11" s="7157"/>
      <c r="BCZ11" s="7157"/>
      <c r="BDA11" s="7157"/>
      <c r="BDB11" s="7157"/>
      <c r="BDC11" s="7158"/>
      <c r="BDD11" s="7158"/>
      <c r="BDE11" s="7158"/>
      <c r="BDF11" s="7158"/>
      <c r="BDG11" s="7158"/>
      <c r="BDH11" s="7159"/>
      <c r="BDI11" s="7152"/>
      <c r="BDJ11" s="7153"/>
      <c r="BDK11" s="7153"/>
      <c r="BDL11" s="7153"/>
      <c r="BDM11" s="7157"/>
      <c r="BDN11" s="7157"/>
      <c r="BDO11" s="7157"/>
      <c r="BDP11" s="7157"/>
      <c r="BDQ11" s="7157"/>
      <c r="BDR11" s="7157"/>
      <c r="BDS11" s="7158"/>
      <c r="BDT11" s="7158"/>
      <c r="BDU11" s="7158"/>
      <c r="BDV11" s="7158"/>
      <c r="BDW11" s="7158"/>
      <c r="BDX11" s="7159"/>
      <c r="BDY11" s="7152"/>
      <c r="BDZ11" s="7153"/>
      <c r="BEA11" s="7153"/>
      <c r="BEB11" s="7153"/>
      <c r="BEC11" s="7157"/>
      <c r="BED11" s="7157"/>
      <c r="BEE11" s="7157"/>
      <c r="BEF11" s="7157"/>
      <c r="BEG11" s="7157"/>
      <c r="BEH11" s="7157"/>
      <c r="BEI11" s="7158"/>
      <c r="BEJ11" s="7158"/>
      <c r="BEK11" s="7158"/>
      <c r="BEL11" s="7158"/>
      <c r="BEM11" s="7158"/>
      <c r="BEN11" s="7159"/>
      <c r="BEO11" s="7152"/>
      <c r="BEP11" s="7153"/>
      <c r="BEQ11" s="7153"/>
      <c r="BER11" s="7153"/>
      <c r="BES11" s="7157"/>
      <c r="BET11" s="7157"/>
      <c r="BEU11" s="7157"/>
      <c r="BEV11" s="7157"/>
      <c r="BEW11" s="7157"/>
      <c r="BEX11" s="7157"/>
      <c r="BEY11" s="7158"/>
      <c r="BEZ11" s="7158"/>
      <c r="BFA11" s="7158"/>
      <c r="BFB11" s="7158"/>
      <c r="BFC11" s="7158"/>
      <c r="BFD11" s="7159"/>
      <c r="BFE11" s="7152"/>
      <c r="BFF11" s="7153"/>
      <c r="BFG11" s="7153"/>
      <c r="BFH11" s="7153"/>
      <c r="BFI11" s="7157"/>
      <c r="BFJ11" s="7157"/>
      <c r="BFK11" s="7157"/>
      <c r="BFL11" s="7157"/>
      <c r="BFM11" s="7157"/>
      <c r="BFN11" s="7157"/>
      <c r="BFO11" s="7158"/>
      <c r="BFP11" s="7158"/>
      <c r="BFQ11" s="7158"/>
      <c r="BFR11" s="7158"/>
      <c r="BFS11" s="7158"/>
      <c r="BFT11" s="7159"/>
      <c r="BFU11" s="7152"/>
      <c r="BFV11" s="7153"/>
      <c r="BFW11" s="7153"/>
      <c r="BFX11" s="7153"/>
      <c r="BFY11" s="7157"/>
      <c r="BFZ11" s="7157"/>
      <c r="BGA11" s="7157"/>
      <c r="BGB11" s="7157"/>
      <c r="BGC11" s="7157"/>
      <c r="BGD11" s="7157"/>
      <c r="BGE11" s="7158"/>
      <c r="BGF11" s="7158"/>
      <c r="BGG11" s="7158"/>
      <c r="BGH11" s="7158"/>
      <c r="BGI11" s="7158"/>
      <c r="BGJ11" s="7159"/>
      <c r="BGK11" s="7152"/>
      <c r="BGL11" s="7153"/>
      <c r="BGM11" s="7153"/>
      <c r="BGN11" s="7153"/>
      <c r="BGO11" s="7157"/>
      <c r="BGP11" s="7157"/>
      <c r="BGQ11" s="7157"/>
      <c r="BGR11" s="7157"/>
      <c r="BGS11" s="7157"/>
      <c r="BGT11" s="7157"/>
      <c r="BGU11" s="7158"/>
      <c r="BGV11" s="7158"/>
      <c r="BGW11" s="7158"/>
      <c r="BGX11" s="7158"/>
      <c r="BGY11" s="7158"/>
      <c r="BGZ11" s="7159"/>
      <c r="BHA11" s="7152"/>
      <c r="BHB11" s="7153"/>
      <c r="BHC11" s="7153"/>
      <c r="BHD11" s="7153"/>
      <c r="BHE11" s="7157"/>
      <c r="BHF11" s="7157"/>
      <c r="BHG11" s="7157"/>
      <c r="BHH11" s="7157"/>
      <c r="BHI11" s="7157"/>
      <c r="BHJ11" s="7157"/>
      <c r="BHK11" s="7158"/>
      <c r="BHL11" s="7158"/>
      <c r="BHM11" s="7158"/>
      <c r="BHN11" s="7158"/>
      <c r="BHO11" s="7158"/>
      <c r="BHP11" s="7159"/>
      <c r="BHQ11" s="7152"/>
      <c r="BHR11" s="7153"/>
      <c r="BHS11" s="7153"/>
      <c r="BHT11" s="7153"/>
      <c r="BHU11" s="7157"/>
      <c r="BHV11" s="7157"/>
      <c r="BHW11" s="7157"/>
      <c r="BHX11" s="7157"/>
      <c r="BHY11" s="7157"/>
      <c r="BHZ11" s="7157"/>
      <c r="BIA11" s="7158"/>
      <c r="BIB11" s="7158"/>
      <c r="BIC11" s="7158"/>
      <c r="BID11" s="7158"/>
      <c r="BIE11" s="7158"/>
      <c r="BIF11" s="7159"/>
      <c r="BIG11" s="7152"/>
      <c r="BIH11" s="7153"/>
      <c r="BII11" s="7153"/>
      <c r="BIJ11" s="7153"/>
      <c r="BIK11" s="7157"/>
      <c r="BIL11" s="7157"/>
      <c r="BIM11" s="7157"/>
      <c r="BIN11" s="7157"/>
      <c r="BIO11" s="7157"/>
      <c r="BIP11" s="7157"/>
      <c r="BIQ11" s="7158"/>
      <c r="BIR11" s="7158"/>
      <c r="BIS11" s="7158"/>
      <c r="BIT11" s="7158"/>
      <c r="BIU11" s="7158"/>
      <c r="BIV11" s="7159"/>
      <c r="BIW11" s="7152"/>
      <c r="BIX11" s="7153"/>
      <c r="BIY11" s="7153"/>
      <c r="BIZ11" s="7153"/>
      <c r="BJA11" s="7157"/>
      <c r="BJB11" s="7157"/>
      <c r="BJC11" s="7157"/>
      <c r="BJD11" s="7157"/>
      <c r="BJE11" s="7157"/>
      <c r="BJF11" s="7157"/>
      <c r="BJG11" s="7158"/>
      <c r="BJH11" s="7158"/>
      <c r="BJI11" s="7158"/>
      <c r="BJJ11" s="7158"/>
      <c r="BJK11" s="7158"/>
      <c r="BJL11" s="7159"/>
      <c r="BJM11" s="7152"/>
      <c r="BJN11" s="7153"/>
      <c r="BJO11" s="7153"/>
      <c r="BJP11" s="7153"/>
      <c r="BJQ11" s="7157"/>
      <c r="BJR11" s="7157"/>
      <c r="BJS11" s="7157"/>
      <c r="BJT11" s="7157"/>
      <c r="BJU11" s="7157"/>
      <c r="BJV11" s="7157"/>
      <c r="BJW11" s="7158"/>
      <c r="BJX11" s="7158"/>
      <c r="BJY11" s="7158"/>
      <c r="BJZ11" s="7158"/>
      <c r="BKA11" s="7158"/>
      <c r="BKB11" s="7159"/>
      <c r="BKC11" s="7152"/>
      <c r="BKD11" s="7153"/>
      <c r="BKE11" s="7153"/>
      <c r="BKF11" s="7153"/>
      <c r="BKG11" s="7157"/>
      <c r="BKH11" s="7157"/>
      <c r="BKI11" s="7157"/>
      <c r="BKJ11" s="7157"/>
      <c r="BKK11" s="7157"/>
      <c r="BKL11" s="7157"/>
      <c r="BKM11" s="7158"/>
      <c r="BKN11" s="7158"/>
      <c r="BKO11" s="7158"/>
      <c r="BKP11" s="7158"/>
      <c r="BKQ11" s="7158"/>
      <c r="BKR11" s="7159"/>
      <c r="BKS11" s="7152"/>
      <c r="BKT11" s="7153"/>
      <c r="BKU11" s="7153"/>
      <c r="BKV11" s="7153"/>
      <c r="BKW11" s="7157"/>
      <c r="BKX11" s="7157"/>
      <c r="BKY11" s="7157"/>
      <c r="BKZ11" s="7157"/>
      <c r="BLA11" s="7157"/>
      <c r="BLB11" s="7157"/>
      <c r="BLC11" s="7158"/>
      <c r="BLD11" s="7158"/>
      <c r="BLE11" s="7158"/>
      <c r="BLF11" s="7158"/>
      <c r="BLG11" s="7158"/>
      <c r="BLH11" s="7159"/>
      <c r="BLI11" s="7152"/>
      <c r="BLJ11" s="7153"/>
      <c r="BLK11" s="7153"/>
      <c r="BLL11" s="7153"/>
      <c r="BLM11" s="7157"/>
      <c r="BLN11" s="7157"/>
      <c r="BLO11" s="7157"/>
      <c r="BLP11" s="7157"/>
      <c r="BLQ11" s="7157"/>
      <c r="BLR11" s="7157"/>
      <c r="BLS11" s="7158"/>
      <c r="BLT11" s="7158"/>
      <c r="BLU11" s="7158"/>
      <c r="BLV11" s="7158"/>
      <c r="BLW11" s="7158"/>
      <c r="BLX11" s="7159"/>
      <c r="BLY11" s="7152"/>
      <c r="BLZ11" s="7153"/>
      <c r="BMA11" s="7153"/>
      <c r="BMB11" s="7153"/>
      <c r="BMC11" s="7157"/>
      <c r="BMD11" s="7157"/>
      <c r="BME11" s="7157"/>
      <c r="BMF11" s="7157"/>
      <c r="BMG11" s="7157"/>
      <c r="BMH11" s="7157"/>
      <c r="BMI11" s="7158"/>
      <c r="BMJ11" s="7158"/>
      <c r="BMK11" s="7158"/>
      <c r="BML11" s="7158"/>
      <c r="BMM11" s="7158"/>
      <c r="BMN11" s="7159"/>
      <c r="BMO11" s="7152"/>
      <c r="BMP11" s="7153"/>
      <c r="BMQ11" s="7153"/>
      <c r="BMR11" s="7153"/>
      <c r="BMS11" s="7157"/>
      <c r="BMT11" s="7157"/>
      <c r="BMU11" s="7157"/>
      <c r="BMV11" s="7157"/>
      <c r="BMW11" s="7157"/>
      <c r="BMX11" s="7157"/>
      <c r="BMY11" s="7158"/>
      <c r="BMZ11" s="7158"/>
      <c r="BNA11" s="7158"/>
      <c r="BNB11" s="7158"/>
      <c r="BNC11" s="7158"/>
      <c r="BND11" s="7159"/>
      <c r="BNE11" s="7152"/>
      <c r="BNF11" s="7153"/>
      <c r="BNG11" s="7153"/>
      <c r="BNH11" s="7153"/>
      <c r="BNI11" s="7157"/>
      <c r="BNJ11" s="7157"/>
      <c r="BNK11" s="7157"/>
      <c r="BNL11" s="7157"/>
      <c r="BNM11" s="7157"/>
      <c r="BNN11" s="7157"/>
      <c r="BNO11" s="7158"/>
      <c r="BNP11" s="7158"/>
      <c r="BNQ11" s="7158"/>
      <c r="BNR11" s="7158"/>
      <c r="BNS11" s="7158"/>
      <c r="BNT11" s="7159"/>
      <c r="BNU11" s="7152"/>
      <c r="BNV11" s="7153"/>
      <c r="BNW11" s="7153"/>
      <c r="BNX11" s="7153"/>
      <c r="BNY11" s="7157"/>
      <c r="BNZ11" s="7157"/>
      <c r="BOA11" s="7157"/>
      <c r="BOB11" s="7157"/>
      <c r="BOC11" s="7157"/>
      <c r="BOD11" s="7157"/>
      <c r="BOE11" s="7158"/>
      <c r="BOF11" s="7158"/>
      <c r="BOG11" s="7158"/>
      <c r="BOH11" s="7158"/>
      <c r="BOI11" s="7158"/>
      <c r="BOJ11" s="7159"/>
      <c r="BOK11" s="7152"/>
      <c r="BOL11" s="7153"/>
      <c r="BOM11" s="7153"/>
      <c r="BON11" s="7153"/>
      <c r="BOO11" s="7157"/>
      <c r="BOP11" s="7157"/>
      <c r="BOQ11" s="7157"/>
      <c r="BOR11" s="7157"/>
      <c r="BOS11" s="7157"/>
      <c r="BOT11" s="7157"/>
      <c r="BOU11" s="7158"/>
      <c r="BOV11" s="7158"/>
      <c r="BOW11" s="7158"/>
      <c r="BOX11" s="7158"/>
      <c r="BOY11" s="7158"/>
      <c r="BOZ11" s="7159"/>
      <c r="BPA11" s="7152"/>
      <c r="BPB11" s="7153"/>
      <c r="BPC11" s="7153"/>
      <c r="BPD11" s="7153"/>
      <c r="BPE11" s="7157"/>
      <c r="BPF11" s="7157"/>
      <c r="BPG11" s="7157"/>
      <c r="BPH11" s="7157"/>
      <c r="BPI11" s="7157"/>
      <c r="BPJ11" s="7157"/>
      <c r="BPK11" s="7158"/>
      <c r="BPL11" s="7158"/>
      <c r="BPM11" s="7158"/>
      <c r="BPN11" s="7158"/>
      <c r="BPO11" s="7158"/>
      <c r="BPP11" s="7159"/>
      <c r="BPQ11" s="7152"/>
      <c r="BPR11" s="7153"/>
      <c r="BPS11" s="7153"/>
      <c r="BPT11" s="7153"/>
      <c r="BPU11" s="7157"/>
      <c r="BPV11" s="7157"/>
      <c r="BPW11" s="7157"/>
      <c r="BPX11" s="7157"/>
      <c r="BPY11" s="7157"/>
      <c r="BPZ11" s="7157"/>
      <c r="BQA11" s="7158"/>
      <c r="BQB11" s="7158"/>
      <c r="BQC11" s="7158"/>
      <c r="BQD11" s="7158"/>
      <c r="BQE11" s="7158"/>
      <c r="BQF11" s="7159"/>
      <c r="BQG11" s="7152"/>
      <c r="BQH11" s="7153"/>
      <c r="BQI11" s="7153"/>
      <c r="BQJ11" s="7153"/>
      <c r="BQK11" s="7157"/>
      <c r="BQL11" s="7157"/>
      <c r="BQM11" s="7157"/>
      <c r="BQN11" s="7157"/>
      <c r="BQO11" s="7157"/>
      <c r="BQP11" s="7157"/>
      <c r="BQQ11" s="7158"/>
      <c r="BQR11" s="7158"/>
      <c r="BQS11" s="7158"/>
      <c r="BQT11" s="7158"/>
      <c r="BQU11" s="7158"/>
      <c r="BQV11" s="7159"/>
      <c r="BQW11" s="7152"/>
      <c r="BQX11" s="7153"/>
      <c r="BQY11" s="7153"/>
      <c r="BQZ11" s="7153"/>
      <c r="BRA11" s="7157"/>
      <c r="BRB11" s="7157"/>
      <c r="BRC11" s="7157"/>
      <c r="BRD11" s="7157"/>
      <c r="BRE11" s="7157"/>
      <c r="BRF11" s="7157"/>
      <c r="BRG11" s="7158"/>
      <c r="BRH11" s="7158"/>
      <c r="BRI11" s="7158"/>
      <c r="BRJ11" s="7158"/>
      <c r="BRK11" s="7158"/>
      <c r="BRL11" s="7159"/>
      <c r="BRM11" s="7152"/>
      <c r="BRN11" s="7153"/>
      <c r="BRO11" s="7153"/>
      <c r="BRP11" s="7153"/>
      <c r="BRQ11" s="7157"/>
      <c r="BRR11" s="7157"/>
      <c r="BRS11" s="7157"/>
      <c r="BRT11" s="7157"/>
      <c r="BRU11" s="7157"/>
      <c r="BRV11" s="7157"/>
      <c r="BRW11" s="7158"/>
      <c r="BRX11" s="7158"/>
      <c r="BRY11" s="7158"/>
      <c r="BRZ11" s="7158"/>
      <c r="BSA11" s="7158"/>
      <c r="BSB11" s="7159"/>
      <c r="BSC11" s="7152"/>
      <c r="BSD11" s="7153"/>
      <c r="BSE11" s="7153"/>
      <c r="BSF11" s="7153"/>
      <c r="BSG11" s="7157"/>
      <c r="BSH11" s="7157"/>
      <c r="BSI11" s="7157"/>
      <c r="BSJ11" s="7157"/>
      <c r="BSK11" s="7157"/>
      <c r="BSL11" s="7157"/>
      <c r="BSM11" s="7158"/>
      <c r="BSN11" s="7158"/>
      <c r="BSO11" s="7158"/>
      <c r="BSP11" s="7158"/>
      <c r="BSQ11" s="7158"/>
      <c r="BSR11" s="7159"/>
      <c r="BSS11" s="7152"/>
      <c r="BST11" s="7153"/>
      <c r="BSU11" s="7153"/>
      <c r="BSV11" s="7153"/>
      <c r="BSW11" s="7157"/>
      <c r="BSX11" s="7157"/>
      <c r="BSY11" s="7157"/>
      <c r="BSZ11" s="7157"/>
      <c r="BTA11" s="7157"/>
      <c r="BTB11" s="7157"/>
      <c r="BTC11" s="7158"/>
      <c r="BTD11" s="7158"/>
      <c r="BTE11" s="7158"/>
      <c r="BTF11" s="7158"/>
      <c r="BTG11" s="7158"/>
      <c r="BTH11" s="7159"/>
      <c r="BTI11" s="7152"/>
      <c r="BTJ11" s="7153"/>
      <c r="BTK11" s="7153"/>
      <c r="BTL11" s="7153"/>
      <c r="BTM11" s="7157"/>
      <c r="BTN11" s="7157"/>
      <c r="BTO11" s="7157"/>
      <c r="BTP11" s="7157"/>
      <c r="BTQ11" s="7157"/>
      <c r="BTR11" s="7157"/>
      <c r="BTS11" s="7158"/>
      <c r="BTT11" s="7158"/>
      <c r="BTU11" s="7158"/>
      <c r="BTV11" s="7158"/>
      <c r="BTW11" s="7158"/>
      <c r="BTX11" s="7159"/>
      <c r="BTY11" s="7152"/>
      <c r="BTZ11" s="7153"/>
      <c r="BUA11" s="7153"/>
      <c r="BUB11" s="7153"/>
      <c r="BUC11" s="7157"/>
      <c r="BUD11" s="7157"/>
      <c r="BUE11" s="7157"/>
      <c r="BUF11" s="7157"/>
      <c r="BUG11" s="7157"/>
      <c r="BUH11" s="7157"/>
      <c r="BUI11" s="7158"/>
      <c r="BUJ11" s="7158"/>
      <c r="BUK11" s="7158"/>
      <c r="BUL11" s="7158"/>
      <c r="BUM11" s="7158"/>
      <c r="BUN11" s="7159"/>
      <c r="BUO11" s="7152"/>
      <c r="BUP11" s="7153"/>
      <c r="BUQ11" s="7153"/>
      <c r="BUR11" s="7153"/>
      <c r="BUS11" s="7157"/>
      <c r="BUT11" s="7157"/>
      <c r="BUU11" s="7157"/>
      <c r="BUV11" s="7157"/>
      <c r="BUW11" s="7157"/>
      <c r="BUX11" s="7157"/>
      <c r="BUY11" s="7158"/>
      <c r="BUZ11" s="7158"/>
      <c r="BVA11" s="7158"/>
      <c r="BVB11" s="7158"/>
      <c r="BVC11" s="7158"/>
      <c r="BVD11" s="7159"/>
      <c r="BVE11" s="7152"/>
      <c r="BVF11" s="7153"/>
      <c r="BVG11" s="7153"/>
      <c r="BVH11" s="7153"/>
      <c r="BVI11" s="7157"/>
      <c r="BVJ11" s="7157"/>
      <c r="BVK11" s="7157"/>
      <c r="BVL11" s="7157"/>
      <c r="BVM11" s="7157"/>
      <c r="BVN11" s="7157"/>
      <c r="BVO11" s="7158"/>
      <c r="BVP11" s="7158"/>
      <c r="BVQ11" s="7158"/>
      <c r="BVR11" s="7158"/>
      <c r="BVS11" s="7158"/>
      <c r="BVT11" s="7159"/>
      <c r="BVU11" s="7152"/>
      <c r="BVV11" s="7153"/>
      <c r="BVW11" s="7153"/>
      <c r="BVX11" s="7153"/>
      <c r="BVY11" s="7157"/>
      <c r="BVZ11" s="7157"/>
      <c r="BWA11" s="7157"/>
      <c r="BWB11" s="7157"/>
      <c r="BWC11" s="7157"/>
      <c r="BWD11" s="7157"/>
      <c r="BWE11" s="7158"/>
      <c r="BWF11" s="7158"/>
      <c r="BWG11" s="7158"/>
      <c r="BWH11" s="7158"/>
      <c r="BWI11" s="7158"/>
      <c r="BWJ11" s="7159"/>
      <c r="BWK11" s="7152"/>
      <c r="BWL11" s="7153"/>
      <c r="BWM11" s="7153"/>
      <c r="BWN11" s="7153"/>
      <c r="BWO11" s="7157"/>
      <c r="BWP11" s="7157"/>
      <c r="BWQ11" s="7157"/>
      <c r="BWR11" s="7157"/>
      <c r="BWS11" s="7157"/>
      <c r="BWT11" s="7157"/>
      <c r="BWU11" s="7158"/>
      <c r="BWV11" s="7158"/>
      <c r="BWW11" s="7158"/>
      <c r="BWX11" s="7158"/>
      <c r="BWY11" s="7158"/>
      <c r="BWZ11" s="7159"/>
      <c r="BXA11" s="7152"/>
      <c r="BXB11" s="7153"/>
      <c r="BXC11" s="7153"/>
      <c r="BXD11" s="7153"/>
      <c r="BXE11" s="7157"/>
      <c r="BXF11" s="7157"/>
      <c r="BXG11" s="7157"/>
      <c r="BXH11" s="7157"/>
      <c r="BXI11" s="7157"/>
      <c r="BXJ11" s="7157"/>
      <c r="BXK11" s="7158"/>
      <c r="BXL11" s="7158"/>
      <c r="BXM11" s="7158"/>
      <c r="BXN11" s="7158"/>
      <c r="BXO11" s="7158"/>
      <c r="BXP11" s="7159"/>
      <c r="BXQ11" s="7152"/>
      <c r="BXR11" s="7153"/>
      <c r="BXS11" s="7153"/>
      <c r="BXT11" s="7153"/>
      <c r="BXU11" s="7157"/>
      <c r="BXV11" s="7157"/>
      <c r="BXW11" s="7157"/>
      <c r="BXX11" s="7157"/>
      <c r="BXY11" s="7157"/>
      <c r="BXZ11" s="7157"/>
      <c r="BYA11" s="7158"/>
      <c r="BYB11" s="7158"/>
      <c r="BYC11" s="7158"/>
      <c r="BYD11" s="7158"/>
      <c r="BYE11" s="7158"/>
      <c r="BYF11" s="7159"/>
      <c r="BYG11" s="7152"/>
      <c r="BYH11" s="7153"/>
      <c r="BYI11" s="7153"/>
      <c r="BYJ11" s="7153"/>
      <c r="BYK11" s="7157"/>
      <c r="BYL11" s="7157"/>
      <c r="BYM11" s="7157"/>
      <c r="BYN11" s="7157"/>
      <c r="BYO11" s="7157"/>
      <c r="BYP11" s="7157"/>
      <c r="BYQ11" s="7158"/>
      <c r="BYR11" s="7158"/>
      <c r="BYS11" s="7158"/>
      <c r="BYT11" s="7158"/>
      <c r="BYU11" s="7158"/>
      <c r="BYV11" s="7159"/>
      <c r="BYW11" s="7152"/>
      <c r="BYX11" s="7153"/>
      <c r="BYY11" s="7153"/>
      <c r="BYZ11" s="7153"/>
      <c r="BZA11" s="7157"/>
      <c r="BZB11" s="7157"/>
      <c r="BZC11" s="7157"/>
      <c r="BZD11" s="7157"/>
      <c r="BZE11" s="7157"/>
      <c r="BZF11" s="7157"/>
      <c r="BZG11" s="7158"/>
      <c r="BZH11" s="7158"/>
      <c r="BZI11" s="7158"/>
      <c r="BZJ11" s="7158"/>
      <c r="BZK11" s="7158"/>
      <c r="BZL11" s="7159"/>
      <c r="BZM11" s="7152"/>
      <c r="BZN11" s="7153"/>
      <c r="BZO11" s="7153"/>
      <c r="BZP11" s="7153"/>
      <c r="BZQ11" s="7157"/>
      <c r="BZR11" s="7157"/>
      <c r="BZS11" s="7157"/>
      <c r="BZT11" s="7157"/>
      <c r="BZU11" s="7157"/>
      <c r="BZV11" s="7157"/>
      <c r="BZW11" s="7158"/>
      <c r="BZX11" s="7158"/>
      <c r="BZY11" s="7158"/>
      <c r="BZZ11" s="7158"/>
      <c r="CAA11" s="7158"/>
      <c r="CAB11" s="7159"/>
      <c r="CAC11" s="7152"/>
      <c r="CAD11" s="7153"/>
      <c r="CAE11" s="7153"/>
      <c r="CAF11" s="7153"/>
      <c r="CAG11" s="7157"/>
      <c r="CAH11" s="7157"/>
      <c r="CAI11" s="7157"/>
      <c r="CAJ11" s="7157"/>
      <c r="CAK11" s="7157"/>
      <c r="CAL11" s="7157"/>
      <c r="CAM11" s="7158"/>
      <c r="CAN11" s="7158"/>
      <c r="CAO11" s="7158"/>
      <c r="CAP11" s="7158"/>
      <c r="CAQ11" s="7158"/>
      <c r="CAR11" s="7159"/>
      <c r="CAS11" s="7152"/>
      <c r="CAT11" s="7153"/>
      <c r="CAU11" s="7153"/>
      <c r="CAV11" s="7153"/>
      <c r="CAW11" s="7157"/>
      <c r="CAX11" s="7157"/>
      <c r="CAY11" s="7157"/>
      <c r="CAZ11" s="7157"/>
      <c r="CBA11" s="7157"/>
      <c r="CBB11" s="7157"/>
      <c r="CBC11" s="7158"/>
      <c r="CBD11" s="7158"/>
      <c r="CBE11" s="7158"/>
      <c r="CBF11" s="7158"/>
      <c r="CBG11" s="7158"/>
      <c r="CBH11" s="7159"/>
      <c r="CBI11" s="7152"/>
      <c r="CBJ11" s="7153"/>
      <c r="CBK11" s="7153"/>
      <c r="CBL11" s="7153"/>
      <c r="CBM11" s="7157"/>
      <c r="CBN11" s="7157"/>
      <c r="CBO11" s="7157"/>
      <c r="CBP11" s="7157"/>
      <c r="CBQ11" s="7157"/>
      <c r="CBR11" s="7157"/>
      <c r="CBS11" s="7158"/>
      <c r="CBT11" s="7158"/>
      <c r="CBU11" s="7158"/>
      <c r="CBV11" s="7158"/>
      <c r="CBW11" s="7158"/>
      <c r="CBX11" s="7159"/>
      <c r="CBY11" s="7152"/>
      <c r="CBZ11" s="7153"/>
      <c r="CCA11" s="7153"/>
      <c r="CCB11" s="7153"/>
      <c r="CCC11" s="7157"/>
      <c r="CCD11" s="7157"/>
      <c r="CCE11" s="7157"/>
      <c r="CCF11" s="7157"/>
      <c r="CCG11" s="7157"/>
      <c r="CCH11" s="7157"/>
      <c r="CCI11" s="7158"/>
      <c r="CCJ11" s="7158"/>
      <c r="CCK11" s="7158"/>
      <c r="CCL11" s="7158"/>
      <c r="CCM11" s="7158"/>
      <c r="CCN11" s="7159"/>
      <c r="CCO11" s="7152"/>
      <c r="CCP11" s="7153"/>
      <c r="CCQ11" s="7153"/>
      <c r="CCR11" s="7153"/>
      <c r="CCS11" s="7157"/>
      <c r="CCT11" s="7157"/>
      <c r="CCU11" s="7157"/>
      <c r="CCV11" s="7157"/>
      <c r="CCW11" s="7157"/>
      <c r="CCX11" s="7157"/>
      <c r="CCY11" s="7158"/>
      <c r="CCZ11" s="7158"/>
      <c r="CDA11" s="7158"/>
      <c r="CDB11" s="7158"/>
      <c r="CDC11" s="7158"/>
      <c r="CDD11" s="7159"/>
      <c r="CDE11" s="7152"/>
      <c r="CDF11" s="7153"/>
      <c r="CDG11" s="7153"/>
      <c r="CDH11" s="7153"/>
      <c r="CDI11" s="7157"/>
      <c r="CDJ11" s="7157"/>
      <c r="CDK11" s="7157"/>
      <c r="CDL11" s="7157"/>
      <c r="CDM11" s="7157"/>
      <c r="CDN11" s="7157"/>
      <c r="CDO11" s="7158"/>
      <c r="CDP11" s="7158"/>
      <c r="CDQ11" s="7158"/>
      <c r="CDR11" s="7158"/>
      <c r="CDS11" s="7158"/>
      <c r="CDT11" s="7159"/>
      <c r="CDU11" s="7152"/>
      <c r="CDV11" s="7153"/>
      <c r="CDW11" s="7153"/>
      <c r="CDX11" s="7153"/>
      <c r="CDY11" s="7157"/>
      <c r="CDZ11" s="7157"/>
      <c r="CEA11" s="7157"/>
      <c r="CEB11" s="7157"/>
      <c r="CEC11" s="7157"/>
      <c r="CED11" s="7157"/>
      <c r="CEE11" s="7158"/>
      <c r="CEF11" s="7158"/>
      <c r="CEG11" s="7158"/>
      <c r="CEH11" s="7158"/>
      <c r="CEI11" s="7158"/>
      <c r="CEJ11" s="7159"/>
      <c r="CEK11" s="7152"/>
      <c r="CEL11" s="7153"/>
      <c r="CEM11" s="7153"/>
      <c r="CEN11" s="7153"/>
      <c r="CEO11" s="7157"/>
      <c r="CEP11" s="7157"/>
      <c r="CEQ11" s="7157"/>
      <c r="CER11" s="7157"/>
      <c r="CES11" s="7157"/>
      <c r="CET11" s="7157"/>
      <c r="CEU11" s="7158"/>
      <c r="CEV11" s="7158"/>
      <c r="CEW11" s="7158"/>
      <c r="CEX11" s="7158"/>
      <c r="CEY11" s="7158"/>
      <c r="CEZ11" s="7159"/>
      <c r="CFA11" s="7152"/>
      <c r="CFB11" s="7153"/>
      <c r="CFC11" s="7153"/>
      <c r="CFD11" s="7153"/>
      <c r="CFE11" s="7157"/>
      <c r="CFF11" s="7157"/>
      <c r="CFG11" s="7157"/>
      <c r="CFH11" s="7157"/>
      <c r="CFI11" s="7157"/>
      <c r="CFJ11" s="7157"/>
      <c r="CFK11" s="7158"/>
      <c r="CFL11" s="7158"/>
      <c r="CFM11" s="7158"/>
      <c r="CFN11" s="7158"/>
      <c r="CFO11" s="7158"/>
      <c r="CFP11" s="7159"/>
      <c r="CFQ11" s="7152"/>
      <c r="CFR11" s="7153"/>
      <c r="CFS11" s="7153"/>
      <c r="CFT11" s="7153"/>
      <c r="CFU11" s="7157"/>
      <c r="CFV11" s="7157"/>
      <c r="CFW11" s="7157"/>
      <c r="CFX11" s="7157"/>
      <c r="CFY11" s="7157"/>
      <c r="CFZ11" s="7157"/>
      <c r="CGA11" s="7158"/>
      <c r="CGB11" s="7158"/>
      <c r="CGC11" s="7158"/>
      <c r="CGD11" s="7158"/>
      <c r="CGE11" s="7158"/>
      <c r="CGF11" s="7159"/>
      <c r="CGG11" s="7152"/>
      <c r="CGH11" s="7153"/>
      <c r="CGI11" s="7153"/>
      <c r="CGJ11" s="7153"/>
      <c r="CGK11" s="7157"/>
      <c r="CGL11" s="7157"/>
      <c r="CGM11" s="7157"/>
      <c r="CGN11" s="7157"/>
      <c r="CGO11" s="7157"/>
      <c r="CGP11" s="7157"/>
      <c r="CGQ11" s="7158"/>
      <c r="CGR11" s="7158"/>
      <c r="CGS11" s="7158"/>
      <c r="CGT11" s="7158"/>
      <c r="CGU11" s="7158"/>
      <c r="CGV11" s="7159"/>
      <c r="CGW11" s="7152"/>
      <c r="CGX11" s="7153"/>
      <c r="CGY11" s="7153"/>
      <c r="CGZ11" s="7153"/>
      <c r="CHA11" s="7157"/>
      <c r="CHB11" s="7157"/>
      <c r="CHC11" s="7157"/>
      <c r="CHD11" s="7157"/>
      <c r="CHE11" s="7157"/>
      <c r="CHF11" s="7157"/>
      <c r="CHG11" s="7158"/>
      <c r="CHH11" s="7158"/>
      <c r="CHI11" s="7158"/>
      <c r="CHJ11" s="7158"/>
      <c r="CHK11" s="7158"/>
      <c r="CHL11" s="7159"/>
      <c r="CHM11" s="7152"/>
      <c r="CHN11" s="7153"/>
      <c r="CHO11" s="7153"/>
      <c r="CHP11" s="7153"/>
      <c r="CHQ11" s="7157"/>
      <c r="CHR11" s="7157"/>
      <c r="CHS11" s="7157"/>
      <c r="CHT11" s="7157"/>
      <c r="CHU11" s="7157"/>
      <c r="CHV11" s="7157"/>
      <c r="CHW11" s="7158"/>
      <c r="CHX11" s="7158"/>
      <c r="CHY11" s="7158"/>
      <c r="CHZ11" s="7158"/>
      <c r="CIA11" s="7158"/>
      <c r="CIB11" s="7159"/>
      <c r="CIC11" s="7152"/>
      <c r="CID11" s="7153"/>
      <c r="CIE11" s="7153"/>
      <c r="CIF11" s="7153"/>
      <c r="CIG11" s="7157"/>
      <c r="CIH11" s="7157"/>
      <c r="CII11" s="7157"/>
      <c r="CIJ11" s="7157"/>
      <c r="CIK11" s="7157"/>
      <c r="CIL11" s="7157"/>
      <c r="CIM11" s="7158"/>
      <c r="CIN11" s="7158"/>
      <c r="CIO11" s="7158"/>
      <c r="CIP11" s="7158"/>
      <c r="CIQ11" s="7158"/>
      <c r="CIR11" s="7159"/>
      <c r="CIS11" s="7152"/>
      <c r="CIT11" s="7153"/>
      <c r="CIU11" s="7153"/>
      <c r="CIV11" s="7153"/>
      <c r="CIW11" s="7157"/>
      <c r="CIX11" s="7157"/>
      <c r="CIY11" s="7157"/>
      <c r="CIZ11" s="7157"/>
      <c r="CJA11" s="7157"/>
      <c r="CJB11" s="7157"/>
      <c r="CJC11" s="7158"/>
      <c r="CJD11" s="7158"/>
      <c r="CJE11" s="7158"/>
      <c r="CJF11" s="7158"/>
      <c r="CJG11" s="7158"/>
      <c r="CJH11" s="7159"/>
      <c r="CJI11" s="7152"/>
      <c r="CJJ11" s="7153"/>
      <c r="CJK11" s="7153"/>
      <c r="CJL11" s="7153"/>
      <c r="CJM11" s="7157"/>
      <c r="CJN11" s="7157"/>
      <c r="CJO11" s="7157"/>
      <c r="CJP11" s="7157"/>
      <c r="CJQ11" s="7157"/>
      <c r="CJR11" s="7157"/>
      <c r="CJS11" s="7158"/>
      <c r="CJT11" s="7158"/>
      <c r="CJU11" s="7158"/>
      <c r="CJV11" s="7158"/>
      <c r="CJW11" s="7158"/>
      <c r="CJX11" s="7159"/>
      <c r="CJY11" s="7152"/>
      <c r="CJZ11" s="7153"/>
      <c r="CKA11" s="7153"/>
      <c r="CKB11" s="7153"/>
      <c r="CKC11" s="7157"/>
      <c r="CKD11" s="7157"/>
      <c r="CKE11" s="7157"/>
      <c r="CKF11" s="7157"/>
      <c r="CKG11" s="7157"/>
      <c r="CKH11" s="7157"/>
      <c r="CKI11" s="7158"/>
      <c r="CKJ11" s="7158"/>
      <c r="CKK11" s="7158"/>
      <c r="CKL11" s="7158"/>
      <c r="CKM11" s="7158"/>
      <c r="CKN11" s="7159"/>
      <c r="CKO11" s="7152"/>
      <c r="CKP11" s="7153"/>
      <c r="CKQ11" s="7153"/>
      <c r="CKR11" s="7153"/>
      <c r="CKS11" s="7157"/>
      <c r="CKT11" s="7157"/>
      <c r="CKU11" s="7157"/>
      <c r="CKV11" s="7157"/>
      <c r="CKW11" s="7157"/>
      <c r="CKX11" s="7157"/>
      <c r="CKY11" s="7158"/>
      <c r="CKZ11" s="7158"/>
      <c r="CLA11" s="7158"/>
      <c r="CLB11" s="7158"/>
      <c r="CLC11" s="7158"/>
      <c r="CLD11" s="7159"/>
      <c r="CLE11" s="7152"/>
      <c r="CLF11" s="7153"/>
      <c r="CLG11" s="7153"/>
      <c r="CLH11" s="7153"/>
      <c r="CLI11" s="7157"/>
      <c r="CLJ11" s="7157"/>
      <c r="CLK11" s="7157"/>
      <c r="CLL11" s="7157"/>
      <c r="CLM11" s="7157"/>
      <c r="CLN11" s="7157"/>
      <c r="CLO11" s="7158"/>
      <c r="CLP11" s="7158"/>
      <c r="CLQ11" s="7158"/>
      <c r="CLR11" s="7158"/>
      <c r="CLS11" s="7158"/>
      <c r="CLT11" s="7159"/>
      <c r="CLU11" s="7152"/>
      <c r="CLV11" s="7153"/>
      <c r="CLW11" s="7153"/>
      <c r="CLX11" s="7153"/>
      <c r="CLY11" s="7157"/>
      <c r="CLZ11" s="7157"/>
      <c r="CMA11" s="7157"/>
      <c r="CMB11" s="7157"/>
      <c r="CMC11" s="7157"/>
      <c r="CMD11" s="7157"/>
      <c r="CME11" s="7158"/>
      <c r="CMF11" s="7158"/>
      <c r="CMG11" s="7158"/>
      <c r="CMH11" s="7158"/>
      <c r="CMI11" s="7158"/>
      <c r="CMJ11" s="7159"/>
      <c r="CMK11" s="7152"/>
      <c r="CML11" s="7153"/>
      <c r="CMM11" s="7153"/>
      <c r="CMN11" s="7153"/>
      <c r="CMO11" s="7157"/>
      <c r="CMP11" s="7157"/>
      <c r="CMQ11" s="7157"/>
      <c r="CMR11" s="7157"/>
      <c r="CMS11" s="7157"/>
      <c r="CMT11" s="7157"/>
      <c r="CMU11" s="7158"/>
      <c r="CMV11" s="7158"/>
      <c r="CMW11" s="7158"/>
      <c r="CMX11" s="7158"/>
      <c r="CMY11" s="7158"/>
      <c r="CMZ11" s="7159"/>
      <c r="CNA11" s="7152"/>
      <c r="CNB11" s="7153"/>
      <c r="CNC11" s="7153"/>
      <c r="CND11" s="7153"/>
      <c r="CNE11" s="7157"/>
      <c r="CNF11" s="7157"/>
      <c r="CNG11" s="7157"/>
      <c r="CNH11" s="7157"/>
      <c r="CNI11" s="7157"/>
      <c r="CNJ11" s="7157"/>
      <c r="CNK11" s="7158"/>
      <c r="CNL11" s="7158"/>
      <c r="CNM11" s="7158"/>
      <c r="CNN11" s="7158"/>
      <c r="CNO11" s="7158"/>
      <c r="CNP11" s="7159"/>
      <c r="CNQ11" s="7152"/>
      <c r="CNR11" s="7153"/>
      <c r="CNS11" s="7153"/>
      <c r="CNT11" s="7153"/>
      <c r="CNU11" s="7157"/>
      <c r="CNV11" s="7157"/>
      <c r="CNW11" s="7157"/>
      <c r="CNX11" s="7157"/>
      <c r="CNY11" s="7157"/>
      <c r="CNZ11" s="7157"/>
      <c r="COA11" s="7158"/>
      <c r="COB11" s="7158"/>
      <c r="COC11" s="7158"/>
      <c r="COD11" s="7158"/>
      <c r="COE11" s="7158"/>
      <c r="COF11" s="7159"/>
      <c r="COG11" s="7152"/>
      <c r="COH11" s="7153"/>
      <c r="COI11" s="7153"/>
      <c r="COJ11" s="7153"/>
      <c r="COK11" s="7157"/>
      <c r="COL11" s="7157"/>
      <c r="COM11" s="7157"/>
      <c r="CON11" s="7157"/>
      <c r="COO11" s="7157"/>
      <c r="COP11" s="7157"/>
      <c r="COQ11" s="7158"/>
      <c r="COR11" s="7158"/>
      <c r="COS11" s="7158"/>
      <c r="COT11" s="7158"/>
      <c r="COU11" s="7158"/>
      <c r="COV11" s="7159"/>
      <c r="COW11" s="7152"/>
      <c r="COX11" s="7153"/>
      <c r="COY11" s="7153"/>
      <c r="COZ11" s="7153"/>
      <c r="CPA11" s="7157"/>
      <c r="CPB11" s="7157"/>
      <c r="CPC11" s="7157"/>
      <c r="CPD11" s="7157"/>
      <c r="CPE11" s="7157"/>
      <c r="CPF11" s="7157"/>
      <c r="CPG11" s="7158"/>
      <c r="CPH11" s="7158"/>
      <c r="CPI11" s="7158"/>
      <c r="CPJ11" s="7158"/>
      <c r="CPK11" s="7158"/>
      <c r="CPL11" s="7159"/>
      <c r="CPM11" s="7152"/>
      <c r="CPN11" s="7153"/>
      <c r="CPO11" s="7153"/>
      <c r="CPP11" s="7153"/>
      <c r="CPQ11" s="7157"/>
      <c r="CPR11" s="7157"/>
      <c r="CPS11" s="7157"/>
      <c r="CPT11" s="7157"/>
      <c r="CPU11" s="7157"/>
      <c r="CPV11" s="7157"/>
      <c r="CPW11" s="7158"/>
      <c r="CPX11" s="7158"/>
      <c r="CPY11" s="7158"/>
      <c r="CPZ11" s="7158"/>
      <c r="CQA11" s="7158"/>
      <c r="CQB11" s="7159"/>
      <c r="CQC11" s="7152"/>
      <c r="CQD11" s="7153"/>
      <c r="CQE11" s="7153"/>
      <c r="CQF11" s="7153"/>
      <c r="CQG11" s="7157"/>
      <c r="CQH11" s="7157"/>
      <c r="CQI11" s="7157"/>
      <c r="CQJ11" s="7157"/>
      <c r="CQK11" s="7157"/>
      <c r="CQL11" s="7157"/>
      <c r="CQM11" s="7158"/>
      <c r="CQN11" s="7158"/>
      <c r="CQO11" s="7158"/>
      <c r="CQP11" s="7158"/>
      <c r="CQQ11" s="7158"/>
      <c r="CQR11" s="7159"/>
      <c r="CQS11" s="7152"/>
      <c r="CQT11" s="7153"/>
      <c r="CQU11" s="7153"/>
      <c r="CQV11" s="7153"/>
      <c r="CQW11" s="7157"/>
      <c r="CQX11" s="7157"/>
      <c r="CQY11" s="7157"/>
      <c r="CQZ11" s="7157"/>
      <c r="CRA11" s="7157"/>
      <c r="CRB11" s="7157"/>
      <c r="CRC11" s="7158"/>
      <c r="CRD11" s="7158"/>
      <c r="CRE11" s="7158"/>
      <c r="CRF11" s="7158"/>
      <c r="CRG11" s="7158"/>
      <c r="CRH11" s="7159"/>
      <c r="CRI11" s="7152"/>
      <c r="CRJ11" s="7153"/>
      <c r="CRK11" s="7153"/>
      <c r="CRL11" s="7153"/>
      <c r="CRM11" s="7157"/>
      <c r="CRN11" s="7157"/>
      <c r="CRO11" s="7157"/>
      <c r="CRP11" s="7157"/>
      <c r="CRQ11" s="7157"/>
      <c r="CRR11" s="7157"/>
      <c r="CRS11" s="7158"/>
      <c r="CRT11" s="7158"/>
      <c r="CRU11" s="7158"/>
      <c r="CRV11" s="7158"/>
      <c r="CRW11" s="7158"/>
      <c r="CRX11" s="7159"/>
      <c r="CRY11" s="7152"/>
      <c r="CRZ11" s="7153"/>
      <c r="CSA11" s="7153"/>
      <c r="CSB11" s="7153"/>
      <c r="CSC11" s="7157"/>
      <c r="CSD11" s="7157"/>
      <c r="CSE11" s="7157"/>
      <c r="CSF11" s="7157"/>
      <c r="CSG11" s="7157"/>
      <c r="CSH11" s="7157"/>
      <c r="CSI11" s="7158"/>
      <c r="CSJ11" s="7158"/>
      <c r="CSK11" s="7158"/>
      <c r="CSL11" s="7158"/>
      <c r="CSM11" s="7158"/>
      <c r="CSN11" s="7159"/>
      <c r="CSO11" s="7152"/>
      <c r="CSP11" s="7153"/>
      <c r="CSQ11" s="7153"/>
      <c r="CSR11" s="7153"/>
      <c r="CSS11" s="7157"/>
      <c r="CST11" s="7157"/>
      <c r="CSU11" s="7157"/>
      <c r="CSV11" s="7157"/>
      <c r="CSW11" s="7157"/>
      <c r="CSX11" s="7157"/>
      <c r="CSY11" s="7158"/>
      <c r="CSZ11" s="7158"/>
      <c r="CTA11" s="7158"/>
      <c r="CTB11" s="7158"/>
      <c r="CTC11" s="7158"/>
      <c r="CTD11" s="7159"/>
      <c r="CTE11" s="7152"/>
      <c r="CTF11" s="7153"/>
      <c r="CTG11" s="7153"/>
      <c r="CTH11" s="7153"/>
      <c r="CTI11" s="7157"/>
      <c r="CTJ11" s="7157"/>
      <c r="CTK11" s="7157"/>
      <c r="CTL11" s="7157"/>
      <c r="CTM11" s="7157"/>
      <c r="CTN11" s="7157"/>
      <c r="CTO11" s="7158"/>
      <c r="CTP11" s="7158"/>
      <c r="CTQ11" s="7158"/>
      <c r="CTR11" s="7158"/>
      <c r="CTS11" s="7158"/>
      <c r="CTT11" s="7159"/>
      <c r="CTU11" s="7152"/>
      <c r="CTV11" s="7153"/>
      <c r="CTW11" s="7153"/>
      <c r="CTX11" s="7153"/>
      <c r="CTY11" s="7157"/>
      <c r="CTZ11" s="7157"/>
      <c r="CUA11" s="7157"/>
      <c r="CUB11" s="7157"/>
      <c r="CUC11" s="7157"/>
      <c r="CUD11" s="7157"/>
      <c r="CUE11" s="7158"/>
      <c r="CUF11" s="7158"/>
      <c r="CUG11" s="7158"/>
      <c r="CUH11" s="7158"/>
      <c r="CUI11" s="7158"/>
      <c r="CUJ11" s="7159"/>
      <c r="CUK11" s="7152"/>
      <c r="CUL11" s="7153"/>
      <c r="CUM11" s="7153"/>
      <c r="CUN11" s="7153"/>
      <c r="CUO11" s="7157"/>
      <c r="CUP11" s="7157"/>
      <c r="CUQ11" s="7157"/>
      <c r="CUR11" s="7157"/>
      <c r="CUS11" s="7157"/>
      <c r="CUT11" s="7157"/>
      <c r="CUU11" s="7158"/>
      <c r="CUV11" s="7158"/>
      <c r="CUW11" s="7158"/>
      <c r="CUX11" s="7158"/>
      <c r="CUY11" s="7158"/>
      <c r="CUZ11" s="7159"/>
      <c r="CVA11" s="7152"/>
      <c r="CVB11" s="7153"/>
      <c r="CVC11" s="7153"/>
      <c r="CVD11" s="7153"/>
      <c r="CVE11" s="7157"/>
      <c r="CVF11" s="7157"/>
      <c r="CVG11" s="7157"/>
      <c r="CVH11" s="7157"/>
      <c r="CVI11" s="7157"/>
      <c r="CVJ11" s="7157"/>
      <c r="CVK11" s="7158"/>
      <c r="CVL11" s="7158"/>
      <c r="CVM11" s="7158"/>
      <c r="CVN11" s="7158"/>
      <c r="CVO11" s="7158"/>
      <c r="CVP11" s="7159"/>
      <c r="CVQ11" s="7152"/>
      <c r="CVR11" s="7153"/>
      <c r="CVS11" s="7153"/>
      <c r="CVT11" s="7153"/>
      <c r="CVU11" s="7157"/>
      <c r="CVV11" s="7157"/>
      <c r="CVW11" s="7157"/>
      <c r="CVX11" s="7157"/>
      <c r="CVY11" s="7157"/>
      <c r="CVZ11" s="7157"/>
      <c r="CWA11" s="7158"/>
      <c r="CWB11" s="7158"/>
      <c r="CWC11" s="7158"/>
      <c r="CWD11" s="7158"/>
      <c r="CWE11" s="7158"/>
      <c r="CWF11" s="7159"/>
      <c r="CWG11" s="7152"/>
      <c r="CWH11" s="7153"/>
      <c r="CWI11" s="7153"/>
      <c r="CWJ11" s="7153"/>
      <c r="CWK11" s="7157"/>
      <c r="CWL11" s="7157"/>
      <c r="CWM11" s="7157"/>
      <c r="CWN11" s="7157"/>
      <c r="CWO11" s="7157"/>
      <c r="CWP11" s="7157"/>
      <c r="CWQ11" s="7158"/>
      <c r="CWR11" s="7158"/>
      <c r="CWS11" s="7158"/>
      <c r="CWT11" s="7158"/>
      <c r="CWU11" s="7158"/>
      <c r="CWV11" s="7159"/>
      <c r="CWW11" s="7152"/>
      <c r="CWX11" s="7153"/>
      <c r="CWY11" s="7153"/>
      <c r="CWZ11" s="7153"/>
      <c r="CXA11" s="7157"/>
      <c r="CXB11" s="7157"/>
      <c r="CXC11" s="7157"/>
      <c r="CXD11" s="7157"/>
      <c r="CXE11" s="7157"/>
      <c r="CXF11" s="7157"/>
      <c r="CXG11" s="7158"/>
      <c r="CXH11" s="7158"/>
      <c r="CXI11" s="7158"/>
      <c r="CXJ11" s="7158"/>
      <c r="CXK11" s="7158"/>
      <c r="CXL11" s="7159"/>
      <c r="CXM11" s="7152"/>
      <c r="CXN11" s="7153"/>
      <c r="CXO11" s="7153"/>
      <c r="CXP11" s="7153"/>
      <c r="CXQ11" s="7157"/>
      <c r="CXR11" s="7157"/>
      <c r="CXS11" s="7157"/>
      <c r="CXT11" s="7157"/>
      <c r="CXU11" s="7157"/>
      <c r="CXV11" s="7157"/>
      <c r="CXW11" s="7158"/>
      <c r="CXX11" s="7158"/>
      <c r="CXY11" s="7158"/>
      <c r="CXZ11" s="7158"/>
      <c r="CYA11" s="7158"/>
      <c r="CYB11" s="7159"/>
      <c r="CYC11" s="7152"/>
      <c r="CYD11" s="7153"/>
      <c r="CYE11" s="7153"/>
      <c r="CYF11" s="7153"/>
      <c r="CYG11" s="7157"/>
      <c r="CYH11" s="7157"/>
      <c r="CYI11" s="7157"/>
      <c r="CYJ11" s="7157"/>
      <c r="CYK11" s="7157"/>
      <c r="CYL11" s="7157"/>
      <c r="CYM11" s="7158"/>
      <c r="CYN11" s="7158"/>
      <c r="CYO11" s="7158"/>
      <c r="CYP11" s="7158"/>
      <c r="CYQ11" s="7158"/>
      <c r="CYR11" s="7159"/>
      <c r="CYS11" s="7152"/>
      <c r="CYT11" s="7153"/>
      <c r="CYU11" s="7153"/>
      <c r="CYV11" s="7153"/>
      <c r="CYW11" s="7157"/>
      <c r="CYX11" s="7157"/>
      <c r="CYY11" s="7157"/>
      <c r="CYZ11" s="7157"/>
      <c r="CZA11" s="7157"/>
      <c r="CZB11" s="7157"/>
      <c r="CZC11" s="7158"/>
      <c r="CZD11" s="7158"/>
      <c r="CZE11" s="7158"/>
      <c r="CZF11" s="7158"/>
      <c r="CZG11" s="7158"/>
      <c r="CZH11" s="7159"/>
      <c r="CZI11" s="7152"/>
      <c r="CZJ11" s="7153"/>
      <c r="CZK11" s="7153"/>
      <c r="CZL11" s="7153"/>
      <c r="CZM11" s="7157"/>
      <c r="CZN11" s="7157"/>
      <c r="CZO11" s="7157"/>
      <c r="CZP11" s="7157"/>
      <c r="CZQ11" s="7157"/>
      <c r="CZR11" s="7157"/>
      <c r="CZS11" s="7158"/>
      <c r="CZT11" s="7158"/>
      <c r="CZU11" s="7158"/>
      <c r="CZV11" s="7158"/>
      <c r="CZW11" s="7158"/>
      <c r="CZX11" s="7159"/>
      <c r="CZY11" s="7152"/>
      <c r="CZZ11" s="7153"/>
      <c r="DAA11" s="7153"/>
      <c r="DAB11" s="7153"/>
      <c r="DAC11" s="7157"/>
      <c r="DAD11" s="7157"/>
      <c r="DAE11" s="7157"/>
      <c r="DAF11" s="7157"/>
      <c r="DAG11" s="7157"/>
      <c r="DAH11" s="7157"/>
      <c r="DAI11" s="7158"/>
      <c r="DAJ11" s="7158"/>
      <c r="DAK11" s="7158"/>
      <c r="DAL11" s="7158"/>
      <c r="DAM11" s="7158"/>
      <c r="DAN11" s="7159"/>
      <c r="DAO11" s="7152"/>
      <c r="DAP11" s="7153"/>
      <c r="DAQ11" s="7153"/>
      <c r="DAR11" s="7153"/>
      <c r="DAS11" s="7157"/>
      <c r="DAT11" s="7157"/>
      <c r="DAU11" s="7157"/>
      <c r="DAV11" s="7157"/>
      <c r="DAW11" s="7157"/>
      <c r="DAX11" s="7157"/>
      <c r="DAY11" s="7158"/>
      <c r="DAZ11" s="7158"/>
      <c r="DBA11" s="7158"/>
      <c r="DBB11" s="7158"/>
      <c r="DBC11" s="7158"/>
      <c r="DBD11" s="7159"/>
      <c r="DBE11" s="7152"/>
      <c r="DBF11" s="7153"/>
      <c r="DBG11" s="7153"/>
      <c r="DBH11" s="7153"/>
      <c r="DBI11" s="7157"/>
      <c r="DBJ11" s="7157"/>
      <c r="DBK11" s="7157"/>
      <c r="DBL11" s="7157"/>
      <c r="DBM11" s="7157"/>
      <c r="DBN11" s="7157"/>
      <c r="DBO11" s="7158"/>
      <c r="DBP11" s="7158"/>
      <c r="DBQ11" s="7158"/>
      <c r="DBR11" s="7158"/>
      <c r="DBS11" s="7158"/>
      <c r="DBT11" s="7159"/>
      <c r="DBU11" s="7152"/>
      <c r="DBV11" s="7153"/>
      <c r="DBW11" s="7153"/>
      <c r="DBX11" s="7153"/>
      <c r="DBY11" s="7157"/>
      <c r="DBZ11" s="7157"/>
      <c r="DCA11" s="7157"/>
      <c r="DCB11" s="7157"/>
      <c r="DCC11" s="7157"/>
      <c r="DCD11" s="7157"/>
      <c r="DCE11" s="7158"/>
      <c r="DCF11" s="7158"/>
      <c r="DCG11" s="7158"/>
      <c r="DCH11" s="7158"/>
      <c r="DCI11" s="7158"/>
      <c r="DCJ11" s="7159"/>
      <c r="DCK11" s="7152"/>
      <c r="DCL11" s="7153"/>
      <c r="DCM11" s="7153"/>
      <c r="DCN11" s="7153"/>
      <c r="DCO11" s="7157"/>
      <c r="DCP11" s="7157"/>
      <c r="DCQ11" s="7157"/>
      <c r="DCR11" s="7157"/>
      <c r="DCS11" s="7157"/>
      <c r="DCT11" s="7157"/>
      <c r="DCU11" s="7158"/>
      <c r="DCV11" s="7158"/>
      <c r="DCW11" s="7158"/>
      <c r="DCX11" s="7158"/>
      <c r="DCY11" s="7158"/>
      <c r="DCZ11" s="7159"/>
      <c r="DDA11" s="7152"/>
      <c r="DDB11" s="7153"/>
      <c r="DDC11" s="7153"/>
      <c r="DDD11" s="7153"/>
      <c r="DDE11" s="7157"/>
      <c r="DDF11" s="7157"/>
      <c r="DDG11" s="7157"/>
      <c r="DDH11" s="7157"/>
      <c r="DDI11" s="7157"/>
      <c r="DDJ11" s="7157"/>
      <c r="DDK11" s="7158"/>
      <c r="DDL11" s="7158"/>
      <c r="DDM11" s="7158"/>
      <c r="DDN11" s="7158"/>
      <c r="DDO11" s="7158"/>
      <c r="DDP11" s="7159"/>
      <c r="DDQ11" s="7152"/>
      <c r="DDR11" s="7153"/>
      <c r="DDS11" s="7153"/>
      <c r="DDT11" s="7153"/>
      <c r="DDU11" s="7157"/>
      <c r="DDV11" s="7157"/>
      <c r="DDW11" s="7157"/>
      <c r="DDX11" s="7157"/>
      <c r="DDY11" s="7157"/>
      <c r="DDZ11" s="7157"/>
      <c r="DEA11" s="7158"/>
      <c r="DEB11" s="7158"/>
      <c r="DEC11" s="7158"/>
      <c r="DED11" s="7158"/>
      <c r="DEE11" s="7158"/>
      <c r="DEF11" s="7159"/>
      <c r="DEG11" s="7152"/>
      <c r="DEH11" s="7153"/>
      <c r="DEI11" s="7153"/>
      <c r="DEJ11" s="7153"/>
      <c r="DEK11" s="7157"/>
      <c r="DEL11" s="7157"/>
      <c r="DEM11" s="7157"/>
      <c r="DEN11" s="7157"/>
      <c r="DEO11" s="7157"/>
      <c r="DEP11" s="7157"/>
      <c r="DEQ11" s="7158"/>
      <c r="DER11" s="7158"/>
      <c r="DES11" s="7158"/>
      <c r="DET11" s="7158"/>
      <c r="DEU11" s="7158"/>
      <c r="DEV11" s="7159"/>
      <c r="DEW11" s="7152"/>
      <c r="DEX11" s="7153"/>
      <c r="DEY11" s="7153"/>
      <c r="DEZ11" s="7153"/>
      <c r="DFA11" s="7157"/>
      <c r="DFB11" s="7157"/>
      <c r="DFC11" s="7157"/>
      <c r="DFD11" s="7157"/>
      <c r="DFE11" s="7157"/>
      <c r="DFF11" s="7157"/>
      <c r="DFG11" s="7158"/>
      <c r="DFH11" s="7158"/>
      <c r="DFI11" s="7158"/>
      <c r="DFJ11" s="7158"/>
      <c r="DFK11" s="7158"/>
      <c r="DFL11" s="7159"/>
      <c r="DFM11" s="7152"/>
      <c r="DFN11" s="7153"/>
      <c r="DFO11" s="7153"/>
      <c r="DFP11" s="7153"/>
      <c r="DFQ11" s="7157"/>
      <c r="DFR11" s="7157"/>
      <c r="DFS11" s="7157"/>
      <c r="DFT11" s="7157"/>
      <c r="DFU11" s="7157"/>
      <c r="DFV11" s="7157"/>
      <c r="DFW11" s="7158"/>
      <c r="DFX11" s="7158"/>
      <c r="DFY11" s="7158"/>
      <c r="DFZ11" s="7158"/>
      <c r="DGA11" s="7158"/>
      <c r="DGB11" s="7159"/>
      <c r="DGC11" s="7152"/>
      <c r="DGD11" s="7153"/>
      <c r="DGE11" s="7153"/>
      <c r="DGF11" s="7153"/>
      <c r="DGG11" s="7157"/>
      <c r="DGH11" s="7157"/>
      <c r="DGI11" s="7157"/>
      <c r="DGJ11" s="7157"/>
      <c r="DGK11" s="7157"/>
      <c r="DGL11" s="7157"/>
      <c r="DGM11" s="7158"/>
      <c r="DGN11" s="7158"/>
      <c r="DGO11" s="7158"/>
      <c r="DGP11" s="7158"/>
      <c r="DGQ11" s="7158"/>
      <c r="DGR11" s="7159"/>
      <c r="DGS11" s="7152"/>
      <c r="DGT11" s="7153"/>
      <c r="DGU11" s="7153"/>
      <c r="DGV11" s="7153"/>
      <c r="DGW11" s="7157"/>
      <c r="DGX11" s="7157"/>
      <c r="DGY11" s="7157"/>
      <c r="DGZ11" s="7157"/>
      <c r="DHA11" s="7157"/>
      <c r="DHB11" s="7157"/>
      <c r="DHC11" s="7158"/>
      <c r="DHD11" s="7158"/>
      <c r="DHE11" s="7158"/>
      <c r="DHF11" s="7158"/>
      <c r="DHG11" s="7158"/>
      <c r="DHH11" s="7159"/>
      <c r="DHI11" s="7152"/>
      <c r="DHJ11" s="7153"/>
      <c r="DHK11" s="7153"/>
      <c r="DHL11" s="7153"/>
      <c r="DHM11" s="7157"/>
      <c r="DHN11" s="7157"/>
      <c r="DHO11" s="7157"/>
      <c r="DHP11" s="7157"/>
      <c r="DHQ11" s="7157"/>
      <c r="DHR11" s="7157"/>
      <c r="DHS11" s="7158"/>
      <c r="DHT11" s="7158"/>
      <c r="DHU11" s="7158"/>
      <c r="DHV11" s="7158"/>
      <c r="DHW11" s="7158"/>
      <c r="DHX11" s="7159"/>
      <c r="DHY11" s="7152"/>
      <c r="DHZ11" s="7153"/>
      <c r="DIA11" s="7153"/>
      <c r="DIB11" s="7153"/>
      <c r="DIC11" s="7157"/>
      <c r="DID11" s="7157"/>
      <c r="DIE11" s="7157"/>
      <c r="DIF11" s="7157"/>
      <c r="DIG11" s="7157"/>
      <c r="DIH11" s="7157"/>
      <c r="DII11" s="7158"/>
      <c r="DIJ11" s="7158"/>
      <c r="DIK11" s="7158"/>
      <c r="DIL11" s="7158"/>
      <c r="DIM11" s="7158"/>
      <c r="DIN11" s="7159"/>
      <c r="DIO11" s="7152"/>
      <c r="DIP11" s="7153"/>
      <c r="DIQ11" s="7153"/>
      <c r="DIR11" s="7153"/>
      <c r="DIS11" s="7157"/>
      <c r="DIT11" s="7157"/>
      <c r="DIU11" s="7157"/>
      <c r="DIV11" s="7157"/>
      <c r="DIW11" s="7157"/>
      <c r="DIX11" s="7157"/>
      <c r="DIY11" s="7158"/>
      <c r="DIZ11" s="7158"/>
      <c r="DJA11" s="7158"/>
      <c r="DJB11" s="7158"/>
      <c r="DJC11" s="7158"/>
      <c r="DJD11" s="7159"/>
      <c r="DJE11" s="7152"/>
      <c r="DJF11" s="7153"/>
      <c r="DJG11" s="7153"/>
      <c r="DJH11" s="7153"/>
      <c r="DJI11" s="7157"/>
      <c r="DJJ11" s="7157"/>
      <c r="DJK11" s="7157"/>
      <c r="DJL11" s="7157"/>
      <c r="DJM11" s="7157"/>
      <c r="DJN11" s="7157"/>
      <c r="DJO11" s="7158"/>
      <c r="DJP11" s="7158"/>
      <c r="DJQ11" s="7158"/>
      <c r="DJR11" s="7158"/>
      <c r="DJS11" s="7158"/>
      <c r="DJT11" s="7159"/>
      <c r="DJU11" s="7152"/>
      <c r="DJV11" s="7153"/>
      <c r="DJW11" s="7153"/>
      <c r="DJX11" s="7153"/>
      <c r="DJY11" s="7157"/>
      <c r="DJZ11" s="7157"/>
      <c r="DKA11" s="7157"/>
      <c r="DKB11" s="7157"/>
      <c r="DKC11" s="7157"/>
      <c r="DKD11" s="7157"/>
      <c r="DKE11" s="7158"/>
      <c r="DKF11" s="7158"/>
      <c r="DKG11" s="7158"/>
      <c r="DKH11" s="7158"/>
      <c r="DKI11" s="7158"/>
      <c r="DKJ11" s="7159"/>
      <c r="DKK11" s="7152"/>
      <c r="DKL11" s="7153"/>
      <c r="DKM11" s="7153"/>
      <c r="DKN11" s="7153"/>
      <c r="DKO11" s="7157"/>
      <c r="DKP11" s="7157"/>
      <c r="DKQ11" s="7157"/>
      <c r="DKR11" s="7157"/>
      <c r="DKS11" s="7157"/>
      <c r="DKT11" s="7157"/>
      <c r="DKU11" s="7158"/>
      <c r="DKV11" s="7158"/>
      <c r="DKW11" s="7158"/>
      <c r="DKX11" s="7158"/>
      <c r="DKY11" s="7158"/>
      <c r="DKZ11" s="7159"/>
      <c r="DLA11" s="7152"/>
      <c r="DLB11" s="7153"/>
      <c r="DLC11" s="7153"/>
      <c r="DLD11" s="7153"/>
      <c r="DLE11" s="7157"/>
      <c r="DLF11" s="7157"/>
      <c r="DLG11" s="7157"/>
      <c r="DLH11" s="7157"/>
      <c r="DLI11" s="7157"/>
      <c r="DLJ11" s="7157"/>
      <c r="DLK11" s="7158"/>
      <c r="DLL11" s="7158"/>
      <c r="DLM11" s="7158"/>
      <c r="DLN11" s="7158"/>
      <c r="DLO11" s="7158"/>
      <c r="DLP11" s="7159"/>
      <c r="DLQ11" s="7152"/>
      <c r="DLR11" s="7153"/>
      <c r="DLS11" s="7153"/>
      <c r="DLT11" s="7153"/>
      <c r="DLU11" s="7157"/>
      <c r="DLV11" s="7157"/>
      <c r="DLW11" s="7157"/>
      <c r="DLX11" s="7157"/>
      <c r="DLY11" s="7157"/>
      <c r="DLZ11" s="7157"/>
      <c r="DMA11" s="7158"/>
      <c r="DMB11" s="7158"/>
      <c r="DMC11" s="7158"/>
      <c r="DMD11" s="7158"/>
      <c r="DME11" s="7158"/>
      <c r="DMF11" s="7159"/>
      <c r="DMG11" s="7152"/>
      <c r="DMH11" s="7153"/>
      <c r="DMI11" s="7153"/>
      <c r="DMJ11" s="7153"/>
      <c r="DMK11" s="7157"/>
      <c r="DML11" s="7157"/>
      <c r="DMM11" s="7157"/>
      <c r="DMN11" s="7157"/>
      <c r="DMO11" s="7157"/>
      <c r="DMP11" s="7157"/>
      <c r="DMQ11" s="7158"/>
      <c r="DMR11" s="7158"/>
      <c r="DMS11" s="7158"/>
      <c r="DMT11" s="7158"/>
      <c r="DMU11" s="7158"/>
      <c r="DMV11" s="7159"/>
      <c r="DMW11" s="7152"/>
      <c r="DMX11" s="7153"/>
      <c r="DMY11" s="7153"/>
      <c r="DMZ11" s="7153"/>
      <c r="DNA11" s="7157"/>
      <c r="DNB11" s="7157"/>
      <c r="DNC11" s="7157"/>
      <c r="DND11" s="7157"/>
      <c r="DNE11" s="7157"/>
      <c r="DNF11" s="7157"/>
      <c r="DNG11" s="7158"/>
      <c r="DNH11" s="7158"/>
      <c r="DNI11" s="7158"/>
      <c r="DNJ11" s="7158"/>
      <c r="DNK11" s="7158"/>
      <c r="DNL11" s="7159"/>
      <c r="DNM11" s="7152"/>
      <c r="DNN11" s="7153"/>
      <c r="DNO11" s="7153"/>
      <c r="DNP11" s="7153"/>
      <c r="DNQ11" s="7157"/>
      <c r="DNR11" s="7157"/>
      <c r="DNS11" s="7157"/>
      <c r="DNT11" s="7157"/>
      <c r="DNU11" s="7157"/>
      <c r="DNV11" s="7157"/>
      <c r="DNW11" s="7158"/>
      <c r="DNX11" s="7158"/>
      <c r="DNY11" s="7158"/>
      <c r="DNZ11" s="7158"/>
      <c r="DOA11" s="7158"/>
      <c r="DOB11" s="7159"/>
      <c r="DOC11" s="7152"/>
      <c r="DOD11" s="7153"/>
      <c r="DOE11" s="7153"/>
      <c r="DOF11" s="7153"/>
      <c r="DOG11" s="7157"/>
      <c r="DOH11" s="7157"/>
      <c r="DOI11" s="7157"/>
      <c r="DOJ11" s="7157"/>
      <c r="DOK11" s="7157"/>
      <c r="DOL11" s="7157"/>
      <c r="DOM11" s="7158"/>
      <c r="DON11" s="7158"/>
      <c r="DOO11" s="7158"/>
      <c r="DOP11" s="7158"/>
      <c r="DOQ11" s="7158"/>
      <c r="DOR11" s="7159"/>
      <c r="DOS11" s="7152"/>
      <c r="DOT11" s="7153"/>
      <c r="DOU11" s="7153"/>
      <c r="DOV11" s="7153"/>
      <c r="DOW11" s="7157"/>
      <c r="DOX11" s="7157"/>
      <c r="DOY11" s="7157"/>
      <c r="DOZ11" s="7157"/>
      <c r="DPA11" s="7157"/>
      <c r="DPB11" s="7157"/>
      <c r="DPC11" s="7158"/>
      <c r="DPD11" s="7158"/>
      <c r="DPE11" s="7158"/>
      <c r="DPF11" s="7158"/>
      <c r="DPG11" s="7158"/>
      <c r="DPH11" s="7159"/>
      <c r="DPI11" s="7152"/>
      <c r="DPJ11" s="7153"/>
      <c r="DPK11" s="7153"/>
      <c r="DPL11" s="7153"/>
      <c r="DPM11" s="7157"/>
      <c r="DPN11" s="7157"/>
      <c r="DPO11" s="7157"/>
      <c r="DPP11" s="7157"/>
      <c r="DPQ11" s="7157"/>
      <c r="DPR11" s="7157"/>
      <c r="DPS11" s="7158"/>
      <c r="DPT11" s="7158"/>
      <c r="DPU11" s="7158"/>
      <c r="DPV11" s="7158"/>
      <c r="DPW11" s="7158"/>
      <c r="DPX11" s="7159"/>
      <c r="DPY11" s="7152"/>
      <c r="DPZ11" s="7153"/>
      <c r="DQA11" s="7153"/>
      <c r="DQB11" s="7153"/>
      <c r="DQC11" s="7157"/>
      <c r="DQD11" s="7157"/>
      <c r="DQE11" s="7157"/>
      <c r="DQF11" s="7157"/>
      <c r="DQG11" s="7157"/>
      <c r="DQH11" s="7157"/>
      <c r="DQI11" s="7158"/>
      <c r="DQJ11" s="7158"/>
      <c r="DQK11" s="7158"/>
      <c r="DQL11" s="7158"/>
      <c r="DQM11" s="7158"/>
      <c r="DQN11" s="7159"/>
      <c r="DQO11" s="7152"/>
      <c r="DQP11" s="7153"/>
      <c r="DQQ11" s="7153"/>
      <c r="DQR11" s="7153"/>
      <c r="DQS11" s="7157"/>
      <c r="DQT11" s="7157"/>
      <c r="DQU11" s="7157"/>
      <c r="DQV11" s="7157"/>
      <c r="DQW11" s="7157"/>
      <c r="DQX11" s="7157"/>
      <c r="DQY11" s="7158"/>
      <c r="DQZ11" s="7158"/>
      <c r="DRA11" s="7158"/>
      <c r="DRB11" s="7158"/>
      <c r="DRC11" s="7158"/>
      <c r="DRD11" s="7159"/>
      <c r="DRE11" s="7152"/>
      <c r="DRF11" s="7153"/>
      <c r="DRG11" s="7153"/>
      <c r="DRH11" s="7153"/>
      <c r="DRI11" s="7157"/>
      <c r="DRJ11" s="7157"/>
      <c r="DRK11" s="7157"/>
      <c r="DRL11" s="7157"/>
      <c r="DRM11" s="7157"/>
      <c r="DRN11" s="7157"/>
      <c r="DRO11" s="7158"/>
      <c r="DRP11" s="7158"/>
      <c r="DRQ11" s="7158"/>
      <c r="DRR11" s="7158"/>
      <c r="DRS11" s="7158"/>
      <c r="DRT11" s="7159"/>
      <c r="DRU11" s="7152"/>
      <c r="DRV11" s="7153"/>
      <c r="DRW11" s="7153"/>
      <c r="DRX11" s="7153"/>
      <c r="DRY11" s="7157"/>
      <c r="DRZ11" s="7157"/>
      <c r="DSA11" s="7157"/>
      <c r="DSB11" s="7157"/>
      <c r="DSC11" s="7157"/>
      <c r="DSD11" s="7157"/>
      <c r="DSE11" s="7158"/>
      <c r="DSF11" s="7158"/>
      <c r="DSG11" s="7158"/>
      <c r="DSH11" s="7158"/>
      <c r="DSI11" s="7158"/>
      <c r="DSJ11" s="7159"/>
      <c r="DSK11" s="7152"/>
      <c r="DSL11" s="7153"/>
      <c r="DSM11" s="7153"/>
      <c r="DSN11" s="7153"/>
      <c r="DSO11" s="7157"/>
      <c r="DSP11" s="7157"/>
      <c r="DSQ11" s="7157"/>
      <c r="DSR11" s="7157"/>
      <c r="DSS11" s="7157"/>
      <c r="DST11" s="7157"/>
      <c r="DSU11" s="7158"/>
      <c r="DSV11" s="7158"/>
      <c r="DSW11" s="7158"/>
      <c r="DSX11" s="7158"/>
      <c r="DSY11" s="7158"/>
      <c r="DSZ11" s="7159"/>
      <c r="DTA11" s="7152"/>
      <c r="DTB11" s="7153"/>
      <c r="DTC11" s="7153"/>
      <c r="DTD11" s="7153"/>
      <c r="DTE11" s="7157"/>
      <c r="DTF11" s="7157"/>
      <c r="DTG11" s="7157"/>
      <c r="DTH11" s="7157"/>
      <c r="DTI11" s="7157"/>
      <c r="DTJ11" s="7157"/>
      <c r="DTK11" s="7158"/>
      <c r="DTL11" s="7158"/>
      <c r="DTM11" s="7158"/>
      <c r="DTN11" s="7158"/>
      <c r="DTO11" s="7158"/>
      <c r="DTP11" s="7159"/>
      <c r="DTQ11" s="7152"/>
      <c r="DTR11" s="7153"/>
      <c r="DTS11" s="7153"/>
      <c r="DTT11" s="7153"/>
      <c r="DTU11" s="7157"/>
      <c r="DTV11" s="7157"/>
      <c r="DTW11" s="7157"/>
      <c r="DTX11" s="7157"/>
      <c r="DTY11" s="7157"/>
      <c r="DTZ11" s="7157"/>
      <c r="DUA11" s="7158"/>
      <c r="DUB11" s="7158"/>
      <c r="DUC11" s="7158"/>
      <c r="DUD11" s="7158"/>
      <c r="DUE11" s="7158"/>
      <c r="DUF11" s="7159"/>
      <c r="DUG11" s="7152"/>
      <c r="DUH11" s="7153"/>
      <c r="DUI11" s="7153"/>
      <c r="DUJ11" s="7153"/>
      <c r="DUK11" s="7157"/>
      <c r="DUL11" s="7157"/>
      <c r="DUM11" s="7157"/>
      <c r="DUN11" s="7157"/>
      <c r="DUO11" s="7157"/>
      <c r="DUP11" s="7157"/>
      <c r="DUQ11" s="7158"/>
      <c r="DUR11" s="7158"/>
      <c r="DUS11" s="7158"/>
      <c r="DUT11" s="7158"/>
      <c r="DUU11" s="7158"/>
      <c r="DUV11" s="7159"/>
      <c r="DUW11" s="7152"/>
      <c r="DUX11" s="7153"/>
      <c r="DUY11" s="7153"/>
      <c r="DUZ11" s="7153"/>
      <c r="DVA11" s="7157"/>
      <c r="DVB11" s="7157"/>
      <c r="DVC11" s="7157"/>
      <c r="DVD11" s="7157"/>
      <c r="DVE11" s="7157"/>
      <c r="DVF11" s="7157"/>
      <c r="DVG11" s="7158"/>
      <c r="DVH11" s="7158"/>
      <c r="DVI11" s="7158"/>
      <c r="DVJ11" s="7158"/>
      <c r="DVK11" s="7158"/>
      <c r="DVL11" s="7159"/>
      <c r="DVM11" s="7152"/>
      <c r="DVN11" s="7153"/>
      <c r="DVO11" s="7153"/>
      <c r="DVP11" s="7153"/>
      <c r="DVQ11" s="7157"/>
      <c r="DVR11" s="7157"/>
      <c r="DVS11" s="7157"/>
      <c r="DVT11" s="7157"/>
      <c r="DVU11" s="7157"/>
      <c r="DVV11" s="7157"/>
      <c r="DVW11" s="7158"/>
      <c r="DVX11" s="7158"/>
      <c r="DVY11" s="7158"/>
      <c r="DVZ11" s="7158"/>
      <c r="DWA11" s="7158"/>
      <c r="DWB11" s="7159"/>
      <c r="DWC11" s="7152"/>
      <c r="DWD11" s="7153"/>
      <c r="DWE11" s="7153"/>
      <c r="DWF11" s="7153"/>
      <c r="DWG11" s="7157"/>
      <c r="DWH11" s="7157"/>
      <c r="DWI11" s="7157"/>
      <c r="DWJ11" s="7157"/>
      <c r="DWK11" s="7157"/>
      <c r="DWL11" s="7157"/>
      <c r="DWM11" s="7158"/>
      <c r="DWN11" s="7158"/>
      <c r="DWO11" s="7158"/>
      <c r="DWP11" s="7158"/>
      <c r="DWQ11" s="7158"/>
      <c r="DWR11" s="7159"/>
      <c r="DWS11" s="7152"/>
      <c r="DWT11" s="7153"/>
      <c r="DWU11" s="7153"/>
      <c r="DWV11" s="7153"/>
      <c r="DWW11" s="7157"/>
      <c r="DWX11" s="7157"/>
      <c r="DWY11" s="7157"/>
      <c r="DWZ11" s="7157"/>
      <c r="DXA11" s="7157"/>
      <c r="DXB11" s="7157"/>
      <c r="DXC11" s="7158"/>
      <c r="DXD11" s="7158"/>
      <c r="DXE11" s="7158"/>
      <c r="DXF11" s="7158"/>
      <c r="DXG11" s="7158"/>
      <c r="DXH11" s="7159"/>
      <c r="DXI11" s="7152"/>
      <c r="DXJ11" s="7153"/>
      <c r="DXK11" s="7153"/>
      <c r="DXL11" s="7153"/>
      <c r="DXM11" s="7157"/>
      <c r="DXN11" s="7157"/>
      <c r="DXO11" s="7157"/>
      <c r="DXP11" s="7157"/>
      <c r="DXQ11" s="7157"/>
      <c r="DXR11" s="7157"/>
      <c r="DXS11" s="7158"/>
      <c r="DXT11" s="7158"/>
      <c r="DXU11" s="7158"/>
      <c r="DXV11" s="7158"/>
      <c r="DXW11" s="7158"/>
      <c r="DXX11" s="7159"/>
      <c r="DXY11" s="7152"/>
      <c r="DXZ11" s="7153"/>
      <c r="DYA11" s="7153"/>
      <c r="DYB11" s="7153"/>
      <c r="DYC11" s="7157"/>
      <c r="DYD11" s="7157"/>
      <c r="DYE11" s="7157"/>
      <c r="DYF11" s="7157"/>
      <c r="DYG11" s="7157"/>
      <c r="DYH11" s="7157"/>
      <c r="DYI11" s="7158"/>
      <c r="DYJ11" s="7158"/>
      <c r="DYK11" s="7158"/>
      <c r="DYL11" s="7158"/>
      <c r="DYM11" s="7158"/>
      <c r="DYN11" s="7159"/>
      <c r="DYO11" s="7152"/>
      <c r="DYP11" s="7153"/>
      <c r="DYQ11" s="7153"/>
      <c r="DYR11" s="7153"/>
      <c r="DYS11" s="7157"/>
      <c r="DYT11" s="7157"/>
      <c r="DYU11" s="7157"/>
      <c r="DYV11" s="7157"/>
      <c r="DYW11" s="7157"/>
      <c r="DYX11" s="7157"/>
      <c r="DYY11" s="7158"/>
      <c r="DYZ11" s="7158"/>
      <c r="DZA11" s="7158"/>
      <c r="DZB11" s="7158"/>
      <c r="DZC11" s="7158"/>
      <c r="DZD11" s="7159"/>
      <c r="DZE11" s="7152"/>
      <c r="DZF11" s="7153"/>
      <c r="DZG11" s="7153"/>
      <c r="DZH11" s="7153"/>
      <c r="DZI11" s="7157"/>
      <c r="DZJ11" s="7157"/>
      <c r="DZK11" s="7157"/>
      <c r="DZL11" s="7157"/>
      <c r="DZM11" s="7157"/>
      <c r="DZN11" s="7157"/>
      <c r="DZO11" s="7158"/>
      <c r="DZP11" s="7158"/>
      <c r="DZQ11" s="7158"/>
      <c r="DZR11" s="7158"/>
      <c r="DZS11" s="7158"/>
      <c r="DZT11" s="7159"/>
      <c r="DZU11" s="7152"/>
      <c r="DZV11" s="7153"/>
      <c r="DZW11" s="7153"/>
      <c r="DZX11" s="7153"/>
      <c r="DZY11" s="7157"/>
      <c r="DZZ11" s="7157"/>
      <c r="EAA11" s="7157"/>
      <c r="EAB11" s="7157"/>
      <c r="EAC11" s="7157"/>
      <c r="EAD11" s="7157"/>
      <c r="EAE11" s="7158"/>
      <c r="EAF11" s="7158"/>
      <c r="EAG11" s="7158"/>
      <c r="EAH11" s="7158"/>
      <c r="EAI11" s="7158"/>
      <c r="EAJ11" s="7159"/>
      <c r="EAK11" s="7152"/>
      <c r="EAL11" s="7153"/>
      <c r="EAM11" s="7153"/>
      <c r="EAN11" s="7153"/>
      <c r="EAO11" s="7157"/>
      <c r="EAP11" s="7157"/>
      <c r="EAQ11" s="7157"/>
      <c r="EAR11" s="7157"/>
      <c r="EAS11" s="7157"/>
      <c r="EAT11" s="7157"/>
      <c r="EAU11" s="7158"/>
      <c r="EAV11" s="7158"/>
      <c r="EAW11" s="7158"/>
      <c r="EAX11" s="7158"/>
      <c r="EAY11" s="7158"/>
      <c r="EAZ11" s="7159"/>
      <c r="EBA11" s="7152"/>
      <c r="EBB11" s="7153"/>
      <c r="EBC11" s="7153"/>
      <c r="EBD11" s="7153"/>
      <c r="EBE11" s="7157"/>
      <c r="EBF11" s="7157"/>
      <c r="EBG11" s="7157"/>
      <c r="EBH11" s="7157"/>
      <c r="EBI11" s="7157"/>
      <c r="EBJ11" s="7157"/>
      <c r="EBK11" s="7158"/>
      <c r="EBL11" s="7158"/>
      <c r="EBM11" s="7158"/>
      <c r="EBN11" s="7158"/>
      <c r="EBO11" s="7158"/>
      <c r="EBP11" s="7159"/>
      <c r="EBQ11" s="7152"/>
      <c r="EBR11" s="7153"/>
      <c r="EBS11" s="7153"/>
      <c r="EBT11" s="7153"/>
      <c r="EBU11" s="7157"/>
      <c r="EBV11" s="7157"/>
      <c r="EBW11" s="7157"/>
      <c r="EBX11" s="7157"/>
      <c r="EBY11" s="7157"/>
      <c r="EBZ11" s="7157"/>
      <c r="ECA11" s="7158"/>
      <c r="ECB11" s="7158"/>
      <c r="ECC11" s="7158"/>
      <c r="ECD11" s="7158"/>
      <c r="ECE11" s="7158"/>
      <c r="ECF11" s="7159"/>
      <c r="ECG11" s="7152"/>
      <c r="ECH11" s="7153"/>
      <c r="ECI11" s="7153"/>
      <c r="ECJ11" s="7153"/>
      <c r="ECK11" s="7157"/>
      <c r="ECL11" s="7157"/>
      <c r="ECM11" s="7157"/>
      <c r="ECN11" s="7157"/>
      <c r="ECO11" s="7157"/>
      <c r="ECP11" s="7157"/>
      <c r="ECQ11" s="7158"/>
      <c r="ECR11" s="7158"/>
      <c r="ECS11" s="7158"/>
      <c r="ECT11" s="7158"/>
      <c r="ECU11" s="7158"/>
      <c r="ECV11" s="7159"/>
      <c r="ECW11" s="7152"/>
      <c r="ECX11" s="7153"/>
      <c r="ECY11" s="7153"/>
      <c r="ECZ11" s="7153"/>
      <c r="EDA11" s="7157"/>
      <c r="EDB11" s="7157"/>
      <c r="EDC11" s="7157"/>
      <c r="EDD11" s="7157"/>
      <c r="EDE11" s="7157"/>
      <c r="EDF11" s="7157"/>
      <c r="EDG11" s="7158"/>
      <c r="EDH11" s="7158"/>
      <c r="EDI11" s="7158"/>
      <c r="EDJ11" s="7158"/>
      <c r="EDK11" s="7158"/>
      <c r="EDL11" s="7159"/>
      <c r="EDM11" s="7152"/>
      <c r="EDN11" s="7153"/>
      <c r="EDO11" s="7153"/>
      <c r="EDP11" s="7153"/>
      <c r="EDQ11" s="7157"/>
      <c r="EDR11" s="7157"/>
      <c r="EDS11" s="7157"/>
      <c r="EDT11" s="7157"/>
      <c r="EDU11" s="7157"/>
      <c r="EDV11" s="7157"/>
      <c r="EDW11" s="7158"/>
      <c r="EDX11" s="7158"/>
      <c r="EDY11" s="7158"/>
      <c r="EDZ11" s="7158"/>
      <c r="EEA11" s="7158"/>
      <c r="EEB11" s="7159"/>
      <c r="EEC11" s="7152"/>
      <c r="EED11" s="7153"/>
      <c r="EEE11" s="7153"/>
      <c r="EEF11" s="7153"/>
      <c r="EEG11" s="7157"/>
      <c r="EEH11" s="7157"/>
      <c r="EEI11" s="7157"/>
      <c r="EEJ11" s="7157"/>
      <c r="EEK11" s="7157"/>
      <c r="EEL11" s="7157"/>
      <c r="EEM11" s="7158"/>
      <c r="EEN11" s="7158"/>
      <c r="EEO11" s="7158"/>
      <c r="EEP11" s="7158"/>
      <c r="EEQ11" s="7158"/>
      <c r="EER11" s="7159"/>
      <c r="EES11" s="7152"/>
      <c r="EET11" s="7153"/>
      <c r="EEU11" s="7153"/>
      <c r="EEV11" s="7153"/>
      <c r="EEW11" s="7157"/>
      <c r="EEX11" s="7157"/>
      <c r="EEY11" s="7157"/>
      <c r="EEZ11" s="7157"/>
      <c r="EFA11" s="7157"/>
      <c r="EFB11" s="7157"/>
      <c r="EFC11" s="7158"/>
      <c r="EFD11" s="7158"/>
      <c r="EFE11" s="7158"/>
      <c r="EFF11" s="7158"/>
      <c r="EFG11" s="7158"/>
      <c r="EFH11" s="7159"/>
      <c r="EFI11" s="7152"/>
      <c r="EFJ11" s="7153"/>
      <c r="EFK11" s="7153"/>
      <c r="EFL11" s="7153"/>
      <c r="EFM11" s="7157"/>
      <c r="EFN11" s="7157"/>
      <c r="EFO11" s="7157"/>
      <c r="EFP11" s="7157"/>
      <c r="EFQ11" s="7157"/>
      <c r="EFR11" s="7157"/>
      <c r="EFS11" s="7158"/>
      <c r="EFT11" s="7158"/>
      <c r="EFU11" s="7158"/>
      <c r="EFV11" s="7158"/>
      <c r="EFW11" s="7158"/>
      <c r="EFX11" s="7159"/>
      <c r="EFY11" s="7152"/>
      <c r="EFZ11" s="7153"/>
      <c r="EGA11" s="7153"/>
      <c r="EGB11" s="7153"/>
      <c r="EGC11" s="7157"/>
      <c r="EGD11" s="7157"/>
      <c r="EGE11" s="7157"/>
      <c r="EGF11" s="7157"/>
      <c r="EGG11" s="7157"/>
      <c r="EGH11" s="7157"/>
      <c r="EGI11" s="7158"/>
      <c r="EGJ11" s="7158"/>
      <c r="EGK11" s="7158"/>
      <c r="EGL11" s="7158"/>
      <c r="EGM11" s="7158"/>
      <c r="EGN11" s="7159"/>
      <c r="EGO11" s="7152"/>
      <c r="EGP11" s="7153"/>
      <c r="EGQ11" s="7153"/>
      <c r="EGR11" s="7153"/>
      <c r="EGS11" s="7157"/>
      <c r="EGT11" s="7157"/>
      <c r="EGU11" s="7157"/>
      <c r="EGV11" s="7157"/>
      <c r="EGW11" s="7157"/>
      <c r="EGX11" s="7157"/>
      <c r="EGY11" s="7158"/>
      <c r="EGZ11" s="7158"/>
      <c r="EHA11" s="7158"/>
      <c r="EHB11" s="7158"/>
      <c r="EHC11" s="7158"/>
      <c r="EHD11" s="7159"/>
      <c r="EHE11" s="7152"/>
      <c r="EHF11" s="7153"/>
      <c r="EHG11" s="7153"/>
      <c r="EHH11" s="7153"/>
      <c r="EHI11" s="7157"/>
      <c r="EHJ11" s="7157"/>
      <c r="EHK11" s="7157"/>
      <c r="EHL11" s="7157"/>
      <c r="EHM11" s="7157"/>
      <c r="EHN11" s="7157"/>
      <c r="EHO11" s="7158"/>
      <c r="EHP11" s="7158"/>
      <c r="EHQ11" s="7158"/>
      <c r="EHR11" s="7158"/>
      <c r="EHS11" s="7158"/>
      <c r="EHT11" s="7159"/>
      <c r="EHU11" s="7152"/>
      <c r="EHV11" s="7153"/>
      <c r="EHW11" s="7153"/>
      <c r="EHX11" s="7153"/>
      <c r="EHY11" s="7157"/>
      <c r="EHZ11" s="7157"/>
      <c r="EIA11" s="7157"/>
      <c r="EIB11" s="7157"/>
      <c r="EIC11" s="7157"/>
      <c r="EID11" s="7157"/>
      <c r="EIE11" s="7158"/>
      <c r="EIF11" s="7158"/>
      <c r="EIG11" s="7158"/>
      <c r="EIH11" s="7158"/>
      <c r="EII11" s="7158"/>
      <c r="EIJ11" s="7159"/>
      <c r="EIK11" s="7152"/>
      <c r="EIL11" s="7153"/>
      <c r="EIM11" s="7153"/>
      <c r="EIN11" s="7153"/>
      <c r="EIO11" s="7157"/>
      <c r="EIP11" s="7157"/>
      <c r="EIQ11" s="7157"/>
      <c r="EIR11" s="7157"/>
      <c r="EIS11" s="7157"/>
      <c r="EIT11" s="7157"/>
      <c r="EIU11" s="7158"/>
      <c r="EIV11" s="7158"/>
      <c r="EIW11" s="7158"/>
      <c r="EIX11" s="7158"/>
      <c r="EIY11" s="7158"/>
      <c r="EIZ11" s="7159"/>
      <c r="EJA11" s="7152"/>
      <c r="EJB11" s="7153"/>
      <c r="EJC11" s="7153"/>
      <c r="EJD11" s="7153"/>
      <c r="EJE11" s="7157"/>
      <c r="EJF11" s="7157"/>
      <c r="EJG11" s="7157"/>
      <c r="EJH11" s="7157"/>
      <c r="EJI11" s="7157"/>
      <c r="EJJ11" s="7157"/>
      <c r="EJK11" s="7158"/>
      <c r="EJL11" s="7158"/>
      <c r="EJM11" s="7158"/>
      <c r="EJN11" s="7158"/>
      <c r="EJO11" s="7158"/>
      <c r="EJP11" s="7159"/>
      <c r="EJQ11" s="7152"/>
      <c r="EJR11" s="7153"/>
      <c r="EJS11" s="7153"/>
      <c r="EJT11" s="7153"/>
      <c r="EJU11" s="7157"/>
      <c r="EJV11" s="7157"/>
      <c r="EJW11" s="7157"/>
      <c r="EJX11" s="7157"/>
      <c r="EJY11" s="7157"/>
      <c r="EJZ11" s="7157"/>
      <c r="EKA11" s="7158"/>
      <c r="EKB11" s="7158"/>
      <c r="EKC11" s="7158"/>
      <c r="EKD11" s="7158"/>
      <c r="EKE11" s="7158"/>
      <c r="EKF11" s="7159"/>
      <c r="EKG11" s="7152"/>
      <c r="EKH11" s="7153"/>
      <c r="EKI11" s="7153"/>
      <c r="EKJ11" s="7153"/>
      <c r="EKK11" s="7157"/>
      <c r="EKL11" s="7157"/>
      <c r="EKM11" s="7157"/>
      <c r="EKN11" s="7157"/>
      <c r="EKO11" s="7157"/>
      <c r="EKP11" s="7157"/>
      <c r="EKQ11" s="7158"/>
      <c r="EKR11" s="7158"/>
      <c r="EKS11" s="7158"/>
      <c r="EKT11" s="7158"/>
      <c r="EKU11" s="7158"/>
      <c r="EKV11" s="7159"/>
      <c r="EKW11" s="7152"/>
      <c r="EKX11" s="7153"/>
      <c r="EKY11" s="7153"/>
      <c r="EKZ11" s="7153"/>
      <c r="ELA11" s="7157"/>
      <c r="ELB11" s="7157"/>
      <c r="ELC11" s="7157"/>
      <c r="ELD11" s="7157"/>
      <c r="ELE11" s="7157"/>
      <c r="ELF11" s="7157"/>
      <c r="ELG11" s="7158"/>
      <c r="ELH11" s="7158"/>
      <c r="ELI11" s="7158"/>
      <c r="ELJ11" s="7158"/>
      <c r="ELK11" s="7158"/>
      <c r="ELL11" s="7159"/>
      <c r="ELM11" s="7152"/>
      <c r="ELN11" s="7153"/>
      <c r="ELO11" s="7153"/>
      <c r="ELP11" s="7153"/>
      <c r="ELQ11" s="7157"/>
      <c r="ELR11" s="7157"/>
      <c r="ELS11" s="7157"/>
      <c r="ELT11" s="7157"/>
      <c r="ELU11" s="7157"/>
      <c r="ELV11" s="7157"/>
      <c r="ELW11" s="7158"/>
      <c r="ELX11" s="7158"/>
      <c r="ELY11" s="7158"/>
      <c r="ELZ11" s="7158"/>
      <c r="EMA11" s="7158"/>
      <c r="EMB11" s="7159"/>
      <c r="EMC11" s="7152"/>
      <c r="EMD11" s="7153"/>
      <c r="EME11" s="7153"/>
      <c r="EMF11" s="7153"/>
      <c r="EMG11" s="7157"/>
      <c r="EMH11" s="7157"/>
      <c r="EMI11" s="7157"/>
      <c r="EMJ11" s="7157"/>
      <c r="EMK11" s="7157"/>
      <c r="EML11" s="7157"/>
      <c r="EMM11" s="7158"/>
      <c r="EMN11" s="7158"/>
      <c r="EMO11" s="7158"/>
      <c r="EMP11" s="7158"/>
      <c r="EMQ11" s="7158"/>
      <c r="EMR11" s="7159"/>
      <c r="EMS11" s="7152"/>
      <c r="EMT11" s="7153"/>
      <c r="EMU11" s="7153"/>
      <c r="EMV11" s="7153"/>
      <c r="EMW11" s="7157"/>
      <c r="EMX11" s="7157"/>
      <c r="EMY11" s="7157"/>
      <c r="EMZ11" s="7157"/>
      <c r="ENA11" s="7157"/>
      <c r="ENB11" s="7157"/>
      <c r="ENC11" s="7158"/>
      <c r="END11" s="7158"/>
      <c r="ENE11" s="7158"/>
      <c r="ENF11" s="7158"/>
      <c r="ENG11" s="7158"/>
      <c r="ENH11" s="7159"/>
      <c r="ENI11" s="7152"/>
      <c r="ENJ11" s="7153"/>
      <c r="ENK11" s="7153"/>
      <c r="ENL11" s="7153"/>
      <c r="ENM11" s="7157"/>
      <c r="ENN11" s="7157"/>
      <c r="ENO11" s="7157"/>
      <c r="ENP11" s="7157"/>
      <c r="ENQ11" s="7157"/>
      <c r="ENR11" s="7157"/>
      <c r="ENS11" s="7158"/>
      <c r="ENT11" s="7158"/>
      <c r="ENU11" s="7158"/>
      <c r="ENV11" s="7158"/>
      <c r="ENW11" s="7158"/>
      <c r="ENX11" s="7159"/>
      <c r="ENY11" s="7152"/>
      <c r="ENZ11" s="7153"/>
      <c r="EOA11" s="7153"/>
      <c r="EOB11" s="7153"/>
      <c r="EOC11" s="7157"/>
      <c r="EOD11" s="7157"/>
      <c r="EOE11" s="7157"/>
      <c r="EOF11" s="7157"/>
      <c r="EOG11" s="7157"/>
      <c r="EOH11" s="7157"/>
      <c r="EOI11" s="7158"/>
      <c r="EOJ11" s="7158"/>
      <c r="EOK11" s="7158"/>
      <c r="EOL11" s="7158"/>
      <c r="EOM11" s="7158"/>
      <c r="EON11" s="7159"/>
      <c r="EOO11" s="7152"/>
      <c r="EOP11" s="7153"/>
      <c r="EOQ11" s="7153"/>
      <c r="EOR11" s="7153"/>
      <c r="EOS11" s="7157"/>
      <c r="EOT11" s="7157"/>
      <c r="EOU11" s="7157"/>
      <c r="EOV11" s="7157"/>
      <c r="EOW11" s="7157"/>
      <c r="EOX11" s="7157"/>
      <c r="EOY11" s="7158"/>
      <c r="EOZ11" s="7158"/>
      <c r="EPA11" s="7158"/>
      <c r="EPB11" s="7158"/>
      <c r="EPC11" s="7158"/>
      <c r="EPD11" s="7159"/>
      <c r="EPE11" s="7152"/>
      <c r="EPF11" s="7153"/>
      <c r="EPG11" s="7153"/>
      <c r="EPH11" s="7153"/>
      <c r="EPI11" s="7157"/>
      <c r="EPJ11" s="7157"/>
      <c r="EPK11" s="7157"/>
      <c r="EPL11" s="7157"/>
      <c r="EPM11" s="7157"/>
      <c r="EPN11" s="7157"/>
      <c r="EPO11" s="7158"/>
      <c r="EPP11" s="7158"/>
      <c r="EPQ11" s="7158"/>
      <c r="EPR11" s="7158"/>
      <c r="EPS11" s="7158"/>
      <c r="EPT11" s="7159"/>
      <c r="EPU11" s="7152"/>
      <c r="EPV11" s="7153"/>
      <c r="EPW11" s="7153"/>
      <c r="EPX11" s="7153"/>
      <c r="EPY11" s="7157"/>
      <c r="EPZ11" s="7157"/>
      <c r="EQA11" s="7157"/>
      <c r="EQB11" s="7157"/>
      <c r="EQC11" s="7157"/>
      <c r="EQD11" s="7157"/>
      <c r="EQE11" s="7158"/>
      <c r="EQF11" s="7158"/>
      <c r="EQG11" s="7158"/>
      <c r="EQH11" s="7158"/>
      <c r="EQI11" s="7158"/>
      <c r="EQJ11" s="7159"/>
      <c r="EQK11" s="7152"/>
      <c r="EQL11" s="7153"/>
      <c r="EQM11" s="7153"/>
      <c r="EQN11" s="7153"/>
      <c r="EQO11" s="7157"/>
      <c r="EQP11" s="7157"/>
      <c r="EQQ11" s="7157"/>
      <c r="EQR11" s="7157"/>
      <c r="EQS11" s="7157"/>
      <c r="EQT11" s="7157"/>
      <c r="EQU11" s="7158"/>
      <c r="EQV11" s="7158"/>
      <c r="EQW11" s="7158"/>
      <c r="EQX11" s="7158"/>
      <c r="EQY11" s="7158"/>
      <c r="EQZ11" s="7159"/>
      <c r="ERA11" s="7152"/>
      <c r="ERB11" s="7153"/>
      <c r="ERC11" s="7153"/>
      <c r="ERD11" s="7153"/>
      <c r="ERE11" s="7157"/>
      <c r="ERF11" s="7157"/>
      <c r="ERG11" s="7157"/>
      <c r="ERH11" s="7157"/>
      <c r="ERI11" s="7157"/>
      <c r="ERJ11" s="7157"/>
      <c r="ERK11" s="7158"/>
      <c r="ERL11" s="7158"/>
      <c r="ERM11" s="7158"/>
      <c r="ERN11" s="7158"/>
      <c r="ERO11" s="7158"/>
      <c r="ERP11" s="7159"/>
      <c r="ERQ11" s="7152"/>
      <c r="ERR11" s="7153"/>
      <c r="ERS11" s="7153"/>
      <c r="ERT11" s="7153"/>
      <c r="ERU11" s="7157"/>
      <c r="ERV11" s="7157"/>
      <c r="ERW11" s="7157"/>
      <c r="ERX11" s="7157"/>
      <c r="ERY11" s="7157"/>
      <c r="ERZ11" s="7157"/>
      <c r="ESA11" s="7158"/>
      <c r="ESB11" s="7158"/>
      <c r="ESC11" s="7158"/>
      <c r="ESD11" s="7158"/>
      <c r="ESE11" s="7158"/>
      <c r="ESF11" s="7159"/>
      <c r="ESG11" s="7152"/>
      <c r="ESH11" s="7153"/>
      <c r="ESI11" s="7153"/>
      <c r="ESJ11" s="7153"/>
      <c r="ESK11" s="7157"/>
      <c r="ESL11" s="7157"/>
      <c r="ESM11" s="7157"/>
      <c r="ESN11" s="7157"/>
      <c r="ESO11" s="7157"/>
      <c r="ESP11" s="7157"/>
      <c r="ESQ11" s="7158"/>
      <c r="ESR11" s="7158"/>
      <c r="ESS11" s="7158"/>
      <c r="EST11" s="7158"/>
      <c r="ESU11" s="7158"/>
      <c r="ESV11" s="7159"/>
      <c r="ESW11" s="7152"/>
      <c r="ESX11" s="7153"/>
      <c r="ESY11" s="7153"/>
      <c r="ESZ11" s="7153"/>
      <c r="ETA11" s="7157"/>
      <c r="ETB11" s="7157"/>
      <c r="ETC11" s="7157"/>
      <c r="ETD11" s="7157"/>
      <c r="ETE11" s="7157"/>
      <c r="ETF11" s="7157"/>
      <c r="ETG11" s="7158"/>
      <c r="ETH11" s="7158"/>
      <c r="ETI11" s="7158"/>
      <c r="ETJ11" s="7158"/>
      <c r="ETK11" s="7158"/>
      <c r="ETL11" s="7159"/>
      <c r="ETM11" s="7152"/>
      <c r="ETN11" s="7153"/>
      <c r="ETO11" s="7153"/>
      <c r="ETP11" s="7153"/>
      <c r="ETQ11" s="7157"/>
      <c r="ETR11" s="7157"/>
      <c r="ETS11" s="7157"/>
      <c r="ETT11" s="7157"/>
      <c r="ETU11" s="7157"/>
      <c r="ETV11" s="7157"/>
      <c r="ETW11" s="7158"/>
      <c r="ETX11" s="7158"/>
      <c r="ETY11" s="7158"/>
      <c r="ETZ11" s="7158"/>
      <c r="EUA11" s="7158"/>
      <c r="EUB11" s="7159"/>
      <c r="EUC11" s="7152"/>
      <c r="EUD11" s="7153"/>
      <c r="EUE11" s="7153"/>
      <c r="EUF11" s="7153"/>
      <c r="EUG11" s="7157"/>
      <c r="EUH11" s="7157"/>
      <c r="EUI11" s="7157"/>
      <c r="EUJ11" s="7157"/>
      <c r="EUK11" s="7157"/>
      <c r="EUL11" s="7157"/>
      <c r="EUM11" s="7158"/>
      <c r="EUN11" s="7158"/>
      <c r="EUO11" s="7158"/>
      <c r="EUP11" s="7158"/>
      <c r="EUQ11" s="7158"/>
      <c r="EUR11" s="7159"/>
      <c r="EUS11" s="7152"/>
      <c r="EUT11" s="7153"/>
      <c r="EUU11" s="7153"/>
      <c r="EUV11" s="7153"/>
      <c r="EUW11" s="7157"/>
      <c r="EUX11" s="7157"/>
      <c r="EUY11" s="7157"/>
      <c r="EUZ11" s="7157"/>
      <c r="EVA11" s="7157"/>
      <c r="EVB11" s="7157"/>
      <c r="EVC11" s="7158"/>
      <c r="EVD11" s="7158"/>
      <c r="EVE11" s="7158"/>
      <c r="EVF11" s="7158"/>
      <c r="EVG11" s="7158"/>
      <c r="EVH11" s="7159"/>
      <c r="EVI11" s="7152"/>
      <c r="EVJ11" s="7153"/>
      <c r="EVK11" s="7153"/>
      <c r="EVL11" s="7153"/>
      <c r="EVM11" s="7157"/>
      <c r="EVN11" s="7157"/>
      <c r="EVO11" s="7157"/>
      <c r="EVP11" s="7157"/>
      <c r="EVQ11" s="7157"/>
      <c r="EVR11" s="7157"/>
      <c r="EVS11" s="7158"/>
      <c r="EVT11" s="7158"/>
      <c r="EVU11" s="7158"/>
      <c r="EVV11" s="7158"/>
      <c r="EVW11" s="7158"/>
      <c r="EVX11" s="7159"/>
      <c r="EVY11" s="7152"/>
      <c r="EVZ11" s="7153"/>
      <c r="EWA11" s="7153"/>
      <c r="EWB11" s="7153"/>
      <c r="EWC11" s="7157"/>
      <c r="EWD11" s="7157"/>
      <c r="EWE11" s="7157"/>
      <c r="EWF11" s="7157"/>
      <c r="EWG11" s="7157"/>
      <c r="EWH11" s="7157"/>
      <c r="EWI11" s="7158"/>
      <c r="EWJ11" s="7158"/>
      <c r="EWK11" s="7158"/>
      <c r="EWL11" s="7158"/>
      <c r="EWM11" s="7158"/>
      <c r="EWN11" s="7159"/>
      <c r="EWO11" s="7152"/>
      <c r="EWP11" s="7153"/>
      <c r="EWQ11" s="7153"/>
      <c r="EWR11" s="7153"/>
      <c r="EWS11" s="7157"/>
      <c r="EWT11" s="7157"/>
      <c r="EWU11" s="7157"/>
      <c r="EWV11" s="7157"/>
      <c r="EWW11" s="7157"/>
      <c r="EWX11" s="7157"/>
      <c r="EWY11" s="7158"/>
      <c r="EWZ11" s="7158"/>
      <c r="EXA11" s="7158"/>
      <c r="EXB11" s="7158"/>
      <c r="EXC11" s="7158"/>
      <c r="EXD11" s="7159"/>
      <c r="EXE11" s="7152"/>
      <c r="EXF11" s="7153"/>
      <c r="EXG11" s="7153"/>
      <c r="EXH11" s="7153"/>
      <c r="EXI11" s="7157"/>
      <c r="EXJ11" s="7157"/>
      <c r="EXK11" s="7157"/>
      <c r="EXL11" s="7157"/>
      <c r="EXM11" s="7157"/>
      <c r="EXN11" s="7157"/>
      <c r="EXO11" s="7158"/>
      <c r="EXP11" s="7158"/>
      <c r="EXQ11" s="7158"/>
      <c r="EXR11" s="7158"/>
      <c r="EXS11" s="7158"/>
      <c r="EXT11" s="7159"/>
      <c r="EXU11" s="7152"/>
      <c r="EXV11" s="7153"/>
      <c r="EXW11" s="7153"/>
      <c r="EXX11" s="7153"/>
      <c r="EXY11" s="7157"/>
      <c r="EXZ11" s="7157"/>
      <c r="EYA11" s="7157"/>
      <c r="EYB11" s="7157"/>
      <c r="EYC11" s="7157"/>
      <c r="EYD11" s="7157"/>
      <c r="EYE11" s="7158"/>
      <c r="EYF11" s="7158"/>
      <c r="EYG11" s="7158"/>
      <c r="EYH11" s="7158"/>
      <c r="EYI11" s="7158"/>
      <c r="EYJ11" s="7159"/>
      <c r="EYK11" s="7152"/>
      <c r="EYL11" s="7153"/>
      <c r="EYM11" s="7153"/>
      <c r="EYN11" s="7153"/>
      <c r="EYO11" s="7157"/>
      <c r="EYP11" s="7157"/>
      <c r="EYQ11" s="7157"/>
      <c r="EYR11" s="7157"/>
      <c r="EYS11" s="7157"/>
      <c r="EYT11" s="7157"/>
      <c r="EYU11" s="7158"/>
      <c r="EYV11" s="7158"/>
      <c r="EYW11" s="7158"/>
      <c r="EYX11" s="7158"/>
      <c r="EYY11" s="7158"/>
      <c r="EYZ11" s="7159"/>
      <c r="EZA11" s="7152"/>
      <c r="EZB11" s="7153"/>
      <c r="EZC11" s="7153"/>
      <c r="EZD11" s="7153"/>
      <c r="EZE11" s="7157"/>
      <c r="EZF11" s="7157"/>
      <c r="EZG11" s="7157"/>
      <c r="EZH11" s="7157"/>
      <c r="EZI11" s="7157"/>
      <c r="EZJ11" s="7157"/>
      <c r="EZK11" s="7158"/>
      <c r="EZL11" s="7158"/>
      <c r="EZM11" s="7158"/>
      <c r="EZN11" s="7158"/>
      <c r="EZO11" s="7158"/>
      <c r="EZP11" s="7159"/>
      <c r="EZQ11" s="7152"/>
      <c r="EZR11" s="7153"/>
      <c r="EZS11" s="7153"/>
      <c r="EZT11" s="7153"/>
      <c r="EZU11" s="7157"/>
      <c r="EZV11" s="7157"/>
      <c r="EZW11" s="7157"/>
      <c r="EZX11" s="7157"/>
      <c r="EZY11" s="7157"/>
      <c r="EZZ11" s="7157"/>
      <c r="FAA11" s="7158"/>
      <c r="FAB11" s="7158"/>
      <c r="FAC11" s="7158"/>
      <c r="FAD11" s="7158"/>
      <c r="FAE11" s="7158"/>
      <c r="FAF11" s="7159"/>
      <c r="FAG11" s="7152"/>
      <c r="FAH11" s="7153"/>
      <c r="FAI11" s="7153"/>
      <c r="FAJ11" s="7153"/>
      <c r="FAK11" s="7157"/>
      <c r="FAL11" s="7157"/>
      <c r="FAM11" s="7157"/>
      <c r="FAN11" s="7157"/>
      <c r="FAO11" s="7157"/>
      <c r="FAP11" s="7157"/>
      <c r="FAQ11" s="7158"/>
      <c r="FAR11" s="7158"/>
      <c r="FAS11" s="7158"/>
      <c r="FAT11" s="7158"/>
      <c r="FAU11" s="7158"/>
      <c r="FAV11" s="7159"/>
      <c r="FAW11" s="7152"/>
      <c r="FAX11" s="7153"/>
      <c r="FAY11" s="7153"/>
      <c r="FAZ11" s="7153"/>
      <c r="FBA11" s="7157"/>
      <c r="FBB11" s="7157"/>
      <c r="FBC11" s="7157"/>
      <c r="FBD11" s="7157"/>
      <c r="FBE11" s="7157"/>
      <c r="FBF11" s="7157"/>
      <c r="FBG11" s="7158"/>
      <c r="FBH11" s="7158"/>
      <c r="FBI11" s="7158"/>
      <c r="FBJ11" s="7158"/>
      <c r="FBK11" s="7158"/>
      <c r="FBL11" s="7159"/>
      <c r="FBM11" s="7152"/>
      <c r="FBN11" s="7153"/>
      <c r="FBO11" s="7153"/>
      <c r="FBP11" s="7153"/>
      <c r="FBQ11" s="7157"/>
      <c r="FBR11" s="7157"/>
      <c r="FBS11" s="7157"/>
      <c r="FBT11" s="7157"/>
      <c r="FBU11" s="7157"/>
      <c r="FBV11" s="7157"/>
      <c r="FBW11" s="7158"/>
      <c r="FBX11" s="7158"/>
      <c r="FBY11" s="7158"/>
      <c r="FBZ11" s="7158"/>
      <c r="FCA11" s="7158"/>
      <c r="FCB11" s="7159"/>
      <c r="FCC11" s="7152"/>
      <c r="FCD11" s="7153"/>
      <c r="FCE11" s="7153"/>
      <c r="FCF11" s="7153"/>
      <c r="FCG11" s="7157"/>
      <c r="FCH11" s="7157"/>
      <c r="FCI11" s="7157"/>
      <c r="FCJ11" s="7157"/>
      <c r="FCK11" s="7157"/>
      <c r="FCL11" s="7157"/>
      <c r="FCM11" s="7158"/>
      <c r="FCN11" s="7158"/>
      <c r="FCO11" s="7158"/>
      <c r="FCP11" s="7158"/>
      <c r="FCQ11" s="7158"/>
      <c r="FCR11" s="7159"/>
      <c r="FCS11" s="7152"/>
      <c r="FCT11" s="7153"/>
      <c r="FCU11" s="7153"/>
      <c r="FCV11" s="7153"/>
      <c r="FCW11" s="7157"/>
      <c r="FCX11" s="7157"/>
      <c r="FCY11" s="7157"/>
      <c r="FCZ11" s="7157"/>
      <c r="FDA11" s="7157"/>
      <c r="FDB11" s="7157"/>
      <c r="FDC11" s="7158"/>
      <c r="FDD11" s="7158"/>
      <c r="FDE11" s="7158"/>
      <c r="FDF11" s="7158"/>
      <c r="FDG11" s="7158"/>
      <c r="FDH11" s="7159"/>
      <c r="FDI11" s="7152"/>
      <c r="FDJ11" s="7153"/>
      <c r="FDK11" s="7153"/>
      <c r="FDL11" s="7153"/>
      <c r="FDM11" s="7157"/>
      <c r="FDN11" s="7157"/>
      <c r="FDO11" s="7157"/>
      <c r="FDP11" s="7157"/>
      <c r="FDQ11" s="7157"/>
      <c r="FDR11" s="7157"/>
      <c r="FDS11" s="7158"/>
      <c r="FDT11" s="7158"/>
      <c r="FDU11" s="7158"/>
      <c r="FDV11" s="7158"/>
      <c r="FDW11" s="7158"/>
      <c r="FDX11" s="7159"/>
      <c r="FDY11" s="7152"/>
      <c r="FDZ11" s="7153"/>
      <c r="FEA11" s="7153"/>
      <c r="FEB11" s="7153"/>
      <c r="FEC11" s="7157"/>
      <c r="FED11" s="7157"/>
      <c r="FEE11" s="7157"/>
      <c r="FEF11" s="7157"/>
      <c r="FEG11" s="7157"/>
      <c r="FEH11" s="7157"/>
      <c r="FEI11" s="7158"/>
      <c r="FEJ11" s="7158"/>
      <c r="FEK11" s="7158"/>
      <c r="FEL11" s="7158"/>
      <c r="FEM11" s="7158"/>
      <c r="FEN11" s="7159"/>
      <c r="FEO11" s="7152"/>
      <c r="FEP11" s="7153"/>
      <c r="FEQ11" s="7153"/>
      <c r="FER11" s="7153"/>
      <c r="FES11" s="7157"/>
      <c r="FET11" s="7157"/>
      <c r="FEU11" s="7157"/>
      <c r="FEV11" s="7157"/>
      <c r="FEW11" s="7157"/>
      <c r="FEX11" s="7157"/>
      <c r="FEY11" s="7158"/>
      <c r="FEZ11" s="7158"/>
      <c r="FFA11" s="7158"/>
      <c r="FFB11" s="7158"/>
      <c r="FFC11" s="7158"/>
      <c r="FFD11" s="7159"/>
      <c r="FFE11" s="7152"/>
      <c r="FFF11" s="7153"/>
      <c r="FFG11" s="7153"/>
      <c r="FFH11" s="7153"/>
      <c r="FFI11" s="7157"/>
      <c r="FFJ11" s="7157"/>
      <c r="FFK11" s="7157"/>
      <c r="FFL11" s="7157"/>
      <c r="FFM11" s="7157"/>
      <c r="FFN11" s="7157"/>
      <c r="FFO11" s="7158"/>
      <c r="FFP11" s="7158"/>
      <c r="FFQ11" s="7158"/>
      <c r="FFR11" s="7158"/>
      <c r="FFS11" s="7158"/>
      <c r="FFT11" s="7159"/>
      <c r="FFU11" s="7152"/>
      <c r="FFV11" s="7153"/>
      <c r="FFW11" s="7153"/>
      <c r="FFX11" s="7153"/>
      <c r="FFY11" s="7157"/>
      <c r="FFZ11" s="7157"/>
      <c r="FGA11" s="7157"/>
      <c r="FGB11" s="7157"/>
      <c r="FGC11" s="7157"/>
      <c r="FGD11" s="7157"/>
      <c r="FGE11" s="7158"/>
      <c r="FGF11" s="7158"/>
      <c r="FGG11" s="7158"/>
      <c r="FGH11" s="7158"/>
      <c r="FGI11" s="7158"/>
      <c r="FGJ11" s="7159"/>
      <c r="FGK11" s="7152"/>
      <c r="FGL11" s="7153"/>
      <c r="FGM11" s="7153"/>
      <c r="FGN11" s="7153"/>
      <c r="FGO11" s="7157"/>
      <c r="FGP11" s="7157"/>
      <c r="FGQ11" s="7157"/>
      <c r="FGR11" s="7157"/>
      <c r="FGS11" s="7157"/>
      <c r="FGT11" s="7157"/>
      <c r="FGU11" s="7158"/>
      <c r="FGV11" s="7158"/>
      <c r="FGW11" s="7158"/>
      <c r="FGX11" s="7158"/>
      <c r="FGY11" s="7158"/>
      <c r="FGZ11" s="7159"/>
      <c r="FHA11" s="7152"/>
      <c r="FHB11" s="7153"/>
      <c r="FHC11" s="7153"/>
      <c r="FHD11" s="7153"/>
      <c r="FHE11" s="7157"/>
      <c r="FHF11" s="7157"/>
      <c r="FHG11" s="7157"/>
      <c r="FHH11" s="7157"/>
      <c r="FHI11" s="7157"/>
      <c r="FHJ11" s="7157"/>
      <c r="FHK11" s="7158"/>
      <c r="FHL11" s="7158"/>
      <c r="FHM11" s="7158"/>
      <c r="FHN11" s="7158"/>
      <c r="FHO11" s="7158"/>
      <c r="FHP11" s="7159"/>
      <c r="FHQ11" s="7152"/>
      <c r="FHR11" s="7153"/>
      <c r="FHS11" s="7153"/>
      <c r="FHT11" s="7153"/>
      <c r="FHU11" s="7157"/>
      <c r="FHV11" s="7157"/>
      <c r="FHW11" s="7157"/>
      <c r="FHX11" s="7157"/>
      <c r="FHY11" s="7157"/>
      <c r="FHZ11" s="7157"/>
      <c r="FIA11" s="7158"/>
      <c r="FIB11" s="7158"/>
      <c r="FIC11" s="7158"/>
      <c r="FID11" s="7158"/>
      <c r="FIE11" s="7158"/>
      <c r="FIF11" s="7159"/>
      <c r="FIG11" s="7152"/>
      <c r="FIH11" s="7153"/>
      <c r="FII11" s="7153"/>
      <c r="FIJ11" s="7153"/>
      <c r="FIK11" s="7157"/>
      <c r="FIL11" s="7157"/>
      <c r="FIM11" s="7157"/>
      <c r="FIN11" s="7157"/>
      <c r="FIO11" s="7157"/>
      <c r="FIP11" s="7157"/>
      <c r="FIQ11" s="7158"/>
      <c r="FIR11" s="7158"/>
      <c r="FIS11" s="7158"/>
      <c r="FIT11" s="7158"/>
      <c r="FIU11" s="7158"/>
      <c r="FIV11" s="7159"/>
      <c r="FIW11" s="7152"/>
      <c r="FIX11" s="7153"/>
      <c r="FIY11" s="7153"/>
      <c r="FIZ11" s="7153"/>
      <c r="FJA11" s="7157"/>
      <c r="FJB11" s="7157"/>
      <c r="FJC11" s="7157"/>
      <c r="FJD11" s="7157"/>
      <c r="FJE11" s="7157"/>
      <c r="FJF11" s="7157"/>
      <c r="FJG11" s="7158"/>
      <c r="FJH11" s="7158"/>
      <c r="FJI11" s="7158"/>
      <c r="FJJ11" s="7158"/>
      <c r="FJK11" s="7158"/>
      <c r="FJL11" s="7159"/>
      <c r="FJM11" s="7152"/>
      <c r="FJN11" s="7153"/>
      <c r="FJO11" s="7153"/>
      <c r="FJP11" s="7153"/>
      <c r="FJQ11" s="7157"/>
      <c r="FJR11" s="7157"/>
      <c r="FJS11" s="7157"/>
      <c r="FJT11" s="7157"/>
      <c r="FJU11" s="7157"/>
      <c r="FJV11" s="7157"/>
      <c r="FJW11" s="7158"/>
      <c r="FJX11" s="7158"/>
      <c r="FJY11" s="7158"/>
      <c r="FJZ11" s="7158"/>
      <c r="FKA11" s="7158"/>
      <c r="FKB11" s="7159"/>
      <c r="FKC11" s="7152"/>
      <c r="FKD11" s="7153"/>
      <c r="FKE11" s="7153"/>
      <c r="FKF11" s="7153"/>
      <c r="FKG11" s="7157"/>
      <c r="FKH11" s="7157"/>
      <c r="FKI11" s="7157"/>
      <c r="FKJ11" s="7157"/>
      <c r="FKK11" s="7157"/>
      <c r="FKL11" s="7157"/>
      <c r="FKM11" s="7158"/>
      <c r="FKN11" s="7158"/>
      <c r="FKO11" s="7158"/>
      <c r="FKP11" s="7158"/>
      <c r="FKQ11" s="7158"/>
      <c r="FKR11" s="7159"/>
      <c r="FKS11" s="7152"/>
      <c r="FKT11" s="7153"/>
      <c r="FKU11" s="7153"/>
      <c r="FKV11" s="7153"/>
      <c r="FKW11" s="7157"/>
      <c r="FKX11" s="7157"/>
      <c r="FKY11" s="7157"/>
      <c r="FKZ11" s="7157"/>
      <c r="FLA11" s="7157"/>
      <c r="FLB11" s="7157"/>
      <c r="FLC11" s="7158"/>
      <c r="FLD11" s="7158"/>
      <c r="FLE11" s="7158"/>
      <c r="FLF11" s="7158"/>
      <c r="FLG11" s="7158"/>
      <c r="FLH11" s="7159"/>
      <c r="FLI11" s="7152"/>
      <c r="FLJ11" s="7153"/>
      <c r="FLK11" s="7153"/>
      <c r="FLL11" s="7153"/>
      <c r="FLM11" s="7157"/>
      <c r="FLN11" s="7157"/>
      <c r="FLO11" s="7157"/>
      <c r="FLP11" s="7157"/>
      <c r="FLQ11" s="7157"/>
      <c r="FLR11" s="7157"/>
      <c r="FLS11" s="7158"/>
      <c r="FLT11" s="7158"/>
      <c r="FLU11" s="7158"/>
      <c r="FLV11" s="7158"/>
      <c r="FLW11" s="7158"/>
      <c r="FLX11" s="7159"/>
      <c r="FLY11" s="7152"/>
      <c r="FLZ11" s="7153"/>
      <c r="FMA11" s="7153"/>
      <c r="FMB11" s="7153"/>
      <c r="FMC11" s="7157"/>
      <c r="FMD11" s="7157"/>
      <c r="FME11" s="7157"/>
      <c r="FMF11" s="7157"/>
      <c r="FMG11" s="7157"/>
      <c r="FMH11" s="7157"/>
      <c r="FMI11" s="7158"/>
      <c r="FMJ11" s="7158"/>
      <c r="FMK11" s="7158"/>
      <c r="FML11" s="7158"/>
      <c r="FMM11" s="7158"/>
      <c r="FMN11" s="7159"/>
      <c r="FMO11" s="7152"/>
      <c r="FMP11" s="7153"/>
      <c r="FMQ11" s="7153"/>
      <c r="FMR11" s="7153"/>
      <c r="FMS11" s="7157"/>
      <c r="FMT11" s="7157"/>
      <c r="FMU11" s="7157"/>
      <c r="FMV11" s="7157"/>
      <c r="FMW11" s="7157"/>
      <c r="FMX11" s="7157"/>
      <c r="FMY11" s="7158"/>
      <c r="FMZ11" s="7158"/>
      <c r="FNA11" s="7158"/>
      <c r="FNB11" s="7158"/>
      <c r="FNC11" s="7158"/>
      <c r="FND11" s="7159"/>
      <c r="FNE11" s="7152"/>
      <c r="FNF11" s="7153"/>
      <c r="FNG11" s="7153"/>
      <c r="FNH11" s="7153"/>
      <c r="FNI11" s="7157"/>
      <c r="FNJ11" s="7157"/>
      <c r="FNK11" s="7157"/>
      <c r="FNL11" s="7157"/>
      <c r="FNM11" s="7157"/>
      <c r="FNN11" s="7157"/>
      <c r="FNO11" s="7158"/>
      <c r="FNP11" s="7158"/>
      <c r="FNQ11" s="7158"/>
      <c r="FNR11" s="7158"/>
      <c r="FNS11" s="7158"/>
      <c r="FNT11" s="7159"/>
      <c r="FNU11" s="7152"/>
      <c r="FNV11" s="7153"/>
      <c r="FNW11" s="7153"/>
      <c r="FNX11" s="7153"/>
      <c r="FNY11" s="7157"/>
      <c r="FNZ11" s="7157"/>
      <c r="FOA11" s="7157"/>
      <c r="FOB11" s="7157"/>
      <c r="FOC11" s="7157"/>
      <c r="FOD11" s="7157"/>
      <c r="FOE11" s="7158"/>
      <c r="FOF11" s="7158"/>
      <c r="FOG11" s="7158"/>
      <c r="FOH11" s="7158"/>
      <c r="FOI11" s="7158"/>
      <c r="FOJ11" s="7159"/>
      <c r="FOK11" s="7152"/>
      <c r="FOL11" s="7153"/>
      <c r="FOM11" s="7153"/>
      <c r="FON11" s="7153"/>
      <c r="FOO11" s="7157"/>
      <c r="FOP11" s="7157"/>
      <c r="FOQ11" s="7157"/>
      <c r="FOR11" s="7157"/>
      <c r="FOS11" s="7157"/>
      <c r="FOT11" s="7157"/>
      <c r="FOU11" s="7158"/>
      <c r="FOV11" s="7158"/>
      <c r="FOW11" s="7158"/>
      <c r="FOX11" s="7158"/>
      <c r="FOY11" s="7158"/>
      <c r="FOZ11" s="7159"/>
      <c r="FPA11" s="7152"/>
      <c r="FPB11" s="7153"/>
      <c r="FPC11" s="7153"/>
      <c r="FPD11" s="7153"/>
      <c r="FPE11" s="7157"/>
      <c r="FPF11" s="7157"/>
      <c r="FPG11" s="7157"/>
      <c r="FPH11" s="7157"/>
      <c r="FPI11" s="7157"/>
      <c r="FPJ11" s="7157"/>
      <c r="FPK11" s="7158"/>
      <c r="FPL11" s="7158"/>
      <c r="FPM11" s="7158"/>
      <c r="FPN11" s="7158"/>
      <c r="FPO11" s="7158"/>
      <c r="FPP11" s="7159"/>
      <c r="FPQ11" s="7152"/>
      <c r="FPR11" s="7153"/>
      <c r="FPS11" s="7153"/>
      <c r="FPT11" s="7153"/>
      <c r="FPU11" s="7157"/>
      <c r="FPV11" s="7157"/>
      <c r="FPW11" s="7157"/>
      <c r="FPX11" s="7157"/>
      <c r="FPY11" s="7157"/>
      <c r="FPZ11" s="7157"/>
      <c r="FQA11" s="7158"/>
      <c r="FQB11" s="7158"/>
      <c r="FQC11" s="7158"/>
      <c r="FQD11" s="7158"/>
      <c r="FQE11" s="7158"/>
      <c r="FQF11" s="7159"/>
      <c r="FQG11" s="7152"/>
      <c r="FQH11" s="7153"/>
      <c r="FQI11" s="7153"/>
      <c r="FQJ11" s="7153"/>
      <c r="FQK11" s="7157"/>
      <c r="FQL11" s="7157"/>
      <c r="FQM11" s="7157"/>
      <c r="FQN11" s="7157"/>
      <c r="FQO11" s="7157"/>
      <c r="FQP11" s="7157"/>
      <c r="FQQ11" s="7158"/>
      <c r="FQR11" s="7158"/>
      <c r="FQS11" s="7158"/>
      <c r="FQT11" s="7158"/>
      <c r="FQU11" s="7158"/>
      <c r="FQV11" s="7159"/>
      <c r="FQW11" s="7152"/>
      <c r="FQX11" s="7153"/>
      <c r="FQY11" s="7153"/>
      <c r="FQZ11" s="7153"/>
      <c r="FRA11" s="7157"/>
      <c r="FRB11" s="7157"/>
      <c r="FRC11" s="7157"/>
      <c r="FRD11" s="7157"/>
      <c r="FRE11" s="7157"/>
      <c r="FRF11" s="7157"/>
      <c r="FRG11" s="7158"/>
      <c r="FRH11" s="7158"/>
      <c r="FRI11" s="7158"/>
      <c r="FRJ11" s="7158"/>
      <c r="FRK11" s="7158"/>
      <c r="FRL11" s="7159"/>
      <c r="FRM11" s="7152"/>
      <c r="FRN11" s="7153"/>
      <c r="FRO11" s="7153"/>
      <c r="FRP11" s="7153"/>
      <c r="FRQ11" s="7157"/>
      <c r="FRR11" s="7157"/>
      <c r="FRS11" s="7157"/>
      <c r="FRT11" s="7157"/>
      <c r="FRU11" s="7157"/>
      <c r="FRV11" s="7157"/>
      <c r="FRW11" s="7158"/>
      <c r="FRX11" s="7158"/>
      <c r="FRY11" s="7158"/>
      <c r="FRZ11" s="7158"/>
      <c r="FSA11" s="7158"/>
      <c r="FSB11" s="7159"/>
      <c r="FSC11" s="7152"/>
      <c r="FSD11" s="7153"/>
      <c r="FSE11" s="7153"/>
      <c r="FSF11" s="7153"/>
      <c r="FSG11" s="7157"/>
      <c r="FSH11" s="7157"/>
      <c r="FSI11" s="7157"/>
      <c r="FSJ11" s="7157"/>
      <c r="FSK11" s="7157"/>
      <c r="FSL11" s="7157"/>
      <c r="FSM11" s="7158"/>
      <c r="FSN11" s="7158"/>
      <c r="FSO11" s="7158"/>
      <c r="FSP11" s="7158"/>
      <c r="FSQ11" s="7158"/>
      <c r="FSR11" s="7159"/>
      <c r="FSS11" s="7152"/>
      <c r="FST11" s="7153"/>
      <c r="FSU11" s="7153"/>
      <c r="FSV11" s="7153"/>
      <c r="FSW11" s="7157"/>
      <c r="FSX11" s="7157"/>
      <c r="FSY11" s="7157"/>
      <c r="FSZ11" s="7157"/>
      <c r="FTA11" s="7157"/>
      <c r="FTB11" s="7157"/>
      <c r="FTC11" s="7158"/>
      <c r="FTD11" s="7158"/>
      <c r="FTE11" s="7158"/>
      <c r="FTF11" s="7158"/>
      <c r="FTG11" s="7158"/>
      <c r="FTH11" s="7159"/>
      <c r="FTI11" s="7152"/>
      <c r="FTJ11" s="7153"/>
      <c r="FTK11" s="7153"/>
      <c r="FTL11" s="7153"/>
      <c r="FTM11" s="7157"/>
      <c r="FTN11" s="7157"/>
      <c r="FTO11" s="7157"/>
      <c r="FTP11" s="7157"/>
      <c r="FTQ11" s="7157"/>
      <c r="FTR11" s="7157"/>
      <c r="FTS11" s="7158"/>
      <c r="FTT11" s="7158"/>
      <c r="FTU11" s="7158"/>
      <c r="FTV11" s="7158"/>
      <c r="FTW11" s="7158"/>
      <c r="FTX11" s="7159"/>
      <c r="FTY11" s="7152"/>
      <c r="FTZ11" s="7153"/>
      <c r="FUA11" s="7153"/>
      <c r="FUB11" s="7153"/>
      <c r="FUC11" s="7157"/>
      <c r="FUD11" s="7157"/>
      <c r="FUE11" s="7157"/>
      <c r="FUF11" s="7157"/>
      <c r="FUG11" s="7157"/>
      <c r="FUH11" s="7157"/>
      <c r="FUI11" s="7158"/>
      <c r="FUJ11" s="7158"/>
      <c r="FUK11" s="7158"/>
      <c r="FUL11" s="7158"/>
      <c r="FUM11" s="7158"/>
      <c r="FUN11" s="7159"/>
      <c r="FUO11" s="7152"/>
      <c r="FUP11" s="7153"/>
      <c r="FUQ11" s="7153"/>
      <c r="FUR11" s="7153"/>
      <c r="FUS11" s="7157"/>
      <c r="FUT11" s="7157"/>
      <c r="FUU11" s="7157"/>
      <c r="FUV11" s="7157"/>
      <c r="FUW11" s="7157"/>
      <c r="FUX11" s="7157"/>
      <c r="FUY11" s="7158"/>
      <c r="FUZ11" s="7158"/>
      <c r="FVA11" s="7158"/>
      <c r="FVB11" s="7158"/>
      <c r="FVC11" s="7158"/>
      <c r="FVD11" s="7159"/>
      <c r="FVE11" s="7152"/>
      <c r="FVF11" s="7153"/>
      <c r="FVG11" s="7153"/>
      <c r="FVH11" s="7153"/>
      <c r="FVI11" s="7157"/>
      <c r="FVJ11" s="7157"/>
      <c r="FVK11" s="7157"/>
      <c r="FVL11" s="7157"/>
      <c r="FVM11" s="7157"/>
      <c r="FVN11" s="7157"/>
      <c r="FVO11" s="7158"/>
      <c r="FVP11" s="7158"/>
      <c r="FVQ11" s="7158"/>
      <c r="FVR11" s="7158"/>
      <c r="FVS11" s="7158"/>
      <c r="FVT11" s="7159"/>
      <c r="FVU11" s="7152"/>
      <c r="FVV11" s="7153"/>
      <c r="FVW11" s="7153"/>
      <c r="FVX11" s="7153"/>
      <c r="FVY11" s="7157"/>
      <c r="FVZ11" s="7157"/>
      <c r="FWA11" s="7157"/>
      <c r="FWB11" s="7157"/>
      <c r="FWC11" s="7157"/>
      <c r="FWD11" s="7157"/>
      <c r="FWE11" s="7158"/>
      <c r="FWF11" s="7158"/>
      <c r="FWG11" s="7158"/>
      <c r="FWH11" s="7158"/>
      <c r="FWI11" s="7158"/>
      <c r="FWJ11" s="7159"/>
      <c r="FWK11" s="7152"/>
      <c r="FWL11" s="7153"/>
      <c r="FWM11" s="7153"/>
      <c r="FWN11" s="7153"/>
      <c r="FWO11" s="7157"/>
      <c r="FWP11" s="7157"/>
      <c r="FWQ11" s="7157"/>
      <c r="FWR11" s="7157"/>
      <c r="FWS11" s="7157"/>
      <c r="FWT11" s="7157"/>
      <c r="FWU11" s="7158"/>
      <c r="FWV11" s="7158"/>
      <c r="FWW11" s="7158"/>
      <c r="FWX11" s="7158"/>
      <c r="FWY11" s="7158"/>
      <c r="FWZ11" s="7159"/>
      <c r="FXA11" s="7152"/>
      <c r="FXB11" s="7153"/>
      <c r="FXC11" s="7153"/>
      <c r="FXD11" s="7153"/>
      <c r="FXE11" s="7157"/>
      <c r="FXF11" s="7157"/>
      <c r="FXG11" s="7157"/>
      <c r="FXH11" s="7157"/>
      <c r="FXI11" s="7157"/>
      <c r="FXJ11" s="7157"/>
      <c r="FXK11" s="7158"/>
      <c r="FXL11" s="7158"/>
      <c r="FXM11" s="7158"/>
      <c r="FXN11" s="7158"/>
      <c r="FXO11" s="7158"/>
      <c r="FXP11" s="7159"/>
      <c r="FXQ11" s="7152"/>
      <c r="FXR11" s="7153"/>
      <c r="FXS11" s="7153"/>
      <c r="FXT11" s="7153"/>
      <c r="FXU11" s="7157"/>
      <c r="FXV11" s="7157"/>
      <c r="FXW11" s="7157"/>
      <c r="FXX11" s="7157"/>
      <c r="FXY11" s="7157"/>
      <c r="FXZ11" s="7157"/>
      <c r="FYA11" s="7158"/>
      <c r="FYB11" s="7158"/>
      <c r="FYC11" s="7158"/>
      <c r="FYD11" s="7158"/>
      <c r="FYE11" s="7158"/>
      <c r="FYF11" s="7159"/>
      <c r="FYG11" s="7152"/>
      <c r="FYH11" s="7153"/>
      <c r="FYI11" s="7153"/>
      <c r="FYJ11" s="7153"/>
      <c r="FYK11" s="7157"/>
      <c r="FYL11" s="7157"/>
      <c r="FYM11" s="7157"/>
      <c r="FYN11" s="7157"/>
      <c r="FYO11" s="7157"/>
      <c r="FYP11" s="7157"/>
      <c r="FYQ11" s="7158"/>
      <c r="FYR11" s="7158"/>
      <c r="FYS11" s="7158"/>
      <c r="FYT11" s="7158"/>
      <c r="FYU11" s="7158"/>
      <c r="FYV11" s="7159"/>
      <c r="FYW11" s="7152"/>
      <c r="FYX11" s="7153"/>
      <c r="FYY11" s="7153"/>
      <c r="FYZ11" s="7153"/>
      <c r="FZA11" s="7157"/>
      <c r="FZB11" s="7157"/>
      <c r="FZC11" s="7157"/>
      <c r="FZD11" s="7157"/>
      <c r="FZE11" s="7157"/>
      <c r="FZF11" s="7157"/>
      <c r="FZG11" s="7158"/>
      <c r="FZH11" s="7158"/>
      <c r="FZI11" s="7158"/>
      <c r="FZJ11" s="7158"/>
      <c r="FZK11" s="7158"/>
      <c r="FZL11" s="7159"/>
      <c r="FZM11" s="7152"/>
      <c r="FZN11" s="7153"/>
      <c r="FZO11" s="7153"/>
      <c r="FZP11" s="7153"/>
      <c r="FZQ11" s="7157"/>
      <c r="FZR11" s="7157"/>
      <c r="FZS11" s="7157"/>
      <c r="FZT11" s="7157"/>
      <c r="FZU11" s="7157"/>
      <c r="FZV11" s="7157"/>
      <c r="FZW11" s="7158"/>
      <c r="FZX11" s="7158"/>
      <c r="FZY11" s="7158"/>
      <c r="FZZ11" s="7158"/>
      <c r="GAA11" s="7158"/>
      <c r="GAB11" s="7159"/>
      <c r="GAC11" s="7152"/>
      <c r="GAD11" s="7153"/>
      <c r="GAE11" s="7153"/>
      <c r="GAF11" s="7153"/>
      <c r="GAG11" s="7157"/>
      <c r="GAH11" s="7157"/>
      <c r="GAI11" s="7157"/>
      <c r="GAJ11" s="7157"/>
      <c r="GAK11" s="7157"/>
      <c r="GAL11" s="7157"/>
      <c r="GAM11" s="7158"/>
      <c r="GAN11" s="7158"/>
      <c r="GAO11" s="7158"/>
      <c r="GAP11" s="7158"/>
      <c r="GAQ11" s="7158"/>
      <c r="GAR11" s="7159"/>
      <c r="GAS11" s="7152"/>
      <c r="GAT11" s="7153"/>
      <c r="GAU11" s="7153"/>
      <c r="GAV11" s="7153"/>
      <c r="GAW11" s="7157"/>
      <c r="GAX11" s="7157"/>
      <c r="GAY11" s="7157"/>
      <c r="GAZ11" s="7157"/>
      <c r="GBA11" s="7157"/>
      <c r="GBB11" s="7157"/>
      <c r="GBC11" s="7158"/>
      <c r="GBD11" s="7158"/>
      <c r="GBE11" s="7158"/>
      <c r="GBF11" s="7158"/>
      <c r="GBG11" s="7158"/>
      <c r="GBH11" s="7159"/>
      <c r="GBI11" s="7152"/>
      <c r="GBJ11" s="7153"/>
      <c r="GBK11" s="7153"/>
      <c r="GBL11" s="7153"/>
      <c r="GBM11" s="7157"/>
      <c r="GBN11" s="7157"/>
      <c r="GBO11" s="7157"/>
      <c r="GBP11" s="7157"/>
      <c r="GBQ11" s="7157"/>
      <c r="GBR11" s="7157"/>
      <c r="GBS11" s="7158"/>
      <c r="GBT11" s="7158"/>
      <c r="GBU11" s="7158"/>
      <c r="GBV11" s="7158"/>
      <c r="GBW11" s="7158"/>
      <c r="GBX11" s="7159"/>
      <c r="GBY11" s="7152"/>
      <c r="GBZ11" s="7153"/>
      <c r="GCA11" s="7153"/>
      <c r="GCB11" s="7153"/>
      <c r="GCC11" s="7157"/>
      <c r="GCD11" s="7157"/>
      <c r="GCE11" s="7157"/>
      <c r="GCF11" s="7157"/>
      <c r="GCG11" s="7157"/>
      <c r="GCH11" s="7157"/>
      <c r="GCI11" s="7158"/>
      <c r="GCJ11" s="7158"/>
      <c r="GCK11" s="7158"/>
      <c r="GCL11" s="7158"/>
      <c r="GCM11" s="7158"/>
      <c r="GCN11" s="7159"/>
      <c r="GCO11" s="7152"/>
      <c r="GCP11" s="7153"/>
      <c r="GCQ11" s="7153"/>
      <c r="GCR11" s="7153"/>
      <c r="GCS11" s="7157"/>
      <c r="GCT11" s="7157"/>
      <c r="GCU11" s="7157"/>
      <c r="GCV11" s="7157"/>
      <c r="GCW11" s="7157"/>
      <c r="GCX11" s="7157"/>
      <c r="GCY11" s="7158"/>
      <c r="GCZ11" s="7158"/>
      <c r="GDA11" s="7158"/>
      <c r="GDB11" s="7158"/>
      <c r="GDC11" s="7158"/>
      <c r="GDD11" s="7159"/>
      <c r="GDE11" s="7152"/>
      <c r="GDF11" s="7153"/>
      <c r="GDG11" s="7153"/>
      <c r="GDH11" s="7153"/>
      <c r="GDI11" s="7157"/>
      <c r="GDJ11" s="7157"/>
      <c r="GDK11" s="7157"/>
      <c r="GDL11" s="7157"/>
      <c r="GDM11" s="7157"/>
      <c r="GDN11" s="7157"/>
      <c r="GDO11" s="7158"/>
      <c r="GDP11" s="7158"/>
      <c r="GDQ11" s="7158"/>
      <c r="GDR11" s="7158"/>
      <c r="GDS11" s="7158"/>
      <c r="GDT11" s="7159"/>
      <c r="GDU11" s="7152"/>
      <c r="GDV11" s="7153"/>
      <c r="GDW11" s="7153"/>
      <c r="GDX11" s="7153"/>
      <c r="GDY11" s="7157"/>
      <c r="GDZ11" s="7157"/>
      <c r="GEA11" s="7157"/>
      <c r="GEB11" s="7157"/>
      <c r="GEC11" s="7157"/>
      <c r="GED11" s="7157"/>
      <c r="GEE11" s="7158"/>
      <c r="GEF11" s="7158"/>
      <c r="GEG11" s="7158"/>
      <c r="GEH11" s="7158"/>
      <c r="GEI11" s="7158"/>
      <c r="GEJ11" s="7159"/>
      <c r="GEK11" s="7152"/>
      <c r="GEL11" s="7153"/>
      <c r="GEM11" s="7153"/>
      <c r="GEN11" s="7153"/>
      <c r="GEO11" s="7157"/>
      <c r="GEP11" s="7157"/>
      <c r="GEQ11" s="7157"/>
      <c r="GER11" s="7157"/>
      <c r="GES11" s="7157"/>
      <c r="GET11" s="7157"/>
      <c r="GEU11" s="7158"/>
      <c r="GEV11" s="7158"/>
      <c r="GEW11" s="7158"/>
      <c r="GEX11" s="7158"/>
      <c r="GEY11" s="7158"/>
      <c r="GEZ11" s="7159"/>
      <c r="GFA11" s="7152"/>
      <c r="GFB11" s="7153"/>
      <c r="GFC11" s="7153"/>
      <c r="GFD11" s="7153"/>
      <c r="GFE11" s="7157"/>
      <c r="GFF11" s="7157"/>
      <c r="GFG11" s="7157"/>
      <c r="GFH11" s="7157"/>
      <c r="GFI11" s="7157"/>
      <c r="GFJ11" s="7157"/>
      <c r="GFK11" s="7158"/>
      <c r="GFL11" s="7158"/>
      <c r="GFM11" s="7158"/>
      <c r="GFN11" s="7158"/>
      <c r="GFO11" s="7158"/>
      <c r="GFP11" s="7159"/>
      <c r="GFQ11" s="7152"/>
      <c r="GFR11" s="7153"/>
      <c r="GFS11" s="7153"/>
      <c r="GFT11" s="7153"/>
      <c r="GFU11" s="7157"/>
      <c r="GFV11" s="7157"/>
      <c r="GFW11" s="7157"/>
      <c r="GFX11" s="7157"/>
      <c r="GFY11" s="7157"/>
      <c r="GFZ11" s="7157"/>
      <c r="GGA11" s="7158"/>
      <c r="GGB11" s="7158"/>
      <c r="GGC11" s="7158"/>
      <c r="GGD11" s="7158"/>
      <c r="GGE11" s="7158"/>
      <c r="GGF11" s="7159"/>
      <c r="GGG11" s="7152"/>
      <c r="GGH11" s="7153"/>
      <c r="GGI11" s="7153"/>
      <c r="GGJ11" s="7153"/>
      <c r="GGK11" s="7157"/>
      <c r="GGL11" s="7157"/>
      <c r="GGM11" s="7157"/>
      <c r="GGN11" s="7157"/>
      <c r="GGO11" s="7157"/>
      <c r="GGP11" s="7157"/>
      <c r="GGQ11" s="7158"/>
      <c r="GGR11" s="7158"/>
      <c r="GGS11" s="7158"/>
      <c r="GGT11" s="7158"/>
      <c r="GGU11" s="7158"/>
      <c r="GGV11" s="7159"/>
      <c r="GGW11" s="7152"/>
      <c r="GGX11" s="7153"/>
      <c r="GGY11" s="7153"/>
      <c r="GGZ11" s="7153"/>
      <c r="GHA11" s="7157"/>
      <c r="GHB11" s="7157"/>
      <c r="GHC11" s="7157"/>
      <c r="GHD11" s="7157"/>
      <c r="GHE11" s="7157"/>
      <c r="GHF11" s="7157"/>
      <c r="GHG11" s="7158"/>
      <c r="GHH11" s="7158"/>
      <c r="GHI11" s="7158"/>
      <c r="GHJ11" s="7158"/>
      <c r="GHK11" s="7158"/>
      <c r="GHL11" s="7159"/>
      <c r="GHM11" s="7152"/>
      <c r="GHN11" s="7153"/>
      <c r="GHO11" s="7153"/>
      <c r="GHP11" s="7153"/>
      <c r="GHQ11" s="7157"/>
      <c r="GHR11" s="7157"/>
      <c r="GHS11" s="7157"/>
      <c r="GHT11" s="7157"/>
      <c r="GHU11" s="7157"/>
      <c r="GHV11" s="7157"/>
      <c r="GHW11" s="7158"/>
      <c r="GHX11" s="7158"/>
      <c r="GHY11" s="7158"/>
      <c r="GHZ11" s="7158"/>
      <c r="GIA11" s="7158"/>
      <c r="GIB11" s="7159"/>
      <c r="GIC11" s="7152"/>
      <c r="GID11" s="7153"/>
      <c r="GIE11" s="7153"/>
      <c r="GIF11" s="7153"/>
      <c r="GIG11" s="7157"/>
      <c r="GIH11" s="7157"/>
      <c r="GII11" s="7157"/>
      <c r="GIJ11" s="7157"/>
      <c r="GIK11" s="7157"/>
      <c r="GIL11" s="7157"/>
      <c r="GIM11" s="7158"/>
      <c r="GIN11" s="7158"/>
      <c r="GIO11" s="7158"/>
      <c r="GIP11" s="7158"/>
      <c r="GIQ11" s="7158"/>
      <c r="GIR11" s="7159"/>
      <c r="GIS11" s="7152"/>
      <c r="GIT11" s="7153"/>
      <c r="GIU11" s="7153"/>
      <c r="GIV11" s="7153"/>
      <c r="GIW11" s="7157"/>
      <c r="GIX11" s="7157"/>
      <c r="GIY11" s="7157"/>
      <c r="GIZ11" s="7157"/>
      <c r="GJA11" s="7157"/>
      <c r="GJB11" s="7157"/>
      <c r="GJC11" s="7158"/>
      <c r="GJD11" s="7158"/>
      <c r="GJE11" s="7158"/>
      <c r="GJF11" s="7158"/>
      <c r="GJG11" s="7158"/>
      <c r="GJH11" s="7159"/>
      <c r="GJI11" s="7152"/>
      <c r="GJJ11" s="7153"/>
      <c r="GJK11" s="7153"/>
      <c r="GJL11" s="7153"/>
      <c r="GJM11" s="7157"/>
      <c r="GJN11" s="7157"/>
      <c r="GJO11" s="7157"/>
      <c r="GJP11" s="7157"/>
      <c r="GJQ11" s="7157"/>
      <c r="GJR11" s="7157"/>
      <c r="GJS11" s="7158"/>
      <c r="GJT11" s="7158"/>
      <c r="GJU11" s="7158"/>
      <c r="GJV11" s="7158"/>
      <c r="GJW11" s="7158"/>
      <c r="GJX11" s="7159"/>
      <c r="GJY11" s="7152"/>
      <c r="GJZ11" s="7153"/>
      <c r="GKA11" s="7153"/>
      <c r="GKB11" s="7153"/>
      <c r="GKC11" s="7157"/>
      <c r="GKD11" s="7157"/>
      <c r="GKE11" s="7157"/>
      <c r="GKF11" s="7157"/>
      <c r="GKG11" s="7157"/>
      <c r="GKH11" s="7157"/>
      <c r="GKI11" s="7158"/>
      <c r="GKJ11" s="7158"/>
      <c r="GKK11" s="7158"/>
      <c r="GKL11" s="7158"/>
      <c r="GKM11" s="7158"/>
      <c r="GKN11" s="7159"/>
      <c r="GKO11" s="7152"/>
      <c r="GKP11" s="7153"/>
      <c r="GKQ11" s="7153"/>
      <c r="GKR11" s="7153"/>
      <c r="GKS11" s="7157"/>
      <c r="GKT11" s="7157"/>
      <c r="GKU11" s="7157"/>
      <c r="GKV11" s="7157"/>
      <c r="GKW11" s="7157"/>
      <c r="GKX11" s="7157"/>
      <c r="GKY11" s="7158"/>
      <c r="GKZ11" s="7158"/>
      <c r="GLA11" s="7158"/>
      <c r="GLB11" s="7158"/>
      <c r="GLC11" s="7158"/>
      <c r="GLD11" s="7159"/>
      <c r="GLE11" s="7152"/>
      <c r="GLF11" s="7153"/>
      <c r="GLG11" s="7153"/>
      <c r="GLH11" s="7153"/>
      <c r="GLI11" s="7157"/>
      <c r="GLJ11" s="7157"/>
      <c r="GLK11" s="7157"/>
      <c r="GLL11" s="7157"/>
      <c r="GLM11" s="7157"/>
      <c r="GLN11" s="7157"/>
      <c r="GLO11" s="7158"/>
      <c r="GLP11" s="7158"/>
      <c r="GLQ11" s="7158"/>
      <c r="GLR11" s="7158"/>
      <c r="GLS11" s="7158"/>
      <c r="GLT11" s="7159"/>
      <c r="GLU11" s="7152"/>
      <c r="GLV11" s="7153"/>
      <c r="GLW11" s="7153"/>
      <c r="GLX11" s="7153"/>
      <c r="GLY11" s="7157"/>
      <c r="GLZ11" s="7157"/>
      <c r="GMA11" s="7157"/>
      <c r="GMB11" s="7157"/>
      <c r="GMC11" s="7157"/>
      <c r="GMD11" s="7157"/>
      <c r="GME11" s="7158"/>
      <c r="GMF11" s="7158"/>
      <c r="GMG11" s="7158"/>
      <c r="GMH11" s="7158"/>
      <c r="GMI11" s="7158"/>
      <c r="GMJ11" s="7159"/>
      <c r="GMK11" s="7152"/>
      <c r="GML11" s="7153"/>
      <c r="GMM11" s="7153"/>
      <c r="GMN11" s="7153"/>
      <c r="GMO11" s="7157"/>
      <c r="GMP11" s="7157"/>
      <c r="GMQ11" s="7157"/>
      <c r="GMR11" s="7157"/>
      <c r="GMS11" s="7157"/>
      <c r="GMT11" s="7157"/>
      <c r="GMU11" s="7158"/>
      <c r="GMV11" s="7158"/>
      <c r="GMW11" s="7158"/>
      <c r="GMX11" s="7158"/>
      <c r="GMY11" s="7158"/>
      <c r="GMZ11" s="7159"/>
      <c r="GNA11" s="7152"/>
      <c r="GNB11" s="7153"/>
      <c r="GNC11" s="7153"/>
      <c r="GND11" s="7153"/>
      <c r="GNE11" s="7157"/>
      <c r="GNF11" s="7157"/>
      <c r="GNG11" s="7157"/>
      <c r="GNH11" s="7157"/>
      <c r="GNI11" s="7157"/>
      <c r="GNJ11" s="7157"/>
      <c r="GNK11" s="7158"/>
      <c r="GNL11" s="7158"/>
      <c r="GNM11" s="7158"/>
      <c r="GNN11" s="7158"/>
      <c r="GNO11" s="7158"/>
      <c r="GNP11" s="7159"/>
      <c r="GNQ11" s="7152"/>
      <c r="GNR11" s="7153"/>
      <c r="GNS11" s="7153"/>
      <c r="GNT11" s="7153"/>
      <c r="GNU11" s="7157"/>
      <c r="GNV11" s="7157"/>
      <c r="GNW11" s="7157"/>
      <c r="GNX11" s="7157"/>
      <c r="GNY11" s="7157"/>
      <c r="GNZ11" s="7157"/>
      <c r="GOA11" s="7158"/>
      <c r="GOB11" s="7158"/>
      <c r="GOC11" s="7158"/>
      <c r="GOD11" s="7158"/>
      <c r="GOE11" s="7158"/>
      <c r="GOF11" s="7159"/>
      <c r="GOG11" s="7152"/>
      <c r="GOH11" s="7153"/>
      <c r="GOI11" s="7153"/>
      <c r="GOJ11" s="7153"/>
      <c r="GOK11" s="7157"/>
      <c r="GOL11" s="7157"/>
      <c r="GOM11" s="7157"/>
      <c r="GON11" s="7157"/>
      <c r="GOO11" s="7157"/>
      <c r="GOP11" s="7157"/>
      <c r="GOQ11" s="7158"/>
      <c r="GOR11" s="7158"/>
      <c r="GOS11" s="7158"/>
      <c r="GOT11" s="7158"/>
      <c r="GOU11" s="7158"/>
      <c r="GOV11" s="7159"/>
      <c r="GOW11" s="7152"/>
      <c r="GOX11" s="7153"/>
      <c r="GOY11" s="7153"/>
      <c r="GOZ11" s="7153"/>
      <c r="GPA11" s="7157"/>
      <c r="GPB11" s="7157"/>
      <c r="GPC11" s="7157"/>
      <c r="GPD11" s="7157"/>
      <c r="GPE11" s="7157"/>
      <c r="GPF11" s="7157"/>
      <c r="GPG11" s="7158"/>
      <c r="GPH11" s="7158"/>
      <c r="GPI11" s="7158"/>
      <c r="GPJ11" s="7158"/>
      <c r="GPK11" s="7158"/>
      <c r="GPL11" s="7159"/>
      <c r="GPM11" s="7152"/>
      <c r="GPN11" s="7153"/>
      <c r="GPO11" s="7153"/>
      <c r="GPP11" s="7153"/>
      <c r="GPQ11" s="7157"/>
      <c r="GPR11" s="7157"/>
      <c r="GPS11" s="7157"/>
      <c r="GPT11" s="7157"/>
      <c r="GPU11" s="7157"/>
      <c r="GPV11" s="7157"/>
      <c r="GPW11" s="7158"/>
      <c r="GPX11" s="7158"/>
      <c r="GPY11" s="7158"/>
      <c r="GPZ11" s="7158"/>
      <c r="GQA11" s="7158"/>
      <c r="GQB11" s="7159"/>
      <c r="GQC11" s="7152"/>
      <c r="GQD11" s="7153"/>
      <c r="GQE11" s="7153"/>
      <c r="GQF11" s="7153"/>
      <c r="GQG11" s="7157"/>
      <c r="GQH11" s="7157"/>
      <c r="GQI11" s="7157"/>
      <c r="GQJ11" s="7157"/>
      <c r="GQK11" s="7157"/>
      <c r="GQL11" s="7157"/>
      <c r="GQM11" s="7158"/>
      <c r="GQN11" s="7158"/>
      <c r="GQO11" s="7158"/>
      <c r="GQP11" s="7158"/>
      <c r="GQQ11" s="7158"/>
      <c r="GQR11" s="7159"/>
      <c r="GQS11" s="7152"/>
      <c r="GQT11" s="7153"/>
      <c r="GQU11" s="7153"/>
      <c r="GQV11" s="7153"/>
      <c r="GQW11" s="7157"/>
      <c r="GQX11" s="7157"/>
      <c r="GQY11" s="7157"/>
      <c r="GQZ11" s="7157"/>
      <c r="GRA11" s="7157"/>
      <c r="GRB11" s="7157"/>
      <c r="GRC11" s="7158"/>
      <c r="GRD11" s="7158"/>
      <c r="GRE11" s="7158"/>
      <c r="GRF11" s="7158"/>
      <c r="GRG11" s="7158"/>
      <c r="GRH11" s="7159"/>
      <c r="GRI11" s="7152"/>
      <c r="GRJ11" s="7153"/>
      <c r="GRK11" s="7153"/>
      <c r="GRL11" s="7153"/>
      <c r="GRM11" s="7157"/>
      <c r="GRN11" s="7157"/>
      <c r="GRO11" s="7157"/>
      <c r="GRP11" s="7157"/>
      <c r="GRQ11" s="7157"/>
      <c r="GRR11" s="7157"/>
      <c r="GRS11" s="7158"/>
      <c r="GRT11" s="7158"/>
      <c r="GRU11" s="7158"/>
      <c r="GRV11" s="7158"/>
      <c r="GRW11" s="7158"/>
      <c r="GRX11" s="7159"/>
      <c r="GRY11" s="7152"/>
      <c r="GRZ11" s="7153"/>
      <c r="GSA11" s="7153"/>
      <c r="GSB11" s="7153"/>
      <c r="GSC11" s="7157"/>
      <c r="GSD11" s="7157"/>
      <c r="GSE11" s="7157"/>
      <c r="GSF11" s="7157"/>
      <c r="GSG11" s="7157"/>
      <c r="GSH11" s="7157"/>
      <c r="GSI11" s="7158"/>
      <c r="GSJ11" s="7158"/>
      <c r="GSK11" s="7158"/>
      <c r="GSL11" s="7158"/>
      <c r="GSM11" s="7158"/>
      <c r="GSN11" s="7159"/>
      <c r="GSO11" s="7152"/>
      <c r="GSP11" s="7153"/>
      <c r="GSQ11" s="7153"/>
      <c r="GSR11" s="7153"/>
      <c r="GSS11" s="7157"/>
      <c r="GST11" s="7157"/>
      <c r="GSU11" s="7157"/>
      <c r="GSV11" s="7157"/>
      <c r="GSW11" s="7157"/>
      <c r="GSX11" s="7157"/>
      <c r="GSY11" s="7158"/>
      <c r="GSZ11" s="7158"/>
      <c r="GTA11" s="7158"/>
      <c r="GTB11" s="7158"/>
      <c r="GTC11" s="7158"/>
      <c r="GTD11" s="7159"/>
      <c r="GTE11" s="7152"/>
      <c r="GTF11" s="7153"/>
      <c r="GTG11" s="7153"/>
      <c r="GTH11" s="7153"/>
      <c r="GTI11" s="7157"/>
      <c r="GTJ11" s="7157"/>
      <c r="GTK11" s="7157"/>
      <c r="GTL11" s="7157"/>
      <c r="GTM11" s="7157"/>
      <c r="GTN11" s="7157"/>
      <c r="GTO11" s="7158"/>
      <c r="GTP11" s="7158"/>
      <c r="GTQ11" s="7158"/>
      <c r="GTR11" s="7158"/>
      <c r="GTS11" s="7158"/>
      <c r="GTT11" s="7159"/>
      <c r="GTU11" s="7152"/>
      <c r="GTV11" s="7153"/>
      <c r="GTW11" s="7153"/>
      <c r="GTX11" s="7153"/>
      <c r="GTY11" s="7157"/>
      <c r="GTZ11" s="7157"/>
      <c r="GUA11" s="7157"/>
      <c r="GUB11" s="7157"/>
      <c r="GUC11" s="7157"/>
      <c r="GUD11" s="7157"/>
      <c r="GUE11" s="7158"/>
      <c r="GUF11" s="7158"/>
      <c r="GUG11" s="7158"/>
      <c r="GUH11" s="7158"/>
      <c r="GUI11" s="7158"/>
      <c r="GUJ11" s="7159"/>
      <c r="GUK11" s="7152"/>
      <c r="GUL11" s="7153"/>
      <c r="GUM11" s="7153"/>
      <c r="GUN11" s="7153"/>
      <c r="GUO11" s="7157"/>
      <c r="GUP11" s="7157"/>
      <c r="GUQ11" s="7157"/>
      <c r="GUR11" s="7157"/>
      <c r="GUS11" s="7157"/>
      <c r="GUT11" s="7157"/>
      <c r="GUU11" s="7158"/>
      <c r="GUV11" s="7158"/>
      <c r="GUW11" s="7158"/>
      <c r="GUX11" s="7158"/>
      <c r="GUY11" s="7158"/>
      <c r="GUZ11" s="7159"/>
      <c r="GVA11" s="7152"/>
      <c r="GVB11" s="7153"/>
      <c r="GVC11" s="7153"/>
      <c r="GVD11" s="7153"/>
      <c r="GVE11" s="7157"/>
      <c r="GVF11" s="7157"/>
      <c r="GVG11" s="7157"/>
      <c r="GVH11" s="7157"/>
      <c r="GVI11" s="7157"/>
      <c r="GVJ11" s="7157"/>
      <c r="GVK11" s="7158"/>
      <c r="GVL11" s="7158"/>
      <c r="GVM11" s="7158"/>
      <c r="GVN11" s="7158"/>
      <c r="GVO11" s="7158"/>
      <c r="GVP11" s="7159"/>
      <c r="GVQ11" s="7152"/>
      <c r="GVR11" s="7153"/>
      <c r="GVS11" s="7153"/>
      <c r="GVT11" s="7153"/>
      <c r="GVU11" s="7157"/>
      <c r="GVV11" s="7157"/>
      <c r="GVW11" s="7157"/>
      <c r="GVX11" s="7157"/>
      <c r="GVY11" s="7157"/>
      <c r="GVZ11" s="7157"/>
      <c r="GWA11" s="7158"/>
      <c r="GWB11" s="7158"/>
      <c r="GWC11" s="7158"/>
      <c r="GWD11" s="7158"/>
      <c r="GWE11" s="7158"/>
      <c r="GWF11" s="7159"/>
      <c r="GWG11" s="7152"/>
      <c r="GWH11" s="7153"/>
      <c r="GWI11" s="7153"/>
      <c r="GWJ11" s="7153"/>
      <c r="GWK11" s="7157"/>
      <c r="GWL11" s="7157"/>
      <c r="GWM11" s="7157"/>
      <c r="GWN11" s="7157"/>
      <c r="GWO11" s="7157"/>
      <c r="GWP11" s="7157"/>
      <c r="GWQ11" s="7158"/>
      <c r="GWR11" s="7158"/>
      <c r="GWS11" s="7158"/>
      <c r="GWT11" s="7158"/>
      <c r="GWU11" s="7158"/>
      <c r="GWV11" s="7159"/>
      <c r="GWW11" s="7152"/>
      <c r="GWX11" s="7153"/>
      <c r="GWY11" s="7153"/>
      <c r="GWZ11" s="7153"/>
      <c r="GXA11" s="7157"/>
      <c r="GXB11" s="7157"/>
      <c r="GXC11" s="7157"/>
      <c r="GXD11" s="7157"/>
      <c r="GXE11" s="7157"/>
      <c r="GXF11" s="7157"/>
      <c r="GXG11" s="7158"/>
      <c r="GXH11" s="7158"/>
      <c r="GXI11" s="7158"/>
      <c r="GXJ11" s="7158"/>
      <c r="GXK11" s="7158"/>
      <c r="GXL11" s="7159"/>
      <c r="GXM11" s="7152"/>
      <c r="GXN11" s="7153"/>
      <c r="GXO11" s="7153"/>
      <c r="GXP11" s="7153"/>
      <c r="GXQ11" s="7157"/>
      <c r="GXR11" s="7157"/>
      <c r="GXS11" s="7157"/>
      <c r="GXT11" s="7157"/>
      <c r="GXU11" s="7157"/>
      <c r="GXV11" s="7157"/>
      <c r="GXW11" s="7158"/>
      <c r="GXX11" s="7158"/>
      <c r="GXY11" s="7158"/>
      <c r="GXZ11" s="7158"/>
      <c r="GYA11" s="7158"/>
      <c r="GYB11" s="7159"/>
      <c r="GYC11" s="7152"/>
      <c r="GYD11" s="7153"/>
      <c r="GYE11" s="7153"/>
      <c r="GYF11" s="7153"/>
      <c r="GYG11" s="7157"/>
      <c r="GYH11" s="7157"/>
      <c r="GYI11" s="7157"/>
      <c r="GYJ11" s="7157"/>
      <c r="GYK11" s="7157"/>
      <c r="GYL11" s="7157"/>
      <c r="GYM11" s="7158"/>
      <c r="GYN11" s="7158"/>
      <c r="GYO11" s="7158"/>
      <c r="GYP11" s="7158"/>
      <c r="GYQ11" s="7158"/>
      <c r="GYR11" s="7159"/>
      <c r="GYS11" s="7152"/>
      <c r="GYT11" s="7153"/>
      <c r="GYU11" s="7153"/>
      <c r="GYV11" s="7153"/>
      <c r="GYW11" s="7157"/>
      <c r="GYX11" s="7157"/>
      <c r="GYY11" s="7157"/>
      <c r="GYZ11" s="7157"/>
      <c r="GZA11" s="7157"/>
      <c r="GZB11" s="7157"/>
      <c r="GZC11" s="7158"/>
      <c r="GZD11" s="7158"/>
      <c r="GZE11" s="7158"/>
      <c r="GZF11" s="7158"/>
      <c r="GZG11" s="7158"/>
      <c r="GZH11" s="7159"/>
      <c r="GZI11" s="7152"/>
      <c r="GZJ11" s="7153"/>
      <c r="GZK11" s="7153"/>
      <c r="GZL11" s="7153"/>
      <c r="GZM11" s="7157"/>
      <c r="GZN11" s="7157"/>
      <c r="GZO11" s="7157"/>
      <c r="GZP11" s="7157"/>
      <c r="GZQ11" s="7157"/>
      <c r="GZR11" s="7157"/>
      <c r="GZS11" s="7158"/>
      <c r="GZT11" s="7158"/>
      <c r="GZU11" s="7158"/>
      <c r="GZV11" s="7158"/>
      <c r="GZW11" s="7158"/>
      <c r="GZX11" s="7159"/>
      <c r="GZY11" s="7152"/>
      <c r="GZZ11" s="7153"/>
      <c r="HAA11" s="7153"/>
      <c r="HAB11" s="7153"/>
      <c r="HAC11" s="7157"/>
      <c r="HAD11" s="7157"/>
      <c r="HAE11" s="7157"/>
      <c r="HAF11" s="7157"/>
      <c r="HAG11" s="7157"/>
      <c r="HAH11" s="7157"/>
      <c r="HAI11" s="7158"/>
      <c r="HAJ11" s="7158"/>
      <c r="HAK11" s="7158"/>
      <c r="HAL11" s="7158"/>
      <c r="HAM11" s="7158"/>
      <c r="HAN11" s="7159"/>
      <c r="HAO11" s="7152"/>
      <c r="HAP11" s="7153"/>
      <c r="HAQ11" s="7153"/>
      <c r="HAR11" s="7153"/>
      <c r="HAS11" s="7157"/>
      <c r="HAT11" s="7157"/>
      <c r="HAU11" s="7157"/>
      <c r="HAV11" s="7157"/>
      <c r="HAW11" s="7157"/>
      <c r="HAX11" s="7157"/>
      <c r="HAY11" s="7158"/>
      <c r="HAZ11" s="7158"/>
      <c r="HBA11" s="7158"/>
      <c r="HBB11" s="7158"/>
      <c r="HBC11" s="7158"/>
      <c r="HBD11" s="7159"/>
      <c r="HBE11" s="7152"/>
      <c r="HBF11" s="7153"/>
      <c r="HBG11" s="7153"/>
      <c r="HBH11" s="7153"/>
      <c r="HBI11" s="7157"/>
      <c r="HBJ11" s="7157"/>
      <c r="HBK11" s="7157"/>
      <c r="HBL11" s="7157"/>
      <c r="HBM11" s="7157"/>
      <c r="HBN11" s="7157"/>
      <c r="HBO11" s="7158"/>
      <c r="HBP11" s="7158"/>
      <c r="HBQ11" s="7158"/>
      <c r="HBR11" s="7158"/>
      <c r="HBS11" s="7158"/>
      <c r="HBT11" s="7159"/>
      <c r="HBU11" s="7152"/>
      <c r="HBV11" s="7153"/>
      <c r="HBW11" s="7153"/>
      <c r="HBX11" s="7153"/>
      <c r="HBY11" s="7157"/>
      <c r="HBZ11" s="7157"/>
      <c r="HCA11" s="7157"/>
      <c r="HCB11" s="7157"/>
      <c r="HCC11" s="7157"/>
      <c r="HCD11" s="7157"/>
      <c r="HCE11" s="7158"/>
      <c r="HCF11" s="7158"/>
      <c r="HCG11" s="7158"/>
      <c r="HCH11" s="7158"/>
      <c r="HCI11" s="7158"/>
      <c r="HCJ11" s="7159"/>
      <c r="HCK11" s="7152"/>
      <c r="HCL11" s="7153"/>
      <c r="HCM11" s="7153"/>
      <c r="HCN11" s="7153"/>
      <c r="HCO11" s="7157"/>
      <c r="HCP11" s="7157"/>
      <c r="HCQ11" s="7157"/>
      <c r="HCR11" s="7157"/>
      <c r="HCS11" s="7157"/>
      <c r="HCT11" s="7157"/>
      <c r="HCU11" s="7158"/>
      <c r="HCV11" s="7158"/>
      <c r="HCW11" s="7158"/>
      <c r="HCX11" s="7158"/>
      <c r="HCY11" s="7158"/>
      <c r="HCZ11" s="7159"/>
      <c r="HDA11" s="7152"/>
      <c r="HDB11" s="7153"/>
      <c r="HDC11" s="7153"/>
      <c r="HDD11" s="7153"/>
      <c r="HDE11" s="7157"/>
      <c r="HDF11" s="7157"/>
      <c r="HDG11" s="7157"/>
      <c r="HDH11" s="7157"/>
      <c r="HDI11" s="7157"/>
      <c r="HDJ11" s="7157"/>
      <c r="HDK11" s="7158"/>
      <c r="HDL11" s="7158"/>
      <c r="HDM11" s="7158"/>
      <c r="HDN11" s="7158"/>
      <c r="HDO11" s="7158"/>
      <c r="HDP11" s="7159"/>
      <c r="HDQ11" s="7152"/>
      <c r="HDR11" s="7153"/>
      <c r="HDS11" s="7153"/>
      <c r="HDT11" s="7153"/>
      <c r="HDU11" s="7157"/>
      <c r="HDV11" s="7157"/>
      <c r="HDW11" s="7157"/>
      <c r="HDX11" s="7157"/>
      <c r="HDY11" s="7157"/>
      <c r="HDZ11" s="7157"/>
      <c r="HEA11" s="7158"/>
      <c r="HEB11" s="7158"/>
      <c r="HEC11" s="7158"/>
      <c r="HED11" s="7158"/>
      <c r="HEE11" s="7158"/>
      <c r="HEF11" s="7159"/>
      <c r="HEG11" s="7152"/>
      <c r="HEH11" s="7153"/>
      <c r="HEI11" s="7153"/>
      <c r="HEJ11" s="7153"/>
      <c r="HEK11" s="7157"/>
      <c r="HEL11" s="7157"/>
      <c r="HEM11" s="7157"/>
      <c r="HEN11" s="7157"/>
      <c r="HEO11" s="7157"/>
      <c r="HEP11" s="7157"/>
      <c r="HEQ11" s="7158"/>
      <c r="HER11" s="7158"/>
      <c r="HES11" s="7158"/>
      <c r="HET11" s="7158"/>
      <c r="HEU11" s="7158"/>
      <c r="HEV11" s="7159"/>
      <c r="HEW11" s="7152"/>
      <c r="HEX11" s="7153"/>
      <c r="HEY11" s="7153"/>
      <c r="HEZ11" s="7153"/>
      <c r="HFA11" s="7157"/>
      <c r="HFB11" s="7157"/>
      <c r="HFC11" s="7157"/>
      <c r="HFD11" s="7157"/>
      <c r="HFE11" s="7157"/>
      <c r="HFF11" s="7157"/>
      <c r="HFG11" s="7158"/>
      <c r="HFH11" s="7158"/>
      <c r="HFI11" s="7158"/>
      <c r="HFJ11" s="7158"/>
      <c r="HFK11" s="7158"/>
      <c r="HFL11" s="7159"/>
      <c r="HFM11" s="7152"/>
      <c r="HFN11" s="7153"/>
      <c r="HFO11" s="7153"/>
      <c r="HFP11" s="7153"/>
      <c r="HFQ11" s="7157"/>
      <c r="HFR11" s="7157"/>
      <c r="HFS11" s="7157"/>
      <c r="HFT11" s="7157"/>
      <c r="HFU11" s="7157"/>
      <c r="HFV11" s="7157"/>
      <c r="HFW11" s="7158"/>
      <c r="HFX11" s="7158"/>
      <c r="HFY11" s="7158"/>
      <c r="HFZ11" s="7158"/>
      <c r="HGA11" s="7158"/>
      <c r="HGB11" s="7159"/>
      <c r="HGC11" s="7152"/>
      <c r="HGD11" s="7153"/>
      <c r="HGE11" s="7153"/>
      <c r="HGF11" s="7153"/>
      <c r="HGG11" s="7157"/>
      <c r="HGH11" s="7157"/>
      <c r="HGI11" s="7157"/>
      <c r="HGJ11" s="7157"/>
      <c r="HGK11" s="7157"/>
      <c r="HGL11" s="7157"/>
      <c r="HGM11" s="7158"/>
      <c r="HGN11" s="7158"/>
      <c r="HGO11" s="7158"/>
      <c r="HGP11" s="7158"/>
      <c r="HGQ11" s="7158"/>
      <c r="HGR11" s="7159"/>
      <c r="HGS11" s="7152"/>
      <c r="HGT11" s="7153"/>
      <c r="HGU11" s="7153"/>
      <c r="HGV11" s="7153"/>
      <c r="HGW11" s="7157"/>
      <c r="HGX11" s="7157"/>
      <c r="HGY11" s="7157"/>
      <c r="HGZ11" s="7157"/>
      <c r="HHA11" s="7157"/>
      <c r="HHB11" s="7157"/>
      <c r="HHC11" s="7158"/>
      <c r="HHD11" s="7158"/>
      <c r="HHE11" s="7158"/>
      <c r="HHF11" s="7158"/>
      <c r="HHG11" s="7158"/>
      <c r="HHH11" s="7159"/>
      <c r="HHI11" s="7152"/>
      <c r="HHJ11" s="7153"/>
      <c r="HHK11" s="7153"/>
      <c r="HHL11" s="7153"/>
      <c r="HHM11" s="7157"/>
      <c r="HHN11" s="7157"/>
      <c r="HHO11" s="7157"/>
      <c r="HHP11" s="7157"/>
      <c r="HHQ11" s="7157"/>
      <c r="HHR11" s="7157"/>
      <c r="HHS11" s="7158"/>
      <c r="HHT11" s="7158"/>
      <c r="HHU11" s="7158"/>
      <c r="HHV11" s="7158"/>
      <c r="HHW11" s="7158"/>
      <c r="HHX11" s="7159"/>
      <c r="HHY11" s="7152"/>
      <c r="HHZ11" s="7153"/>
      <c r="HIA11" s="7153"/>
      <c r="HIB11" s="7153"/>
      <c r="HIC11" s="7157"/>
      <c r="HID11" s="7157"/>
      <c r="HIE11" s="7157"/>
      <c r="HIF11" s="7157"/>
      <c r="HIG11" s="7157"/>
      <c r="HIH11" s="7157"/>
      <c r="HII11" s="7158"/>
      <c r="HIJ11" s="7158"/>
      <c r="HIK11" s="7158"/>
      <c r="HIL11" s="7158"/>
      <c r="HIM11" s="7158"/>
      <c r="HIN11" s="7159"/>
      <c r="HIO11" s="7152"/>
      <c r="HIP11" s="7153"/>
      <c r="HIQ11" s="7153"/>
      <c r="HIR11" s="7153"/>
      <c r="HIS11" s="7157"/>
      <c r="HIT11" s="7157"/>
      <c r="HIU11" s="7157"/>
      <c r="HIV11" s="7157"/>
      <c r="HIW11" s="7157"/>
      <c r="HIX11" s="7157"/>
      <c r="HIY11" s="7158"/>
      <c r="HIZ11" s="7158"/>
      <c r="HJA11" s="7158"/>
      <c r="HJB11" s="7158"/>
      <c r="HJC11" s="7158"/>
      <c r="HJD11" s="7159"/>
      <c r="HJE11" s="7152"/>
      <c r="HJF11" s="7153"/>
      <c r="HJG11" s="7153"/>
      <c r="HJH11" s="7153"/>
      <c r="HJI11" s="7157"/>
      <c r="HJJ11" s="7157"/>
      <c r="HJK11" s="7157"/>
      <c r="HJL11" s="7157"/>
      <c r="HJM11" s="7157"/>
      <c r="HJN11" s="7157"/>
      <c r="HJO11" s="7158"/>
      <c r="HJP11" s="7158"/>
      <c r="HJQ11" s="7158"/>
      <c r="HJR11" s="7158"/>
      <c r="HJS11" s="7158"/>
      <c r="HJT11" s="7159"/>
      <c r="HJU11" s="7152"/>
      <c r="HJV11" s="7153"/>
      <c r="HJW11" s="7153"/>
      <c r="HJX11" s="7153"/>
      <c r="HJY11" s="7157"/>
      <c r="HJZ11" s="7157"/>
      <c r="HKA11" s="7157"/>
      <c r="HKB11" s="7157"/>
      <c r="HKC11" s="7157"/>
      <c r="HKD11" s="7157"/>
      <c r="HKE11" s="7158"/>
      <c r="HKF11" s="7158"/>
      <c r="HKG11" s="7158"/>
      <c r="HKH11" s="7158"/>
      <c r="HKI11" s="7158"/>
      <c r="HKJ11" s="7159"/>
      <c r="HKK11" s="7152"/>
      <c r="HKL11" s="7153"/>
      <c r="HKM11" s="7153"/>
      <c r="HKN11" s="7153"/>
      <c r="HKO11" s="7157"/>
      <c r="HKP11" s="7157"/>
      <c r="HKQ11" s="7157"/>
      <c r="HKR11" s="7157"/>
      <c r="HKS11" s="7157"/>
      <c r="HKT11" s="7157"/>
      <c r="HKU11" s="7158"/>
      <c r="HKV11" s="7158"/>
      <c r="HKW11" s="7158"/>
      <c r="HKX11" s="7158"/>
      <c r="HKY11" s="7158"/>
      <c r="HKZ11" s="7159"/>
      <c r="HLA11" s="7152"/>
      <c r="HLB11" s="7153"/>
      <c r="HLC11" s="7153"/>
      <c r="HLD11" s="7153"/>
      <c r="HLE11" s="7157"/>
      <c r="HLF11" s="7157"/>
      <c r="HLG11" s="7157"/>
      <c r="HLH11" s="7157"/>
      <c r="HLI11" s="7157"/>
      <c r="HLJ11" s="7157"/>
      <c r="HLK11" s="7158"/>
      <c r="HLL11" s="7158"/>
      <c r="HLM11" s="7158"/>
      <c r="HLN11" s="7158"/>
      <c r="HLO11" s="7158"/>
      <c r="HLP11" s="7159"/>
      <c r="HLQ11" s="7152"/>
      <c r="HLR11" s="7153"/>
      <c r="HLS11" s="7153"/>
      <c r="HLT11" s="7153"/>
      <c r="HLU11" s="7157"/>
      <c r="HLV11" s="7157"/>
      <c r="HLW11" s="7157"/>
      <c r="HLX11" s="7157"/>
      <c r="HLY11" s="7157"/>
      <c r="HLZ11" s="7157"/>
      <c r="HMA11" s="7158"/>
      <c r="HMB11" s="7158"/>
      <c r="HMC11" s="7158"/>
      <c r="HMD11" s="7158"/>
      <c r="HME11" s="7158"/>
      <c r="HMF11" s="7159"/>
      <c r="HMG11" s="7152"/>
      <c r="HMH11" s="7153"/>
      <c r="HMI11" s="7153"/>
      <c r="HMJ11" s="7153"/>
      <c r="HMK11" s="7157"/>
      <c r="HML11" s="7157"/>
      <c r="HMM11" s="7157"/>
      <c r="HMN11" s="7157"/>
      <c r="HMO11" s="7157"/>
      <c r="HMP11" s="7157"/>
      <c r="HMQ11" s="7158"/>
      <c r="HMR11" s="7158"/>
      <c r="HMS11" s="7158"/>
      <c r="HMT11" s="7158"/>
      <c r="HMU11" s="7158"/>
      <c r="HMV11" s="7159"/>
      <c r="HMW11" s="7152"/>
      <c r="HMX11" s="7153"/>
      <c r="HMY11" s="7153"/>
      <c r="HMZ11" s="7153"/>
      <c r="HNA11" s="7157"/>
      <c r="HNB11" s="7157"/>
      <c r="HNC11" s="7157"/>
      <c r="HND11" s="7157"/>
      <c r="HNE11" s="7157"/>
      <c r="HNF11" s="7157"/>
      <c r="HNG11" s="7158"/>
      <c r="HNH11" s="7158"/>
      <c r="HNI11" s="7158"/>
      <c r="HNJ11" s="7158"/>
      <c r="HNK11" s="7158"/>
      <c r="HNL11" s="7159"/>
      <c r="HNM11" s="7152"/>
      <c r="HNN11" s="7153"/>
      <c r="HNO11" s="7153"/>
      <c r="HNP11" s="7153"/>
      <c r="HNQ11" s="7157"/>
      <c r="HNR11" s="7157"/>
      <c r="HNS11" s="7157"/>
      <c r="HNT11" s="7157"/>
      <c r="HNU11" s="7157"/>
      <c r="HNV11" s="7157"/>
      <c r="HNW11" s="7158"/>
      <c r="HNX11" s="7158"/>
      <c r="HNY11" s="7158"/>
      <c r="HNZ11" s="7158"/>
      <c r="HOA11" s="7158"/>
      <c r="HOB11" s="7159"/>
      <c r="HOC11" s="7152"/>
      <c r="HOD11" s="7153"/>
      <c r="HOE11" s="7153"/>
      <c r="HOF11" s="7153"/>
      <c r="HOG11" s="7157"/>
      <c r="HOH11" s="7157"/>
      <c r="HOI11" s="7157"/>
      <c r="HOJ11" s="7157"/>
      <c r="HOK11" s="7157"/>
      <c r="HOL11" s="7157"/>
      <c r="HOM11" s="7158"/>
      <c r="HON11" s="7158"/>
      <c r="HOO11" s="7158"/>
      <c r="HOP11" s="7158"/>
      <c r="HOQ11" s="7158"/>
      <c r="HOR11" s="7159"/>
      <c r="HOS11" s="7152"/>
      <c r="HOT11" s="7153"/>
      <c r="HOU11" s="7153"/>
      <c r="HOV11" s="7153"/>
      <c r="HOW11" s="7157"/>
      <c r="HOX11" s="7157"/>
      <c r="HOY11" s="7157"/>
      <c r="HOZ11" s="7157"/>
      <c r="HPA11" s="7157"/>
      <c r="HPB11" s="7157"/>
      <c r="HPC11" s="7158"/>
      <c r="HPD11" s="7158"/>
      <c r="HPE11" s="7158"/>
      <c r="HPF11" s="7158"/>
      <c r="HPG11" s="7158"/>
      <c r="HPH11" s="7159"/>
      <c r="HPI11" s="7152"/>
      <c r="HPJ11" s="7153"/>
      <c r="HPK11" s="7153"/>
      <c r="HPL11" s="7153"/>
      <c r="HPM11" s="7157"/>
      <c r="HPN11" s="7157"/>
      <c r="HPO11" s="7157"/>
      <c r="HPP11" s="7157"/>
      <c r="HPQ11" s="7157"/>
      <c r="HPR11" s="7157"/>
      <c r="HPS11" s="7158"/>
      <c r="HPT11" s="7158"/>
      <c r="HPU11" s="7158"/>
      <c r="HPV11" s="7158"/>
      <c r="HPW11" s="7158"/>
      <c r="HPX11" s="7159"/>
      <c r="HPY11" s="7152"/>
      <c r="HPZ11" s="7153"/>
      <c r="HQA11" s="7153"/>
      <c r="HQB11" s="7153"/>
      <c r="HQC11" s="7157"/>
      <c r="HQD11" s="7157"/>
      <c r="HQE11" s="7157"/>
      <c r="HQF11" s="7157"/>
      <c r="HQG11" s="7157"/>
      <c r="HQH11" s="7157"/>
      <c r="HQI11" s="7158"/>
      <c r="HQJ11" s="7158"/>
      <c r="HQK11" s="7158"/>
      <c r="HQL11" s="7158"/>
      <c r="HQM11" s="7158"/>
      <c r="HQN11" s="7159"/>
      <c r="HQO11" s="7152"/>
      <c r="HQP11" s="7153"/>
      <c r="HQQ11" s="7153"/>
      <c r="HQR11" s="7153"/>
      <c r="HQS11" s="7157"/>
      <c r="HQT11" s="7157"/>
      <c r="HQU11" s="7157"/>
      <c r="HQV11" s="7157"/>
      <c r="HQW11" s="7157"/>
      <c r="HQX11" s="7157"/>
      <c r="HQY11" s="7158"/>
      <c r="HQZ11" s="7158"/>
      <c r="HRA11" s="7158"/>
      <c r="HRB11" s="7158"/>
      <c r="HRC11" s="7158"/>
      <c r="HRD11" s="7159"/>
      <c r="HRE11" s="7152"/>
      <c r="HRF11" s="7153"/>
      <c r="HRG11" s="7153"/>
      <c r="HRH11" s="7153"/>
      <c r="HRI11" s="7157"/>
      <c r="HRJ11" s="7157"/>
      <c r="HRK11" s="7157"/>
      <c r="HRL11" s="7157"/>
      <c r="HRM11" s="7157"/>
      <c r="HRN11" s="7157"/>
      <c r="HRO11" s="7158"/>
      <c r="HRP11" s="7158"/>
      <c r="HRQ11" s="7158"/>
      <c r="HRR11" s="7158"/>
      <c r="HRS11" s="7158"/>
      <c r="HRT11" s="7159"/>
      <c r="HRU11" s="7152"/>
      <c r="HRV11" s="7153"/>
      <c r="HRW11" s="7153"/>
      <c r="HRX11" s="7153"/>
      <c r="HRY11" s="7157"/>
      <c r="HRZ11" s="7157"/>
      <c r="HSA11" s="7157"/>
      <c r="HSB11" s="7157"/>
      <c r="HSC11" s="7157"/>
      <c r="HSD11" s="7157"/>
      <c r="HSE11" s="7158"/>
      <c r="HSF11" s="7158"/>
      <c r="HSG11" s="7158"/>
      <c r="HSH11" s="7158"/>
      <c r="HSI11" s="7158"/>
      <c r="HSJ11" s="7159"/>
      <c r="HSK11" s="7152"/>
      <c r="HSL11" s="7153"/>
      <c r="HSM11" s="7153"/>
      <c r="HSN11" s="7153"/>
      <c r="HSO11" s="7157"/>
      <c r="HSP11" s="7157"/>
      <c r="HSQ11" s="7157"/>
      <c r="HSR11" s="7157"/>
      <c r="HSS11" s="7157"/>
      <c r="HST11" s="7157"/>
      <c r="HSU11" s="7158"/>
      <c r="HSV11" s="7158"/>
      <c r="HSW11" s="7158"/>
      <c r="HSX11" s="7158"/>
      <c r="HSY11" s="7158"/>
      <c r="HSZ11" s="7159"/>
      <c r="HTA11" s="7152"/>
      <c r="HTB11" s="7153"/>
      <c r="HTC11" s="7153"/>
      <c r="HTD11" s="7153"/>
      <c r="HTE11" s="7157"/>
      <c r="HTF11" s="7157"/>
      <c r="HTG11" s="7157"/>
      <c r="HTH11" s="7157"/>
      <c r="HTI11" s="7157"/>
      <c r="HTJ11" s="7157"/>
      <c r="HTK11" s="7158"/>
      <c r="HTL11" s="7158"/>
      <c r="HTM11" s="7158"/>
      <c r="HTN11" s="7158"/>
      <c r="HTO11" s="7158"/>
      <c r="HTP11" s="7159"/>
      <c r="HTQ11" s="7152"/>
      <c r="HTR11" s="7153"/>
      <c r="HTS11" s="7153"/>
      <c r="HTT11" s="7153"/>
      <c r="HTU11" s="7157"/>
      <c r="HTV11" s="7157"/>
      <c r="HTW11" s="7157"/>
      <c r="HTX11" s="7157"/>
      <c r="HTY11" s="7157"/>
      <c r="HTZ11" s="7157"/>
      <c r="HUA11" s="7158"/>
      <c r="HUB11" s="7158"/>
      <c r="HUC11" s="7158"/>
      <c r="HUD11" s="7158"/>
      <c r="HUE11" s="7158"/>
      <c r="HUF11" s="7159"/>
      <c r="HUG11" s="7152"/>
      <c r="HUH11" s="7153"/>
      <c r="HUI11" s="7153"/>
      <c r="HUJ11" s="7153"/>
      <c r="HUK11" s="7157"/>
      <c r="HUL11" s="7157"/>
      <c r="HUM11" s="7157"/>
      <c r="HUN11" s="7157"/>
      <c r="HUO11" s="7157"/>
      <c r="HUP11" s="7157"/>
      <c r="HUQ11" s="7158"/>
      <c r="HUR11" s="7158"/>
      <c r="HUS11" s="7158"/>
      <c r="HUT11" s="7158"/>
      <c r="HUU11" s="7158"/>
      <c r="HUV11" s="7159"/>
      <c r="HUW11" s="7152"/>
      <c r="HUX11" s="7153"/>
      <c r="HUY11" s="7153"/>
      <c r="HUZ11" s="7153"/>
      <c r="HVA11" s="7157"/>
      <c r="HVB11" s="7157"/>
      <c r="HVC11" s="7157"/>
      <c r="HVD11" s="7157"/>
      <c r="HVE11" s="7157"/>
      <c r="HVF11" s="7157"/>
      <c r="HVG11" s="7158"/>
      <c r="HVH11" s="7158"/>
      <c r="HVI11" s="7158"/>
      <c r="HVJ11" s="7158"/>
      <c r="HVK11" s="7158"/>
      <c r="HVL11" s="7159"/>
      <c r="HVM11" s="7152"/>
      <c r="HVN11" s="7153"/>
      <c r="HVO11" s="7153"/>
      <c r="HVP11" s="7153"/>
      <c r="HVQ11" s="7157"/>
      <c r="HVR11" s="7157"/>
      <c r="HVS11" s="7157"/>
      <c r="HVT11" s="7157"/>
      <c r="HVU11" s="7157"/>
      <c r="HVV11" s="7157"/>
      <c r="HVW11" s="7158"/>
      <c r="HVX11" s="7158"/>
      <c r="HVY11" s="7158"/>
      <c r="HVZ11" s="7158"/>
      <c r="HWA11" s="7158"/>
      <c r="HWB11" s="7159"/>
      <c r="HWC11" s="7152"/>
      <c r="HWD11" s="7153"/>
      <c r="HWE11" s="7153"/>
      <c r="HWF11" s="7153"/>
      <c r="HWG11" s="7157"/>
      <c r="HWH11" s="7157"/>
      <c r="HWI11" s="7157"/>
      <c r="HWJ11" s="7157"/>
      <c r="HWK11" s="7157"/>
      <c r="HWL11" s="7157"/>
      <c r="HWM11" s="7158"/>
      <c r="HWN11" s="7158"/>
      <c r="HWO11" s="7158"/>
      <c r="HWP11" s="7158"/>
      <c r="HWQ11" s="7158"/>
      <c r="HWR11" s="7159"/>
      <c r="HWS11" s="7152"/>
      <c r="HWT11" s="7153"/>
      <c r="HWU11" s="7153"/>
      <c r="HWV11" s="7153"/>
      <c r="HWW11" s="7157"/>
      <c r="HWX11" s="7157"/>
      <c r="HWY11" s="7157"/>
      <c r="HWZ11" s="7157"/>
      <c r="HXA11" s="7157"/>
      <c r="HXB11" s="7157"/>
      <c r="HXC11" s="7158"/>
      <c r="HXD11" s="7158"/>
      <c r="HXE11" s="7158"/>
      <c r="HXF11" s="7158"/>
      <c r="HXG11" s="7158"/>
      <c r="HXH11" s="7159"/>
      <c r="HXI11" s="7152"/>
      <c r="HXJ11" s="7153"/>
      <c r="HXK11" s="7153"/>
      <c r="HXL11" s="7153"/>
      <c r="HXM11" s="7157"/>
      <c r="HXN11" s="7157"/>
      <c r="HXO11" s="7157"/>
      <c r="HXP11" s="7157"/>
      <c r="HXQ11" s="7157"/>
      <c r="HXR11" s="7157"/>
      <c r="HXS11" s="7158"/>
      <c r="HXT11" s="7158"/>
      <c r="HXU11" s="7158"/>
      <c r="HXV11" s="7158"/>
      <c r="HXW11" s="7158"/>
      <c r="HXX11" s="7159"/>
      <c r="HXY11" s="7152"/>
      <c r="HXZ11" s="7153"/>
      <c r="HYA11" s="7153"/>
      <c r="HYB11" s="7153"/>
      <c r="HYC11" s="7157"/>
      <c r="HYD11" s="7157"/>
      <c r="HYE11" s="7157"/>
      <c r="HYF11" s="7157"/>
      <c r="HYG11" s="7157"/>
      <c r="HYH11" s="7157"/>
      <c r="HYI11" s="7158"/>
      <c r="HYJ11" s="7158"/>
      <c r="HYK11" s="7158"/>
      <c r="HYL11" s="7158"/>
      <c r="HYM11" s="7158"/>
      <c r="HYN11" s="7159"/>
      <c r="HYO11" s="7152"/>
      <c r="HYP11" s="7153"/>
      <c r="HYQ11" s="7153"/>
      <c r="HYR11" s="7153"/>
      <c r="HYS11" s="7157"/>
      <c r="HYT11" s="7157"/>
      <c r="HYU11" s="7157"/>
      <c r="HYV11" s="7157"/>
      <c r="HYW11" s="7157"/>
      <c r="HYX11" s="7157"/>
      <c r="HYY11" s="7158"/>
      <c r="HYZ11" s="7158"/>
      <c r="HZA11" s="7158"/>
      <c r="HZB11" s="7158"/>
      <c r="HZC11" s="7158"/>
      <c r="HZD11" s="7159"/>
      <c r="HZE11" s="7152"/>
      <c r="HZF11" s="7153"/>
      <c r="HZG11" s="7153"/>
      <c r="HZH11" s="7153"/>
      <c r="HZI11" s="7157"/>
      <c r="HZJ11" s="7157"/>
      <c r="HZK11" s="7157"/>
      <c r="HZL11" s="7157"/>
      <c r="HZM11" s="7157"/>
      <c r="HZN11" s="7157"/>
      <c r="HZO11" s="7158"/>
      <c r="HZP11" s="7158"/>
      <c r="HZQ11" s="7158"/>
      <c r="HZR11" s="7158"/>
      <c r="HZS11" s="7158"/>
      <c r="HZT11" s="7159"/>
      <c r="HZU11" s="7152"/>
      <c r="HZV11" s="7153"/>
      <c r="HZW11" s="7153"/>
      <c r="HZX11" s="7153"/>
      <c r="HZY11" s="7157"/>
      <c r="HZZ11" s="7157"/>
      <c r="IAA11" s="7157"/>
      <c r="IAB11" s="7157"/>
      <c r="IAC11" s="7157"/>
      <c r="IAD11" s="7157"/>
      <c r="IAE11" s="7158"/>
      <c r="IAF11" s="7158"/>
      <c r="IAG11" s="7158"/>
      <c r="IAH11" s="7158"/>
      <c r="IAI11" s="7158"/>
      <c r="IAJ11" s="7159"/>
      <c r="IAK11" s="7152"/>
      <c r="IAL11" s="7153"/>
      <c r="IAM11" s="7153"/>
      <c r="IAN11" s="7153"/>
      <c r="IAO11" s="7157"/>
      <c r="IAP11" s="7157"/>
      <c r="IAQ11" s="7157"/>
      <c r="IAR11" s="7157"/>
      <c r="IAS11" s="7157"/>
      <c r="IAT11" s="7157"/>
      <c r="IAU11" s="7158"/>
      <c r="IAV11" s="7158"/>
      <c r="IAW11" s="7158"/>
      <c r="IAX11" s="7158"/>
      <c r="IAY11" s="7158"/>
      <c r="IAZ11" s="7159"/>
      <c r="IBA11" s="7152"/>
      <c r="IBB11" s="7153"/>
      <c r="IBC11" s="7153"/>
      <c r="IBD11" s="7153"/>
      <c r="IBE11" s="7157"/>
      <c r="IBF11" s="7157"/>
      <c r="IBG11" s="7157"/>
      <c r="IBH11" s="7157"/>
      <c r="IBI11" s="7157"/>
      <c r="IBJ11" s="7157"/>
      <c r="IBK11" s="7158"/>
      <c r="IBL11" s="7158"/>
      <c r="IBM11" s="7158"/>
      <c r="IBN11" s="7158"/>
      <c r="IBO11" s="7158"/>
      <c r="IBP11" s="7159"/>
      <c r="IBQ11" s="7152"/>
      <c r="IBR11" s="7153"/>
      <c r="IBS11" s="7153"/>
      <c r="IBT11" s="7153"/>
      <c r="IBU11" s="7157"/>
      <c r="IBV11" s="7157"/>
      <c r="IBW11" s="7157"/>
      <c r="IBX11" s="7157"/>
      <c r="IBY11" s="7157"/>
      <c r="IBZ11" s="7157"/>
      <c r="ICA11" s="7158"/>
      <c r="ICB11" s="7158"/>
      <c r="ICC11" s="7158"/>
      <c r="ICD11" s="7158"/>
      <c r="ICE11" s="7158"/>
      <c r="ICF11" s="7159"/>
      <c r="ICG11" s="7152"/>
      <c r="ICH11" s="7153"/>
      <c r="ICI11" s="7153"/>
      <c r="ICJ11" s="7153"/>
      <c r="ICK11" s="7157"/>
      <c r="ICL11" s="7157"/>
      <c r="ICM11" s="7157"/>
      <c r="ICN11" s="7157"/>
      <c r="ICO11" s="7157"/>
      <c r="ICP11" s="7157"/>
      <c r="ICQ11" s="7158"/>
      <c r="ICR11" s="7158"/>
      <c r="ICS11" s="7158"/>
      <c r="ICT11" s="7158"/>
      <c r="ICU11" s="7158"/>
      <c r="ICV11" s="7159"/>
      <c r="ICW11" s="7152"/>
      <c r="ICX11" s="7153"/>
      <c r="ICY11" s="7153"/>
      <c r="ICZ11" s="7153"/>
      <c r="IDA11" s="7157"/>
      <c r="IDB11" s="7157"/>
      <c r="IDC11" s="7157"/>
      <c r="IDD11" s="7157"/>
      <c r="IDE11" s="7157"/>
      <c r="IDF11" s="7157"/>
      <c r="IDG11" s="7158"/>
      <c r="IDH11" s="7158"/>
      <c r="IDI11" s="7158"/>
      <c r="IDJ11" s="7158"/>
      <c r="IDK11" s="7158"/>
      <c r="IDL11" s="7159"/>
      <c r="IDM11" s="7152"/>
      <c r="IDN11" s="7153"/>
      <c r="IDO11" s="7153"/>
      <c r="IDP11" s="7153"/>
      <c r="IDQ11" s="7157"/>
      <c r="IDR11" s="7157"/>
      <c r="IDS11" s="7157"/>
      <c r="IDT11" s="7157"/>
      <c r="IDU11" s="7157"/>
      <c r="IDV11" s="7157"/>
      <c r="IDW11" s="7158"/>
      <c r="IDX11" s="7158"/>
      <c r="IDY11" s="7158"/>
      <c r="IDZ11" s="7158"/>
      <c r="IEA11" s="7158"/>
      <c r="IEB11" s="7159"/>
      <c r="IEC11" s="7152"/>
      <c r="IED11" s="7153"/>
      <c r="IEE11" s="7153"/>
      <c r="IEF11" s="7153"/>
      <c r="IEG11" s="7157"/>
      <c r="IEH11" s="7157"/>
      <c r="IEI11" s="7157"/>
      <c r="IEJ11" s="7157"/>
      <c r="IEK11" s="7157"/>
      <c r="IEL11" s="7157"/>
      <c r="IEM11" s="7158"/>
      <c r="IEN11" s="7158"/>
      <c r="IEO11" s="7158"/>
      <c r="IEP11" s="7158"/>
      <c r="IEQ11" s="7158"/>
      <c r="IER11" s="7159"/>
      <c r="IES11" s="7152"/>
      <c r="IET11" s="7153"/>
      <c r="IEU11" s="7153"/>
      <c r="IEV11" s="7153"/>
      <c r="IEW11" s="7157"/>
      <c r="IEX11" s="7157"/>
      <c r="IEY11" s="7157"/>
      <c r="IEZ11" s="7157"/>
      <c r="IFA11" s="7157"/>
      <c r="IFB11" s="7157"/>
      <c r="IFC11" s="7158"/>
      <c r="IFD11" s="7158"/>
      <c r="IFE11" s="7158"/>
      <c r="IFF11" s="7158"/>
      <c r="IFG11" s="7158"/>
      <c r="IFH11" s="7159"/>
      <c r="IFI11" s="7152"/>
      <c r="IFJ11" s="7153"/>
      <c r="IFK11" s="7153"/>
      <c r="IFL11" s="7153"/>
      <c r="IFM11" s="7157"/>
      <c r="IFN11" s="7157"/>
      <c r="IFO11" s="7157"/>
      <c r="IFP11" s="7157"/>
      <c r="IFQ11" s="7157"/>
      <c r="IFR11" s="7157"/>
      <c r="IFS11" s="7158"/>
      <c r="IFT11" s="7158"/>
      <c r="IFU11" s="7158"/>
      <c r="IFV11" s="7158"/>
      <c r="IFW11" s="7158"/>
      <c r="IFX11" s="7159"/>
      <c r="IFY11" s="7152"/>
      <c r="IFZ11" s="7153"/>
      <c r="IGA11" s="7153"/>
      <c r="IGB11" s="7153"/>
      <c r="IGC11" s="7157"/>
      <c r="IGD11" s="7157"/>
      <c r="IGE11" s="7157"/>
      <c r="IGF11" s="7157"/>
      <c r="IGG11" s="7157"/>
      <c r="IGH11" s="7157"/>
      <c r="IGI11" s="7158"/>
      <c r="IGJ11" s="7158"/>
      <c r="IGK11" s="7158"/>
      <c r="IGL11" s="7158"/>
      <c r="IGM11" s="7158"/>
      <c r="IGN11" s="7159"/>
      <c r="IGO11" s="7152"/>
      <c r="IGP11" s="7153"/>
      <c r="IGQ11" s="7153"/>
      <c r="IGR11" s="7153"/>
      <c r="IGS11" s="7157"/>
      <c r="IGT11" s="7157"/>
      <c r="IGU11" s="7157"/>
      <c r="IGV11" s="7157"/>
      <c r="IGW11" s="7157"/>
      <c r="IGX11" s="7157"/>
      <c r="IGY11" s="7158"/>
      <c r="IGZ11" s="7158"/>
      <c r="IHA11" s="7158"/>
      <c r="IHB11" s="7158"/>
      <c r="IHC11" s="7158"/>
      <c r="IHD11" s="7159"/>
      <c r="IHE11" s="7152"/>
      <c r="IHF11" s="7153"/>
      <c r="IHG11" s="7153"/>
      <c r="IHH11" s="7153"/>
      <c r="IHI11" s="7157"/>
      <c r="IHJ11" s="7157"/>
      <c r="IHK11" s="7157"/>
      <c r="IHL11" s="7157"/>
      <c r="IHM11" s="7157"/>
      <c r="IHN11" s="7157"/>
      <c r="IHO11" s="7158"/>
      <c r="IHP11" s="7158"/>
      <c r="IHQ11" s="7158"/>
      <c r="IHR11" s="7158"/>
      <c r="IHS11" s="7158"/>
      <c r="IHT11" s="7159"/>
      <c r="IHU11" s="7152"/>
      <c r="IHV11" s="7153"/>
      <c r="IHW11" s="7153"/>
      <c r="IHX11" s="7153"/>
      <c r="IHY11" s="7157"/>
      <c r="IHZ11" s="7157"/>
      <c r="IIA11" s="7157"/>
      <c r="IIB11" s="7157"/>
      <c r="IIC11" s="7157"/>
      <c r="IID11" s="7157"/>
      <c r="IIE11" s="7158"/>
      <c r="IIF11" s="7158"/>
      <c r="IIG11" s="7158"/>
      <c r="IIH11" s="7158"/>
      <c r="III11" s="7158"/>
      <c r="IIJ11" s="7159"/>
      <c r="IIK11" s="7152"/>
      <c r="IIL11" s="7153"/>
      <c r="IIM11" s="7153"/>
      <c r="IIN11" s="7153"/>
      <c r="IIO11" s="7157"/>
      <c r="IIP11" s="7157"/>
      <c r="IIQ11" s="7157"/>
      <c r="IIR11" s="7157"/>
      <c r="IIS11" s="7157"/>
      <c r="IIT11" s="7157"/>
      <c r="IIU11" s="7158"/>
      <c r="IIV11" s="7158"/>
      <c r="IIW11" s="7158"/>
      <c r="IIX11" s="7158"/>
      <c r="IIY11" s="7158"/>
      <c r="IIZ11" s="7159"/>
      <c r="IJA11" s="7152"/>
      <c r="IJB11" s="7153"/>
      <c r="IJC11" s="7153"/>
      <c r="IJD11" s="7153"/>
      <c r="IJE11" s="7157"/>
      <c r="IJF11" s="7157"/>
      <c r="IJG11" s="7157"/>
      <c r="IJH11" s="7157"/>
      <c r="IJI11" s="7157"/>
      <c r="IJJ11" s="7157"/>
      <c r="IJK11" s="7158"/>
      <c r="IJL11" s="7158"/>
      <c r="IJM11" s="7158"/>
      <c r="IJN11" s="7158"/>
      <c r="IJO11" s="7158"/>
      <c r="IJP11" s="7159"/>
      <c r="IJQ11" s="7152"/>
      <c r="IJR11" s="7153"/>
      <c r="IJS11" s="7153"/>
      <c r="IJT11" s="7153"/>
      <c r="IJU11" s="7157"/>
      <c r="IJV11" s="7157"/>
      <c r="IJW11" s="7157"/>
      <c r="IJX11" s="7157"/>
      <c r="IJY11" s="7157"/>
      <c r="IJZ11" s="7157"/>
      <c r="IKA11" s="7158"/>
      <c r="IKB11" s="7158"/>
      <c r="IKC11" s="7158"/>
      <c r="IKD11" s="7158"/>
      <c r="IKE11" s="7158"/>
      <c r="IKF11" s="7159"/>
      <c r="IKG11" s="7152"/>
      <c r="IKH11" s="7153"/>
      <c r="IKI11" s="7153"/>
      <c r="IKJ11" s="7153"/>
      <c r="IKK11" s="7157"/>
      <c r="IKL11" s="7157"/>
      <c r="IKM11" s="7157"/>
      <c r="IKN11" s="7157"/>
      <c r="IKO11" s="7157"/>
      <c r="IKP11" s="7157"/>
      <c r="IKQ11" s="7158"/>
      <c r="IKR11" s="7158"/>
      <c r="IKS11" s="7158"/>
      <c r="IKT11" s="7158"/>
      <c r="IKU11" s="7158"/>
      <c r="IKV11" s="7159"/>
      <c r="IKW11" s="7152"/>
      <c r="IKX11" s="7153"/>
      <c r="IKY11" s="7153"/>
      <c r="IKZ11" s="7153"/>
      <c r="ILA11" s="7157"/>
      <c r="ILB11" s="7157"/>
      <c r="ILC11" s="7157"/>
      <c r="ILD11" s="7157"/>
      <c r="ILE11" s="7157"/>
      <c r="ILF11" s="7157"/>
      <c r="ILG11" s="7158"/>
      <c r="ILH11" s="7158"/>
      <c r="ILI11" s="7158"/>
      <c r="ILJ11" s="7158"/>
      <c r="ILK11" s="7158"/>
      <c r="ILL11" s="7159"/>
      <c r="ILM11" s="7152"/>
      <c r="ILN11" s="7153"/>
      <c r="ILO11" s="7153"/>
      <c r="ILP11" s="7153"/>
      <c r="ILQ11" s="7157"/>
      <c r="ILR11" s="7157"/>
      <c r="ILS11" s="7157"/>
      <c r="ILT11" s="7157"/>
      <c r="ILU11" s="7157"/>
      <c r="ILV11" s="7157"/>
      <c r="ILW11" s="7158"/>
      <c r="ILX11" s="7158"/>
      <c r="ILY11" s="7158"/>
      <c r="ILZ11" s="7158"/>
      <c r="IMA11" s="7158"/>
      <c r="IMB11" s="7159"/>
      <c r="IMC11" s="7152"/>
      <c r="IMD11" s="7153"/>
      <c r="IME11" s="7153"/>
      <c r="IMF11" s="7153"/>
      <c r="IMG11" s="7157"/>
      <c r="IMH11" s="7157"/>
      <c r="IMI11" s="7157"/>
      <c r="IMJ11" s="7157"/>
      <c r="IMK11" s="7157"/>
      <c r="IML11" s="7157"/>
      <c r="IMM11" s="7158"/>
      <c r="IMN11" s="7158"/>
      <c r="IMO11" s="7158"/>
      <c r="IMP11" s="7158"/>
      <c r="IMQ11" s="7158"/>
      <c r="IMR11" s="7159"/>
      <c r="IMS11" s="7152"/>
      <c r="IMT11" s="7153"/>
      <c r="IMU11" s="7153"/>
      <c r="IMV11" s="7153"/>
      <c r="IMW11" s="7157"/>
      <c r="IMX11" s="7157"/>
      <c r="IMY11" s="7157"/>
      <c r="IMZ11" s="7157"/>
      <c r="INA11" s="7157"/>
      <c r="INB11" s="7157"/>
      <c r="INC11" s="7158"/>
      <c r="IND11" s="7158"/>
      <c r="INE11" s="7158"/>
      <c r="INF11" s="7158"/>
      <c r="ING11" s="7158"/>
      <c r="INH11" s="7159"/>
      <c r="INI11" s="7152"/>
      <c r="INJ11" s="7153"/>
      <c r="INK11" s="7153"/>
      <c r="INL11" s="7153"/>
      <c r="INM11" s="7157"/>
      <c r="INN11" s="7157"/>
      <c r="INO11" s="7157"/>
      <c r="INP11" s="7157"/>
      <c r="INQ11" s="7157"/>
      <c r="INR11" s="7157"/>
      <c r="INS11" s="7158"/>
      <c r="INT11" s="7158"/>
      <c r="INU11" s="7158"/>
      <c r="INV11" s="7158"/>
      <c r="INW11" s="7158"/>
      <c r="INX11" s="7159"/>
      <c r="INY11" s="7152"/>
      <c r="INZ11" s="7153"/>
      <c r="IOA11" s="7153"/>
      <c r="IOB11" s="7153"/>
      <c r="IOC11" s="7157"/>
      <c r="IOD11" s="7157"/>
      <c r="IOE11" s="7157"/>
      <c r="IOF11" s="7157"/>
      <c r="IOG11" s="7157"/>
      <c r="IOH11" s="7157"/>
      <c r="IOI11" s="7158"/>
      <c r="IOJ11" s="7158"/>
      <c r="IOK11" s="7158"/>
      <c r="IOL11" s="7158"/>
      <c r="IOM11" s="7158"/>
      <c r="ION11" s="7159"/>
      <c r="IOO11" s="7152"/>
      <c r="IOP11" s="7153"/>
      <c r="IOQ11" s="7153"/>
      <c r="IOR11" s="7153"/>
      <c r="IOS11" s="7157"/>
      <c r="IOT11" s="7157"/>
      <c r="IOU11" s="7157"/>
      <c r="IOV11" s="7157"/>
      <c r="IOW11" s="7157"/>
      <c r="IOX11" s="7157"/>
      <c r="IOY11" s="7158"/>
      <c r="IOZ11" s="7158"/>
      <c r="IPA11" s="7158"/>
      <c r="IPB11" s="7158"/>
      <c r="IPC11" s="7158"/>
      <c r="IPD11" s="7159"/>
      <c r="IPE11" s="7152"/>
      <c r="IPF11" s="7153"/>
      <c r="IPG11" s="7153"/>
      <c r="IPH11" s="7153"/>
      <c r="IPI11" s="7157"/>
      <c r="IPJ11" s="7157"/>
      <c r="IPK11" s="7157"/>
      <c r="IPL11" s="7157"/>
      <c r="IPM11" s="7157"/>
      <c r="IPN11" s="7157"/>
      <c r="IPO11" s="7158"/>
      <c r="IPP11" s="7158"/>
      <c r="IPQ11" s="7158"/>
      <c r="IPR11" s="7158"/>
      <c r="IPS11" s="7158"/>
      <c r="IPT11" s="7159"/>
      <c r="IPU11" s="7152"/>
      <c r="IPV11" s="7153"/>
      <c r="IPW11" s="7153"/>
      <c r="IPX11" s="7153"/>
      <c r="IPY11" s="7157"/>
      <c r="IPZ11" s="7157"/>
      <c r="IQA11" s="7157"/>
      <c r="IQB11" s="7157"/>
      <c r="IQC11" s="7157"/>
      <c r="IQD11" s="7157"/>
      <c r="IQE11" s="7158"/>
      <c r="IQF11" s="7158"/>
      <c r="IQG11" s="7158"/>
      <c r="IQH11" s="7158"/>
      <c r="IQI11" s="7158"/>
      <c r="IQJ11" s="7159"/>
      <c r="IQK11" s="7152"/>
      <c r="IQL11" s="7153"/>
      <c r="IQM11" s="7153"/>
      <c r="IQN11" s="7153"/>
      <c r="IQO11" s="7157"/>
      <c r="IQP11" s="7157"/>
      <c r="IQQ11" s="7157"/>
      <c r="IQR11" s="7157"/>
      <c r="IQS11" s="7157"/>
      <c r="IQT11" s="7157"/>
      <c r="IQU11" s="7158"/>
      <c r="IQV11" s="7158"/>
      <c r="IQW11" s="7158"/>
      <c r="IQX11" s="7158"/>
      <c r="IQY11" s="7158"/>
      <c r="IQZ11" s="7159"/>
      <c r="IRA11" s="7152"/>
      <c r="IRB11" s="7153"/>
      <c r="IRC11" s="7153"/>
      <c r="IRD11" s="7153"/>
      <c r="IRE11" s="7157"/>
      <c r="IRF11" s="7157"/>
      <c r="IRG11" s="7157"/>
      <c r="IRH11" s="7157"/>
      <c r="IRI11" s="7157"/>
      <c r="IRJ11" s="7157"/>
      <c r="IRK11" s="7158"/>
      <c r="IRL11" s="7158"/>
      <c r="IRM11" s="7158"/>
      <c r="IRN11" s="7158"/>
      <c r="IRO11" s="7158"/>
      <c r="IRP11" s="7159"/>
      <c r="IRQ11" s="7152"/>
      <c r="IRR11" s="7153"/>
      <c r="IRS11" s="7153"/>
      <c r="IRT11" s="7153"/>
      <c r="IRU11" s="7157"/>
      <c r="IRV11" s="7157"/>
      <c r="IRW11" s="7157"/>
      <c r="IRX11" s="7157"/>
      <c r="IRY11" s="7157"/>
      <c r="IRZ11" s="7157"/>
      <c r="ISA11" s="7158"/>
      <c r="ISB11" s="7158"/>
      <c r="ISC11" s="7158"/>
      <c r="ISD11" s="7158"/>
      <c r="ISE11" s="7158"/>
      <c r="ISF11" s="7159"/>
      <c r="ISG11" s="7152"/>
      <c r="ISH11" s="7153"/>
      <c r="ISI11" s="7153"/>
      <c r="ISJ11" s="7153"/>
      <c r="ISK11" s="7157"/>
      <c r="ISL11" s="7157"/>
      <c r="ISM11" s="7157"/>
      <c r="ISN11" s="7157"/>
      <c r="ISO11" s="7157"/>
      <c r="ISP11" s="7157"/>
      <c r="ISQ11" s="7158"/>
      <c r="ISR11" s="7158"/>
      <c r="ISS11" s="7158"/>
      <c r="IST11" s="7158"/>
      <c r="ISU11" s="7158"/>
      <c r="ISV11" s="7159"/>
      <c r="ISW11" s="7152"/>
      <c r="ISX11" s="7153"/>
      <c r="ISY11" s="7153"/>
      <c r="ISZ11" s="7153"/>
      <c r="ITA11" s="7157"/>
      <c r="ITB11" s="7157"/>
      <c r="ITC11" s="7157"/>
      <c r="ITD11" s="7157"/>
      <c r="ITE11" s="7157"/>
      <c r="ITF11" s="7157"/>
      <c r="ITG11" s="7158"/>
      <c r="ITH11" s="7158"/>
      <c r="ITI11" s="7158"/>
      <c r="ITJ11" s="7158"/>
      <c r="ITK11" s="7158"/>
      <c r="ITL11" s="7159"/>
      <c r="ITM11" s="7152"/>
      <c r="ITN11" s="7153"/>
      <c r="ITO11" s="7153"/>
      <c r="ITP11" s="7153"/>
      <c r="ITQ11" s="7157"/>
      <c r="ITR11" s="7157"/>
      <c r="ITS11" s="7157"/>
      <c r="ITT11" s="7157"/>
      <c r="ITU11" s="7157"/>
      <c r="ITV11" s="7157"/>
      <c r="ITW11" s="7158"/>
      <c r="ITX11" s="7158"/>
      <c r="ITY11" s="7158"/>
      <c r="ITZ11" s="7158"/>
      <c r="IUA11" s="7158"/>
      <c r="IUB11" s="7159"/>
      <c r="IUC11" s="7152"/>
      <c r="IUD11" s="7153"/>
      <c r="IUE11" s="7153"/>
      <c r="IUF11" s="7153"/>
      <c r="IUG11" s="7157"/>
      <c r="IUH11" s="7157"/>
      <c r="IUI11" s="7157"/>
      <c r="IUJ11" s="7157"/>
      <c r="IUK11" s="7157"/>
      <c r="IUL11" s="7157"/>
      <c r="IUM11" s="7158"/>
      <c r="IUN11" s="7158"/>
      <c r="IUO11" s="7158"/>
      <c r="IUP11" s="7158"/>
      <c r="IUQ11" s="7158"/>
      <c r="IUR11" s="7159"/>
      <c r="IUS11" s="7152"/>
      <c r="IUT11" s="7153"/>
      <c r="IUU11" s="7153"/>
      <c r="IUV11" s="7153"/>
      <c r="IUW11" s="7157"/>
      <c r="IUX11" s="7157"/>
      <c r="IUY11" s="7157"/>
      <c r="IUZ11" s="7157"/>
      <c r="IVA11" s="7157"/>
      <c r="IVB11" s="7157"/>
      <c r="IVC11" s="7158"/>
      <c r="IVD11" s="7158"/>
      <c r="IVE11" s="7158"/>
      <c r="IVF11" s="7158"/>
      <c r="IVG11" s="7158"/>
      <c r="IVH11" s="7159"/>
      <c r="IVI11" s="7152"/>
      <c r="IVJ11" s="7153"/>
      <c r="IVK11" s="7153"/>
      <c r="IVL11" s="7153"/>
      <c r="IVM11" s="7157"/>
      <c r="IVN11" s="7157"/>
      <c r="IVO11" s="7157"/>
      <c r="IVP11" s="7157"/>
      <c r="IVQ11" s="7157"/>
      <c r="IVR11" s="7157"/>
      <c r="IVS11" s="7158"/>
      <c r="IVT11" s="7158"/>
      <c r="IVU11" s="7158"/>
      <c r="IVV11" s="7158"/>
      <c r="IVW11" s="7158"/>
      <c r="IVX11" s="7159"/>
      <c r="IVY11" s="7152"/>
      <c r="IVZ11" s="7153"/>
      <c r="IWA11" s="7153"/>
      <c r="IWB11" s="7153"/>
      <c r="IWC11" s="7157"/>
      <c r="IWD11" s="7157"/>
      <c r="IWE11" s="7157"/>
      <c r="IWF11" s="7157"/>
      <c r="IWG11" s="7157"/>
      <c r="IWH11" s="7157"/>
      <c r="IWI11" s="7158"/>
      <c r="IWJ11" s="7158"/>
      <c r="IWK11" s="7158"/>
      <c r="IWL11" s="7158"/>
      <c r="IWM11" s="7158"/>
      <c r="IWN11" s="7159"/>
      <c r="IWO11" s="7152"/>
      <c r="IWP11" s="7153"/>
      <c r="IWQ11" s="7153"/>
      <c r="IWR11" s="7153"/>
      <c r="IWS11" s="7157"/>
      <c r="IWT11" s="7157"/>
      <c r="IWU11" s="7157"/>
      <c r="IWV11" s="7157"/>
      <c r="IWW11" s="7157"/>
      <c r="IWX11" s="7157"/>
      <c r="IWY11" s="7158"/>
      <c r="IWZ11" s="7158"/>
      <c r="IXA11" s="7158"/>
      <c r="IXB11" s="7158"/>
      <c r="IXC11" s="7158"/>
      <c r="IXD11" s="7159"/>
      <c r="IXE11" s="7152"/>
      <c r="IXF11" s="7153"/>
      <c r="IXG11" s="7153"/>
      <c r="IXH11" s="7153"/>
      <c r="IXI11" s="7157"/>
      <c r="IXJ11" s="7157"/>
      <c r="IXK11" s="7157"/>
      <c r="IXL11" s="7157"/>
      <c r="IXM11" s="7157"/>
      <c r="IXN11" s="7157"/>
      <c r="IXO11" s="7158"/>
      <c r="IXP11" s="7158"/>
      <c r="IXQ11" s="7158"/>
      <c r="IXR11" s="7158"/>
      <c r="IXS11" s="7158"/>
      <c r="IXT11" s="7159"/>
      <c r="IXU11" s="7152"/>
      <c r="IXV11" s="7153"/>
      <c r="IXW11" s="7153"/>
      <c r="IXX11" s="7153"/>
      <c r="IXY11" s="7157"/>
      <c r="IXZ11" s="7157"/>
      <c r="IYA11" s="7157"/>
      <c r="IYB11" s="7157"/>
      <c r="IYC11" s="7157"/>
      <c r="IYD11" s="7157"/>
      <c r="IYE11" s="7158"/>
      <c r="IYF11" s="7158"/>
      <c r="IYG11" s="7158"/>
      <c r="IYH11" s="7158"/>
      <c r="IYI11" s="7158"/>
      <c r="IYJ11" s="7159"/>
      <c r="IYK11" s="7152"/>
      <c r="IYL11" s="7153"/>
      <c r="IYM11" s="7153"/>
      <c r="IYN11" s="7153"/>
      <c r="IYO11" s="7157"/>
      <c r="IYP11" s="7157"/>
      <c r="IYQ11" s="7157"/>
      <c r="IYR11" s="7157"/>
      <c r="IYS11" s="7157"/>
      <c r="IYT11" s="7157"/>
      <c r="IYU11" s="7158"/>
      <c r="IYV11" s="7158"/>
      <c r="IYW11" s="7158"/>
      <c r="IYX11" s="7158"/>
      <c r="IYY11" s="7158"/>
      <c r="IYZ11" s="7159"/>
      <c r="IZA11" s="7152"/>
      <c r="IZB11" s="7153"/>
      <c r="IZC11" s="7153"/>
      <c r="IZD11" s="7153"/>
      <c r="IZE11" s="7157"/>
      <c r="IZF11" s="7157"/>
      <c r="IZG11" s="7157"/>
      <c r="IZH11" s="7157"/>
      <c r="IZI11" s="7157"/>
      <c r="IZJ11" s="7157"/>
      <c r="IZK11" s="7158"/>
      <c r="IZL11" s="7158"/>
      <c r="IZM11" s="7158"/>
      <c r="IZN11" s="7158"/>
      <c r="IZO11" s="7158"/>
      <c r="IZP11" s="7159"/>
      <c r="IZQ11" s="7152"/>
      <c r="IZR11" s="7153"/>
      <c r="IZS11" s="7153"/>
      <c r="IZT11" s="7153"/>
      <c r="IZU11" s="7157"/>
      <c r="IZV11" s="7157"/>
      <c r="IZW11" s="7157"/>
      <c r="IZX11" s="7157"/>
      <c r="IZY11" s="7157"/>
      <c r="IZZ11" s="7157"/>
      <c r="JAA11" s="7158"/>
      <c r="JAB11" s="7158"/>
      <c r="JAC11" s="7158"/>
      <c r="JAD11" s="7158"/>
      <c r="JAE11" s="7158"/>
      <c r="JAF11" s="7159"/>
      <c r="JAG11" s="7152"/>
      <c r="JAH11" s="7153"/>
      <c r="JAI11" s="7153"/>
      <c r="JAJ11" s="7153"/>
      <c r="JAK11" s="7157"/>
      <c r="JAL11" s="7157"/>
      <c r="JAM11" s="7157"/>
      <c r="JAN11" s="7157"/>
      <c r="JAO11" s="7157"/>
      <c r="JAP11" s="7157"/>
      <c r="JAQ11" s="7158"/>
      <c r="JAR11" s="7158"/>
      <c r="JAS11" s="7158"/>
      <c r="JAT11" s="7158"/>
      <c r="JAU11" s="7158"/>
      <c r="JAV11" s="7159"/>
      <c r="JAW11" s="7152"/>
      <c r="JAX11" s="7153"/>
      <c r="JAY11" s="7153"/>
      <c r="JAZ11" s="7153"/>
      <c r="JBA11" s="7157"/>
      <c r="JBB11" s="7157"/>
      <c r="JBC11" s="7157"/>
      <c r="JBD11" s="7157"/>
      <c r="JBE11" s="7157"/>
      <c r="JBF11" s="7157"/>
      <c r="JBG11" s="7158"/>
      <c r="JBH11" s="7158"/>
      <c r="JBI11" s="7158"/>
      <c r="JBJ11" s="7158"/>
      <c r="JBK11" s="7158"/>
      <c r="JBL11" s="7159"/>
      <c r="JBM11" s="7152"/>
      <c r="JBN11" s="7153"/>
      <c r="JBO11" s="7153"/>
      <c r="JBP11" s="7153"/>
      <c r="JBQ11" s="7157"/>
      <c r="JBR11" s="7157"/>
      <c r="JBS11" s="7157"/>
      <c r="JBT11" s="7157"/>
      <c r="JBU11" s="7157"/>
      <c r="JBV11" s="7157"/>
      <c r="JBW11" s="7158"/>
      <c r="JBX11" s="7158"/>
      <c r="JBY11" s="7158"/>
      <c r="JBZ11" s="7158"/>
      <c r="JCA11" s="7158"/>
      <c r="JCB11" s="7159"/>
      <c r="JCC11" s="7152"/>
      <c r="JCD11" s="7153"/>
      <c r="JCE11" s="7153"/>
      <c r="JCF11" s="7153"/>
      <c r="JCG11" s="7157"/>
      <c r="JCH11" s="7157"/>
      <c r="JCI11" s="7157"/>
      <c r="JCJ11" s="7157"/>
      <c r="JCK11" s="7157"/>
      <c r="JCL11" s="7157"/>
      <c r="JCM11" s="7158"/>
      <c r="JCN11" s="7158"/>
      <c r="JCO11" s="7158"/>
      <c r="JCP11" s="7158"/>
      <c r="JCQ11" s="7158"/>
      <c r="JCR11" s="7159"/>
      <c r="JCS11" s="7152"/>
      <c r="JCT11" s="7153"/>
      <c r="JCU11" s="7153"/>
      <c r="JCV11" s="7153"/>
      <c r="JCW11" s="7157"/>
      <c r="JCX11" s="7157"/>
      <c r="JCY11" s="7157"/>
      <c r="JCZ11" s="7157"/>
      <c r="JDA11" s="7157"/>
      <c r="JDB11" s="7157"/>
      <c r="JDC11" s="7158"/>
      <c r="JDD11" s="7158"/>
      <c r="JDE11" s="7158"/>
      <c r="JDF11" s="7158"/>
      <c r="JDG11" s="7158"/>
      <c r="JDH11" s="7159"/>
      <c r="JDI11" s="7152"/>
      <c r="JDJ11" s="7153"/>
      <c r="JDK11" s="7153"/>
      <c r="JDL11" s="7153"/>
      <c r="JDM11" s="7157"/>
      <c r="JDN11" s="7157"/>
      <c r="JDO11" s="7157"/>
      <c r="JDP11" s="7157"/>
      <c r="JDQ11" s="7157"/>
      <c r="JDR11" s="7157"/>
      <c r="JDS11" s="7158"/>
      <c r="JDT11" s="7158"/>
      <c r="JDU11" s="7158"/>
      <c r="JDV11" s="7158"/>
      <c r="JDW11" s="7158"/>
      <c r="JDX11" s="7159"/>
      <c r="JDY11" s="7152"/>
      <c r="JDZ11" s="7153"/>
      <c r="JEA11" s="7153"/>
      <c r="JEB11" s="7153"/>
      <c r="JEC11" s="7157"/>
      <c r="JED11" s="7157"/>
      <c r="JEE11" s="7157"/>
      <c r="JEF11" s="7157"/>
      <c r="JEG11" s="7157"/>
      <c r="JEH11" s="7157"/>
      <c r="JEI11" s="7158"/>
      <c r="JEJ11" s="7158"/>
      <c r="JEK11" s="7158"/>
      <c r="JEL11" s="7158"/>
      <c r="JEM11" s="7158"/>
      <c r="JEN11" s="7159"/>
      <c r="JEO11" s="7152"/>
      <c r="JEP11" s="7153"/>
      <c r="JEQ11" s="7153"/>
      <c r="JER11" s="7153"/>
      <c r="JES11" s="7157"/>
      <c r="JET11" s="7157"/>
      <c r="JEU11" s="7157"/>
      <c r="JEV11" s="7157"/>
      <c r="JEW11" s="7157"/>
      <c r="JEX11" s="7157"/>
      <c r="JEY11" s="7158"/>
      <c r="JEZ11" s="7158"/>
      <c r="JFA11" s="7158"/>
      <c r="JFB11" s="7158"/>
      <c r="JFC11" s="7158"/>
      <c r="JFD11" s="7159"/>
      <c r="JFE11" s="7152"/>
      <c r="JFF11" s="7153"/>
      <c r="JFG11" s="7153"/>
      <c r="JFH11" s="7153"/>
      <c r="JFI11" s="7157"/>
      <c r="JFJ11" s="7157"/>
      <c r="JFK11" s="7157"/>
      <c r="JFL11" s="7157"/>
      <c r="JFM11" s="7157"/>
      <c r="JFN11" s="7157"/>
      <c r="JFO11" s="7158"/>
      <c r="JFP11" s="7158"/>
      <c r="JFQ11" s="7158"/>
      <c r="JFR11" s="7158"/>
      <c r="JFS11" s="7158"/>
      <c r="JFT11" s="7159"/>
      <c r="JFU11" s="7152"/>
      <c r="JFV11" s="7153"/>
      <c r="JFW11" s="7153"/>
      <c r="JFX11" s="7153"/>
      <c r="JFY11" s="7157"/>
      <c r="JFZ11" s="7157"/>
      <c r="JGA11" s="7157"/>
      <c r="JGB11" s="7157"/>
      <c r="JGC11" s="7157"/>
      <c r="JGD11" s="7157"/>
      <c r="JGE11" s="7158"/>
      <c r="JGF11" s="7158"/>
      <c r="JGG11" s="7158"/>
      <c r="JGH11" s="7158"/>
      <c r="JGI11" s="7158"/>
      <c r="JGJ11" s="7159"/>
      <c r="JGK11" s="7152"/>
      <c r="JGL11" s="7153"/>
      <c r="JGM11" s="7153"/>
      <c r="JGN11" s="7153"/>
      <c r="JGO11" s="7157"/>
      <c r="JGP11" s="7157"/>
      <c r="JGQ11" s="7157"/>
      <c r="JGR11" s="7157"/>
      <c r="JGS11" s="7157"/>
      <c r="JGT11" s="7157"/>
      <c r="JGU11" s="7158"/>
      <c r="JGV11" s="7158"/>
      <c r="JGW11" s="7158"/>
      <c r="JGX11" s="7158"/>
      <c r="JGY11" s="7158"/>
      <c r="JGZ11" s="7159"/>
      <c r="JHA11" s="7152"/>
      <c r="JHB11" s="7153"/>
      <c r="JHC11" s="7153"/>
      <c r="JHD11" s="7153"/>
      <c r="JHE11" s="7157"/>
      <c r="JHF11" s="7157"/>
      <c r="JHG11" s="7157"/>
      <c r="JHH11" s="7157"/>
      <c r="JHI11" s="7157"/>
      <c r="JHJ11" s="7157"/>
      <c r="JHK11" s="7158"/>
      <c r="JHL11" s="7158"/>
      <c r="JHM11" s="7158"/>
      <c r="JHN11" s="7158"/>
      <c r="JHO11" s="7158"/>
      <c r="JHP11" s="7159"/>
      <c r="JHQ11" s="7152"/>
      <c r="JHR11" s="7153"/>
      <c r="JHS11" s="7153"/>
      <c r="JHT11" s="7153"/>
      <c r="JHU11" s="7157"/>
      <c r="JHV11" s="7157"/>
      <c r="JHW11" s="7157"/>
      <c r="JHX11" s="7157"/>
      <c r="JHY11" s="7157"/>
      <c r="JHZ11" s="7157"/>
      <c r="JIA11" s="7158"/>
      <c r="JIB11" s="7158"/>
      <c r="JIC11" s="7158"/>
      <c r="JID11" s="7158"/>
      <c r="JIE11" s="7158"/>
      <c r="JIF11" s="7159"/>
      <c r="JIG11" s="7152"/>
      <c r="JIH11" s="7153"/>
      <c r="JII11" s="7153"/>
      <c r="JIJ11" s="7153"/>
      <c r="JIK11" s="7157"/>
      <c r="JIL11" s="7157"/>
      <c r="JIM11" s="7157"/>
      <c r="JIN11" s="7157"/>
      <c r="JIO11" s="7157"/>
      <c r="JIP11" s="7157"/>
      <c r="JIQ11" s="7158"/>
      <c r="JIR11" s="7158"/>
      <c r="JIS11" s="7158"/>
      <c r="JIT11" s="7158"/>
      <c r="JIU11" s="7158"/>
      <c r="JIV11" s="7159"/>
      <c r="JIW11" s="7152"/>
      <c r="JIX11" s="7153"/>
      <c r="JIY11" s="7153"/>
      <c r="JIZ11" s="7153"/>
      <c r="JJA11" s="7157"/>
      <c r="JJB11" s="7157"/>
      <c r="JJC11" s="7157"/>
      <c r="JJD11" s="7157"/>
      <c r="JJE11" s="7157"/>
      <c r="JJF11" s="7157"/>
      <c r="JJG11" s="7158"/>
      <c r="JJH11" s="7158"/>
      <c r="JJI11" s="7158"/>
      <c r="JJJ11" s="7158"/>
      <c r="JJK11" s="7158"/>
      <c r="JJL11" s="7159"/>
      <c r="JJM11" s="7152"/>
      <c r="JJN11" s="7153"/>
      <c r="JJO11" s="7153"/>
      <c r="JJP11" s="7153"/>
      <c r="JJQ11" s="7157"/>
      <c r="JJR11" s="7157"/>
      <c r="JJS11" s="7157"/>
      <c r="JJT11" s="7157"/>
      <c r="JJU11" s="7157"/>
      <c r="JJV11" s="7157"/>
      <c r="JJW11" s="7158"/>
      <c r="JJX11" s="7158"/>
      <c r="JJY11" s="7158"/>
      <c r="JJZ11" s="7158"/>
      <c r="JKA11" s="7158"/>
      <c r="JKB11" s="7159"/>
      <c r="JKC11" s="7152"/>
      <c r="JKD11" s="7153"/>
      <c r="JKE11" s="7153"/>
      <c r="JKF11" s="7153"/>
      <c r="JKG11" s="7157"/>
      <c r="JKH11" s="7157"/>
      <c r="JKI11" s="7157"/>
      <c r="JKJ11" s="7157"/>
      <c r="JKK11" s="7157"/>
      <c r="JKL11" s="7157"/>
      <c r="JKM11" s="7158"/>
      <c r="JKN11" s="7158"/>
      <c r="JKO11" s="7158"/>
      <c r="JKP11" s="7158"/>
      <c r="JKQ11" s="7158"/>
      <c r="JKR11" s="7159"/>
      <c r="JKS11" s="7152"/>
      <c r="JKT11" s="7153"/>
      <c r="JKU11" s="7153"/>
      <c r="JKV11" s="7153"/>
      <c r="JKW11" s="7157"/>
      <c r="JKX11" s="7157"/>
      <c r="JKY11" s="7157"/>
      <c r="JKZ11" s="7157"/>
      <c r="JLA11" s="7157"/>
      <c r="JLB11" s="7157"/>
      <c r="JLC11" s="7158"/>
      <c r="JLD11" s="7158"/>
      <c r="JLE11" s="7158"/>
      <c r="JLF11" s="7158"/>
      <c r="JLG11" s="7158"/>
      <c r="JLH11" s="7159"/>
      <c r="JLI11" s="7152"/>
      <c r="JLJ11" s="7153"/>
      <c r="JLK11" s="7153"/>
      <c r="JLL11" s="7153"/>
      <c r="JLM11" s="7157"/>
      <c r="JLN11" s="7157"/>
      <c r="JLO11" s="7157"/>
      <c r="JLP11" s="7157"/>
      <c r="JLQ11" s="7157"/>
      <c r="JLR11" s="7157"/>
      <c r="JLS11" s="7158"/>
      <c r="JLT11" s="7158"/>
      <c r="JLU11" s="7158"/>
      <c r="JLV11" s="7158"/>
      <c r="JLW11" s="7158"/>
      <c r="JLX11" s="7159"/>
      <c r="JLY11" s="7152"/>
      <c r="JLZ11" s="7153"/>
      <c r="JMA11" s="7153"/>
      <c r="JMB11" s="7153"/>
      <c r="JMC11" s="7157"/>
      <c r="JMD11" s="7157"/>
      <c r="JME11" s="7157"/>
      <c r="JMF11" s="7157"/>
      <c r="JMG11" s="7157"/>
      <c r="JMH11" s="7157"/>
      <c r="JMI11" s="7158"/>
      <c r="JMJ11" s="7158"/>
      <c r="JMK11" s="7158"/>
      <c r="JML11" s="7158"/>
      <c r="JMM11" s="7158"/>
      <c r="JMN11" s="7159"/>
      <c r="JMO11" s="7152"/>
      <c r="JMP11" s="7153"/>
      <c r="JMQ11" s="7153"/>
      <c r="JMR11" s="7153"/>
      <c r="JMS11" s="7157"/>
      <c r="JMT11" s="7157"/>
      <c r="JMU11" s="7157"/>
      <c r="JMV11" s="7157"/>
      <c r="JMW11" s="7157"/>
      <c r="JMX11" s="7157"/>
      <c r="JMY11" s="7158"/>
      <c r="JMZ11" s="7158"/>
      <c r="JNA11" s="7158"/>
      <c r="JNB11" s="7158"/>
      <c r="JNC11" s="7158"/>
      <c r="JND11" s="7159"/>
      <c r="JNE11" s="7152"/>
      <c r="JNF11" s="7153"/>
      <c r="JNG11" s="7153"/>
      <c r="JNH11" s="7153"/>
      <c r="JNI11" s="7157"/>
      <c r="JNJ11" s="7157"/>
      <c r="JNK11" s="7157"/>
      <c r="JNL11" s="7157"/>
      <c r="JNM11" s="7157"/>
      <c r="JNN11" s="7157"/>
      <c r="JNO11" s="7158"/>
      <c r="JNP11" s="7158"/>
      <c r="JNQ11" s="7158"/>
      <c r="JNR11" s="7158"/>
      <c r="JNS11" s="7158"/>
      <c r="JNT11" s="7159"/>
      <c r="JNU11" s="7152"/>
      <c r="JNV11" s="7153"/>
      <c r="JNW11" s="7153"/>
      <c r="JNX11" s="7153"/>
      <c r="JNY11" s="7157"/>
      <c r="JNZ11" s="7157"/>
      <c r="JOA11" s="7157"/>
      <c r="JOB11" s="7157"/>
      <c r="JOC11" s="7157"/>
      <c r="JOD11" s="7157"/>
      <c r="JOE11" s="7158"/>
      <c r="JOF11" s="7158"/>
      <c r="JOG11" s="7158"/>
      <c r="JOH11" s="7158"/>
      <c r="JOI11" s="7158"/>
      <c r="JOJ11" s="7159"/>
      <c r="JOK11" s="7152"/>
      <c r="JOL11" s="7153"/>
      <c r="JOM11" s="7153"/>
      <c r="JON11" s="7153"/>
      <c r="JOO11" s="7157"/>
      <c r="JOP11" s="7157"/>
      <c r="JOQ11" s="7157"/>
      <c r="JOR11" s="7157"/>
      <c r="JOS11" s="7157"/>
      <c r="JOT11" s="7157"/>
      <c r="JOU11" s="7158"/>
      <c r="JOV11" s="7158"/>
      <c r="JOW11" s="7158"/>
      <c r="JOX11" s="7158"/>
      <c r="JOY11" s="7158"/>
      <c r="JOZ11" s="7159"/>
      <c r="JPA11" s="7152"/>
      <c r="JPB11" s="7153"/>
      <c r="JPC11" s="7153"/>
      <c r="JPD11" s="7153"/>
      <c r="JPE11" s="7157"/>
      <c r="JPF11" s="7157"/>
      <c r="JPG11" s="7157"/>
      <c r="JPH11" s="7157"/>
      <c r="JPI11" s="7157"/>
      <c r="JPJ11" s="7157"/>
      <c r="JPK11" s="7158"/>
      <c r="JPL11" s="7158"/>
      <c r="JPM11" s="7158"/>
      <c r="JPN11" s="7158"/>
      <c r="JPO11" s="7158"/>
      <c r="JPP11" s="7159"/>
      <c r="JPQ11" s="7152"/>
      <c r="JPR11" s="7153"/>
      <c r="JPS11" s="7153"/>
      <c r="JPT11" s="7153"/>
      <c r="JPU11" s="7157"/>
      <c r="JPV11" s="7157"/>
      <c r="JPW11" s="7157"/>
      <c r="JPX11" s="7157"/>
      <c r="JPY11" s="7157"/>
      <c r="JPZ11" s="7157"/>
      <c r="JQA11" s="7158"/>
      <c r="JQB11" s="7158"/>
      <c r="JQC11" s="7158"/>
      <c r="JQD11" s="7158"/>
      <c r="JQE11" s="7158"/>
      <c r="JQF11" s="7159"/>
      <c r="JQG11" s="7152"/>
      <c r="JQH11" s="7153"/>
      <c r="JQI11" s="7153"/>
      <c r="JQJ11" s="7153"/>
      <c r="JQK11" s="7157"/>
      <c r="JQL11" s="7157"/>
      <c r="JQM11" s="7157"/>
      <c r="JQN11" s="7157"/>
      <c r="JQO11" s="7157"/>
      <c r="JQP11" s="7157"/>
      <c r="JQQ11" s="7158"/>
      <c r="JQR11" s="7158"/>
      <c r="JQS11" s="7158"/>
      <c r="JQT11" s="7158"/>
      <c r="JQU11" s="7158"/>
      <c r="JQV11" s="7159"/>
      <c r="JQW11" s="7152"/>
      <c r="JQX11" s="7153"/>
      <c r="JQY11" s="7153"/>
      <c r="JQZ11" s="7153"/>
      <c r="JRA11" s="7157"/>
      <c r="JRB11" s="7157"/>
      <c r="JRC11" s="7157"/>
      <c r="JRD11" s="7157"/>
      <c r="JRE11" s="7157"/>
      <c r="JRF11" s="7157"/>
      <c r="JRG11" s="7158"/>
      <c r="JRH11" s="7158"/>
      <c r="JRI11" s="7158"/>
      <c r="JRJ11" s="7158"/>
      <c r="JRK11" s="7158"/>
      <c r="JRL11" s="7159"/>
      <c r="JRM11" s="7152"/>
      <c r="JRN11" s="7153"/>
      <c r="JRO11" s="7153"/>
      <c r="JRP11" s="7153"/>
      <c r="JRQ11" s="7157"/>
      <c r="JRR11" s="7157"/>
      <c r="JRS11" s="7157"/>
      <c r="JRT11" s="7157"/>
      <c r="JRU11" s="7157"/>
      <c r="JRV11" s="7157"/>
      <c r="JRW11" s="7158"/>
      <c r="JRX11" s="7158"/>
      <c r="JRY11" s="7158"/>
      <c r="JRZ11" s="7158"/>
      <c r="JSA11" s="7158"/>
      <c r="JSB11" s="7159"/>
      <c r="JSC11" s="7152"/>
      <c r="JSD11" s="7153"/>
      <c r="JSE11" s="7153"/>
      <c r="JSF11" s="7153"/>
      <c r="JSG11" s="7157"/>
      <c r="JSH11" s="7157"/>
      <c r="JSI11" s="7157"/>
      <c r="JSJ11" s="7157"/>
      <c r="JSK11" s="7157"/>
      <c r="JSL11" s="7157"/>
      <c r="JSM11" s="7158"/>
      <c r="JSN11" s="7158"/>
      <c r="JSO11" s="7158"/>
      <c r="JSP11" s="7158"/>
      <c r="JSQ11" s="7158"/>
      <c r="JSR11" s="7159"/>
      <c r="JSS11" s="7152"/>
      <c r="JST11" s="7153"/>
      <c r="JSU11" s="7153"/>
      <c r="JSV11" s="7153"/>
      <c r="JSW11" s="7157"/>
      <c r="JSX11" s="7157"/>
      <c r="JSY11" s="7157"/>
      <c r="JSZ11" s="7157"/>
      <c r="JTA11" s="7157"/>
      <c r="JTB11" s="7157"/>
      <c r="JTC11" s="7158"/>
      <c r="JTD11" s="7158"/>
      <c r="JTE11" s="7158"/>
      <c r="JTF11" s="7158"/>
      <c r="JTG11" s="7158"/>
      <c r="JTH11" s="7159"/>
      <c r="JTI11" s="7152"/>
      <c r="JTJ11" s="7153"/>
      <c r="JTK11" s="7153"/>
      <c r="JTL11" s="7153"/>
      <c r="JTM11" s="7157"/>
      <c r="JTN11" s="7157"/>
      <c r="JTO11" s="7157"/>
      <c r="JTP11" s="7157"/>
      <c r="JTQ11" s="7157"/>
      <c r="JTR11" s="7157"/>
      <c r="JTS11" s="7158"/>
      <c r="JTT11" s="7158"/>
      <c r="JTU11" s="7158"/>
      <c r="JTV11" s="7158"/>
      <c r="JTW11" s="7158"/>
      <c r="JTX11" s="7159"/>
      <c r="JTY11" s="7152"/>
      <c r="JTZ11" s="7153"/>
      <c r="JUA11" s="7153"/>
      <c r="JUB11" s="7153"/>
      <c r="JUC11" s="7157"/>
      <c r="JUD11" s="7157"/>
      <c r="JUE11" s="7157"/>
      <c r="JUF11" s="7157"/>
      <c r="JUG11" s="7157"/>
      <c r="JUH11" s="7157"/>
      <c r="JUI11" s="7158"/>
      <c r="JUJ11" s="7158"/>
      <c r="JUK11" s="7158"/>
      <c r="JUL11" s="7158"/>
      <c r="JUM11" s="7158"/>
      <c r="JUN11" s="7159"/>
      <c r="JUO11" s="7152"/>
      <c r="JUP11" s="7153"/>
      <c r="JUQ11" s="7153"/>
      <c r="JUR11" s="7153"/>
      <c r="JUS11" s="7157"/>
      <c r="JUT11" s="7157"/>
      <c r="JUU11" s="7157"/>
      <c r="JUV11" s="7157"/>
      <c r="JUW11" s="7157"/>
      <c r="JUX11" s="7157"/>
      <c r="JUY11" s="7158"/>
      <c r="JUZ11" s="7158"/>
      <c r="JVA11" s="7158"/>
      <c r="JVB11" s="7158"/>
      <c r="JVC11" s="7158"/>
      <c r="JVD11" s="7159"/>
      <c r="JVE11" s="7152"/>
      <c r="JVF11" s="7153"/>
      <c r="JVG11" s="7153"/>
      <c r="JVH11" s="7153"/>
      <c r="JVI11" s="7157"/>
      <c r="JVJ11" s="7157"/>
      <c r="JVK11" s="7157"/>
      <c r="JVL11" s="7157"/>
      <c r="JVM11" s="7157"/>
      <c r="JVN11" s="7157"/>
      <c r="JVO11" s="7158"/>
      <c r="JVP11" s="7158"/>
      <c r="JVQ11" s="7158"/>
      <c r="JVR11" s="7158"/>
      <c r="JVS11" s="7158"/>
      <c r="JVT11" s="7159"/>
      <c r="JVU11" s="7152"/>
      <c r="JVV11" s="7153"/>
      <c r="JVW11" s="7153"/>
      <c r="JVX11" s="7153"/>
      <c r="JVY11" s="7157"/>
      <c r="JVZ11" s="7157"/>
      <c r="JWA11" s="7157"/>
      <c r="JWB11" s="7157"/>
      <c r="JWC11" s="7157"/>
      <c r="JWD11" s="7157"/>
      <c r="JWE11" s="7158"/>
      <c r="JWF11" s="7158"/>
      <c r="JWG11" s="7158"/>
      <c r="JWH11" s="7158"/>
      <c r="JWI11" s="7158"/>
      <c r="JWJ11" s="7159"/>
      <c r="JWK11" s="7152"/>
      <c r="JWL11" s="7153"/>
      <c r="JWM11" s="7153"/>
      <c r="JWN11" s="7153"/>
      <c r="JWO11" s="7157"/>
      <c r="JWP11" s="7157"/>
      <c r="JWQ11" s="7157"/>
      <c r="JWR11" s="7157"/>
      <c r="JWS11" s="7157"/>
      <c r="JWT11" s="7157"/>
      <c r="JWU11" s="7158"/>
      <c r="JWV11" s="7158"/>
      <c r="JWW11" s="7158"/>
      <c r="JWX11" s="7158"/>
      <c r="JWY11" s="7158"/>
      <c r="JWZ11" s="7159"/>
      <c r="JXA11" s="7152"/>
      <c r="JXB11" s="7153"/>
      <c r="JXC11" s="7153"/>
      <c r="JXD11" s="7153"/>
      <c r="JXE11" s="7157"/>
      <c r="JXF11" s="7157"/>
      <c r="JXG11" s="7157"/>
      <c r="JXH11" s="7157"/>
      <c r="JXI11" s="7157"/>
      <c r="JXJ11" s="7157"/>
      <c r="JXK11" s="7158"/>
      <c r="JXL11" s="7158"/>
      <c r="JXM11" s="7158"/>
      <c r="JXN11" s="7158"/>
      <c r="JXO11" s="7158"/>
      <c r="JXP11" s="7159"/>
      <c r="JXQ11" s="7152"/>
      <c r="JXR11" s="7153"/>
      <c r="JXS11" s="7153"/>
      <c r="JXT11" s="7153"/>
      <c r="JXU11" s="7157"/>
      <c r="JXV11" s="7157"/>
      <c r="JXW11" s="7157"/>
      <c r="JXX11" s="7157"/>
      <c r="JXY11" s="7157"/>
      <c r="JXZ11" s="7157"/>
      <c r="JYA11" s="7158"/>
      <c r="JYB11" s="7158"/>
      <c r="JYC11" s="7158"/>
      <c r="JYD11" s="7158"/>
      <c r="JYE11" s="7158"/>
      <c r="JYF11" s="7159"/>
      <c r="JYG11" s="7152"/>
      <c r="JYH11" s="7153"/>
      <c r="JYI11" s="7153"/>
      <c r="JYJ11" s="7153"/>
      <c r="JYK11" s="7157"/>
      <c r="JYL11" s="7157"/>
      <c r="JYM11" s="7157"/>
      <c r="JYN11" s="7157"/>
      <c r="JYO11" s="7157"/>
      <c r="JYP11" s="7157"/>
      <c r="JYQ11" s="7158"/>
      <c r="JYR11" s="7158"/>
      <c r="JYS11" s="7158"/>
      <c r="JYT11" s="7158"/>
      <c r="JYU11" s="7158"/>
      <c r="JYV11" s="7159"/>
      <c r="JYW11" s="7152"/>
      <c r="JYX11" s="7153"/>
      <c r="JYY11" s="7153"/>
      <c r="JYZ11" s="7153"/>
      <c r="JZA11" s="7157"/>
      <c r="JZB11" s="7157"/>
      <c r="JZC11" s="7157"/>
      <c r="JZD11" s="7157"/>
      <c r="JZE11" s="7157"/>
      <c r="JZF11" s="7157"/>
      <c r="JZG11" s="7158"/>
      <c r="JZH11" s="7158"/>
      <c r="JZI11" s="7158"/>
      <c r="JZJ11" s="7158"/>
      <c r="JZK11" s="7158"/>
      <c r="JZL11" s="7159"/>
      <c r="JZM11" s="7152"/>
      <c r="JZN11" s="7153"/>
      <c r="JZO11" s="7153"/>
      <c r="JZP11" s="7153"/>
      <c r="JZQ11" s="7157"/>
      <c r="JZR11" s="7157"/>
      <c r="JZS11" s="7157"/>
      <c r="JZT11" s="7157"/>
      <c r="JZU11" s="7157"/>
      <c r="JZV11" s="7157"/>
      <c r="JZW11" s="7158"/>
      <c r="JZX11" s="7158"/>
      <c r="JZY11" s="7158"/>
      <c r="JZZ11" s="7158"/>
      <c r="KAA11" s="7158"/>
      <c r="KAB11" s="7159"/>
      <c r="KAC11" s="7152"/>
      <c r="KAD11" s="7153"/>
      <c r="KAE11" s="7153"/>
      <c r="KAF11" s="7153"/>
      <c r="KAG11" s="7157"/>
      <c r="KAH11" s="7157"/>
      <c r="KAI11" s="7157"/>
      <c r="KAJ11" s="7157"/>
      <c r="KAK11" s="7157"/>
      <c r="KAL11" s="7157"/>
      <c r="KAM11" s="7158"/>
      <c r="KAN11" s="7158"/>
      <c r="KAO11" s="7158"/>
      <c r="KAP11" s="7158"/>
      <c r="KAQ11" s="7158"/>
      <c r="KAR11" s="7159"/>
      <c r="KAS11" s="7152"/>
      <c r="KAT11" s="7153"/>
      <c r="KAU11" s="7153"/>
      <c r="KAV11" s="7153"/>
      <c r="KAW11" s="7157"/>
      <c r="KAX11" s="7157"/>
      <c r="KAY11" s="7157"/>
      <c r="KAZ11" s="7157"/>
      <c r="KBA11" s="7157"/>
      <c r="KBB11" s="7157"/>
      <c r="KBC11" s="7158"/>
      <c r="KBD11" s="7158"/>
      <c r="KBE11" s="7158"/>
      <c r="KBF11" s="7158"/>
      <c r="KBG11" s="7158"/>
      <c r="KBH11" s="7159"/>
      <c r="KBI11" s="7152"/>
      <c r="KBJ11" s="7153"/>
      <c r="KBK11" s="7153"/>
      <c r="KBL11" s="7153"/>
      <c r="KBM11" s="7157"/>
      <c r="KBN11" s="7157"/>
      <c r="KBO11" s="7157"/>
      <c r="KBP11" s="7157"/>
      <c r="KBQ11" s="7157"/>
      <c r="KBR11" s="7157"/>
      <c r="KBS11" s="7158"/>
      <c r="KBT11" s="7158"/>
      <c r="KBU11" s="7158"/>
      <c r="KBV11" s="7158"/>
      <c r="KBW11" s="7158"/>
      <c r="KBX11" s="7159"/>
      <c r="KBY11" s="7152"/>
      <c r="KBZ11" s="7153"/>
      <c r="KCA11" s="7153"/>
      <c r="KCB11" s="7153"/>
      <c r="KCC11" s="7157"/>
      <c r="KCD11" s="7157"/>
      <c r="KCE11" s="7157"/>
      <c r="KCF11" s="7157"/>
      <c r="KCG11" s="7157"/>
      <c r="KCH11" s="7157"/>
      <c r="KCI11" s="7158"/>
      <c r="KCJ11" s="7158"/>
      <c r="KCK11" s="7158"/>
      <c r="KCL11" s="7158"/>
      <c r="KCM11" s="7158"/>
      <c r="KCN11" s="7159"/>
      <c r="KCO11" s="7152"/>
      <c r="KCP11" s="7153"/>
      <c r="KCQ11" s="7153"/>
      <c r="KCR11" s="7153"/>
      <c r="KCS11" s="7157"/>
      <c r="KCT11" s="7157"/>
      <c r="KCU11" s="7157"/>
      <c r="KCV11" s="7157"/>
      <c r="KCW11" s="7157"/>
      <c r="KCX11" s="7157"/>
      <c r="KCY11" s="7158"/>
      <c r="KCZ11" s="7158"/>
      <c r="KDA11" s="7158"/>
      <c r="KDB11" s="7158"/>
      <c r="KDC11" s="7158"/>
      <c r="KDD11" s="7159"/>
      <c r="KDE11" s="7152"/>
      <c r="KDF11" s="7153"/>
      <c r="KDG11" s="7153"/>
      <c r="KDH11" s="7153"/>
      <c r="KDI11" s="7157"/>
      <c r="KDJ11" s="7157"/>
      <c r="KDK11" s="7157"/>
      <c r="KDL11" s="7157"/>
      <c r="KDM11" s="7157"/>
      <c r="KDN11" s="7157"/>
      <c r="KDO11" s="7158"/>
      <c r="KDP11" s="7158"/>
      <c r="KDQ11" s="7158"/>
      <c r="KDR11" s="7158"/>
      <c r="KDS11" s="7158"/>
      <c r="KDT11" s="7159"/>
      <c r="KDU11" s="7152"/>
      <c r="KDV11" s="7153"/>
      <c r="KDW11" s="7153"/>
      <c r="KDX11" s="7153"/>
      <c r="KDY11" s="7157"/>
      <c r="KDZ11" s="7157"/>
      <c r="KEA11" s="7157"/>
      <c r="KEB11" s="7157"/>
      <c r="KEC11" s="7157"/>
      <c r="KED11" s="7157"/>
      <c r="KEE11" s="7158"/>
      <c r="KEF11" s="7158"/>
      <c r="KEG11" s="7158"/>
      <c r="KEH11" s="7158"/>
      <c r="KEI11" s="7158"/>
      <c r="KEJ11" s="7159"/>
      <c r="KEK11" s="7152"/>
      <c r="KEL11" s="7153"/>
      <c r="KEM11" s="7153"/>
      <c r="KEN11" s="7153"/>
      <c r="KEO11" s="7157"/>
      <c r="KEP11" s="7157"/>
      <c r="KEQ11" s="7157"/>
      <c r="KER11" s="7157"/>
      <c r="KES11" s="7157"/>
      <c r="KET11" s="7157"/>
      <c r="KEU11" s="7158"/>
      <c r="KEV11" s="7158"/>
      <c r="KEW11" s="7158"/>
      <c r="KEX11" s="7158"/>
      <c r="KEY11" s="7158"/>
      <c r="KEZ11" s="7159"/>
      <c r="KFA11" s="7152"/>
      <c r="KFB11" s="7153"/>
      <c r="KFC11" s="7153"/>
      <c r="KFD11" s="7153"/>
      <c r="KFE11" s="7157"/>
      <c r="KFF11" s="7157"/>
      <c r="KFG11" s="7157"/>
      <c r="KFH11" s="7157"/>
      <c r="KFI11" s="7157"/>
      <c r="KFJ11" s="7157"/>
      <c r="KFK11" s="7158"/>
      <c r="KFL11" s="7158"/>
      <c r="KFM11" s="7158"/>
      <c r="KFN11" s="7158"/>
      <c r="KFO11" s="7158"/>
      <c r="KFP11" s="7159"/>
      <c r="KFQ11" s="7152"/>
      <c r="KFR11" s="7153"/>
      <c r="KFS11" s="7153"/>
      <c r="KFT11" s="7153"/>
      <c r="KFU11" s="7157"/>
      <c r="KFV11" s="7157"/>
      <c r="KFW11" s="7157"/>
      <c r="KFX11" s="7157"/>
      <c r="KFY11" s="7157"/>
      <c r="KFZ11" s="7157"/>
      <c r="KGA11" s="7158"/>
      <c r="KGB11" s="7158"/>
      <c r="KGC11" s="7158"/>
      <c r="KGD11" s="7158"/>
      <c r="KGE11" s="7158"/>
      <c r="KGF11" s="7159"/>
      <c r="KGG11" s="7152"/>
      <c r="KGH11" s="7153"/>
      <c r="KGI11" s="7153"/>
      <c r="KGJ11" s="7153"/>
      <c r="KGK11" s="7157"/>
      <c r="KGL11" s="7157"/>
      <c r="KGM11" s="7157"/>
      <c r="KGN11" s="7157"/>
      <c r="KGO11" s="7157"/>
      <c r="KGP11" s="7157"/>
      <c r="KGQ11" s="7158"/>
      <c r="KGR11" s="7158"/>
      <c r="KGS11" s="7158"/>
      <c r="KGT11" s="7158"/>
      <c r="KGU11" s="7158"/>
      <c r="KGV11" s="7159"/>
      <c r="KGW11" s="7152"/>
      <c r="KGX11" s="7153"/>
      <c r="KGY11" s="7153"/>
      <c r="KGZ11" s="7153"/>
      <c r="KHA11" s="7157"/>
      <c r="KHB11" s="7157"/>
      <c r="KHC11" s="7157"/>
      <c r="KHD11" s="7157"/>
      <c r="KHE11" s="7157"/>
      <c r="KHF11" s="7157"/>
      <c r="KHG11" s="7158"/>
      <c r="KHH11" s="7158"/>
      <c r="KHI11" s="7158"/>
      <c r="KHJ11" s="7158"/>
      <c r="KHK11" s="7158"/>
      <c r="KHL11" s="7159"/>
      <c r="KHM11" s="7152"/>
      <c r="KHN11" s="7153"/>
      <c r="KHO11" s="7153"/>
      <c r="KHP11" s="7153"/>
      <c r="KHQ11" s="7157"/>
      <c r="KHR11" s="7157"/>
      <c r="KHS11" s="7157"/>
      <c r="KHT11" s="7157"/>
      <c r="KHU11" s="7157"/>
      <c r="KHV11" s="7157"/>
      <c r="KHW11" s="7158"/>
      <c r="KHX11" s="7158"/>
      <c r="KHY11" s="7158"/>
      <c r="KHZ11" s="7158"/>
      <c r="KIA11" s="7158"/>
      <c r="KIB11" s="7159"/>
      <c r="KIC11" s="7152"/>
      <c r="KID11" s="7153"/>
      <c r="KIE11" s="7153"/>
      <c r="KIF11" s="7153"/>
      <c r="KIG11" s="7157"/>
      <c r="KIH11" s="7157"/>
      <c r="KII11" s="7157"/>
      <c r="KIJ11" s="7157"/>
      <c r="KIK11" s="7157"/>
      <c r="KIL11" s="7157"/>
      <c r="KIM11" s="7158"/>
      <c r="KIN11" s="7158"/>
      <c r="KIO11" s="7158"/>
      <c r="KIP11" s="7158"/>
      <c r="KIQ11" s="7158"/>
      <c r="KIR11" s="7159"/>
      <c r="KIS11" s="7152"/>
      <c r="KIT11" s="7153"/>
      <c r="KIU11" s="7153"/>
      <c r="KIV11" s="7153"/>
      <c r="KIW11" s="7157"/>
      <c r="KIX11" s="7157"/>
      <c r="KIY11" s="7157"/>
      <c r="KIZ11" s="7157"/>
      <c r="KJA11" s="7157"/>
      <c r="KJB11" s="7157"/>
      <c r="KJC11" s="7158"/>
      <c r="KJD11" s="7158"/>
      <c r="KJE11" s="7158"/>
      <c r="KJF11" s="7158"/>
      <c r="KJG11" s="7158"/>
      <c r="KJH11" s="7159"/>
      <c r="KJI11" s="7152"/>
      <c r="KJJ11" s="7153"/>
      <c r="KJK11" s="7153"/>
      <c r="KJL11" s="7153"/>
      <c r="KJM11" s="7157"/>
      <c r="KJN11" s="7157"/>
      <c r="KJO11" s="7157"/>
      <c r="KJP11" s="7157"/>
      <c r="KJQ11" s="7157"/>
      <c r="KJR11" s="7157"/>
      <c r="KJS11" s="7158"/>
      <c r="KJT11" s="7158"/>
      <c r="KJU11" s="7158"/>
      <c r="KJV11" s="7158"/>
      <c r="KJW11" s="7158"/>
      <c r="KJX11" s="7159"/>
      <c r="KJY11" s="7152"/>
      <c r="KJZ11" s="7153"/>
      <c r="KKA11" s="7153"/>
      <c r="KKB11" s="7153"/>
      <c r="KKC11" s="7157"/>
      <c r="KKD11" s="7157"/>
      <c r="KKE11" s="7157"/>
      <c r="KKF11" s="7157"/>
      <c r="KKG11" s="7157"/>
      <c r="KKH11" s="7157"/>
      <c r="KKI11" s="7158"/>
      <c r="KKJ11" s="7158"/>
      <c r="KKK11" s="7158"/>
      <c r="KKL11" s="7158"/>
      <c r="KKM11" s="7158"/>
      <c r="KKN11" s="7159"/>
      <c r="KKO11" s="7152"/>
      <c r="KKP11" s="7153"/>
      <c r="KKQ11" s="7153"/>
      <c r="KKR11" s="7153"/>
      <c r="KKS11" s="7157"/>
      <c r="KKT11" s="7157"/>
      <c r="KKU11" s="7157"/>
      <c r="KKV11" s="7157"/>
      <c r="KKW11" s="7157"/>
      <c r="KKX11" s="7157"/>
      <c r="KKY11" s="7158"/>
      <c r="KKZ11" s="7158"/>
      <c r="KLA11" s="7158"/>
      <c r="KLB11" s="7158"/>
      <c r="KLC11" s="7158"/>
      <c r="KLD11" s="7159"/>
      <c r="KLE11" s="7152"/>
      <c r="KLF11" s="7153"/>
      <c r="KLG11" s="7153"/>
      <c r="KLH11" s="7153"/>
      <c r="KLI11" s="7157"/>
      <c r="KLJ11" s="7157"/>
      <c r="KLK11" s="7157"/>
      <c r="KLL11" s="7157"/>
      <c r="KLM11" s="7157"/>
      <c r="KLN11" s="7157"/>
      <c r="KLO11" s="7158"/>
      <c r="KLP11" s="7158"/>
      <c r="KLQ11" s="7158"/>
      <c r="KLR11" s="7158"/>
      <c r="KLS11" s="7158"/>
      <c r="KLT11" s="7159"/>
      <c r="KLU11" s="7152"/>
      <c r="KLV11" s="7153"/>
      <c r="KLW11" s="7153"/>
      <c r="KLX11" s="7153"/>
      <c r="KLY11" s="7157"/>
      <c r="KLZ11" s="7157"/>
      <c r="KMA11" s="7157"/>
      <c r="KMB11" s="7157"/>
      <c r="KMC11" s="7157"/>
      <c r="KMD11" s="7157"/>
      <c r="KME11" s="7158"/>
      <c r="KMF11" s="7158"/>
      <c r="KMG11" s="7158"/>
      <c r="KMH11" s="7158"/>
      <c r="KMI11" s="7158"/>
      <c r="KMJ11" s="7159"/>
      <c r="KMK11" s="7152"/>
      <c r="KML11" s="7153"/>
      <c r="KMM11" s="7153"/>
      <c r="KMN11" s="7153"/>
      <c r="KMO11" s="7157"/>
      <c r="KMP11" s="7157"/>
      <c r="KMQ11" s="7157"/>
      <c r="KMR11" s="7157"/>
      <c r="KMS11" s="7157"/>
      <c r="KMT11" s="7157"/>
      <c r="KMU11" s="7158"/>
      <c r="KMV11" s="7158"/>
      <c r="KMW11" s="7158"/>
      <c r="KMX11" s="7158"/>
      <c r="KMY11" s="7158"/>
      <c r="KMZ11" s="7159"/>
      <c r="KNA11" s="7152"/>
      <c r="KNB11" s="7153"/>
      <c r="KNC11" s="7153"/>
      <c r="KND11" s="7153"/>
      <c r="KNE11" s="7157"/>
      <c r="KNF11" s="7157"/>
      <c r="KNG11" s="7157"/>
      <c r="KNH11" s="7157"/>
      <c r="KNI11" s="7157"/>
      <c r="KNJ11" s="7157"/>
      <c r="KNK11" s="7158"/>
      <c r="KNL11" s="7158"/>
      <c r="KNM11" s="7158"/>
      <c r="KNN11" s="7158"/>
      <c r="KNO11" s="7158"/>
      <c r="KNP11" s="7159"/>
      <c r="KNQ11" s="7152"/>
      <c r="KNR11" s="7153"/>
      <c r="KNS11" s="7153"/>
      <c r="KNT11" s="7153"/>
      <c r="KNU11" s="7157"/>
      <c r="KNV11" s="7157"/>
      <c r="KNW11" s="7157"/>
      <c r="KNX11" s="7157"/>
      <c r="KNY11" s="7157"/>
      <c r="KNZ11" s="7157"/>
      <c r="KOA11" s="7158"/>
      <c r="KOB11" s="7158"/>
      <c r="KOC11" s="7158"/>
      <c r="KOD11" s="7158"/>
      <c r="KOE11" s="7158"/>
      <c r="KOF11" s="7159"/>
      <c r="KOG11" s="7152"/>
      <c r="KOH11" s="7153"/>
      <c r="KOI11" s="7153"/>
      <c r="KOJ11" s="7153"/>
      <c r="KOK11" s="7157"/>
      <c r="KOL11" s="7157"/>
      <c r="KOM11" s="7157"/>
      <c r="KON11" s="7157"/>
      <c r="KOO11" s="7157"/>
      <c r="KOP11" s="7157"/>
      <c r="KOQ11" s="7158"/>
      <c r="KOR11" s="7158"/>
      <c r="KOS11" s="7158"/>
      <c r="KOT11" s="7158"/>
      <c r="KOU11" s="7158"/>
      <c r="KOV11" s="7159"/>
      <c r="KOW11" s="7152"/>
      <c r="KOX11" s="7153"/>
      <c r="KOY11" s="7153"/>
      <c r="KOZ11" s="7153"/>
      <c r="KPA11" s="7157"/>
      <c r="KPB11" s="7157"/>
      <c r="KPC11" s="7157"/>
      <c r="KPD11" s="7157"/>
      <c r="KPE11" s="7157"/>
      <c r="KPF11" s="7157"/>
      <c r="KPG11" s="7158"/>
      <c r="KPH11" s="7158"/>
      <c r="KPI11" s="7158"/>
      <c r="KPJ11" s="7158"/>
      <c r="KPK11" s="7158"/>
      <c r="KPL11" s="7159"/>
      <c r="KPM11" s="7152"/>
      <c r="KPN11" s="7153"/>
      <c r="KPO11" s="7153"/>
      <c r="KPP11" s="7153"/>
      <c r="KPQ11" s="7157"/>
      <c r="KPR11" s="7157"/>
      <c r="KPS11" s="7157"/>
      <c r="KPT11" s="7157"/>
      <c r="KPU11" s="7157"/>
      <c r="KPV11" s="7157"/>
      <c r="KPW11" s="7158"/>
      <c r="KPX11" s="7158"/>
      <c r="KPY11" s="7158"/>
      <c r="KPZ11" s="7158"/>
      <c r="KQA11" s="7158"/>
      <c r="KQB11" s="7159"/>
      <c r="KQC11" s="7152"/>
      <c r="KQD11" s="7153"/>
      <c r="KQE11" s="7153"/>
      <c r="KQF11" s="7153"/>
      <c r="KQG11" s="7157"/>
      <c r="KQH11" s="7157"/>
      <c r="KQI11" s="7157"/>
      <c r="KQJ11" s="7157"/>
      <c r="KQK11" s="7157"/>
      <c r="KQL11" s="7157"/>
      <c r="KQM11" s="7158"/>
      <c r="KQN11" s="7158"/>
      <c r="KQO11" s="7158"/>
      <c r="KQP11" s="7158"/>
      <c r="KQQ11" s="7158"/>
      <c r="KQR11" s="7159"/>
      <c r="KQS11" s="7152"/>
      <c r="KQT11" s="7153"/>
      <c r="KQU11" s="7153"/>
      <c r="KQV11" s="7153"/>
      <c r="KQW11" s="7157"/>
      <c r="KQX11" s="7157"/>
      <c r="KQY11" s="7157"/>
      <c r="KQZ11" s="7157"/>
      <c r="KRA11" s="7157"/>
      <c r="KRB11" s="7157"/>
      <c r="KRC11" s="7158"/>
      <c r="KRD11" s="7158"/>
      <c r="KRE11" s="7158"/>
      <c r="KRF11" s="7158"/>
      <c r="KRG11" s="7158"/>
      <c r="KRH11" s="7159"/>
      <c r="KRI11" s="7152"/>
      <c r="KRJ11" s="7153"/>
      <c r="KRK11" s="7153"/>
      <c r="KRL11" s="7153"/>
      <c r="KRM11" s="7157"/>
      <c r="KRN11" s="7157"/>
      <c r="KRO11" s="7157"/>
      <c r="KRP11" s="7157"/>
      <c r="KRQ11" s="7157"/>
      <c r="KRR11" s="7157"/>
      <c r="KRS11" s="7158"/>
      <c r="KRT11" s="7158"/>
      <c r="KRU11" s="7158"/>
      <c r="KRV11" s="7158"/>
      <c r="KRW11" s="7158"/>
      <c r="KRX11" s="7159"/>
      <c r="KRY11" s="7152"/>
      <c r="KRZ11" s="7153"/>
      <c r="KSA11" s="7153"/>
      <c r="KSB11" s="7153"/>
      <c r="KSC11" s="7157"/>
      <c r="KSD11" s="7157"/>
      <c r="KSE11" s="7157"/>
      <c r="KSF11" s="7157"/>
      <c r="KSG11" s="7157"/>
      <c r="KSH11" s="7157"/>
      <c r="KSI11" s="7158"/>
      <c r="KSJ11" s="7158"/>
      <c r="KSK11" s="7158"/>
      <c r="KSL11" s="7158"/>
      <c r="KSM11" s="7158"/>
      <c r="KSN11" s="7159"/>
      <c r="KSO11" s="7152"/>
      <c r="KSP11" s="7153"/>
      <c r="KSQ11" s="7153"/>
      <c r="KSR11" s="7153"/>
      <c r="KSS11" s="7157"/>
      <c r="KST11" s="7157"/>
      <c r="KSU11" s="7157"/>
      <c r="KSV11" s="7157"/>
      <c r="KSW11" s="7157"/>
      <c r="KSX11" s="7157"/>
      <c r="KSY11" s="7158"/>
      <c r="KSZ11" s="7158"/>
      <c r="KTA11" s="7158"/>
      <c r="KTB11" s="7158"/>
      <c r="KTC11" s="7158"/>
      <c r="KTD11" s="7159"/>
      <c r="KTE11" s="7152"/>
      <c r="KTF11" s="7153"/>
      <c r="KTG11" s="7153"/>
      <c r="KTH11" s="7153"/>
      <c r="KTI11" s="7157"/>
      <c r="KTJ11" s="7157"/>
      <c r="KTK11" s="7157"/>
      <c r="KTL11" s="7157"/>
      <c r="KTM11" s="7157"/>
      <c r="KTN11" s="7157"/>
      <c r="KTO11" s="7158"/>
      <c r="KTP11" s="7158"/>
      <c r="KTQ11" s="7158"/>
      <c r="KTR11" s="7158"/>
      <c r="KTS11" s="7158"/>
      <c r="KTT11" s="7159"/>
      <c r="KTU11" s="7152"/>
      <c r="KTV11" s="7153"/>
      <c r="KTW11" s="7153"/>
      <c r="KTX11" s="7153"/>
      <c r="KTY11" s="7157"/>
      <c r="KTZ11" s="7157"/>
      <c r="KUA11" s="7157"/>
      <c r="KUB11" s="7157"/>
      <c r="KUC11" s="7157"/>
      <c r="KUD11" s="7157"/>
      <c r="KUE11" s="7158"/>
      <c r="KUF11" s="7158"/>
      <c r="KUG11" s="7158"/>
      <c r="KUH11" s="7158"/>
      <c r="KUI11" s="7158"/>
      <c r="KUJ11" s="7159"/>
      <c r="KUK11" s="7152"/>
      <c r="KUL11" s="7153"/>
      <c r="KUM11" s="7153"/>
      <c r="KUN11" s="7153"/>
      <c r="KUO11" s="7157"/>
      <c r="KUP11" s="7157"/>
      <c r="KUQ11" s="7157"/>
      <c r="KUR11" s="7157"/>
      <c r="KUS11" s="7157"/>
      <c r="KUT11" s="7157"/>
      <c r="KUU11" s="7158"/>
      <c r="KUV11" s="7158"/>
      <c r="KUW11" s="7158"/>
      <c r="KUX11" s="7158"/>
      <c r="KUY11" s="7158"/>
      <c r="KUZ11" s="7159"/>
      <c r="KVA11" s="7152"/>
      <c r="KVB11" s="7153"/>
      <c r="KVC11" s="7153"/>
      <c r="KVD11" s="7153"/>
      <c r="KVE11" s="7157"/>
      <c r="KVF11" s="7157"/>
      <c r="KVG11" s="7157"/>
      <c r="KVH11" s="7157"/>
      <c r="KVI11" s="7157"/>
      <c r="KVJ11" s="7157"/>
      <c r="KVK11" s="7158"/>
      <c r="KVL11" s="7158"/>
      <c r="KVM11" s="7158"/>
      <c r="KVN11" s="7158"/>
      <c r="KVO11" s="7158"/>
      <c r="KVP11" s="7159"/>
      <c r="KVQ11" s="7152"/>
      <c r="KVR11" s="7153"/>
      <c r="KVS11" s="7153"/>
      <c r="KVT11" s="7153"/>
      <c r="KVU11" s="7157"/>
      <c r="KVV11" s="7157"/>
      <c r="KVW11" s="7157"/>
      <c r="KVX11" s="7157"/>
      <c r="KVY11" s="7157"/>
      <c r="KVZ11" s="7157"/>
      <c r="KWA11" s="7158"/>
      <c r="KWB11" s="7158"/>
      <c r="KWC11" s="7158"/>
      <c r="KWD11" s="7158"/>
      <c r="KWE11" s="7158"/>
      <c r="KWF11" s="7159"/>
      <c r="KWG11" s="7152"/>
      <c r="KWH11" s="7153"/>
      <c r="KWI11" s="7153"/>
      <c r="KWJ11" s="7153"/>
      <c r="KWK11" s="7157"/>
      <c r="KWL11" s="7157"/>
      <c r="KWM11" s="7157"/>
      <c r="KWN11" s="7157"/>
      <c r="KWO11" s="7157"/>
      <c r="KWP11" s="7157"/>
      <c r="KWQ11" s="7158"/>
      <c r="KWR11" s="7158"/>
      <c r="KWS11" s="7158"/>
      <c r="KWT11" s="7158"/>
      <c r="KWU11" s="7158"/>
      <c r="KWV11" s="7159"/>
      <c r="KWW11" s="7152"/>
      <c r="KWX11" s="7153"/>
      <c r="KWY11" s="7153"/>
      <c r="KWZ11" s="7153"/>
      <c r="KXA11" s="7157"/>
      <c r="KXB11" s="7157"/>
      <c r="KXC11" s="7157"/>
      <c r="KXD11" s="7157"/>
      <c r="KXE11" s="7157"/>
      <c r="KXF11" s="7157"/>
      <c r="KXG11" s="7158"/>
      <c r="KXH11" s="7158"/>
      <c r="KXI11" s="7158"/>
      <c r="KXJ11" s="7158"/>
      <c r="KXK11" s="7158"/>
      <c r="KXL11" s="7159"/>
      <c r="KXM11" s="7152"/>
      <c r="KXN11" s="7153"/>
      <c r="KXO11" s="7153"/>
      <c r="KXP11" s="7153"/>
      <c r="KXQ11" s="7157"/>
      <c r="KXR11" s="7157"/>
      <c r="KXS11" s="7157"/>
      <c r="KXT11" s="7157"/>
      <c r="KXU11" s="7157"/>
      <c r="KXV11" s="7157"/>
      <c r="KXW11" s="7158"/>
      <c r="KXX11" s="7158"/>
      <c r="KXY11" s="7158"/>
      <c r="KXZ11" s="7158"/>
      <c r="KYA11" s="7158"/>
      <c r="KYB11" s="7159"/>
      <c r="KYC11" s="7152"/>
      <c r="KYD11" s="7153"/>
      <c r="KYE11" s="7153"/>
      <c r="KYF11" s="7153"/>
      <c r="KYG11" s="7157"/>
      <c r="KYH11" s="7157"/>
      <c r="KYI11" s="7157"/>
      <c r="KYJ11" s="7157"/>
      <c r="KYK11" s="7157"/>
      <c r="KYL11" s="7157"/>
      <c r="KYM11" s="7158"/>
      <c r="KYN11" s="7158"/>
      <c r="KYO11" s="7158"/>
      <c r="KYP11" s="7158"/>
      <c r="KYQ11" s="7158"/>
      <c r="KYR11" s="7159"/>
      <c r="KYS11" s="7152"/>
      <c r="KYT11" s="7153"/>
      <c r="KYU11" s="7153"/>
      <c r="KYV11" s="7153"/>
      <c r="KYW11" s="7157"/>
      <c r="KYX11" s="7157"/>
      <c r="KYY11" s="7157"/>
      <c r="KYZ11" s="7157"/>
      <c r="KZA11" s="7157"/>
      <c r="KZB11" s="7157"/>
      <c r="KZC11" s="7158"/>
      <c r="KZD11" s="7158"/>
      <c r="KZE11" s="7158"/>
      <c r="KZF11" s="7158"/>
      <c r="KZG11" s="7158"/>
      <c r="KZH11" s="7159"/>
      <c r="KZI11" s="7152"/>
      <c r="KZJ11" s="7153"/>
      <c r="KZK11" s="7153"/>
      <c r="KZL11" s="7153"/>
      <c r="KZM11" s="7157"/>
      <c r="KZN11" s="7157"/>
      <c r="KZO11" s="7157"/>
      <c r="KZP11" s="7157"/>
      <c r="KZQ11" s="7157"/>
      <c r="KZR11" s="7157"/>
      <c r="KZS11" s="7158"/>
      <c r="KZT11" s="7158"/>
      <c r="KZU11" s="7158"/>
      <c r="KZV11" s="7158"/>
      <c r="KZW11" s="7158"/>
      <c r="KZX11" s="7159"/>
      <c r="KZY11" s="7152"/>
      <c r="KZZ11" s="7153"/>
      <c r="LAA11" s="7153"/>
      <c r="LAB11" s="7153"/>
      <c r="LAC11" s="7157"/>
      <c r="LAD11" s="7157"/>
      <c r="LAE11" s="7157"/>
      <c r="LAF11" s="7157"/>
      <c r="LAG11" s="7157"/>
      <c r="LAH11" s="7157"/>
      <c r="LAI11" s="7158"/>
      <c r="LAJ11" s="7158"/>
      <c r="LAK11" s="7158"/>
      <c r="LAL11" s="7158"/>
      <c r="LAM11" s="7158"/>
      <c r="LAN11" s="7159"/>
      <c r="LAO11" s="7152"/>
      <c r="LAP11" s="7153"/>
      <c r="LAQ11" s="7153"/>
      <c r="LAR11" s="7153"/>
      <c r="LAS11" s="7157"/>
      <c r="LAT11" s="7157"/>
      <c r="LAU11" s="7157"/>
      <c r="LAV11" s="7157"/>
      <c r="LAW11" s="7157"/>
      <c r="LAX11" s="7157"/>
      <c r="LAY11" s="7158"/>
      <c r="LAZ11" s="7158"/>
      <c r="LBA11" s="7158"/>
      <c r="LBB11" s="7158"/>
      <c r="LBC11" s="7158"/>
      <c r="LBD11" s="7159"/>
      <c r="LBE11" s="7152"/>
      <c r="LBF11" s="7153"/>
      <c r="LBG11" s="7153"/>
      <c r="LBH11" s="7153"/>
      <c r="LBI11" s="7157"/>
      <c r="LBJ11" s="7157"/>
      <c r="LBK11" s="7157"/>
      <c r="LBL11" s="7157"/>
      <c r="LBM11" s="7157"/>
      <c r="LBN11" s="7157"/>
      <c r="LBO11" s="7158"/>
      <c r="LBP11" s="7158"/>
      <c r="LBQ11" s="7158"/>
      <c r="LBR11" s="7158"/>
      <c r="LBS11" s="7158"/>
      <c r="LBT11" s="7159"/>
      <c r="LBU11" s="7152"/>
      <c r="LBV11" s="7153"/>
      <c r="LBW11" s="7153"/>
      <c r="LBX11" s="7153"/>
      <c r="LBY11" s="7157"/>
      <c r="LBZ11" s="7157"/>
      <c r="LCA11" s="7157"/>
      <c r="LCB11" s="7157"/>
      <c r="LCC11" s="7157"/>
      <c r="LCD11" s="7157"/>
      <c r="LCE11" s="7158"/>
      <c r="LCF11" s="7158"/>
      <c r="LCG11" s="7158"/>
      <c r="LCH11" s="7158"/>
      <c r="LCI11" s="7158"/>
      <c r="LCJ11" s="7159"/>
      <c r="LCK11" s="7152"/>
      <c r="LCL11" s="7153"/>
      <c r="LCM11" s="7153"/>
      <c r="LCN11" s="7153"/>
      <c r="LCO11" s="7157"/>
      <c r="LCP11" s="7157"/>
      <c r="LCQ11" s="7157"/>
      <c r="LCR11" s="7157"/>
      <c r="LCS11" s="7157"/>
      <c r="LCT11" s="7157"/>
      <c r="LCU11" s="7158"/>
      <c r="LCV11" s="7158"/>
      <c r="LCW11" s="7158"/>
      <c r="LCX11" s="7158"/>
      <c r="LCY11" s="7158"/>
      <c r="LCZ11" s="7159"/>
      <c r="LDA11" s="7152"/>
      <c r="LDB11" s="7153"/>
      <c r="LDC11" s="7153"/>
      <c r="LDD11" s="7153"/>
      <c r="LDE11" s="7157"/>
      <c r="LDF11" s="7157"/>
      <c r="LDG11" s="7157"/>
      <c r="LDH11" s="7157"/>
      <c r="LDI11" s="7157"/>
      <c r="LDJ11" s="7157"/>
      <c r="LDK11" s="7158"/>
      <c r="LDL11" s="7158"/>
      <c r="LDM11" s="7158"/>
      <c r="LDN11" s="7158"/>
      <c r="LDO11" s="7158"/>
      <c r="LDP11" s="7159"/>
      <c r="LDQ11" s="7152"/>
      <c r="LDR11" s="7153"/>
      <c r="LDS11" s="7153"/>
      <c r="LDT11" s="7153"/>
      <c r="LDU11" s="7157"/>
      <c r="LDV11" s="7157"/>
      <c r="LDW11" s="7157"/>
      <c r="LDX11" s="7157"/>
      <c r="LDY11" s="7157"/>
      <c r="LDZ11" s="7157"/>
      <c r="LEA11" s="7158"/>
      <c r="LEB11" s="7158"/>
      <c r="LEC11" s="7158"/>
      <c r="LED11" s="7158"/>
      <c r="LEE11" s="7158"/>
      <c r="LEF11" s="7159"/>
      <c r="LEG11" s="7152"/>
      <c r="LEH11" s="7153"/>
      <c r="LEI11" s="7153"/>
      <c r="LEJ11" s="7153"/>
      <c r="LEK11" s="7157"/>
      <c r="LEL11" s="7157"/>
      <c r="LEM11" s="7157"/>
      <c r="LEN11" s="7157"/>
      <c r="LEO11" s="7157"/>
      <c r="LEP11" s="7157"/>
      <c r="LEQ11" s="7158"/>
      <c r="LER11" s="7158"/>
      <c r="LES11" s="7158"/>
      <c r="LET11" s="7158"/>
      <c r="LEU11" s="7158"/>
      <c r="LEV11" s="7159"/>
      <c r="LEW11" s="7152"/>
      <c r="LEX11" s="7153"/>
      <c r="LEY11" s="7153"/>
      <c r="LEZ11" s="7153"/>
      <c r="LFA11" s="7157"/>
      <c r="LFB11" s="7157"/>
      <c r="LFC11" s="7157"/>
      <c r="LFD11" s="7157"/>
      <c r="LFE11" s="7157"/>
      <c r="LFF11" s="7157"/>
      <c r="LFG11" s="7158"/>
      <c r="LFH11" s="7158"/>
      <c r="LFI11" s="7158"/>
      <c r="LFJ11" s="7158"/>
      <c r="LFK11" s="7158"/>
      <c r="LFL11" s="7159"/>
      <c r="LFM11" s="7152"/>
      <c r="LFN11" s="7153"/>
      <c r="LFO11" s="7153"/>
      <c r="LFP11" s="7153"/>
      <c r="LFQ11" s="7157"/>
      <c r="LFR11" s="7157"/>
      <c r="LFS11" s="7157"/>
      <c r="LFT11" s="7157"/>
      <c r="LFU11" s="7157"/>
      <c r="LFV11" s="7157"/>
      <c r="LFW11" s="7158"/>
      <c r="LFX11" s="7158"/>
      <c r="LFY11" s="7158"/>
      <c r="LFZ11" s="7158"/>
      <c r="LGA11" s="7158"/>
      <c r="LGB11" s="7159"/>
      <c r="LGC11" s="7152"/>
      <c r="LGD11" s="7153"/>
      <c r="LGE11" s="7153"/>
      <c r="LGF11" s="7153"/>
      <c r="LGG11" s="7157"/>
      <c r="LGH11" s="7157"/>
      <c r="LGI11" s="7157"/>
      <c r="LGJ11" s="7157"/>
      <c r="LGK11" s="7157"/>
      <c r="LGL11" s="7157"/>
      <c r="LGM11" s="7158"/>
      <c r="LGN11" s="7158"/>
      <c r="LGO11" s="7158"/>
      <c r="LGP11" s="7158"/>
      <c r="LGQ11" s="7158"/>
      <c r="LGR11" s="7159"/>
      <c r="LGS11" s="7152"/>
      <c r="LGT11" s="7153"/>
      <c r="LGU11" s="7153"/>
      <c r="LGV11" s="7153"/>
      <c r="LGW11" s="7157"/>
      <c r="LGX11" s="7157"/>
      <c r="LGY11" s="7157"/>
      <c r="LGZ11" s="7157"/>
      <c r="LHA11" s="7157"/>
      <c r="LHB11" s="7157"/>
      <c r="LHC11" s="7158"/>
      <c r="LHD11" s="7158"/>
      <c r="LHE11" s="7158"/>
      <c r="LHF11" s="7158"/>
      <c r="LHG11" s="7158"/>
      <c r="LHH11" s="7159"/>
      <c r="LHI11" s="7152"/>
      <c r="LHJ11" s="7153"/>
      <c r="LHK11" s="7153"/>
      <c r="LHL11" s="7153"/>
      <c r="LHM11" s="7157"/>
      <c r="LHN11" s="7157"/>
      <c r="LHO11" s="7157"/>
      <c r="LHP11" s="7157"/>
      <c r="LHQ11" s="7157"/>
      <c r="LHR11" s="7157"/>
      <c r="LHS11" s="7158"/>
      <c r="LHT11" s="7158"/>
      <c r="LHU11" s="7158"/>
      <c r="LHV11" s="7158"/>
      <c r="LHW11" s="7158"/>
      <c r="LHX11" s="7159"/>
      <c r="LHY11" s="7152"/>
      <c r="LHZ11" s="7153"/>
      <c r="LIA11" s="7153"/>
      <c r="LIB11" s="7153"/>
      <c r="LIC11" s="7157"/>
      <c r="LID11" s="7157"/>
      <c r="LIE11" s="7157"/>
      <c r="LIF11" s="7157"/>
      <c r="LIG11" s="7157"/>
      <c r="LIH11" s="7157"/>
      <c r="LII11" s="7158"/>
      <c r="LIJ11" s="7158"/>
      <c r="LIK11" s="7158"/>
      <c r="LIL11" s="7158"/>
      <c r="LIM11" s="7158"/>
      <c r="LIN11" s="7159"/>
      <c r="LIO11" s="7152"/>
      <c r="LIP11" s="7153"/>
      <c r="LIQ11" s="7153"/>
      <c r="LIR11" s="7153"/>
      <c r="LIS11" s="7157"/>
      <c r="LIT11" s="7157"/>
      <c r="LIU11" s="7157"/>
      <c r="LIV11" s="7157"/>
      <c r="LIW11" s="7157"/>
      <c r="LIX11" s="7157"/>
      <c r="LIY11" s="7158"/>
      <c r="LIZ11" s="7158"/>
      <c r="LJA11" s="7158"/>
      <c r="LJB11" s="7158"/>
      <c r="LJC11" s="7158"/>
      <c r="LJD11" s="7159"/>
      <c r="LJE11" s="7152"/>
      <c r="LJF11" s="7153"/>
      <c r="LJG11" s="7153"/>
      <c r="LJH11" s="7153"/>
      <c r="LJI11" s="7157"/>
      <c r="LJJ11" s="7157"/>
      <c r="LJK11" s="7157"/>
      <c r="LJL11" s="7157"/>
      <c r="LJM11" s="7157"/>
      <c r="LJN11" s="7157"/>
      <c r="LJO11" s="7158"/>
      <c r="LJP11" s="7158"/>
      <c r="LJQ11" s="7158"/>
      <c r="LJR11" s="7158"/>
      <c r="LJS11" s="7158"/>
      <c r="LJT11" s="7159"/>
      <c r="LJU11" s="7152"/>
      <c r="LJV11" s="7153"/>
      <c r="LJW11" s="7153"/>
      <c r="LJX11" s="7153"/>
      <c r="LJY11" s="7157"/>
      <c r="LJZ11" s="7157"/>
      <c r="LKA11" s="7157"/>
      <c r="LKB11" s="7157"/>
      <c r="LKC11" s="7157"/>
      <c r="LKD11" s="7157"/>
      <c r="LKE11" s="7158"/>
      <c r="LKF11" s="7158"/>
      <c r="LKG11" s="7158"/>
      <c r="LKH11" s="7158"/>
      <c r="LKI11" s="7158"/>
      <c r="LKJ11" s="7159"/>
      <c r="LKK11" s="7152"/>
      <c r="LKL11" s="7153"/>
      <c r="LKM11" s="7153"/>
      <c r="LKN11" s="7153"/>
      <c r="LKO11" s="7157"/>
      <c r="LKP11" s="7157"/>
      <c r="LKQ11" s="7157"/>
      <c r="LKR11" s="7157"/>
      <c r="LKS11" s="7157"/>
      <c r="LKT11" s="7157"/>
      <c r="LKU11" s="7158"/>
      <c r="LKV11" s="7158"/>
      <c r="LKW11" s="7158"/>
      <c r="LKX11" s="7158"/>
      <c r="LKY11" s="7158"/>
      <c r="LKZ11" s="7159"/>
      <c r="LLA11" s="7152"/>
      <c r="LLB11" s="7153"/>
      <c r="LLC11" s="7153"/>
      <c r="LLD11" s="7153"/>
      <c r="LLE11" s="7157"/>
      <c r="LLF11" s="7157"/>
      <c r="LLG11" s="7157"/>
      <c r="LLH11" s="7157"/>
      <c r="LLI11" s="7157"/>
      <c r="LLJ11" s="7157"/>
      <c r="LLK11" s="7158"/>
      <c r="LLL11" s="7158"/>
      <c r="LLM11" s="7158"/>
      <c r="LLN11" s="7158"/>
      <c r="LLO11" s="7158"/>
      <c r="LLP11" s="7159"/>
      <c r="LLQ11" s="7152"/>
      <c r="LLR11" s="7153"/>
      <c r="LLS11" s="7153"/>
      <c r="LLT11" s="7153"/>
      <c r="LLU11" s="7157"/>
      <c r="LLV11" s="7157"/>
      <c r="LLW11" s="7157"/>
      <c r="LLX11" s="7157"/>
      <c r="LLY11" s="7157"/>
      <c r="LLZ11" s="7157"/>
      <c r="LMA11" s="7158"/>
      <c r="LMB11" s="7158"/>
      <c r="LMC11" s="7158"/>
      <c r="LMD11" s="7158"/>
      <c r="LME11" s="7158"/>
      <c r="LMF11" s="7159"/>
      <c r="LMG11" s="7152"/>
      <c r="LMH11" s="7153"/>
      <c r="LMI11" s="7153"/>
      <c r="LMJ11" s="7153"/>
      <c r="LMK11" s="7157"/>
      <c r="LML11" s="7157"/>
      <c r="LMM11" s="7157"/>
      <c r="LMN11" s="7157"/>
      <c r="LMO11" s="7157"/>
      <c r="LMP11" s="7157"/>
      <c r="LMQ11" s="7158"/>
      <c r="LMR11" s="7158"/>
      <c r="LMS11" s="7158"/>
      <c r="LMT11" s="7158"/>
      <c r="LMU11" s="7158"/>
      <c r="LMV11" s="7159"/>
      <c r="LMW11" s="7152"/>
      <c r="LMX11" s="7153"/>
      <c r="LMY11" s="7153"/>
      <c r="LMZ11" s="7153"/>
      <c r="LNA11" s="7157"/>
      <c r="LNB11" s="7157"/>
      <c r="LNC11" s="7157"/>
      <c r="LND11" s="7157"/>
      <c r="LNE11" s="7157"/>
      <c r="LNF11" s="7157"/>
      <c r="LNG11" s="7158"/>
      <c r="LNH11" s="7158"/>
      <c r="LNI11" s="7158"/>
      <c r="LNJ11" s="7158"/>
      <c r="LNK11" s="7158"/>
      <c r="LNL11" s="7159"/>
      <c r="LNM11" s="7152"/>
      <c r="LNN11" s="7153"/>
      <c r="LNO11" s="7153"/>
      <c r="LNP11" s="7153"/>
      <c r="LNQ11" s="7157"/>
      <c r="LNR11" s="7157"/>
      <c r="LNS11" s="7157"/>
      <c r="LNT11" s="7157"/>
      <c r="LNU11" s="7157"/>
      <c r="LNV11" s="7157"/>
      <c r="LNW11" s="7158"/>
      <c r="LNX11" s="7158"/>
      <c r="LNY11" s="7158"/>
      <c r="LNZ11" s="7158"/>
      <c r="LOA11" s="7158"/>
      <c r="LOB11" s="7159"/>
      <c r="LOC11" s="7152"/>
      <c r="LOD11" s="7153"/>
      <c r="LOE11" s="7153"/>
      <c r="LOF11" s="7153"/>
      <c r="LOG11" s="7157"/>
      <c r="LOH11" s="7157"/>
      <c r="LOI11" s="7157"/>
      <c r="LOJ11" s="7157"/>
      <c r="LOK11" s="7157"/>
      <c r="LOL11" s="7157"/>
      <c r="LOM11" s="7158"/>
      <c r="LON11" s="7158"/>
      <c r="LOO11" s="7158"/>
      <c r="LOP11" s="7158"/>
      <c r="LOQ11" s="7158"/>
      <c r="LOR11" s="7159"/>
      <c r="LOS11" s="7152"/>
      <c r="LOT11" s="7153"/>
      <c r="LOU11" s="7153"/>
      <c r="LOV11" s="7153"/>
      <c r="LOW11" s="7157"/>
      <c r="LOX11" s="7157"/>
      <c r="LOY11" s="7157"/>
      <c r="LOZ11" s="7157"/>
      <c r="LPA11" s="7157"/>
      <c r="LPB11" s="7157"/>
      <c r="LPC11" s="7158"/>
      <c r="LPD11" s="7158"/>
      <c r="LPE11" s="7158"/>
      <c r="LPF11" s="7158"/>
      <c r="LPG11" s="7158"/>
      <c r="LPH11" s="7159"/>
      <c r="LPI11" s="7152"/>
      <c r="LPJ11" s="7153"/>
      <c r="LPK11" s="7153"/>
      <c r="LPL11" s="7153"/>
      <c r="LPM11" s="7157"/>
      <c r="LPN11" s="7157"/>
      <c r="LPO11" s="7157"/>
      <c r="LPP11" s="7157"/>
      <c r="LPQ11" s="7157"/>
      <c r="LPR11" s="7157"/>
      <c r="LPS11" s="7158"/>
      <c r="LPT11" s="7158"/>
      <c r="LPU11" s="7158"/>
      <c r="LPV11" s="7158"/>
      <c r="LPW11" s="7158"/>
      <c r="LPX11" s="7159"/>
      <c r="LPY11" s="7152"/>
      <c r="LPZ11" s="7153"/>
      <c r="LQA11" s="7153"/>
      <c r="LQB11" s="7153"/>
      <c r="LQC11" s="7157"/>
      <c r="LQD11" s="7157"/>
      <c r="LQE11" s="7157"/>
      <c r="LQF11" s="7157"/>
      <c r="LQG11" s="7157"/>
      <c r="LQH11" s="7157"/>
      <c r="LQI11" s="7158"/>
      <c r="LQJ11" s="7158"/>
      <c r="LQK11" s="7158"/>
      <c r="LQL11" s="7158"/>
      <c r="LQM11" s="7158"/>
      <c r="LQN11" s="7159"/>
      <c r="LQO11" s="7152"/>
      <c r="LQP11" s="7153"/>
      <c r="LQQ11" s="7153"/>
      <c r="LQR11" s="7153"/>
      <c r="LQS11" s="7157"/>
      <c r="LQT11" s="7157"/>
      <c r="LQU11" s="7157"/>
      <c r="LQV11" s="7157"/>
      <c r="LQW11" s="7157"/>
      <c r="LQX11" s="7157"/>
      <c r="LQY11" s="7158"/>
      <c r="LQZ11" s="7158"/>
      <c r="LRA11" s="7158"/>
      <c r="LRB11" s="7158"/>
      <c r="LRC11" s="7158"/>
      <c r="LRD11" s="7159"/>
      <c r="LRE11" s="7152"/>
      <c r="LRF11" s="7153"/>
      <c r="LRG11" s="7153"/>
      <c r="LRH11" s="7153"/>
      <c r="LRI11" s="7157"/>
      <c r="LRJ11" s="7157"/>
      <c r="LRK11" s="7157"/>
      <c r="LRL11" s="7157"/>
      <c r="LRM11" s="7157"/>
      <c r="LRN11" s="7157"/>
      <c r="LRO11" s="7158"/>
      <c r="LRP11" s="7158"/>
      <c r="LRQ11" s="7158"/>
      <c r="LRR11" s="7158"/>
      <c r="LRS11" s="7158"/>
      <c r="LRT11" s="7159"/>
      <c r="LRU11" s="7152"/>
      <c r="LRV11" s="7153"/>
      <c r="LRW11" s="7153"/>
      <c r="LRX11" s="7153"/>
      <c r="LRY11" s="7157"/>
      <c r="LRZ11" s="7157"/>
      <c r="LSA11" s="7157"/>
      <c r="LSB11" s="7157"/>
      <c r="LSC11" s="7157"/>
      <c r="LSD11" s="7157"/>
      <c r="LSE11" s="7158"/>
      <c r="LSF11" s="7158"/>
      <c r="LSG11" s="7158"/>
      <c r="LSH11" s="7158"/>
      <c r="LSI11" s="7158"/>
      <c r="LSJ11" s="7159"/>
      <c r="LSK11" s="7152"/>
      <c r="LSL11" s="7153"/>
      <c r="LSM11" s="7153"/>
      <c r="LSN11" s="7153"/>
      <c r="LSO11" s="7157"/>
      <c r="LSP11" s="7157"/>
      <c r="LSQ11" s="7157"/>
      <c r="LSR11" s="7157"/>
      <c r="LSS11" s="7157"/>
      <c r="LST11" s="7157"/>
      <c r="LSU11" s="7158"/>
      <c r="LSV11" s="7158"/>
      <c r="LSW11" s="7158"/>
      <c r="LSX11" s="7158"/>
      <c r="LSY11" s="7158"/>
      <c r="LSZ11" s="7159"/>
      <c r="LTA11" s="7152"/>
      <c r="LTB11" s="7153"/>
      <c r="LTC11" s="7153"/>
      <c r="LTD11" s="7153"/>
      <c r="LTE11" s="7157"/>
      <c r="LTF11" s="7157"/>
      <c r="LTG11" s="7157"/>
      <c r="LTH11" s="7157"/>
      <c r="LTI11" s="7157"/>
      <c r="LTJ11" s="7157"/>
      <c r="LTK11" s="7158"/>
      <c r="LTL11" s="7158"/>
      <c r="LTM11" s="7158"/>
      <c r="LTN11" s="7158"/>
      <c r="LTO11" s="7158"/>
      <c r="LTP11" s="7159"/>
      <c r="LTQ11" s="7152"/>
      <c r="LTR11" s="7153"/>
      <c r="LTS11" s="7153"/>
      <c r="LTT11" s="7153"/>
      <c r="LTU11" s="7157"/>
      <c r="LTV11" s="7157"/>
      <c r="LTW11" s="7157"/>
      <c r="LTX11" s="7157"/>
      <c r="LTY11" s="7157"/>
      <c r="LTZ11" s="7157"/>
      <c r="LUA11" s="7158"/>
      <c r="LUB11" s="7158"/>
      <c r="LUC11" s="7158"/>
      <c r="LUD11" s="7158"/>
      <c r="LUE11" s="7158"/>
      <c r="LUF11" s="7159"/>
      <c r="LUG11" s="7152"/>
      <c r="LUH11" s="7153"/>
      <c r="LUI11" s="7153"/>
      <c r="LUJ11" s="7153"/>
      <c r="LUK11" s="7157"/>
      <c r="LUL11" s="7157"/>
      <c r="LUM11" s="7157"/>
      <c r="LUN11" s="7157"/>
      <c r="LUO11" s="7157"/>
      <c r="LUP11" s="7157"/>
      <c r="LUQ11" s="7158"/>
      <c r="LUR11" s="7158"/>
      <c r="LUS11" s="7158"/>
      <c r="LUT11" s="7158"/>
      <c r="LUU11" s="7158"/>
      <c r="LUV11" s="7159"/>
      <c r="LUW11" s="7152"/>
      <c r="LUX11" s="7153"/>
      <c r="LUY11" s="7153"/>
      <c r="LUZ11" s="7153"/>
      <c r="LVA11" s="7157"/>
      <c r="LVB11" s="7157"/>
      <c r="LVC11" s="7157"/>
      <c r="LVD11" s="7157"/>
      <c r="LVE11" s="7157"/>
      <c r="LVF11" s="7157"/>
      <c r="LVG11" s="7158"/>
      <c r="LVH11" s="7158"/>
      <c r="LVI11" s="7158"/>
      <c r="LVJ11" s="7158"/>
      <c r="LVK11" s="7158"/>
      <c r="LVL11" s="7159"/>
      <c r="LVM11" s="7152"/>
      <c r="LVN11" s="7153"/>
      <c r="LVO11" s="7153"/>
      <c r="LVP11" s="7153"/>
      <c r="LVQ11" s="7157"/>
      <c r="LVR11" s="7157"/>
      <c r="LVS11" s="7157"/>
      <c r="LVT11" s="7157"/>
      <c r="LVU11" s="7157"/>
      <c r="LVV11" s="7157"/>
      <c r="LVW11" s="7158"/>
      <c r="LVX11" s="7158"/>
      <c r="LVY11" s="7158"/>
      <c r="LVZ11" s="7158"/>
      <c r="LWA11" s="7158"/>
      <c r="LWB11" s="7159"/>
      <c r="LWC11" s="7152"/>
      <c r="LWD11" s="7153"/>
      <c r="LWE11" s="7153"/>
      <c r="LWF11" s="7153"/>
      <c r="LWG11" s="7157"/>
      <c r="LWH11" s="7157"/>
      <c r="LWI11" s="7157"/>
      <c r="LWJ11" s="7157"/>
      <c r="LWK11" s="7157"/>
      <c r="LWL11" s="7157"/>
      <c r="LWM11" s="7158"/>
      <c r="LWN11" s="7158"/>
      <c r="LWO11" s="7158"/>
      <c r="LWP11" s="7158"/>
      <c r="LWQ11" s="7158"/>
      <c r="LWR11" s="7159"/>
      <c r="LWS11" s="7152"/>
      <c r="LWT11" s="7153"/>
      <c r="LWU11" s="7153"/>
      <c r="LWV11" s="7153"/>
      <c r="LWW11" s="7157"/>
      <c r="LWX11" s="7157"/>
      <c r="LWY11" s="7157"/>
      <c r="LWZ11" s="7157"/>
      <c r="LXA11" s="7157"/>
      <c r="LXB11" s="7157"/>
      <c r="LXC11" s="7158"/>
      <c r="LXD11" s="7158"/>
      <c r="LXE11" s="7158"/>
      <c r="LXF11" s="7158"/>
      <c r="LXG11" s="7158"/>
      <c r="LXH11" s="7159"/>
      <c r="LXI11" s="7152"/>
      <c r="LXJ11" s="7153"/>
      <c r="LXK11" s="7153"/>
      <c r="LXL11" s="7153"/>
      <c r="LXM11" s="7157"/>
      <c r="LXN11" s="7157"/>
      <c r="LXO11" s="7157"/>
      <c r="LXP11" s="7157"/>
      <c r="LXQ11" s="7157"/>
      <c r="LXR11" s="7157"/>
      <c r="LXS11" s="7158"/>
      <c r="LXT11" s="7158"/>
      <c r="LXU11" s="7158"/>
      <c r="LXV11" s="7158"/>
      <c r="LXW11" s="7158"/>
      <c r="LXX11" s="7159"/>
      <c r="LXY11" s="7152"/>
      <c r="LXZ11" s="7153"/>
      <c r="LYA11" s="7153"/>
      <c r="LYB11" s="7153"/>
      <c r="LYC11" s="7157"/>
      <c r="LYD11" s="7157"/>
      <c r="LYE11" s="7157"/>
      <c r="LYF11" s="7157"/>
      <c r="LYG11" s="7157"/>
      <c r="LYH11" s="7157"/>
      <c r="LYI11" s="7158"/>
      <c r="LYJ11" s="7158"/>
      <c r="LYK11" s="7158"/>
      <c r="LYL11" s="7158"/>
      <c r="LYM11" s="7158"/>
      <c r="LYN11" s="7159"/>
      <c r="LYO11" s="7152"/>
      <c r="LYP11" s="7153"/>
      <c r="LYQ11" s="7153"/>
      <c r="LYR11" s="7153"/>
      <c r="LYS11" s="7157"/>
      <c r="LYT11" s="7157"/>
      <c r="LYU11" s="7157"/>
      <c r="LYV11" s="7157"/>
      <c r="LYW11" s="7157"/>
      <c r="LYX11" s="7157"/>
      <c r="LYY11" s="7158"/>
      <c r="LYZ11" s="7158"/>
      <c r="LZA11" s="7158"/>
      <c r="LZB11" s="7158"/>
      <c r="LZC11" s="7158"/>
      <c r="LZD11" s="7159"/>
      <c r="LZE11" s="7152"/>
      <c r="LZF11" s="7153"/>
      <c r="LZG11" s="7153"/>
      <c r="LZH11" s="7153"/>
      <c r="LZI11" s="7157"/>
      <c r="LZJ11" s="7157"/>
      <c r="LZK11" s="7157"/>
      <c r="LZL11" s="7157"/>
      <c r="LZM11" s="7157"/>
      <c r="LZN11" s="7157"/>
      <c r="LZO11" s="7158"/>
      <c r="LZP11" s="7158"/>
      <c r="LZQ11" s="7158"/>
      <c r="LZR11" s="7158"/>
      <c r="LZS11" s="7158"/>
      <c r="LZT11" s="7159"/>
      <c r="LZU11" s="7152"/>
      <c r="LZV11" s="7153"/>
      <c r="LZW11" s="7153"/>
      <c r="LZX11" s="7153"/>
      <c r="LZY11" s="7157"/>
      <c r="LZZ11" s="7157"/>
      <c r="MAA11" s="7157"/>
      <c r="MAB11" s="7157"/>
      <c r="MAC11" s="7157"/>
      <c r="MAD11" s="7157"/>
      <c r="MAE11" s="7158"/>
      <c r="MAF11" s="7158"/>
      <c r="MAG11" s="7158"/>
      <c r="MAH11" s="7158"/>
      <c r="MAI11" s="7158"/>
      <c r="MAJ11" s="7159"/>
      <c r="MAK11" s="7152"/>
      <c r="MAL11" s="7153"/>
      <c r="MAM11" s="7153"/>
      <c r="MAN11" s="7153"/>
      <c r="MAO11" s="7157"/>
      <c r="MAP11" s="7157"/>
      <c r="MAQ11" s="7157"/>
      <c r="MAR11" s="7157"/>
      <c r="MAS11" s="7157"/>
      <c r="MAT11" s="7157"/>
      <c r="MAU11" s="7158"/>
      <c r="MAV11" s="7158"/>
      <c r="MAW11" s="7158"/>
      <c r="MAX11" s="7158"/>
      <c r="MAY11" s="7158"/>
      <c r="MAZ11" s="7159"/>
      <c r="MBA11" s="7152"/>
      <c r="MBB11" s="7153"/>
      <c r="MBC11" s="7153"/>
      <c r="MBD11" s="7153"/>
      <c r="MBE11" s="7157"/>
      <c r="MBF11" s="7157"/>
      <c r="MBG11" s="7157"/>
      <c r="MBH11" s="7157"/>
      <c r="MBI11" s="7157"/>
      <c r="MBJ11" s="7157"/>
      <c r="MBK11" s="7158"/>
      <c r="MBL11" s="7158"/>
      <c r="MBM11" s="7158"/>
      <c r="MBN11" s="7158"/>
      <c r="MBO11" s="7158"/>
      <c r="MBP11" s="7159"/>
      <c r="MBQ11" s="7152"/>
      <c r="MBR11" s="7153"/>
      <c r="MBS11" s="7153"/>
      <c r="MBT11" s="7153"/>
      <c r="MBU11" s="7157"/>
      <c r="MBV11" s="7157"/>
      <c r="MBW11" s="7157"/>
      <c r="MBX11" s="7157"/>
      <c r="MBY11" s="7157"/>
      <c r="MBZ11" s="7157"/>
      <c r="MCA11" s="7158"/>
      <c r="MCB11" s="7158"/>
      <c r="MCC11" s="7158"/>
      <c r="MCD11" s="7158"/>
      <c r="MCE11" s="7158"/>
      <c r="MCF11" s="7159"/>
      <c r="MCG11" s="7152"/>
      <c r="MCH11" s="7153"/>
      <c r="MCI11" s="7153"/>
      <c r="MCJ11" s="7153"/>
      <c r="MCK11" s="7157"/>
      <c r="MCL11" s="7157"/>
      <c r="MCM11" s="7157"/>
      <c r="MCN11" s="7157"/>
      <c r="MCO11" s="7157"/>
      <c r="MCP11" s="7157"/>
      <c r="MCQ11" s="7158"/>
      <c r="MCR11" s="7158"/>
      <c r="MCS11" s="7158"/>
      <c r="MCT11" s="7158"/>
      <c r="MCU11" s="7158"/>
      <c r="MCV11" s="7159"/>
      <c r="MCW11" s="7152"/>
      <c r="MCX11" s="7153"/>
      <c r="MCY11" s="7153"/>
      <c r="MCZ11" s="7153"/>
      <c r="MDA11" s="7157"/>
      <c r="MDB11" s="7157"/>
      <c r="MDC11" s="7157"/>
      <c r="MDD11" s="7157"/>
      <c r="MDE11" s="7157"/>
      <c r="MDF11" s="7157"/>
      <c r="MDG11" s="7158"/>
      <c r="MDH11" s="7158"/>
      <c r="MDI11" s="7158"/>
      <c r="MDJ11" s="7158"/>
      <c r="MDK11" s="7158"/>
      <c r="MDL11" s="7159"/>
      <c r="MDM11" s="7152"/>
      <c r="MDN11" s="7153"/>
      <c r="MDO11" s="7153"/>
      <c r="MDP11" s="7153"/>
      <c r="MDQ11" s="7157"/>
      <c r="MDR11" s="7157"/>
      <c r="MDS11" s="7157"/>
      <c r="MDT11" s="7157"/>
      <c r="MDU11" s="7157"/>
      <c r="MDV11" s="7157"/>
      <c r="MDW11" s="7158"/>
      <c r="MDX11" s="7158"/>
      <c r="MDY11" s="7158"/>
      <c r="MDZ11" s="7158"/>
      <c r="MEA11" s="7158"/>
      <c r="MEB11" s="7159"/>
      <c r="MEC11" s="7152"/>
      <c r="MED11" s="7153"/>
      <c r="MEE11" s="7153"/>
      <c r="MEF11" s="7153"/>
      <c r="MEG11" s="7157"/>
      <c r="MEH11" s="7157"/>
      <c r="MEI11" s="7157"/>
      <c r="MEJ11" s="7157"/>
      <c r="MEK11" s="7157"/>
      <c r="MEL11" s="7157"/>
      <c r="MEM11" s="7158"/>
      <c r="MEN11" s="7158"/>
      <c r="MEO11" s="7158"/>
      <c r="MEP11" s="7158"/>
      <c r="MEQ11" s="7158"/>
      <c r="MER11" s="7159"/>
      <c r="MES11" s="7152"/>
      <c r="MET11" s="7153"/>
      <c r="MEU11" s="7153"/>
      <c r="MEV11" s="7153"/>
      <c r="MEW11" s="7157"/>
      <c r="MEX11" s="7157"/>
      <c r="MEY11" s="7157"/>
      <c r="MEZ11" s="7157"/>
      <c r="MFA11" s="7157"/>
      <c r="MFB11" s="7157"/>
      <c r="MFC11" s="7158"/>
      <c r="MFD11" s="7158"/>
      <c r="MFE11" s="7158"/>
      <c r="MFF11" s="7158"/>
      <c r="MFG11" s="7158"/>
      <c r="MFH11" s="7159"/>
      <c r="MFI11" s="7152"/>
      <c r="MFJ11" s="7153"/>
      <c r="MFK11" s="7153"/>
      <c r="MFL11" s="7153"/>
      <c r="MFM11" s="7157"/>
      <c r="MFN11" s="7157"/>
      <c r="MFO11" s="7157"/>
      <c r="MFP11" s="7157"/>
      <c r="MFQ11" s="7157"/>
      <c r="MFR11" s="7157"/>
      <c r="MFS11" s="7158"/>
      <c r="MFT11" s="7158"/>
      <c r="MFU11" s="7158"/>
      <c r="MFV11" s="7158"/>
      <c r="MFW11" s="7158"/>
      <c r="MFX11" s="7159"/>
      <c r="MFY11" s="7152"/>
      <c r="MFZ11" s="7153"/>
      <c r="MGA11" s="7153"/>
      <c r="MGB11" s="7153"/>
      <c r="MGC11" s="7157"/>
      <c r="MGD11" s="7157"/>
      <c r="MGE11" s="7157"/>
      <c r="MGF11" s="7157"/>
      <c r="MGG11" s="7157"/>
      <c r="MGH11" s="7157"/>
      <c r="MGI11" s="7158"/>
      <c r="MGJ11" s="7158"/>
      <c r="MGK11" s="7158"/>
      <c r="MGL11" s="7158"/>
      <c r="MGM11" s="7158"/>
      <c r="MGN11" s="7159"/>
      <c r="MGO11" s="7152"/>
      <c r="MGP11" s="7153"/>
      <c r="MGQ11" s="7153"/>
      <c r="MGR11" s="7153"/>
      <c r="MGS11" s="7157"/>
      <c r="MGT11" s="7157"/>
      <c r="MGU11" s="7157"/>
      <c r="MGV11" s="7157"/>
      <c r="MGW11" s="7157"/>
      <c r="MGX11" s="7157"/>
      <c r="MGY11" s="7158"/>
      <c r="MGZ11" s="7158"/>
      <c r="MHA11" s="7158"/>
      <c r="MHB11" s="7158"/>
      <c r="MHC11" s="7158"/>
      <c r="MHD11" s="7159"/>
      <c r="MHE11" s="7152"/>
      <c r="MHF11" s="7153"/>
      <c r="MHG11" s="7153"/>
      <c r="MHH11" s="7153"/>
      <c r="MHI11" s="7157"/>
      <c r="MHJ11" s="7157"/>
      <c r="MHK11" s="7157"/>
      <c r="MHL11" s="7157"/>
      <c r="MHM11" s="7157"/>
      <c r="MHN11" s="7157"/>
      <c r="MHO11" s="7158"/>
      <c r="MHP11" s="7158"/>
      <c r="MHQ11" s="7158"/>
      <c r="MHR11" s="7158"/>
      <c r="MHS11" s="7158"/>
      <c r="MHT11" s="7159"/>
      <c r="MHU11" s="7152"/>
      <c r="MHV11" s="7153"/>
      <c r="MHW11" s="7153"/>
      <c r="MHX11" s="7153"/>
      <c r="MHY11" s="7157"/>
      <c r="MHZ11" s="7157"/>
      <c r="MIA11" s="7157"/>
      <c r="MIB11" s="7157"/>
      <c r="MIC11" s="7157"/>
      <c r="MID11" s="7157"/>
      <c r="MIE11" s="7158"/>
      <c r="MIF11" s="7158"/>
      <c r="MIG11" s="7158"/>
      <c r="MIH11" s="7158"/>
      <c r="MII11" s="7158"/>
      <c r="MIJ11" s="7159"/>
      <c r="MIK11" s="7152"/>
      <c r="MIL11" s="7153"/>
      <c r="MIM11" s="7153"/>
      <c r="MIN11" s="7153"/>
      <c r="MIO11" s="7157"/>
      <c r="MIP11" s="7157"/>
      <c r="MIQ11" s="7157"/>
      <c r="MIR11" s="7157"/>
      <c r="MIS11" s="7157"/>
      <c r="MIT11" s="7157"/>
      <c r="MIU11" s="7158"/>
      <c r="MIV11" s="7158"/>
      <c r="MIW11" s="7158"/>
      <c r="MIX11" s="7158"/>
      <c r="MIY11" s="7158"/>
      <c r="MIZ11" s="7159"/>
      <c r="MJA11" s="7152"/>
      <c r="MJB11" s="7153"/>
      <c r="MJC11" s="7153"/>
      <c r="MJD11" s="7153"/>
      <c r="MJE11" s="7157"/>
      <c r="MJF11" s="7157"/>
      <c r="MJG11" s="7157"/>
      <c r="MJH11" s="7157"/>
      <c r="MJI11" s="7157"/>
      <c r="MJJ11" s="7157"/>
      <c r="MJK11" s="7158"/>
      <c r="MJL11" s="7158"/>
      <c r="MJM11" s="7158"/>
      <c r="MJN11" s="7158"/>
      <c r="MJO11" s="7158"/>
      <c r="MJP11" s="7159"/>
      <c r="MJQ11" s="7152"/>
      <c r="MJR11" s="7153"/>
      <c r="MJS11" s="7153"/>
      <c r="MJT11" s="7153"/>
      <c r="MJU11" s="7157"/>
      <c r="MJV11" s="7157"/>
      <c r="MJW11" s="7157"/>
      <c r="MJX11" s="7157"/>
      <c r="MJY11" s="7157"/>
      <c r="MJZ11" s="7157"/>
      <c r="MKA11" s="7158"/>
      <c r="MKB11" s="7158"/>
      <c r="MKC11" s="7158"/>
      <c r="MKD11" s="7158"/>
      <c r="MKE11" s="7158"/>
      <c r="MKF11" s="7159"/>
      <c r="MKG11" s="7152"/>
      <c r="MKH11" s="7153"/>
      <c r="MKI11" s="7153"/>
      <c r="MKJ11" s="7153"/>
      <c r="MKK11" s="7157"/>
      <c r="MKL11" s="7157"/>
      <c r="MKM11" s="7157"/>
      <c r="MKN11" s="7157"/>
      <c r="MKO11" s="7157"/>
      <c r="MKP11" s="7157"/>
      <c r="MKQ11" s="7158"/>
      <c r="MKR11" s="7158"/>
      <c r="MKS11" s="7158"/>
      <c r="MKT11" s="7158"/>
      <c r="MKU11" s="7158"/>
      <c r="MKV11" s="7159"/>
      <c r="MKW11" s="7152"/>
      <c r="MKX11" s="7153"/>
      <c r="MKY11" s="7153"/>
      <c r="MKZ11" s="7153"/>
      <c r="MLA11" s="7157"/>
      <c r="MLB11" s="7157"/>
      <c r="MLC11" s="7157"/>
      <c r="MLD11" s="7157"/>
      <c r="MLE11" s="7157"/>
      <c r="MLF11" s="7157"/>
      <c r="MLG11" s="7158"/>
      <c r="MLH11" s="7158"/>
      <c r="MLI11" s="7158"/>
      <c r="MLJ11" s="7158"/>
      <c r="MLK11" s="7158"/>
      <c r="MLL11" s="7159"/>
      <c r="MLM11" s="7152"/>
      <c r="MLN11" s="7153"/>
      <c r="MLO11" s="7153"/>
      <c r="MLP11" s="7153"/>
      <c r="MLQ11" s="7157"/>
      <c r="MLR11" s="7157"/>
      <c r="MLS11" s="7157"/>
      <c r="MLT11" s="7157"/>
      <c r="MLU11" s="7157"/>
      <c r="MLV11" s="7157"/>
      <c r="MLW11" s="7158"/>
      <c r="MLX11" s="7158"/>
      <c r="MLY11" s="7158"/>
      <c r="MLZ11" s="7158"/>
      <c r="MMA11" s="7158"/>
      <c r="MMB11" s="7159"/>
      <c r="MMC11" s="7152"/>
      <c r="MMD11" s="7153"/>
      <c r="MME11" s="7153"/>
      <c r="MMF11" s="7153"/>
      <c r="MMG11" s="7157"/>
      <c r="MMH11" s="7157"/>
      <c r="MMI11" s="7157"/>
      <c r="MMJ11" s="7157"/>
      <c r="MMK11" s="7157"/>
      <c r="MML11" s="7157"/>
      <c r="MMM11" s="7158"/>
      <c r="MMN11" s="7158"/>
      <c r="MMO11" s="7158"/>
      <c r="MMP11" s="7158"/>
      <c r="MMQ11" s="7158"/>
      <c r="MMR11" s="7159"/>
      <c r="MMS11" s="7152"/>
      <c r="MMT11" s="7153"/>
      <c r="MMU11" s="7153"/>
      <c r="MMV11" s="7153"/>
      <c r="MMW11" s="7157"/>
      <c r="MMX11" s="7157"/>
      <c r="MMY11" s="7157"/>
      <c r="MMZ11" s="7157"/>
      <c r="MNA11" s="7157"/>
      <c r="MNB11" s="7157"/>
      <c r="MNC11" s="7158"/>
      <c r="MND11" s="7158"/>
      <c r="MNE11" s="7158"/>
      <c r="MNF11" s="7158"/>
      <c r="MNG11" s="7158"/>
      <c r="MNH11" s="7159"/>
      <c r="MNI11" s="7152"/>
      <c r="MNJ11" s="7153"/>
      <c r="MNK11" s="7153"/>
      <c r="MNL11" s="7153"/>
      <c r="MNM11" s="7157"/>
      <c r="MNN11" s="7157"/>
      <c r="MNO11" s="7157"/>
      <c r="MNP11" s="7157"/>
      <c r="MNQ11" s="7157"/>
      <c r="MNR11" s="7157"/>
      <c r="MNS11" s="7158"/>
      <c r="MNT11" s="7158"/>
      <c r="MNU11" s="7158"/>
      <c r="MNV11" s="7158"/>
      <c r="MNW11" s="7158"/>
      <c r="MNX11" s="7159"/>
      <c r="MNY11" s="7152"/>
      <c r="MNZ11" s="7153"/>
      <c r="MOA11" s="7153"/>
      <c r="MOB11" s="7153"/>
      <c r="MOC11" s="7157"/>
      <c r="MOD11" s="7157"/>
      <c r="MOE11" s="7157"/>
      <c r="MOF11" s="7157"/>
      <c r="MOG11" s="7157"/>
      <c r="MOH11" s="7157"/>
      <c r="MOI11" s="7158"/>
      <c r="MOJ11" s="7158"/>
      <c r="MOK11" s="7158"/>
      <c r="MOL11" s="7158"/>
      <c r="MOM11" s="7158"/>
      <c r="MON11" s="7159"/>
      <c r="MOO11" s="7152"/>
      <c r="MOP11" s="7153"/>
      <c r="MOQ11" s="7153"/>
      <c r="MOR11" s="7153"/>
      <c r="MOS11" s="7157"/>
      <c r="MOT11" s="7157"/>
      <c r="MOU11" s="7157"/>
      <c r="MOV11" s="7157"/>
      <c r="MOW11" s="7157"/>
      <c r="MOX11" s="7157"/>
      <c r="MOY11" s="7158"/>
      <c r="MOZ11" s="7158"/>
      <c r="MPA11" s="7158"/>
      <c r="MPB11" s="7158"/>
      <c r="MPC11" s="7158"/>
      <c r="MPD11" s="7159"/>
      <c r="MPE11" s="7152"/>
      <c r="MPF11" s="7153"/>
      <c r="MPG11" s="7153"/>
      <c r="MPH11" s="7153"/>
      <c r="MPI11" s="7157"/>
      <c r="MPJ11" s="7157"/>
      <c r="MPK11" s="7157"/>
      <c r="MPL11" s="7157"/>
      <c r="MPM11" s="7157"/>
      <c r="MPN11" s="7157"/>
      <c r="MPO11" s="7158"/>
      <c r="MPP11" s="7158"/>
      <c r="MPQ11" s="7158"/>
      <c r="MPR11" s="7158"/>
      <c r="MPS11" s="7158"/>
      <c r="MPT11" s="7159"/>
      <c r="MPU11" s="7152"/>
      <c r="MPV11" s="7153"/>
      <c r="MPW11" s="7153"/>
      <c r="MPX11" s="7153"/>
      <c r="MPY11" s="7157"/>
      <c r="MPZ11" s="7157"/>
      <c r="MQA11" s="7157"/>
      <c r="MQB11" s="7157"/>
      <c r="MQC11" s="7157"/>
      <c r="MQD11" s="7157"/>
      <c r="MQE11" s="7158"/>
      <c r="MQF11" s="7158"/>
      <c r="MQG11" s="7158"/>
      <c r="MQH11" s="7158"/>
      <c r="MQI11" s="7158"/>
      <c r="MQJ11" s="7159"/>
      <c r="MQK11" s="7152"/>
      <c r="MQL11" s="7153"/>
      <c r="MQM11" s="7153"/>
      <c r="MQN11" s="7153"/>
      <c r="MQO11" s="7157"/>
      <c r="MQP11" s="7157"/>
      <c r="MQQ11" s="7157"/>
      <c r="MQR11" s="7157"/>
      <c r="MQS11" s="7157"/>
      <c r="MQT11" s="7157"/>
      <c r="MQU11" s="7158"/>
      <c r="MQV11" s="7158"/>
      <c r="MQW11" s="7158"/>
      <c r="MQX11" s="7158"/>
      <c r="MQY11" s="7158"/>
      <c r="MQZ11" s="7159"/>
      <c r="MRA11" s="7152"/>
      <c r="MRB11" s="7153"/>
      <c r="MRC11" s="7153"/>
      <c r="MRD11" s="7153"/>
      <c r="MRE11" s="7157"/>
      <c r="MRF11" s="7157"/>
      <c r="MRG11" s="7157"/>
      <c r="MRH11" s="7157"/>
      <c r="MRI11" s="7157"/>
      <c r="MRJ11" s="7157"/>
      <c r="MRK11" s="7158"/>
      <c r="MRL11" s="7158"/>
      <c r="MRM11" s="7158"/>
      <c r="MRN11" s="7158"/>
      <c r="MRO11" s="7158"/>
      <c r="MRP11" s="7159"/>
      <c r="MRQ11" s="7152"/>
      <c r="MRR11" s="7153"/>
      <c r="MRS11" s="7153"/>
      <c r="MRT11" s="7153"/>
      <c r="MRU11" s="7157"/>
      <c r="MRV11" s="7157"/>
      <c r="MRW11" s="7157"/>
      <c r="MRX11" s="7157"/>
      <c r="MRY11" s="7157"/>
      <c r="MRZ11" s="7157"/>
      <c r="MSA11" s="7158"/>
      <c r="MSB11" s="7158"/>
      <c r="MSC11" s="7158"/>
      <c r="MSD11" s="7158"/>
      <c r="MSE11" s="7158"/>
      <c r="MSF11" s="7159"/>
      <c r="MSG11" s="7152"/>
      <c r="MSH11" s="7153"/>
      <c r="MSI11" s="7153"/>
      <c r="MSJ11" s="7153"/>
      <c r="MSK11" s="7157"/>
      <c r="MSL11" s="7157"/>
      <c r="MSM11" s="7157"/>
      <c r="MSN11" s="7157"/>
      <c r="MSO11" s="7157"/>
      <c r="MSP11" s="7157"/>
      <c r="MSQ11" s="7158"/>
      <c r="MSR11" s="7158"/>
      <c r="MSS11" s="7158"/>
      <c r="MST11" s="7158"/>
      <c r="MSU11" s="7158"/>
      <c r="MSV11" s="7159"/>
      <c r="MSW11" s="7152"/>
      <c r="MSX11" s="7153"/>
      <c r="MSY11" s="7153"/>
      <c r="MSZ11" s="7153"/>
      <c r="MTA11" s="7157"/>
      <c r="MTB11" s="7157"/>
      <c r="MTC11" s="7157"/>
      <c r="MTD11" s="7157"/>
      <c r="MTE11" s="7157"/>
      <c r="MTF11" s="7157"/>
      <c r="MTG11" s="7158"/>
      <c r="MTH11" s="7158"/>
      <c r="MTI11" s="7158"/>
      <c r="MTJ11" s="7158"/>
      <c r="MTK11" s="7158"/>
      <c r="MTL11" s="7159"/>
      <c r="MTM11" s="7152"/>
      <c r="MTN11" s="7153"/>
      <c r="MTO11" s="7153"/>
      <c r="MTP11" s="7153"/>
      <c r="MTQ11" s="7157"/>
      <c r="MTR11" s="7157"/>
      <c r="MTS11" s="7157"/>
      <c r="MTT11" s="7157"/>
      <c r="MTU11" s="7157"/>
      <c r="MTV11" s="7157"/>
      <c r="MTW11" s="7158"/>
      <c r="MTX11" s="7158"/>
      <c r="MTY11" s="7158"/>
      <c r="MTZ11" s="7158"/>
      <c r="MUA11" s="7158"/>
      <c r="MUB11" s="7159"/>
      <c r="MUC11" s="7152"/>
      <c r="MUD11" s="7153"/>
      <c r="MUE11" s="7153"/>
      <c r="MUF11" s="7153"/>
      <c r="MUG11" s="7157"/>
      <c r="MUH11" s="7157"/>
      <c r="MUI11" s="7157"/>
      <c r="MUJ11" s="7157"/>
      <c r="MUK11" s="7157"/>
      <c r="MUL11" s="7157"/>
      <c r="MUM11" s="7158"/>
      <c r="MUN11" s="7158"/>
      <c r="MUO11" s="7158"/>
      <c r="MUP11" s="7158"/>
      <c r="MUQ11" s="7158"/>
      <c r="MUR11" s="7159"/>
      <c r="MUS11" s="7152"/>
      <c r="MUT11" s="7153"/>
      <c r="MUU11" s="7153"/>
      <c r="MUV11" s="7153"/>
      <c r="MUW11" s="7157"/>
      <c r="MUX11" s="7157"/>
      <c r="MUY11" s="7157"/>
      <c r="MUZ11" s="7157"/>
      <c r="MVA11" s="7157"/>
      <c r="MVB11" s="7157"/>
      <c r="MVC11" s="7158"/>
      <c r="MVD11" s="7158"/>
      <c r="MVE11" s="7158"/>
      <c r="MVF11" s="7158"/>
      <c r="MVG11" s="7158"/>
      <c r="MVH11" s="7159"/>
      <c r="MVI11" s="7152"/>
      <c r="MVJ11" s="7153"/>
      <c r="MVK11" s="7153"/>
      <c r="MVL11" s="7153"/>
      <c r="MVM11" s="7157"/>
      <c r="MVN11" s="7157"/>
      <c r="MVO11" s="7157"/>
      <c r="MVP11" s="7157"/>
      <c r="MVQ11" s="7157"/>
      <c r="MVR11" s="7157"/>
      <c r="MVS11" s="7158"/>
      <c r="MVT11" s="7158"/>
      <c r="MVU11" s="7158"/>
      <c r="MVV11" s="7158"/>
      <c r="MVW11" s="7158"/>
      <c r="MVX11" s="7159"/>
      <c r="MVY11" s="7152"/>
      <c r="MVZ11" s="7153"/>
      <c r="MWA11" s="7153"/>
      <c r="MWB11" s="7153"/>
      <c r="MWC11" s="7157"/>
      <c r="MWD11" s="7157"/>
      <c r="MWE11" s="7157"/>
      <c r="MWF11" s="7157"/>
      <c r="MWG11" s="7157"/>
      <c r="MWH11" s="7157"/>
      <c r="MWI11" s="7158"/>
      <c r="MWJ11" s="7158"/>
      <c r="MWK11" s="7158"/>
      <c r="MWL11" s="7158"/>
      <c r="MWM11" s="7158"/>
      <c r="MWN11" s="7159"/>
      <c r="MWO11" s="7152"/>
      <c r="MWP11" s="7153"/>
      <c r="MWQ11" s="7153"/>
      <c r="MWR11" s="7153"/>
      <c r="MWS11" s="7157"/>
      <c r="MWT11" s="7157"/>
      <c r="MWU11" s="7157"/>
      <c r="MWV11" s="7157"/>
      <c r="MWW11" s="7157"/>
      <c r="MWX11" s="7157"/>
      <c r="MWY11" s="7158"/>
      <c r="MWZ11" s="7158"/>
      <c r="MXA11" s="7158"/>
      <c r="MXB11" s="7158"/>
      <c r="MXC11" s="7158"/>
      <c r="MXD11" s="7159"/>
      <c r="MXE11" s="7152"/>
      <c r="MXF11" s="7153"/>
      <c r="MXG11" s="7153"/>
      <c r="MXH11" s="7153"/>
      <c r="MXI11" s="7157"/>
      <c r="MXJ11" s="7157"/>
      <c r="MXK11" s="7157"/>
      <c r="MXL11" s="7157"/>
      <c r="MXM11" s="7157"/>
      <c r="MXN11" s="7157"/>
      <c r="MXO11" s="7158"/>
      <c r="MXP11" s="7158"/>
      <c r="MXQ11" s="7158"/>
      <c r="MXR11" s="7158"/>
      <c r="MXS11" s="7158"/>
      <c r="MXT11" s="7159"/>
      <c r="MXU11" s="7152"/>
      <c r="MXV11" s="7153"/>
      <c r="MXW11" s="7153"/>
      <c r="MXX11" s="7153"/>
      <c r="MXY11" s="7157"/>
      <c r="MXZ11" s="7157"/>
      <c r="MYA11" s="7157"/>
      <c r="MYB11" s="7157"/>
      <c r="MYC11" s="7157"/>
      <c r="MYD11" s="7157"/>
      <c r="MYE11" s="7158"/>
      <c r="MYF11" s="7158"/>
      <c r="MYG11" s="7158"/>
      <c r="MYH11" s="7158"/>
      <c r="MYI11" s="7158"/>
      <c r="MYJ11" s="7159"/>
      <c r="MYK11" s="7152"/>
      <c r="MYL11" s="7153"/>
      <c r="MYM11" s="7153"/>
      <c r="MYN11" s="7153"/>
      <c r="MYO11" s="7157"/>
      <c r="MYP11" s="7157"/>
      <c r="MYQ11" s="7157"/>
      <c r="MYR11" s="7157"/>
      <c r="MYS11" s="7157"/>
      <c r="MYT11" s="7157"/>
      <c r="MYU11" s="7158"/>
      <c r="MYV11" s="7158"/>
      <c r="MYW11" s="7158"/>
      <c r="MYX11" s="7158"/>
      <c r="MYY11" s="7158"/>
      <c r="MYZ11" s="7159"/>
      <c r="MZA11" s="7152"/>
      <c r="MZB11" s="7153"/>
      <c r="MZC11" s="7153"/>
      <c r="MZD11" s="7153"/>
      <c r="MZE11" s="7157"/>
      <c r="MZF11" s="7157"/>
      <c r="MZG11" s="7157"/>
      <c r="MZH11" s="7157"/>
      <c r="MZI11" s="7157"/>
      <c r="MZJ11" s="7157"/>
      <c r="MZK11" s="7158"/>
      <c r="MZL11" s="7158"/>
      <c r="MZM11" s="7158"/>
      <c r="MZN11" s="7158"/>
      <c r="MZO11" s="7158"/>
      <c r="MZP11" s="7159"/>
      <c r="MZQ11" s="7152"/>
      <c r="MZR11" s="7153"/>
      <c r="MZS11" s="7153"/>
      <c r="MZT11" s="7153"/>
      <c r="MZU11" s="7157"/>
      <c r="MZV11" s="7157"/>
      <c r="MZW11" s="7157"/>
      <c r="MZX11" s="7157"/>
      <c r="MZY11" s="7157"/>
      <c r="MZZ11" s="7157"/>
      <c r="NAA11" s="7158"/>
      <c r="NAB11" s="7158"/>
      <c r="NAC11" s="7158"/>
      <c r="NAD11" s="7158"/>
      <c r="NAE11" s="7158"/>
      <c r="NAF11" s="7159"/>
      <c r="NAG11" s="7152"/>
      <c r="NAH11" s="7153"/>
      <c r="NAI11" s="7153"/>
      <c r="NAJ11" s="7153"/>
      <c r="NAK11" s="7157"/>
      <c r="NAL11" s="7157"/>
      <c r="NAM11" s="7157"/>
      <c r="NAN11" s="7157"/>
      <c r="NAO11" s="7157"/>
      <c r="NAP11" s="7157"/>
      <c r="NAQ11" s="7158"/>
      <c r="NAR11" s="7158"/>
      <c r="NAS11" s="7158"/>
      <c r="NAT11" s="7158"/>
      <c r="NAU11" s="7158"/>
      <c r="NAV11" s="7159"/>
      <c r="NAW11" s="7152"/>
      <c r="NAX11" s="7153"/>
      <c r="NAY11" s="7153"/>
      <c r="NAZ11" s="7153"/>
      <c r="NBA11" s="7157"/>
      <c r="NBB11" s="7157"/>
      <c r="NBC11" s="7157"/>
      <c r="NBD11" s="7157"/>
      <c r="NBE11" s="7157"/>
      <c r="NBF11" s="7157"/>
      <c r="NBG11" s="7158"/>
      <c r="NBH11" s="7158"/>
      <c r="NBI11" s="7158"/>
      <c r="NBJ11" s="7158"/>
      <c r="NBK11" s="7158"/>
      <c r="NBL11" s="7159"/>
      <c r="NBM11" s="7152"/>
      <c r="NBN11" s="7153"/>
      <c r="NBO11" s="7153"/>
      <c r="NBP11" s="7153"/>
      <c r="NBQ11" s="7157"/>
      <c r="NBR11" s="7157"/>
      <c r="NBS11" s="7157"/>
      <c r="NBT11" s="7157"/>
      <c r="NBU11" s="7157"/>
      <c r="NBV11" s="7157"/>
      <c r="NBW11" s="7158"/>
      <c r="NBX11" s="7158"/>
      <c r="NBY11" s="7158"/>
      <c r="NBZ11" s="7158"/>
      <c r="NCA11" s="7158"/>
      <c r="NCB11" s="7159"/>
      <c r="NCC11" s="7152"/>
      <c r="NCD11" s="7153"/>
      <c r="NCE11" s="7153"/>
      <c r="NCF11" s="7153"/>
      <c r="NCG11" s="7157"/>
      <c r="NCH11" s="7157"/>
      <c r="NCI11" s="7157"/>
      <c r="NCJ11" s="7157"/>
      <c r="NCK11" s="7157"/>
      <c r="NCL11" s="7157"/>
      <c r="NCM11" s="7158"/>
      <c r="NCN11" s="7158"/>
      <c r="NCO11" s="7158"/>
      <c r="NCP11" s="7158"/>
      <c r="NCQ11" s="7158"/>
      <c r="NCR11" s="7159"/>
      <c r="NCS11" s="7152"/>
      <c r="NCT11" s="7153"/>
      <c r="NCU11" s="7153"/>
      <c r="NCV11" s="7153"/>
      <c r="NCW11" s="7157"/>
      <c r="NCX11" s="7157"/>
      <c r="NCY11" s="7157"/>
      <c r="NCZ11" s="7157"/>
      <c r="NDA11" s="7157"/>
      <c r="NDB11" s="7157"/>
      <c r="NDC11" s="7158"/>
      <c r="NDD11" s="7158"/>
      <c r="NDE11" s="7158"/>
      <c r="NDF11" s="7158"/>
      <c r="NDG11" s="7158"/>
      <c r="NDH11" s="7159"/>
      <c r="NDI11" s="7152"/>
      <c r="NDJ11" s="7153"/>
      <c r="NDK11" s="7153"/>
      <c r="NDL11" s="7153"/>
      <c r="NDM11" s="7157"/>
      <c r="NDN11" s="7157"/>
      <c r="NDO11" s="7157"/>
      <c r="NDP11" s="7157"/>
      <c r="NDQ11" s="7157"/>
      <c r="NDR11" s="7157"/>
      <c r="NDS11" s="7158"/>
      <c r="NDT11" s="7158"/>
      <c r="NDU11" s="7158"/>
      <c r="NDV11" s="7158"/>
      <c r="NDW11" s="7158"/>
      <c r="NDX11" s="7159"/>
      <c r="NDY11" s="7152"/>
      <c r="NDZ11" s="7153"/>
      <c r="NEA11" s="7153"/>
      <c r="NEB11" s="7153"/>
      <c r="NEC11" s="7157"/>
      <c r="NED11" s="7157"/>
      <c r="NEE11" s="7157"/>
      <c r="NEF11" s="7157"/>
      <c r="NEG11" s="7157"/>
      <c r="NEH11" s="7157"/>
      <c r="NEI11" s="7158"/>
      <c r="NEJ11" s="7158"/>
      <c r="NEK11" s="7158"/>
      <c r="NEL11" s="7158"/>
      <c r="NEM11" s="7158"/>
      <c r="NEN11" s="7159"/>
      <c r="NEO11" s="7152"/>
      <c r="NEP11" s="7153"/>
      <c r="NEQ11" s="7153"/>
      <c r="NER11" s="7153"/>
      <c r="NES11" s="7157"/>
      <c r="NET11" s="7157"/>
      <c r="NEU11" s="7157"/>
      <c r="NEV11" s="7157"/>
      <c r="NEW11" s="7157"/>
      <c r="NEX11" s="7157"/>
      <c r="NEY11" s="7158"/>
      <c r="NEZ11" s="7158"/>
      <c r="NFA11" s="7158"/>
      <c r="NFB11" s="7158"/>
      <c r="NFC11" s="7158"/>
      <c r="NFD11" s="7159"/>
      <c r="NFE11" s="7152"/>
      <c r="NFF11" s="7153"/>
      <c r="NFG11" s="7153"/>
      <c r="NFH11" s="7153"/>
      <c r="NFI11" s="7157"/>
      <c r="NFJ11" s="7157"/>
      <c r="NFK11" s="7157"/>
      <c r="NFL11" s="7157"/>
      <c r="NFM11" s="7157"/>
      <c r="NFN11" s="7157"/>
      <c r="NFO11" s="7158"/>
      <c r="NFP11" s="7158"/>
      <c r="NFQ11" s="7158"/>
      <c r="NFR11" s="7158"/>
      <c r="NFS11" s="7158"/>
      <c r="NFT11" s="7159"/>
      <c r="NFU11" s="7152"/>
      <c r="NFV11" s="7153"/>
      <c r="NFW11" s="7153"/>
      <c r="NFX11" s="7153"/>
      <c r="NFY11" s="7157"/>
      <c r="NFZ11" s="7157"/>
      <c r="NGA11" s="7157"/>
      <c r="NGB11" s="7157"/>
      <c r="NGC11" s="7157"/>
      <c r="NGD11" s="7157"/>
      <c r="NGE11" s="7158"/>
      <c r="NGF11" s="7158"/>
      <c r="NGG11" s="7158"/>
      <c r="NGH11" s="7158"/>
      <c r="NGI11" s="7158"/>
      <c r="NGJ11" s="7159"/>
      <c r="NGK11" s="7152"/>
      <c r="NGL11" s="7153"/>
      <c r="NGM11" s="7153"/>
      <c r="NGN11" s="7153"/>
      <c r="NGO11" s="7157"/>
      <c r="NGP11" s="7157"/>
      <c r="NGQ11" s="7157"/>
      <c r="NGR11" s="7157"/>
      <c r="NGS11" s="7157"/>
      <c r="NGT11" s="7157"/>
      <c r="NGU11" s="7158"/>
      <c r="NGV11" s="7158"/>
      <c r="NGW11" s="7158"/>
      <c r="NGX11" s="7158"/>
      <c r="NGY11" s="7158"/>
      <c r="NGZ11" s="7159"/>
      <c r="NHA11" s="7152"/>
      <c r="NHB11" s="7153"/>
      <c r="NHC11" s="7153"/>
      <c r="NHD11" s="7153"/>
      <c r="NHE11" s="7157"/>
      <c r="NHF11" s="7157"/>
      <c r="NHG11" s="7157"/>
      <c r="NHH11" s="7157"/>
      <c r="NHI11" s="7157"/>
      <c r="NHJ11" s="7157"/>
      <c r="NHK11" s="7158"/>
      <c r="NHL11" s="7158"/>
      <c r="NHM11" s="7158"/>
      <c r="NHN11" s="7158"/>
      <c r="NHO11" s="7158"/>
      <c r="NHP11" s="7159"/>
      <c r="NHQ11" s="7152"/>
      <c r="NHR11" s="7153"/>
      <c r="NHS11" s="7153"/>
      <c r="NHT11" s="7153"/>
      <c r="NHU11" s="7157"/>
      <c r="NHV11" s="7157"/>
      <c r="NHW11" s="7157"/>
      <c r="NHX11" s="7157"/>
      <c r="NHY11" s="7157"/>
      <c r="NHZ11" s="7157"/>
      <c r="NIA11" s="7158"/>
      <c r="NIB11" s="7158"/>
      <c r="NIC11" s="7158"/>
      <c r="NID11" s="7158"/>
      <c r="NIE11" s="7158"/>
      <c r="NIF11" s="7159"/>
      <c r="NIG11" s="7152"/>
      <c r="NIH11" s="7153"/>
      <c r="NII11" s="7153"/>
      <c r="NIJ11" s="7153"/>
      <c r="NIK11" s="7157"/>
      <c r="NIL11" s="7157"/>
      <c r="NIM11" s="7157"/>
      <c r="NIN11" s="7157"/>
      <c r="NIO11" s="7157"/>
      <c r="NIP11" s="7157"/>
      <c r="NIQ11" s="7158"/>
      <c r="NIR11" s="7158"/>
      <c r="NIS11" s="7158"/>
      <c r="NIT11" s="7158"/>
      <c r="NIU11" s="7158"/>
      <c r="NIV11" s="7159"/>
      <c r="NIW11" s="7152"/>
      <c r="NIX11" s="7153"/>
      <c r="NIY11" s="7153"/>
      <c r="NIZ11" s="7153"/>
      <c r="NJA11" s="7157"/>
      <c r="NJB11" s="7157"/>
      <c r="NJC11" s="7157"/>
      <c r="NJD11" s="7157"/>
      <c r="NJE11" s="7157"/>
      <c r="NJF11" s="7157"/>
      <c r="NJG11" s="7158"/>
      <c r="NJH11" s="7158"/>
      <c r="NJI11" s="7158"/>
      <c r="NJJ11" s="7158"/>
      <c r="NJK11" s="7158"/>
      <c r="NJL11" s="7159"/>
      <c r="NJM11" s="7152"/>
      <c r="NJN11" s="7153"/>
      <c r="NJO11" s="7153"/>
      <c r="NJP11" s="7153"/>
      <c r="NJQ11" s="7157"/>
      <c r="NJR11" s="7157"/>
      <c r="NJS11" s="7157"/>
      <c r="NJT11" s="7157"/>
      <c r="NJU11" s="7157"/>
      <c r="NJV11" s="7157"/>
      <c r="NJW11" s="7158"/>
      <c r="NJX11" s="7158"/>
      <c r="NJY11" s="7158"/>
      <c r="NJZ11" s="7158"/>
      <c r="NKA11" s="7158"/>
      <c r="NKB11" s="7159"/>
      <c r="NKC11" s="7152"/>
      <c r="NKD11" s="7153"/>
      <c r="NKE11" s="7153"/>
      <c r="NKF11" s="7153"/>
      <c r="NKG11" s="7157"/>
      <c r="NKH11" s="7157"/>
      <c r="NKI11" s="7157"/>
      <c r="NKJ11" s="7157"/>
      <c r="NKK11" s="7157"/>
      <c r="NKL11" s="7157"/>
      <c r="NKM11" s="7158"/>
      <c r="NKN11" s="7158"/>
      <c r="NKO11" s="7158"/>
      <c r="NKP11" s="7158"/>
      <c r="NKQ11" s="7158"/>
      <c r="NKR11" s="7159"/>
      <c r="NKS11" s="7152"/>
      <c r="NKT11" s="7153"/>
      <c r="NKU11" s="7153"/>
      <c r="NKV11" s="7153"/>
      <c r="NKW11" s="7157"/>
      <c r="NKX11" s="7157"/>
      <c r="NKY11" s="7157"/>
      <c r="NKZ11" s="7157"/>
      <c r="NLA11" s="7157"/>
      <c r="NLB11" s="7157"/>
      <c r="NLC11" s="7158"/>
      <c r="NLD11" s="7158"/>
      <c r="NLE11" s="7158"/>
      <c r="NLF11" s="7158"/>
      <c r="NLG11" s="7158"/>
      <c r="NLH11" s="7159"/>
      <c r="NLI11" s="7152"/>
      <c r="NLJ11" s="7153"/>
      <c r="NLK11" s="7153"/>
      <c r="NLL11" s="7153"/>
      <c r="NLM11" s="7157"/>
      <c r="NLN11" s="7157"/>
      <c r="NLO11" s="7157"/>
      <c r="NLP11" s="7157"/>
      <c r="NLQ11" s="7157"/>
      <c r="NLR11" s="7157"/>
      <c r="NLS11" s="7158"/>
      <c r="NLT11" s="7158"/>
      <c r="NLU11" s="7158"/>
      <c r="NLV11" s="7158"/>
      <c r="NLW11" s="7158"/>
      <c r="NLX11" s="7159"/>
      <c r="NLY11" s="7152"/>
      <c r="NLZ11" s="7153"/>
      <c r="NMA11" s="7153"/>
      <c r="NMB11" s="7153"/>
      <c r="NMC11" s="7157"/>
      <c r="NMD11" s="7157"/>
      <c r="NME11" s="7157"/>
      <c r="NMF11" s="7157"/>
      <c r="NMG11" s="7157"/>
      <c r="NMH11" s="7157"/>
      <c r="NMI11" s="7158"/>
      <c r="NMJ11" s="7158"/>
      <c r="NMK11" s="7158"/>
      <c r="NML11" s="7158"/>
      <c r="NMM11" s="7158"/>
      <c r="NMN11" s="7159"/>
      <c r="NMO11" s="7152"/>
      <c r="NMP11" s="7153"/>
      <c r="NMQ11" s="7153"/>
      <c r="NMR11" s="7153"/>
      <c r="NMS11" s="7157"/>
      <c r="NMT11" s="7157"/>
      <c r="NMU11" s="7157"/>
      <c r="NMV11" s="7157"/>
      <c r="NMW11" s="7157"/>
      <c r="NMX11" s="7157"/>
      <c r="NMY11" s="7158"/>
      <c r="NMZ11" s="7158"/>
      <c r="NNA11" s="7158"/>
      <c r="NNB11" s="7158"/>
      <c r="NNC11" s="7158"/>
      <c r="NND11" s="7159"/>
      <c r="NNE11" s="7152"/>
      <c r="NNF11" s="7153"/>
      <c r="NNG11" s="7153"/>
      <c r="NNH11" s="7153"/>
      <c r="NNI11" s="7157"/>
      <c r="NNJ11" s="7157"/>
      <c r="NNK11" s="7157"/>
      <c r="NNL11" s="7157"/>
      <c r="NNM11" s="7157"/>
      <c r="NNN11" s="7157"/>
      <c r="NNO11" s="7158"/>
      <c r="NNP11" s="7158"/>
      <c r="NNQ11" s="7158"/>
      <c r="NNR11" s="7158"/>
      <c r="NNS11" s="7158"/>
      <c r="NNT11" s="7159"/>
      <c r="NNU11" s="7152"/>
      <c r="NNV11" s="7153"/>
      <c r="NNW11" s="7153"/>
      <c r="NNX11" s="7153"/>
      <c r="NNY11" s="7157"/>
      <c r="NNZ11" s="7157"/>
      <c r="NOA11" s="7157"/>
      <c r="NOB11" s="7157"/>
      <c r="NOC11" s="7157"/>
      <c r="NOD11" s="7157"/>
      <c r="NOE11" s="7158"/>
      <c r="NOF11" s="7158"/>
      <c r="NOG11" s="7158"/>
      <c r="NOH11" s="7158"/>
      <c r="NOI11" s="7158"/>
      <c r="NOJ11" s="7159"/>
      <c r="NOK11" s="7152"/>
      <c r="NOL11" s="7153"/>
      <c r="NOM11" s="7153"/>
      <c r="NON11" s="7153"/>
      <c r="NOO11" s="7157"/>
      <c r="NOP11" s="7157"/>
      <c r="NOQ11" s="7157"/>
      <c r="NOR11" s="7157"/>
      <c r="NOS11" s="7157"/>
      <c r="NOT11" s="7157"/>
      <c r="NOU11" s="7158"/>
      <c r="NOV11" s="7158"/>
      <c r="NOW11" s="7158"/>
      <c r="NOX11" s="7158"/>
      <c r="NOY11" s="7158"/>
      <c r="NOZ11" s="7159"/>
      <c r="NPA11" s="7152"/>
      <c r="NPB11" s="7153"/>
      <c r="NPC11" s="7153"/>
      <c r="NPD11" s="7153"/>
      <c r="NPE11" s="7157"/>
      <c r="NPF11" s="7157"/>
      <c r="NPG11" s="7157"/>
      <c r="NPH11" s="7157"/>
      <c r="NPI11" s="7157"/>
      <c r="NPJ11" s="7157"/>
      <c r="NPK11" s="7158"/>
      <c r="NPL11" s="7158"/>
      <c r="NPM11" s="7158"/>
      <c r="NPN11" s="7158"/>
      <c r="NPO11" s="7158"/>
      <c r="NPP11" s="7159"/>
      <c r="NPQ11" s="7152"/>
      <c r="NPR11" s="7153"/>
      <c r="NPS11" s="7153"/>
      <c r="NPT11" s="7153"/>
      <c r="NPU11" s="7157"/>
      <c r="NPV11" s="7157"/>
      <c r="NPW11" s="7157"/>
      <c r="NPX11" s="7157"/>
      <c r="NPY11" s="7157"/>
      <c r="NPZ11" s="7157"/>
      <c r="NQA11" s="7158"/>
      <c r="NQB11" s="7158"/>
      <c r="NQC11" s="7158"/>
      <c r="NQD11" s="7158"/>
      <c r="NQE11" s="7158"/>
      <c r="NQF11" s="7159"/>
      <c r="NQG11" s="7152"/>
      <c r="NQH11" s="7153"/>
      <c r="NQI11" s="7153"/>
      <c r="NQJ11" s="7153"/>
      <c r="NQK11" s="7157"/>
      <c r="NQL11" s="7157"/>
      <c r="NQM11" s="7157"/>
      <c r="NQN11" s="7157"/>
      <c r="NQO11" s="7157"/>
      <c r="NQP11" s="7157"/>
      <c r="NQQ11" s="7158"/>
      <c r="NQR11" s="7158"/>
      <c r="NQS11" s="7158"/>
      <c r="NQT11" s="7158"/>
      <c r="NQU11" s="7158"/>
      <c r="NQV11" s="7159"/>
      <c r="NQW11" s="7152"/>
      <c r="NQX11" s="7153"/>
      <c r="NQY11" s="7153"/>
      <c r="NQZ11" s="7153"/>
      <c r="NRA11" s="7157"/>
      <c r="NRB11" s="7157"/>
      <c r="NRC11" s="7157"/>
      <c r="NRD11" s="7157"/>
      <c r="NRE11" s="7157"/>
      <c r="NRF11" s="7157"/>
      <c r="NRG11" s="7158"/>
      <c r="NRH11" s="7158"/>
      <c r="NRI11" s="7158"/>
      <c r="NRJ11" s="7158"/>
      <c r="NRK11" s="7158"/>
      <c r="NRL11" s="7159"/>
      <c r="NRM11" s="7152"/>
      <c r="NRN11" s="7153"/>
      <c r="NRO11" s="7153"/>
      <c r="NRP11" s="7153"/>
      <c r="NRQ11" s="7157"/>
      <c r="NRR11" s="7157"/>
      <c r="NRS11" s="7157"/>
      <c r="NRT11" s="7157"/>
      <c r="NRU11" s="7157"/>
      <c r="NRV11" s="7157"/>
      <c r="NRW11" s="7158"/>
      <c r="NRX11" s="7158"/>
      <c r="NRY11" s="7158"/>
      <c r="NRZ11" s="7158"/>
      <c r="NSA11" s="7158"/>
      <c r="NSB11" s="7159"/>
      <c r="NSC11" s="7152"/>
      <c r="NSD11" s="7153"/>
      <c r="NSE11" s="7153"/>
      <c r="NSF11" s="7153"/>
      <c r="NSG11" s="7157"/>
      <c r="NSH11" s="7157"/>
      <c r="NSI11" s="7157"/>
      <c r="NSJ11" s="7157"/>
      <c r="NSK11" s="7157"/>
      <c r="NSL11" s="7157"/>
      <c r="NSM11" s="7158"/>
      <c r="NSN11" s="7158"/>
      <c r="NSO11" s="7158"/>
      <c r="NSP11" s="7158"/>
      <c r="NSQ11" s="7158"/>
      <c r="NSR11" s="7159"/>
      <c r="NSS11" s="7152"/>
      <c r="NST11" s="7153"/>
      <c r="NSU11" s="7153"/>
      <c r="NSV11" s="7153"/>
      <c r="NSW11" s="7157"/>
      <c r="NSX11" s="7157"/>
      <c r="NSY11" s="7157"/>
      <c r="NSZ11" s="7157"/>
      <c r="NTA11" s="7157"/>
      <c r="NTB11" s="7157"/>
      <c r="NTC11" s="7158"/>
      <c r="NTD11" s="7158"/>
      <c r="NTE11" s="7158"/>
      <c r="NTF11" s="7158"/>
      <c r="NTG11" s="7158"/>
      <c r="NTH11" s="7159"/>
      <c r="NTI11" s="7152"/>
      <c r="NTJ11" s="7153"/>
      <c r="NTK11" s="7153"/>
      <c r="NTL11" s="7153"/>
      <c r="NTM11" s="7157"/>
      <c r="NTN11" s="7157"/>
      <c r="NTO11" s="7157"/>
      <c r="NTP11" s="7157"/>
      <c r="NTQ11" s="7157"/>
      <c r="NTR11" s="7157"/>
      <c r="NTS11" s="7158"/>
      <c r="NTT11" s="7158"/>
      <c r="NTU11" s="7158"/>
      <c r="NTV11" s="7158"/>
      <c r="NTW11" s="7158"/>
      <c r="NTX11" s="7159"/>
      <c r="NTY11" s="7152"/>
      <c r="NTZ11" s="7153"/>
      <c r="NUA11" s="7153"/>
      <c r="NUB11" s="7153"/>
      <c r="NUC11" s="7157"/>
      <c r="NUD11" s="7157"/>
      <c r="NUE11" s="7157"/>
      <c r="NUF11" s="7157"/>
      <c r="NUG11" s="7157"/>
      <c r="NUH11" s="7157"/>
      <c r="NUI11" s="7158"/>
      <c r="NUJ11" s="7158"/>
      <c r="NUK11" s="7158"/>
      <c r="NUL11" s="7158"/>
      <c r="NUM11" s="7158"/>
      <c r="NUN11" s="7159"/>
      <c r="NUO11" s="7152"/>
      <c r="NUP11" s="7153"/>
      <c r="NUQ11" s="7153"/>
      <c r="NUR11" s="7153"/>
      <c r="NUS11" s="7157"/>
      <c r="NUT11" s="7157"/>
      <c r="NUU11" s="7157"/>
      <c r="NUV11" s="7157"/>
      <c r="NUW11" s="7157"/>
      <c r="NUX11" s="7157"/>
      <c r="NUY11" s="7158"/>
      <c r="NUZ11" s="7158"/>
      <c r="NVA11" s="7158"/>
      <c r="NVB11" s="7158"/>
      <c r="NVC11" s="7158"/>
      <c r="NVD11" s="7159"/>
      <c r="NVE11" s="7152"/>
      <c r="NVF11" s="7153"/>
      <c r="NVG11" s="7153"/>
      <c r="NVH11" s="7153"/>
      <c r="NVI11" s="7157"/>
      <c r="NVJ11" s="7157"/>
      <c r="NVK11" s="7157"/>
      <c r="NVL11" s="7157"/>
      <c r="NVM11" s="7157"/>
      <c r="NVN11" s="7157"/>
      <c r="NVO11" s="7158"/>
      <c r="NVP11" s="7158"/>
      <c r="NVQ11" s="7158"/>
      <c r="NVR11" s="7158"/>
      <c r="NVS11" s="7158"/>
      <c r="NVT11" s="7159"/>
      <c r="NVU11" s="7152"/>
      <c r="NVV11" s="7153"/>
      <c r="NVW11" s="7153"/>
      <c r="NVX11" s="7153"/>
      <c r="NVY11" s="7157"/>
      <c r="NVZ11" s="7157"/>
      <c r="NWA11" s="7157"/>
      <c r="NWB11" s="7157"/>
      <c r="NWC11" s="7157"/>
      <c r="NWD11" s="7157"/>
      <c r="NWE11" s="7158"/>
      <c r="NWF11" s="7158"/>
      <c r="NWG11" s="7158"/>
      <c r="NWH11" s="7158"/>
      <c r="NWI11" s="7158"/>
      <c r="NWJ11" s="7159"/>
      <c r="NWK11" s="7152"/>
      <c r="NWL11" s="7153"/>
      <c r="NWM11" s="7153"/>
      <c r="NWN11" s="7153"/>
      <c r="NWO11" s="7157"/>
      <c r="NWP11" s="7157"/>
      <c r="NWQ11" s="7157"/>
      <c r="NWR11" s="7157"/>
      <c r="NWS11" s="7157"/>
      <c r="NWT11" s="7157"/>
      <c r="NWU11" s="7158"/>
      <c r="NWV11" s="7158"/>
      <c r="NWW11" s="7158"/>
      <c r="NWX11" s="7158"/>
      <c r="NWY11" s="7158"/>
      <c r="NWZ11" s="7159"/>
      <c r="NXA11" s="7152"/>
      <c r="NXB11" s="7153"/>
      <c r="NXC11" s="7153"/>
      <c r="NXD11" s="7153"/>
      <c r="NXE11" s="7157"/>
      <c r="NXF11" s="7157"/>
      <c r="NXG11" s="7157"/>
      <c r="NXH11" s="7157"/>
      <c r="NXI11" s="7157"/>
      <c r="NXJ11" s="7157"/>
      <c r="NXK11" s="7158"/>
      <c r="NXL11" s="7158"/>
      <c r="NXM11" s="7158"/>
      <c r="NXN11" s="7158"/>
      <c r="NXO11" s="7158"/>
      <c r="NXP11" s="7159"/>
      <c r="NXQ11" s="7152"/>
      <c r="NXR11" s="7153"/>
      <c r="NXS11" s="7153"/>
      <c r="NXT11" s="7153"/>
      <c r="NXU11" s="7157"/>
      <c r="NXV11" s="7157"/>
      <c r="NXW11" s="7157"/>
      <c r="NXX11" s="7157"/>
      <c r="NXY11" s="7157"/>
      <c r="NXZ11" s="7157"/>
      <c r="NYA11" s="7158"/>
      <c r="NYB11" s="7158"/>
      <c r="NYC11" s="7158"/>
      <c r="NYD11" s="7158"/>
      <c r="NYE11" s="7158"/>
      <c r="NYF11" s="7159"/>
      <c r="NYG11" s="7152"/>
      <c r="NYH11" s="7153"/>
      <c r="NYI11" s="7153"/>
      <c r="NYJ11" s="7153"/>
      <c r="NYK11" s="7157"/>
      <c r="NYL11" s="7157"/>
      <c r="NYM11" s="7157"/>
      <c r="NYN11" s="7157"/>
      <c r="NYO11" s="7157"/>
      <c r="NYP11" s="7157"/>
      <c r="NYQ11" s="7158"/>
      <c r="NYR11" s="7158"/>
      <c r="NYS11" s="7158"/>
      <c r="NYT11" s="7158"/>
      <c r="NYU11" s="7158"/>
      <c r="NYV11" s="7159"/>
      <c r="NYW11" s="7152"/>
      <c r="NYX11" s="7153"/>
      <c r="NYY11" s="7153"/>
      <c r="NYZ11" s="7153"/>
      <c r="NZA11" s="7157"/>
      <c r="NZB11" s="7157"/>
      <c r="NZC11" s="7157"/>
      <c r="NZD11" s="7157"/>
      <c r="NZE11" s="7157"/>
      <c r="NZF11" s="7157"/>
      <c r="NZG11" s="7158"/>
      <c r="NZH11" s="7158"/>
      <c r="NZI11" s="7158"/>
      <c r="NZJ11" s="7158"/>
      <c r="NZK11" s="7158"/>
      <c r="NZL11" s="7159"/>
      <c r="NZM11" s="7152"/>
      <c r="NZN11" s="7153"/>
      <c r="NZO11" s="7153"/>
      <c r="NZP11" s="7153"/>
      <c r="NZQ11" s="7157"/>
      <c r="NZR11" s="7157"/>
      <c r="NZS11" s="7157"/>
      <c r="NZT11" s="7157"/>
      <c r="NZU11" s="7157"/>
      <c r="NZV11" s="7157"/>
      <c r="NZW11" s="7158"/>
      <c r="NZX11" s="7158"/>
      <c r="NZY11" s="7158"/>
      <c r="NZZ11" s="7158"/>
      <c r="OAA11" s="7158"/>
      <c r="OAB11" s="7159"/>
      <c r="OAC11" s="7152"/>
      <c r="OAD11" s="7153"/>
      <c r="OAE11" s="7153"/>
      <c r="OAF11" s="7153"/>
      <c r="OAG11" s="7157"/>
      <c r="OAH11" s="7157"/>
      <c r="OAI11" s="7157"/>
      <c r="OAJ11" s="7157"/>
      <c r="OAK11" s="7157"/>
      <c r="OAL11" s="7157"/>
      <c r="OAM11" s="7158"/>
      <c r="OAN11" s="7158"/>
      <c r="OAO11" s="7158"/>
      <c r="OAP11" s="7158"/>
      <c r="OAQ11" s="7158"/>
      <c r="OAR11" s="7159"/>
      <c r="OAS11" s="7152"/>
      <c r="OAT11" s="7153"/>
      <c r="OAU11" s="7153"/>
      <c r="OAV11" s="7153"/>
      <c r="OAW11" s="7157"/>
      <c r="OAX11" s="7157"/>
      <c r="OAY11" s="7157"/>
      <c r="OAZ11" s="7157"/>
      <c r="OBA11" s="7157"/>
      <c r="OBB11" s="7157"/>
      <c r="OBC11" s="7158"/>
      <c r="OBD11" s="7158"/>
      <c r="OBE11" s="7158"/>
      <c r="OBF11" s="7158"/>
      <c r="OBG11" s="7158"/>
      <c r="OBH11" s="7159"/>
      <c r="OBI11" s="7152"/>
      <c r="OBJ11" s="7153"/>
      <c r="OBK11" s="7153"/>
      <c r="OBL11" s="7153"/>
      <c r="OBM11" s="7157"/>
      <c r="OBN11" s="7157"/>
      <c r="OBO11" s="7157"/>
      <c r="OBP11" s="7157"/>
      <c r="OBQ11" s="7157"/>
      <c r="OBR11" s="7157"/>
      <c r="OBS11" s="7158"/>
      <c r="OBT11" s="7158"/>
      <c r="OBU11" s="7158"/>
      <c r="OBV11" s="7158"/>
      <c r="OBW11" s="7158"/>
      <c r="OBX11" s="7159"/>
      <c r="OBY11" s="7152"/>
      <c r="OBZ11" s="7153"/>
      <c r="OCA11" s="7153"/>
      <c r="OCB11" s="7153"/>
      <c r="OCC11" s="7157"/>
      <c r="OCD11" s="7157"/>
      <c r="OCE11" s="7157"/>
      <c r="OCF11" s="7157"/>
      <c r="OCG11" s="7157"/>
      <c r="OCH11" s="7157"/>
      <c r="OCI11" s="7158"/>
      <c r="OCJ11" s="7158"/>
      <c r="OCK11" s="7158"/>
      <c r="OCL11" s="7158"/>
      <c r="OCM11" s="7158"/>
      <c r="OCN11" s="7159"/>
      <c r="OCO11" s="7152"/>
      <c r="OCP11" s="7153"/>
      <c r="OCQ11" s="7153"/>
      <c r="OCR11" s="7153"/>
      <c r="OCS11" s="7157"/>
      <c r="OCT11" s="7157"/>
      <c r="OCU11" s="7157"/>
      <c r="OCV11" s="7157"/>
      <c r="OCW11" s="7157"/>
      <c r="OCX11" s="7157"/>
      <c r="OCY11" s="7158"/>
      <c r="OCZ11" s="7158"/>
      <c r="ODA11" s="7158"/>
      <c r="ODB11" s="7158"/>
      <c r="ODC11" s="7158"/>
      <c r="ODD11" s="7159"/>
      <c r="ODE11" s="7152"/>
      <c r="ODF11" s="7153"/>
      <c r="ODG11" s="7153"/>
      <c r="ODH11" s="7153"/>
      <c r="ODI11" s="7157"/>
      <c r="ODJ11" s="7157"/>
      <c r="ODK11" s="7157"/>
      <c r="ODL11" s="7157"/>
      <c r="ODM11" s="7157"/>
      <c r="ODN11" s="7157"/>
      <c r="ODO11" s="7158"/>
      <c r="ODP11" s="7158"/>
      <c r="ODQ11" s="7158"/>
      <c r="ODR11" s="7158"/>
      <c r="ODS11" s="7158"/>
      <c r="ODT11" s="7159"/>
      <c r="ODU11" s="7152"/>
      <c r="ODV11" s="7153"/>
      <c r="ODW11" s="7153"/>
      <c r="ODX11" s="7153"/>
      <c r="ODY11" s="7157"/>
      <c r="ODZ11" s="7157"/>
      <c r="OEA11" s="7157"/>
      <c r="OEB11" s="7157"/>
      <c r="OEC11" s="7157"/>
      <c r="OED11" s="7157"/>
      <c r="OEE11" s="7158"/>
      <c r="OEF11" s="7158"/>
      <c r="OEG11" s="7158"/>
      <c r="OEH11" s="7158"/>
      <c r="OEI11" s="7158"/>
      <c r="OEJ11" s="7159"/>
      <c r="OEK11" s="7152"/>
      <c r="OEL11" s="7153"/>
      <c r="OEM11" s="7153"/>
      <c r="OEN11" s="7153"/>
      <c r="OEO11" s="7157"/>
      <c r="OEP11" s="7157"/>
      <c r="OEQ11" s="7157"/>
      <c r="OER11" s="7157"/>
      <c r="OES11" s="7157"/>
      <c r="OET11" s="7157"/>
      <c r="OEU11" s="7158"/>
      <c r="OEV11" s="7158"/>
      <c r="OEW11" s="7158"/>
      <c r="OEX11" s="7158"/>
      <c r="OEY11" s="7158"/>
      <c r="OEZ11" s="7159"/>
      <c r="OFA11" s="7152"/>
      <c r="OFB11" s="7153"/>
      <c r="OFC11" s="7153"/>
      <c r="OFD11" s="7153"/>
      <c r="OFE11" s="7157"/>
      <c r="OFF11" s="7157"/>
      <c r="OFG11" s="7157"/>
      <c r="OFH11" s="7157"/>
      <c r="OFI11" s="7157"/>
      <c r="OFJ11" s="7157"/>
      <c r="OFK11" s="7158"/>
      <c r="OFL11" s="7158"/>
      <c r="OFM11" s="7158"/>
      <c r="OFN11" s="7158"/>
      <c r="OFO11" s="7158"/>
      <c r="OFP11" s="7159"/>
      <c r="OFQ11" s="7152"/>
      <c r="OFR11" s="7153"/>
      <c r="OFS11" s="7153"/>
      <c r="OFT11" s="7153"/>
      <c r="OFU11" s="7157"/>
      <c r="OFV11" s="7157"/>
      <c r="OFW11" s="7157"/>
      <c r="OFX11" s="7157"/>
      <c r="OFY11" s="7157"/>
      <c r="OFZ11" s="7157"/>
      <c r="OGA11" s="7158"/>
      <c r="OGB11" s="7158"/>
      <c r="OGC11" s="7158"/>
      <c r="OGD11" s="7158"/>
      <c r="OGE11" s="7158"/>
      <c r="OGF11" s="7159"/>
      <c r="OGG11" s="7152"/>
      <c r="OGH11" s="7153"/>
      <c r="OGI11" s="7153"/>
      <c r="OGJ11" s="7153"/>
      <c r="OGK11" s="7157"/>
      <c r="OGL11" s="7157"/>
      <c r="OGM11" s="7157"/>
      <c r="OGN11" s="7157"/>
      <c r="OGO11" s="7157"/>
      <c r="OGP11" s="7157"/>
      <c r="OGQ11" s="7158"/>
      <c r="OGR11" s="7158"/>
      <c r="OGS11" s="7158"/>
      <c r="OGT11" s="7158"/>
      <c r="OGU11" s="7158"/>
      <c r="OGV11" s="7159"/>
      <c r="OGW11" s="7152"/>
      <c r="OGX11" s="7153"/>
      <c r="OGY11" s="7153"/>
      <c r="OGZ11" s="7153"/>
      <c r="OHA11" s="7157"/>
      <c r="OHB11" s="7157"/>
      <c r="OHC11" s="7157"/>
      <c r="OHD11" s="7157"/>
      <c r="OHE11" s="7157"/>
      <c r="OHF11" s="7157"/>
      <c r="OHG11" s="7158"/>
      <c r="OHH11" s="7158"/>
      <c r="OHI11" s="7158"/>
      <c r="OHJ11" s="7158"/>
      <c r="OHK11" s="7158"/>
      <c r="OHL11" s="7159"/>
      <c r="OHM11" s="7152"/>
      <c r="OHN11" s="7153"/>
      <c r="OHO11" s="7153"/>
      <c r="OHP11" s="7153"/>
      <c r="OHQ11" s="7157"/>
      <c r="OHR11" s="7157"/>
      <c r="OHS11" s="7157"/>
      <c r="OHT11" s="7157"/>
      <c r="OHU11" s="7157"/>
      <c r="OHV11" s="7157"/>
      <c r="OHW11" s="7158"/>
      <c r="OHX11" s="7158"/>
      <c r="OHY11" s="7158"/>
      <c r="OHZ11" s="7158"/>
      <c r="OIA11" s="7158"/>
      <c r="OIB11" s="7159"/>
      <c r="OIC11" s="7152"/>
      <c r="OID11" s="7153"/>
      <c r="OIE11" s="7153"/>
      <c r="OIF11" s="7153"/>
      <c r="OIG11" s="7157"/>
      <c r="OIH11" s="7157"/>
      <c r="OII11" s="7157"/>
      <c r="OIJ11" s="7157"/>
      <c r="OIK11" s="7157"/>
      <c r="OIL11" s="7157"/>
      <c r="OIM11" s="7158"/>
      <c r="OIN11" s="7158"/>
      <c r="OIO11" s="7158"/>
      <c r="OIP11" s="7158"/>
      <c r="OIQ11" s="7158"/>
      <c r="OIR11" s="7159"/>
      <c r="OIS11" s="7152"/>
      <c r="OIT11" s="7153"/>
      <c r="OIU11" s="7153"/>
      <c r="OIV11" s="7153"/>
      <c r="OIW11" s="7157"/>
      <c r="OIX11" s="7157"/>
      <c r="OIY11" s="7157"/>
      <c r="OIZ11" s="7157"/>
      <c r="OJA11" s="7157"/>
      <c r="OJB11" s="7157"/>
      <c r="OJC11" s="7158"/>
      <c r="OJD11" s="7158"/>
      <c r="OJE11" s="7158"/>
      <c r="OJF11" s="7158"/>
      <c r="OJG11" s="7158"/>
      <c r="OJH11" s="7159"/>
      <c r="OJI11" s="7152"/>
      <c r="OJJ11" s="7153"/>
      <c r="OJK11" s="7153"/>
      <c r="OJL11" s="7153"/>
      <c r="OJM11" s="7157"/>
      <c r="OJN11" s="7157"/>
      <c r="OJO11" s="7157"/>
      <c r="OJP11" s="7157"/>
      <c r="OJQ11" s="7157"/>
      <c r="OJR11" s="7157"/>
      <c r="OJS11" s="7158"/>
      <c r="OJT11" s="7158"/>
      <c r="OJU11" s="7158"/>
      <c r="OJV11" s="7158"/>
      <c r="OJW11" s="7158"/>
      <c r="OJX11" s="7159"/>
      <c r="OJY11" s="7152"/>
      <c r="OJZ11" s="7153"/>
      <c r="OKA11" s="7153"/>
      <c r="OKB11" s="7153"/>
      <c r="OKC11" s="7157"/>
      <c r="OKD11" s="7157"/>
      <c r="OKE11" s="7157"/>
      <c r="OKF11" s="7157"/>
      <c r="OKG11" s="7157"/>
      <c r="OKH11" s="7157"/>
      <c r="OKI11" s="7158"/>
      <c r="OKJ11" s="7158"/>
      <c r="OKK11" s="7158"/>
      <c r="OKL11" s="7158"/>
      <c r="OKM11" s="7158"/>
      <c r="OKN11" s="7159"/>
      <c r="OKO11" s="7152"/>
      <c r="OKP11" s="7153"/>
      <c r="OKQ11" s="7153"/>
      <c r="OKR11" s="7153"/>
      <c r="OKS11" s="7157"/>
      <c r="OKT11" s="7157"/>
      <c r="OKU11" s="7157"/>
      <c r="OKV11" s="7157"/>
      <c r="OKW11" s="7157"/>
      <c r="OKX11" s="7157"/>
      <c r="OKY11" s="7158"/>
      <c r="OKZ11" s="7158"/>
      <c r="OLA11" s="7158"/>
      <c r="OLB11" s="7158"/>
      <c r="OLC11" s="7158"/>
      <c r="OLD11" s="7159"/>
      <c r="OLE11" s="7152"/>
      <c r="OLF11" s="7153"/>
      <c r="OLG11" s="7153"/>
      <c r="OLH11" s="7153"/>
      <c r="OLI11" s="7157"/>
      <c r="OLJ11" s="7157"/>
      <c r="OLK11" s="7157"/>
      <c r="OLL11" s="7157"/>
      <c r="OLM11" s="7157"/>
      <c r="OLN11" s="7157"/>
      <c r="OLO11" s="7158"/>
      <c r="OLP11" s="7158"/>
      <c r="OLQ11" s="7158"/>
      <c r="OLR11" s="7158"/>
      <c r="OLS11" s="7158"/>
      <c r="OLT11" s="7159"/>
      <c r="OLU11" s="7152"/>
      <c r="OLV11" s="7153"/>
      <c r="OLW11" s="7153"/>
      <c r="OLX11" s="7153"/>
      <c r="OLY11" s="7157"/>
      <c r="OLZ11" s="7157"/>
      <c r="OMA11" s="7157"/>
      <c r="OMB11" s="7157"/>
      <c r="OMC11" s="7157"/>
      <c r="OMD11" s="7157"/>
      <c r="OME11" s="7158"/>
      <c r="OMF11" s="7158"/>
      <c r="OMG11" s="7158"/>
      <c r="OMH11" s="7158"/>
      <c r="OMI11" s="7158"/>
      <c r="OMJ11" s="7159"/>
      <c r="OMK11" s="7152"/>
      <c r="OML11" s="7153"/>
      <c r="OMM11" s="7153"/>
      <c r="OMN11" s="7153"/>
      <c r="OMO11" s="7157"/>
      <c r="OMP11" s="7157"/>
      <c r="OMQ11" s="7157"/>
      <c r="OMR11" s="7157"/>
      <c r="OMS11" s="7157"/>
      <c r="OMT11" s="7157"/>
      <c r="OMU11" s="7158"/>
      <c r="OMV11" s="7158"/>
      <c r="OMW11" s="7158"/>
      <c r="OMX11" s="7158"/>
      <c r="OMY11" s="7158"/>
      <c r="OMZ11" s="7159"/>
      <c r="ONA11" s="7152"/>
      <c r="ONB11" s="7153"/>
      <c r="ONC11" s="7153"/>
      <c r="OND11" s="7153"/>
      <c r="ONE11" s="7157"/>
      <c r="ONF11" s="7157"/>
      <c r="ONG11" s="7157"/>
      <c r="ONH11" s="7157"/>
      <c r="ONI11" s="7157"/>
      <c r="ONJ11" s="7157"/>
      <c r="ONK11" s="7158"/>
      <c r="ONL11" s="7158"/>
      <c r="ONM11" s="7158"/>
      <c r="ONN11" s="7158"/>
      <c r="ONO11" s="7158"/>
      <c r="ONP11" s="7159"/>
      <c r="ONQ11" s="7152"/>
      <c r="ONR11" s="7153"/>
      <c r="ONS11" s="7153"/>
      <c r="ONT11" s="7153"/>
      <c r="ONU11" s="7157"/>
      <c r="ONV11" s="7157"/>
      <c r="ONW11" s="7157"/>
      <c r="ONX11" s="7157"/>
      <c r="ONY11" s="7157"/>
      <c r="ONZ11" s="7157"/>
      <c r="OOA11" s="7158"/>
      <c r="OOB11" s="7158"/>
      <c r="OOC11" s="7158"/>
      <c r="OOD11" s="7158"/>
      <c r="OOE11" s="7158"/>
      <c r="OOF11" s="7159"/>
      <c r="OOG11" s="7152"/>
      <c r="OOH11" s="7153"/>
      <c r="OOI11" s="7153"/>
      <c r="OOJ11" s="7153"/>
      <c r="OOK11" s="7157"/>
      <c r="OOL11" s="7157"/>
      <c r="OOM11" s="7157"/>
      <c r="OON11" s="7157"/>
      <c r="OOO11" s="7157"/>
      <c r="OOP11" s="7157"/>
      <c r="OOQ11" s="7158"/>
      <c r="OOR11" s="7158"/>
      <c r="OOS11" s="7158"/>
      <c r="OOT11" s="7158"/>
      <c r="OOU11" s="7158"/>
      <c r="OOV11" s="7159"/>
      <c r="OOW11" s="7152"/>
      <c r="OOX11" s="7153"/>
      <c r="OOY11" s="7153"/>
      <c r="OOZ11" s="7153"/>
      <c r="OPA11" s="7157"/>
      <c r="OPB11" s="7157"/>
      <c r="OPC11" s="7157"/>
      <c r="OPD11" s="7157"/>
      <c r="OPE11" s="7157"/>
      <c r="OPF11" s="7157"/>
      <c r="OPG11" s="7158"/>
      <c r="OPH11" s="7158"/>
      <c r="OPI11" s="7158"/>
      <c r="OPJ11" s="7158"/>
      <c r="OPK11" s="7158"/>
      <c r="OPL11" s="7159"/>
      <c r="OPM11" s="7152"/>
      <c r="OPN11" s="7153"/>
      <c r="OPO11" s="7153"/>
      <c r="OPP11" s="7153"/>
      <c r="OPQ11" s="7157"/>
      <c r="OPR11" s="7157"/>
      <c r="OPS11" s="7157"/>
      <c r="OPT11" s="7157"/>
      <c r="OPU11" s="7157"/>
      <c r="OPV11" s="7157"/>
      <c r="OPW11" s="7158"/>
      <c r="OPX11" s="7158"/>
      <c r="OPY11" s="7158"/>
      <c r="OPZ11" s="7158"/>
      <c r="OQA11" s="7158"/>
      <c r="OQB11" s="7159"/>
      <c r="OQC11" s="7152"/>
      <c r="OQD11" s="7153"/>
      <c r="OQE11" s="7153"/>
      <c r="OQF11" s="7153"/>
      <c r="OQG11" s="7157"/>
      <c r="OQH11" s="7157"/>
      <c r="OQI11" s="7157"/>
      <c r="OQJ11" s="7157"/>
      <c r="OQK11" s="7157"/>
      <c r="OQL11" s="7157"/>
      <c r="OQM11" s="7158"/>
      <c r="OQN11" s="7158"/>
      <c r="OQO11" s="7158"/>
      <c r="OQP11" s="7158"/>
      <c r="OQQ11" s="7158"/>
      <c r="OQR11" s="7159"/>
      <c r="OQS11" s="7152"/>
      <c r="OQT11" s="7153"/>
      <c r="OQU11" s="7153"/>
      <c r="OQV11" s="7153"/>
      <c r="OQW11" s="7157"/>
      <c r="OQX11" s="7157"/>
      <c r="OQY11" s="7157"/>
      <c r="OQZ11" s="7157"/>
      <c r="ORA11" s="7157"/>
      <c r="ORB11" s="7157"/>
      <c r="ORC11" s="7158"/>
      <c r="ORD11" s="7158"/>
      <c r="ORE11" s="7158"/>
      <c r="ORF11" s="7158"/>
      <c r="ORG11" s="7158"/>
      <c r="ORH11" s="7159"/>
      <c r="ORI11" s="7152"/>
      <c r="ORJ11" s="7153"/>
      <c r="ORK11" s="7153"/>
      <c r="ORL11" s="7153"/>
      <c r="ORM11" s="7157"/>
      <c r="ORN11" s="7157"/>
      <c r="ORO11" s="7157"/>
      <c r="ORP11" s="7157"/>
      <c r="ORQ11" s="7157"/>
      <c r="ORR11" s="7157"/>
      <c r="ORS11" s="7158"/>
      <c r="ORT11" s="7158"/>
      <c r="ORU11" s="7158"/>
      <c r="ORV11" s="7158"/>
      <c r="ORW11" s="7158"/>
      <c r="ORX11" s="7159"/>
      <c r="ORY11" s="7152"/>
      <c r="ORZ11" s="7153"/>
      <c r="OSA11" s="7153"/>
      <c r="OSB11" s="7153"/>
      <c r="OSC11" s="7157"/>
      <c r="OSD11" s="7157"/>
      <c r="OSE11" s="7157"/>
      <c r="OSF11" s="7157"/>
      <c r="OSG11" s="7157"/>
      <c r="OSH11" s="7157"/>
      <c r="OSI11" s="7158"/>
      <c r="OSJ11" s="7158"/>
      <c r="OSK11" s="7158"/>
      <c r="OSL11" s="7158"/>
      <c r="OSM11" s="7158"/>
      <c r="OSN11" s="7159"/>
      <c r="OSO11" s="7152"/>
      <c r="OSP11" s="7153"/>
      <c r="OSQ11" s="7153"/>
      <c r="OSR11" s="7153"/>
      <c r="OSS11" s="7157"/>
      <c r="OST11" s="7157"/>
      <c r="OSU11" s="7157"/>
      <c r="OSV11" s="7157"/>
      <c r="OSW11" s="7157"/>
      <c r="OSX11" s="7157"/>
      <c r="OSY11" s="7158"/>
      <c r="OSZ11" s="7158"/>
      <c r="OTA11" s="7158"/>
      <c r="OTB11" s="7158"/>
      <c r="OTC11" s="7158"/>
      <c r="OTD11" s="7159"/>
      <c r="OTE11" s="7152"/>
      <c r="OTF11" s="7153"/>
      <c r="OTG11" s="7153"/>
      <c r="OTH11" s="7153"/>
      <c r="OTI11" s="7157"/>
      <c r="OTJ11" s="7157"/>
      <c r="OTK11" s="7157"/>
      <c r="OTL11" s="7157"/>
      <c r="OTM11" s="7157"/>
      <c r="OTN11" s="7157"/>
      <c r="OTO11" s="7158"/>
      <c r="OTP11" s="7158"/>
      <c r="OTQ11" s="7158"/>
      <c r="OTR11" s="7158"/>
      <c r="OTS11" s="7158"/>
      <c r="OTT11" s="7159"/>
      <c r="OTU11" s="7152"/>
      <c r="OTV11" s="7153"/>
      <c r="OTW11" s="7153"/>
      <c r="OTX11" s="7153"/>
      <c r="OTY11" s="7157"/>
      <c r="OTZ11" s="7157"/>
      <c r="OUA11" s="7157"/>
      <c r="OUB11" s="7157"/>
      <c r="OUC11" s="7157"/>
      <c r="OUD11" s="7157"/>
      <c r="OUE11" s="7158"/>
      <c r="OUF11" s="7158"/>
      <c r="OUG11" s="7158"/>
      <c r="OUH11" s="7158"/>
      <c r="OUI11" s="7158"/>
      <c r="OUJ11" s="7159"/>
      <c r="OUK11" s="7152"/>
      <c r="OUL11" s="7153"/>
      <c r="OUM11" s="7153"/>
      <c r="OUN11" s="7153"/>
      <c r="OUO11" s="7157"/>
      <c r="OUP11" s="7157"/>
      <c r="OUQ11" s="7157"/>
      <c r="OUR11" s="7157"/>
      <c r="OUS11" s="7157"/>
      <c r="OUT11" s="7157"/>
      <c r="OUU11" s="7158"/>
      <c r="OUV11" s="7158"/>
      <c r="OUW11" s="7158"/>
      <c r="OUX11" s="7158"/>
      <c r="OUY11" s="7158"/>
      <c r="OUZ11" s="7159"/>
      <c r="OVA11" s="7152"/>
      <c r="OVB11" s="7153"/>
      <c r="OVC11" s="7153"/>
      <c r="OVD11" s="7153"/>
      <c r="OVE11" s="7157"/>
      <c r="OVF11" s="7157"/>
      <c r="OVG11" s="7157"/>
      <c r="OVH11" s="7157"/>
      <c r="OVI11" s="7157"/>
      <c r="OVJ11" s="7157"/>
      <c r="OVK11" s="7158"/>
      <c r="OVL11" s="7158"/>
      <c r="OVM11" s="7158"/>
      <c r="OVN11" s="7158"/>
      <c r="OVO11" s="7158"/>
      <c r="OVP11" s="7159"/>
      <c r="OVQ11" s="7152"/>
      <c r="OVR11" s="7153"/>
      <c r="OVS11" s="7153"/>
      <c r="OVT11" s="7153"/>
      <c r="OVU11" s="7157"/>
      <c r="OVV11" s="7157"/>
      <c r="OVW11" s="7157"/>
      <c r="OVX11" s="7157"/>
      <c r="OVY11" s="7157"/>
      <c r="OVZ11" s="7157"/>
      <c r="OWA11" s="7158"/>
      <c r="OWB11" s="7158"/>
      <c r="OWC11" s="7158"/>
      <c r="OWD11" s="7158"/>
      <c r="OWE11" s="7158"/>
      <c r="OWF11" s="7159"/>
      <c r="OWG11" s="7152"/>
      <c r="OWH11" s="7153"/>
      <c r="OWI11" s="7153"/>
      <c r="OWJ11" s="7153"/>
      <c r="OWK11" s="7157"/>
      <c r="OWL11" s="7157"/>
      <c r="OWM11" s="7157"/>
      <c r="OWN11" s="7157"/>
      <c r="OWO11" s="7157"/>
      <c r="OWP11" s="7157"/>
      <c r="OWQ11" s="7158"/>
      <c r="OWR11" s="7158"/>
      <c r="OWS11" s="7158"/>
      <c r="OWT11" s="7158"/>
      <c r="OWU11" s="7158"/>
      <c r="OWV11" s="7159"/>
      <c r="OWW11" s="7152"/>
      <c r="OWX11" s="7153"/>
      <c r="OWY11" s="7153"/>
      <c r="OWZ11" s="7153"/>
      <c r="OXA11" s="7157"/>
      <c r="OXB11" s="7157"/>
      <c r="OXC11" s="7157"/>
      <c r="OXD11" s="7157"/>
      <c r="OXE11" s="7157"/>
      <c r="OXF11" s="7157"/>
      <c r="OXG11" s="7158"/>
      <c r="OXH11" s="7158"/>
      <c r="OXI11" s="7158"/>
      <c r="OXJ11" s="7158"/>
      <c r="OXK11" s="7158"/>
      <c r="OXL11" s="7159"/>
      <c r="OXM11" s="7152"/>
      <c r="OXN11" s="7153"/>
      <c r="OXO11" s="7153"/>
      <c r="OXP11" s="7153"/>
      <c r="OXQ11" s="7157"/>
      <c r="OXR11" s="7157"/>
      <c r="OXS11" s="7157"/>
      <c r="OXT11" s="7157"/>
      <c r="OXU11" s="7157"/>
      <c r="OXV11" s="7157"/>
      <c r="OXW11" s="7158"/>
      <c r="OXX11" s="7158"/>
      <c r="OXY11" s="7158"/>
      <c r="OXZ11" s="7158"/>
      <c r="OYA11" s="7158"/>
      <c r="OYB11" s="7159"/>
      <c r="OYC11" s="7152"/>
      <c r="OYD11" s="7153"/>
      <c r="OYE11" s="7153"/>
      <c r="OYF11" s="7153"/>
      <c r="OYG11" s="7157"/>
      <c r="OYH11" s="7157"/>
      <c r="OYI11" s="7157"/>
      <c r="OYJ11" s="7157"/>
      <c r="OYK11" s="7157"/>
      <c r="OYL11" s="7157"/>
      <c r="OYM11" s="7158"/>
      <c r="OYN11" s="7158"/>
      <c r="OYO11" s="7158"/>
      <c r="OYP11" s="7158"/>
      <c r="OYQ11" s="7158"/>
      <c r="OYR11" s="7159"/>
      <c r="OYS11" s="7152"/>
      <c r="OYT11" s="7153"/>
      <c r="OYU11" s="7153"/>
      <c r="OYV11" s="7153"/>
      <c r="OYW11" s="7157"/>
      <c r="OYX11" s="7157"/>
      <c r="OYY11" s="7157"/>
      <c r="OYZ11" s="7157"/>
      <c r="OZA11" s="7157"/>
      <c r="OZB11" s="7157"/>
      <c r="OZC11" s="7158"/>
      <c r="OZD11" s="7158"/>
      <c r="OZE11" s="7158"/>
      <c r="OZF11" s="7158"/>
      <c r="OZG11" s="7158"/>
      <c r="OZH11" s="7159"/>
      <c r="OZI11" s="7152"/>
      <c r="OZJ11" s="7153"/>
      <c r="OZK11" s="7153"/>
      <c r="OZL11" s="7153"/>
      <c r="OZM11" s="7157"/>
      <c r="OZN11" s="7157"/>
      <c r="OZO11" s="7157"/>
      <c r="OZP11" s="7157"/>
      <c r="OZQ11" s="7157"/>
      <c r="OZR11" s="7157"/>
      <c r="OZS11" s="7158"/>
      <c r="OZT11" s="7158"/>
      <c r="OZU11" s="7158"/>
      <c r="OZV11" s="7158"/>
      <c r="OZW11" s="7158"/>
      <c r="OZX11" s="7159"/>
      <c r="OZY11" s="7152"/>
      <c r="OZZ11" s="7153"/>
      <c r="PAA11" s="7153"/>
      <c r="PAB11" s="7153"/>
      <c r="PAC11" s="7157"/>
      <c r="PAD11" s="7157"/>
      <c r="PAE11" s="7157"/>
      <c r="PAF11" s="7157"/>
      <c r="PAG11" s="7157"/>
      <c r="PAH11" s="7157"/>
      <c r="PAI11" s="7158"/>
      <c r="PAJ11" s="7158"/>
      <c r="PAK11" s="7158"/>
      <c r="PAL11" s="7158"/>
      <c r="PAM11" s="7158"/>
      <c r="PAN11" s="7159"/>
      <c r="PAO11" s="7152"/>
      <c r="PAP11" s="7153"/>
      <c r="PAQ11" s="7153"/>
      <c r="PAR11" s="7153"/>
      <c r="PAS11" s="7157"/>
      <c r="PAT11" s="7157"/>
      <c r="PAU11" s="7157"/>
      <c r="PAV11" s="7157"/>
      <c r="PAW11" s="7157"/>
      <c r="PAX11" s="7157"/>
      <c r="PAY11" s="7158"/>
      <c r="PAZ11" s="7158"/>
      <c r="PBA11" s="7158"/>
      <c r="PBB11" s="7158"/>
      <c r="PBC11" s="7158"/>
      <c r="PBD11" s="7159"/>
      <c r="PBE11" s="7152"/>
      <c r="PBF11" s="7153"/>
      <c r="PBG11" s="7153"/>
      <c r="PBH11" s="7153"/>
      <c r="PBI11" s="7157"/>
      <c r="PBJ11" s="7157"/>
      <c r="PBK11" s="7157"/>
      <c r="PBL11" s="7157"/>
      <c r="PBM11" s="7157"/>
      <c r="PBN11" s="7157"/>
      <c r="PBO11" s="7158"/>
      <c r="PBP11" s="7158"/>
      <c r="PBQ11" s="7158"/>
      <c r="PBR11" s="7158"/>
      <c r="PBS11" s="7158"/>
      <c r="PBT11" s="7159"/>
      <c r="PBU11" s="7152"/>
      <c r="PBV11" s="7153"/>
      <c r="PBW11" s="7153"/>
      <c r="PBX11" s="7153"/>
      <c r="PBY11" s="7157"/>
      <c r="PBZ11" s="7157"/>
      <c r="PCA11" s="7157"/>
      <c r="PCB11" s="7157"/>
      <c r="PCC11" s="7157"/>
      <c r="PCD11" s="7157"/>
      <c r="PCE11" s="7158"/>
      <c r="PCF11" s="7158"/>
      <c r="PCG11" s="7158"/>
      <c r="PCH11" s="7158"/>
      <c r="PCI11" s="7158"/>
      <c r="PCJ11" s="7159"/>
      <c r="PCK11" s="7152"/>
      <c r="PCL11" s="7153"/>
      <c r="PCM11" s="7153"/>
      <c r="PCN11" s="7153"/>
      <c r="PCO11" s="7157"/>
      <c r="PCP11" s="7157"/>
      <c r="PCQ11" s="7157"/>
      <c r="PCR11" s="7157"/>
      <c r="PCS11" s="7157"/>
      <c r="PCT11" s="7157"/>
      <c r="PCU11" s="7158"/>
      <c r="PCV11" s="7158"/>
      <c r="PCW11" s="7158"/>
      <c r="PCX11" s="7158"/>
      <c r="PCY11" s="7158"/>
      <c r="PCZ11" s="7159"/>
      <c r="PDA11" s="7152"/>
      <c r="PDB11" s="7153"/>
      <c r="PDC11" s="7153"/>
      <c r="PDD11" s="7153"/>
      <c r="PDE11" s="7157"/>
      <c r="PDF11" s="7157"/>
      <c r="PDG11" s="7157"/>
      <c r="PDH11" s="7157"/>
      <c r="PDI11" s="7157"/>
      <c r="PDJ11" s="7157"/>
      <c r="PDK11" s="7158"/>
      <c r="PDL11" s="7158"/>
      <c r="PDM11" s="7158"/>
      <c r="PDN11" s="7158"/>
      <c r="PDO11" s="7158"/>
      <c r="PDP11" s="7159"/>
      <c r="PDQ11" s="7152"/>
      <c r="PDR11" s="7153"/>
      <c r="PDS11" s="7153"/>
      <c r="PDT11" s="7153"/>
      <c r="PDU11" s="7157"/>
      <c r="PDV11" s="7157"/>
      <c r="PDW11" s="7157"/>
      <c r="PDX11" s="7157"/>
      <c r="PDY11" s="7157"/>
      <c r="PDZ11" s="7157"/>
      <c r="PEA11" s="7158"/>
      <c r="PEB11" s="7158"/>
      <c r="PEC11" s="7158"/>
      <c r="PED11" s="7158"/>
      <c r="PEE11" s="7158"/>
      <c r="PEF11" s="7159"/>
      <c r="PEG11" s="7152"/>
      <c r="PEH11" s="7153"/>
      <c r="PEI11" s="7153"/>
      <c r="PEJ11" s="7153"/>
      <c r="PEK11" s="7157"/>
      <c r="PEL11" s="7157"/>
      <c r="PEM11" s="7157"/>
      <c r="PEN11" s="7157"/>
      <c r="PEO11" s="7157"/>
      <c r="PEP11" s="7157"/>
      <c r="PEQ11" s="7158"/>
      <c r="PER11" s="7158"/>
      <c r="PES11" s="7158"/>
      <c r="PET11" s="7158"/>
      <c r="PEU11" s="7158"/>
      <c r="PEV11" s="7159"/>
      <c r="PEW11" s="7152"/>
      <c r="PEX11" s="7153"/>
      <c r="PEY11" s="7153"/>
      <c r="PEZ11" s="7153"/>
      <c r="PFA11" s="7157"/>
      <c r="PFB11" s="7157"/>
      <c r="PFC11" s="7157"/>
      <c r="PFD11" s="7157"/>
      <c r="PFE11" s="7157"/>
      <c r="PFF11" s="7157"/>
      <c r="PFG11" s="7158"/>
      <c r="PFH11" s="7158"/>
      <c r="PFI11" s="7158"/>
      <c r="PFJ11" s="7158"/>
      <c r="PFK11" s="7158"/>
      <c r="PFL11" s="7159"/>
      <c r="PFM11" s="7152"/>
      <c r="PFN11" s="7153"/>
      <c r="PFO11" s="7153"/>
      <c r="PFP11" s="7153"/>
      <c r="PFQ11" s="7157"/>
      <c r="PFR11" s="7157"/>
      <c r="PFS11" s="7157"/>
      <c r="PFT11" s="7157"/>
      <c r="PFU11" s="7157"/>
      <c r="PFV11" s="7157"/>
      <c r="PFW11" s="7158"/>
      <c r="PFX11" s="7158"/>
      <c r="PFY11" s="7158"/>
      <c r="PFZ11" s="7158"/>
      <c r="PGA11" s="7158"/>
      <c r="PGB11" s="7159"/>
      <c r="PGC11" s="7152"/>
      <c r="PGD11" s="7153"/>
      <c r="PGE11" s="7153"/>
      <c r="PGF11" s="7153"/>
      <c r="PGG11" s="7157"/>
      <c r="PGH11" s="7157"/>
      <c r="PGI11" s="7157"/>
      <c r="PGJ11" s="7157"/>
      <c r="PGK11" s="7157"/>
      <c r="PGL11" s="7157"/>
      <c r="PGM11" s="7158"/>
      <c r="PGN11" s="7158"/>
      <c r="PGO11" s="7158"/>
      <c r="PGP11" s="7158"/>
      <c r="PGQ11" s="7158"/>
      <c r="PGR11" s="7159"/>
      <c r="PGS11" s="7152"/>
      <c r="PGT11" s="7153"/>
      <c r="PGU11" s="7153"/>
      <c r="PGV11" s="7153"/>
      <c r="PGW11" s="7157"/>
      <c r="PGX11" s="7157"/>
      <c r="PGY11" s="7157"/>
      <c r="PGZ11" s="7157"/>
      <c r="PHA11" s="7157"/>
      <c r="PHB11" s="7157"/>
      <c r="PHC11" s="7158"/>
      <c r="PHD11" s="7158"/>
      <c r="PHE11" s="7158"/>
      <c r="PHF11" s="7158"/>
      <c r="PHG11" s="7158"/>
      <c r="PHH11" s="7159"/>
      <c r="PHI11" s="7152"/>
      <c r="PHJ11" s="7153"/>
      <c r="PHK11" s="7153"/>
      <c r="PHL11" s="7153"/>
      <c r="PHM11" s="7157"/>
      <c r="PHN11" s="7157"/>
      <c r="PHO11" s="7157"/>
      <c r="PHP11" s="7157"/>
      <c r="PHQ11" s="7157"/>
      <c r="PHR11" s="7157"/>
      <c r="PHS11" s="7158"/>
      <c r="PHT11" s="7158"/>
      <c r="PHU11" s="7158"/>
      <c r="PHV11" s="7158"/>
      <c r="PHW11" s="7158"/>
      <c r="PHX11" s="7159"/>
      <c r="PHY11" s="7152"/>
      <c r="PHZ11" s="7153"/>
      <c r="PIA11" s="7153"/>
      <c r="PIB11" s="7153"/>
      <c r="PIC11" s="7157"/>
      <c r="PID11" s="7157"/>
      <c r="PIE11" s="7157"/>
      <c r="PIF11" s="7157"/>
      <c r="PIG11" s="7157"/>
      <c r="PIH11" s="7157"/>
      <c r="PII11" s="7158"/>
      <c r="PIJ11" s="7158"/>
      <c r="PIK11" s="7158"/>
      <c r="PIL11" s="7158"/>
      <c r="PIM11" s="7158"/>
      <c r="PIN11" s="7159"/>
      <c r="PIO11" s="7152"/>
      <c r="PIP11" s="7153"/>
      <c r="PIQ11" s="7153"/>
      <c r="PIR11" s="7153"/>
      <c r="PIS11" s="7157"/>
      <c r="PIT11" s="7157"/>
      <c r="PIU11" s="7157"/>
      <c r="PIV11" s="7157"/>
      <c r="PIW11" s="7157"/>
      <c r="PIX11" s="7157"/>
      <c r="PIY11" s="7158"/>
      <c r="PIZ11" s="7158"/>
      <c r="PJA11" s="7158"/>
      <c r="PJB11" s="7158"/>
      <c r="PJC11" s="7158"/>
      <c r="PJD11" s="7159"/>
      <c r="PJE11" s="7152"/>
      <c r="PJF11" s="7153"/>
      <c r="PJG11" s="7153"/>
      <c r="PJH11" s="7153"/>
      <c r="PJI11" s="7157"/>
      <c r="PJJ11" s="7157"/>
      <c r="PJK11" s="7157"/>
      <c r="PJL11" s="7157"/>
      <c r="PJM11" s="7157"/>
      <c r="PJN11" s="7157"/>
      <c r="PJO11" s="7158"/>
      <c r="PJP11" s="7158"/>
      <c r="PJQ11" s="7158"/>
      <c r="PJR11" s="7158"/>
      <c r="PJS11" s="7158"/>
      <c r="PJT11" s="7159"/>
      <c r="PJU11" s="7152"/>
      <c r="PJV11" s="7153"/>
      <c r="PJW11" s="7153"/>
      <c r="PJX11" s="7153"/>
      <c r="PJY11" s="7157"/>
      <c r="PJZ11" s="7157"/>
      <c r="PKA11" s="7157"/>
      <c r="PKB11" s="7157"/>
      <c r="PKC11" s="7157"/>
      <c r="PKD11" s="7157"/>
      <c r="PKE11" s="7158"/>
      <c r="PKF11" s="7158"/>
      <c r="PKG11" s="7158"/>
      <c r="PKH11" s="7158"/>
      <c r="PKI11" s="7158"/>
      <c r="PKJ11" s="7159"/>
      <c r="PKK11" s="7152"/>
      <c r="PKL11" s="7153"/>
      <c r="PKM11" s="7153"/>
      <c r="PKN11" s="7153"/>
      <c r="PKO11" s="7157"/>
      <c r="PKP11" s="7157"/>
      <c r="PKQ11" s="7157"/>
      <c r="PKR11" s="7157"/>
      <c r="PKS11" s="7157"/>
      <c r="PKT11" s="7157"/>
      <c r="PKU11" s="7158"/>
      <c r="PKV11" s="7158"/>
      <c r="PKW11" s="7158"/>
      <c r="PKX11" s="7158"/>
      <c r="PKY11" s="7158"/>
      <c r="PKZ11" s="7159"/>
      <c r="PLA11" s="7152"/>
      <c r="PLB11" s="7153"/>
      <c r="PLC11" s="7153"/>
      <c r="PLD11" s="7153"/>
      <c r="PLE11" s="7157"/>
      <c r="PLF11" s="7157"/>
      <c r="PLG11" s="7157"/>
      <c r="PLH11" s="7157"/>
      <c r="PLI11" s="7157"/>
      <c r="PLJ11" s="7157"/>
      <c r="PLK11" s="7158"/>
      <c r="PLL11" s="7158"/>
      <c r="PLM11" s="7158"/>
      <c r="PLN11" s="7158"/>
      <c r="PLO11" s="7158"/>
      <c r="PLP11" s="7159"/>
      <c r="PLQ11" s="7152"/>
      <c r="PLR11" s="7153"/>
      <c r="PLS11" s="7153"/>
      <c r="PLT11" s="7153"/>
      <c r="PLU11" s="7157"/>
      <c r="PLV11" s="7157"/>
      <c r="PLW11" s="7157"/>
      <c r="PLX11" s="7157"/>
      <c r="PLY11" s="7157"/>
      <c r="PLZ11" s="7157"/>
      <c r="PMA11" s="7158"/>
      <c r="PMB11" s="7158"/>
      <c r="PMC11" s="7158"/>
      <c r="PMD11" s="7158"/>
      <c r="PME11" s="7158"/>
      <c r="PMF11" s="7159"/>
      <c r="PMG11" s="7152"/>
      <c r="PMH11" s="7153"/>
      <c r="PMI11" s="7153"/>
      <c r="PMJ11" s="7153"/>
      <c r="PMK11" s="7157"/>
      <c r="PML11" s="7157"/>
      <c r="PMM11" s="7157"/>
      <c r="PMN11" s="7157"/>
      <c r="PMO11" s="7157"/>
      <c r="PMP11" s="7157"/>
      <c r="PMQ11" s="7158"/>
      <c r="PMR11" s="7158"/>
      <c r="PMS11" s="7158"/>
      <c r="PMT11" s="7158"/>
      <c r="PMU11" s="7158"/>
      <c r="PMV11" s="7159"/>
      <c r="PMW11" s="7152"/>
      <c r="PMX11" s="7153"/>
      <c r="PMY11" s="7153"/>
      <c r="PMZ11" s="7153"/>
      <c r="PNA11" s="7157"/>
      <c r="PNB11" s="7157"/>
      <c r="PNC11" s="7157"/>
      <c r="PND11" s="7157"/>
      <c r="PNE11" s="7157"/>
      <c r="PNF11" s="7157"/>
      <c r="PNG11" s="7158"/>
      <c r="PNH11" s="7158"/>
      <c r="PNI11" s="7158"/>
      <c r="PNJ11" s="7158"/>
      <c r="PNK11" s="7158"/>
      <c r="PNL11" s="7159"/>
      <c r="PNM11" s="7152"/>
      <c r="PNN11" s="7153"/>
      <c r="PNO11" s="7153"/>
      <c r="PNP11" s="7153"/>
      <c r="PNQ11" s="7157"/>
      <c r="PNR11" s="7157"/>
      <c r="PNS11" s="7157"/>
      <c r="PNT11" s="7157"/>
      <c r="PNU11" s="7157"/>
      <c r="PNV11" s="7157"/>
      <c r="PNW11" s="7158"/>
      <c r="PNX11" s="7158"/>
      <c r="PNY11" s="7158"/>
      <c r="PNZ11" s="7158"/>
      <c r="POA11" s="7158"/>
      <c r="POB11" s="7159"/>
      <c r="POC11" s="7152"/>
      <c r="POD11" s="7153"/>
      <c r="POE11" s="7153"/>
      <c r="POF11" s="7153"/>
      <c r="POG11" s="7157"/>
      <c r="POH11" s="7157"/>
      <c r="POI11" s="7157"/>
      <c r="POJ11" s="7157"/>
      <c r="POK11" s="7157"/>
      <c r="POL11" s="7157"/>
      <c r="POM11" s="7158"/>
      <c r="PON11" s="7158"/>
      <c r="POO11" s="7158"/>
      <c r="POP11" s="7158"/>
      <c r="POQ11" s="7158"/>
      <c r="POR11" s="7159"/>
      <c r="POS11" s="7152"/>
      <c r="POT11" s="7153"/>
      <c r="POU11" s="7153"/>
      <c r="POV11" s="7153"/>
      <c r="POW11" s="7157"/>
      <c r="POX11" s="7157"/>
      <c r="POY11" s="7157"/>
      <c r="POZ11" s="7157"/>
      <c r="PPA11" s="7157"/>
      <c r="PPB11" s="7157"/>
      <c r="PPC11" s="7158"/>
      <c r="PPD11" s="7158"/>
      <c r="PPE11" s="7158"/>
      <c r="PPF11" s="7158"/>
      <c r="PPG11" s="7158"/>
      <c r="PPH11" s="7159"/>
      <c r="PPI11" s="7152"/>
      <c r="PPJ11" s="7153"/>
      <c r="PPK11" s="7153"/>
      <c r="PPL11" s="7153"/>
      <c r="PPM11" s="7157"/>
      <c r="PPN11" s="7157"/>
      <c r="PPO11" s="7157"/>
      <c r="PPP11" s="7157"/>
      <c r="PPQ11" s="7157"/>
      <c r="PPR11" s="7157"/>
      <c r="PPS11" s="7158"/>
      <c r="PPT11" s="7158"/>
      <c r="PPU11" s="7158"/>
      <c r="PPV11" s="7158"/>
      <c r="PPW11" s="7158"/>
      <c r="PPX11" s="7159"/>
      <c r="PPY11" s="7152"/>
      <c r="PPZ11" s="7153"/>
      <c r="PQA11" s="7153"/>
      <c r="PQB11" s="7153"/>
      <c r="PQC11" s="7157"/>
      <c r="PQD11" s="7157"/>
      <c r="PQE11" s="7157"/>
      <c r="PQF11" s="7157"/>
      <c r="PQG11" s="7157"/>
      <c r="PQH11" s="7157"/>
      <c r="PQI11" s="7158"/>
      <c r="PQJ11" s="7158"/>
      <c r="PQK11" s="7158"/>
      <c r="PQL11" s="7158"/>
      <c r="PQM11" s="7158"/>
      <c r="PQN11" s="7159"/>
      <c r="PQO11" s="7152"/>
      <c r="PQP11" s="7153"/>
      <c r="PQQ11" s="7153"/>
      <c r="PQR11" s="7153"/>
      <c r="PQS11" s="7157"/>
      <c r="PQT11" s="7157"/>
      <c r="PQU11" s="7157"/>
      <c r="PQV11" s="7157"/>
      <c r="PQW11" s="7157"/>
      <c r="PQX11" s="7157"/>
      <c r="PQY11" s="7158"/>
      <c r="PQZ11" s="7158"/>
      <c r="PRA11" s="7158"/>
      <c r="PRB11" s="7158"/>
      <c r="PRC11" s="7158"/>
      <c r="PRD11" s="7159"/>
      <c r="PRE11" s="7152"/>
      <c r="PRF11" s="7153"/>
      <c r="PRG11" s="7153"/>
      <c r="PRH11" s="7153"/>
      <c r="PRI11" s="7157"/>
      <c r="PRJ11" s="7157"/>
      <c r="PRK11" s="7157"/>
      <c r="PRL11" s="7157"/>
      <c r="PRM11" s="7157"/>
      <c r="PRN11" s="7157"/>
      <c r="PRO11" s="7158"/>
      <c r="PRP11" s="7158"/>
      <c r="PRQ11" s="7158"/>
      <c r="PRR11" s="7158"/>
      <c r="PRS11" s="7158"/>
      <c r="PRT11" s="7159"/>
      <c r="PRU11" s="7152"/>
      <c r="PRV11" s="7153"/>
      <c r="PRW11" s="7153"/>
      <c r="PRX11" s="7153"/>
      <c r="PRY11" s="7157"/>
      <c r="PRZ11" s="7157"/>
      <c r="PSA11" s="7157"/>
      <c r="PSB11" s="7157"/>
      <c r="PSC11" s="7157"/>
      <c r="PSD11" s="7157"/>
      <c r="PSE11" s="7158"/>
      <c r="PSF11" s="7158"/>
      <c r="PSG11" s="7158"/>
      <c r="PSH11" s="7158"/>
      <c r="PSI11" s="7158"/>
      <c r="PSJ11" s="7159"/>
      <c r="PSK11" s="7152"/>
      <c r="PSL11" s="7153"/>
      <c r="PSM11" s="7153"/>
      <c r="PSN11" s="7153"/>
      <c r="PSO11" s="7157"/>
      <c r="PSP11" s="7157"/>
      <c r="PSQ11" s="7157"/>
      <c r="PSR11" s="7157"/>
      <c r="PSS11" s="7157"/>
      <c r="PST11" s="7157"/>
      <c r="PSU11" s="7158"/>
      <c r="PSV11" s="7158"/>
      <c r="PSW11" s="7158"/>
      <c r="PSX11" s="7158"/>
      <c r="PSY11" s="7158"/>
      <c r="PSZ11" s="7159"/>
      <c r="PTA11" s="7152"/>
      <c r="PTB11" s="7153"/>
      <c r="PTC11" s="7153"/>
      <c r="PTD11" s="7153"/>
      <c r="PTE11" s="7157"/>
      <c r="PTF11" s="7157"/>
      <c r="PTG11" s="7157"/>
      <c r="PTH11" s="7157"/>
      <c r="PTI11" s="7157"/>
      <c r="PTJ11" s="7157"/>
      <c r="PTK11" s="7158"/>
      <c r="PTL11" s="7158"/>
      <c r="PTM11" s="7158"/>
      <c r="PTN11" s="7158"/>
      <c r="PTO11" s="7158"/>
      <c r="PTP11" s="7159"/>
      <c r="PTQ11" s="7152"/>
      <c r="PTR11" s="7153"/>
      <c r="PTS11" s="7153"/>
      <c r="PTT11" s="7153"/>
      <c r="PTU11" s="7157"/>
      <c r="PTV11" s="7157"/>
      <c r="PTW11" s="7157"/>
      <c r="PTX11" s="7157"/>
      <c r="PTY11" s="7157"/>
      <c r="PTZ11" s="7157"/>
      <c r="PUA11" s="7158"/>
      <c r="PUB11" s="7158"/>
      <c r="PUC11" s="7158"/>
      <c r="PUD11" s="7158"/>
      <c r="PUE11" s="7158"/>
      <c r="PUF11" s="7159"/>
      <c r="PUG11" s="7152"/>
      <c r="PUH11" s="7153"/>
      <c r="PUI11" s="7153"/>
      <c r="PUJ11" s="7153"/>
      <c r="PUK11" s="7157"/>
      <c r="PUL11" s="7157"/>
      <c r="PUM11" s="7157"/>
      <c r="PUN11" s="7157"/>
      <c r="PUO11" s="7157"/>
      <c r="PUP11" s="7157"/>
      <c r="PUQ11" s="7158"/>
      <c r="PUR11" s="7158"/>
      <c r="PUS11" s="7158"/>
      <c r="PUT11" s="7158"/>
      <c r="PUU11" s="7158"/>
      <c r="PUV11" s="7159"/>
      <c r="PUW11" s="7152"/>
      <c r="PUX11" s="7153"/>
      <c r="PUY11" s="7153"/>
      <c r="PUZ11" s="7153"/>
      <c r="PVA11" s="7157"/>
      <c r="PVB11" s="7157"/>
      <c r="PVC11" s="7157"/>
      <c r="PVD11" s="7157"/>
      <c r="PVE11" s="7157"/>
      <c r="PVF11" s="7157"/>
      <c r="PVG11" s="7158"/>
      <c r="PVH11" s="7158"/>
      <c r="PVI11" s="7158"/>
      <c r="PVJ11" s="7158"/>
      <c r="PVK11" s="7158"/>
      <c r="PVL11" s="7159"/>
      <c r="PVM11" s="7152"/>
      <c r="PVN11" s="7153"/>
      <c r="PVO11" s="7153"/>
      <c r="PVP11" s="7153"/>
      <c r="PVQ11" s="7157"/>
      <c r="PVR11" s="7157"/>
      <c r="PVS11" s="7157"/>
      <c r="PVT11" s="7157"/>
      <c r="PVU11" s="7157"/>
      <c r="PVV11" s="7157"/>
      <c r="PVW11" s="7158"/>
      <c r="PVX11" s="7158"/>
      <c r="PVY11" s="7158"/>
      <c r="PVZ11" s="7158"/>
      <c r="PWA11" s="7158"/>
      <c r="PWB11" s="7159"/>
      <c r="PWC11" s="7152"/>
      <c r="PWD11" s="7153"/>
      <c r="PWE11" s="7153"/>
      <c r="PWF11" s="7153"/>
      <c r="PWG11" s="7157"/>
      <c r="PWH11" s="7157"/>
      <c r="PWI11" s="7157"/>
      <c r="PWJ11" s="7157"/>
      <c r="PWK11" s="7157"/>
      <c r="PWL11" s="7157"/>
      <c r="PWM11" s="7158"/>
      <c r="PWN11" s="7158"/>
      <c r="PWO11" s="7158"/>
      <c r="PWP11" s="7158"/>
      <c r="PWQ11" s="7158"/>
      <c r="PWR11" s="7159"/>
      <c r="PWS11" s="7152"/>
      <c r="PWT11" s="7153"/>
      <c r="PWU11" s="7153"/>
      <c r="PWV11" s="7153"/>
      <c r="PWW11" s="7157"/>
      <c r="PWX11" s="7157"/>
      <c r="PWY11" s="7157"/>
      <c r="PWZ11" s="7157"/>
      <c r="PXA11" s="7157"/>
      <c r="PXB11" s="7157"/>
      <c r="PXC11" s="7158"/>
      <c r="PXD11" s="7158"/>
      <c r="PXE11" s="7158"/>
      <c r="PXF11" s="7158"/>
      <c r="PXG11" s="7158"/>
      <c r="PXH11" s="7159"/>
      <c r="PXI11" s="7152"/>
      <c r="PXJ11" s="7153"/>
      <c r="PXK11" s="7153"/>
      <c r="PXL11" s="7153"/>
      <c r="PXM11" s="7157"/>
      <c r="PXN11" s="7157"/>
      <c r="PXO11" s="7157"/>
      <c r="PXP11" s="7157"/>
      <c r="PXQ11" s="7157"/>
      <c r="PXR11" s="7157"/>
      <c r="PXS11" s="7158"/>
      <c r="PXT11" s="7158"/>
      <c r="PXU11" s="7158"/>
      <c r="PXV11" s="7158"/>
      <c r="PXW11" s="7158"/>
      <c r="PXX11" s="7159"/>
      <c r="PXY11" s="7152"/>
      <c r="PXZ11" s="7153"/>
      <c r="PYA11" s="7153"/>
      <c r="PYB11" s="7153"/>
      <c r="PYC11" s="7157"/>
      <c r="PYD11" s="7157"/>
      <c r="PYE11" s="7157"/>
      <c r="PYF11" s="7157"/>
      <c r="PYG11" s="7157"/>
      <c r="PYH11" s="7157"/>
      <c r="PYI11" s="7158"/>
      <c r="PYJ11" s="7158"/>
      <c r="PYK11" s="7158"/>
      <c r="PYL11" s="7158"/>
      <c r="PYM11" s="7158"/>
      <c r="PYN11" s="7159"/>
      <c r="PYO11" s="7152"/>
      <c r="PYP11" s="7153"/>
      <c r="PYQ11" s="7153"/>
      <c r="PYR11" s="7153"/>
      <c r="PYS11" s="7157"/>
      <c r="PYT11" s="7157"/>
      <c r="PYU11" s="7157"/>
      <c r="PYV11" s="7157"/>
      <c r="PYW11" s="7157"/>
      <c r="PYX11" s="7157"/>
      <c r="PYY11" s="7158"/>
      <c r="PYZ11" s="7158"/>
      <c r="PZA11" s="7158"/>
      <c r="PZB11" s="7158"/>
      <c r="PZC11" s="7158"/>
      <c r="PZD11" s="7159"/>
      <c r="PZE11" s="7152"/>
      <c r="PZF11" s="7153"/>
      <c r="PZG11" s="7153"/>
      <c r="PZH11" s="7153"/>
      <c r="PZI11" s="7157"/>
      <c r="PZJ11" s="7157"/>
      <c r="PZK11" s="7157"/>
      <c r="PZL11" s="7157"/>
      <c r="PZM11" s="7157"/>
      <c r="PZN11" s="7157"/>
      <c r="PZO11" s="7158"/>
      <c r="PZP11" s="7158"/>
      <c r="PZQ11" s="7158"/>
      <c r="PZR11" s="7158"/>
      <c r="PZS11" s="7158"/>
      <c r="PZT11" s="7159"/>
      <c r="PZU11" s="7152"/>
      <c r="PZV11" s="7153"/>
      <c r="PZW11" s="7153"/>
      <c r="PZX11" s="7153"/>
      <c r="PZY11" s="7157"/>
      <c r="PZZ11" s="7157"/>
      <c r="QAA11" s="7157"/>
      <c r="QAB11" s="7157"/>
      <c r="QAC11" s="7157"/>
      <c r="QAD11" s="7157"/>
      <c r="QAE11" s="7158"/>
      <c r="QAF11" s="7158"/>
      <c r="QAG11" s="7158"/>
      <c r="QAH11" s="7158"/>
      <c r="QAI11" s="7158"/>
      <c r="QAJ11" s="7159"/>
      <c r="QAK11" s="7152"/>
      <c r="QAL11" s="7153"/>
      <c r="QAM11" s="7153"/>
      <c r="QAN11" s="7153"/>
      <c r="QAO11" s="7157"/>
      <c r="QAP11" s="7157"/>
      <c r="QAQ11" s="7157"/>
      <c r="QAR11" s="7157"/>
      <c r="QAS11" s="7157"/>
      <c r="QAT11" s="7157"/>
      <c r="QAU11" s="7158"/>
      <c r="QAV11" s="7158"/>
      <c r="QAW11" s="7158"/>
      <c r="QAX11" s="7158"/>
      <c r="QAY11" s="7158"/>
      <c r="QAZ11" s="7159"/>
      <c r="QBA11" s="7152"/>
      <c r="QBB11" s="7153"/>
      <c r="QBC11" s="7153"/>
      <c r="QBD11" s="7153"/>
      <c r="QBE11" s="7157"/>
      <c r="QBF11" s="7157"/>
      <c r="QBG11" s="7157"/>
      <c r="QBH11" s="7157"/>
      <c r="QBI11" s="7157"/>
      <c r="QBJ11" s="7157"/>
      <c r="QBK11" s="7158"/>
      <c r="QBL11" s="7158"/>
      <c r="QBM11" s="7158"/>
      <c r="QBN11" s="7158"/>
      <c r="QBO11" s="7158"/>
      <c r="QBP11" s="7159"/>
      <c r="QBQ11" s="7152"/>
      <c r="QBR11" s="7153"/>
      <c r="QBS11" s="7153"/>
      <c r="QBT11" s="7153"/>
      <c r="QBU11" s="7157"/>
      <c r="QBV11" s="7157"/>
      <c r="QBW11" s="7157"/>
      <c r="QBX11" s="7157"/>
      <c r="QBY11" s="7157"/>
      <c r="QBZ11" s="7157"/>
      <c r="QCA11" s="7158"/>
      <c r="QCB11" s="7158"/>
      <c r="QCC11" s="7158"/>
      <c r="QCD11" s="7158"/>
      <c r="QCE11" s="7158"/>
      <c r="QCF11" s="7159"/>
      <c r="QCG11" s="7152"/>
      <c r="QCH11" s="7153"/>
      <c r="QCI11" s="7153"/>
      <c r="QCJ11" s="7153"/>
      <c r="QCK11" s="7157"/>
      <c r="QCL11" s="7157"/>
      <c r="QCM11" s="7157"/>
      <c r="QCN11" s="7157"/>
      <c r="QCO11" s="7157"/>
      <c r="QCP11" s="7157"/>
      <c r="QCQ11" s="7158"/>
      <c r="QCR11" s="7158"/>
      <c r="QCS11" s="7158"/>
      <c r="QCT11" s="7158"/>
      <c r="QCU11" s="7158"/>
      <c r="QCV11" s="7159"/>
      <c r="QCW11" s="7152"/>
      <c r="QCX11" s="7153"/>
      <c r="QCY11" s="7153"/>
      <c r="QCZ11" s="7153"/>
      <c r="QDA11" s="7157"/>
      <c r="QDB11" s="7157"/>
      <c r="QDC11" s="7157"/>
      <c r="QDD11" s="7157"/>
      <c r="QDE11" s="7157"/>
      <c r="QDF11" s="7157"/>
      <c r="QDG11" s="7158"/>
      <c r="QDH11" s="7158"/>
      <c r="QDI11" s="7158"/>
      <c r="QDJ11" s="7158"/>
      <c r="QDK11" s="7158"/>
      <c r="QDL11" s="7159"/>
      <c r="QDM11" s="7152"/>
      <c r="QDN11" s="7153"/>
      <c r="QDO11" s="7153"/>
      <c r="QDP11" s="7153"/>
      <c r="QDQ11" s="7157"/>
      <c r="QDR11" s="7157"/>
      <c r="QDS11" s="7157"/>
      <c r="QDT11" s="7157"/>
      <c r="QDU11" s="7157"/>
      <c r="QDV11" s="7157"/>
      <c r="QDW11" s="7158"/>
      <c r="QDX11" s="7158"/>
      <c r="QDY11" s="7158"/>
      <c r="QDZ11" s="7158"/>
      <c r="QEA11" s="7158"/>
      <c r="QEB11" s="7159"/>
      <c r="QEC11" s="7152"/>
      <c r="QED11" s="7153"/>
      <c r="QEE11" s="7153"/>
      <c r="QEF11" s="7153"/>
      <c r="QEG11" s="7157"/>
      <c r="QEH11" s="7157"/>
      <c r="QEI11" s="7157"/>
      <c r="QEJ11" s="7157"/>
      <c r="QEK11" s="7157"/>
      <c r="QEL11" s="7157"/>
      <c r="QEM11" s="7158"/>
      <c r="QEN11" s="7158"/>
      <c r="QEO11" s="7158"/>
      <c r="QEP11" s="7158"/>
      <c r="QEQ11" s="7158"/>
      <c r="QER11" s="7159"/>
      <c r="QES11" s="7152"/>
      <c r="QET11" s="7153"/>
      <c r="QEU11" s="7153"/>
      <c r="QEV11" s="7153"/>
      <c r="QEW11" s="7157"/>
      <c r="QEX11" s="7157"/>
      <c r="QEY11" s="7157"/>
      <c r="QEZ11" s="7157"/>
      <c r="QFA11" s="7157"/>
      <c r="QFB11" s="7157"/>
      <c r="QFC11" s="7158"/>
      <c r="QFD11" s="7158"/>
      <c r="QFE11" s="7158"/>
      <c r="QFF11" s="7158"/>
      <c r="QFG11" s="7158"/>
      <c r="QFH11" s="7159"/>
      <c r="QFI11" s="7152"/>
      <c r="QFJ11" s="7153"/>
      <c r="QFK11" s="7153"/>
      <c r="QFL11" s="7153"/>
      <c r="QFM11" s="7157"/>
      <c r="QFN11" s="7157"/>
      <c r="QFO11" s="7157"/>
      <c r="QFP11" s="7157"/>
      <c r="QFQ11" s="7157"/>
      <c r="QFR11" s="7157"/>
      <c r="QFS11" s="7158"/>
      <c r="QFT11" s="7158"/>
      <c r="QFU11" s="7158"/>
      <c r="QFV11" s="7158"/>
      <c r="QFW11" s="7158"/>
      <c r="QFX11" s="7159"/>
      <c r="QFY11" s="7152"/>
      <c r="QFZ11" s="7153"/>
      <c r="QGA11" s="7153"/>
      <c r="QGB11" s="7153"/>
      <c r="QGC11" s="7157"/>
      <c r="QGD11" s="7157"/>
      <c r="QGE11" s="7157"/>
      <c r="QGF11" s="7157"/>
      <c r="QGG11" s="7157"/>
      <c r="QGH11" s="7157"/>
      <c r="QGI11" s="7158"/>
      <c r="QGJ11" s="7158"/>
      <c r="QGK11" s="7158"/>
      <c r="QGL11" s="7158"/>
      <c r="QGM11" s="7158"/>
      <c r="QGN11" s="7159"/>
      <c r="QGO11" s="7152"/>
      <c r="QGP11" s="7153"/>
      <c r="QGQ11" s="7153"/>
      <c r="QGR11" s="7153"/>
      <c r="QGS11" s="7157"/>
      <c r="QGT11" s="7157"/>
      <c r="QGU11" s="7157"/>
      <c r="QGV11" s="7157"/>
      <c r="QGW11" s="7157"/>
      <c r="QGX11" s="7157"/>
      <c r="QGY11" s="7158"/>
      <c r="QGZ11" s="7158"/>
      <c r="QHA11" s="7158"/>
      <c r="QHB11" s="7158"/>
      <c r="QHC11" s="7158"/>
      <c r="QHD11" s="7159"/>
      <c r="QHE11" s="7152"/>
      <c r="QHF11" s="7153"/>
      <c r="QHG11" s="7153"/>
      <c r="QHH11" s="7153"/>
      <c r="QHI11" s="7157"/>
      <c r="QHJ11" s="7157"/>
      <c r="QHK11" s="7157"/>
      <c r="QHL11" s="7157"/>
      <c r="QHM11" s="7157"/>
      <c r="QHN11" s="7157"/>
      <c r="QHO11" s="7158"/>
      <c r="QHP11" s="7158"/>
      <c r="QHQ11" s="7158"/>
      <c r="QHR11" s="7158"/>
      <c r="QHS11" s="7158"/>
      <c r="QHT11" s="7159"/>
      <c r="QHU11" s="7152"/>
      <c r="QHV11" s="7153"/>
      <c r="QHW11" s="7153"/>
      <c r="QHX11" s="7153"/>
      <c r="QHY11" s="7157"/>
      <c r="QHZ11" s="7157"/>
      <c r="QIA11" s="7157"/>
      <c r="QIB11" s="7157"/>
      <c r="QIC11" s="7157"/>
      <c r="QID11" s="7157"/>
      <c r="QIE11" s="7158"/>
      <c r="QIF11" s="7158"/>
      <c r="QIG11" s="7158"/>
      <c r="QIH11" s="7158"/>
      <c r="QII11" s="7158"/>
      <c r="QIJ11" s="7159"/>
      <c r="QIK11" s="7152"/>
      <c r="QIL11" s="7153"/>
      <c r="QIM11" s="7153"/>
      <c r="QIN11" s="7153"/>
      <c r="QIO11" s="7157"/>
      <c r="QIP11" s="7157"/>
      <c r="QIQ11" s="7157"/>
      <c r="QIR11" s="7157"/>
      <c r="QIS11" s="7157"/>
      <c r="QIT11" s="7157"/>
      <c r="QIU11" s="7158"/>
      <c r="QIV11" s="7158"/>
      <c r="QIW11" s="7158"/>
      <c r="QIX11" s="7158"/>
      <c r="QIY11" s="7158"/>
      <c r="QIZ11" s="7159"/>
      <c r="QJA11" s="7152"/>
      <c r="QJB11" s="7153"/>
      <c r="QJC11" s="7153"/>
      <c r="QJD11" s="7153"/>
      <c r="QJE11" s="7157"/>
      <c r="QJF11" s="7157"/>
      <c r="QJG11" s="7157"/>
      <c r="QJH11" s="7157"/>
      <c r="QJI11" s="7157"/>
      <c r="QJJ11" s="7157"/>
      <c r="QJK11" s="7158"/>
      <c r="QJL11" s="7158"/>
      <c r="QJM11" s="7158"/>
      <c r="QJN11" s="7158"/>
      <c r="QJO11" s="7158"/>
      <c r="QJP11" s="7159"/>
      <c r="QJQ11" s="7152"/>
      <c r="QJR11" s="7153"/>
      <c r="QJS11" s="7153"/>
      <c r="QJT11" s="7153"/>
      <c r="QJU11" s="7157"/>
      <c r="QJV11" s="7157"/>
      <c r="QJW11" s="7157"/>
      <c r="QJX11" s="7157"/>
      <c r="QJY11" s="7157"/>
      <c r="QJZ11" s="7157"/>
      <c r="QKA11" s="7158"/>
      <c r="QKB11" s="7158"/>
      <c r="QKC11" s="7158"/>
      <c r="QKD11" s="7158"/>
      <c r="QKE11" s="7158"/>
      <c r="QKF11" s="7159"/>
      <c r="QKG11" s="7152"/>
      <c r="QKH11" s="7153"/>
      <c r="QKI11" s="7153"/>
      <c r="QKJ11" s="7153"/>
      <c r="QKK11" s="7157"/>
      <c r="QKL11" s="7157"/>
      <c r="QKM11" s="7157"/>
      <c r="QKN11" s="7157"/>
      <c r="QKO11" s="7157"/>
      <c r="QKP11" s="7157"/>
      <c r="QKQ11" s="7158"/>
      <c r="QKR11" s="7158"/>
      <c r="QKS11" s="7158"/>
      <c r="QKT11" s="7158"/>
      <c r="QKU11" s="7158"/>
      <c r="QKV11" s="7159"/>
      <c r="QKW11" s="7152"/>
      <c r="QKX11" s="7153"/>
      <c r="QKY11" s="7153"/>
      <c r="QKZ11" s="7153"/>
      <c r="QLA11" s="7157"/>
      <c r="QLB11" s="7157"/>
      <c r="QLC11" s="7157"/>
      <c r="QLD11" s="7157"/>
      <c r="QLE11" s="7157"/>
      <c r="QLF11" s="7157"/>
      <c r="QLG11" s="7158"/>
      <c r="QLH11" s="7158"/>
      <c r="QLI11" s="7158"/>
      <c r="QLJ11" s="7158"/>
      <c r="QLK11" s="7158"/>
      <c r="QLL11" s="7159"/>
      <c r="QLM11" s="7152"/>
      <c r="QLN11" s="7153"/>
      <c r="QLO11" s="7153"/>
      <c r="QLP11" s="7153"/>
      <c r="QLQ11" s="7157"/>
      <c r="QLR11" s="7157"/>
      <c r="QLS11" s="7157"/>
      <c r="QLT11" s="7157"/>
      <c r="QLU11" s="7157"/>
      <c r="QLV11" s="7157"/>
      <c r="QLW11" s="7158"/>
      <c r="QLX11" s="7158"/>
      <c r="QLY11" s="7158"/>
      <c r="QLZ11" s="7158"/>
      <c r="QMA11" s="7158"/>
      <c r="QMB11" s="7159"/>
      <c r="QMC11" s="7152"/>
      <c r="QMD11" s="7153"/>
      <c r="QME11" s="7153"/>
      <c r="QMF11" s="7153"/>
      <c r="QMG11" s="7157"/>
      <c r="QMH11" s="7157"/>
      <c r="QMI11" s="7157"/>
      <c r="QMJ11" s="7157"/>
      <c r="QMK11" s="7157"/>
      <c r="QML11" s="7157"/>
      <c r="QMM11" s="7158"/>
      <c r="QMN11" s="7158"/>
      <c r="QMO11" s="7158"/>
      <c r="QMP11" s="7158"/>
      <c r="QMQ11" s="7158"/>
      <c r="QMR11" s="7159"/>
      <c r="QMS11" s="7152"/>
      <c r="QMT11" s="7153"/>
      <c r="QMU11" s="7153"/>
      <c r="QMV11" s="7153"/>
      <c r="QMW11" s="7157"/>
      <c r="QMX11" s="7157"/>
      <c r="QMY11" s="7157"/>
      <c r="QMZ11" s="7157"/>
      <c r="QNA11" s="7157"/>
      <c r="QNB11" s="7157"/>
      <c r="QNC11" s="7158"/>
      <c r="QND11" s="7158"/>
      <c r="QNE11" s="7158"/>
      <c r="QNF11" s="7158"/>
      <c r="QNG11" s="7158"/>
      <c r="QNH11" s="7159"/>
      <c r="QNI11" s="7152"/>
      <c r="QNJ11" s="7153"/>
      <c r="QNK11" s="7153"/>
      <c r="QNL11" s="7153"/>
      <c r="QNM11" s="7157"/>
      <c r="QNN11" s="7157"/>
      <c r="QNO11" s="7157"/>
      <c r="QNP11" s="7157"/>
      <c r="QNQ11" s="7157"/>
      <c r="QNR11" s="7157"/>
      <c r="QNS11" s="7158"/>
      <c r="QNT11" s="7158"/>
      <c r="QNU11" s="7158"/>
      <c r="QNV11" s="7158"/>
      <c r="QNW11" s="7158"/>
      <c r="QNX11" s="7159"/>
      <c r="QNY11" s="7152"/>
      <c r="QNZ11" s="7153"/>
      <c r="QOA11" s="7153"/>
      <c r="QOB11" s="7153"/>
      <c r="QOC11" s="7157"/>
      <c r="QOD11" s="7157"/>
      <c r="QOE11" s="7157"/>
      <c r="QOF11" s="7157"/>
      <c r="QOG11" s="7157"/>
      <c r="QOH11" s="7157"/>
      <c r="QOI11" s="7158"/>
      <c r="QOJ11" s="7158"/>
      <c r="QOK11" s="7158"/>
      <c r="QOL11" s="7158"/>
      <c r="QOM11" s="7158"/>
      <c r="QON11" s="7159"/>
      <c r="QOO11" s="7152"/>
      <c r="QOP11" s="7153"/>
      <c r="QOQ11" s="7153"/>
      <c r="QOR11" s="7153"/>
      <c r="QOS11" s="7157"/>
      <c r="QOT11" s="7157"/>
      <c r="QOU11" s="7157"/>
      <c r="QOV11" s="7157"/>
      <c r="QOW11" s="7157"/>
      <c r="QOX11" s="7157"/>
      <c r="QOY11" s="7158"/>
      <c r="QOZ11" s="7158"/>
      <c r="QPA11" s="7158"/>
      <c r="QPB11" s="7158"/>
      <c r="QPC11" s="7158"/>
      <c r="QPD11" s="7159"/>
      <c r="QPE11" s="7152"/>
      <c r="QPF11" s="7153"/>
      <c r="QPG11" s="7153"/>
      <c r="QPH11" s="7153"/>
      <c r="QPI11" s="7157"/>
      <c r="QPJ11" s="7157"/>
      <c r="QPK11" s="7157"/>
      <c r="QPL11" s="7157"/>
      <c r="QPM11" s="7157"/>
      <c r="QPN11" s="7157"/>
      <c r="QPO11" s="7158"/>
      <c r="QPP11" s="7158"/>
      <c r="QPQ11" s="7158"/>
      <c r="QPR11" s="7158"/>
      <c r="QPS11" s="7158"/>
      <c r="QPT11" s="7159"/>
      <c r="QPU11" s="7152"/>
      <c r="QPV11" s="7153"/>
      <c r="QPW11" s="7153"/>
      <c r="QPX11" s="7153"/>
      <c r="QPY11" s="7157"/>
      <c r="QPZ11" s="7157"/>
      <c r="QQA11" s="7157"/>
      <c r="QQB11" s="7157"/>
      <c r="QQC11" s="7157"/>
      <c r="QQD11" s="7157"/>
      <c r="QQE11" s="7158"/>
      <c r="QQF11" s="7158"/>
      <c r="QQG11" s="7158"/>
      <c r="QQH11" s="7158"/>
      <c r="QQI11" s="7158"/>
      <c r="QQJ11" s="7159"/>
      <c r="QQK11" s="7152"/>
      <c r="QQL11" s="7153"/>
      <c r="QQM11" s="7153"/>
      <c r="QQN11" s="7153"/>
      <c r="QQO11" s="7157"/>
      <c r="QQP11" s="7157"/>
      <c r="QQQ11" s="7157"/>
      <c r="QQR11" s="7157"/>
      <c r="QQS11" s="7157"/>
      <c r="QQT11" s="7157"/>
      <c r="QQU11" s="7158"/>
      <c r="QQV11" s="7158"/>
      <c r="QQW11" s="7158"/>
      <c r="QQX11" s="7158"/>
      <c r="QQY11" s="7158"/>
      <c r="QQZ11" s="7159"/>
      <c r="QRA11" s="7152"/>
      <c r="QRB11" s="7153"/>
      <c r="QRC11" s="7153"/>
      <c r="QRD11" s="7153"/>
      <c r="QRE11" s="7157"/>
      <c r="QRF11" s="7157"/>
      <c r="QRG11" s="7157"/>
      <c r="QRH11" s="7157"/>
      <c r="QRI11" s="7157"/>
      <c r="QRJ11" s="7157"/>
      <c r="QRK11" s="7158"/>
      <c r="QRL11" s="7158"/>
      <c r="QRM11" s="7158"/>
      <c r="QRN11" s="7158"/>
      <c r="QRO11" s="7158"/>
      <c r="QRP11" s="7159"/>
      <c r="QRQ11" s="7152"/>
      <c r="QRR11" s="7153"/>
      <c r="QRS11" s="7153"/>
      <c r="QRT11" s="7153"/>
      <c r="QRU11" s="7157"/>
      <c r="QRV11" s="7157"/>
      <c r="QRW11" s="7157"/>
      <c r="QRX11" s="7157"/>
      <c r="QRY11" s="7157"/>
      <c r="QRZ11" s="7157"/>
      <c r="QSA11" s="7158"/>
      <c r="QSB11" s="7158"/>
      <c r="QSC11" s="7158"/>
      <c r="QSD11" s="7158"/>
      <c r="QSE11" s="7158"/>
      <c r="QSF11" s="7159"/>
      <c r="QSG11" s="7152"/>
      <c r="QSH11" s="7153"/>
      <c r="QSI11" s="7153"/>
      <c r="QSJ11" s="7153"/>
      <c r="QSK11" s="7157"/>
      <c r="QSL11" s="7157"/>
      <c r="QSM11" s="7157"/>
      <c r="QSN11" s="7157"/>
      <c r="QSO11" s="7157"/>
      <c r="QSP11" s="7157"/>
      <c r="QSQ11" s="7158"/>
      <c r="QSR11" s="7158"/>
      <c r="QSS11" s="7158"/>
      <c r="QST11" s="7158"/>
      <c r="QSU11" s="7158"/>
      <c r="QSV11" s="7159"/>
      <c r="QSW11" s="7152"/>
      <c r="QSX11" s="7153"/>
      <c r="QSY11" s="7153"/>
      <c r="QSZ11" s="7153"/>
      <c r="QTA11" s="7157"/>
      <c r="QTB11" s="7157"/>
      <c r="QTC11" s="7157"/>
      <c r="QTD11" s="7157"/>
      <c r="QTE11" s="7157"/>
      <c r="QTF11" s="7157"/>
      <c r="QTG11" s="7158"/>
      <c r="QTH11" s="7158"/>
      <c r="QTI11" s="7158"/>
      <c r="QTJ11" s="7158"/>
      <c r="QTK11" s="7158"/>
      <c r="QTL11" s="7159"/>
      <c r="QTM11" s="7152"/>
      <c r="QTN11" s="7153"/>
      <c r="QTO11" s="7153"/>
      <c r="QTP11" s="7153"/>
      <c r="QTQ11" s="7157"/>
      <c r="QTR11" s="7157"/>
      <c r="QTS11" s="7157"/>
      <c r="QTT11" s="7157"/>
      <c r="QTU11" s="7157"/>
      <c r="QTV11" s="7157"/>
      <c r="QTW11" s="7158"/>
      <c r="QTX11" s="7158"/>
      <c r="QTY11" s="7158"/>
      <c r="QTZ11" s="7158"/>
      <c r="QUA11" s="7158"/>
      <c r="QUB11" s="7159"/>
      <c r="QUC11" s="7152"/>
      <c r="QUD11" s="7153"/>
      <c r="QUE11" s="7153"/>
      <c r="QUF11" s="7153"/>
      <c r="QUG11" s="7157"/>
      <c r="QUH11" s="7157"/>
      <c r="QUI11" s="7157"/>
      <c r="QUJ11" s="7157"/>
      <c r="QUK11" s="7157"/>
      <c r="QUL11" s="7157"/>
      <c r="QUM11" s="7158"/>
      <c r="QUN11" s="7158"/>
      <c r="QUO11" s="7158"/>
      <c r="QUP11" s="7158"/>
      <c r="QUQ11" s="7158"/>
      <c r="QUR11" s="7159"/>
      <c r="QUS11" s="7152"/>
      <c r="QUT11" s="7153"/>
      <c r="QUU11" s="7153"/>
      <c r="QUV11" s="7153"/>
      <c r="QUW11" s="7157"/>
      <c r="QUX11" s="7157"/>
      <c r="QUY11" s="7157"/>
      <c r="QUZ11" s="7157"/>
      <c r="QVA11" s="7157"/>
      <c r="QVB11" s="7157"/>
      <c r="QVC11" s="7158"/>
      <c r="QVD11" s="7158"/>
      <c r="QVE11" s="7158"/>
      <c r="QVF11" s="7158"/>
      <c r="QVG11" s="7158"/>
      <c r="QVH11" s="7159"/>
      <c r="QVI11" s="7152"/>
      <c r="QVJ11" s="7153"/>
      <c r="QVK11" s="7153"/>
      <c r="QVL11" s="7153"/>
      <c r="QVM11" s="7157"/>
      <c r="QVN11" s="7157"/>
      <c r="QVO11" s="7157"/>
      <c r="QVP11" s="7157"/>
      <c r="QVQ11" s="7157"/>
      <c r="QVR11" s="7157"/>
      <c r="QVS11" s="7158"/>
      <c r="QVT11" s="7158"/>
      <c r="QVU11" s="7158"/>
      <c r="QVV11" s="7158"/>
      <c r="QVW11" s="7158"/>
      <c r="QVX11" s="7159"/>
      <c r="QVY11" s="7152"/>
      <c r="QVZ11" s="7153"/>
      <c r="QWA11" s="7153"/>
      <c r="QWB11" s="7153"/>
      <c r="QWC11" s="7157"/>
      <c r="QWD11" s="7157"/>
      <c r="QWE11" s="7157"/>
      <c r="QWF11" s="7157"/>
      <c r="QWG11" s="7157"/>
      <c r="QWH11" s="7157"/>
      <c r="QWI11" s="7158"/>
      <c r="QWJ11" s="7158"/>
      <c r="QWK11" s="7158"/>
      <c r="QWL11" s="7158"/>
      <c r="QWM11" s="7158"/>
      <c r="QWN11" s="7159"/>
      <c r="QWO11" s="7152"/>
      <c r="QWP11" s="7153"/>
      <c r="QWQ11" s="7153"/>
      <c r="QWR11" s="7153"/>
      <c r="QWS11" s="7157"/>
      <c r="QWT11" s="7157"/>
      <c r="QWU11" s="7157"/>
      <c r="QWV11" s="7157"/>
      <c r="QWW11" s="7157"/>
      <c r="QWX11" s="7157"/>
      <c r="QWY11" s="7158"/>
      <c r="QWZ11" s="7158"/>
      <c r="QXA11" s="7158"/>
      <c r="QXB11" s="7158"/>
      <c r="QXC11" s="7158"/>
      <c r="QXD11" s="7159"/>
      <c r="QXE11" s="7152"/>
      <c r="QXF11" s="7153"/>
      <c r="QXG11" s="7153"/>
      <c r="QXH11" s="7153"/>
      <c r="QXI11" s="7157"/>
      <c r="QXJ11" s="7157"/>
      <c r="QXK11" s="7157"/>
      <c r="QXL11" s="7157"/>
      <c r="QXM11" s="7157"/>
      <c r="QXN11" s="7157"/>
      <c r="QXO11" s="7158"/>
      <c r="QXP11" s="7158"/>
      <c r="QXQ11" s="7158"/>
      <c r="QXR11" s="7158"/>
      <c r="QXS11" s="7158"/>
      <c r="QXT11" s="7159"/>
      <c r="QXU11" s="7152"/>
      <c r="QXV11" s="7153"/>
      <c r="QXW11" s="7153"/>
      <c r="QXX11" s="7153"/>
      <c r="QXY11" s="7157"/>
      <c r="QXZ11" s="7157"/>
      <c r="QYA11" s="7157"/>
      <c r="QYB11" s="7157"/>
      <c r="QYC11" s="7157"/>
      <c r="QYD11" s="7157"/>
      <c r="QYE11" s="7158"/>
      <c r="QYF11" s="7158"/>
      <c r="QYG11" s="7158"/>
      <c r="QYH11" s="7158"/>
      <c r="QYI11" s="7158"/>
      <c r="QYJ11" s="7159"/>
      <c r="QYK11" s="7152"/>
      <c r="QYL11" s="7153"/>
      <c r="QYM11" s="7153"/>
      <c r="QYN11" s="7153"/>
      <c r="QYO11" s="7157"/>
      <c r="QYP11" s="7157"/>
      <c r="QYQ11" s="7157"/>
      <c r="QYR11" s="7157"/>
      <c r="QYS11" s="7157"/>
      <c r="QYT11" s="7157"/>
      <c r="QYU11" s="7158"/>
      <c r="QYV11" s="7158"/>
      <c r="QYW11" s="7158"/>
      <c r="QYX11" s="7158"/>
      <c r="QYY11" s="7158"/>
      <c r="QYZ11" s="7159"/>
      <c r="QZA11" s="7152"/>
      <c r="QZB11" s="7153"/>
      <c r="QZC11" s="7153"/>
      <c r="QZD11" s="7153"/>
      <c r="QZE11" s="7157"/>
      <c r="QZF11" s="7157"/>
      <c r="QZG11" s="7157"/>
      <c r="QZH11" s="7157"/>
      <c r="QZI11" s="7157"/>
      <c r="QZJ11" s="7157"/>
      <c r="QZK11" s="7158"/>
      <c r="QZL11" s="7158"/>
      <c r="QZM11" s="7158"/>
      <c r="QZN11" s="7158"/>
      <c r="QZO11" s="7158"/>
      <c r="QZP11" s="7159"/>
      <c r="QZQ11" s="7152"/>
      <c r="QZR11" s="7153"/>
      <c r="QZS11" s="7153"/>
      <c r="QZT11" s="7153"/>
      <c r="QZU11" s="7157"/>
      <c r="QZV11" s="7157"/>
      <c r="QZW11" s="7157"/>
      <c r="QZX11" s="7157"/>
      <c r="QZY11" s="7157"/>
      <c r="QZZ11" s="7157"/>
      <c r="RAA11" s="7158"/>
      <c r="RAB11" s="7158"/>
      <c r="RAC11" s="7158"/>
      <c r="RAD11" s="7158"/>
      <c r="RAE11" s="7158"/>
      <c r="RAF11" s="7159"/>
      <c r="RAG11" s="7152"/>
      <c r="RAH11" s="7153"/>
      <c r="RAI11" s="7153"/>
      <c r="RAJ11" s="7153"/>
      <c r="RAK11" s="7157"/>
      <c r="RAL11" s="7157"/>
      <c r="RAM11" s="7157"/>
      <c r="RAN11" s="7157"/>
      <c r="RAO11" s="7157"/>
      <c r="RAP11" s="7157"/>
      <c r="RAQ11" s="7158"/>
      <c r="RAR11" s="7158"/>
      <c r="RAS11" s="7158"/>
      <c r="RAT11" s="7158"/>
      <c r="RAU11" s="7158"/>
      <c r="RAV11" s="7159"/>
      <c r="RAW11" s="7152"/>
      <c r="RAX11" s="7153"/>
      <c r="RAY11" s="7153"/>
      <c r="RAZ11" s="7153"/>
      <c r="RBA11" s="7157"/>
      <c r="RBB11" s="7157"/>
      <c r="RBC11" s="7157"/>
      <c r="RBD11" s="7157"/>
      <c r="RBE11" s="7157"/>
      <c r="RBF11" s="7157"/>
      <c r="RBG11" s="7158"/>
      <c r="RBH11" s="7158"/>
      <c r="RBI11" s="7158"/>
      <c r="RBJ11" s="7158"/>
      <c r="RBK11" s="7158"/>
      <c r="RBL11" s="7159"/>
      <c r="RBM11" s="7152"/>
      <c r="RBN11" s="7153"/>
      <c r="RBO11" s="7153"/>
      <c r="RBP11" s="7153"/>
      <c r="RBQ11" s="7157"/>
      <c r="RBR11" s="7157"/>
      <c r="RBS11" s="7157"/>
      <c r="RBT11" s="7157"/>
      <c r="RBU11" s="7157"/>
      <c r="RBV11" s="7157"/>
      <c r="RBW11" s="7158"/>
      <c r="RBX11" s="7158"/>
      <c r="RBY11" s="7158"/>
      <c r="RBZ11" s="7158"/>
      <c r="RCA11" s="7158"/>
      <c r="RCB11" s="7159"/>
      <c r="RCC11" s="7152"/>
      <c r="RCD11" s="7153"/>
      <c r="RCE11" s="7153"/>
      <c r="RCF11" s="7153"/>
      <c r="RCG11" s="7157"/>
      <c r="RCH11" s="7157"/>
      <c r="RCI11" s="7157"/>
      <c r="RCJ11" s="7157"/>
      <c r="RCK11" s="7157"/>
      <c r="RCL11" s="7157"/>
      <c r="RCM11" s="7158"/>
      <c r="RCN11" s="7158"/>
      <c r="RCO11" s="7158"/>
      <c r="RCP11" s="7158"/>
      <c r="RCQ11" s="7158"/>
      <c r="RCR11" s="7159"/>
      <c r="RCS11" s="7152"/>
      <c r="RCT11" s="7153"/>
      <c r="RCU11" s="7153"/>
      <c r="RCV11" s="7153"/>
      <c r="RCW11" s="7157"/>
      <c r="RCX11" s="7157"/>
      <c r="RCY11" s="7157"/>
      <c r="RCZ11" s="7157"/>
      <c r="RDA11" s="7157"/>
      <c r="RDB11" s="7157"/>
      <c r="RDC11" s="7158"/>
      <c r="RDD11" s="7158"/>
      <c r="RDE11" s="7158"/>
      <c r="RDF11" s="7158"/>
      <c r="RDG11" s="7158"/>
      <c r="RDH11" s="7159"/>
      <c r="RDI11" s="7152"/>
      <c r="RDJ11" s="7153"/>
      <c r="RDK11" s="7153"/>
      <c r="RDL11" s="7153"/>
      <c r="RDM11" s="7157"/>
      <c r="RDN11" s="7157"/>
      <c r="RDO11" s="7157"/>
      <c r="RDP11" s="7157"/>
      <c r="RDQ11" s="7157"/>
      <c r="RDR11" s="7157"/>
      <c r="RDS11" s="7158"/>
      <c r="RDT11" s="7158"/>
      <c r="RDU11" s="7158"/>
      <c r="RDV11" s="7158"/>
      <c r="RDW11" s="7158"/>
      <c r="RDX11" s="7159"/>
      <c r="RDY11" s="7152"/>
      <c r="RDZ11" s="7153"/>
      <c r="REA11" s="7153"/>
      <c r="REB11" s="7153"/>
      <c r="REC11" s="7157"/>
      <c r="RED11" s="7157"/>
      <c r="REE11" s="7157"/>
      <c r="REF11" s="7157"/>
      <c r="REG11" s="7157"/>
      <c r="REH11" s="7157"/>
      <c r="REI11" s="7158"/>
      <c r="REJ11" s="7158"/>
      <c r="REK11" s="7158"/>
      <c r="REL11" s="7158"/>
      <c r="REM11" s="7158"/>
      <c r="REN11" s="7159"/>
      <c r="REO11" s="7152"/>
      <c r="REP11" s="7153"/>
      <c r="REQ11" s="7153"/>
      <c r="RER11" s="7153"/>
      <c r="RES11" s="7157"/>
      <c r="RET11" s="7157"/>
      <c r="REU11" s="7157"/>
      <c r="REV11" s="7157"/>
      <c r="REW11" s="7157"/>
      <c r="REX11" s="7157"/>
      <c r="REY11" s="7158"/>
      <c r="REZ11" s="7158"/>
      <c r="RFA11" s="7158"/>
      <c r="RFB11" s="7158"/>
      <c r="RFC11" s="7158"/>
      <c r="RFD11" s="7159"/>
      <c r="RFE11" s="7152"/>
      <c r="RFF11" s="7153"/>
      <c r="RFG11" s="7153"/>
      <c r="RFH11" s="7153"/>
      <c r="RFI11" s="7157"/>
      <c r="RFJ11" s="7157"/>
      <c r="RFK11" s="7157"/>
      <c r="RFL11" s="7157"/>
      <c r="RFM11" s="7157"/>
      <c r="RFN11" s="7157"/>
      <c r="RFO11" s="7158"/>
      <c r="RFP11" s="7158"/>
      <c r="RFQ11" s="7158"/>
      <c r="RFR11" s="7158"/>
      <c r="RFS11" s="7158"/>
      <c r="RFT11" s="7159"/>
      <c r="RFU11" s="7152"/>
      <c r="RFV11" s="7153"/>
      <c r="RFW11" s="7153"/>
      <c r="RFX11" s="7153"/>
      <c r="RFY11" s="7157"/>
      <c r="RFZ11" s="7157"/>
      <c r="RGA11" s="7157"/>
      <c r="RGB11" s="7157"/>
      <c r="RGC11" s="7157"/>
      <c r="RGD11" s="7157"/>
      <c r="RGE11" s="7158"/>
      <c r="RGF11" s="7158"/>
      <c r="RGG11" s="7158"/>
      <c r="RGH11" s="7158"/>
      <c r="RGI11" s="7158"/>
      <c r="RGJ11" s="7159"/>
      <c r="RGK11" s="7152"/>
      <c r="RGL11" s="7153"/>
      <c r="RGM11" s="7153"/>
      <c r="RGN11" s="7153"/>
      <c r="RGO11" s="7157"/>
      <c r="RGP11" s="7157"/>
      <c r="RGQ11" s="7157"/>
      <c r="RGR11" s="7157"/>
      <c r="RGS11" s="7157"/>
      <c r="RGT11" s="7157"/>
      <c r="RGU11" s="7158"/>
      <c r="RGV11" s="7158"/>
      <c r="RGW11" s="7158"/>
      <c r="RGX11" s="7158"/>
      <c r="RGY11" s="7158"/>
      <c r="RGZ11" s="7159"/>
      <c r="RHA11" s="7152"/>
      <c r="RHB11" s="7153"/>
      <c r="RHC11" s="7153"/>
      <c r="RHD11" s="7153"/>
      <c r="RHE11" s="7157"/>
      <c r="RHF11" s="7157"/>
      <c r="RHG11" s="7157"/>
      <c r="RHH11" s="7157"/>
      <c r="RHI11" s="7157"/>
      <c r="RHJ11" s="7157"/>
      <c r="RHK11" s="7158"/>
      <c r="RHL11" s="7158"/>
      <c r="RHM11" s="7158"/>
      <c r="RHN11" s="7158"/>
      <c r="RHO11" s="7158"/>
      <c r="RHP11" s="7159"/>
      <c r="RHQ11" s="7152"/>
      <c r="RHR11" s="7153"/>
      <c r="RHS11" s="7153"/>
      <c r="RHT11" s="7153"/>
      <c r="RHU11" s="7157"/>
      <c r="RHV11" s="7157"/>
      <c r="RHW11" s="7157"/>
      <c r="RHX11" s="7157"/>
      <c r="RHY11" s="7157"/>
      <c r="RHZ11" s="7157"/>
      <c r="RIA11" s="7158"/>
      <c r="RIB11" s="7158"/>
      <c r="RIC11" s="7158"/>
      <c r="RID11" s="7158"/>
      <c r="RIE11" s="7158"/>
      <c r="RIF11" s="7159"/>
      <c r="RIG11" s="7152"/>
      <c r="RIH11" s="7153"/>
      <c r="RII11" s="7153"/>
      <c r="RIJ11" s="7153"/>
      <c r="RIK11" s="7157"/>
      <c r="RIL11" s="7157"/>
      <c r="RIM11" s="7157"/>
      <c r="RIN11" s="7157"/>
      <c r="RIO11" s="7157"/>
      <c r="RIP11" s="7157"/>
      <c r="RIQ11" s="7158"/>
      <c r="RIR11" s="7158"/>
      <c r="RIS11" s="7158"/>
      <c r="RIT11" s="7158"/>
      <c r="RIU11" s="7158"/>
      <c r="RIV11" s="7159"/>
      <c r="RIW11" s="7152"/>
      <c r="RIX11" s="7153"/>
      <c r="RIY11" s="7153"/>
      <c r="RIZ11" s="7153"/>
      <c r="RJA11" s="7157"/>
      <c r="RJB11" s="7157"/>
      <c r="RJC11" s="7157"/>
      <c r="RJD11" s="7157"/>
      <c r="RJE11" s="7157"/>
      <c r="RJF11" s="7157"/>
      <c r="RJG11" s="7158"/>
      <c r="RJH11" s="7158"/>
      <c r="RJI11" s="7158"/>
      <c r="RJJ11" s="7158"/>
      <c r="RJK11" s="7158"/>
      <c r="RJL11" s="7159"/>
      <c r="RJM11" s="7152"/>
      <c r="RJN11" s="7153"/>
      <c r="RJO11" s="7153"/>
      <c r="RJP11" s="7153"/>
      <c r="RJQ11" s="7157"/>
      <c r="RJR11" s="7157"/>
      <c r="RJS11" s="7157"/>
      <c r="RJT11" s="7157"/>
      <c r="RJU11" s="7157"/>
      <c r="RJV11" s="7157"/>
      <c r="RJW11" s="7158"/>
      <c r="RJX11" s="7158"/>
      <c r="RJY11" s="7158"/>
      <c r="RJZ11" s="7158"/>
      <c r="RKA11" s="7158"/>
      <c r="RKB11" s="7159"/>
      <c r="RKC11" s="7152"/>
      <c r="RKD11" s="7153"/>
      <c r="RKE11" s="7153"/>
      <c r="RKF11" s="7153"/>
      <c r="RKG11" s="7157"/>
      <c r="RKH11" s="7157"/>
      <c r="RKI11" s="7157"/>
      <c r="RKJ11" s="7157"/>
      <c r="RKK11" s="7157"/>
      <c r="RKL11" s="7157"/>
      <c r="RKM11" s="7158"/>
      <c r="RKN11" s="7158"/>
      <c r="RKO11" s="7158"/>
      <c r="RKP11" s="7158"/>
      <c r="RKQ11" s="7158"/>
      <c r="RKR11" s="7159"/>
      <c r="RKS11" s="7152"/>
      <c r="RKT11" s="7153"/>
      <c r="RKU11" s="7153"/>
      <c r="RKV11" s="7153"/>
      <c r="RKW11" s="7157"/>
      <c r="RKX11" s="7157"/>
      <c r="RKY11" s="7157"/>
      <c r="RKZ11" s="7157"/>
      <c r="RLA11" s="7157"/>
      <c r="RLB11" s="7157"/>
      <c r="RLC11" s="7158"/>
      <c r="RLD11" s="7158"/>
      <c r="RLE11" s="7158"/>
      <c r="RLF11" s="7158"/>
      <c r="RLG11" s="7158"/>
      <c r="RLH11" s="7159"/>
      <c r="RLI11" s="7152"/>
      <c r="RLJ11" s="7153"/>
      <c r="RLK11" s="7153"/>
      <c r="RLL11" s="7153"/>
      <c r="RLM11" s="7157"/>
      <c r="RLN11" s="7157"/>
      <c r="RLO11" s="7157"/>
      <c r="RLP11" s="7157"/>
      <c r="RLQ11" s="7157"/>
      <c r="RLR11" s="7157"/>
      <c r="RLS11" s="7158"/>
      <c r="RLT11" s="7158"/>
      <c r="RLU11" s="7158"/>
      <c r="RLV11" s="7158"/>
      <c r="RLW11" s="7158"/>
      <c r="RLX11" s="7159"/>
      <c r="RLY11" s="7152"/>
      <c r="RLZ11" s="7153"/>
      <c r="RMA11" s="7153"/>
      <c r="RMB11" s="7153"/>
      <c r="RMC11" s="7157"/>
      <c r="RMD11" s="7157"/>
      <c r="RME11" s="7157"/>
      <c r="RMF11" s="7157"/>
      <c r="RMG11" s="7157"/>
      <c r="RMH11" s="7157"/>
      <c r="RMI11" s="7158"/>
      <c r="RMJ11" s="7158"/>
      <c r="RMK11" s="7158"/>
      <c r="RML11" s="7158"/>
      <c r="RMM11" s="7158"/>
      <c r="RMN11" s="7159"/>
      <c r="RMO11" s="7152"/>
      <c r="RMP11" s="7153"/>
      <c r="RMQ11" s="7153"/>
      <c r="RMR11" s="7153"/>
      <c r="RMS11" s="7157"/>
      <c r="RMT11" s="7157"/>
      <c r="RMU11" s="7157"/>
      <c r="RMV11" s="7157"/>
      <c r="RMW11" s="7157"/>
      <c r="RMX11" s="7157"/>
      <c r="RMY11" s="7158"/>
      <c r="RMZ11" s="7158"/>
      <c r="RNA11" s="7158"/>
      <c r="RNB11" s="7158"/>
      <c r="RNC11" s="7158"/>
      <c r="RND11" s="7159"/>
      <c r="RNE11" s="7152"/>
      <c r="RNF11" s="7153"/>
      <c r="RNG11" s="7153"/>
      <c r="RNH11" s="7153"/>
      <c r="RNI11" s="7157"/>
      <c r="RNJ11" s="7157"/>
      <c r="RNK11" s="7157"/>
      <c r="RNL11" s="7157"/>
      <c r="RNM11" s="7157"/>
      <c r="RNN11" s="7157"/>
      <c r="RNO11" s="7158"/>
      <c r="RNP11" s="7158"/>
      <c r="RNQ11" s="7158"/>
      <c r="RNR11" s="7158"/>
      <c r="RNS11" s="7158"/>
      <c r="RNT11" s="7159"/>
      <c r="RNU11" s="7152"/>
      <c r="RNV11" s="7153"/>
      <c r="RNW11" s="7153"/>
      <c r="RNX11" s="7153"/>
      <c r="RNY11" s="7157"/>
      <c r="RNZ11" s="7157"/>
      <c r="ROA11" s="7157"/>
      <c r="ROB11" s="7157"/>
      <c r="ROC11" s="7157"/>
      <c r="ROD11" s="7157"/>
      <c r="ROE11" s="7158"/>
      <c r="ROF11" s="7158"/>
      <c r="ROG11" s="7158"/>
      <c r="ROH11" s="7158"/>
      <c r="ROI11" s="7158"/>
      <c r="ROJ11" s="7159"/>
      <c r="ROK11" s="7152"/>
      <c r="ROL11" s="7153"/>
      <c r="ROM11" s="7153"/>
      <c r="RON11" s="7153"/>
      <c r="ROO11" s="7157"/>
      <c r="ROP11" s="7157"/>
      <c r="ROQ11" s="7157"/>
      <c r="ROR11" s="7157"/>
      <c r="ROS11" s="7157"/>
      <c r="ROT11" s="7157"/>
      <c r="ROU11" s="7158"/>
      <c r="ROV11" s="7158"/>
      <c r="ROW11" s="7158"/>
      <c r="ROX11" s="7158"/>
      <c r="ROY11" s="7158"/>
      <c r="ROZ11" s="7159"/>
      <c r="RPA11" s="7152"/>
      <c r="RPB11" s="7153"/>
      <c r="RPC11" s="7153"/>
      <c r="RPD11" s="7153"/>
      <c r="RPE11" s="7157"/>
      <c r="RPF11" s="7157"/>
      <c r="RPG11" s="7157"/>
      <c r="RPH11" s="7157"/>
      <c r="RPI11" s="7157"/>
      <c r="RPJ11" s="7157"/>
      <c r="RPK11" s="7158"/>
      <c r="RPL11" s="7158"/>
      <c r="RPM11" s="7158"/>
      <c r="RPN11" s="7158"/>
      <c r="RPO11" s="7158"/>
      <c r="RPP11" s="7159"/>
      <c r="RPQ11" s="7152"/>
      <c r="RPR11" s="7153"/>
      <c r="RPS11" s="7153"/>
      <c r="RPT11" s="7153"/>
      <c r="RPU11" s="7157"/>
      <c r="RPV11" s="7157"/>
      <c r="RPW11" s="7157"/>
      <c r="RPX11" s="7157"/>
      <c r="RPY11" s="7157"/>
      <c r="RPZ11" s="7157"/>
      <c r="RQA11" s="7158"/>
      <c r="RQB11" s="7158"/>
      <c r="RQC11" s="7158"/>
      <c r="RQD11" s="7158"/>
      <c r="RQE11" s="7158"/>
      <c r="RQF11" s="7159"/>
      <c r="RQG11" s="7152"/>
      <c r="RQH11" s="7153"/>
      <c r="RQI11" s="7153"/>
      <c r="RQJ11" s="7153"/>
      <c r="RQK11" s="7157"/>
      <c r="RQL11" s="7157"/>
      <c r="RQM11" s="7157"/>
      <c r="RQN11" s="7157"/>
      <c r="RQO11" s="7157"/>
      <c r="RQP11" s="7157"/>
      <c r="RQQ11" s="7158"/>
      <c r="RQR11" s="7158"/>
      <c r="RQS11" s="7158"/>
      <c r="RQT11" s="7158"/>
      <c r="RQU11" s="7158"/>
      <c r="RQV11" s="7159"/>
      <c r="RQW11" s="7152"/>
      <c r="RQX11" s="7153"/>
      <c r="RQY11" s="7153"/>
      <c r="RQZ11" s="7153"/>
      <c r="RRA11" s="7157"/>
      <c r="RRB11" s="7157"/>
      <c r="RRC11" s="7157"/>
      <c r="RRD11" s="7157"/>
      <c r="RRE11" s="7157"/>
      <c r="RRF11" s="7157"/>
      <c r="RRG11" s="7158"/>
      <c r="RRH11" s="7158"/>
      <c r="RRI11" s="7158"/>
      <c r="RRJ11" s="7158"/>
      <c r="RRK11" s="7158"/>
      <c r="RRL11" s="7159"/>
      <c r="RRM11" s="7152"/>
      <c r="RRN11" s="7153"/>
      <c r="RRO11" s="7153"/>
      <c r="RRP11" s="7153"/>
      <c r="RRQ11" s="7157"/>
      <c r="RRR11" s="7157"/>
      <c r="RRS11" s="7157"/>
      <c r="RRT11" s="7157"/>
      <c r="RRU11" s="7157"/>
      <c r="RRV11" s="7157"/>
      <c r="RRW11" s="7158"/>
      <c r="RRX11" s="7158"/>
      <c r="RRY11" s="7158"/>
      <c r="RRZ11" s="7158"/>
      <c r="RSA11" s="7158"/>
      <c r="RSB11" s="7159"/>
      <c r="RSC11" s="7152"/>
      <c r="RSD11" s="7153"/>
      <c r="RSE11" s="7153"/>
      <c r="RSF11" s="7153"/>
      <c r="RSG11" s="7157"/>
      <c r="RSH11" s="7157"/>
      <c r="RSI11" s="7157"/>
      <c r="RSJ11" s="7157"/>
      <c r="RSK11" s="7157"/>
      <c r="RSL11" s="7157"/>
      <c r="RSM11" s="7158"/>
      <c r="RSN11" s="7158"/>
      <c r="RSO11" s="7158"/>
      <c r="RSP11" s="7158"/>
      <c r="RSQ11" s="7158"/>
      <c r="RSR11" s="7159"/>
      <c r="RSS11" s="7152"/>
      <c r="RST11" s="7153"/>
      <c r="RSU11" s="7153"/>
      <c r="RSV11" s="7153"/>
      <c r="RSW11" s="7157"/>
      <c r="RSX11" s="7157"/>
      <c r="RSY11" s="7157"/>
      <c r="RSZ11" s="7157"/>
      <c r="RTA11" s="7157"/>
      <c r="RTB11" s="7157"/>
      <c r="RTC11" s="7158"/>
      <c r="RTD11" s="7158"/>
      <c r="RTE11" s="7158"/>
      <c r="RTF11" s="7158"/>
      <c r="RTG11" s="7158"/>
      <c r="RTH11" s="7159"/>
      <c r="RTI11" s="7152"/>
      <c r="RTJ11" s="7153"/>
      <c r="RTK11" s="7153"/>
      <c r="RTL11" s="7153"/>
      <c r="RTM11" s="7157"/>
      <c r="RTN11" s="7157"/>
      <c r="RTO11" s="7157"/>
      <c r="RTP11" s="7157"/>
      <c r="RTQ11" s="7157"/>
      <c r="RTR11" s="7157"/>
      <c r="RTS11" s="7158"/>
      <c r="RTT11" s="7158"/>
      <c r="RTU11" s="7158"/>
      <c r="RTV11" s="7158"/>
      <c r="RTW11" s="7158"/>
      <c r="RTX11" s="7159"/>
      <c r="RTY11" s="7152"/>
      <c r="RTZ11" s="7153"/>
      <c r="RUA11" s="7153"/>
      <c r="RUB11" s="7153"/>
      <c r="RUC11" s="7157"/>
      <c r="RUD11" s="7157"/>
      <c r="RUE11" s="7157"/>
      <c r="RUF11" s="7157"/>
      <c r="RUG11" s="7157"/>
      <c r="RUH11" s="7157"/>
      <c r="RUI11" s="7158"/>
      <c r="RUJ11" s="7158"/>
      <c r="RUK11" s="7158"/>
      <c r="RUL11" s="7158"/>
      <c r="RUM11" s="7158"/>
      <c r="RUN11" s="7159"/>
      <c r="RUO11" s="7152"/>
      <c r="RUP11" s="7153"/>
      <c r="RUQ11" s="7153"/>
      <c r="RUR11" s="7153"/>
      <c r="RUS11" s="7157"/>
      <c r="RUT11" s="7157"/>
      <c r="RUU11" s="7157"/>
      <c r="RUV11" s="7157"/>
      <c r="RUW11" s="7157"/>
      <c r="RUX11" s="7157"/>
      <c r="RUY11" s="7158"/>
      <c r="RUZ11" s="7158"/>
      <c r="RVA11" s="7158"/>
      <c r="RVB11" s="7158"/>
      <c r="RVC11" s="7158"/>
      <c r="RVD11" s="7159"/>
      <c r="RVE11" s="7152"/>
      <c r="RVF11" s="7153"/>
      <c r="RVG11" s="7153"/>
      <c r="RVH11" s="7153"/>
      <c r="RVI11" s="7157"/>
      <c r="RVJ11" s="7157"/>
      <c r="RVK11" s="7157"/>
      <c r="RVL11" s="7157"/>
      <c r="RVM11" s="7157"/>
      <c r="RVN11" s="7157"/>
      <c r="RVO11" s="7158"/>
      <c r="RVP11" s="7158"/>
      <c r="RVQ11" s="7158"/>
      <c r="RVR11" s="7158"/>
      <c r="RVS11" s="7158"/>
      <c r="RVT11" s="7159"/>
      <c r="RVU11" s="7152"/>
      <c r="RVV11" s="7153"/>
      <c r="RVW11" s="7153"/>
      <c r="RVX11" s="7153"/>
      <c r="RVY11" s="7157"/>
      <c r="RVZ11" s="7157"/>
      <c r="RWA11" s="7157"/>
      <c r="RWB11" s="7157"/>
      <c r="RWC11" s="7157"/>
      <c r="RWD11" s="7157"/>
      <c r="RWE11" s="7158"/>
      <c r="RWF11" s="7158"/>
      <c r="RWG11" s="7158"/>
      <c r="RWH11" s="7158"/>
      <c r="RWI11" s="7158"/>
      <c r="RWJ11" s="7159"/>
      <c r="RWK11" s="7152"/>
      <c r="RWL11" s="7153"/>
      <c r="RWM11" s="7153"/>
      <c r="RWN11" s="7153"/>
      <c r="RWO11" s="7157"/>
      <c r="RWP11" s="7157"/>
      <c r="RWQ11" s="7157"/>
      <c r="RWR11" s="7157"/>
      <c r="RWS11" s="7157"/>
      <c r="RWT11" s="7157"/>
      <c r="RWU11" s="7158"/>
      <c r="RWV11" s="7158"/>
      <c r="RWW11" s="7158"/>
      <c r="RWX11" s="7158"/>
      <c r="RWY11" s="7158"/>
      <c r="RWZ11" s="7159"/>
      <c r="RXA11" s="7152"/>
      <c r="RXB11" s="7153"/>
      <c r="RXC11" s="7153"/>
      <c r="RXD11" s="7153"/>
      <c r="RXE11" s="7157"/>
      <c r="RXF11" s="7157"/>
      <c r="RXG11" s="7157"/>
      <c r="RXH11" s="7157"/>
      <c r="RXI11" s="7157"/>
      <c r="RXJ11" s="7157"/>
      <c r="RXK11" s="7158"/>
      <c r="RXL11" s="7158"/>
      <c r="RXM11" s="7158"/>
      <c r="RXN11" s="7158"/>
      <c r="RXO11" s="7158"/>
      <c r="RXP11" s="7159"/>
      <c r="RXQ11" s="7152"/>
      <c r="RXR11" s="7153"/>
      <c r="RXS11" s="7153"/>
      <c r="RXT11" s="7153"/>
      <c r="RXU11" s="7157"/>
      <c r="RXV11" s="7157"/>
      <c r="RXW11" s="7157"/>
      <c r="RXX11" s="7157"/>
      <c r="RXY11" s="7157"/>
      <c r="RXZ11" s="7157"/>
      <c r="RYA11" s="7158"/>
      <c r="RYB11" s="7158"/>
      <c r="RYC11" s="7158"/>
      <c r="RYD11" s="7158"/>
      <c r="RYE11" s="7158"/>
      <c r="RYF11" s="7159"/>
      <c r="RYG11" s="7152"/>
      <c r="RYH11" s="7153"/>
      <c r="RYI11" s="7153"/>
      <c r="RYJ11" s="7153"/>
      <c r="RYK11" s="7157"/>
      <c r="RYL11" s="7157"/>
      <c r="RYM11" s="7157"/>
      <c r="RYN11" s="7157"/>
      <c r="RYO11" s="7157"/>
      <c r="RYP11" s="7157"/>
      <c r="RYQ11" s="7158"/>
      <c r="RYR11" s="7158"/>
      <c r="RYS11" s="7158"/>
      <c r="RYT11" s="7158"/>
      <c r="RYU11" s="7158"/>
      <c r="RYV11" s="7159"/>
      <c r="RYW11" s="7152"/>
      <c r="RYX11" s="7153"/>
      <c r="RYY11" s="7153"/>
      <c r="RYZ11" s="7153"/>
      <c r="RZA11" s="7157"/>
      <c r="RZB11" s="7157"/>
      <c r="RZC11" s="7157"/>
      <c r="RZD11" s="7157"/>
      <c r="RZE11" s="7157"/>
      <c r="RZF11" s="7157"/>
      <c r="RZG11" s="7158"/>
      <c r="RZH11" s="7158"/>
      <c r="RZI11" s="7158"/>
      <c r="RZJ11" s="7158"/>
      <c r="RZK11" s="7158"/>
      <c r="RZL11" s="7159"/>
      <c r="RZM11" s="7152"/>
      <c r="RZN11" s="7153"/>
      <c r="RZO11" s="7153"/>
      <c r="RZP11" s="7153"/>
      <c r="RZQ11" s="7157"/>
      <c r="RZR11" s="7157"/>
      <c r="RZS11" s="7157"/>
      <c r="RZT11" s="7157"/>
      <c r="RZU11" s="7157"/>
      <c r="RZV11" s="7157"/>
      <c r="RZW11" s="7158"/>
      <c r="RZX11" s="7158"/>
      <c r="RZY11" s="7158"/>
      <c r="RZZ11" s="7158"/>
      <c r="SAA11" s="7158"/>
      <c r="SAB11" s="7159"/>
      <c r="SAC11" s="7152"/>
      <c r="SAD11" s="7153"/>
      <c r="SAE11" s="7153"/>
      <c r="SAF11" s="7153"/>
      <c r="SAG11" s="7157"/>
      <c r="SAH11" s="7157"/>
      <c r="SAI11" s="7157"/>
      <c r="SAJ11" s="7157"/>
      <c r="SAK11" s="7157"/>
      <c r="SAL11" s="7157"/>
      <c r="SAM11" s="7158"/>
      <c r="SAN11" s="7158"/>
      <c r="SAO11" s="7158"/>
      <c r="SAP11" s="7158"/>
      <c r="SAQ11" s="7158"/>
      <c r="SAR11" s="7159"/>
      <c r="SAS11" s="7152"/>
      <c r="SAT11" s="7153"/>
      <c r="SAU11" s="7153"/>
      <c r="SAV11" s="7153"/>
      <c r="SAW11" s="7157"/>
      <c r="SAX11" s="7157"/>
      <c r="SAY11" s="7157"/>
      <c r="SAZ11" s="7157"/>
      <c r="SBA11" s="7157"/>
      <c r="SBB11" s="7157"/>
      <c r="SBC11" s="7158"/>
      <c r="SBD11" s="7158"/>
      <c r="SBE11" s="7158"/>
      <c r="SBF11" s="7158"/>
      <c r="SBG11" s="7158"/>
      <c r="SBH11" s="7159"/>
      <c r="SBI11" s="7152"/>
      <c r="SBJ11" s="7153"/>
      <c r="SBK11" s="7153"/>
      <c r="SBL11" s="7153"/>
      <c r="SBM11" s="7157"/>
      <c r="SBN11" s="7157"/>
      <c r="SBO11" s="7157"/>
      <c r="SBP11" s="7157"/>
      <c r="SBQ11" s="7157"/>
      <c r="SBR11" s="7157"/>
      <c r="SBS11" s="7158"/>
      <c r="SBT11" s="7158"/>
      <c r="SBU11" s="7158"/>
      <c r="SBV11" s="7158"/>
      <c r="SBW11" s="7158"/>
      <c r="SBX11" s="7159"/>
      <c r="SBY11" s="7152"/>
      <c r="SBZ11" s="7153"/>
      <c r="SCA11" s="7153"/>
      <c r="SCB11" s="7153"/>
      <c r="SCC11" s="7157"/>
      <c r="SCD11" s="7157"/>
      <c r="SCE11" s="7157"/>
      <c r="SCF11" s="7157"/>
      <c r="SCG11" s="7157"/>
      <c r="SCH11" s="7157"/>
      <c r="SCI11" s="7158"/>
      <c r="SCJ11" s="7158"/>
      <c r="SCK11" s="7158"/>
      <c r="SCL11" s="7158"/>
      <c r="SCM11" s="7158"/>
      <c r="SCN11" s="7159"/>
      <c r="SCO11" s="7152"/>
      <c r="SCP11" s="7153"/>
      <c r="SCQ11" s="7153"/>
      <c r="SCR11" s="7153"/>
      <c r="SCS11" s="7157"/>
      <c r="SCT11" s="7157"/>
      <c r="SCU11" s="7157"/>
      <c r="SCV11" s="7157"/>
      <c r="SCW11" s="7157"/>
      <c r="SCX11" s="7157"/>
      <c r="SCY11" s="7158"/>
      <c r="SCZ11" s="7158"/>
      <c r="SDA11" s="7158"/>
      <c r="SDB11" s="7158"/>
      <c r="SDC11" s="7158"/>
      <c r="SDD11" s="7159"/>
      <c r="SDE11" s="7152"/>
      <c r="SDF11" s="7153"/>
      <c r="SDG11" s="7153"/>
      <c r="SDH11" s="7153"/>
      <c r="SDI11" s="7157"/>
      <c r="SDJ11" s="7157"/>
      <c r="SDK11" s="7157"/>
      <c r="SDL11" s="7157"/>
      <c r="SDM11" s="7157"/>
      <c r="SDN11" s="7157"/>
      <c r="SDO11" s="7158"/>
      <c r="SDP11" s="7158"/>
      <c r="SDQ11" s="7158"/>
      <c r="SDR11" s="7158"/>
      <c r="SDS11" s="7158"/>
      <c r="SDT11" s="7159"/>
      <c r="SDU11" s="7152"/>
      <c r="SDV11" s="7153"/>
      <c r="SDW11" s="7153"/>
      <c r="SDX11" s="7153"/>
      <c r="SDY11" s="7157"/>
      <c r="SDZ11" s="7157"/>
      <c r="SEA11" s="7157"/>
      <c r="SEB11" s="7157"/>
      <c r="SEC11" s="7157"/>
      <c r="SED11" s="7157"/>
      <c r="SEE11" s="7158"/>
      <c r="SEF11" s="7158"/>
      <c r="SEG11" s="7158"/>
      <c r="SEH11" s="7158"/>
      <c r="SEI11" s="7158"/>
      <c r="SEJ11" s="7159"/>
      <c r="SEK11" s="7152"/>
      <c r="SEL11" s="7153"/>
      <c r="SEM11" s="7153"/>
      <c r="SEN11" s="7153"/>
      <c r="SEO11" s="7157"/>
      <c r="SEP11" s="7157"/>
      <c r="SEQ11" s="7157"/>
      <c r="SER11" s="7157"/>
      <c r="SES11" s="7157"/>
      <c r="SET11" s="7157"/>
      <c r="SEU11" s="7158"/>
      <c r="SEV11" s="7158"/>
      <c r="SEW11" s="7158"/>
      <c r="SEX11" s="7158"/>
      <c r="SEY11" s="7158"/>
      <c r="SEZ11" s="7159"/>
      <c r="SFA11" s="7152"/>
      <c r="SFB11" s="7153"/>
      <c r="SFC11" s="7153"/>
      <c r="SFD11" s="7153"/>
      <c r="SFE11" s="7157"/>
      <c r="SFF11" s="7157"/>
      <c r="SFG11" s="7157"/>
      <c r="SFH11" s="7157"/>
      <c r="SFI11" s="7157"/>
      <c r="SFJ11" s="7157"/>
      <c r="SFK11" s="7158"/>
      <c r="SFL11" s="7158"/>
      <c r="SFM11" s="7158"/>
      <c r="SFN11" s="7158"/>
      <c r="SFO11" s="7158"/>
      <c r="SFP11" s="7159"/>
      <c r="SFQ11" s="7152"/>
      <c r="SFR11" s="7153"/>
      <c r="SFS11" s="7153"/>
      <c r="SFT11" s="7153"/>
      <c r="SFU11" s="7157"/>
      <c r="SFV11" s="7157"/>
      <c r="SFW11" s="7157"/>
      <c r="SFX11" s="7157"/>
      <c r="SFY11" s="7157"/>
      <c r="SFZ11" s="7157"/>
      <c r="SGA11" s="7158"/>
      <c r="SGB11" s="7158"/>
      <c r="SGC11" s="7158"/>
      <c r="SGD11" s="7158"/>
      <c r="SGE11" s="7158"/>
      <c r="SGF11" s="7159"/>
      <c r="SGG11" s="7152"/>
      <c r="SGH11" s="7153"/>
      <c r="SGI11" s="7153"/>
      <c r="SGJ11" s="7153"/>
      <c r="SGK11" s="7157"/>
      <c r="SGL11" s="7157"/>
      <c r="SGM11" s="7157"/>
      <c r="SGN11" s="7157"/>
      <c r="SGO11" s="7157"/>
      <c r="SGP11" s="7157"/>
      <c r="SGQ11" s="7158"/>
      <c r="SGR11" s="7158"/>
      <c r="SGS11" s="7158"/>
      <c r="SGT11" s="7158"/>
      <c r="SGU11" s="7158"/>
      <c r="SGV11" s="7159"/>
      <c r="SGW11" s="7152"/>
      <c r="SGX11" s="7153"/>
      <c r="SGY11" s="7153"/>
      <c r="SGZ11" s="7153"/>
      <c r="SHA11" s="7157"/>
      <c r="SHB11" s="7157"/>
      <c r="SHC11" s="7157"/>
      <c r="SHD11" s="7157"/>
      <c r="SHE11" s="7157"/>
      <c r="SHF11" s="7157"/>
      <c r="SHG11" s="7158"/>
      <c r="SHH11" s="7158"/>
      <c r="SHI11" s="7158"/>
      <c r="SHJ11" s="7158"/>
      <c r="SHK11" s="7158"/>
      <c r="SHL11" s="7159"/>
      <c r="SHM11" s="7152"/>
      <c r="SHN11" s="7153"/>
      <c r="SHO11" s="7153"/>
      <c r="SHP11" s="7153"/>
      <c r="SHQ11" s="7157"/>
      <c r="SHR11" s="7157"/>
      <c r="SHS11" s="7157"/>
      <c r="SHT11" s="7157"/>
      <c r="SHU11" s="7157"/>
      <c r="SHV11" s="7157"/>
      <c r="SHW11" s="7158"/>
      <c r="SHX11" s="7158"/>
      <c r="SHY11" s="7158"/>
      <c r="SHZ11" s="7158"/>
      <c r="SIA11" s="7158"/>
      <c r="SIB11" s="7159"/>
      <c r="SIC11" s="7152"/>
      <c r="SID11" s="7153"/>
      <c r="SIE11" s="7153"/>
      <c r="SIF11" s="7153"/>
      <c r="SIG11" s="7157"/>
      <c r="SIH11" s="7157"/>
      <c r="SII11" s="7157"/>
      <c r="SIJ11" s="7157"/>
      <c r="SIK11" s="7157"/>
      <c r="SIL11" s="7157"/>
      <c r="SIM11" s="7158"/>
      <c r="SIN11" s="7158"/>
      <c r="SIO11" s="7158"/>
      <c r="SIP11" s="7158"/>
      <c r="SIQ11" s="7158"/>
      <c r="SIR11" s="7159"/>
      <c r="SIS11" s="7152"/>
      <c r="SIT11" s="7153"/>
      <c r="SIU11" s="7153"/>
      <c r="SIV11" s="7153"/>
      <c r="SIW11" s="7157"/>
      <c r="SIX11" s="7157"/>
      <c r="SIY11" s="7157"/>
      <c r="SIZ11" s="7157"/>
      <c r="SJA11" s="7157"/>
      <c r="SJB11" s="7157"/>
      <c r="SJC11" s="7158"/>
      <c r="SJD11" s="7158"/>
      <c r="SJE11" s="7158"/>
      <c r="SJF11" s="7158"/>
      <c r="SJG11" s="7158"/>
      <c r="SJH11" s="7159"/>
      <c r="SJI11" s="7152"/>
      <c r="SJJ11" s="7153"/>
      <c r="SJK11" s="7153"/>
      <c r="SJL11" s="7153"/>
      <c r="SJM11" s="7157"/>
      <c r="SJN11" s="7157"/>
      <c r="SJO11" s="7157"/>
      <c r="SJP11" s="7157"/>
      <c r="SJQ11" s="7157"/>
      <c r="SJR11" s="7157"/>
      <c r="SJS11" s="7158"/>
      <c r="SJT11" s="7158"/>
      <c r="SJU11" s="7158"/>
      <c r="SJV11" s="7158"/>
      <c r="SJW11" s="7158"/>
      <c r="SJX11" s="7159"/>
      <c r="SJY11" s="7152"/>
      <c r="SJZ11" s="7153"/>
      <c r="SKA11" s="7153"/>
      <c r="SKB11" s="7153"/>
      <c r="SKC11" s="7157"/>
      <c r="SKD11" s="7157"/>
      <c r="SKE11" s="7157"/>
      <c r="SKF11" s="7157"/>
      <c r="SKG11" s="7157"/>
      <c r="SKH11" s="7157"/>
      <c r="SKI11" s="7158"/>
      <c r="SKJ11" s="7158"/>
      <c r="SKK11" s="7158"/>
      <c r="SKL11" s="7158"/>
      <c r="SKM11" s="7158"/>
      <c r="SKN11" s="7159"/>
      <c r="SKO11" s="7152"/>
      <c r="SKP11" s="7153"/>
      <c r="SKQ11" s="7153"/>
      <c r="SKR11" s="7153"/>
      <c r="SKS11" s="7157"/>
      <c r="SKT11" s="7157"/>
      <c r="SKU11" s="7157"/>
      <c r="SKV11" s="7157"/>
      <c r="SKW11" s="7157"/>
      <c r="SKX11" s="7157"/>
      <c r="SKY11" s="7158"/>
      <c r="SKZ11" s="7158"/>
      <c r="SLA11" s="7158"/>
      <c r="SLB11" s="7158"/>
      <c r="SLC11" s="7158"/>
      <c r="SLD11" s="7159"/>
      <c r="SLE11" s="7152"/>
      <c r="SLF11" s="7153"/>
      <c r="SLG11" s="7153"/>
      <c r="SLH11" s="7153"/>
      <c r="SLI11" s="7157"/>
      <c r="SLJ11" s="7157"/>
      <c r="SLK11" s="7157"/>
      <c r="SLL11" s="7157"/>
      <c r="SLM11" s="7157"/>
      <c r="SLN11" s="7157"/>
      <c r="SLO11" s="7158"/>
      <c r="SLP11" s="7158"/>
      <c r="SLQ11" s="7158"/>
      <c r="SLR11" s="7158"/>
      <c r="SLS11" s="7158"/>
      <c r="SLT11" s="7159"/>
      <c r="SLU11" s="7152"/>
      <c r="SLV11" s="7153"/>
      <c r="SLW11" s="7153"/>
      <c r="SLX11" s="7153"/>
      <c r="SLY11" s="7157"/>
      <c r="SLZ11" s="7157"/>
      <c r="SMA11" s="7157"/>
      <c r="SMB11" s="7157"/>
      <c r="SMC11" s="7157"/>
      <c r="SMD11" s="7157"/>
      <c r="SME11" s="7158"/>
      <c r="SMF11" s="7158"/>
      <c r="SMG11" s="7158"/>
      <c r="SMH11" s="7158"/>
      <c r="SMI11" s="7158"/>
      <c r="SMJ11" s="7159"/>
      <c r="SMK11" s="7152"/>
      <c r="SML11" s="7153"/>
      <c r="SMM11" s="7153"/>
      <c r="SMN11" s="7153"/>
      <c r="SMO11" s="7157"/>
      <c r="SMP11" s="7157"/>
      <c r="SMQ11" s="7157"/>
      <c r="SMR11" s="7157"/>
      <c r="SMS11" s="7157"/>
      <c r="SMT11" s="7157"/>
      <c r="SMU11" s="7158"/>
      <c r="SMV11" s="7158"/>
      <c r="SMW11" s="7158"/>
      <c r="SMX11" s="7158"/>
      <c r="SMY11" s="7158"/>
      <c r="SMZ11" s="7159"/>
      <c r="SNA11" s="7152"/>
      <c r="SNB11" s="7153"/>
      <c r="SNC11" s="7153"/>
      <c r="SND11" s="7153"/>
      <c r="SNE11" s="7157"/>
      <c r="SNF11" s="7157"/>
      <c r="SNG11" s="7157"/>
      <c r="SNH11" s="7157"/>
      <c r="SNI11" s="7157"/>
      <c r="SNJ11" s="7157"/>
      <c r="SNK11" s="7158"/>
      <c r="SNL11" s="7158"/>
      <c r="SNM11" s="7158"/>
      <c r="SNN11" s="7158"/>
      <c r="SNO11" s="7158"/>
      <c r="SNP11" s="7159"/>
      <c r="SNQ11" s="7152"/>
      <c r="SNR11" s="7153"/>
      <c r="SNS11" s="7153"/>
      <c r="SNT11" s="7153"/>
      <c r="SNU11" s="7157"/>
      <c r="SNV11" s="7157"/>
      <c r="SNW11" s="7157"/>
      <c r="SNX11" s="7157"/>
      <c r="SNY11" s="7157"/>
      <c r="SNZ11" s="7157"/>
      <c r="SOA11" s="7158"/>
      <c r="SOB11" s="7158"/>
      <c r="SOC11" s="7158"/>
      <c r="SOD11" s="7158"/>
      <c r="SOE11" s="7158"/>
      <c r="SOF11" s="7159"/>
      <c r="SOG11" s="7152"/>
      <c r="SOH11" s="7153"/>
      <c r="SOI11" s="7153"/>
      <c r="SOJ11" s="7153"/>
      <c r="SOK11" s="7157"/>
      <c r="SOL11" s="7157"/>
      <c r="SOM11" s="7157"/>
      <c r="SON11" s="7157"/>
      <c r="SOO11" s="7157"/>
      <c r="SOP11" s="7157"/>
      <c r="SOQ11" s="7158"/>
      <c r="SOR11" s="7158"/>
      <c r="SOS11" s="7158"/>
      <c r="SOT11" s="7158"/>
      <c r="SOU11" s="7158"/>
      <c r="SOV11" s="7159"/>
      <c r="SOW11" s="7152"/>
      <c r="SOX11" s="7153"/>
      <c r="SOY11" s="7153"/>
      <c r="SOZ11" s="7153"/>
      <c r="SPA11" s="7157"/>
      <c r="SPB11" s="7157"/>
      <c r="SPC11" s="7157"/>
      <c r="SPD11" s="7157"/>
      <c r="SPE11" s="7157"/>
      <c r="SPF11" s="7157"/>
      <c r="SPG11" s="7158"/>
      <c r="SPH11" s="7158"/>
      <c r="SPI11" s="7158"/>
      <c r="SPJ11" s="7158"/>
      <c r="SPK11" s="7158"/>
      <c r="SPL11" s="7159"/>
      <c r="SPM11" s="7152"/>
      <c r="SPN11" s="7153"/>
      <c r="SPO11" s="7153"/>
      <c r="SPP11" s="7153"/>
      <c r="SPQ11" s="7157"/>
      <c r="SPR11" s="7157"/>
      <c r="SPS11" s="7157"/>
      <c r="SPT11" s="7157"/>
      <c r="SPU11" s="7157"/>
      <c r="SPV11" s="7157"/>
      <c r="SPW11" s="7158"/>
      <c r="SPX11" s="7158"/>
      <c r="SPY11" s="7158"/>
      <c r="SPZ11" s="7158"/>
      <c r="SQA11" s="7158"/>
      <c r="SQB11" s="7159"/>
      <c r="SQC11" s="7152"/>
      <c r="SQD11" s="7153"/>
      <c r="SQE11" s="7153"/>
      <c r="SQF11" s="7153"/>
      <c r="SQG11" s="7157"/>
      <c r="SQH11" s="7157"/>
      <c r="SQI11" s="7157"/>
      <c r="SQJ11" s="7157"/>
      <c r="SQK11" s="7157"/>
      <c r="SQL11" s="7157"/>
      <c r="SQM11" s="7158"/>
      <c r="SQN11" s="7158"/>
      <c r="SQO11" s="7158"/>
      <c r="SQP11" s="7158"/>
      <c r="SQQ11" s="7158"/>
      <c r="SQR11" s="7159"/>
      <c r="SQS11" s="7152"/>
      <c r="SQT11" s="7153"/>
      <c r="SQU11" s="7153"/>
      <c r="SQV11" s="7153"/>
      <c r="SQW11" s="7157"/>
      <c r="SQX11" s="7157"/>
      <c r="SQY11" s="7157"/>
      <c r="SQZ11" s="7157"/>
      <c r="SRA11" s="7157"/>
      <c r="SRB11" s="7157"/>
      <c r="SRC11" s="7158"/>
      <c r="SRD11" s="7158"/>
      <c r="SRE11" s="7158"/>
      <c r="SRF11" s="7158"/>
      <c r="SRG11" s="7158"/>
      <c r="SRH11" s="7159"/>
      <c r="SRI11" s="7152"/>
      <c r="SRJ11" s="7153"/>
      <c r="SRK11" s="7153"/>
      <c r="SRL11" s="7153"/>
      <c r="SRM11" s="7157"/>
      <c r="SRN11" s="7157"/>
      <c r="SRO11" s="7157"/>
      <c r="SRP11" s="7157"/>
      <c r="SRQ11" s="7157"/>
      <c r="SRR11" s="7157"/>
      <c r="SRS11" s="7158"/>
      <c r="SRT11" s="7158"/>
      <c r="SRU11" s="7158"/>
      <c r="SRV11" s="7158"/>
      <c r="SRW11" s="7158"/>
      <c r="SRX11" s="7159"/>
      <c r="SRY11" s="7152"/>
      <c r="SRZ11" s="7153"/>
      <c r="SSA11" s="7153"/>
      <c r="SSB11" s="7153"/>
      <c r="SSC11" s="7157"/>
      <c r="SSD11" s="7157"/>
      <c r="SSE11" s="7157"/>
      <c r="SSF11" s="7157"/>
      <c r="SSG11" s="7157"/>
      <c r="SSH11" s="7157"/>
      <c r="SSI11" s="7158"/>
      <c r="SSJ11" s="7158"/>
      <c r="SSK11" s="7158"/>
      <c r="SSL11" s="7158"/>
      <c r="SSM11" s="7158"/>
      <c r="SSN11" s="7159"/>
      <c r="SSO11" s="7152"/>
      <c r="SSP11" s="7153"/>
      <c r="SSQ11" s="7153"/>
      <c r="SSR11" s="7153"/>
      <c r="SSS11" s="7157"/>
      <c r="SST11" s="7157"/>
      <c r="SSU11" s="7157"/>
      <c r="SSV11" s="7157"/>
      <c r="SSW11" s="7157"/>
      <c r="SSX11" s="7157"/>
      <c r="SSY11" s="7158"/>
      <c r="SSZ11" s="7158"/>
      <c r="STA11" s="7158"/>
      <c r="STB11" s="7158"/>
      <c r="STC11" s="7158"/>
      <c r="STD11" s="7159"/>
      <c r="STE11" s="7152"/>
      <c r="STF11" s="7153"/>
      <c r="STG11" s="7153"/>
      <c r="STH11" s="7153"/>
      <c r="STI11" s="7157"/>
      <c r="STJ11" s="7157"/>
      <c r="STK11" s="7157"/>
      <c r="STL11" s="7157"/>
      <c r="STM11" s="7157"/>
      <c r="STN11" s="7157"/>
      <c r="STO11" s="7158"/>
      <c r="STP11" s="7158"/>
      <c r="STQ11" s="7158"/>
      <c r="STR11" s="7158"/>
      <c r="STS11" s="7158"/>
      <c r="STT11" s="7159"/>
      <c r="STU11" s="7152"/>
      <c r="STV11" s="7153"/>
      <c r="STW11" s="7153"/>
      <c r="STX11" s="7153"/>
      <c r="STY11" s="7157"/>
      <c r="STZ11" s="7157"/>
      <c r="SUA11" s="7157"/>
      <c r="SUB11" s="7157"/>
      <c r="SUC11" s="7157"/>
      <c r="SUD11" s="7157"/>
      <c r="SUE11" s="7158"/>
      <c r="SUF11" s="7158"/>
      <c r="SUG11" s="7158"/>
      <c r="SUH11" s="7158"/>
      <c r="SUI11" s="7158"/>
      <c r="SUJ11" s="7159"/>
      <c r="SUK11" s="7152"/>
      <c r="SUL11" s="7153"/>
      <c r="SUM11" s="7153"/>
      <c r="SUN11" s="7153"/>
      <c r="SUO11" s="7157"/>
      <c r="SUP11" s="7157"/>
      <c r="SUQ11" s="7157"/>
      <c r="SUR11" s="7157"/>
      <c r="SUS11" s="7157"/>
      <c r="SUT11" s="7157"/>
      <c r="SUU11" s="7158"/>
      <c r="SUV11" s="7158"/>
      <c r="SUW11" s="7158"/>
      <c r="SUX11" s="7158"/>
      <c r="SUY11" s="7158"/>
      <c r="SUZ11" s="7159"/>
      <c r="SVA11" s="7152"/>
      <c r="SVB11" s="7153"/>
      <c r="SVC11" s="7153"/>
      <c r="SVD11" s="7153"/>
      <c r="SVE11" s="7157"/>
      <c r="SVF11" s="7157"/>
      <c r="SVG11" s="7157"/>
      <c r="SVH11" s="7157"/>
      <c r="SVI11" s="7157"/>
      <c r="SVJ11" s="7157"/>
      <c r="SVK11" s="7158"/>
      <c r="SVL11" s="7158"/>
      <c r="SVM11" s="7158"/>
      <c r="SVN11" s="7158"/>
      <c r="SVO11" s="7158"/>
      <c r="SVP11" s="7159"/>
      <c r="SVQ11" s="7152"/>
      <c r="SVR11" s="7153"/>
      <c r="SVS11" s="7153"/>
      <c r="SVT11" s="7153"/>
      <c r="SVU11" s="7157"/>
      <c r="SVV11" s="7157"/>
      <c r="SVW11" s="7157"/>
      <c r="SVX11" s="7157"/>
      <c r="SVY11" s="7157"/>
      <c r="SVZ11" s="7157"/>
      <c r="SWA11" s="7158"/>
      <c r="SWB11" s="7158"/>
      <c r="SWC11" s="7158"/>
      <c r="SWD11" s="7158"/>
      <c r="SWE11" s="7158"/>
      <c r="SWF11" s="7159"/>
      <c r="SWG11" s="7152"/>
      <c r="SWH11" s="7153"/>
      <c r="SWI11" s="7153"/>
      <c r="SWJ11" s="7153"/>
      <c r="SWK11" s="7157"/>
      <c r="SWL11" s="7157"/>
      <c r="SWM11" s="7157"/>
      <c r="SWN11" s="7157"/>
      <c r="SWO11" s="7157"/>
      <c r="SWP11" s="7157"/>
      <c r="SWQ11" s="7158"/>
      <c r="SWR11" s="7158"/>
      <c r="SWS11" s="7158"/>
      <c r="SWT11" s="7158"/>
      <c r="SWU11" s="7158"/>
      <c r="SWV11" s="7159"/>
      <c r="SWW11" s="7152"/>
      <c r="SWX11" s="7153"/>
      <c r="SWY11" s="7153"/>
      <c r="SWZ11" s="7153"/>
      <c r="SXA11" s="7157"/>
      <c r="SXB11" s="7157"/>
      <c r="SXC11" s="7157"/>
      <c r="SXD11" s="7157"/>
      <c r="SXE11" s="7157"/>
      <c r="SXF11" s="7157"/>
      <c r="SXG11" s="7158"/>
      <c r="SXH11" s="7158"/>
      <c r="SXI11" s="7158"/>
      <c r="SXJ11" s="7158"/>
      <c r="SXK11" s="7158"/>
      <c r="SXL11" s="7159"/>
      <c r="SXM11" s="7152"/>
      <c r="SXN11" s="7153"/>
      <c r="SXO11" s="7153"/>
      <c r="SXP11" s="7153"/>
      <c r="SXQ11" s="7157"/>
      <c r="SXR11" s="7157"/>
      <c r="SXS11" s="7157"/>
      <c r="SXT11" s="7157"/>
      <c r="SXU11" s="7157"/>
      <c r="SXV11" s="7157"/>
      <c r="SXW11" s="7158"/>
      <c r="SXX11" s="7158"/>
      <c r="SXY11" s="7158"/>
      <c r="SXZ11" s="7158"/>
      <c r="SYA11" s="7158"/>
      <c r="SYB11" s="7159"/>
      <c r="SYC11" s="7152"/>
      <c r="SYD11" s="7153"/>
      <c r="SYE11" s="7153"/>
      <c r="SYF11" s="7153"/>
      <c r="SYG11" s="7157"/>
      <c r="SYH11" s="7157"/>
      <c r="SYI11" s="7157"/>
      <c r="SYJ11" s="7157"/>
      <c r="SYK11" s="7157"/>
      <c r="SYL11" s="7157"/>
      <c r="SYM11" s="7158"/>
      <c r="SYN11" s="7158"/>
      <c r="SYO11" s="7158"/>
      <c r="SYP11" s="7158"/>
      <c r="SYQ11" s="7158"/>
      <c r="SYR11" s="7159"/>
      <c r="SYS11" s="7152"/>
      <c r="SYT11" s="7153"/>
      <c r="SYU11" s="7153"/>
      <c r="SYV11" s="7153"/>
      <c r="SYW11" s="7157"/>
      <c r="SYX11" s="7157"/>
      <c r="SYY11" s="7157"/>
      <c r="SYZ11" s="7157"/>
      <c r="SZA11" s="7157"/>
      <c r="SZB11" s="7157"/>
      <c r="SZC11" s="7158"/>
      <c r="SZD11" s="7158"/>
      <c r="SZE11" s="7158"/>
      <c r="SZF11" s="7158"/>
      <c r="SZG11" s="7158"/>
      <c r="SZH11" s="7159"/>
      <c r="SZI11" s="7152"/>
      <c r="SZJ11" s="7153"/>
      <c r="SZK11" s="7153"/>
      <c r="SZL11" s="7153"/>
      <c r="SZM11" s="7157"/>
      <c r="SZN11" s="7157"/>
      <c r="SZO11" s="7157"/>
      <c r="SZP11" s="7157"/>
      <c r="SZQ11" s="7157"/>
      <c r="SZR11" s="7157"/>
      <c r="SZS11" s="7158"/>
      <c r="SZT11" s="7158"/>
      <c r="SZU11" s="7158"/>
      <c r="SZV11" s="7158"/>
      <c r="SZW11" s="7158"/>
      <c r="SZX11" s="7159"/>
      <c r="SZY11" s="7152"/>
      <c r="SZZ11" s="7153"/>
      <c r="TAA11" s="7153"/>
      <c r="TAB11" s="7153"/>
      <c r="TAC11" s="7157"/>
      <c r="TAD11" s="7157"/>
      <c r="TAE11" s="7157"/>
      <c r="TAF11" s="7157"/>
      <c r="TAG11" s="7157"/>
      <c r="TAH11" s="7157"/>
      <c r="TAI11" s="7158"/>
      <c r="TAJ11" s="7158"/>
      <c r="TAK11" s="7158"/>
      <c r="TAL11" s="7158"/>
      <c r="TAM11" s="7158"/>
      <c r="TAN11" s="7159"/>
      <c r="TAO11" s="7152"/>
      <c r="TAP11" s="7153"/>
      <c r="TAQ11" s="7153"/>
      <c r="TAR11" s="7153"/>
      <c r="TAS11" s="7157"/>
      <c r="TAT11" s="7157"/>
      <c r="TAU11" s="7157"/>
      <c r="TAV11" s="7157"/>
      <c r="TAW11" s="7157"/>
      <c r="TAX11" s="7157"/>
      <c r="TAY11" s="7158"/>
      <c r="TAZ11" s="7158"/>
      <c r="TBA11" s="7158"/>
      <c r="TBB11" s="7158"/>
      <c r="TBC11" s="7158"/>
      <c r="TBD11" s="7159"/>
      <c r="TBE11" s="7152"/>
      <c r="TBF11" s="7153"/>
      <c r="TBG11" s="7153"/>
      <c r="TBH11" s="7153"/>
      <c r="TBI11" s="7157"/>
      <c r="TBJ11" s="7157"/>
      <c r="TBK11" s="7157"/>
      <c r="TBL11" s="7157"/>
      <c r="TBM11" s="7157"/>
      <c r="TBN11" s="7157"/>
      <c r="TBO11" s="7158"/>
      <c r="TBP11" s="7158"/>
      <c r="TBQ11" s="7158"/>
      <c r="TBR11" s="7158"/>
      <c r="TBS11" s="7158"/>
      <c r="TBT11" s="7159"/>
      <c r="TBU11" s="7152"/>
      <c r="TBV11" s="7153"/>
      <c r="TBW11" s="7153"/>
      <c r="TBX11" s="7153"/>
      <c r="TBY11" s="7157"/>
      <c r="TBZ11" s="7157"/>
      <c r="TCA11" s="7157"/>
      <c r="TCB11" s="7157"/>
      <c r="TCC11" s="7157"/>
      <c r="TCD11" s="7157"/>
      <c r="TCE11" s="7158"/>
      <c r="TCF11" s="7158"/>
      <c r="TCG11" s="7158"/>
      <c r="TCH11" s="7158"/>
      <c r="TCI11" s="7158"/>
      <c r="TCJ11" s="7159"/>
      <c r="TCK11" s="7152"/>
      <c r="TCL11" s="7153"/>
      <c r="TCM11" s="7153"/>
      <c r="TCN11" s="7153"/>
      <c r="TCO11" s="7157"/>
      <c r="TCP11" s="7157"/>
      <c r="TCQ11" s="7157"/>
      <c r="TCR11" s="7157"/>
      <c r="TCS11" s="7157"/>
      <c r="TCT11" s="7157"/>
      <c r="TCU11" s="7158"/>
      <c r="TCV11" s="7158"/>
      <c r="TCW11" s="7158"/>
      <c r="TCX11" s="7158"/>
      <c r="TCY11" s="7158"/>
      <c r="TCZ11" s="7159"/>
      <c r="TDA11" s="7152"/>
      <c r="TDB11" s="7153"/>
      <c r="TDC11" s="7153"/>
      <c r="TDD11" s="7153"/>
      <c r="TDE11" s="7157"/>
      <c r="TDF11" s="7157"/>
      <c r="TDG11" s="7157"/>
      <c r="TDH11" s="7157"/>
      <c r="TDI11" s="7157"/>
      <c r="TDJ11" s="7157"/>
      <c r="TDK11" s="7158"/>
      <c r="TDL11" s="7158"/>
      <c r="TDM11" s="7158"/>
      <c r="TDN11" s="7158"/>
      <c r="TDO11" s="7158"/>
      <c r="TDP11" s="7159"/>
      <c r="TDQ11" s="7152"/>
      <c r="TDR11" s="7153"/>
      <c r="TDS11" s="7153"/>
      <c r="TDT11" s="7153"/>
      <c r="TDU11" s="7157"/>
      <c r="TDV11" s="7157"/>
      <c r="TDW11" s="7157"/>
      <c r="TDX11" s="7157"/>
      <c r="TDY11" s="7157"/>
      <c r="TDZ11" s="7157"/>
      <c r="TEA11" s="7158"/>
      <c r="TEB11" s="7158"/>
      <c r="TEC11" s="7158"/>
      <c r="TED11" s="7158"/>
      <c r="TEE11" s="7158"/>
      <c r="TEF11" s="7159"/>
      <c r="TEG11" s="7152"/>
      <c r="TEH11" s="7153"/>
      <c r="TEI11" s="7153"/>
      <c r="TEJ11" s="7153"/>
      <c r="TEK11" s="7157"/>
      <c r="TEL11" s="7157"/>
      <c r="TEM11" s="7157"/>
      <c r="TEN11" s="7157"/>
      <c r="TEO11" s="7157"/>
      <c r="TEP11" s="7157"/>
      <c r="TEQ11" s="7158"/>
      <c r="TER11" s="7158"/>
      <c r="TES11" s="7158"/>
      <c r="TET11" s="7158"/>
      <c r="TEU11" s="7158"/>
      <c r="TEV11" s="7159"/>
      <c r="TEW11" s="7152"/>
      <c r="TEX11" s="7153"/>
      <c r="TEY11" s="7153"/>
      <c r="TEZ11" s="7153"/>
      <c r="TFA11" s="7157"/>
      <c r="TFB11" s="7157"/>
      <c r="TFC11" s="7157"/>
      <c r="TFD11" s="7157"/>
      <c r="TFE11" s="7157"/>
      <c r="TFF11" s="7157"/>
      <c r="TFG11" s="7158"/>
      <c r="TFH11" s="7158"/>
      <c r="TFI11" s="7158"/>
      <c r="TFJ11" s="7158"/>
      <c r="TFK11" s="7158"/>
      <c r="TFL11" s="7159"/>
      <c r="TFM11" s="7152"/>
      <c r="TFN11" s="7153"/>
      <c r="TFO11" s="7153"/>
      <c r="TFP11" s="7153"/>
      <c r="TFQ11" s="7157"/>
      <c r="TFR11" s="7157"/>
      <c r="TFS11" s="7157"/>
      <c r="TFT11" s="7157"/>
      <c r="TFU11" s="7157"/>
      <c r="TFV11" s="7157"/>
      <c r="TFW11" s="7158"/>
      <c r="TFX11" s="7158"/>
      <c r="TFY11" s="7158"/>
      <c r="TFZ11" s="7158"/>
      <c r="TGA11" s="7158"/>
      <c r="TGB11" s="7159"/>
      <c r="TGC11" s="7152"/>
      <c r="TGD11" s="7153"/>
      <c r="TGE11" s="7153"/>
      <c r="TGF11" s="7153"/>
      <c r="TGG11" s="7157"/>
      <c r="TGH11" s="7157"/>
      <c r="TGI11" s="7157"/>
      <c r="TGJ11" s="7157"/>
      <c r="TGK11" s="7157"/>
      <c r="TGL11" s="7157"/>
      <c r="TGM11" s="7158"/>
      <c r="TGN11" s="7158"/>
      <c r="TGO11" s="7158"/>
      <c r="TGP11" s="7158"/>
      <c r="TGQ11" s="7158"/>
      <c r="TGR11" s="7159"/>
      <c r="TGS11" s="7152"/>
      <c r="TGT11" s="7153"/>
      <c r="TGU11" s="7153"/>
      <c r="TGV11" s="7153"/>
      <c r="TGW11" s="7157"/>
      <c r="TGX11" s="7157"/>
      <c r="TGY11" s="7157"/>
      <c r="TGZ11" s="7157"/>
      <c r="THA11" s="7157"/>
      <c r="THB11" s="7157"/>
      <c r="THC11" s="7158"/>
      <c r="THD11" s="7158"/>
      <c r="THE11" s="7158"/>
      <c r="THF11" s="7158"/>
      <c r="THG11" s="7158"/>
      <c r="THH11" s="7159"/>
      <c r="THI11" s="7152"/>
      <c r="THJ11" s="7153"/>
      <c r="THK11" s="7153"/>
      <c r="THL11" s="7153"/>
      <c r="THM11" s="7157"/>
      <c r="THN11" s="7157"/>
      <c r="THO11" s="7157"/>
      <c r="THP11" s="7157"/>
      <c r="THQ11" s="7157"/>
      <c r="THR11" s="7157"/>
      <c r="THS11" s="7158"/>
      <c r="THT11" s="7158"/>
      <c r="THU11" s="7158"/>
      <c r="THV11" s="7158"/>
      <c r="THW11" s="7158"/>
      <c r="THX11" s="7159"/>
      <c r="THY11" s="7152"/>
      <c r="THZ11" s="7153"/>
      <c r="TIA11" s="7153"/>
      <c r="TIB11" s="7153"/>
      <c r="TIC11" s="7157"/>
      <c r="TID11" s="7157"/>
      <c r="TIE11" s="7157"/>
      <c r="TIF11" s="7157"/>
      <c r="TIG11" s="7157"/>
      <c r="TIH11" s="7157"/>
      <c r="TII11" s="7158"/>
      <c r="TIJ11" s="7158"/>
      <c r="TIK11" s="7158"/>
      <c r="TIL11" s="7158"/>
      <c r="TIM11" s="7158"/>
      <c r="TIN11" s="7159"/>
      <c r="TIO11" s="7152"/>
      <c r="TIP11" s="7153"/>
      <c r="TIQ11" s="7153"/>
      <c r="TIR11" s="7153"/>
      <c r="TIS11" s="7157"/>
      <c r="TIT11" s="7157"/>
      <c r="TIU11" s="7157"/>
      <c r="TIV11" s="7157"/>
      <c r="TIW11" s="7157"/>
      <c r="TIX11" s="7157"/>
      <c r="TIY11" s="7158"/>
      <c r="TIZ11" s="7158"/>
      <c r="TJA11" s="7158"/>
      <c r="TJB11" s="7158"/>
      <c r="TJC11" s="7158"/>
      <c r="TJD11" s="7159"/>
      <c r="TJE11" s="7152"/>
      <c r="TJF11" s="7153"/>
      <c r="TJG11" s="7153"/>
      <c r="TJH11" s="7153"/>
      <c r="TJI11" s="7157"/>
      <c r="TJJ11" s="7157"/>
      <c r="TJK11" s="7157"/>
      <c r="TJL11" s="7157"/>
      <c r="TJM11" s="7157"/>
      <c r="TJN11" s="7157"/>
      <c r="TJO11" s="7158"/>
      <c r="TJP11" s="7158"/>
      <c r="TJQ11" s="7158"/>
      <c r="TJR11" s="7158"/>
      <c r="TJS11" s="7158"/>
      <c r="TJT11" s="7159"/>
      <c r="TJU11" s="7152"/>
      <c r="TJV11" s="7153"/>
      <c r="TJW11" s="7153"/>
      <c r="TJX11" s="7153"/>
      <c r="TJY11" s="7157"/>
      <c r="TJZ11" s="7157"/>
      <c r="TKA11" s="7157"/>
      <c r="TKB11" s="7157"/>
      <c r="TKC11" s="7157"/>
      <c r="TKD11" s="7157"/>
      <c r="TKE11" s="7158"/>
      <c r="TKF11" s="7158"/>
      <c r="TKG11" s="7158"/>
      <c r="TKH11" s="7158"/>
      <c r="TKI11" s="7158"/>
      <c r="TKJ11" s="7159"/>
      <c r="TKK11" s="7152"/>
      <c r="TKL11" s="7153"/>
      <c r="TKM11" s="7153"/>
      <c r="TKN11" s="7153"/>
      <c r="TKO11" s="7157"/>
      <c r="TKP11" s="7157"/>
      <c r="TKQ11" s="7157"/>
      <c r="TKR11" s="7157"/>
      <c r="TKS11" s="7157"/>
      <c r="TKT11" s="7157"/>
      <c r="TKU11" s="7158"/>
      <c r="TKV11" s="7158"/>
      <c r="TKW11" s="7158"/>
      <c r="TKX11" s="7158"/>
      <c r="TKY11" s="7158"/>
      <c r="TKZ11" s="7159"/>
      <c r="TLA11" s="7152"/>
      <c r="TLB11" s="7153"/>
      <c r="TLC11" s="7153"/>
      <c r="TLD11" s="7153"/>
      <c r="TLE11" s="7157"/>
      <c r="TLF11" s="7157"/>
      <c r="TLG11" s="7157"/>
      <c r="TLH11" s="7157"/>
      <c r="TLI11" s="7157"/>
      <c r="TLJ11" s="7157"/>
      <c r="TLK11" s="7158"/>
      <c r="TLL11" s="7158"/>
      <c r="TLM11" s="7158"/>
      <c r="TLN11" s="7158"/>
      <c r="TLO11" s="7158"/>
      <c r="TLP11" s="7159"/>
      <c r="TLQ11" s="7152"/>
      <c r="TLR11" s="7153"/>
      <c r="TLS11" s="7153"/>
      <c r="TLT11" s="7153"/>
      <c r="TLU11" s="7157"/>
      <c r="TLV11" s="7157"/>
      <c r="TLW11" s="7157"/>
      <c r="TLX11" s="7157"/>
      <c r="TLY11" s="7157"/>
      <c r="TLZ11" s="7157"/>
      <c r="TMA11" s="7158"/>
      <c r="TMB11" s="7158"/>
      <c r="TMC11" s="7158"/>
      <c r="TMD11" s="7158"/>
      <c r="TME11" s="7158"/>
      <c r="TMF11" s="7159"/>
      <c r="TMG11" s="7152"/>
      <c r="TMH11" s="7153"/>
      <c r="TMI11" s="7153"/>
      <c r="TMJ11" s="7153"/>
      <c r="TMK11" s="7157"/>
      <c r="TML11" s="7157"/>
      <c r="TMM11" s="7157"/>
      <c r="TMN11" s="7157"/>
      <c r="TMO11" s="7157"/>
      <c r="TMP11" s="7157"/>
      <c r="TMQ11" s="7158"/>
      <c r="TMR11" s="7158"/>
      <c r="TMS11" s="7158"/>
      <c r="TMT11" s="7158"/>
      <c r="TMU11" s="7158"/>
      <c r="TMV11" s="7159"/>
      <c r="TMW11" s="7152"/>
      <c r="TMX11" s="7153"/>
      <c r="TMY11" s="7153"/>
      <c r="TMZ11" s="7153"/>
      <c r="TNA11" s="7157"/>
      <c r="TNB11" s="7157"/>
      <c r="TNC11" s="7157"/>
      <c r="TND11" s="7157"/>
      <c r="TNE11" s="7157"/>
      <c r="TNF11" s="7157"/>
      <c r="TNG11" s="7158"/>
      <c r="TNH11" s="7158"/>
      <c r="TNI11" s="7158"/>
      <c r="TNJ11" s="7158"/>
      <c r="TNK11" s="7158"/>
      <c r="TNL11" s="7159"/>
      <c r="TNM11" s="7152"/>
      <c r="TNN11" s="7153"/>
      <c r="TNO11" s="7153"/>
      <c r="TNP11" s="7153"/>
      <c r="TNQ11" s="7157"/>
      <c r="TNR11" s="7157"/>
      <c r="TNS11" s="7157"/>
      <c r="TNT11" s="7157"/>
      <c r="TNU11" s="7157"/>
      <c r="TNV11" s="7157"/>
      <c r="TNW11" s="7158"/>
      <c r="TNX11" s="7158"/>
      <c r="TNY11" s="7158"/>
      <c r="TNZ11" s="7158"/>
      <c r="TOA11" s="7158"/>
      <c r="TOB11" s="7159"/>
      <c r="TOC11" s="7152"/>
      <c r="TOD11" s="7153"/>
      <c r="TOE11" s="7153"/>
      <c r="TOF11" s="7153"/>
      <c r="TOG11" s="7157"/>
      <c r="TOH11" s="7157"/>
      <c r="TOI11" s="7157"/>
      <c r="TOJ11" s="7157"/>
      <c r="TOK11" s="7157"/>
      <c r="TOL11" s="7157"/>
      <c r="TOM11" s="7158"/>
      <c r="TON11" s="7158"/>
      <c r="TOO11" s="7158"/>
      <c r="TOP11" s="7158"/>
      <c r="TOQ11" s="7158"/>
      <c r="TOR11" s="7159"/>
      <c r="TOS11" s="7152"/>
      <c r="TOT11" s="7153"/>
      <c r="TOU11" s="7153"/>
      <c r="TOV11" s="7153"/>
      <c r="TOW11" s="7157"/>
      <c r="TOX11" s="7157"/>
      <c r="TOY11" s="7157"/>
      <c r="TOZ11" s="7157"/>
      <c r="TPA11" s="7157"/>
      <c r="TPB11" s="7157"/>
      <c r="TPC11" s="7158"/>
      <c r="TPD11" s="7158"/>
      <c r="TPE11" s="7158"/>
      <c r="TPF11" s="7158"/>
      <c r="TPG11" s="7158"/>
      <c r="TPH11" s="7159"/>
      <c r="TPI11" s="7152"/>
      <c r="TPJ11" s="7153"/>
      <c r="TPK11" s="7153"/>
      <c r="TPL11" s="7153"/>
      <c r="TPM11" s="7157"/>
      <c r="TPN11" s="7157"/>
      <c r="TPO11" s="7157"/>
      <c r="TPP11" s="7157"/>
      <c r="TPQ11" s="7157"/>
      <c r="TPR11" s="7157"/>
      <c r="TPS11" s="7158"/>
      <c r="TPT11" s="7158"/>
      <c r="TPU11" s="7158"/>
      <c r="TPV11" s="7158"/>
      <c r="TPW11" s="7158"/>
      <c r="TPX11" s="7159"/>
      <c r="TPY11" s="7152"/>
      <c r="TPZ11" s="7153"/>
      <c r="TQA11" s="7153"/>
      <c r="TQB11" s="7153"/>
      <c r="TQC11" s="7157"/>
      <c r="TQD11" s="7157"/>
      <c r="TQE11" s="7157"/>
      <c r="TQF11" s="7157"/>
      <c r="TQG11" s="7157"/>
      <c r="TQH11" s="7157"/>
      <c r="TQI11" s="7158"/>
      <c r="TQJ11" s="7158"/>
      <c r="TQK11" s="7158"/>
      <c r="TQL11" s="7158"/>
      <c r="TQM11" s="7158"/>
      <c r="TQN11" s="7159"/>
      <c r="TQO11" s="7152"/>
      <c r="TQP11" s="7153"/>
      <c r="TQQ11" s="7153"/>
      <c r="TQR11" s="7153"/>
      <c r="TQS11" s="7157"/>
      <c r="TQT11" s="7157"/>
      <c r="TQU11" s="7157"/>
      <c r="TQV11" s="7157"/>
      <c r="TQW11" s="7157"/>
      <c r="TQX11" s="7157"/>
      <c r="TQY11" s="7158"/>
      <c r="TQZ11" s="7158"/>
      <c r="TRA11" s="7158"/>
      <c r="TRB11" s="7158"/>
      <c r="TRC11" s="7158"/>
      <c r="TRD11" s="7159"/>
      <c r="TRE11" s="7152"/>
      <c r="TRF11" s="7153"/>
      <c r="TRG11" s="7153"/>
      <c r="TRH11" s="7153"/>
      <c r="TRI11" s="7157"/>
      <c r="TRJ11" s="7157"/>
      <c r="TRK11" s="7157"/>
      <c r="TRL11" s="7157"/>
      <c r="TRM11" s="7157"/>
      <c r="TRN11" s="7157"/>
      <c r="TRO11" s="7158"/>
      <c r="TRP11" s="7158"/>
      <c r="TRQ11" s="7158"/>
      <c r="TRR11" s="7158"/>
      <c r="TRS11" s="7158"/>
      <c r="TRT11" s="7159"/>
      <c r="TRU11" s="7152"/>
      <c r="TRV11" s="7153"/>
      <c r="TRW11" s="7153"/>
      <c r="TRX11" s="7153"/>
      <c r="TRY11" s="7157"/>
      <c r="TRZ11" s="7157"/>
      <c r="TSA11" s="7157"/>
      <c r="TSB11" s="7157"/>
      <c r="TSC11" s="7157"/>
      <c r="TSD11" s="7157"/>
      <c r="TSE11" s="7158"/>
      <c r="TSF11" s="7158"/>
      <c r="TSG11" s="7158"/>
      <c r="TSH11" s="7158"/>
      <c r="TSI11" s="7158"/>
      <c r="TSJ11" s="7159"/>
      <c r="TSK11" s="7152"/>
      <c r="TSL11" s="7153"/>
      <c r="TSM11" s="7153"/>
      <c r="TSN11" s="7153"/>
      <c r="TSO11" s="7157"/>
      <c r="TSP11" s="7157"/>
      <c r="TSQ11" s="7157"/>
      <c r="TSR11" s="7157"/>
      <c r="TSS11" s="7157"/>
      <c r="TST11" s="7157"/>
      <c r="TSU11" s="7158"/>
      <c r="TSV11" s="7158"/>
      <c r="TSW11" s="7158"/>
      <c r="TSX11" s="7158"/>
      <c r="TSY11" s="7158"/>
      <c r="TSZ11" s="7159"/>
      <c r="TTA11" s="7152"/>
      <c r="TTB11" s="7153"/>
      <c r="TTC11" s="7153"/>
      <c r="TTD11" s="7153"/>
      <c r="TTE11" s="7157"/>
      <c r="TTF11" s="7157"/>
      <c r="TTG11" s="7157"/>
      <c r="TTH11" s="7157"/>
      <c r="TTI11" s="7157"/>
      <c r="TTJ11" s="7157"/>
      <c r="TTK11" s="7158"/>
      <c r="TTL11" s="7158"/>
      <c r="TTM11" s="7158"/>
      <c r="TTN11" s="7158"/>
      <c r="TTO11" s="7158"/>
      <c r="TTP11" s="7159"/>
      <c r="TTQ11" s="7152"/>
      <c r="TTR11" s="7153"/>
      <c r="TTS11" s="7153"/>
      <c r="TTT11" s="7153"/>
      <c r="TTU11" s="7157"/>
      <c r="TTV11" s="7157"/>
      <c r="TTW11" s="7157"/>
      <c r="TTX11" s="7157"/>
      <c r="TTY11" s="7157"/>
      <c r="TTZ11" s="7157"/>
      <c r="TUA11" s="7158"/>
      <c r="TUB11" s="7158"/>
      <c r="TUC11" s="7158"/>
      <c r="TUD11" s="7158"/>
      <c r="TUE11" s="7158"/>
      <c r="TUF11" s="7159"/>
      <c r="TUG11" s="7152"/>
      <c r="TUH11" s="7153"/>
      <c r="TUI11" s="7153"/>
      <c r="TUJ11" s="7153"/>
      <c r="TUK11" s="7157"/>
      <c r="TUL11" s="7157"/>
      <c r="TUM11" s="7157"/>
      <c r="TUN11" s="7157"/>
      <c r="TUO11" s="7157"/>
      <c r="TUP11" s="7157"/>
      <c r="TUQ11" s="7158"/>
      <c r="TUR11" s="7158"/>
      <c r="TUS11" s="7158"/>
      <c r="TUT11" s="7158"/>
      <c r="TUU11" s="7158"/>
      <c r="TUV11" s="7159"/>
      <c r="TUW11" s="7152"/>
      <c r="TUX11" s="7153"/>
      <c r="TUY11" s="7153"/>
      <c r="TUZ11" s="7153"/>
      <c r="TVA11" s="7157"/>
      <c r="TVB11" s="7157"/>
      <c r="TVC11" s="7157"/>
      <c r="TVD11" s="7157"/>
      <c r="TVE11" s="7157"/>
      <c r="TVF11" s="7157"/>
      <c r="TVG11" s="7158"/>
      <c r="TVH11" s="7158"/>
      <c r="TVI11" s="7158"/>
      <c r="TVJ11" s="7158"/>
      <c r="TVK11" s="7158"/>
      <c r="TVL11" s="7159"/>
      <c r="TVM11" s="7152"/>
      <c r="TVN11" s="7153"/>
      <c r="TVO11" s="7153"/>
      <c r="TVP11" s="7153"/>
      <c r="TVQ11" s="7157"/>
      <c r="TVR11" s="7157"/>
      <c r="TVS11" s="7157"/>
      <c r="TVT11" s="7157"/>
      <c r="TVU11" s="7157"/>
      <c r="TVV11" s="7157"/>
      <c r="TVW11" s="7158"/>
      <c r="TVX11" s="7158"/>
      <c r="TVY11" s="7158"/>
      <c r="TVZ11" s="7158"/>
      <c r="TWA11" s="7158"/>
      <c r="TWB11" s="7159"/>
      <c r="TWC11" s="7152"/>
      <c r="TWD11" s="7153"/>
      <c r="TWE11" s="7153"/>
      <c r="TWF11" s="7153"/>
      <c r="TWG11" s="7157"/>
      <c r="TWH11" s="7157"/>
      <c r="TWI11" s="7157"/>
      <c r="TWJ11" s="7157"/>
      <c r="TWK11" s="7157"/>
      <c r="TWL11" s="7157"/>
      <c r="TWM11" s="7158"/>
      <c r="TWN11" s="7158"/>
      <c r="TWO11" s="7158"/>
      <c r="TWP11" s="7158"/>
      <c r="TWQ11" s="7158"/>
      <c r="TWR11" s="7159"/>
      <c r="TWS11" s="7152"/>
      <c r="TWT11" s="7153"/>
      <c r="TWU11" s="7153"/>
      <c r="TWV11" s="7153"/>
      <c r="TWW11" s="7157"/>
      <c r="TWX11" s="7157"/>
      <c r="TWY11" s="7157"/>
      <c r="TWZ11" s="7157"/>
      <c r="TXA11" s="7157"/>
      <c r="TXB11" s="7157"/>
      <c r="TXC11" s="7158"/>
      <c r="TXD11" s="7158"/>
      <c r="TXE11" s="7158"/>
      <c r="TXF11" s="7158"/>
      <c r="TXG11" s="7158"/>
      <c r="TXH11" s="7159"/>
      <c r="TXI11" s="7152"/>
      <c r="TXJ11" s="7153"/>
      <c r="TXK11" s="7153"/>
      <c r="TXL11" s="7153"/>
      <c r="TXM11" s="7157"/>
      <c r="TXN11" s="7157"/>
      <c r="TXO11" s="7157"/>
      <c r="TXP11" s="7157"/>
      <c r="TXQ11" s="7157"/>
      <c r="TXR11" s="7157"/>
      <c r="TXS11" s="7158"/>
      <c r="TXT11" s="7158"/>
      <c r="TXU11" s="7158"/>
      <c r="TXV11" s="7158"/>
      <c r="TXW11" s="7158"/>
      <c r="TXX11" s="7159"/>
      <c r="TXY11" s="7152"/>
      <c r="TXZ11" s="7153"/>
      <c r="TYA11" s="7153"/>
      <c r="TYB11" s="7153"/>
      <c r="TYC11" s="7157"/>
      <c r="TYD11" s="7157"/>
      <c r="TYE11" s="7157"/>
      <c r="TYF11" s="7157"/>
      <c r="TYG11" s="7157"/>
      <c r="TYH11" s="7157"/>
      <c r="TYI11" s="7158"/>
      <c r="TYJ11" s="7158"/>
      <c r="TYK11" s="7158"/>
      <c r="TYL11" s="7158"/>
      <c r="TYM11" s="7158"/>
      <c r="TYN11" s="7159"/>
      <c r="TYO11" s="7152"/>
      <c r="TYP11" s="7153"/>
      <c r="TYQ11" s="7153"/>
      <c r="TYR11" s="7153"/>
      <c r="TYS11" s="7157"/>
      <c r="TYT11" s="7157"/>
      <c r="TYU11" s="7157"/>
      <c r="TYV11" s="7157"/>
      <c r="TYW11" s="7157"/>
      <c r="TYX11" s="7157"/>
      <c r="TYY11" s="7158"/>
      <c r="TYZ11" s="7158"/>
      <c r="TZA11" s="7158"/>
      <c r="TZB11" s="7158"/>
      <c r="TZC11" s="7158"/>
      <c r="TZD11" s="7159"/>
      <c r="TZE11" s="7152"/>
      <c r="TZF11" s="7153"/>
      <c r="TZG11" s="7153"/>
      <c r="TZH11" s="7153"/>
      <c r="TZI11" s="7157"/>
      <c r="TZJ11" s="7157"/>
      <c r="TZK11" s="7157"/>
      <c r="TZL11" s="7157"/>
      <c r="TZM11" s="7157"/>
      <c r="TZN11" s="7157"/>
      <c r="TZO11" s="7158"/>
      <c r="TZP11" s="7158"/>
      <c r="TZQ11" s="7158"/>
      <c r="TZR11" s="7158"/>
      <c r="TZS11" s="7158"/>
      <c r="TZT11" s="7159"/>
      <c r="TZU11" s="7152"/>
      <c r="TZV11" s="7153"/>
      <c r="TZW11" s="7153"/>
      <c r="TZX11" s="7153"/>
      <c r="TZY11" s="7157"/>
      <c r="TZZ11" s="7157"/>
      <c r="UAA11" s="7157"/>
      <c r="UAB11" s="7157"/>
      <c r="UAC11" s="7157"/>
      <c r="UAD11" s="7157"/>
      <c r="UAE11" s="7158"/>
      <c r="UAF11" s="7158"/>
      <c r="UAG11" s="7158"/>
      <c r="UAH11" s="7158"/>
      <c r="UAI11" s="7158"/>
      <c r="UAJ11" s="7159"/>
      <c r="UAK11" s="7152"/>
      <c r="UAL11" s="7153"/>
      <c r="UAM11" s="7153"/>
      <c r="UAN11" s="7153"/>
      <c r="UAO11" s="7157"/>
      <c r="UAP11" s="7157"/>
      <c r="UAQ11" s="7157"/>
      <c r="UAR11" s="7157"/>
      <c r="UAS11" s="7157"/>
      <c r="UAT11" s="7157"/>
      <c r="UAU11" s="7158"/>
      <c r="UAV11" s="7158"/>
      <c r="UAW11" s="7158"/>
      <c r="UAX11" s="7158"/>
      <c r="UAY11" s="7158"/>
      <c r="UAZ11" s="7159"/>
      <c r="UBA11" s="7152"/>
      <c r="UBB11" s="7153"/>
      <c r="UBC11" s="7153"/>
      <c r="UBD11" s="7153"/>
      <c r="UBE11" s="7157"/>
      <c r="UBF11" s="7157"/>
      <c r="UBG11" s="7157"/>
      <c r="UBH11" s="7157"/>
      <c r="UBI11" s="7157"/>
      <c r="UBJ11" s="7157"/>
      <c r="UBK11" s="7158"/>
      <c r="UBL11" s="7158"/>
      <c r="UBM11" s="7158"/>
      <c r="UBN11" s="7158"/>
      <c r="UBO11" s="7158"/>
      <c r="UBP11" s="7159"/>
      <c r="UBQ11" s="7152"/>
      <c r="UBR11" s="7153"/>
      <c r="UBS11" s="7153"/>
      <c r="UBT11" s="7153"/>
      <c r="UBU11" s="7157"/>
      <c r="UBV11" s="7157"/>
      <c r="UBW11" s="7157"/>
      <c r="UBX11" s="7157"/>
      <c r="UBY11" s="7157"/>
      <c r="UBZ11" s="7157"/>
      <c r="UCA11" s="7158"/>
      <c r="UCB11" s="7158"/>
      <c r="UCC11" s="7158"/>
      <c r="UCD11" s="7158"/>
      <c r="UCE11" s="7158"/>
      <c r="UCF11" s="7159"/>
      <c r="UCG11" s="7152"/>
      <c r="UCH11" s="7153"/>
      <c r="UCI11" s="7153"/>
      <c r="UCJ11" s="7153"/>
      <c r="UCK11" s="7157"/>
      <c r="UCL11" s="7157"/>
      <c r="UCM11" s="7157"/>
      <c r="UCN11" s="7157"/>
      <c r="UCO11" s="7157"/>
      <c r="UCP11" s="7157"/>
      <c r="UCQ11" s="7158"/>
      <c r="UCR11" s="7158"/>
      <c r="UCS11" s="7158"/>
      <c r="UCT11" s="7158"/>
      <c r="UCU11" s="7158"/>
      <c r="UCV11" s="7159"/>
      <c r="UCW11" s="7152"/>
      <c r="UCX11" s="7153"/>
      <c r="UCY11" s="7153"/>
      <c r="UCZ11" s="7153"/>
      <c r="UDA11" s="7157"/>
      <c r="UDB11" s="7157"/>
      <c r="UDC11" s="7157"/>
      <c r="UDD11" s="7157"/>
      <c r="UDE11" s="7157"/>
      <c r="UDF11" s="7157"/>
      <c r="UDG11" s="7158"/>
      <c r="UDH11" s="7158"/>
      <c r="UDI11" s="7158"/>
      <c r="UDJ11" s="7158"/>
      <c r="UDK11" s="7158"/>
      <c r="UDL11" s="7159"/>
      <c r="UDM11" s="7152"/>
      <c r="UDN11" s="7153"/>
      <c r="UDO11" s="7153"/>
      <c r="UDP11" s="7153"/>
      <c r="UDQ11" s="7157"/>
      <c r="UDR11" s="7157"/>
      <c r="UDS11" s="7157"/>
      <c r="UDT11" s="7157"/>
      <c r="UDU11" s="7157"/>
      <c r="UDV11" s="7157"/>
      <c r="UDW11" s="7158"/>
      <c r="UDX11" s="7158"/>
      <c r="UDY11" s="7158"/>
      <c r="UDZ11" s="7158"/>
      <c r="UEA11" s="7158"/>
      <c r="UEB11" s="7159"/>
      <c r="UEC11" s="7152"/>
      <c r="UED11" s="7153"/>
      <c r="UEE11" s="7153"/>
      <c r="UEF11" s="7153"/>
      <c r="UEG11" s="7157"/>
      <c r="UEH11" s="7157"/>
      <c r="UEI11" s="7157"/>
      <c r="UEJ11" s="7157"/>
      <c r="UEK11" s="7157"/>
      <c r="UEL11" s="7157"/>
      <c r="UEM11" s="7158"/>
      <c r="UEN11" s="7158"/>
      <c r="UEO11" s="7158"/>
      <c r="UEP11" s="7158"/>
      <c r="UEQ11" s="7158"/>
      <c r="UER11" s="7159"/>
      <c r="UES11" s="7152"/>
      <c r="UET11" s="7153"/>
      <c r="UEU11" s="7153"/>
      <c r="UEV11" s="7153"/>
      <c r="UEW11" s="7157"/>
      <c r="UEX11" s="7157"/>
      <c r="UEY11" s="7157"/>
      <c r="UEZ11" s="7157"/>
      <c r="UFA11" s="7157"/>
      <c r="UFB11" s="7157"/>
      <c r="UFC11" s="7158"/>
      <c r="UFD11" s="7158"/>
      <c r="UFE11" s="7158"/>
      <c r="UFF11" s="7158"/>
      <c r="UFG11" s="7158"/>
      <c r="UFH11" s="7159"/>
      <c r="UFI11" s="7152"/>
      <c r="UFJ11" s="7153"/>
      <c r="UFK11" s="7153"/>
      <c r="UFL11" s="7153"/>
      <c r="UFM11" s="7157"/>
      <c r="UFN11" s="7157"/>
      <c r="UFO11" s="7157"/>
      <c r="UFP11" s="7157"/>
      <c r="UFQ11" s="7157"/>
      <c r="UFR11" s="7157"/>
      <c r="UFS11" s="7158"/>
      <c r="UFT11" s="7158"/>
      <c r="UFU11" s="7158"/>
      <c r="UFV11" s="7158"/>
      <c r="UFW11" s="7158"/>
      <c r="UFX11" s="7159"/>
      <c r="UFY11" s="7152"/>
      <c r="UFZ11" s="7153"/>
      <c r="UGA11" s="7153"/>
      <c r="UGB11" s="7153"/>
      <c r="UGC11" s="7157"/>
      <c r="UGD11" s="7157"/>
      <c r="UGE11" s="7157"/>
      <c r="UGF11" s="7157"/>
      <c r="UGG11" s="7157"/>
      <c r="UGH11" s="7157"/>
      <c r="UGI11" s="7158"/>
      <c r="UGJ11" s="7158"/>
      <c r="UGK11" s="7158"/>
      <c r="UGL11" s="7158"/>
      <c r="UGM11" s="7158"/>
      <c r="UGN11" s="7159"/>
      <c r="UGO11" s="7152"/>
      <c r="UGP11" s="7153"/>
      <c r="UGQ11" s="7153"/>
      <c r="UGR11" s="7153"/>
      <c r="UGS11" s="7157"/>
      <c r="UGT11" s="7157"/>
      <c r="UGU11" s="7157"/>
      <c r="UGV11" s="7157"/>
      <c r="UGW11" s="7157"/>
      <c r="UGX11" s="7157"/>
      <c r="UGY11" s="7158"/>
      <c r="UGZ11" s="7158"/>
      <c r="UHA11" s="7158"/>
      <c r="UHB11" s="7158"/>
      <c r="UHC11" s="7158"/>
      <c r="UHD11" s="7159"/>
      <c r="UHE11" s="7152"/>
      <c r="UHF11" s="7153"/>
      <c r="UHG11" s="7153"/>
      <c r="UHH11" s="7153"/>
      <c r="UHI11" s="7157"/>
      <c r="UHJ11" s="7157"/>
      <c r="UHK11" s="7157"/>
      <c r="UHL11" s="7157"/>
      <c r="UHM11" s="7157"/>
      <c r="UHN11" s="7157"/>
      <c r="UHO11" s="7158"/>
      <c r="UHP11" s="7158"/>
      <c r="UHQ11" s="7158"/>
      <c r="UHR11" s="7158"/>
      <c r="UHS11" s="7158"/>
      <c r="UHT11" s="7159"/>
      <c r="UHU11" s="7152"/>
      <c r="UHV11" s="7153"/>
      <c r="UHW11" s="7153"/>
      <c r="UHX11" s="7153"/>
      <c r="UHY11" s="7157"/>
      <c r="UHZ11" s="7157"/>
      <c r="UIA11" s="7157"/>
      <c r="UIB11" s="7157"/>
      <c r="UIC11" s="7157"/>
      <c r="UID11" s="7157"/>
      <c r="UIE11" s="7158"/>
      <c r="UIF11" s="7158"/>
      <c r="UIG11" s="7158"/>
      <c r="UIH11" s="7158"/>
      <c r="UII11" s="7158"/>
      <c r="UIJ11" s="7159"/>
      <c r="UIK11" s="7152"/>
      <c r="UIL11" s="7153"/>
      <c r="UIM11" s="7153"/>
      <c r="UIN11" s="7153"/>
      <c r="UIO11" s="7157"/>
      <c r="UIP11" s="7157"/>
      <c r="UIQ11" s="7157"/>
      <c r="UIR11" s="7157"/>
      <c r="UIS11" s="7157"/>
      <c r="UIT11" s="7157"/>
      <c r="UIU11" s="7158"/>
      <c r="UIV11" s="7158"/>
      <c r="UIW11" s="7158"/>
      <c r="UIX11" s="7158"/>
      <c r="UIY11" s="7158"/>
      <c r="UIZ11" s="7159"/>
      <c r="UJA11" s="7152"/>
      <c r="UJB11" s="7153"/>
      <c r="UJC11" s="7153"/>
      <c r="UJD11" s="7153"/>
      <c r="UJE11" s="7157"/>
      <c r="UJF11" s="7157"/>
      <c r="UJG11" s="7157"/>
      <c r="UJH11" s="7157"/>
      <c r="UJI11" s="7157"/>
      <c r="UJJ11" s="7157"/>
      <c r="UJK11" s="7158"/>
      <c r="UJL11" s="7158"/>
      <c r="UJM11" s="7158"/>
      <c r="UJN11" s="7158"/>
      <c r="UJO11" s="7158"/>
      <c r="UJP11" s="7159"/>
      <c r="UJQ11" s="7152"/>
      <c r="UJR11" s="7153"/>
      <c r="UJS11" s="7153"/>
      <c r="UJT11" s="7153"/>
      <c r="UJU11" s="7157"/>
      <c r="UJV11" s="7157"/>
      <c r="UJW11" s="7157"/>
      <c r="UJX11" s="7157"/>
      <c r="UJY11" s="7157"/>
      <c r="UJZ11" s="7157"/>
      <c r="UKA11" s="7158"/>
      <c r="UKB11" s="7158"/>
      <c r="UKC11" s="7158"/>
      <c r="UKD11" s="7158"/>
      <c r="UKE11" s="7158"/>
      <c r="UKF11" s="7159"/>
      <c r="UKG11" s="7152"/>
      <c r="UKH11" s="7153"/>
      <c r="UKI11" s="7153"/>
      <c r="UKJ11" s="7153"/>
      <c r="UKK11" s="7157"/>
      <c r="UKL11" s="7157"/>
      <c r="UKM11" s="7157"/>
      <c r="UKN11" s="7157"/>
      <c r="UKO11" s="7157"/>
      <c r="UKP11" s="7157"/>
      <c r="UKQ11" s="7158"/>
      <c r="UKR11" s="7158"/>
      <c r="UKS11" s="7158"/>
      <c r="UKT11" s="7158"/>
      <c r="UKU11" s="7158"/>
      <c r="UKV11" s="7159"/>
      <c r="UKW11" s="7152"/>
      <c r="UKX11" s="7153"/>
      <c r="UKY11" s="7153"/>
      <c r="UKZ11" s="7153"/>
      <c r="ULA11" s="7157"/>
      <c r="ULB11" s="7157"/>
      <c r="ULC11" s="7157"/>
      <c r="ULD11" s="7157"/>
      <c r="ULE11" s="7157"/>
      <c r="ULF11" s="7157"/>
      <c r="ULG11" s="7158"/>
      <c r="ULH11" s="7158"/>
      <c r="ULI11" s="7158"/>
      <c r="ULJ11" s="7158"/>
      <c r="ULK11" s="7158"/>
      <c r="ULL11" s="7159"/>
      <c r="ULM11" s="7152"/>
      <c r="ULN11" s="7153"/>
      <c r="ULO11" s="7153"/>
      <c r="ULP11" s="7153"/>
      <c r="ULQ11" s="7157"/>
      <c r="ULR11" s="7157"/>
      <c r="ULS11" s="7157"/>
      <c r="ULT11" s="7157"/>
      <c r="ULU11" s="7157"/>
      <c r="ULV11" s="7157"/>
      <c r="ULW11" s="7158"/>
      <c r="ULX11" s="7158"/>
      <c r="ULY11" s="7158"/>
      <c r="ULZ11" s="7158"/>
      <c r="UMA11" s="7158"/>
      <c r="UMB11" s="7159"/>
      <c r="UMC11" s="7152"/>
      <c r="UMD11" s="7153"/>
      <c r="UME11" s="7153"/>
      <c r="UMF11" s="7153"/>
      <c r="UMG11" s="7157"/>
      <c r="UMH11" s="7157"/>
      <c r="UMI11" s="7157"/>
      <c r="UMJ11" s="7157"/>
      <c r="UMK11" s="7157"/>
      <c r="UML11" s="7157"/>
      <c r="UMM11" s="7158"/>
      <c r="UMN11" s="7158"/>
      <c r="UMO11" s="7158"/>
      <c r="UMP11" s="7158"/>
      <c r="UMQ11" s="7158"/>
      <c r="UMR11" s="7159"/>
      <c r="UMS11" s="7152"/>
      <c r="UMT11" s="7153"/>
      <c r="UMU11" s="7153"/>
      <c r="UMV11" s="7153"/>
      <c r="UMW11" s="7157"/>
      <c r="UMX11" s="7157"/>
      <c r="UMY11" s="7157"/>
      <c r="UMZ11" s="7157"/>
      <c r="UNA11" s="7157"/>
      <c r="UNB11" s="7157"/>
      <c r="UNC11" s="7158"/>
      <c r="UND11" s="7158"/>
      <c r="UNE11" s="7158"/>
      <c r="UNF11" s="7158"/>
      <c r="UNG11" s="7158"/>
      <c r="UNH11" s="7159"/>
      <c r="UNI11" s="7152"/>
      <c r="UNJ11" s="7153"/>
      <c r="UNK11" s="7153"/>
      <c r="UNL11" s="7153"/>
      <c r="UNM11" s="7157"/>
      <c r="UNN11" s="7157"/>
      <c r="UNO11" s="7157"/>
      <c r="UNP11" s="7157"/>
      <c r="UNQ11" s="7157"/>
      <c r="UNR11" s="7157"/>
      <c r="UNS11" s="7158"/>
      <c r="UNT11" s="7158"/>
      <c r="UNU11" s="7158"/>
      <c r="UNV11" s="7158"/>
      <c r="UNW11" s="7158"/>
      <c r="UNX11" s="7159"/>
      <c r="UNY11" s="7152"/>
      <c r="UNZ11" s="7153"/>
      <c r="UOA11" s="7153"/>
      <c r="UOB11" s="7153"/>
      <c r="UOC11" s="7157"/>
      <c r="UOD11" s="7157"/>
      <c r="UOE11" s="7157"/>
      <c r="UOF11" s="7157"/>
      <c r="UOG11" s="7157"/>
      <c r="UOH11" s="7157"/>
      <c r="UOI11" s="7158"/>
      <c r="UOJ11" s="7158"/>
      <c r="UOK11" s="7158"/>
      <c r="UOL11" s="7158"/>
      <c r="UOM11" s="7158"/>
      <c r="UON11" s="7159"/>
      <c r="UOO11" s="7152"/>
      <c r="UOP11" s="7153"/>
      <c r="UOQ11" s="7153"/>
      <c r="UOR11" s="7153"/>
      <c r="UOS11" s="7157"/>
      <c r="UOT11" s="7157"/>
      <c r="UOU11" s="7157"/>
      <c r="UOV11" s="7157"/>
      <c r="UOW11" s="7157"/>
      <c r="UOX11" s="7157"/>
      <c r="UOY11" s="7158"/>
      <c r="UOZ11" s="7158"/>
      <c r="UPA11" s="7158"/>
      <c r="UPB11" s="7158"/>
      <c r="UPC11" s="7158"/>
      <c r="UPD11" s="7159"/>
      <c r="UPE11" s="7152"/>
      <c r="UPF11" s="7153"/>
      <c r="UPG11" s="7153"/>
      <c r="UPH11" s="7153"/>
      <c r="UPI11" s="7157"/>
      <c r="UPJ11" s="7157"/>
      <c r="UPK11" s="7157"/>
      <c r="UPL11" s="7157"/>
      <c r="UPM11" s="7157"/>
      <c r="UPN11" s="7157"/>
      <c r="UPO11" s="7158"/>
      <c r="UPP11" s="7158"/>
      <c r="UPQ11" s="7158"/>
      <c r="UPR11" s="7158"/>
      <c r="UPS11" s="7158"/>
      <c r="UPT11" s="7159"/>
      <c r="UPU11" s="7152"/>
      <c r="UPV11" s="7153"/>
      <c r="UPW11" s="7153"/>
      <c r="UPX11" s="7153"/>
      <c r="UPY11" s="7157"/>
      <c r="UPZ11" s="7157"/>
      <c r="UQA11" s="7157"/>
      <c r="UQB11" s="7157"/>
      <c r="UQC11" s="7157"/>
      <c r="UQD11" s="7157"/>
      <c r="UQE11" s="7158"/>
      <c r="UQF11" s="7158"/>
      <c r="UQG11" s="7158"/>
      <c r="UQH11" s="7158"/>
      <c r="UQI11" s="7158"/>
      <c r="UQJ11" s="7159"/>
      <c r="UQK11" s="7152"/>
      <c r="UQL11" s="7153"/>
      <c r="UQM11" s="7153"/>
      <c r="UQN11" s="7153"/>
      <c r="UQO11" s="7157"/>
      <c r="UQP11" s="7157"/>
      <c r="UQQ11" s="7157"/>
      <c r="UQR11" s="7157"/>
      <c r="UQS11" s="7157"/>
      <c r="UQT11" s="7157"/>
      <c r="UQU11" s="7158"/>
      <c r="UQV11" s="7158"/>
      <c r="UQW11" s="7158"/>
      <c r="UQX11" s="7158"/>
      <c r="UQY11" s="7158"/>
      <c r="UQZ11" s="7159"/>
      <c r="URA11" s="7152"/>
      <c r="URB11" s="7153"/>
      <c r="URC11" s="7153"/>
      <c r="URD11" s="7153"/>
      <c r="URE11" s="7157"/>
      <c r="URF11" s="7157"/>
      <c r="URG11" s="7157"/>
      <c r="URH11" s="7157"/>
      <c r="URI11" s="7157"/>
      <c r="URJ11" s="7157"/>
      <c r="URK11" s="7158"/>
      <c r="URL11" s="7158"/>
      <c r="URM11" s="7158"/>
      <c r="URN11" s="7158"/>
      <c r="URO11" s="7158"/>
      <c r="URP11" s="7159"/>
      <c r="URQ11" s="7152"/>
      <c r="URR11" s="7153"/>
      <c r="URS11" s="7153"/>
      <c r="URT11" s="7153"/>
      <c r="URU11" s="7157"/>
      <c r="URV11" s="7157"/>
      <c r="URW11" s="7157"/>
      <c r="URX11" s="7157"/>
      <c r="URY11" s="7157"/>
      <c r="URZ11" s="7157"/>
      <c r="USA11" s="7158"/>
      <c r="USB11" s="7158"/>
      <c r="USC11" s="7158"/>
      <c r="USD11" s="7158"/>
      <c r="USE11" s="7158"/>
      <c r="USF11" s="7159"/>
      <c r="USG11" s="7152"/>
      <c r="USH11" s="7153"/>
      <c r="USI11" s="7153"/>
      <c r="USJ11" s="7153"/>
      <c r="USK11" s="7157"/>
      <c r="USL11" s="7157"/>
      <c r="USM11" s="7157"/>
      <c r="USN11" s="7157"/>
      <c r="USO11" s="7157"/>
      <c r="USP11" s="7157"/>
      <c r="USQ11" s="7158"/>
      <c r="USR11" s="7158"/>
      <c r="USS11" s="7158"/>
      <c r="UST11" s="7158"/>
      <c r="USU11" s="7158"/>
      <c r="USV11" s="7159"/>
      <c r="USW11" s="7152"/>
      <c r="USX11" s="7153"/>
      <c r="USY11" s="7153"/>
      <c r="USZ11" s="7153"/>
      <c r="UTA11" s="7157"/>
      <c r="UTB11" s="7157"/>
      <c r="UTC11" s="7157"/>
      <c r="UTD11" s="7157"/>
      <c r="UTE11" s="7157"/>
      <c r="UTF11" s="7157"/>
      <c r="UTG11" s="7158"/>
      <c r="UTH11" s="7158"/>
      <c r="UTI11" s="7158"/>
      <c r="UTJ11" s="7158"/>
      <c r="UTK11" s="7158"/>
      <c r="UTL11" s="7159"/>
      <c r="UTM11" s="7152"/>
      <c r="UTN11" s="7153"/>
      <c r="UTO11" s="7153"/>
      <c r="UTP11" s="7153"/>
      <c r="UTQ11" s="7157"/>
      <c r="UTR11" s="7157"/>
      <c r="UTS11" s="7157"/>
      <c r="UTT11" s="7157"/>
      <c r="UTU11" s="7157"/>
      <c r="UTV11" s="7157"/>
      <c r="UTW11" s="7158"/>
      <c r="UTX11" s="7158"/>
      <c r="UTY11" s="7158"/>
      <c r="UTZ11" s="7158"/>
      <c r="UUA11" s="7158"/>
      <c r="UUB11" s="7159"/>
      <c r="UUC11" s="7152"/>
      <c r="UUD11" s="7153"/>
      <c r="UUE11" s="7153"/>
      <c r="UUF11" s="7153"/>
      <c r="UUG11" s="7157"/>
      <c r="UUH11" s="7157"/>
      <c r="UUI11" s="7157"/>
      <c r="UUJ11" s="7157"/>
      <c r="UUK11" s="7157"/>
      <c r="UUL11" s="7157"/>
      <c r="UUM11" s="7158"/>
      <c r="UUN11" s="7158"/>
      <c r="UUO11" s="7158"/>
      <c r="UUP11" s="7158"/>
      <c r="UUQ11" s="7158"/>
      <c r="UUR11" s="7159"/>
      <c r="UUS11" s="7152"/>
      <c r="UUT11" s="7153"/>
      <c r="UUU11" s="7153"/>
      <c r="UUV11" s="7153"/>
      <c r="UUW11" s="7157"/>
      <c r="UUX11" s="7157"/>
      <c r="UUY11" s="7157"/>
      <c r="UUZ11" s="7157"/>
      <c r="UVA11" s="7157"/>
      <c r="UVB11" s="7157"/>
      <c r="UVC11" s="7158"/>
      <c r="UVD11" s="7158"/>
      <c r="UVE11" s="7158"/>
      <c r="UVF11" s="7158"/>
      <c r="UVG11" s="7158"/>
      <c r="UVH11" s="7159"/>
      <c r="UVI11" s="7152"/>
      <c r="UVJ11" s="7153"/>
      <c r="UVK11" s="7153"/>
      <c r="UVL11" s="7153"/>
      <c r="UVM11" s="7157"/>
      <c r="UVN11" s="7157"/>
      <c r="UVO11" s="7157"/>
      <c r="UVP11" s="7157"/>
      <c r="UVQ11" s="7157"/>
      <c r="UVR11" s="7157"/>
      <c r="UVS11" s="7158"/>
      <c r="UVT11" s="7158"/>
      <c r="UVU11" s="7158"/>
      <c r="UVV11" s="7158"/>
      <c r="UVW11" s="7158"/>
      <c r="UVX11" s="7159"/>
      <c r="UVY11" s="7152"/>
      <c r="UVZ11" s="7153"/>
      <c r="UWA11" s="7153"/>
      <c r="UWB11" s="7153"/>
      <c r="UWC11" s="7157"/>
      <c r="UWD11" s="7157"/>
      <c r="UWE11" s="7157"/>
      <c r="UWF11" s="7157"/>
      <c r="UWG11" s="7157"/>
      <c r="UWH11" s="7157"/>
      <c r="UWI11" s="7158"/>
      <c r="UWJ11" s="7158"/>
      <c r="UWK11" s="7158"/>
      <c r="UWL11" s="7158"/>
      <c r="UWM11" s="7158"/>
      <c r="UWN11" s="7159"/>
      <c r="UWO11" s="7152"/>
      <c r="UWP11" s="7153"/>
      <c r="UWQ11" s="7153"/>
      <c r="UWR11" s="7153"/>
      <c r="UWS11" s="7157"/>
      <c r="UWT11" s="7157"/>
      <c r="UWU11" s="7157"/>
      <c r="UWV11" s="7157"/>
      <c r="UWW11" s="7157"/>
      <c r="UWX11" s="7157"/>
      <c r="UWY11" s="7158"/>
      <c r="UWZ11" s="7158"/>
      <c r="UXA11" s="7158"/>
      <c r="UXB11" s="7158"/>
      <c r="UXC11" s="7158"/>
      <c r="UXD11" s="7159"/>
      <c r="UXE11" s="7152"/>
      <c r="UXF11" s="7153"/>
      <c r="UXG11" s="7153"/>
      <c r="UXH11" s="7153"/>
      <c r="UXI11" s="7157"/>
      <c r="UXJ11" s="7157"/>
      <c r="UXK11" s="7157"/>
      <c r="UXL11" s="7157"/>
      <c r="UXM11" s="7157"/>
      <c r="UXN11" s="7157"/>
      <c r="UXO11" s="7158"/>
      <c r="UXP11" s="7158"/>
      <c r="UXQ11" s="7158"/>
      <c r="UXR11" s="7158"/>
      <c r="UXS11" s="7158"/>
      <c r="UXT11" s="7159"/>
      <c r="UXU11" s="7152"/>
      <c r="UXV11" s="7153"/>
      <c r="UXW11" s="7153"/>
      <c r="UXX11" s="7153"/>
      <c r="UXY11" s="7157"/>
      <c r="UXZ11" s="7157"/>
      <c r="UYA11" s="7157"/>
      <c r="UYB11" s="7157"/>
      <c r="UYC11" s="7157"/>
      <c r="UYD11" s="7157"/>
      <c r="UYE11" s="7158"/>
      <c r="UYF11" s="7158"/>
      <c r="UYG11" s="7158"/>
      <c r="UYH11" s="7158"/>
      <c r="UYI11" s="7158"/>
      <c r="UYJ11" s="7159"/>
      <c r="UYK11" s="7152"/>
      <c r="UYL11" s="7153"/>
      <c r="UYM11" s="7153"/>
      <c r="UYN11" s="7153"/>
      <c r="UYO11" s="7157"/>
      <c r="UYP11" s="7157"/>
      <c r="UYQ11" s="7157"/>
      <c r="UYR11" s="7157"/>
      <c r="UYS11" s="7157"/>
      <c r="UYT11" s="7157"/>
      <c r="UYU11" s="7158"/>
      <c r="UYV11" s="7158"/>
      <c r="UYW11" s="7158"/>
      <c r="UYX11" s="7158"/>
      <c r="UYY11" s="7158"/>
      <c r="UYZ11" s="7159"/>
      <c r="UZA11" s="7152"/>
      <c r="UZB11" s="7153"/>
      <c r="UZC11" s="7153"/>
      <c r="UZD11" s="7153"/>
      <c r="UZE11" s="7157"/>
      <c r="UZF11" s="7157"/>
      <c r="UZG11" s="7157"/>
      <c r="UZH11" s="7157"/>
      <c r="UZI11" s="7157"/>
      <c r="UZJ11" s="7157"/>
      <c r="UZK11" s="7158"/>
      <c r="UZL11" s="7158"/>
      <c r="UZM11" s="7158"/>
      <c r="UZN11" s="7158"/>
      <c r="UZO11" s="7158"/>
      <c r="UZP11" s="7159"/>
      <c r="UZQ11" s="7152"/>
      <c r="UZR11" s="7153"/>
      <c r="UZS11" s="7153"/>
      <c r="UZT11" s="7153"/>
      <c r="UZU11" s="7157"/>
      <c r="UZV11" s="7157"/>
      <c r="UZW11" s="7157"/>
      <c r="UZX11" s="7157"/>
      <c r="UZY11" s="7157"/>
      <c r="UZZ11" s="7157"/>
      <c r="VAA11" s="7158"/>
      <c r="VAB11" s="7158"/>
      <c r="VAC11" s="7158"/>
      <c r="VAD11" s="7158"/>
      <c r="VAE11" s="7158"/>
      <c r="VAF11" s="7159"/>
      <c r="VAG11" s="7152"/>
      <c r="VAH11" s="7153"/>
      <c r="VAI11" s="7153"/>
      <c r="VAJ11" s="7153"/>
      <c r="VAK11" s="7157"/>
      <c r="VAL11" s="7157"/>
      <c r="VAM11" s="7157"/>
      <c r="VAN11" s="7157"/>
      <c r="VAO11" s="7157"/>
      <c r="VAP11" s="7157"/>
      <c r="VAQ11" s="7158"/>
      <c r="VAR11" s="7158"/>
      <c r="VAS11" s="7158"/>
      <c r="VAT11" s="7158"/>
      <c r="VAU11" s="7158"/>
      <c r="VAV11" s="7159"/>
      <c r="VAW11" s="7152"/>
      <c r="VAX11" s="7153"/>
      <c r="VAY11" s="7153"/>
      <c r="VAZ11" s="7153"/>
      <c r="VBA11" s="7157"/>
      <c r="VBB11" s="7157"/>
      <c r="VBC11" s="7157"/>
      <c r="VBD11" s="7157"/>
      <c r="VBE11" s="7157"/>
      <c r="VBF11" s="7157"/>
      <c r="VBG11" s="7158"/>
      <c r="VBH11" s="7158"/>
      <c r="VBI11" s="7158"/>
      <c r="VBJ11" s="7158"/>
      <c r="VBK11" s="7158"/>
      <c r="VBL11" s="7159"/>
      <c r="VBM11" s="7152"/>
      <c r="VBN11" s="7153"/>
      <c r="VBO11" s="7153"/>
      <c r="VBP11" s="7153"/>
      <c r="VBQ11" s="7157"/>
      <c r="VBR11" s="7157"/>
      <c r="VBS11" s="7157"/>
      <c r="VBT11" s="7157"/>
      <c r="VBU11" s="7157"/>
      <c r="VBV11" s="7157"/>
      <c r="VBW11" s="7158"/>
      <c r="VBX11" s="7158"/>
      <c r="VBY11" s="7158"/>
      <c r="VBZ11" s="7158"/>
      <c r="VCA11" s="7158"/>
      <c r="VCB11" s="7159"/>
      <c r="VCC11" s="7152"/>
      <c r="VCD11" s="7153"/>
      <c r="VCE11" s="7153"/>
      <c r="VCF11" s="7153"/>
      <c r="VCG11" s="7157"/>
      <c r="VCH11" s="7157"/>
      <c r="VCI11" s="7157"/>
      <c r="VCJ11" s="7157"/>
      <c r="VCK11" s="7157"/>
      <c r="VCL11" s="7157"/>
      <c r="VCM11" s="7158"/>
      <c r="VCN11" s="7158"/>
      <c r="VCO11" s="7158"/>
      <c r="VCP11" s="7158"/>
      <c r="VCQ11" s="7158"/>
      <c r="VCR11" s="7159"/>
      <c r="VCS11" s="7152"/>
      <c r="VCT11" s="7153"/>
      <c r="VCU11" s="7153"/>
      <c r="VCV11" s="7153"/>
      <c r="VCW11" s="7157"/>
      <c r="VCX11" s="7157"/>
      <c r="VCY11" s="7157"/>
      <c r="VCZ11" s="7157"/>
      <c r="VDA11" s="7157"/>
      <c r="VDB11" s="7157"/>
      <c r="VDC11" s="7158"/>
      <c r="VDD11" s="7158"/>
      <c r="VDE11" s="7158"/>
      <c r="VDF11" s="7158"/>
      <c r="VDG11" s="7158"/>
      <c r="VDH11" s="7159"/>
      <c r="VDI11" s="7152"/>
      <c r="VDJ11" s="7153"/>
      <c r="VDK11" s="7153"/>
      <c r="VDL11" s="7153"/>
      <c r="VDM11" s="7157"/>
      <c r="VDN11" s="7157"/>
      <c r="VDO11" s="7157"/>
      <c r="VDP11" s="7157"/>
      <c r="VDQ11" s="7157"/>
      <c r="VDR11" s="7157"/>
      <c r="VDS11" s="7158"/>
      <c r="VDT11" s="7158"/>
      <c r="VDU11" s="7158"/>
      <c r="VDV11" s="7158"/>
      <c r="VDW11" s="7158"/>
      <c r="VDX11" s="7159"/>
      <c r="VDY11" s="7152"/>
      <c r="VDZ11" s="7153"/>
      <c r="VEA11" s="7153"/>
      <c r="VEB11" s="7153"/>
      <c r="VEC11" s="7157"/>
      <c r="VED11" s="7157"/>
      <c r="VEE11" s="7157"/>
      <c r="VEF11" s="7157"/>
      <c r="VEG11" s="7157"/>
      <c r="VEH11" s="7157"/>
      <c r="VEI11" s="7158"/>
      <c r="VEJ11" s="7158"/>
      <c r="VEK11" s="7158"/>
      <c r="VEL11" s="7158"/>
      <c r="VEM11" s="7158"/>
      <c r="VEN11" s="7159"/>
      <c r="VEO11" s="7152"/>
      <c r="VEP11" s="7153"/>
      <c r="VEQ11" s="7153"/>
      <c r="VER11" s="7153"/>
      <c r="VES11" s="7157"/>
      <c r="VET11" s="7157"/>
      <c r="VEU11" s="7157"/>
      <c r="VEV11" s="7157"/>
      <c r="VEW11" s="7157"/>
      <c r="VEX11" s="7157"/>
      <c r="VEY11" s="7158"/>
      <c r="VEZ11" s="7158"/>
      <c r="VFA11" s="7158"/>
      <c r="VFB11" s="7158"/>
      <c r="VFC11" s="7158"/>
      <c r="VFD11" s="7159"/>
      <c r="VFE11" s="7152"/>
      <c r="VFF11" s="7153"/>
      <c r="VFG11" s="7153"/>
      <c r="VFH11" s="7153"/>
      <c r="VFI11" s="7157"/>
      <c r="VFJ11" s="7157"/>
      <c r="VFK11" s="7157"/>
      <c r="VFL11" s="7157"/>
      <c r="VFM11" s="7157"/>
      <c r="VFN11" s="7157"/>
      <c r="VFO11" s="7158"/>
      <c r="VFP11" s="7158"/>
      <c r="VFQ11" s="7158"/>
      <c r="VFR11" s="7158"/>
      <c r="VFS11" s="7158"/>
      <c r="VFT11" s="7159"/>
      <c r="VFU11" s="7152"/>
      <c r="VFV11" s="7153"/>
      <c r="VFW11" s="7153"/>
      <c r="VFX11" s="7153"/>
      <c r="VFY11" s="7157"/>
      <c r="VFZ11" s="7157"/>
      <c r="VGA11" s="7157"/>
      <c r="VGB11" s="7157"/>
      <c r="VGC11" s="7157"/>
      <c r="VGD11" s="7157"/>
      <c r="VGE11" s="7158"/>
      <c r="VGF11" s="7158"/>
      <c r="VGG11" s="7158"/>
      <c r="VGH11" s="7158"/>
      <c r="VGI11" s="7158"/>
      <c r="VGJ11" s="7159"/>
      <c r="VGK11" s="7152"/>
      <c r="VGL11" s="7153"/>
      <c r="VGM11" s="7153"/>
      <c r="VGN11" s="7153"/>
      <c r="VGO11" s="7157"/>
      <c r="VGP11" s="7157"/>
      <c r="VGQ11" s="7157"/>
      <c r="VGR11" s="7157"/>
      <c r="VGS11" s="7157"/>
      <c r="VGT11" s="7157"/>
      <c r="VGU11" s="7158"/>
      <c r="VGV11" s="7158"/>
      <c r="VGW11" s="7158"/>
      <c r="VGX11" s="7158"/>
      <c r="VGY11" s="7158"/>
      <c r="VGZ11" s="7159"/>
      <c r="VHA11" s="7152"/>
      <c r="VHB11" s="7153"/>
      <c r="VHC11" s="7153"/>
      <c r="VHD11" s="7153"/>
      <c r="VHE11" s="7157"/>
      <c r="VHF11" s="7157"/>
      <c r="VHG11" s="7157"/>
      <c r="VHH11" s="7157"/>
      <c r="VHI11" s="7157"/>
      <c r="VHJ11" s="7157"/>
      <c r="VHK11" s="7158"/>
      <c r="VHL11" s="7158"/>
      <c r="VHM11" s="7158"/>
      <c r="VHN11" s="7158"/>
      <c r="VHO11" s="7158"/>
      <c r="VHP11" s="7159"/>
      <c r="VHQ11" s="7152"/>
      <c r="VHR11" s="7153"/>
      <c r="VHS11" s="7153"/>
      <c r="VHT11" s="7153"/>
      <c r="VHU11" s="7157"/>
      <c r="VHV11" s="7157"/>
      <c r="VHW11" s="7157"/>
      <c r="VHX11" s="7157"/>
      <c r="VHY11" s="7157"/>
      <c r="VHZ11" s="7157"/>
      <c r="VIA11" s="7158"/>
      <c r="VIB11" s="7158"/>
      <c r="VIC11" s="7158"/>
      <c r="VID11" s="7158"/>
      <c r="VIE11" s="7158"/>
      <c r="VIF11" s="7159"/>
      <c r="VIG11" s="7152"/>
      <c r="VIH11" s="7153"/>
      <c r="VII11" s="7153"/>
      <c r="VIJ11" s="7153"/>
      <c r="VIK11" s="7157"/>
      <c r="VIL11" s="7157"/>
      <c r="VIM11" s="7157"/>
      <c r="VIN11" s="7157"/>
      <c r="VIO11" s="7157"/>
      <c r="VIP11" s="7157"/>
      <c r="VIQ11" s="7158"/>
      <c r="VIR11" s="7158"/>
      <c r="VIS11" s="7158"/>
      <c r="VIT11" s="7158"/>
      <c r="VIU11" s="7158"/>
      <c r="VIV11" s="7159"/>
      <c r="VIW11" s="7152"/>
      <c r="VIX11" s="7153"/>
      <c r="VIY11" s="7153"/>
      <c r="VIZ11" s="7153"/>
      <c r="VJA11" s="7157"/>
      <c r="VJB11" s="7157"/>
      <c r="VJC11" s="7157"/>
      <c r="VJD11" s="7157"/>
      <c r="VJE11" s="7157"/>
      <c r="VJF11" s="7157"/>
      <c r="VJG11" s="7158"/>
      <c r="VJH11" s="7158"/>
      <c r="VJI11" s="7158"/>
      <c r="VJJ11" s="7158"/>
      <c r="VJK11" s="7158"/>
      <c r="VJL11" s="7159"/>
      <c r="VJM11" s="7152"/>
      <c r="VJN11" s="7153"/>
      <c r="VJO11" s="7153"/>
      <c r="VJP11" s="7153"/>
      <c r="VJQ11" s="7157"/>
      <c r="VJR11" s="7157"/>
      <c r="VJS11" s="7157"/>
      <c r="VJT11" s="7157"/>
      <c r="VJU11" s="7157"/>
      <c r="VJV11" s="7157"/>
      <c r="VJW11" s="7158"/>
      <c r="VJX11" s="7158"/>
      <c r="VJY11" s="7158"/>
      <c r="VJZ11" s="7158"/>
      <c r="VKA11" s="7158"/>
      <c r="VKB11" s="7159"/>
      <c r="VKC11" s="7152"/>
      <c r="VKD11" s="7153"/>
      <c r="VKE11" s="7153"/>
      <c r="VKF11" s="7153"/>
      <c r="VKG11" s="7157"/>
      <c r="VKH11" s="7157"/>
      <c r="VKI11" s="7157"/>
      <c r="VKJ11" s="7157"/>
      <c r="VKK11" s="7157"/>
      <c r="VKL11" s="7157"/>
      <c r="VKM11" s="7158"/>
      <c r="VKN11" s="7158"/>
      <c r="VKO11" s="7158"/>
      <c r="VKP11" s="7158"/>
      <c r="VKQ11" s="7158"/>
      <c r="VKR11" s="7159"/>
      <c r="VKS11" s="7152"/>
      <c r="VKT11" s="7153"/>
      <c r="VKU11" s="7153"/>
      <c r="VKV11" s="7153"/>
      <c r="VKW11" s="7157"/>
      <c r="VKX11" s="7157"/>
      <c r="VKY11" s="7157"/>
      <c r="VKZ11" s="7157"/>
      <c r="VLA11" s="7157"/>
      <c r="VLB11" s="7157"/>
      <c r="VLC11" s="7158"/>
      <c r="VLD11" s="7158"/>
      <c r="VLE11" s="7158"/>
      <c r="VLF11" s="7158"/>
      <c r="VLG11" s="7158"/>
      <c r="VLH11" s="7159"/>
      <c r="VLI11" s="7152"/>
      <c r="VLJ11" s="7153"/>
      <c r="VLK11" s="7153"/>
      <c r="VLL11" s="7153"/>
      <c r="VLM11" s="7157"/>
      <c r="VLN11" s="7157"/>
      <c r="VLO11" s="7157"/>
      <c r="VLP11" s="7157"/>
      <c r="VLQ11" s="7157"/>
      <c r="VLR11" s="7157"/>
      <c r="VLS11" s="7158"/>
      <c r="VLT11" s="7158"/>
      <c r="VLU11" s="7158"/>
      <c r="VLV11" s="7158"/>
      <c r="VLW11" s="7158"/>
      <c r="VLX11" s="7159"/>
      <c r="VLY11" s="7152"/>
      <c r="VLZ11" s="7153"/>
      <c r="VMA11" s="7153"/>
      <c r="VMB11" s="7153"/>
      <c r="VMC11" s="7157"/>
      <c r="VMD11" s="7157"/>
      <c r="VME11" s="7157"/>
      <c r="VMF11" s="7157"/>
      <c r="VMG11" s="7157"/>
      <c r="VMH11" s="7157"/>
      <c r="VMI11" s="7158"/>
      <c r="VMJ11" s="7158"/>
      <c r="VMK11" s="7158"/>
      <c r="VML11" s="7158"/>
      <c r="VMM11" s="7158"/>
      <c r="VMN11" s="7159"/>
      <c r="VMO11" s="7152"/>
      <c r="VMP11" s="7153"/>
      <c r="VMQ11" s="7153"/>
      <c r="VMR11" s="7153"/>
      <c r="VMS11" s="7157"/>
      <c r="VMT11" s="7157"/>
      <c r="VMU11" s="7157"/>
      <c r="VMV11" s="7157"/>
      <c r="VMW11" s="7157"/>
      <c r="VMX11" s="7157"/>
      <c r="VMY11" s="7158"/>
      <c r="VMZ11" s="7158"/>
      <c r="VNA11" s="7158"/>
      <c r="VNB11" s="7158"/>
      <c r="VNC11" s="7158"/>
      <c r="VND11" s="7159"/>
      <c r="VNE11" s="7152"/>
      <c r="VNF11" s="7153"/>
      <c r="VNG11" s="7153"/>
      <c r="VNH11" s="7153"/>
      <c r="VNI11" s="7157"/>
      <c r="VNJ11" s="7157"/>
      <c r="VNK11" s="7157"/>
      <c r="VNL11" s="7157"/>
      <c r="VNM11" s="7157"/>
      <c r="VNN11" s="7157"/>
      <c r="VNO11" s="7158"/>
      <c r="VNP11" s="7158"/>
      <c r="VNQ11" s="7158"/>
      <c r="VNR11" s="7158"/>
      <c r="VNS11" s="7158"/>
      <c r="VNT11" s="7159"/>
      <c r="VNU11" s="7152"/>
      <c r="VNV11" s="7153"/>
      <c r="VNW11" s="7153"/>
      <c r="VNX11" s="7153"/>
      <c r="VNY11" s="7157"/>
      <c r="VNZ11" s="7157"/>
      <c r="VOA11" s="7157"/>
      <c r="VOB11" s="7157"/>
      <c r="VOC11" s="7157"/>
      <c r="VOD11" s="7157"/>
      <c r="VOE11" s="7158"/>
      <c r="VOF11" s="7158"/>
      <c r="VOG11" s="7158"/>
      <c r="VOH11" s="7158"/>
      <c r="VOI11" s="7158"/>
      <c r="VOJ11" s="7159"/>
      <c r="VOK11" s="7152"/>
      <c r="VOL11" s="7153"/>
      <c r="VOM11" s="7153"/>
      <c r="VON11" s="7153"/>
      <c r="VOO11" s="7157"/>
      <c r="VOP11" s="7157"/>
      <c r="VOQ11" s="7157"/>
      <c r="VOR11" s="7157"/>
      <c r="VOS11" s="7157"/>
      <c r="VOT11" s="7157"/>
      <c r="VOU11" s="7158"/>
      <c r="VOV11" s="7158"/>
      <c r="VOW11" s="7158"/>
      <c r="VOX11" s="7158"/>
      <c r="VOY11" s="7158"/>
      <c r="VOZ11" s="7159"/>
      <c r="VPA11" s="7152"/>
      <c r="VPB11" s="7153"/>
      <c r="VPC11" s="7153"/>
      <c r="VPD11" s="7153"/>
      <c r="VPE11" s="7157"/>
      <c r="VPF11" s="7157"/>
      <c r="VPG11" s="7157"/>
      <c r="VPH11" s="7157"/>
      <c r="VPI11" s="7157"/>
      <c r="VPJ11" s="7157"/>
      <c r="VPK11" s="7158"/>
      <c r="VPL11" s="7158"/>
      <c r="VPM11" s="7158"/>
      <c r="VPN11" s="7158"/>
      <c r="VPO11" s="7158"/>
      <c r="VPP11" s="7159"/>
      <c r="VPQ11" s="7152"/>
      <c r="VPR11" s="7153"/>
      <c r="VPS11" s="7153"/>
      <c r="VPT11" s="7153"/>
      <c r="VPU11" s="7157"/>
      <c r="VPV11" s="7157"/>
      <c r="VPW11" s="7157"/>
      <c r="VPX11" s="7157"/>
      <c r="VPY11" s="7157"/>
      <c r="VPZ11" s="7157"/>
      <c r="VQA11" s="7158"/>
      <c r="VQB11" s="7158"/>
      <c r="VQC11" s="7158"/>
      <c r="VQD11" s="7158"/>
      <c r="VQE11" s="7158"/>
      <c r="VQF11" s="7159"/>
      <c r="VQG11" s="7152"/>
      <c r="VQH11" s="7153"/>
      <c r="VQI11" s="7153"/>
      <c r="VQJ11" s="7153"/>
      <c r="VQK11" s="7157"/>
      <c r="VQL11" s="7157"/>
      <c r="VQM11" s="7157"/>
      <c r="VQN11" s="7157"/>
      <c r="VQO11" s="7157"/>
      <c r="VQP11" s="7157"/>
      <c r="VQQ11" s="7158"/>
      <c r="VQR11" s="7158"/>
      <c r="VQS11" s="7158"/>
      <c r="VQT11" s="7158"/>
      <c r="VQU11" s="7158"/>
      <c r="VQV11" s="7159"/>
      <c r="VQW11" s="7152"/>
      <c r="VQX11" s="7153"/>
      <c r="VQY11" s="7153"/>
      <c r="VQZ11" s="7153"/>
      <c r="VRA11" s="7157"/>
      <c r="VRB11" s="7157"/>
      <c r="VRC11" s="7157"/>
      <c r="VRD11" s="7157"/>
      <c r="VRE11" s="7157"/>
      <c r="VRF11" s="7157"/>
      <c r="VRG11" s="7158"/>
      <c r="VRH11" s="7158"/>
      <c r="VRI11" s="7158"/>
      <c r="VRJ11" s="7158"/>
      <c r="VRK11" s="7158"/>
      <c r="VRL11" s="7159"/>
      <c r="VRM11" s="7152"/>
      <c r="VRN11" s="7153"/>
      <c r="VRO11" s="7153"/>
      <c r="VRP11" s="7153"/>
      <c r="VRQ11" s="7157"/>
      <c r="VRR11" s="7157"/>
      <c r="VRS11" s="7157"/>
      <c r="VRT11" s="7157"/>
      <c r="VRU11" s="7157"/>
      <c r="VRV11" s="7157"/>
      <c r="VRW11" s="7158"/>
      <c r="VRX11" s="7158"/>
      <c r="VRY11" s="7158"/>
      <c r="VRZ11" s="7158"/>
      <c r="VSA11" s="7158"/>
      <c r="VSB11" s="7159"/>
      <c r="VSC11" s="7152"/>
      <c r="VSD11" s="7153"/>
      <c r="VSE11" s="7153"/>
      <c r="VSF11" s="7153"/>
      <c r="VSG11" s="7157"/>
      <c r="VSH11" s="7157"/>
      <c r="VSI11" s="7157"/>
      <c r="VSJ11" s="7157"/>
      <c r="VSK11" s="7157"/>
      <c r="VSL11" s="7157"/>
      <c r="VSM11" s="7158"/>
      <c r="VSN11" s="7158"/>
      <c r="VSO11" s="7158"/>
      <c r="VSP11" s="7158"/>
      <c r="VSQ11" s="7158"/>
      <c r="VSR11" s="7159"/>
      <c r="VSS11" s="7152"/>
      <c r="VST11" s="7153"/>
      <c r="VSU11" s="7153"/>
      <c r="VSV11" s="7153"/>
      <c r="VSW11" s="7157"/>
      <c r="VSX11" s="7157"/>
      <c r="VSY11" s="7157"/>
      <c r="VSZ11" s="7157"/>
      <c r="VTA11" s="7157"/>
      <c r="VTB11" s="7157"/>
      <c r="VTC11" s="7158"/>
      <c r="VTD11" s="7158"/>
      <c r="VTE11" s="7158"/>
      <c r="VTF11" s="7158"/>
      <c r="VTG11" s="7158"/>
      <c r="VTH11" s="7159"/>
      <c r="VTI11" s="7152"/>
      <c r="VTJ11" s="7153"/>
      <c r="VTK11" s="7153"/>
      <c r="VTL11" s="7153"/>
      <c r="VTM11" s="7157"/>
      <c r="VTN11" s="7157"/>
      <c r="VTO11" s="7157"/>
      <c r="VTP11" s="7157"/>
      <c r="VTQ11" s="7157"/>
      <c r="VTR11" s="7157"/>
      <c r="VTS11" s="7158"/>
      <c r="VTT11" s="7158"/>
      <c r="VTU11" s="7158"/>
      <c r="VTV11" s="7158"/>
      <c r="VTW11" s="7158"/>
      <c r="VTX11" s="7159"/>
      <c r="VTY11" s="7152"/>
      <c r="VTZ11" s="7153"/>
      <c r="VUA11" s="7153"/>
      <c r="VUB11" s="7153"/>
      <c r="VUC11" s="7157"/>
      <c r="VUD11" s="7157"/>
      <c r="VUE11" s="7157"/>
      <c r="VUF11" s="7157"/>
      <c r="VUG11" s="7157"/>
      <c r="VUH11" s="7157"/>
      <c r="VUI11" s="7158"/>
      <c r="VUJ11" s="7158"/>
      <c r="VUK11" s="7158"/>
      <c r="VUL11" s="7158"/>
      <c r="VUM11" s="7158"/>
      <c r="VUN11" s="7159"/>
      <c r="VUO11" s="7152"/>
      <c r="VUP11" s="7153"/>
      <c r="VUQ11" s="7153"/>
      <c r="VUR11" s="7153"/>
      <c r="VUS11" s="7157"/>
      <c r="VUT11" s="7157"/>
      <c r="VUU11" s="7157"/>
      <c r="VUV11" s="7157"/>
      <c r="VUW11" s="7157"/>
      <c r="VUX11" s="7157"/>
      <c r="VUY11" s="7158"/>
      <c r="VUZ11" s="7158"/>
      <c r="VVA11" s="7158"/>
      <c r="VVB11" s="7158"/>
      <c r="VVC11" s="7158"/>
      <c r="VVD11" s="7159"/>
      <c r="VVE11" s="7152"/>
      <c r="VVF11" s="7153"/>
      <c r="VVG11" s="7153"/>
      <c r="VVH11" s="7153"/>
      <c r="VVI11" s="7157"/>
      <c r="VVJ11" s="7157"/>
      <c r="VVK11" s="7157"/>
      <c r="VVL11" s="7157"/>
      <c r="VVM11" s="7157"/>
      <c r="VVN11" s="7157"/>
      <c r="VVO11" s="7158"/>
      <c r="VVP11" s="7158"/>
      <c r="VVQ11" s="7158"/>
      <c r="VVR11" s="7158"/>
      <c r="VVS11" s="7158"/>
      <c r="VVT11" s="7159"/>
      <c r="VVU11" s="7152"/>
      <c r="VVV11" s="7153"/>
      <c r="VVW11" s="7153"/>
      <c r="VVX11" s="7153"/>
      <c r="VVY11" s="7157"/>
      <c r="VVZ11" s="7157"/>
      <c r="VWA11" s="7157"/>
      <c r="VWB11" s="7157"/>
      <c r="VWC11" s="7157"/>
      <c r="VWD11" s="7157"/>
      <c r="VWE11" s="7158"/>
      <c r="VWF11" s="7158"/>
      <c r="VWG11" s="7158"/>
      <c r="VWH11" s="7158"/>
      <c r="VWI11" s="7158"/>
      <c r="VWJ11" s="7159"/>
      <c r="VWK11" s="7152"/>
      <c r="VWL11" s="7153"/>
      <c r="VWM11" s="7153"/>
      <c r="VWN11" s="7153"/>
      <c r="VWO11" s="7157"/>
      <c r="VWP11" s="7157"/>
      <c r="VWQ11" s="7157"/>
      <c r="VWR11" s="7157"/>
      <c r="VWS11" s="7157"/>
      <c r="VWT11" s="7157"/>
      <c r="VWU11" s="7158"/>
      <c r="VWV11" s="7158"/>
      <c r="VWW11" s="7158"/>
      <c r="VWX11" s="7158"/>
      <c r="VWY11" s="7158"/>
      <c r="VWZ11" s="7159"/>
      <c r="VXA11" s="7152"/>
      <c r="VXB11" s="7153"/>
      <c r="VXC11" s="7153"/>
      <c r="VXD11" s="7153"/>
      <c r="VXE11" s="7157"/>
      <c r="VXF11" s="7157"/>
      <c r="VXG11" s="7157"/>
      <c r="VXH11" s="7157"/>
      <c r="VXI11" s="7157"/>
      <c r="VXJ11" s="7157"/>
      <c r="VXK11" s="7158"/>
      <c r="VXL11" s="7158"/>
      <c r="VXM11" s="7158"/>
      <c r="VXN11" s="7158"/>
      <c r="VXO11" s="7158"/>
      <c r="VXP11" s="7159"/>
      <c r="VXQ11" s="7152"/>
      <c r="VXR11" s="7153"/>
      <c r="VXS11" s="7153"/>
      <c r="VXT11" s="7153"/>
      <c r="VXU11" s="7157"/>
      <c r="VXV11" s="7157"/>
      <c r="VXW11" s="7157"/>
      <c r="VXX11" s="7157"/>
      <c r="VXY11" s="7157"/>
      <c r="VXZ11" s="7157"/>
      <c r="VYA11" s="7158"/>
      <c r="VYB11" s="7158"/>
      <c r="VYC11" s="7158"/>
      <c r="VYD11" s="7158"/>
      <c r="VYE11" s="7158"/>
      <c r="VYF11" s="7159"/>
      <c r="VYG11" s="7152"/>
      <c r="VYH11" s="7153"/>
      <c r="VYI11" s="7153"/>
      <c r="VYJ11" s="7153"/>
      <c r="VYK11" s="7157"/>
      <c r="VYL11" s="7157"/>
      <c r="VYM11" s="7157"/>
      <c r="VYN11" s="7157"/>
      <c r="VYO11" s="7157"/>
      <c r="VYP11" s="7157"/>
      <c r="VYQ11" s="7158"/>
      <c r="VYR11" s="7158"/>
      <c r="VYS11" s="7158"/>
      <c r="VYT11" s="7158"/>
      <c r="VYU11" s="7158"/>
      <c r="VYV11" s="7159"/>
      <c r="VYW11" s="7152"/>
      <c r="VYX11" s="7153"/>
      <c r="VYY11" s="7153"/>
      <c r="VYZ11" s="7153"/>
      <c r="VZA11" s="7157"/>
      <c r="VZB11" s="7157"/>
      <c r="VZC11" s="7157"/>
      <c r="VZD11" s="7157"/>
      <c r="VZE11" s="7157"/>
      <c r="VZF11" s="7157"/>
      <c r="VZG11" s="7158"/>
      <c r="VZH11" s="7158"/>
      <c r="VZI11" s="7158"/>
      <c r="VZJ11" s="7158"/>
      <c r="VZK11" s="7158"/>
      <c r="VZL11" s="7159"/>
      <c r="VZM11" s="7152"/>
      <c r="VZN11" s="7153"/>
      <c r="VZO11" s="7153"/>
      <c r="VZP11" s="7153"/>
      <c r="VZQ11" s="7157"/>
      <c r="VZR11" s="7157"/>
      <c r="VZS11" s="7157"/>
      <c r="VZT11" s="7157"/>
      <c r="VZU11" s="7157"/>
      <c r="VZV11" s="7157"/>
      <c r="VZW11" s="7158"/>
      <c r="VZX11" s="7158"/>
      <c r="VZY11" s="7158"/>
      <c r="VZZ11" s="7158"/>
      <c r="WAA11" s="7158"/>
      <c r="WAB11" s="7159"/>
      <c r="WAC11" s="7152"/>
      <c r="WAD11" s="7153"/>
      <c r="WAE11" s="7153"/>
      <c r="WAF11" s="7153"/>
      <c r="WAG11" s="7157"/>
      <c r="WAH11" s="7157"/>
      <c r="WAI11" s="7157"/>
      <c r="WAJ11" s="7157"/>
      <c r="WAK11" s="7157"/>
      <c r="WAL11" s="7157"/>
      <c r="WAM11" s="7158"/>
      <c r="WAN11" s="7158"/>
      <c r="WAO11" s="7158"/>
      <c r="WAP11" s="7158"/>
      <c r="WAQ11" s="7158"/>
      <c r="WAR11" s="7159"/>
      <c r="WAS11" s="7152"/>
      <c r="WAT11" s="7153"/>
      <c r="WAU11" s="7153"/>
      <c r="WAV11" s="7153"/>
      <c r="WAW11" s="7157"/>
      <c r="WAX11" s="7157"/>
      <c r="WAY11" s="7157"/>
      <c r="WAZ11" s="7157"/>
      <c r="WBA11" s="7157"/>
      <c r="WBB11" s="7157"/>
      <c r="WBC11" s="7158"/>
      <c r="WBD11" s="7158"/>
      <c r="WBE11" s="7158"/>
      <c r="WBF11" s="7158"/>
      <c r="WBG11" s="7158"/>
      <c r="WBH11" s="7159"/>
      <c r="WBI11" s="7152"/>
      <c r="WBJ11" s="7153"/>
      <c r="WBK11" s="7153"/>
      <c r="WBL11" s="7153"/>
      <c r="WBM11" s="7157"/>
      <c r="WBN11" s="7157"/>
      <c r="WBO11" s="7157"/>
      <c r="WBP11" s="7157"/>
      <c r="WBQ11" s="7157"/>
      <c r="WBR11" s="7157"/>
      <c r="WBS11" s="7158"/>
      <c r="WBT11" s="7158"/>
      <c r="WBU11" s="7158"/>
      <c r="WBV11" s="7158"/>
      <c r="WBW11" s="7158"/>
      <c r="WBX11" s="7159"/>
      <c r="WBY11" s="7152"/>
      <c r="WBZ11" s="7153"/>
      <c r="WCA11" s="7153"/>
      <c r="WCB11" s="7153"/>
      <c r="WCC11" s="7157"/>
      <c r="WCD11" s="7157"/>
      <c r="WCE11" s="7157"/>
      <c r="WCF11" s="7157"/>
      <c r="WCG11" s="7157"/>
      <c r="WCH11" s="7157"/>
      <c r="WCI11" s="7158"/>
      <c r="WCJ11" s="7158"/>
      <c r="WCK11" s="7158"/>
      <c r="WCL11" s="7158"/>
      <c r="WCM11" s="7158"/>
      <c r="WCN11" s="7159"/>
      <c r="WCO11" s="7152"/>
      <c r="WCP11" s="7153"/>
      <c r="WCQ11" s="7153"/>
      <c r="WCR11" s="7153"/>
      <c r="WCS11" s="7157"/>
      <c r="WCT11" s="7157"/>
      <c r="WCU11" s="7157"/>
      <c r="WCV11" s="7157"/>
      <c r="WCW11" s="7157"/>
      <c r="WCX11" s="7157"/>
      <c r="WCY11" s="7158"/>
      <c r="WCZ11" s="7158"/>
      <c r="WDA11" s="7158"/>
      <c r="WDB11" s="7158"/>
      <c r="WDC11" s="7158"/>
      <c r="WDD11" s="7159"/>
      <c r="WDE11" s="7152"/>
      <c r="WDF11" s="7153"/>
      <c r="WDG11" s="7153"/>
      <c r="WDH11" s="7153"/>
      <c r="WDI11" s="7157"/>
      <c r="WDJ11" s="7157"/>
      <c r="WDK11" s="7157"/>
      <c r="WDL11" s="7157"/>
      <c r="WDM11" s="7157"/>
      <c r="WDN11" s="7157"/>
      <c r="WDO11" s="7158"/>
      <c r="WDP11" s="7158"/>
      <c r="WDQ11" s="7158"/>
      <c r="WDR11" s="7158"/>
      <c r="WDS11" s="7158"/>
      <c r="WDT11" s="7159"/>
      <c r="WDU11" s="7152"/>
      <c r="WDV11" s="7153"/>
      <c r="WDW11" s="7153"/>
      <c r="WDX11" s="7153"/>
      <c r="WDY11" s="7157"/>
      <c r="WDZ11" s="7157"/>
      <c r="WEA11" s="7157"/>
      <c r="WEB11" s="7157"/>
      <c r="WEC11" s="7157"/>
      <c r="WED11" s="7157"/>
      <c r="WEE11" s="7158"/>
      <c r="WEF11" s="7158"/>
      <c r="WEG11" s="7158"/>
      <c r="WEH11" s="7158"/>
      <c r="WEI11" s="7158"/>
      <c r="WEJ11" s="7159"/>
      <c r="WEK11" s="7152"/>
      <c r="WEL11" s="7153"/>
      <c r="WEM11" s="7153"/>
      <c r="WEN11" s="7153"/>
      <c r="WEO11" s="7157"/>
      <c r="WEP11" s="7157"/>
      <c r="WEQ11" s="7157"/>
      <c r="WER11" s="7157"/>
      <c r="WES11" s="7157"/>
      <c r="WET11" s="7157"/>
      <c r="WEU11" s="7158"/>
      <c r="WEV11" s="7158"/>
      <c r="WEW11" s="7158"/>
      <c r="WEX11" s="7158"/>
      <c r="WEY11" s="7158"/>
      <c r="WEZ11" s="7159"/>
      <c r="WFA11" s="7152"/>
      <c r="WFB11" s="7153"/>
      <c r="WFC11" s="7153"/>
      <c r="WFD11" s="7153"/>
      <c r="WFE11" s="7157"/>
      <c r="WFF11" s="7157"/>
      <c r="WFG11" s="7157"/>
      <c r="WFH11" s="7157"/>
      <c r="WFI11" s="7157"/>
      <c r="WFJ11" s="7157"/>
      <c r="WFK11" s="7158"/>
      <c r="WFL11" s="7158"/>
      <c r="WFM11" s="7158"/>
      <c r="WFN11" s="7158"/>
      <c r="WFO11" s="7158"/>
      <c r="WFP11" s="7159"/>
      <c r="WFQ11" s="7152"/>
      <c r="WFR11" s="7153"/>
      <c r="WFS11" s="7153"/>
      <c r="WFT11" s="7153"/>
      <c r="WFU11" s="7157"/>
      <c r="WFV11" s="7157"/>
      <c r="WFW11" s="7157"/>
      <c r="WFX11" s="7157"/>
      <c r="WFY11" s="7157"/>
      <c r="WFZ11" s="7157"/>
      <c r="WGA11" s="7158"/>
      <c r="WGB11" s="7158"/>
      <c r="WGC11" s="7158"/>
      <c r="WGD11" s="7158"/>
      <c r="WGE11" s="7158"/>
      <c r="WGF11" s="7159"/>
      <c r="WGG11" s="7152"/>
      <c r="WGH11" s="7153"/>
      <c r="WGI11" s="7153"/>
      <c r="WGJ11" s="7153"/>
      <c r="WGK11" s="7157"/>
      <c r="WGL11" s="7157"/>
      <c r="WGM11" s="7157"/>
      <c r="WGN11" s="7157"/>
      <c r="WGO11" s="7157"/>
      <c r="WGP11" s="7157"/>
      <c r="WGQ11" s="7158"/>
      <c r="WGR11" s="7158"/>
      <c r="WGS11" s="7158"/>
      <c r="WGT11" s="7158"/>
      <c r="WGU11" s="7158"/>
      <c r="WGV11" s="7159"/>
      <c r="WGW11" s="7152"/>
      <c r="WGX11" s="7153"/>
      <c r="WGY11" s="7153"/>
      <c r="WGZ11" s="7153"/>
      <c r="WHA11" s="7157"/>
      <c r="WHB11" s="7157"/>
      <c r="WHC11" s="7157"/>
      <c r="WHD11" s="7157"/>
      <c r="WHE11" s="7157"/>
      <c r="WHF11" s="7157"/>
      <c r="WHG11" s="7158"/>
      <c r="WHH11" s="7158"/>
      <c r="WHI11" s="7158"/>
      <c r="WHJ11" s="7158"/>
      <c r="WHK11" s="7158"/>
      <c r="WHL11" s="7159"/>
      <c r="WHM11" s="7152"/>
      <c r="WHN11" s="7153"/>
      <c r="WHO11" s="7153"/>
      <c r="WHP11" s="7153"/>
      <c r="WHQ11" s="7157"/>
      <c r="WHR11" s="7157"/>
      <c r="WHS11" s="7157"/>
      <c r="WHT11" s="7157"/>
      <c r="WHU11" s="7157"/>
      <c r="WHV11" s="7157"/>
      <c r="WHW11" s="7158"/>
      <c r="WHX11" s="7158"/>
      <c r="WHY11" s="7158"/>
      <c r="WHZ11" s="7158"/>
      <c r="WIA11" s="7158"/>
      <c r="WIB11" s="7159"/>
      <c r="WIC11" s="7152"/>
      <c r="WID11" s="7153"/>
      <c r="WIE11" s="7153"/>
      <c r="WIF11" s="7153"/>
      <c r="WIG11" s="7157"/>
      <c r="WIH11" s="7157"/>
      <c r="WII11" s="7157"/>
      <c r="WIJ11" s="7157"/>
      <c r="WIK11" s="7157"/>
      <c r="WIL11" s="7157"/>
      <c r="WIM11" s="7158"/>
      <c r="WIN11" s="7158"/>
      <c r="WIO11" s="7158"/>
      <c r="WIP11" s="7158"/>
      <c r="WIQ11" s="7158"/>
      <c r="WIR11" s="7159"/>
      <c r="WIS11" s="7152"/>
      <c r="WIT11" s="7153"/>
      <c r="WIU11" s="7153"/>
      <c r="WIV11" s="7153"/>
      <c r="WIW11" s="7157"/>
      <c r="WIX11" s="7157"/>
      <c r="WIY11" s="7157"/>
      <c r="WIZ11" s="7157"/>
      <c r="WJA11" s="7157"/>
      <c r="WJB11" s="7157"/>
      <c r="WJC11" s="7158"/>
      <c r="WJD11" s="7158"/>
      <c r="WJE11" s="7158"/>
      <c r="WJF11" s="7158"/>
      <c r="WJG11" s="7158"/>
      <c r="WJH11" s="7159"/>
      <c r="WJI11" s="7152"/>
      <c r="WJJ11" s="7153"/>
      <c r="WJK11" s="7153"/>
      <c r="WJL11" s="7153"/>
      <c r="WJM11" s="7157"/>
      <c r="WJN11" s="7157"/>
      <c r="WJO11" s="7157"/>
      <c r="WJP11" s="7157"/>
      <c r="WJQ11" s="7157"/>
      <c r="WJR11" s="7157"/>
      <c r="WJS11" s="7158"/>
      <c r="WJT11" s="7158"/>
      <c r="WJU11" s="7158"/>
      <c r="WJV11" s="7158"/>
      <c r="WJW11" s="7158"/>
      <c r="WJX11" s="7159"/>
      <c r="WJY11" s="7152"/>
      <c r="WJZ11" s="7153"/>
      <c r="WKA11" s="7153"/>
      <c r="WKB11" s="7153"/>
      <c r="WKC11" s="7157"/>
      <c r="WKD11" s="7157"/>
      <c r="WKE11" s="7157"/>
      <c r="WKF11" s="7157"/>
      <c r="WKG11" s="7157"/>
      <c r="WKH11" s="7157"/>
      <c r="WKI11" s="7158"/>
      <c r="WKJ11" s="7158"/>
      <c r="WKK11" s="7158"/>
      <c r="WKL11" s="7158"/>
      <c r="WKM11" s="7158"/>
      <c r="WKN11" s="7159"/>
      <c r="WKO11" s="7152"/>
      <c r="WKP11" s="7153"/>
      <c r="WKQ11" s="7153"/>
      <c r="WKR11" s="7153"/>
      <c r="WKS11" s="7157"/>
      <c r="WKT11" s="7157"/>
      <c r="WKU11" s="7157"/>
      <c r="WKV11" s="7157"/>
      <c r="WKW11" s="7157"/>
      <c r="WKX11" s="7157"/>
      <c r="WKY11" s="7158"/>
      <c r="WKZ11" s="7158"/>
      <c r="WLA11" s="7158"/>
      <c r="WLB11" s="7158"/>
      <c r="WLC11" s="7158"/>
      <c r="WLD11" s="7159"/>
      <c r="WLE11" s="7152"/>
      <c r="WLF11" s="7153"/>
      <c r="WLG11" s="7153"/>
      <c r="WLH11" s="7153"/>
      <c r="WLI11" s="7157"/>
      <c r="WLJ11" s="7157"/>
      <c r="WLK11" s="7157"/>
      <c r="WLL11" s="7157"/>
      <c r="WLM11" s="7157"/>
      <c r="WLN11" s="7157"/>
      <c r="WLO11" s="7158"/>
      <c r="WLP11" s="7158"/>
      <c r="WLQ11" s="7158"/>
      <c r="WLR11" s="7158"/>
      <c r="WLS11" s="7158"/>
      <c r="WLT11" s="7159"/>
      <c r="WLU11" s="7152"/>
      <c r="WLV11" s="7153"/>
      <c r="WLW11" s="7153"/>
      <c r="WLX11" s="7153"/>
      <c r="WLY11" s="7157"/>
      <c r="WLZ11" s="7157"/>
      <c r="WMA11" s="7157"/>
      <c r="WMB11" s="7157"/>
      <c r="WMC11" s="7157"/>
      <c r="WMD11" s="7157"/>
      <c r="WME11" s="7158"/>
      <c r="WMF11" s="7158"/>
      <c r="WMG11" s="7158"/>
      <c r="WMH11" s="7158"/>
      <c r="WMI11" s="7158"/>
      <c r="WMJ11" s="7159"/>
      <c r="WMK11" s="7152"/>
      <c r="WML11" s="7153"/>
      <c r="WMM11" s="7153"/>
      <c r="WMN11" s="7153"/>
      <c r="WMO11" s="7157"/>
      <c r="WMP11" s="7157"/>
      <c r="WMQ11" s="7157"/>
      <c r="WMR11" s="7157"/>
      <c r="WMS11" s="7157"/>
      <c r="WMT11" s="7157"/>
      <c r="WMU11" s="7158"/>
      <c r="WMV11" s="7158"/>
      <c r="WMW11" s="7158"/>
      <c r="WMX11" s="7158"/>
      <c r="WMY11" s="7158"/>
      <c r="WMZ11" s="7159"/>
      <c r="WNA11" s="7152"/>
      <c r="WNB11" s="7153"/>
      <c r="WNC11" s="7153"/>
      <c r="WND11" s="7153"/>
      <c r="WNE11" s="7157"/>
      <c r="WNF11" s="7157"/>
      <c r="WNG11" s="7157"/>
      <c r="WNH11" s="7157"/>
      <c r="WNI11" s="7157"/>
      <c r="WNJ11" s="7157"/>
      <c r="WNK11" s="7158"/>
      <c r="WNL11" s="7158"/>
      <c r="WNM11" s="7158"/>
      <c r="WNN11" s="7158"/>
      <c r="WNO11" s="7158"/>
      <c r="WNP11" s="7159"/>
      <c r="WNQ11" s="7152"/>
      <c r="WNR11" s="7153"/>
      <c r="WNS11" s="7153"/>
      <c r="WNT11" s="7153"/>
      <c r="WNU11" s="7157"/>
      <c r="WNV11" s="7157"/>
      <c r="WNW11" s="7157"/>
      <c r="WNX11" s="7157"/>
      <c r="WNY11" s="7157"/>
      <c r="WNZ11" s="7157"/>
      <c r="WOA11" s="7158"/>
      <c r="WOB11" s="7158"/>
      <c r="WOC11" s="7158"/>
      <c r="WOD11" s="7158"/>
      <c r="WOE11" s="7158"/>
      <c r="WOF11" s="7159"/>
      <c r="WOG11" s="7152"/>
      <c r="WOH11" s="7153"/>
      <c r="WOI11" s="7153"/>
      <c r="WOJ11" s="7153"/>
      <c r="WOK11" s="7157"/>
      <c r="WOL11" s="7157"/>
      <c r="WOM11" s="7157"/>
      <c r="WON11" s="7157"/>
      <c r="WOO11" s="7157"/>
      <c r="WOP11" s="7157"/>
      <c r="WOQ11" s="7158"/>
      <c r="WOR11" s="7158"/>
      <c r="WOS11" s="7158"/>
      <c r="WOT11" s="7158"/>
      <c r="WOU11" s="7158"/>
      <c r="WOV11" s="7159"/>
      <c r="WOW11" s="7152"/>
      <c r="WOX11" s="7153"/>
      <c r="WOY11" s="7153"/>
      <c r="WOZ11" s="7153"/>
      <c r="WPA11" s="7157"/>
      <c r="WPB11" s="7157"/>
      <c r="WPC11" s="7157"/>
      <c r="WPD11" s="7157"/>
      <c r="WPE11" s="7157"/>
      <c r="WPF11" s="7157"/>
      <c r="WPG11" s="7158"/>
      <c r="WPH11" s="7158"/>
      <c r="WPI11" s="7158"/>
      <c r="WPJ11" s="7158"/>
      <c r="WPK11" s="7158"/>
      <c r="WPL11" s="7159"/>
      <c r="WPM11" s="7152"/>
      <c r="WPN11" s="7153"/>
      <c r="WPO11" s="7153"/>
      <c r="WPP11" s="7153"/>
      <c r="WPQ11" s="7157"/>
      <c r="WPR11" s="7157"/>
      <c r="WPS11" s="7157"/>
      <c r="WPT11" s="7157"/>
      <c r="WPU11" s="7157"/>
      <c r="WPV11" s="7157"/>
      <c r="WPW11" s="7158"/>
      <c r="WPX11" s="7158"/>
      <c r="WPY11" s="7158"/>
      <c r="WPZ11" s="7158"/>
      <c r="WQA11" s="7158"/>
      <c r="WQB11" s="7159"/>
      <c r="WQC11" s="7152"/>
      <c r="WQD11" s="7153"/>
      <c r="WQE11" s="7153"/>
      <c r="WQF11" s="7153"/>
      <c r="WQG11" s="7157"/>
      <c r="WQH11" s="7157"/>
      <c r="WQI11" s="7157"/>
      <c r="WQJ11" s="7157"/>
      <c r="WQK11" s="7157"/>
      <c r="WQL11" s="7157"/>
      <c r="WQM11" s="7158"/>
      <c r="WQN11" s="7158"/>
      <c r="WQO11" s="7158"/>
      <c r="WQP11" s="7158"/>
      <c r="WQQ11" s="7158"/>
      <c r="WQR11" s="7159"/>
      <c r="WQS11" s="7152"/>
      <c r="WQT11" s="7153"/>
      <c r="WQU11" s="7153"/>
      <c r="WQV11" s="7153"/>
      <c r="WQW11" s="7157"/>
      <c r="WQX11" s="7157"/>
      <c r="WQY11" s="7157"/>
      <c r="WQZ11" s="7157"/>
      <c r="WRA11" s="7157"/>
      <c r="WRB11" s="7157"/>
      <c r="WRC11" s="7158"/>
      <c r="WRD11" s="7158"/>
      <c r="WRE11" s="7158"/>
      <c r="WRF11" s="7158"/>
      <c r="WRG11" s="7158"/>
      <c r="WRH11" s="7159"/>
      <c r="WRI11" s="7152"/>
      <c r="WRJ11" s="7153"/>
      <c r="WRK11" s="7153"/>
      <c r="WRL11" s="7153"/>
      <c r="WRM11" s="7157"/>
      <c r="WRN11" s="7157"/>
      <c r="WRO11" s="7157"/>
      <c r="WRP11" s="7157"/>
      <c r="WRQ11" s="7157"/>
      <c r="WRR11" s="7157"/>
      <c r="WRS11" s="7158"/>
      <c r="WRT11" s="7158"/>
      <c r="WRU11" s="7158"/>
      <c r="WRV11" s="7158"/>
      <c r="WRW11" s="7158"/>
      <c r="WRX11" s="7159"/>
      <c r="WRY11" s="7152"/>
      <c r="WRZ11" s="7153"/>
      <c r="WSA11" s="7153"/>
      <c r="WSB11" s="7153"/>
      <c r="WSC11" s="7157"/>
      <c r="WSD11" s="7157"/>
      <c r="WSE11" s="7157"/>
      <c r="WSF11" s="7157"/>
      <c r="WSG11" s="7157"/>
      <c r="WSH11" s="7157"/>
      <c r="WSI11" s="7158"/>
      <c r="WSJ11" s="7158"/>
      <c r="WSK11" s="7158"/>
      <c r="WSL11" s="7158"/>
      <c r="WSM11" s="7158"/>
      <c r="WSN11" s="7159"/>
      <c r="WSO11" s="7152"/>
      <c r="WSP11" s="7153"/>
      <c r="WSQ11" s="7153"/>
      <c r="WSR11" s="7153"/>
      <c r="WSS11" s="7157"/>
      <c r="WST11" s="7157"/>
      <c r="WSU11" s="7157"/>
      <c r="WSV11" s="7157"/>
      <c r="WSW11" s="7157"/>
      <c r="WSX11" s="7157"/>
      <c r="WSY11" s="7158"/>
      <c r="WSZ11" s="7158"/>
      <c r="WTA11" s="7158"/>
      <c r="WTB11" s="7158"/>
      <c r="WTC11" s="7158"/>
      <c r="WTD11" s="7159"/>
      <c r="WTE11" s="7152"/>
      <c r="WTF11" s="7153"/>
      <c r="WTG11" s="7153"/>
      <c r="WTH11" s="7153"/>
      <c r="WTI11" s="7157"/>
      <c r="WTJ11" s="7157"/>
      <c r="WTK11" s="7157"/>
      <c r="WTL11" s="7157"/>
      <c r="WTM11" s="7157"/>
      <c r="WTN11" s="7157"/>
      <c r="WTO11" s="7158"/>
      <c r="WTP11" s="7158"/>
      <c r="WTQ11" s="7158"/>
      <c r="WTR11" s="7158"/>
      <c r="WTS11" s="7158"/>
      <c r="WTT11" s="7159"/>
      <c r="WTU11" s="7152"/>
      <c r="WTV11" s="7153"/>
      <c r="WTW11" s="7153"/>
      <c r="WTX11" s="7153"/>
      <c r="WTY11" s="7157"/>
      <c r="WTZ11" s="7157"/>
      <c r="WUA11" s="7157"/>
      <c r="WUB11" s="7157"/>
      <c r="WUC11" s="7157"/>
      <c r="WUD11" s="7157"/>
      <c r="WUE11" s="7158"/>
      <c r="WUF11" s="7158"/>
      <c r="WUG11" s="7158"/>
      <c r="WUH11" s="7158"/>
      <c r="WUI11" s="7158"/>
      <c r="WUJ11" s="7159"/>
      <c r="WUK11" s="7152"/>
      <c r="WUL11" s="7153"/>
      <c r="WUM11" s="7153"/>
      <c r="WUN11" s="7153"/>
      <c r="WUO11" s="7157"/>
      <c r="WUP11" s="7157"/>
      <c r="WUQ11" s="7157"/>
      <c r="WUR11" s="7157"/>
      <c r="WUS11" s="7157"/>
      <c r="WUT11" s="7157"/>
      <c r="WUU11" s="7158"/>
      <c r="WUV11" s="7158"/>
      <c r="WUW11" s="7158"/>
      <c r="WUX11" s="7158"/>
      <c r="WUY11" s="7158"/>
      <c r="WUZ11" s="7159"/>
      <c r="WVA11" s="7152"/>
      <c r="WVB11" s="7153"/>
      <c r="WVC11" s="7153"/>
      <c r="WVD11" s="7153"/>
      <c r="WVE11" s="7157"/>
      <c r="WVF11" s="7157"/>
      <c r="WVG11" s="7157"/>
      <c r="WVH11" s="7157"/>
      <c r="WVI11" s="7157"/>
      <c r="WVJ11" s="7157"/>
      <c r="WVK11" s="7158"/>
      <c r="WVL11" s="7158"/>
      <c r="WVM11" s="7158"/>
      <c r="WVN11" s="7158"/>
      <c r="WVO11" s="7158"/>
      <c r="WVP11" s="7159"/>
      <c r="WVQ11" s="7152"/>
      <c r="WVR11" s="7153"/>
      <c r="WVS11" s="7153"/>
      <c r="WVT11" s="7153"/>
      <c r="WVU11" s="7157"/>
      <c r="WVV11" s="7157"/>
      <c r="WVW11" s="7157"/>
      <c r="WVX11" s="7157"/>
      <c r="WVY11" s="7157"/>
      <c r="WVZ11" s="7157"/>
      <c r="WWA11" s="7158"/>
      <c r="WWB11" s="7158"/>
      <c r="WWC11" s="7158"/>
      <c r="WWD11" s="7158"/>
      <c r="WWE11" s="7158"/>
      <c r="WWF11" s="7159"/>
      <c r="WWG11" s="7152"/>
      <c r="WWH11" s="7153"/>
      <c r="WWI11" s="7153"/>
      <c r="WWJ11" s="7153"/>
      <c r="WWK11" s="7157"/>
      <c r="WWL11" s="7157"/>
      <c r="WWM11" s="7157"/>
      <c r="WWN11" s="7157"/>
      <c r="WWO11" s="7157"/>
      <c r="WWP11" s="7157"/>
      <c r="WWQ11" s="7158"/>
      <c r="WWR11" s="7158"/>
      <c r="WWS11" s="7158"/>
      <c r="WWT11" s="7158"/>
      <c r="WWU11" s="7158"/>
      <c r="WWV11" s="7159"/>
      <c r="WWW11" s="7152"/>
      <c r="WWX11" s="7153"/>
      <c r="WWY11" s="7153"/>
      <c r="WWZ11" s="7153"/>
      <c r="WXA11" s="7157"/>
      <c r="WXB11" s="7157"/>
      <c r="WXC11" s="7157"/>
      <c r="WXD11" s="7157"/>
      <c r="WXE11" s="7157"/>
      <c r="WXF11" s="7157"/>
      <c r="WXG11" s="7158"/>
      <c r="WXH11" s="7158"/>
      <c r="WXI11" s="7158"/>
      <c r="WXJ11" s="7158"/>
      <c r="WXK11" s="7158"/>
      <c r="WXL11" s="7159"/>
      <c r="WXM11" s="7152"/>
      <c r="WXN11" s="7153"/>
      <c r="WXO11" s="7153"/>
      <c r="WXP11" s="7153"/>
      <c r="WXQ11" s="7157"/>
      <c r="WXR11" s="7157"/>
      <c r="WXS11" s="7157"/>
      <c r="WXT11" s="7157"/>
      <c r="WXU11" s="7157"/>
      <c r="WXV11" s="7157"/>
      <c r="WXW11" s="7158"/>
      <c r="WXX11" s="7158"/>
      <c r="WXY11" s="7158"/>
      <c r="WXZ11" s="7158"/>
      <c r="WYA11" s="7158"/>
      <c r="WYB11" s="7159"/>
      <c r="WYC11" s="7152"/>
      <c r="WYD11" s="7153"/>
      <c r="WYE11" s="7153"/>
      <c r="WYF11" s="7153"/>
      <c r="WYG11" s="7157"/>
      <c r="WYH11" s="7157"/>
      <c r="WYI11" s="7157"/>
      <c r="WYJ11" s="7157"/>
      <c r="WYK11" s="7157"/>
      <c r="WYL11" s="7157"/>
      <c r="WYM11" s="7158"/>
      <c r="WYN11" s="7158"/>
      <c r="WYO11" s="7158"/>
      <c r="WYP11" s="7158"/>
      <c r="WYQ11" s="7158"/>
      <c r="WYR11" s="7159"/>
      <c r="WYS11" s="7152"/>
      <c r="WYT11" s="7153"/>
      <c r="WYU11" s="7153"/>
      <c r="WYV11" s="7153"/>
      <c r="WYW11" s="7157"/>
      <c r="WYX11" s="7157"/>
      <c r="WYY11" s="7157"/>
      <c r="WYZ11" s="7157"/>
      <c r="WZA11" s="7157"/>
      <c r="WZB11" s="7157"/>
      <c r="WZC11" s="7158"/>
      <c r="WZD11" s="7158"/>
      <c r="WZE11" s="7158"/>
      <c r="WZF11" s="7158"/>
      <c r="WZG11" s="7158"/>
      <c r="WZH11" s="7159"/>
      <c r="WZI11" s="7152"/>
      <c r="WZJ11" s="7153"/>
      <c r="WZK11" s="7153"/>
      <c r="WZL11" s="7153"/>
      <c r="WZM11" s="7157"/>
      <c r="WZN11" s="7157"/>
      <c r="WZO11" s="7157"/>
      <c r="WZP11" s="7157"/>
      <c r="WZQ11" s="7157"/>
      <c r="WZR11" s="7157"/>
      <c r="WZS11" s="7158"/>
      <c r="WZT11" s="7158"/>
      <c r="WZU11" s="7158"/>
      <c r="WZV11" s="7158"/>
      <c r="WZW11" s="7158"/>
      <c r="WZX11" s="7159"/>
      <c r="WZY11" s="7152"/>
      <c r="WZZ11" s="7153"/>
      <c r="XAA11" s="7153"/>
      <c r="XAB11" s="7153"/>
      <c r="XAC11" s="7157"/>
      <c r="XAD11" s="7157"/>
      <c r="XAE11" s="7157"/>
      <c r="XAF11" s="7157"/>
      <c r="XAG11" s="7157"/>
      <c r="XAH11" s="7157"/>
      <c r="XAI11" s="7158"/>
      <c r="XAJ11" s="7158"/>
      <c r="XAK11" s="7158"/>
      <c r="XAL11" s="7158"/>
      <c r="XAM11" s="7158"/>
      <c r="XAN11" s="7159"/>
      <c r="XAO11" s="7152"/>
      <c r="XAP11" s="7153"/>
      <c r="XAQ11" s="7153"/>
      <c r="XAR11" s="7153"/>
      <c r="XAS11" s="7157"/>
      <c r="XAT11" s="7157"/>
      <c r="XAU11" s="7157"/>
      <c r="XAV11" s="7157"/>
      <c r="XAW11" s="7157"/>
      <c r="XAX11" s="7157"/>
      <c r="XAY11" s="7158"/>
      <c r="XAZ11" s="7158"/>
      <c r="XBA11" s="7158"/>
      <c r="XBB11" s="7158"/>
      <c r="XBC11" s="7158"/>
      <c r="XBD11" s="7159"/>
      <c r="XBE11" s="7152"/>
      <c r="XBF11" s="7153"/>
      <c r="XBG11" s="7153"/>
      <c r="XBH11" s="7153"/>
      <c r="XBI11" s="7157"/>
      <c r="XBJ11" s="7157"/>
      <c r="XBK11" s="7157"/>
      <c r="XBL11" s="7157"/>
      <c r="XBM11" s="7157"/>
      <c r="XBN11" s="7157"/>
      <c r="XBO11" s="7158"/>
      <c r="XBP11" s="7158"/>
      <c r="XBQ11" s="7158"/>
      <c r="XBR11" s="7158"/>
      <c r="XBS11" s="7158"/>
      <c r="XBT11" s="7159"/>
    </row>
    <row r="12" spans="1:16296" ht="4.5" customHeight="1" x14ac:dyDescent="0.35">
      <c r="A12" s="1381"/>
      <c r="B12" s="1382"/>
      <c r="C12" s="1382"/>
      <c r="D12" s="1383"/>
      <c r="E12" s="1341"/>
      <c r="F12" s="1342"/>
      <c r="G12" s="7170"/>
      <c r="H12" s="7171"/>
      <c r="I12" s="1336"/>
      <c r="J12" s="1336"/>
      <c r="K12" s="1346"/>
      <c r="L12" s="1347"/>
      <c r="M12" s="1347"/>
      <c r="N12" s="1347"/>
      <c r="O12" s="1347"/>
      <c r="P12" s="1348"/>
      <c r="Q12" s="1349"/>
      <c r="R12" s="1350"/>
      <c r="S12" s="1344"/>
      <c r="T12" s="1344"/>
      <c r="U12" s="1344"/>
      <c r="V12" s="1344"/>
      <c r="W12" s="1344"/>
      <c r="X12" s="1344"/>
      <c r="Y12" s="1351"/>
      <c r="Z12" s="1352"/>
      <c r="AA12" s="1352"/>
      <c r="AB12" s="1352"/>
      <c r="AC12" s="1353"/>
      <c r="AD12" s="1353"/>
      <c r="AE12" s="1343"/>
      <c r="AF12" s="1343"/>
      <c r="AG12" s="1343"/>
      <c r="AH12" s="1343"/>
      <c r="AI12" s="1344"/>
      <c r="AJ12" s="1344"/>
      <c r="AK12" s="1344"/>
      <c r="AL12" s="1344"/>
      <c r="AM12" s="1344"/>
      <c r="AN12" s="1344"/>
      <c r="AO12" s="1345"/>
      <c r="AP12" s="1340"/>
      <c r="AQ12" s="1340"/>
      <c r="AR12" s="1340"/>
      <c r="AS12" s="1341"/>
      <c r="AT12" s="1342"/>
      <c r="AU12" s="1336"/>
      <c r="AV12" s="1336"/>
      <c r="AW12" s="1336"/>
      <c r="AX12" s="1336"/>
      <c r="AY12" s="1337"/>
      <c r="AZ12" s="1337"/>
      <c r="BA12" s="1337"/>
      <c r="BB12" s="1337"/>
      <c r="BC12" s="1337"/>
      <c r="BD12" s="1338"/>
      <c r="BE12" s="1339"/>
      <c r="BF12" s="1340"/>
      <c r="BG12" s="1340"/>
      <c r="BH12" s="1340"/>
      <c r="BI12" s="1341"/>
      <c r="BJ12" s="1342"/>
      <c r="BK12" s="1336"/>
      <c r="BL12" s="1336"/>
      <c r="BM12" s="1336"/>
      <c r="BN12" s="1336"/>
      <c r="BO12" s="1337"/>
      <c r="BP12" s="1337"/>
      <c r="BQ12" s="1337"/>
      <c r="BR12" s="1337"/>
      <c r="BS12" s="1337"/>
      <c r="BT12" s="1338"/>
      <c r="BU12" s="1339"/>
      <c r="BV12" s="1340"/>
      <c r="BW12" s="1340"/>
      <c r="BX12" s="1340"/>
      <c r="BY12" s="1341"/>
      <c r="BZ12" s="1342"/>
      <c r="CA12" s="1336"/>
      <c r="CB12" s="1336"/>
      <c r="CC12" s="1336"/>
      <c r="CD12" s="1336"/>
      <c r="CE12" s="1337"/>
      <c r="CF12" s="1337"/>
      <c r="CG12" s="1337"/>
      <c r="CH12" s="1337"/>
      <c r="CI12" s="1337"/>
      <c r="CJ12" s="1338"/>
      <c r="CK12" s="1339"/>
      <c r="CL12" s="1340"/>
      <c r="CM12" s="1340"/>
      <c r="CN12" s="1340"/>
      <c r="CO12" s="1341"/>
      <c r="CP12" s="1342"/>
      <c r="CQ12" s="1336"/>
      <c r="CR12" s="1336"/>
      <c r="CS12" s="1336"/>
      <c r="CT12" s="1336"/>
      <c r="CU12" s="1337"/>
      <c r="CV12" s="1337"/>
      <c r="CW12" s="1337"/>
      <c r="CX12" s="1337"/>
      <c r="CY12" s="1337"/>
      <c r="CZ12" s="1338"/>
      <c r="DA12" s="1339"/>
      <c r="DB12" s="1340"/>
      <c r="DC12" s="1340"/>
      <c r="DD12" s="1340"/>
      <c r="DE12" s="1341"/>
      <c r="DF12" s="1342"/>
      <c r="DG12" s="1336"/>
      <c r="DH12" s="1336"/>
      <c r="DI12" s="1336"/>
      <c r="DJ12" s="1336"/>
      <c r="DK12" s="1337"/>
      <c r="DL12" s="1337"/>
      <c r="DM12" s="1337"/>
      <c r="DN12" s="1337"/>
      <c r="DO12" s="1337"/>
      <c r="DP12" s="1338"/>
      <c r="DQ12" s="1339"/>
      <c r="DR12" s="1340"/>
      <c r="DS12" s="1340"/>
      <c r="DT12" s="1340"/>
      <c r="DU12" s="1341"/>
      <c r="DV12" s="1342"/>
      <c r="DW12" s="1336"/>
      <c r="DX12" s="1336"/>
      <c r="DY12" s="1336"/>
      <c r="DZ12" s="1336"/>
      <c r="EA12" s="1337"/>
      <c r="EB12" s="1337"/>
      <c r="EC12" s="1337"/>
      <c r="ED12" s="1337"/>
      <c r="EE12" s="1337"/>
      <c r="EF12" s="1338"/>
      <c r="EG12" s="1339"/>
      <c r="EH12" s="1340"/>
      <c r="EI12" s="1340"/>
      <c r="EJ12" s="1340"/>
      <c r="EK12" s="1341"/>
      <c r="EL12" s="1342"/>
      <c r="EM12" s="1336"/>
      <c r="EN12" s="1336"/>
      <c r="EO12" s="1336"/>
      <c r="EP12" s="1336"/>
      <c r="EQ12" s="1337"/>
      <c r="ER12" s="1337"/>
      <c r="ES12" s="1337"/>
      <c r="ET12" s="1337"/>
      <c r="EU12" s="1337"/>
      <c r="EV12" s="1338"/>
      <c r="EW12" s="1339"/>
      <c r="EX12" s="1340"/>
      <c r="EY12" s="1340"/>
      <c r="EZ12" s="1340"/>
      <c r="FA12" s="1341"/>
      <c r="FB12" s="1342"/>
      <c r="FC12" s="1336"/>
      <c r="FD12" s="1336"/>
      <c r="FE12" s="1336"/>
      <c r="FF12" s="1336"/>
      <c r="FG12" s="1337"/>
      <c r="FH12" s="1337"/>
      <c r="FI12" s="1337"/>
      <c r="FJ12" s="1337"/>
      <c r="FK12" s="1337"/>
      <c r="FL12" s="1338"/>
      <c r="FM12" s="1339"/>
      <c r="FN12" s="1340"/>
      <c r="FO12" s="1340"/>
      <c r="FP12" s="1340"/>
      <c r="FQ12" s="1341"/>
      <c r="FR12" s="1342"/>
      <c r="FS12" s="1336"/>
      <c r="FT12" s="1336"/>
      <c r="FU12" s="1336"/>
      <c r="FV12" s="1336"/>
      <c r="FW12" s="1337"/>
      <c r="FX12" s="1337"/>
      <c r="FY12" s="1337"/>
      <c r="FZ12" s="1337"/>
      <c r="GA12" s="1337"/>
      <c r="GB12" s="1338"/>
      <c r="GC12" s="1339"/>
      <c r="GD12" s="1340"/>
      <c r="GE12" s="1340"/>
      <c r="GF12" s="1340"/>
      <c r="GG12" s="1341"/>
      <c r="GH12" s="1342"/>
      <c r="GI12" s="1336"/>
      <c r="GJ12" s="1336"/>
      <c r="GK12" s="1336"/>
      <c r="GL12" s="1336"/>
      <c r="GM12" s="1337"/>
      <c r="GN12" s="1337"/>
      <c r="GO12" s="1337"/>
      <c r="GP12" s="1337"/>
      <c r="GQ12" s="1337"/>
      <c r="GR12" s="1338"/>
      <c r="GS12" s="1339"/>
      <c r="GT12" s="1340"/>
      <c r="GU12" s="1340"/>
      <c r="GV12" s="1340"/>
      <c r="GW12" s="1341"/>
      <c r="GX12" s="1342"/>
      <c r="GY12" s="1336"/>
      <c r="GZ12" s="1336"/>
      <c r="HA12" s="1336"/>
      <c r="HB12" s="1336"/>
      <c r="HC12" s="1337"/>
      <c r="HD12" s="1337"/>
      <c r="HE12" s="1337"/>
      <c r="HF12" s="1337"/>
      <c r="HG12" s="1337"/>
      <c r="HH12" s="1338"/>
      <c r="HI12" s="1339"/>
      <c r="HJ12" s="1340"/>
      <c r="HK12" s="1340"/>
      <c r="HL12" s="1340"/>
      <c r="HM12" s="1341"/>
      <c r="HN12" s="1342"/>
      <c r="HO12" s="1336"/>
      <c r="HP12" s="1336"/>
      <c r="HQ12" s="1336"/>
      <c r="HR12" s="1336"/>
      <c r="HS12" s="1337"/>
      <c r="HT12" s="1337"/>
      <c r="HU12" s="1337"/>
      <c r="HV12" s="1337"/>
      <c r="HW12" s="1337"/>
      <c r="HX12" s="1338"/>
      <c r="HY12" s="1339"/>
      <c r="HZ12" s="1340"/>
      <c r="IA12" s="1340"/>
      <c r="IB12" s="1340"/>
      <c r="IC12" s="1341"/>
      <c r="ID12" s="1342"/>
      <c r="IE12" s="1336"/>
      <c r="IF12" s="1336"/>
      <c r="IG12" s="1336"/>
      <c r="IH12" s="1336"/>
      <c r="II12" s="1337"/>
      <c r="IJ12" s="1337"/>
      <c r="IK12" s="1337"/>
      <c r="IL12" s="1337"/>
      <c r="IM12" s="1337"/>
      <c r="IN12" s="1338"/>
      <c r="IO12" s="1339"/>
      <c r="IP12" s="1340"/>
      <c r="IQ12" s="1340"/>
      <c r="IR12" s="1340"/>
      <c r="IS12" s="1341"/>
      <c r="IT12" s="1342"/>
      <c r="IU12" s="1336"/>
      <c r="IV12" s="1336"/>
      <c r="IW12" s="1336"/>
      <c r="IX12" s="1336"/>
      <c r="IY12" s="1337"/>
      <c r="IZ12" s="1337"/>
      <c r="JA12" s="1337"/>
      <c r="JB12" s="1337"/>
      <c r="JC12" s="1337"/>
      <c r="JD12" s="1338"/>
      <c r="JE12" s="1339"/>
      <c r="JF12" s="1340"/>
      <c r="JG12" s="1340"/>
      <c r="JH12" s="1340"/>
      <c r="JI12" s="1341"/>
      <c r="JJ12" s="1342"/>
      <c r="JK12" s="1336"/>
      <c r="JL12" s="1336"/>
      <c r="JM12" s="1336"/>
      <c r="JN12" s="1336"/>
      <c r="JO12" s="1337"/>
      <c r="JP12" s="1337"/>
      <c r="JQ12" s="1337"/>
      <c r="JR12" s="1337"/>
      <c r="JS12" s="1337"/>
      <c r="JT12" s="1338"/>
      <c r="JU12" s="1339"/>
      <c r="JV12" s="1340"/>
      <c r="JW12" s="1340"/>
      <c r="JX12" s="1340"/>
      <c r="JY12" s="1341"/>
      <c r="JZ12" s="1342"/>
      <c r="KA12" s="1336"/>
      <c r="KB12" s="1336"/>
      <c r="KC12" s="1336"/>
      <c r="KD12" s="1336"/>
      <c r="KE12" s="1337"/>
      <c r="KF12" s="1337"/>
      <c r="KG12" s="1337"/>
      <c r="KH12" s="1337"/>
      <c r="KI12" s="1337"/>
      <c r="KJ12" s="1338"/>
      <c r="KK12" s="1339"/>
      <c r="KL12" s="1340"/>
      <c r="KM12" s="1340"/>
      <c r="KN12" s="1340"/>
      <c r="KO12" s="1341"/>
      <c r="KP12" s="1342"/>
      <c r="KQ12" s="1336"/>
      <c r="KR12" s="1336"/>
      <c r="KS12" s="1336"/>
      <c r="KT12" s="1336"/>
      <c r="KU12" s="1337"/>
      <c r="KV12" s="1337"/>
      <c r="KW12" s="1337"/>
      <c r="KX12" s="1337"/>
      <c r="KY12" s="1337"/>
      <c r="KZ12" s="1338"/>
      <c r="LA12" s="1339"/>
      <c r="LB12" s="1340"/>
      <c r="LC12" s="1340"/>
      <c r="LD12" s="1340"/>
      <c r="LE12" s="1341"/>
      <c r="LF12" s="1342"/>
      <c r="LG12" s="1336"/>
      <c r="LH12" s="1336"/>
      <c r="LI12" s="1336"/>
      <c r="LJ12" s="1336"/>
      <c r="LK12" s="1337"/>
      <c r="LL12" s="1337"/>
      <c r="LM12" s="1337"/>
      <c r="LN12" s="1337"/>
      <c r="LO12" s="1337"/>
      <c r="LP12" s="1338"/>
      <c r="LQ12" s="1339"/>
      <c r="LR12" s="1340"/>
      <c r="LS12" s="1340"/>
      <c r="LT12" s="1340"/>
      <c r="LU12" s="1341"/>
      <c r="LV12" s="1342"/>
      <c r="LW12" s="1336"/>
      <c r="LX12" s="1336"/>
      <c r="LY12" s="1336"/>
      <c r="LZ12" s="1336"/>
      <c r="MA12" s="1337"/>
      <c r="MB12" s="1337"/>
      <c r="MC12" s="1337"/>
      <c r="MD12" s="1337"/>
      <c r="ME12" s="1337"/>
      <c r="MF12" s="1338"/>
      <c r="MG12" s="1339"/>
      <c r="MH12" s="1340"/>
      <c r="MI12" s="1340"/>
      <c r="MJ12" s="1340"/>
      <c r="MK12" s="1341"/>
      <c r="ML12" s="1342"/>
      <c r="MM12" s="1336"/>
      <c r="MN12" s="1336"/>
      <c r="MO12" s="1336"/>
      <c r="MP12" s="1336"/>
      <c r="MQ12" s="1337"/>
      <c r="MR12" s="1337"/>
      <c r="MS12" s="1337"/>
      <c r="MT12" s="1337"/>
      <c r="MU12" s="1337"/>
      <c r="MV12" s="1338"/>
      <c r="MW12" s="1339"/>
      <c r="MX12" s="1340"/>
      <c r="MY12" s="1340"/>
      <c r="MZ12" s="1340"/>
      <c r="NA12" s="1341"/>
      <c r="NB12" s="1342"/>
      <c r="NC12" s="1336"/>
      <c r="ND12" s="1336"/>
      <c r="NE12" s="1336"/>
      <c r="NF12" s="1336"/>
      <c r="NG12" s="1337"/>
      <c r="NH12" s="1337"/>
      <c r="NI12" s="1337"/>
      <c r="NJ12" s="1337"/>
      <c r="NK12" s="1337"/>
      <c r="NL12" s="1338"/>
      <c r="NM12" s="1339"/>
      <c r="NN12" s="1340"/>
      <c r="NO12" s="1340"/>
      <c r="NP12" s="1340"/>
      <c r="NQ12" s="1341"/>
      <c r="NR12" s="1342"/>
      <c r="NS12" s="1336"/>
      <c r="NT12" s="1336"/>
      <c r="NU12" s="1336"/>
      <c r="NV12" s="1336"/>
      <c r="NW12" s="1337"/>
      <c r="NX12" s="1337"/>
      <c r="NY12" s="1337"/>
      <c r="NZ12" s="1337"/>
      <c r="OA12" s="1337"/>
      <c r="OB12" s="1338"/>
      <c r="OC12" s="1339"/>
      <c r="OD12" s="1340"/>
      <c r="OE12" s="1340"/>
      <c r="OF12" s="1340"/>
      <c r="OG12" s="1341"/>
      <c r="OH12" s="1342"/>
      <c r="OI12" s="1336"/>
      <c r="OJ12" s="1336"/>
      <c r="OK12" s="1336"/>
      <c r="OL12" s="1336"/>
      <c r="OM12" s="1337"/>
      <c r="ON12" s="1337"/>
      <c r="OO12" s="1337"/>
      <c r="OP12" s="1337"/>
      <c r="OQ12" s="1337"/>
      <c r="OR12" s="1338"/>
      <c r="OS12" s="1339"/>
      <c r="OT12" s="1340"/>
      <c r="OU12" s="1340"/>
      <c r="OV12" s="1340"/>
      <c r="OW12" s="1341"/>
      <c r="OX12" s="1342"/>
      <c r="OY12" s="1336"/>
      <c r="OZ12" s="1336"/>
      <c r="PA12" s="1336"/>
      <c r="PB12" s="1336"/>
      <c r="PC12" s="1337"/>
      <c r="PD12" s="1337"/>
      <c r="PE12" s="1337"/>
      <c r="PF12" s="1337"/>
      <c r="PG12" s="1337"/>
      <c r="PH12" s="1338"/>
      <c r="PI12" s="1339"/>
      <c r="PJ12" s="1340"/>
      <c r="PK12" s="1340"/>
      <c r="PL12" s="1340"/>
      <c r="PM12" s="1341"/>
      <c r="PN12" s="1342"/>
      <c r="PO12" s="1336"/>
      <c r="PP12" s="1336"/>
      <c r="PQ12" s="1336"/>
      <c r="PR12" s="1336"/>
      <c r="PS12" s="1337"/>
      <c r="PT12" s="1337"/>
      <c r="PU12" s="1337"/>
      <c r="PV12" s="1337"/>
      <c r="PW12" s="1337"/>
      <c r="PX12" s="1338"/>
      <c r="PY12" s="1339"/>
      <c r="PZ12" s="1340"/>
      <c r="QA12" s="1340"/>
      <c r="QB12" s="1340"/>
      <c r="QC12" s="1341"/>
      <c r="QD12" s="1342"/>
      <c r="QE12" s="1336"/>
      <c r="QF12" s="1336"/>
      <c r="QG12" s="1336"/>
      <c r="QH12" s="1336"/>
      <c r="QI12" s="1337"/>
      <c r="QJ12" s="1337"/>
      <c r="QK12" s="1337"/>
      <c r="QL12" s="1337"/>
      <c r="QM12" s="1337"/>
      <c r="QN12" s="1338"/>
      <c r="QO12" s="1339"/>
      <c r="QP12" s="1340"/>
      <c r="QQ12" s="1340"/>
      <c r="QR12" s="1340"/>
      <c r="QS12" s="1341"/>
      <c r="QT12" s="1342"/>
      <c r="QU12" s="1336"/>
      <c r="QV12" s="1336"/>
      <c r="QW12" s="1336"/>
      <c r="QX12" s="1336"/>
      <c r="QY12" s="1337"/>
      <c r="QZ12" s="1337"/>
      <c r="RA12" s="1337"/>
      <c r="RB12" s="1337"/>
      <c r="RC12" s="1337"/>
      <c r="RD12" s="1338"/>
      <c r="RE12" s="1339"/>
      <c r="RF12" s="1340"/>
      <c r="RG12" s="1340"/>
      <c r="RH12" s="1340"/>
      <c r="RI12" s="1341"/>
      <c r="RJ12" s="1342"/>
      <c r="RK12" s="1336"/>
      <c r="RL12" s="1336"/>
      <c r="RM12" s="1336"/>
      <c r="RN12" s="1336"/>
      <c r="RO12" s="1337"/>
      <c r="RP12" s="1337"/>
      <c r="RQ12" s="1337"/>
      <c r="RR12" s="1337"/>
      <c r="RS12" s="1337"/>
      <c r="RT12" s="1338"/>
      <c r="RU12" s="1339"/>
      <c r="RV12" s="1340"/>
      <c r="RW12" s="1340"/>
      <c r="RX12" s="1340"/>
      <c r="RY12" s="1341"/>
      <c r="RZ12" s="1342"/>
      <c r="SA12" s="1336"/>
      <c r="SB12" s="1336"/>
      <c r="SC12" s="1336"/>
      <c r="SD12" s="1336"/>
      <c r="SE12" s="1337"/>
      <c r="SF12" s="1337"/>
      <c r="SG12" s="1337"/>
      <c r="SH12" s="1337"/>
      <c r="SI12" s="1337"/>
      <c r="SJ12" s="1338"/>
      <c r="SK12" s="1339"/>
      <c r="SL12" s="1340"/>
      <c r="SM12" s="1340"/>
      <c r="SN12" s="1340"/>
      <c r="SO12" s="1341"/>
      <c r="SP12" s="1342"/>
      <c r="SQ12" s="1336"/>
      <c r="SR12" s="1336"/>
      <c r="SS12" s="1336"/>
      <c r="ST12" s="1336"/>
      <c r="SU12" s="1337"/>
      <c r="SV12" s="1337"/>
      <c r="SW12" s="1337"/>
      <c r="SX12" s="1337"/>
      <c r="SY12" s="1337"/>
      <c r="SZ12" s="1338"/>
      <c r="TA12" s="1339"/>
      <c r="TB12" s="1340"/>
      <c r="TC12" s="1340"/>
      <c r="TD12" s="1340"/>
      <c r="TE12" s="1341"/>
      <c r="TF12" s="1342"/>
      <c r="TG12" s="1336"/>
      <c r="TH12" s="1336"/>
      <c r="TI12" s="1336"/>
      <c r="TJ12" s="1336"/>
      <c r="TK12" s="1337"/>
      <c r="TL12" s="1337"/>
      <c r="TM12" s="1337"/>
      <c r="TN12" s="1337"/>
      <c r="TO12" s="1337"/>
      <c r="TP12" s="1338"/>
      <c r="TQ12" s="1339"/>
      <c r="TR12" s="1340"/>
      <c r="TS12" s="1340"/>
      <c r="TT12" s="1340"/>
      <c r="TU12" s="1341"/>
      <c r="TV12" s="1342"/>
      <c r="TW12" s="1336"/>
      <c r="TX12" s="1336"/>
      <c r="TY12" s="1336"/>
      <c r="TZ12" s="1336"/>
      <c r="UA12" s="1337"/>
      <c r="UB12" s="1337"/>
      <c r="UC12" s="1337"/>
      <c r="UD12" s="1337"/>
      <c r="UE12" s="1337"/>
      <c r="UF12" s="1338"/>
      <c r="UG12" s="1339"/>
      <c r="UH12" s="1340"/>
      <c r="UI12" s="1340"/>
      <c r="UJ12" s="1340"/>
      <c r="UK12" s="1341"/>
      <c r="UL12" s="1342"/>
      <c r="UM12" s="1336"/>
      <c r="UN12" s="1336"/>
      <c r="UO12" s="1336"/>
      <c r="UP12" s="1336"/>
      <c r="UQ12" s="1337"/>
      <c r="UR12" s="1337"/>
      <c r="US12" s="1337"/>
      <c r="UT12" s="1337"/>
      <c r="UU12" s="1337"/>
      <c r="UV12" s="1338"/>
      <c r="UW12" s="1339"/>
      <c r="UX12" s="1340"/>
      <c r="UY12" s="1340"/>
      <c r="UZ12" s="1340"/>
      <c r="VA12" s="1341"/>
      <c r="VB12" s="1342"/>
      <c r="VC12" s="1336"/>
      <c r="VD12" s="1336"/>
      <c r="VE12" s="1336"/>
      <c r="VF12" s="1336"/>
      <c r="VG12" s="1337"/>
      <c r="VH12" s="1337"/>
      <c r="VI12" s="1337"/>
      <c r="VJ12" s="1337"/>
      <c r="VK12" s="1337"/>
      <c r="VL12" s="1338"/>
      <c r="VM12" s="1339"/>
      <c r="VN12" s="1340"/>
      <c r="VO12" s="1340"/>
      <c r="VP12" s="1340"/>
      <c r="VQ12" s="1341"/>
      <c r="VR12" s="1342"/>
      <c r="VS12" s="1336"/>
      <c r="VT12" s="1336"/>
      <c r="VU12" s="1336"/>
      <c r="VV12" s="1336"/>
      <c r="VW12" s="1337"/>
      <c r="VX12" s="1337"/>
      <c r="VY12" s="1337"/>
      <c r="VZ12" s="1337"/>
      <c r="WA12" s="1337"/>
      <c r="WB12" s="1338"/>
      <c r="WC12" s="1339"/>
      <c r="WD12" s="1340"/>
      <c r="WE12" s="1340"/>
      <c r="WF12" s="1340"/>
      <c r="WG12" s="1341"/>
      <c r="WH12" s="1342"/>
      <c r="WI12" s="1336"/>
      <c r="WJ12" s="1336"/>
      <c r="WK12" s="1336"/>
      <c r="WL12" s="1336"/>
      <c r="WM12" s="1337"/>
      <c r="WN12" s="1337"/>
      <c r="WO12" s="1337"/>
      <c r="WP12" s="1337"/>
      <c r="WQ12" s="1337"/>
      <c r="WR12" s="1338"/>
      <c r="WS12" s="1339"/>
      <c r="WT12" s="1340"/>
      <c r="WU12" s="1340"/>
      <c r="WV12" s="1340"/>
      <c r="WW12" s="1341"/>
      <c r="WX12" s="1342"/>
      <c r="WY12" s="1336"/>
      <c r="WZ12" s="1336"/>
      <c r="XA12" s="1336"/>
      <c r="XB12" s="1336"/>
      <c r="XC12" s="1337"/>
      <c r="XD12" s="1337"/>
      <c r="XE12" s="1337"/>
      <c r="XF12" s="1337"/>
      <c r="XG12" s="1337"/>
      <c r="XH12" s="1338"/>
      <c r="XI12" s="1339"/>
      <c r="XJ12" s="1340"/>
      <c r="XK12" s="1340"/>
      <c r="XL12" s="1340"/>
      <c r="XM12" s="1341"/>
      <c r="XN12" s="1342"/>
      <c r="XO12" s="1336"/>
      <c r="XP12" s="1336"/>
      <c r="XQ12" s="1336"/>
      <c r="XR12" s="1336"/>
      <c r="XS12" s="1337"/>
      <c r="XT12" s="1337"/>
      <c r="XU12" s="1337"/>
      <c r="XV12" s="1337"/>
      <c r="XW12" s="1337"/>
      <c r="XX12" s="1338"/>
      <c r="XY12" s="1339"/>
      <c r="XZ12" s="1340"/>
      <c r="YA12" s="1340"/>
      <c r="YB12" s="1340"/>
      <c r="YC12" s="1341"/>
      <c r="YD12" s="1342"/>
      <c r="YE12" s="1336"/>
      <c r="YF12" s="1336"/>
      <c r="YG12" s="1336"/>
      <c r="YH12" s="1336"/>
      <c r="YI12" s="1337"/>
      <c r="YJ12" s="1337"/>
      <c r="YK12" s="1337"/>
      <c r="YL12" s="1337"/>
      <c r="YM12" s="1337"/>
      <c r="YN12" s="1338"/>
      <c r="YO12" s="1339"/>
      <c r="YP12" s="1340"/>
      <c r="YQ12" s="1340"/>
      <c r="YR12" s="1340"/>
      <c r="YS12" s="1341"/>
      <c r="YT12" s="1342"/>
      <c r="YU12" s="1336"/>
      <c r="YV12" s="1336"/>
      <c r="YW12" s="1336"/>
      <c r="YX12" s="1336"/>
      <c r="YY12" s="1337"/>
      <c r="YZ12" s="1337"/>
      <c r="ZA12" s="1337"/>
      <c r="ZB12" s="1337"/>
      <c r="ZC12" s="1337"/>
      <c r="ZD12" s="1338"/>
      <c r="ZE12" s="1339"/>
      <c r="ZF12" s="1340"/>
      <c r="ZG12" s="1340"/>
      <c r="ZH12" s="1340"/>
      <c r="ZI12" s="1341"/>
      <c r="ZJ12" s="1342"/>
      <c r="ZK12" s="1336"/>
      <c r="ZL12" s="1336"/>
      <c r="ZM12" s="1336"/>
      <c r="ZN12" s="1336"/>
      <c r="ZO12" s="1337"/>
      <c r="ZP12" s="1337"/>
      <c r="ZQ12" s="1337"/>
      <c r="ZR12" s="1337"/>
      <c r="ZS12" s="1337"/>
      <c r="ZT12" s="1338"/>
      <c r="ZU12" s="1339"/>
      <c r="ZV12" s="1340"/>
      <c r="ZW12" s="1340"/>
      <c r="ZX12" s="1340"/>
      <c r="ZY12" s="1341"/>
      <c r="ZZ12" s="1342"/>
      <c r="AAA12" s="1336"/>
      <c r="AAB12" s="1336"/>
      <c r="AAC12" s="1336"/>
      <c r="AAD12" s="1336"/>
      <c r="AAE12" s="1337"/>
      <c r="AAF12" s="1337"/>
      <c r="AAG12" s="1337"/>
      <c r="AAH12" s="1337"/>
      <c r="AAI12" s="1337"/>
      <c r="AAJ12" s="1338"/>
      <c r="AAK12" s="1339"/>
      <c r="AAL12" s="1340"/>
      <c r="AAM12" s="1340"/>
      <c r="AAN12" s="1340"/>
      <c r="AAO12" s="1341"/>
      <c r="AAP12" s="1342"/>
      <c r="AAQ12" s="1336"/>
      <c r="AAR12" s="1336"/>
      <c r="AAS12" s="1336"/>
      <c r="AAT12" s="1336"/>
      <c r="AAU12" s="1337"/>
      <c r="AAV12" s="1337"/>
      <c r="AAW12" s="1337"/>
      <c r="AAX12" s="1337"/>
      <c r="AAY12" s="1337"/>
      <c r="AAZ12" s="1338"/>
      <c r="ABA12" s="1339"/>
      <c r="ABB12" s="1340"/>
      <c r="ABC12" s="1340"/>
      <c r="ABD12" s="1340"/>
      <c r="ABE12" s="1341"/>
      <c r="ABF12" s="1342"/>
      <c r="ABG12" s="1336"/>
      <c r="ABH12" s="1336"/>
      <c r="ABI12" s="1336"/>
      <c r="ABJ12" s="1336"/>
      <c r="ABK12" s="1337"/>
      <c r="ABL12" s="1337"/>
      <c r="ABM12" s="1337"/>
      <c r="ABN12" s="1337"/>
      <c r="ABO12" s="1337"/>
      <c r="ABP12" s="1338"/>
      <c r="ABQ12" s="1339"/>
      <c r="ABR12" s="1340"/>
      <c r="ABS12" s="1340"/>
      <c r="ABT12" s="1340"/>
      <c r="ABU12" s="1341"/>
      <c r="ABV12" s="1342"/>
      <c r="ABW12" s="1336"/>
      <c r="ABX12" s="1336"/>
      <c r="ABY12" s="1336"/>
      <c r="ABZ12" s="1336"/>
      <c r="ACA12" s="1337"/>
      <c r="ACB12" s="1337"/>
      <c r="ACC12" s="1337"/>
      <c r="ACD12" s="1337"/>
      <c r="ACE12" s="1337"/>
      <c r="ACF12" s="1338"/>
      <c r="ACG12" s="1339"/>
      <c r="ACH12" s="1340"/>
      <c r="ACI12" s="1340"/>
      <c r="ACJ12" s="1340"/>
      <c r="ACK12" s="1341"/>
      <c r="ACL12" s="1342"/>
      <c r="ACM12" s="1336"/>
      <c r="ACN12" s="1336"/>
      <c r="ACO12" s="1336"/>
      <c r="ACP12" s="1336"/>
      <c r="ACQ12" s="1337"/>
      <c r="ACR12" s="1337"/>
      <c r="ACS12" s="1337"/>
      <c r="ACT12" s="1337"/>
      <c r="ACU12" s="1337"/>
      <c r="ACV12" s="1338"/>
      <c r="ACW12" s="1339"/>
      <c r="ACX12" s="1340"/>
      <c r="ACY12" s="1340"/>
      <c r="ACZ12" s="1340"/>
      <c r="ADA12" s="1341"/>
      <c r="ADB12" s="1342"/>
      <c r="ADC12" s="1336"/>
      <c r="ADD12" s="1336"/>
      <c r="ADE12" s="1336"/>
      <c r="ADF12" s="1336"/>
      <c r="ADG12" s="1337"/>
      <c r="ADH12" s="1337"/>
      <c r="ADI12" s="1337"/>
      <c r="ADJ12" s="1337"/>
      <c r="ADK12" s="1337"/>
      <c r="ADL12" s="1338"/>
      <c r="ADM12" s="1339"/>
      <c r="ADN12" s="1340"/>
      <c r="ADO12" s="1340"/>
      <c r="ADP12" s="1340"/>
      <c r="ADQ12" s="1341"/>
      <c r="ADR12" s="1342"/>
      <c r="ADS12" s="1336"/>
      <c r="ADT12" s="1336"/>
      <c r="ADU12" s="1336"/>
      <c r="ADV12" s="1336"/>
      <c r="ADW12" s="1337"/>
      <c r="ADX12" s="1337"/>
      <c r="ADY12" s="1337"/>
      <c r="ADZ12" s="1337"/>
      <c r="AEA12" s="1337"/>
      <c r="AEB12" s="1338"/>
      <c r="AEC12" s="1339"/>
      <c r="AED12" s="1340"/>
      <c r="AEE12" s="1340"/>
      <c r="AEF12" s="1340"/>
      <c r="AEG12" s="1341"/>
      <c r="AEH12" s="1342"/>
      <c r="AEI12" s="1336"/>
      <c r="AEJ12" s="1336"/>
      <c r="AEK12" s="1336"/>
      <c r="AEL12" s="1336"/>
      <c r="AEM12" s="1337"/>
      <c r="AEN12" s="1337"/>
      <c r="AEO12" s="1337"/>
      <c r="AEP12" s="1337"/>
      <c r="AEQ12" s="1337"/>
      <c r="AER12" s="1338"/>
      <c r="AES12" s="1339"/>
      <c r="AET12" s="1340"/>
      <c r="AEU12" s="1340"/>
      <c r="AEV12" s="1340"/>
      <c r="AEW12" s="1341"/>
      <c r="AEX12" s="1342"/>
      <c r="AEY12" s="1336"/>
      <c r="AEZ12" s="1336"/>
      <c r="AFA12" s="1336"/>
      <c r="AFB12" s="1336"/>
      <c r="AFC12" s="1337"/>
      <c r="AFD12" s="1337"/>
      <c r="AFE12" s="1337"/>
      <c r="AFF12" s="1337"/>
      <c r="AFG12" s="1337"/>
      <c r="AFH12" s="1338"/>
      <c r="AFI12" s="1339"/>
      <c r="AFJ12" s="1340"/>
      <c r="AFK12" s="1340"/>
      <c r="AFL12" s="1340"/>
      <c r="AFM12" s="1341"/>
      <c r="AFN12" s="1342"/>
      <c r="AFO12" s="1336"/>
      <c r="AFP12" s="1336"/>
      <c r="AFQ12" s="1336"/>
      <c r="AFR12" s="1336"/>
      <c r="AFS12" s="1337"/>
      <c r="AFT12" s="1337"/>
      <c r="AFU12" s="1337"/>
      <c r="AFV12" s="1337"/>
      <c r="AFW12" s="1337"/>
      <c r="AFX12" s="1338"/>
      <c r="AFY12" s="1339"/>
      <c r="AFZ12" s="1340"/>
      <c r="AGA12" s="1340"/>
      <c r="AGB12" s="1340"/>
      <c r="AGC12" s="1341"/>
      <c r="AGD12" s="1342"/>
      <c r="AGE12" s="1336"/>
      <c r="AGF12" s="1336"/>
      <c r="AGG12" s="1336"/>
      <c r="AGH12" s="1336"/>
      <c r="AGI12" s="1337"/>
      <c r="AGJ12" s="1337"/>
      <c r="AGK12" s="1337"/>
      <c r="AGL12" s="1337"/>
      <c r="AGM12" s="1337"/>
      <c r="AGN12" s="1338"/>
      <c r="AGO12" s="1339"/>
      <c r="AGP12" s="1340"/>
      <c r="AGQ12" s="1340"/>
      <c r="AGR12" s="1340"/>
      <c r="AGS12" s="1341"/>
      <c r="AGT12" s="1342"/>
      <c r="AGU12" s="1336"/>
      <c r="AGV12" s="1336"/>
      <c r="AGW12" s="1336"/>
      <c r="AGX12" s="1336"/>
      <c r="AGY12" s="1337"/>
      <c r="AGZ12" s="1337"/>
      <c r="AHA12" s="1337"/>
      <c r="AHB12" s="1337"/>
      <c r="AHC12" s="1337"/>
      <c r="AHD12" s="1338"/>
      <c r="AHE12" s="1339"/>
      <c r="AHF12" s="1340"/>
      <c r="AHG12" s="1340"/>
      <c r="AHH12" s="1340"/>
      <c r="AHI12" s="1341"/>
      <c r="AHJ12" s="1342"/>
      <c r="AHK12" s="1336"/>
      <c r="AHL12" s="1336"/>
      <c r="AHM12" s="1336"/>
      <c r="AHN12" s="1336"/>
      <c r="AHO12" s="1337"/>
      <c r="AHP12" s="1337"/>
      <c r="AHQ12" s="1337"/>
      <c r="AHR12" s="1337"/>
      <c r="AHS12" s="1337"/>
      <c r="AHT12" s="1338"/>
      <c r="AHU12" s="1339"/>
      <c r="AHV12" s="1340"/>
      <c r="AHW12" s="1340"/>
      <c r="AHX12" s="1340"/>
      <c r="AHY12" s="1341"/>
      <c r="AHZ12" s="1342"/>
      <c r="AIA12" s="1336"/>
      <c r="AIB12" s="1336"/>
      <c r="AIC12" s="1336"/>
      <c r="AID12" s="1336"/>
      <c r="AIE12" s="1337"/>
      <c r="AIF12" s="1337"/>
      <c r="AIG12" s="1337"/>
      <c r="AIH12" s="1337"/>
      <c r="AII12" s="1337"/>
      <c r="AIJ12" s="1338"/>
      <c r="AIK12" s="1339"/>
      <c r="AIL12" s="1340"/>
      <c r="AIM12" s="1340"/>
      <c r="AIN12" s="1340"/>
      <c r="AIO12" s="1341"/>
      <c r="AIP12" s="1342"/>
      <c r="AIQ12" s="1336"/>
      <c r="AIR12" s="1336"/>
      <c r="AIS12" s="1336"/>
      <c r="AIT12" s="1336"/>
      <c r="AIU12" s="1337"/>
      <c r="AIV12" s="1337"/>
      <c r="AIW12" s="1337"/>
      <c r="AIX12" s="1337"/>
      <c r="AIY12" s="1337"/>
      <c r="AIZ12" s="1338"/>
      <c r="AJA12" s="1339"/>
      <c r="AJB12" s="1340"/>
      <c r="AJC12" s="1340"/>
      <c r="AJD12" s="1340"/>
      <c r="AJE12" s="1341"/>
      <c r="AJF12" s="1342"/>
      <c r="AJG12" s="1336"/>
      <c r="AJH12" s="1336"/>
      <c r="AJI12" s="1336"/>
      <c r="AJJ12" s="1336"/>
      <c r="AJK12" s="1337"/>
      <c r="AJL12" s="1337"/>
      <c r="AJM12" s="1337"/>
      <c r="AJN12" s="1337"/>
      <c r="AJO12" s="1337"/>
      <c r="AJP12" s="1338"/>
      <c r="AJQ12" s="1339"/>
      <c r="AJR12" s="1340"/>
      <c r="AJS12" s="1340"/>
      <c r="AJT12" s="1340"/>
      <c r="AJU12" s="1341"/>
      <c r="AJV12" s="1342"/>
      <c r="AJW12" s="1336"/>
      <c r="AJX12" s="1336"/>
      <c r="AJY12" s="1336"/>
      <c r="AJZ12" s="1336"/>
      <c r="AKA12" s="1337"/>
      <c r="AKB12" s="1337"/>
      <c r="AKC12" s="1337"/>
      <c r="AKD12" s="1337"/>
      <c r="AKE12" s="1337"/>
      <c r="AKF12" s="1338"/>
      <c r="AKG12" s="1339"/>
      <c r="AKH12" s="1340"/>
      <c r="AKI12" s="1340"/>
      <c r="AKJ12" s="1340"/>
      <c r="AKK12" s="1341"/>
      <c r="AKL12" s="1342"/>
      <c r="AKM12" s="1336"/>
      <c r="AKN12" s="1336"/>
      <c r="AKO12" s="1336"/>
      <c r="AKP12" s="1336"/>
      <c r="AKQ12" s="1337"/>
      <c r="AKR12" s="1337"/>
      <c r="AKS12" s="1337"/>
      <c r="AKT12" s="1337"/>
      <c r="AKU12" s="1337"/>
      <c r="AKV12" s="1338"/>
      <c r="AKW12" s="1339"/>
      <c r="AKX12" s="1340"/>
      <c r="AKY12" s="1340"/>
      <c r="AKZ12" s="1340"/>
      <c r="ALA12" s="1341"/>
      <c r="ALB12" s="1342"/>
      <c r="ALC12" s="1336"/>
      <c r="ALD12" s="1336"/>
      <c r="ALE12" s="1336"/>
      <c r="ALF12" s="1336"/>
      <c r="ALG12" s="1337"/>
      <c r="ALH12" s="1337"/>
      <c r="ALI12" s="1337"/>
      <c r="ALJ12" s="1337"/>
      <c r="ALK12" s="1337"/>
      <c r="ALL12" s="1338"/>
      <c r="ALM12" s="1339"/>
      <c r="ALN12" s="1340"/>
      <c r="ALO12" s="1340"/>
      <c r="ALP12" s="1340"/>
      <c r="ALQ12" s="1341"/>
      <c r="ALR12" s="1342"/>
      <c r="ALS12" s="1336"/>
      <c r="ALT12" s="1336"/>
      <c r="ALU12" s="1336"/>
      <c r="ALV12" s="1336"/>
      <c r="ALW12" s="1337"/>
      <c r="ALX12" s="1337"/>
      <c r="ALY12" s="1337"/>
      <c r="ALZ12" s="1337"/>
      <c r="AMA12" s="1337"/>
      <c r="AMB12" s="1338"/>
      <c r="AMC12" s="1339"/>
      <c r="AMD12" s="1340"/>
      <c r="AME12" s="1340"/>
      <c r="AMF12" s="1340"/>
      <c r="AMG12" s="1341"/>
      <c r="AMH12" s="1342"/>
      <c r="AMI12" s="1336"/>
      <c r="AMJ12" s="1336"/>
      <c r="AMK12" s="1336"/>
      <c r="AML12" s="1336"/>
      <c r="AMM12" s="1337"/>
      <c r="AMN12" s="1337"/>
      <c r="AMO12" s="1337"/>
      <c r="AMP12" s="1337"/>
      <c r="AMQ12" s="1337"/>
      <c r="AMR12" s="1338"/>
      <c r="AMS12" s="1339"/>
      <c r="AMT12" s="1340"/>
      <c r="AMU12" s="1340"/>
      <c r="AMV12" s="1340"/>
      <c r="AMW12" s="1341"/>
      <c r="AMX12" s="1342"/>
      <c r="AMY12" s="1336"/>
      <c r="AMZ12" s="1336"/>
      <c r="ANA12" s="1336"/>
      <c r="ANB12" s="1336"/>
      <c r="ANC12" s="1337"/>
      <c r="AND12" s="1337"/>
      <c r="ANE12" s="1337"/>
      <c r="ANF12" s="1337"/>
      <c r="ANG12" s="1337"/>
      <c r="ANH12" s="1338"/>
      <c r="ANI12" s="1339"/>
      <c r="ANJ12" s="1340"/>
      <c r="ANK12" s="1340"/>
      <c r="ANL12" s="1340"/>
      <c r="ANM12" s="1341"/>
      <c r="ANN12" s="1342"/>
      <c r="ANO12" s="1336"/>
      <c r="ANP12" s="1336"/>
      <c r="ANQ12" s="1336"/>
      <c r="ANR12" s="1336"/>
      <c r="ANS12" s="1337"/>
      <c r="ANT12" s="1337"/>
      <c r="ANU12" s="1337"/>
      <c r="ANV12" s="1337"/>
      <c r="ANW12" s="1337"/>
      <c r="ANX12" s="1338"/>
      <c r="ANY12" s="1339"/>
      <c r="ANZ12" s="1340"/>
      <c r="AOA12" s="1340"/>
      <c r="AOB12" s="1340"/>
      <c r="AOC12" s="1341"/>
      <c r="AOD12" s="1342"/>
      <c r="AOE12" s="1336"/>
      <c r="AOF12" s="1336"/>
      <c r="AOG12" s="1336"/>
      <c r="AOH12" s="1336"/>
      <c r="AOI12" s="1337"/>
      <c r="AOJ12" s="1337"/>
      <c r="AOK12" s="1337"/>
      <c r="AOL12" s="1337"/>
      <c r="AOM12" s="1337"/>
      <c r="AON12" s="1338"/>
      <c r="AOO12" s="1339"/>
      <c r="AOP12" s="1340"/>
      <c r="AOQ12" s="1340"/>
      <c r="AOR12" s="1340"/>
      <c r="AOS12" s="1341"/>
      <c r="AOT12" s="1342"/>
      <c r="AOU12" s="1336"/>
      <c r="AOV12" s="1336"/>
      <c r="AOW12" s="1336"/>
      <c r="AOX12" s="1336"/>
      <c r="AOY12" s="1337"/>
      <c r="AOZ12" s="1337"/>
      <c r="APA12" s="1337"/>
      <c r="APB12" s="1337"/>
      <c r="APC12" s="1337"/>
      <c r="APD12" s="1338"/>
      <c r="APE12" s="1339"/>
      <c r="APF12" s="1340"/>
      <c r="APG12" s="1340"/>
      <c r="APH12" s="1340"/>
      <c r="API12" s="1341"/>
      <c r="APJ12" s="1342"/>
      <c r="APK12" s="1336"/>
      <c r="APL12" s="1336"/>
      <c r="APM12" s="1336"/>
      <c r="APN12" s="1336"/>
      <c r="APO12" s="1337"/>
      <c r="APP12" s="1337"/>
      <c r="APQ12" s="1337"/>
      <c r="APR12" s="1337"/>
      <c r="APS12" s="1337"/>
      <c r="APT12" s="1338"/>
      <c r="APU12" s="1339"/>
      <c r="APV12" s="1340"/>
      <c r="APW12" s="1340"/>
      <c r="APX12" s="1340"/>
      <c r="APY12" s="1341"/>
      <c r="APZ12" s="1342"/>
      <c r="AQA12" s="1336"/>
      <c r="AQB12" s="1336"/>
      <c r="AQC12" s="1336"/>
      <c r="AQD12" s="1336"/>
      <c r="AQE12" s="1337"/>
      <c r="AQF12" s="1337"/>
      <c r="AQG12" s="1337"/>
      <c r="AQH12" s="1337"/>
      <c r="AQI12" s="1337"/>
      <c r="AQJ12" s="1338"/>
      <c r="AQK12" s="1339"/>
      <c r="AQL12" s="1340"/>
      <c r="AQM12" s="1340"/>
      <c r="AQN12" s="1340"/>
      <c r="AQO12" s="1341"/>
      <c r="AQP12" s="1342"/>
      <c r="AQQ12" s="1336"/>
      <c r="AQR12" s="1336"/>
      <c r="AQS12" s="1336"/>
      <c r="AQT12" s="1336"/>
      <c r="AQU12" s="1337"/>
      <c r="AQV12" s="1337"/>
      <c r="AQW12" s="1337"/>
      <c r="AQX12" s="1337"/>
      <c r="AQY12" s="1337"/>
      <c r="AQZ12" s="1338"/>
      <c r="ARA12" s="1339"/>
      <c r="ARB12" s="1340"/>
      <c r="ARC12" s="1340"/>
      <c r="ARD12" s="1340"/>
      <c r="ARE12" s="1341"/>
      <c r="ARF12" s="1342"/>
      <c r="ARG12" s="1336"/>
      <c r="ARH12" s="1336"/>
      <c r="ARI12" s="1336"/>
      <c r="ARJ12" s="1336"/>
      <c r="ARK12" s="1337"/>
      <c r="ARL12" s="1337"/>
      <c r="ARM12" s="1337"/>
      <c r="ARN12" s="1337"/>
      <c r="ARO12" s="1337"/>
      <c r="ARP12" s="1338"/>
      <c r="ARQ12" s="1339"/>
      <c r="ARR12" s="1340"/>
      <c r="ARS12" s="1340"/>
      <c r="ART12" s="1340"/>
      <c r="ARU12" s="1341"/>
      <c r="ARV12" s="1342"/>
      <c r="ARW12" s="1336"/>
      <c r="ARX12" s="1336"/>
      <c r="ARY12" s="1336"/>
      <c r="ARZ12" s="1336"/>
      <c r="ASA12" s="1337"/>
      <c r="ASB12" s="1337"/>
      <c r="ASC12" s="1337"/>
      <c r="ASD12" s="1337"/>
      <c r="ASE12" s="1337"/>
      <c r="ASF12" s="1338"/>
      <c r="ASG12" s="1339"/>
      <c r="ASH12" s="1340"/>
      <c r="ASI12" s="1340"/>
      <c r="ASJ12" s="1340"/>
      <c r="ASK12" s="1341"/>
      <c r="ASL12" s="1342"/>
      <c r="ASM12" s="1336"/>
      <c r="ASN12" s="1336"/>
      <c r="ASO12" s="1336"/>
      <c r="ASP12" s="1336"/>
      <c r="ASQ12" s="1337"/>
      <c r="ASR12" s="1337"/>
      <c r="ASS12" s="1337"/>
      <c r="AST12" s="1337"/>
      <c r="ASU12" s="1337"/>
      <c r="ASV12" s="1338"/>
      <c r="ASW12" s="1339"/>
      <c r="ASX12" s="1340"/>
      <c r="ASY12" s="1340"/>
      <c r="ASZ12" s="1340"/>
      <c r="ATA12" s="1341"/>
      <c r="ATB12" s="1342"/>
      <c r="ATC12" s="1336"/>
      <c r="ATD12" s="1336"/>
      <c r="ATE12" s="1336"/>
      <c r="ATF12" s="1336"/>
      <c r="ATG12" s="1337"/>
      <c r="ATH12" s="1337"/>
      <c r="ATI12" s="1337"/>
      <c r="ATJ12" s="1337"/>
      <c r="ATK12" s="1337"/>
      <c r="ATL12" s="1338"/>
      <c r="ATM12" s="1339"/>
      <c r="ATN12" s="1340"/>
      <c r="ATO12" s="1340"/>
      <c r="ATP12" s="1340"/>
      <c r="ATQ12" s="1341"/>
      <c r="ATR12" s="1342"/>
      <c r="ATS12" s="1336"/>
      <c r="ATT12" s="1336"/>
      <c r="ATU12" s="1336"/>
      <c r="ATV12" s="1336"/>
      <c r="ATW12" s="1337"/>
      <c r="ATX12" s="1337"/>
      <c r="ATY12" s="1337"/>
      <c r="ATZ12" s="1337"/>
      <c r="AUA12" s="1337"/>
      <c r="AUB12" s="1338"/>
      <c r="AUC12" s="1339"/>
      <c r="AUD12" s="1340"/>
      <c r="AUE12" s="1340"/>
      <c r="AUF12" s="1340"/>
      <c r="AUG12" s="1341"/>
      <c r="AUH12" s="1342"/>
      <c r="AUI12" s="1336"/>
      <c r="AUJ12" s="1336"/>
      <c r="AUK12" s="1336"/>
      <c r="AUL12" s="1336"/>
      <c r="AUM12" s="1337"/>
      <c r="AUN12" s="1337"/>
      <c r="AUO12" s="1337"/>
      <c r="AUP12" s="1337"/>
      <c r="AUQ12" s="1337"/>
      <c r="AUR12" s="1338"/>
      <c r="AUS12" s="1339"/>
      <c r="AUT12" s="1340"/>
      <c r="AUU12" s="1340"/>
      <c r="AUV12" s="1340"/>
      <c r="AUW12" s="1341"/>
      <c r="AUX12" s="1342"/>
      <c r="AUY12" s="1336"/>
      <c r="AUZ12" s="1336"/>
      <c r="AVA12" s="1336"/>
      <c r="AVB12" s="1336"/>
      <c r="AVC12" s="1337"/>
      <c r="AVD12" s="1337"/>
      <c r="AVE12" s="1337"/>
      <c r="AVF12" s="1337"/>
      <c r="AVG12" s="1337"/>
      <c r="AVH12" s="1338"/>
      <c r="AVI12" s="1339"/>
      <c r="AVJ12" s="1340"/>
      <c r="AVK12" s="1340"/>
      <c r="AVL12" s="1340"/>
      <c r="AVM12" s="1341"/>
      <c r="AVN12" s="1342"/>
      <c r="AVO12" s="1336"/>
      <c r="AVP12" s="1336"/>
      <c r="AVQ12" s="1336"/>
      <c r="AVR12" s="1336"/>
      <c r="AVS12" s="1337"/>
      <c r="AVT12" s="1337"/>
      <c r="AVU12" s="1337"/>
      <c r="AVV12" s="1337"/>
      <c r="AVW12" s="1337"/>
      <c r="AVX12" s="1338"/>
      <c r="AVY12" s="1339"/>
      <c r="AVZ12" s="1340"/>
      <c r="AWA12" s="1340"/>
      <c r="AWB12" s="1340"/>
      <c r="AWC12" s="1341"/>
      <c r="AWD12" s="1342"/>
      <c r="AWE12" s="1336"/>
      <c r="AWF12" s="1336"/>
      <c r="AWG12" s="1336"/>
      <c r="AWH12" s="1336"/>
      <c r="AWI12" s="1337"/>
      <c r="AWJ12" s="1337"/>
      <c r="AWK12" s="1337"/>
      <c r="AWL12" s="1337"/>
      <c r="AWM12" s="1337"/>
      <c r="AWN12" s="1338"/>
      <c r="AWO12" s="1339"/>
      <c r="AWP12" s="1340"/>
      <c r="AWQ12" s="1340"/>
      <c r="AWR12" s="1340"/>
      <c r="AWS12" s="1341"/>
      <c r="AWT12" s="1342"/>
      <c r="AWU12" s="1336"/>
      <c r="AWV12" s="1336"/>
      <c r="AWW12" s="1336"/>
      <c r="AWX12" s="1336"/>
      <c r="AWY12" s="1337"/>
      <c r="AWZ12" s="1337"/>
      <c r="AXA12" s="1337"/>
      <c r="AXB12" s="1337"/>
      <c r="AXC12" s="1337"/>
      <c r="AXD12" s="1338"/>
      <c r="AXE12" s="1339"/>
      <c r="AXF12" s="1340"/>
      <c r="AXG12" s="1340"/>
      <c r="AXH12" s="1340"/>
      <c r="AXI12" s="1341"/>
      <c r="AXJ12" s="1342"/>
      <c r="AXK12" s="1336"/>
      <c r="AXL12" s="1336"/>
      <c r="AXM12" s="1336"/>
      <c r="AXN12" s="1336"/>
      <c r="AXO12" s="1337"/>
      <c r="AXP12" s="1337"/>
      <c r="AXQ12" s="1337"/>
      <c r="AXR12" s="1337"/>
      <c r="AXS12" s="1337"/>
      <c r="AXT12" s="1338"/>
      <c r="AXU12" s="1339"/>
      <c r="AXV12" s="1340"/>
      <c r="AXW12" s="1340"/>
      <c r="AXX12" s="1340"/>
      <c r="AXY12" s="1341"/>
      <c r="AXZ12" s="1342"/>
      <c r="AYA12" s="1336"/>
      <c r="AYB12" s="1336"/>
      <c r="AYC12" s="1336"/>
      <c r="AYD12" s="1336"/>
      <c r="AYE12" s="1337"/>
      <c r="AYF12" s="1337"/>
      <c r="AYG12" s="1337"/>
      <c r="AYH12" s="1337"/>
      <c r="AYI12" s="1337"/>
      <c r="AYJ12" s="1338"/>
      <c r="AYK12" s="1339"/>
      <c r="AYL12" s="1340"/>
      <c r="AYM12" s="1340"/>
      <c r="AYN12" s="1340"/>
      <c r="AYO12" s="1341"/>
      <c r="AYP12" s="1342"/>
      <c r="AYQ12" s="1336"/>
      <c r="AYR12" s="1336"/>
      <c r="AYS12" s="1336"/>
      <c r="AYT12" s="1336"/>
      <c r="AYU12" s="1337"/>
      <c r="AYV12" s="1337"/>
      <c r="AYW12" s="1337"/>
      <c r="AYX12" s="1337"/>
      <c r="AYY12" s="1337"/>
      <c r="AYZ12" s="1338"/>
      <c r="AZA12" s="1339"/>
      <c r="AZB12" s="1340"/>
      <c r="AZC12" s="1340"/>
      <c r="AZD12" s="1340"/>
      <c r="AZE12" s="1341"/>
      <c r="AZF12" s="1342"/>
      <c r="AZG12" s="1336"/>
      <c r="AZH12" s="1336"/>
      <c r="AZI12" s="1336"/>
      <c r="AZJ12" s="1336"/>
      <c r="AZK12" s="1337"/>
      <c r="AZL12" s="1337"/>
      <c r="AZM12" s="1337"/>
      <c r="AZN12" s="1337"/>
      <c r="AZO12" s="1337"/>
      <c r="AZP12" s="1338"/>
      <c r="AZQ12" s="1339"/>
      <c r="AZR12" s="1340"/>
      <c r="AZS12" s="1340"/>
      <c r="AZT12" s="1340"/>
      <c r="AZU12" s="1341"/>
      <c r="AZV12" s="1342"/>
      <c r="AZW12" s="1336"/>
      <c r="AZX12" s="1336"/>
      <c r="AZY12" s="1336"/>
      <c r="AZZ12" s="1336"/>
      <c r="BAA12" s="1337"/>
      <c r="BAB12" s="1337"/>
      <c r="BAC12" s="1337"/>
      <c r="BAD12" s="1337"/>
      <c r="BAE12" s="1337"/>
      <c r="BAF12" s="1338"/>
      <c r="BAG12" s="1339"/>
      <c r="BAH12" s="1340"/>
      <c r="BAI12" s="1340"/>
      <c r="BAJ12" s="1340"/>
      <c r="BAK12" s="1341"/>
      <c r="BAL12" s="1342"/>
      <c r="BAM12" s="1336"/>
      <c r="BAN12" s="1336"/>
      <c r="BAO12" s="1336"/>
      <c r="BAP12" s="1336"/>
      <c r="BAQ12" s="1337"/>
      <c r="BAR12" s="1337"/>
      <c r="BAS12" s="1337"/>
      <c r="BAT12" s="1337"/>
      <c r="BAU12" s="1337"/>
      <c r="BAV12" s="1338"/>
      <c r="BAW12" s="1339"/>
      <c r="BAX12" s="1340"/>
      <c r="BAY12" s="1340"/>
      <c r="BAZ12" s="1340"/>
      <c r="BBA12" s="1341"/>
      <c r="BBB12" s="1342"/>
      <c r="BBC12" s="1336"/>
      <c r="BBD12" s="1336"/>
      <c r="BBE12" s="1336"/>
      <c r="BBF12" s="1336"/>
      <c r="BBG12" s="1337"/>
      <c r="BBH12" s="1337"/>
      <c r="BBI12" s="1337"/>
      <c r="BBJ12" s="1337"/>
      <c r="BBK12" s="1337"/>
      <c r="BBL12" s="1338"/>
      <c r="BBM12" s="1339"/>
      <c r="BBN12" s="1340"/>
      <c r="BBO12" s="1340"/>
      <c r="BBP12" s="1340"/>
      <c r="BBQ12" s="1341"/>
      <c r="BBR12" s="1342"/>
      <c r="BBS12" s="1336"/>
      <c r="BBT12" s="1336"/>
      <c r="BBU12" s="1336"/>
      <c r="BBV12" s="1336"/>
      <c r="BBW12" s="1337"/>
      <c r="BBX12" s="1337"/>
      <c r="BBY12" s="1337"/>
      <c r="BBZ12" s="1337"/>
      <c r="BCA12" s="1337"/>
      <c r="BCB12" s="1338"/>
      <c r="BCC12" s="1339"/>
      <c r="BCD12" s="1340"/>
      <c r="BCE12" s="1340"/>
      <c r="BCF12" s="1340"/>
      <c r="BCG12" s="1341"/>
      <c r="BCH12" s="1342"/>
      <c r="BCI12" s="1336"/>
      <c r="BCJ12" s="1336"/>
      <c r="BCK12" s="1336"/>
      <c r="BCL12" s="1336"/>
      <c r="BCM12" s="1337"/>
      <c r="BCN12" s="1337"/>
      <c r="BCO12" s="1337"/>
      <c r="BCP12" s="1337"/>
      <c r="BCQ12" s="1337"/>
      <c r="BCR12" s="1338"/>
      <c r="BCS12" s="1339"/>
      <c r="BCT12" s="1340"/>
      <c r="BCU12" s="1340"/>
      <c r="BCV12" s="1340"/>
      <c r="BCW12" s="1341"/>
      <c r="BCX12" s="1342"/>
      <c r="BCY12" s="1336"/>
      <c r="BCZ12" s="1336"/>
      <c r="BDA12" s="1336"/>
      <c r="BDB12" s="1336"/>
      <c r="BDC12" s="1337"/>
      <c r="BDD12" s="1337"/>
      <c r="BDE12" s="1337"/>
      <c r="BDF12" s="1337"/>
      <c r="BDG12" s="1337"/>
      <c r="BDH12" s="1338"/>
      <c r="BDI12" s="1339"/>
      <c r="BDJ12" s="1340"/>
      <c r="BDK12" s="1340"/>
      <c r="BDL12" s="1340"/>
      <c r="BDM12" s="1341"/>
      <c r="BDN12" s="1342"/>
      <c r="BDO12" s="1336"/>
      <c r="BDP12" s="1336"/>
      <c r="BDQ12" s="1336"/>
      <c r="BDR12" s="1336"/>
      <c r="BDS12" s="1337"/>
      <c r="BDT12" s="1337"/>
      <c r="BDU12" s="1337"/>
      <c r="BDV12" s="1337"/>
      <c r="BDW12" s="1337"/>
      <c r="BDX12" s="1338"/>
      <c r="BDY12" s="1339"/>
      <c r="BDZ12" s="1340"/>
      <c r="BEA12" s="1340"/>
      <c r="BEB12" s="1340"/>
      <c r="BEC12" s="1341"/>
      <c r="BED12" s="1342"/>
      <c r="BEE12" s="1336"/>
      <c r="BEF12" s="1336"/>
      <c r="BEG12" s="1336"/>
      <c r="BEH12" s="1336"/>
      <c r="BEI12" s="1337"/>
      <c r="BEJ12" s="1337"/>
      <c r="BEK12" s="1337"/>
      <c r="BEL12" s="1337"/>
      <c r="BEM12" s="1337"/>
      <c r="BEN12" s="1338"/>
      <c r="BEO12" s="1339"/>
      <c r="BEP12" s="1340"/>
      <c r="BEQ12" s="1340"/>
      <c r="BER12" s="1340"/>
      <c r="BES12" s="1341"/>
      <c r="BET12" s="1342"/>
      <c r="BEU12" s="1336"/>
      <c r="BEV12" s="1336"/>
      <c r="BEW12" s="1336"/>
      <c r="BEX12" s="1336"/>
      <c r="BEY12" s="1337"/>
      <c r="BEZ12" s="1337"/>
      <c r="BFA12" s="1337"/>
      <c r="BFB12" s="1337"/>
      <c r="BFC12" s="1337"/>
      <c r="BFD12" s="1338"/>
      <c r="BFE12" s="1339"/>
      <c r="BFF12" s="1340"/>
      <c r="BFG12" s="1340"/>
      <c r="BFH12" s="1340"/>
      <c r="BFI12" s="1341"/>
      <c r="BFJ12" s="1342"/>
      <c r="BFK12" s="1336"/>
      <c r="BFL12" s="1336"/>
      <c r="BFM12" s="1336"/>
      <c r="BFN12" s="1336"/>
      <c r="BFO12" s="1337"/>
      <c r="BFP12" s="1337"/>
      <c r="BFQ12" s="1337"/>
      <c r="BFR12" s="1337"/>
      <c r="BFS12" s="1337"/>
      <c r="BFT12" s="1338"/>
      <c r="BFU12" s="1339"/>
      <c r="BFV12" s="1340"/>
      <c r="BFW12" s="1340"/>
      <c r="BFX12" s="1340"/>
      <c r="BFY12" s="1341"/>
      <c r="BFZ12" s="1342"/>
      <c r="BGA12" s="1336"/>
      <c r="BGB12" s="1336"/>
      <c r="BGC12" s="1336"/>
      <c r="BGD12" s="1336"/>
      <c r="BGE12" s="1337"/>
      <c r="BGF12" s="1337"/>
      <c r="BGG12" s="1337"/>
      <c r="BGH12" s="1337"/>
      <c r="BGI12" s="1337"/>
      <c r="BGJ12" s="1338"/>
      <c r="BGK12" s="1339"/>
      <c r="BGL12" s="1340"/>
      <c r="BGM12" s="1340"/>
      <c r="BGN12" s="1340"/>
      <c r="BGO12" s="1341"/>
      <c r="BGP12" s="1342"/>
      <c r="BGQ12" s="1336"/>
      <c r="BGR12" s="1336"/>
      <c r="BGS12" s="1336"/>
      <c r="BGT12" s="1336"/>
      <c r="BGU12" s="1337"/>
      <c r="BGV12" s="1337"/>
      <c r="BGW12" s="1337"/>
      <c r="BGX12" s="1337"/>
      <c r="BGY12" s="1337"/>
      <c r="BGZ12" s="1338"/>
      <c r="BHA12" s="1339"/>
      <c r="BHB12" s="1340"/>
      <c r="BHC12" s="1340"/>
      <c r="BHD12" s="1340"/>
      <c r="BHE12" s="1341"/>
      <c r="BHF12" s="1342"/>
      <c r="BHG12" s="1336"/>
      <c r="BHH12" s="1336"/>
      <c r="BHI12" s="1336"/>
      <c r="BHJ12" s="1336"/>
      <c r="BHK12" s="1337"/>
      <c r="BHL12" s="1337"/>
      <c r="BHM12" s="1337"/>
      <c r="BHN12" s="1337"/>
      <c r="BHO12" s="1337"/>
      <c r="BHP12" s="1338"/>
      <c r="BHQ12" s="1339"/>
      <c r="BHR12" s="1340"/>
      <c r="BHS12" s="1340"/>
      <c r="BHT12" s="1340"/>
      <c r="BHU12" s="1341"/>
      <c r="BHV12" s="1342"/>
      <c r="BHW12" s="1336"/>
      <c r="BHX12" s="1336"/>
      <c r="BHY12" s="1336"/>
      <c r="BHZ12" s="1336"/>
      <c r="BIA12" s="1337"/>
      <c r="BIB12" s="1337"/>
      <c r="BIC12" s="1337"/>
      <c r="BID12" s="1337"/>
      <c r="BIE12" s="1337"/>
      <c r="BIF12" s="1338"/>
      <c r="BIG12" s="1339"/>
      <c r="BIH12" s="1340"/>
      <c r="BII12" s="1340"/>
      <c r="BIJ12" s="1340"/>
      <c r="BIK12" s="1341"/>
      <c r="BIL12" s="1342"/>
      <c r="BIM12" s="1336"/>
      <c r="BIN12" s="1336"/>
      <c r="BIO12" s="1336"/>
      <c r="BIP12" s="1336"/>
      <c r="BIQ12" s="1337"/>
      <c r="BIR12" s="1337"/>
      <c r="BIS12" s="1337"/>
      <c r="BIT12" s="1337"/>
      <c r="BIU12" s="1337"/>
      <c r="BIV12" s="1338"/>
      <c r="BIW12" s="1339"/>
      <c r="BIX12" s="1340"/>
      <c r="BIY12" s="1340"/>
      <c r="BIZ12" s="1340"/>
      <c r="BJA12" s="1341"/>
      <c r="BJB12" s="1342"/>
      <c r="BJC12" s="1336"/>
      <c r="BJD12" s="1336"/>
      <c r="BJE12" s="1336"/>
      <c r="BJF12" s="1336"/>
      <c r="BJG12" s="1337"/>
      <c r="BJH12" s="1337"/>
      <c r="BJI12" s="1337"/>
      <c r="BJJ12" s="1337"/>
      <c r="BJK12" s="1337"/>
      <c r="BJL12" s="1338"/>
      <c r="BJM12" s="1339"/>
      <c r="BJN12" s="1340"/>
      <c r="BJO12" s="1340"/>
      <c r="BJP12" s="1340"/>
      <c r="BJQ12" s="1341"/>
      <c r="BJR12" s="1342"/>
      <c r="BJS12" s="1336"/>
      <c r="BJT12" s="1336"/>
      <c r="BJU12" s="1336"/>
      <c r="BJV12" s="1336"/>
      <c r="BJW12" s="1337"/>
      <c r="BJX12" s="1337"/>
      <c r="BJY12" s="1337"/>
      <c r="BJZ12" s="1337"/>
      <c r="BKA12" s="1337"/>
      <c r="BKB12" s="1338"/>
      <c r="BKC12" s="1339"/>
      <c r="BKD12" s="1340"/>
      <c r="BKE12" s="1340"/>
      <c r="BKF12" s="1340"/>
      <c r="BKG12" s="1341"/>
      <c r="BKH12" s="1342"/>
      <c r="BKI12" s="1336"/>
      <c r="BKJ12" s="1336"/>
      <c r="BKK12" s="1336"/>
      <c r="BKL12" s="1336"/>
      <c r="BKM12" s="1337"/>
      <c r="BKN12" s="1337"/>
      <c r="BKO12" s="1337"/>
      <c r="BKP12" s="1337"/>
      <c r="BKQ12" s="1337"/>
      <c r="BKR12" s="1338"/>
      <c r="BKS12" s="1339"/>
      <c r="BKT12" s="1340"/>
      <c r="BKU12" s="1340"/>
      <c r="BKV12" s="1340"/>
      <c r="BKW12" s="1341"/>
      <c r="BKX12" s="1342"/>
      <c r="BKY12" s="1336"/>
      <c r="BKZ12" s="1336"/>
      <c r="BLA12" s="1336"/>
      <c r="BLB12" s="1336"/>
      <c r="BLC12" s="1337"/>
      <c r="BLD12" s="1337"/>
      <c r="BLE12" s="1337"/>
      <c r="BLF12" s="1337"/>
      <c r="BLG12" s="1337"/>
      <c r="BLH12" s="1338"/>
      <c r="BLI12" s="1339"/>
      <c r="BLJ12" s="1340"/>
      <c r="BLK12" s="1340"/>
      <c r="BLL12" s="1340"/>
      <c r="BLM12" s="1341"/>
      <c r="BLN12" s="1342"/>
      <c r="BLO12" s="1336"/>
      <c r="BLP12" s="1336"/>
      <c r="BLQ12" s="1336"/>
      <c r="BLR12" s="1336"/>
      <c r="BLS12" s="1337"/>
      <c r="BLT12" s="1337"/>
      <c r="BLU12" s="1337"/>
      <c r="BLV12" s="1337"/>
      <c r="BLW12" s="1337"/>
      <c r="BLX12" s="1338"/>
      <c r="BLY12" s="1339"/>
      <c r="BLZ12" s="1340"/>
      <c r="BMA12" s="1340"/>
      <c r="BMB12" s="1340"/>
      <c r="BMC12" s="1341"/>
      <c r="BMD12" s="1342"/>
      <c r="BME12" s="1336"/>
      <c r="BMF12" s="1336"/>
      <c r="BMG12" s="1336"/>
      <c r="BMH12" s="1336"/>
      <c r="BMI12" s="1337"/>
      <c r="BMJ12" s="1337"/>
      <c r="BMK12" s="1337"/>
      <c r="BML12" s="1337"/>
      <c r="BMM12" s="1337"/>
      <c r="BMN12" s="1338"/>
      <c r="BMO12" s="1339"/>
      <c r="BMP12" s="1340"/>
      <c r="BMQ12" s="1340"/>
      <c r="BMR12" s="1340"/>
      <c r="BMS12" s="1341"/>
      <c r="BMT12" s="1342"/>
      <c r="BMU12" s="1336"/>
      <c r="BMV12" s="1336"/>
      <c r="BMW12" s="1336"/>
      <c r="BMX12" s="1336"/>
      <c r="BMY12" s="1337"/>
      <c r="BMZ12" s="1337"/>
      <c r="BNA12" s="1337"/>
      <c r="BNB12" s="1337"/>
      <c r="BNC12" s="1337"/>
      <c r="BND12" s="1338"/>
      <c r="BNE12" s="1339"/>
      <c r="BNF12" s="1340"/>
      <c r="BNG12" s="1340"/>
      <c r="BNH12" s="1340"/>
      <c r="BNI12" s="1341"/>
      <c r="BNJ12" s="1342"/>
      <c r="BNK12" s="1336"/>
      <c r="BNL12" s="1336"/>
      <c r="BNM12" s="1336"/>
      <c r="BNN12" s="1336"/>
      <c r="BNO12" s="1337"/>
      <c r="BNP12" s="1337"/>
      <c r="BNQ12" s="1337"/>
      <c r="BNR12" s="1337"/>
      <c r="BNS12" s="1337"/>
      <c r="BNT12" s="1338"/>
      <c r="BNU12" s="1339"/>
      <c r="BNV12" s="1340"/>
      <c r="BNW12" s="1340"/>
      <c r="BNX12" s="1340"/>
      <c r="BNY12" s="1341"/>
      <c r="BNZ12" s="1342"/>
      <c r="BOA12" s="1336"/>
      <c r="BOB12" s="1336"/>
      <c r="BOC12" s="1336"/>
      <c r="BOD12" s="1336"/>
      <c r="BOE12" s="1337"/>
      <c r="BOF12" s="1337"/>
      <c r="BOG12" s="1337"/>
      <c r="BOH12" s="1337"/>
      <c r="BOI12" s="1337"/>
      <c r="BOJ12" s="1338"/>
      <c r="BOK12" s="1339"/>
      <c r="BOL12" s="1340"/>
      <c r="BOM12" s="1340"/>
      <c r="BON12" s="1340"/>
      <c r="BOO12" s="1341"/>
      <c r="BOP12" s="1342"/>
      <c r="BOQ12" s="1336"/>
      <c r="BOR12" s="1336"/>
      <c r="BOS12" s="1336"/>
      <c r="BOT12" s="1336"/>
      <c r="BOU12" s="1337"/>
      <c r="BOV12" s="1337"/>
      <c r="BOW12" s="1337"/>
      <c r="BOX12" s="1337"/>
      <c r="BOY12" s="1337"/>
      <c r="BOZ12" s="1338"/>
      <c r="BPA12" s="1339"/>
      <c r="BPB12" s="1340"/>
      <c r="BPC12" s="1340"/>
      <c r="BPD12" s="1340"/>
      <c r="BPE12" s="1341"/>
      <c r="BPF12" s="1342"/>
      <c r="BPG12" s="1336"/>
      <c r="BPH12" s="1336"/>
      <c r="BPI12" s="1336"/>
      <c r="BPJ12" s="1336"/>
      <c r="BPK12" s="1337"/>
      <c r="BPL12" s="1337"/>
      <c r="BPM12" s="1337"/>
      <c r="BPN12" s="1337"/>
      <c r="BPO12" s="1337"/>
      <c r="BPP12" s="1338"/>
      <c r="BPQ12" s="1339"/>
      <c r="BPR12" s="1340"/>
      <c r="BPS12" s="1340"/>
      <c r="BPT12" s="1340"/>
      <c r="BPU12" s="1341"/>
      <c r="BPV12" s="1342"/>
      <c r="BPW12" s="1336"/>
      <c r="BPX12" s="1336"/>
      <c r="BPY12" s="1336"/>
      <c r="BPZ12" s="1336"/>
      <c r="BQA12" s="1337"/>
      <c r="BQB12" s="1337"/>
      <c r="BQC12" s="1337"/>
      <c r="BQD12" s="1337"/>
      <c r="BQE12" s="1337"/>
      <c r="BQF12" s="1338"/>
      <c r="BQG12" s="1339"/>
      <c r="BQH12" s="1340"/>
      <c r="BQI12" s="1340"/>
      <c r="BQJ12" s="1340"/>
      <c r="BQK12" s="1341"/>
      <c r="BQL12" s="1342"/>
      <c r="BQM12" s="1336"/>
      <c r="BQN12" s="1336"/>
      <c r="BQO12" s="1336"/>
      <c r="BQP12" s="1336"/>
      <c r="BQQ12" s="1337"/>
      <c r="BQR12" s="1337"/>
      <c r="BQS12" s="1337"/>
      <c r="BQT12" s="1337"/>
      <c r="BQU12" s="1337"/>
      <c r="BQV12" s="1338"/>
      <c r="BQW12" s="1339"/>
      <c r="BQX12" s="1340"/>
      <c r="BQY12" s="1340"/>
      <c r="BQZ12" s="1340"/>
      <c r="BRA12" s="1341"/>
      <c r="BRB12" s="1342"/>
      <c r="BRC12" s="1336"/>
      <c r="BRD12" s="1336"/>
      <c r="BRE12" s="1336"/>
      <c r="BRF12" s="1336"/>
      <c r="BRG12" s="1337"/>
      <c r="BRH12" s="1337"/>
      <c r="BRI12" s="1337"/>
      <c r="BRJ12" s="1337"/>
      <c r="BRK12" s="1337"/>
      <c r="BRL12" s="1338"/>
      <c r="BRM12" s="1339"/>
      <c r="BRN12" s="1340"/>
      <c r="BRO12" s="1340"/>
      <c r="BRP12" s="1340"/>
      <c r="BRQ12" s="1341"/>
      <c r="BRR12" s="1342"/>
      <c r="BRS12" s="1336"/>
      <c r="BRT12" s="1336"/>
      <c r="BRU12" s="1336"/>
      <c r="BRV12" s="1336"/>
      <c r="BRW12" s="1337"/>
      <c r="BRX12" s="1337"/>
      <c r="BRY12" s="1337"/>
      <c r="BRZ12" s="1337"/>
      <c r="BSA12" s="1337"/>
      <c r="BSB12" s="1338"/>
      <c r="BSC12" s="1339"/>
      <c r="BSD12" s="1340"/>
      <c r="BSE12" s="1340"/>
      <c r="BSF12" s="1340"/>
      <c r="BSG12" s="1341"/>
      <c r="BSH12" s="1342"/>
      <c r="BSI12" s="1336"/>
      <c r="BSJ12" s="1336"/>
      <c r="BSK12" s="1336"/>
      <c r="BSL12" s="1336"/>
      <c r="BSM12" s="1337"/>
      <c r="BSN12" s="1337"/>
      <c r="BSO12" s="1337"/>
      <c r="BSP12" s="1337"/>
      <c r="BSQ12" s="1337"/>
      <c r="BSR12" s="1338"/>
      <c r="BSS12" s="1339"/>
      <c r="BST12" s="1340"/>
      <c r="BSU12" s="1340"/>
      <c r="BSV12" s="1340"/>
      <c r="BSW12" s="1341"/>
      <c r="BSX12" s="1342"/>
      <c r="BSY12" s="1336"/>
      <c r="BSZ12" s="1336"/>
      <c r="BTA12" s="1336"/>
      <c r="BTB12" s="1336"/>
      <c r="BTC12" s="1337"/>
      <c r="BTD12" s="1337"/>
      <c r="BTE12" s="1337"/>
      <c r="BTF12" s="1337"/>
      <c r="BTG12" s="1337"/>
      <c r="BTH12" s="1338"/>
      <c r="BTI12" s="1339"/>
      <c r="BTJ12" s="1340"/>
      <c r="BTK12" s="1340"/>
      <c r="BTL12" s="1340"/>
      <c r="BTM12" s="1341"/>
      <c r="BTN12" s="1342"/>
      <c r="BTO12" s="1336"/>
      <c r="BTP12" s="1336"/>
      <c r="BTQ12" s="1336"/>
      <c r="BTR12" s="1336"/>
      <c r="BTS12" s="1337"/>
      <c r="BTT12" s="1337"/>
      <c r="BTU12" s="1337"/>
      <c r="BTV12" s="1337"/>
      <c r="BTW12" s="1337"/>
      <c r="BTX12" s="1338"/>
      <c r="BTY12" s="1339"/>
      <c r="BTZ12" s="1340"/>
      <c r="BUA12" s="1340"/>
      <c r="BUB12" s="1340"/>
      <c r="BUC12" s="1341"/>
      <c r="BUD12" s="1342"/>
      <c r="BUE12" s="1336"/>
      <c r="BUF12" s="1336"/>
      <c r="BUG12" s="1336"/>
      <c r="BUH12" s="1336"/>
      <c r="BUI12" s="1337"/>
      <c r="BUJ12" s="1337"/>
      <c r="BUK12" s="1337"/>
      <c r="BUL12" s="1337"/>
      <c r="BUM12" s="1337"/>
      <c r="BUN12" s="1338"/>
      <c r="BUO12" s="1339"/>
      <c r="BUP12" s="1340"/>
      <c r="BUQ12" s="1340"/>
      <c r="BUR12" s="1340"/>
      <c r="BUS12" s="1341"/>
      <c r="BUT12" s="1342"/>
      <c r="BUU12" s="1336"/>
      <c r="BUV12" s="1336"/>
      <c r="BUW12" s="1336"/>
      <c r="BUX12" s="1336"/>
      <c r="BUY12" s="1337"/>
      <c r="BUZ12" s="1337"/>
      <c r="BVA12" s="1337"/>
      <c r="BVB12" s="1337"/>
      <c r="BVC12" s="1337"/>
      <c r="BVD12" s="1338"/>
      <c r="BVE12" s="1339"/>
      <c r="BVF12" s="1340"/>
      <c r="BVG12" s="1340"/>
      <c r="BVH12" s="1340"/>
      <c r="BVI12" s="1341"/>
      <c r="BVJ12" s="1342"/>
      <c r="BVK12" s="1336"/>
      <c r="BVL12" s="1336"/>
      <c r="BVM12" s="1336"/>
      <c r="BVN12" s="1336"/>
      <c r="BVO12" s="1337"/>
      <c r="BVP12" s="1337"/>
      <c r="BVQ12" s="1337"/>
      <c r="BVR12" s="1337"/>
      <c r="BVS12" s="1337"/>
      <c r="BVT12" s="1338"/>
      <c r="BVU12" s="1339"/>
      <c r="BVV12" s="1340"/>
      <c r="BVW12" s="1340"/>
      <c r="BVX12" s="1340"/>
      <c r="BVY12" s="1341"/>
      <c r="BVZ12" s="1342"/>
      <c r="BWA12" s="1336"/>
      <c r="BWB12" s="1336"/>
      <c r="BWC12" s="1336"/>
      <c r="BWD12" s="1336"/>
      <c r="BWE12" s="1337"/>
      <c r="BWF12" s="1337"/>
      <c r="BWG12" s="1337"/>
      <c r="BWH12" s="1337"/>
      <c r="BWI12" s="1337"/>
      <c r="BWJ12" s="1338"/>
      <c r="BWK12" s="1339"/>
      <c r="BWL12" s="1340"/>
      <c r="BWM12" s="1340"/>
      <c r="BWN12" s="1340"/>
      <c r="BWO12" s="1341"/>
      <c r="BWP12" s="1342"/>
      <c r="BWQ12" s="1336"/>
      <c r="BWR12" s="1336"/>
      <c r="BWS12" s="1336"/>
      <c r="BWT12" s="1336"/>
      <c r="BWU12" s="1337"/>
      <c r="BWV12" s="1337"/>
      <c r="BWW12" s="1337"/>
      <c r="BWX12" s="1337"/>
      <c r="BWY12" s="1337"/>
      <c r="BWZ12" s="1338"/>
      <c r="BXA12" s="1339"/>
      <c r="BXB12" s="1340"/>
      <c r="BXC12" s="1340"/>
      <c r="BXD12" s="1340"/>
      <c r="BXE12" s="1341"/>
      <c r="BXF12" s="1342"/>
      <c r="BXG12" s="1336"/>
      <c r="BXH12" s="1336"/>
      <c r="BXI12" s="1336"/>
      <c r="BXJ12" s="1336"/>
      <c r="BXK12" s="1337"/>
      <c r="BXL12" s="1337"/>
      <c r="BXM12" s="1337"/>
      <c r="BXN12" s="1337"/>
      <c r="BXO12" s="1337"/>
      <c r="BXP12" s="1338"/>
      <c r="BXQ12" s="1339"/>
      <c r="BXR12" s="1340"/>
      <c r="BXS12" s="1340"/>
      <c r="BXT12" s="1340"/>
      <c r="BXU12" s="1341"/>
      <c r="BXV12" s="1342"/>
      <c r="BXW12" s="1336"/>
      <c r="BXX12" s="1336"/>
      <c r="BXY12" s="1336"/>
      <c r="BXZ12" s="1336"/>
      <c r="BYA12" s="1337"/>
      <c r="BYB12" s="1337"/>
      <c r="BYC12" s="1337"/>
      <c r="BYD12" s="1337"/>
      <c r="BYE12" s="1337"/>
      <c r="BYF12" s="1338"/>
      <c r="BYG12" s="1339"/>
      <c r="BYH12" s="1340"/>
      <c r="BYI12" s="1340"/>
      <c r="BYJ12" s="1340"/>
      <c r="BYK12" s="1341"/>
      <c r="BYL12" s="1342"/>
      <c r="BYM12" s="1336"/>
      <c r="BYN12" s="1336"/>
      <c r="BYO12" s="1336"/>
      <c r="BYP12" s="1336"/>
      <c r="BYQ12" s="1337"/>
      <c r="BYR12" s="1337"/>
      <c r="BYS12" s="1337"/>
      <c r="BYT12" s="1337"/>
      <c r="BYU12" s="1337"/>
      <c r="BYV12" s="1338"/>
      <c r="BYW12" s="1339"/>
      <c r="BYX12" s="1340"/>
      <c r="BYY12" s="1340"/>
      <c r="BYZ12" s="1340"/>
      <c r="BZA12" s="1341"/>
      <c r="BZB12" s="1342"/>
      <c r="BZC12" s="1336"/>
      <c r="BZD12" s="1336"/>
      <c r="BZE12" s="1336"/>
      <c r="BZF12" s="1336"/>
      <c r="BZG12" s="1337"/>
      <c r="BZH12" s="1337"/>
      <c r="BZI12" s="1337"/>
      <c r="BZJ12" s="1337"/>
      <c r="BZK12" s="1337"/>
      <c r="BZL12" s="1338"/>
      <c r="BZM12" s="1339"/>
      <c r="BZN12" s="1340"/>
      <c r="BZO12" s="1340"/>
      <c r="BZP12" s="1340"/>
      <c r="BZQ12" s="1341"/>
      <c r="BZR12" s="1342"/>
      <c r="BZS12" s="1336"/>
      <c r="BZT12" s="1336"/>
      <c r="BZU12" s="1336"/>
      <c r="BZV12" s="1336"/>
      <c r="BZW12" s="1337"/>
      <c r="BZX12" s="1337"/>
      <c r="BZY12" s="1337"/>
      <c r="BZZ12" s="1337"/>
      <c r="CAA12" s="1337"/>
      <c r="CAB12" s="1338"/>
      <c r="CAC12" s="1339"/>
      <c r="CAD12" s="1340"/>
      <c r="CAE12" s="1340"/>
      <c r="CAF12" s="1340"/>
      <c r="CAG12" s="1341"/>
      <c r="CAH12" s="1342"/>
      <c r="CAI12" s="1336"/>
      <c r="CAJ12" s="1336"/>
      <c r="CAK12" s="1336"/>
      <c r="CAL12" s="1336"/>
      <c r="CAM12" s="1337"/>
      <c r="CAN12" s="1337"/>
      <c r="CAO12" s="1337"/>
      <c r="CAP12" s="1337"/>
      <c r="CAQ12" s="1337"/>
      <c r="CAR12" s="1338"/>
      <c r="CAS12" s="1339"/>
      <c r="CAT12" s="1340"/>
      <c r="CAU12" s="1340"/>
      <c r="CAV12" s="1340"/>
      <c r="CAW12" s="1341"/>
      <c r="CAX12" s="1342"/>
      <c r="CAY12" s="1336"/>
      <c r="CAZ12" s="1336"/>
      <c r="CBA12" s="1336"/>
      <c r="CBB12" s="1336"/>
      <c r="CBC12" s="1337"/>
      <c r="CBD12" s="1337"/>
      <c r="CBE12" s="1337"/>
      <c r="CBF12" s="1337"/>
      <c r="CBG12" s="1337"/>
      <c r="CBH12" s="1338"/>
      <c r="CBI12" s="1339"/>
      <c r="CBJ12" s="1340"/>
      <c r="CBK12" s="1340"/>
      <c r="CBL12" s="1340"/>
      <c r="CBM12" s="1341"/>
      <c r="CBN12" s="1342"/>
      <c r="CBO12" s="1336"/>
      <c r="CBP12" s="1336"/>
      <c r="CBQ12" s="1336"/>
      <c r="CBR12" s="1336"/>
      <c r="CBS12" s="1337"/>
      <c r="CBT12" s="1337"/>
      <c r="CBU12" s="1337"/>
      <c r="CBV12" s="1337"/>
      <c r="CBW12" s="1337"/>
      <c r="CBX12" s="1338"/>
      <c r="CBY12" s="1339"/>
      <c r="CBZ12" s="1340"/>
      <c r="CCA12" s="1340"/>
      <c r="CCB12" s="1340"/>
      <c r="CCC12" s="1341"/>
      <c r="CCD12" s="1342"/>
      <c r="CCE12" s="1336"/>
      <c r="CCF12" s="1336"/>
      <c r="CCG12" s="1336"/>
      <c r="CCH12" s="1336"/>
      <c r="CCI12" s="1337"/>
      <c r="CCJ12" s="1337"/>
      <c r="CCK12" s="1337"/>
      <c r="CCL12" s="1337"/>
      <c r="CCM12" s="1337"/>
      <c r="CCN12" s="1338"/>
      <c r="CCO12" s="1339"/>
      <c r="CCP12" s="1340"/>
      <c r="CCQ12" s="1340"/>
      <c r="CCR12" s="1340"/>
      <c r="CCS12" s="1341"/>
      <c r="CCT12" s="1342"/>
      <c r="CCU12" s="1336"/>
      <c r="CCV12" s="1336"/>
      <c r="CCW12" s="1336"/>
      <c r="CCX12" s="1336"/>
      <c r="CCY12" s="1337"/>
      <c r="CCZ12" s="1337"/>
      <c r="CDA12" s="1337"/>
      <c r="CDB12" s="1337"/>
      <c r="CDC12" s="1337"/>
      <c r="CDD12" s="1338"/>
      <c r="CDE12" s="1339"/>
      <c r="CDF12" s="1340"/>
      <c r="CDG12" s="1340"/>
      <c r="CDH12" s="1340"/>
      <c r="CDI12" s="1341"/>
      <c r="CDJ12" s="1342"/>
      <c r="CDK12" s="1336"/>
      <c r="CDL12" s="1336"/>
      <c r="CDM12" s="1336"/>
      <c r="CDN12" s="1336"/>
      <c r="CDO12" s="1337"/>
      <c r="CDP12" s="1337"/>
      <c r="CDQ12" s="1337"/>
      <c r="CDR12" s="1337"/>
      <c r="CDS12" s="1337"/>
      <c r="CDT12" s="1338"/>
      <c r="CDU12" s="1339"/>
      <c r="CDV12" s="1340"/>
      <c r="CDW12" s="1340"/>
      <c r="CDX12" s="1340"/>
      <c r="CDY12" s="1341"/>
      <c r="CDZ12" s="1342"/>
      <c r="CEA12" s="1336"/>
      <c r="CEB12" s="1336"/>
      <c r="CEC12" s="1336"/>
      <c r="CED12" s="1336"/>
      <c r="CEE12" s="1337"/>
      <c r="CEF12" s="1337"/>
      <c r="CEG12" s="1337"/>
      <c r="CEH12" s="1337"/>
      <c r="CEI12" s="1337"/>
      <c r="CEJ12" s="1338"/>
      <c r="CEK12" s="1339"/>
      <c r="CEL12" s="1340"/>
      <c r="CEM12" s="1340"/>
      <c r="CEN12" s="1340"/>
      <c r="CEO12" s="1341"/>
      <c r="CEP12" s="1342"/>
      <c r="CEQ12" s="1336"/>
      <c r="CER12" s="1336"/>
      <c r="CES12" s="1336"/>
      <c r="CET12" s="1336"/>
      <c r="CEU12" s="1337"/>
      <c r="CEV12" s="1337"/>
      <c r="CEW12" s="1337"/>
      <c r="CEX12" s="1337"/>
      <c r="CEY12" s="1337"/>
      <c r="CEZ12" s="1338"/>
      <c r="CFA12" s="1339"/>
      <c r="CFB12" s="1340"/>
      <c r="CFC12" s="1340"/>
      <c r="CFD12" s="1340"/>
      <c r="CFE12" s="1341"/>
      <c r="CFF12" s="1342"/>
      <c r="CFG12" s="1336"/>
      <c r="CFH12" s="1336"/>
      <c r="CFI12" s="1336"/>
      <c r="CFJ12" s="1336"/>
      <c r="CFK12" s="1337"/>
      <c r="CFL12" s="1337"/>
      <c r="CFM12" s="1337"/>
      <c r="CFN12" s="1337"/>
      <c r="CFO12" s="1337"/>
      <c r="CFP12" s="1338"/>
      <c r="CFQ12" s="1339"/>
      <c r="CFR12" s="1340"/>
      <c r="CFS12" s="1340"/>
      <c r="CFT12" s="1340"/>
      <c r="CFU12" s="1341"/>
      <c r="CFV12" s="1342"/>
      <c r="CFW12" s="1336"/>
      <c r="CFX12" s="1336"/>
      <c r="CFY12" s="1336"/>
      <c r="CFZ12" s="1336"/>
      <c r="CGA12" s="1337"/>
      <c r="CGB12" s="1337"/>
      <c r="CGC12" s="1337"/>
      <c r="CGD12" s="1337"/>
      <c r="CGE12" s="1337"/>
      <c r="CGF12" s="1338"/>
      <c r="CGG12" s="1339"/>
      <c r="CGH12" s="1340"/>
      <c r="CGI12" s="1340"/>
      <c r="CGJ12" s="1340"/>
      <c r="CGK12" s="1341"/>
      <c r="CGL12" s="1342"/>
      <c r="CGM12" s="1336"/>
      <c r="CGN12" s="1336"/>
      <c r="CGO12" s="1336"/>
      <c r="CGP12" s="1336"/>
      <c r="CGQ12" s="1337"/>
      <c r="CGR12" s="1337"/>
      <c r="CGS12" s="1337"/>
      <c r="CGT12" s="1337"/>
      <c r="CGU12" s="1337"/>
      <c r="CGV12" s="1338"/>
      <c r="CGW12" s="1339"/>
      <c r="CGX12" s="1340"/>
      <c r="CGY12" s="1340"/>
      <c r="CGZ12" s="1340"/>
      <c r="CHA12" s="1341"/>
      <c r="CHB12" s="1342"/>
      <c r="CHC12" s="1336"/>
      <c r="CHD12" s="1336"/>
      <c r="CHE12" s="1336"/>
      <c r="CHF12" s="1336"/>
      <c r="CHG12" s="1337"/>
      <c r="CHH12" s="1337"/>
      <c r="CHI12" s="1337"/>
      <c r="CHJ12" s="1337"/>
      <c r="CHK12" s="1337"/>
      <c r="CHL12" s="1338"/>
      <c r="CHM12" s="1339"/>
      <c r="CHN12" s="1340"/>
      <c r="CHO12" s="1340"/>
      <c r="CHP12" s="1340"/>
      <c r="CHQ12" s="1341"/>
      <c r="CHR12" s="1342"/>
      <c r="CHS12" s="1336"/>
      <c r="CHT12" s="1336"/>
      <c r="CHU12" s="1336"/>
      <c r="CHV12" s="1336"/>
      <c r="CHW12" s="1337"/>
      <c r="CHX12" s="1337"/>
      <c r="CHY12" s="1337"/>
      <c r="CHZ12" s="1337"/>
      <c r="CIA12" s="1337"/>
      <c r="CIB12" s="1338"/>
      <c r="CIC12" s="1339"/>
      <c r="CID12" s="1340"/>
      <c r="CIE12" s="1340"/>
      <c r="CIF12" s="1340"/>
      <c r="CIG12" s="1341"/>
      <c r="CIH12" s="1342"/>
      <c r="CII12" s="1336"/>
      <c r="CIJ12" s="1336"/>
      <c r="CIK12" s="1336"/>
      <c r="CIL12" s="1336"/>
      <c r="CIM12" s="1337"/>
      <c r="CIN12" s="1337"/>
      <c r="CIO12" s="1337"/>
      <c r="CIP12" s="1337"/>
      <c r="CIQ12" s="1337"/>
      <c r="CIR12" s="1338"/>
      <c r="CIS12" s="1339"/>
      <c r="CIT12" s="1340"/>
      <c r="CIU12" s="1340"/>
      <c r="CIV12" s="1340"/>
      <c r="CIW12" s="1341"/>
      <c r="CIX12" s="1342"/>
      <c r="CIY12" s="1336"/>
      <c r="CIZ12" s="1336"/>
      <c r="CJA12" s="1336"/>
      <c r="CJB12" s="1336"/>
      <c r="CJC12" s="1337"/>
      <c r="CJD12" s="1337"/>
      <c r="CJE12" s="1337"/>
      <c r="CJF12" s="1337"/>
      <c r="CJG12" s="1337"/>
      <c r="CJH12" s="1338"/>
      <c r="CJI12" s="1339"/>
      <c r="CJJ12" s="1340"/>
      <c r="CJK12" s="1340"/>
      <c r="CJL12" s="1340"/>
      <c r="CJM12" s="1341"/>
      <c r="CJN12" s="1342"/>
      <c r="CJO12" s="1336"/>
      <c r="CJP12" s="1336"/>
      <c r="CJQ12" s="1336"/>
      <c r="CJR12" s="1336"/>
      <c r="CJS12" s="1337"/>
      <c r="CJT12" s="1337"/>
      <c r="CJU12" s="1337"/>
      <c r="CJV12" s="1337"/>
      <c r="CJW12" s="1337"/>
      <c r="CJX12" s="1338"/>
      <c r="CJY12" s="1339"/>
      <c r="CJZ12" s="1340"/>
      <c r="CKA12" s="1340"/>
      <c r="CKB12" s="1340"/>
      <c r="CKC12" s="1341"/>
      <c r="CKD12" s="1342"/>
      <c r="CKE12" s="1336"/>
      <c r="CKF12" s="1336"/>
      <c r="CKG12" s="1336"/>
      <c r="CKH12" s="1336"/>
      <c r="CKI12" s="1337"/>
      <c r="CKJ12" s="1337"/>
      <c r="CKK12" s="1337"/>
      <c r="CKL12" s="1337"/>
      <c r="CKM12" s="1337"/>
      <c r="CKN12" s="1338"/>
      <c r="CKO12" s="1339"/>
      <c r="CKP12" s="1340"/>
      <c r="CKQ12" s="1340"/>
      <c r="CKR12" s="1340"/>
      <c r="CKS12" s="1341"/>
      <c r="CKT12" s="1342"/>
      <c r="CKU12" s="1336"/>
      <c r="CKV12" s="1336"/>
      <c r="CKW12" s="1336"/>
      <c r="CKX12" s="1336"/>
      <c r="CKY12" s="1337"/>
      <c r="CKZ12" s="1337"/>
      <c r="CLA12" s="1337"/>
      <c r="CLB12" s="1337"/>
      <c r="CLC12" s="1337"/>
      <c r="CLD12" s="1338"/>
      <c r="CLE12" s="1339"/>
      <c r="CLF12" s="1340"/>
      <c r="CLG12" s="1340"/>
      <c r="CLH12" s="1340"/>
      <c r="CLI12" s="1341"/>
      <c r="CLJ12" s="1342"/>
      <c r="CLK12" s="1336"/>
      <c r="CLL12" s="1336"/>
      <c r="CLM12" s="1336"/>
      <c r="CLN12" s="1336"/>
      <c r="CLO12" s="1337"/>
      <c r="CLP12" s="1337"/>
      <c r="CLQ12" s="1337"/>
      <c r="CLR12" s="1337"/>
      <c r="CLS12" s="1337"/>
      <c r="CLT12" s="1338"/>
      <c r="CLU12" s="1339"/>
      <c r="CLV12" s="1340"/>
      <c r="CLW12" s="1340"/>
      <c r="CLX12" s="1340"/>
      <c r="CLY12" s="1341"/>
      <c r="CLZ12" s="1342"/>
      <c r="CMA12" s="1336"/>
      <c r="CMB12" s="1336"/>
      <c r="CMC12" s="1336"/>
      <c r="CMD12" s="1336"/>
      <c r="CME12" s="1337"/>
      <c r="CMF12" s="1337"/>
      <c r="CMG12" s="1337"/>
      <c r="CMH12" s="1337"/>
      <c r="CMI12" s="1337"/>
      <c r="CMJ12" s="1338"/>
      <c r="CMK12" s="1339"/>
      <c r="CML12" s="1340"/>
      <c r="CMM12" s="1340"/>
      <c r="CMN12" s="1340"/>
      <c r="CMO12" s="1341"/>
      <c r="CMP12" s="1342"/>
      <c r="CMQ12" s="1336"/>
      <c r="CMR12" s="1336"/>
      <c r="CMS12" s="1336"/>
      <c r="CMT12" s="1336"/>
      <c r="CMU12" s="1337"/>
      <c r="CMV12" s="1337"/>
      <c r="CMW12" s="1337"/>
      <c r="CMX12" s="1337"/>
      <c r="CMY12" s="1337"/>
      <c r="CMZ12" s="1338"/>
      <c r="CNA12" s="1339"/>
      <c r="CNB12" s="1340"/>
      <c r="CNC12" s="1340"/>
      <c r="CND12" s="1340"/>
      <c r="CNE12" s="1341"/>
      <c r="CNF12" s="1342"/>
      <c r="CNG12" s="1336"/>
      <c r="CNH12" s="1336"/>
      <c r="CNI12" s="1336"/>
      <c r="CNJ12" s="1336"/>
      <c r="CNK12" s="1337"/>
      <c r="CNL12" s="1337"/>
      <c r="CNM12" s="1337"/>
      <c r="CNN12" s="1337"/>
      <c r="CNO12" s="1337"/>
      <c r="CNP12" s="1338"/>
      <c r="CNQ12" s="1339"/>
      <c r="CNR12" s="1340"/>
      <c r="CNS12" s="1340"/>
      <c r="CNT12" s="1340"/>
      <c r="CNU12" s="1341"/>
      <c r="CNV12" s="1342"/>
      <c r="CNW12" s="1336"/>
      <c r="CNX12" s="1336"/>
      <c r="CNY12" s="1336"/>
      <c r="CNZ12" s="1336"/>
      <c r="COA12" s="1337"/>
      <c r="COB12" s="1337"/>
      <c r="COC12" s="1337"/>
      <c r="COD12" s="1337"/>
      <c r="COE12" s="1337"/>
      <c r="COF12" s="1338"/>
      <c r="COG12" s="1339"/>
      <c r="COH12" s="1340"/>
      <c r="COI12" s="1340"/>
      <c r="COJ12" s="1340"/>
      <c r="COK12" s="1341"/>
      <c r="COL12" s="1342"/>
      <c r="COM12" s="1336"/>
      <c r="CON12" s="1336"/>
      <c r="COO12" s="1336"/>
      <c r="COP12" s="1336"/>
      <c r="COQ12" s="1337"/>
      <c r="COR12" s="1337"/>
      <c r="COS12" s="1337"/>
      <c r="COT12" s="1337"/>
      <c r="COU12" s="1337"/>
      <c r="COV12" s="1338"/>
      <c r="COW12" s="1339"/>
      <c r="COX12" s="1340"/>
      <c r="COY12" s="1340"/>
      <c r="COZ12" s="1340"/>
      <c r="CPA12" s="1341"/>
      <c r="CPB12" s="1342"/>
      <c r="CPC12" s="1336"/>
      <c r="CPD12" s="1336"/>
      <c r="CPE12" s="1336"/>
      <c r="CPF12" s="1336"/>
      <c r="CPG12" s="1337"/>
      <c r="CPH12" s="1337"/>
      <c r="CPI12" s="1337"/>
      <c r="CPJ12" s="1337"/>
      <c r="CPK12" s="1337"/>
      <c r="CPL12" s="1338"/>
      <c r="CPM12" s="1339"/>
      <c r="CPN12" s="1340"/>
      <c r="CPO12" s="1340"/>
      <c r="CPP12" s="1340"/>
      <c r="CPQ12" s="1341"/>
      <c r="CPR12" s="1342"/>
      <c r="CPS12" s="1336"/>
      <c r="CPT12" s="1336"/>
      <c r="CPU12" s="1336"/>
      <c r="CPV12" s="1336"/>
      <c r="CPW12" s="1337"/>
      <c r="CPX12" s="1337"/>
      <c r="CPY12" s="1337"/>
      <c r="CPZ12" s="1337"/>
      <c r="CQA12" s="1337"/>
      <c r="CQB12" s="1338"/>
      <c r="CQC12" s="1339"/>
      <c r="CQD12" s="1340"/>
      <c r="CQE12" s="1340"/>
      <c r="CQF12" s="1340"/>
      <c r="CQG12" s="1341"/>
      <c r="CQH12" s="1342"/>
      <c r="CQI12" s="1336"/>
      <c r="CQJ12" s="1336"/>
      <c r="CQK12" s="1336"/>
      <c r="CQL12" s="1336"/>
      <c r="CQM12" s="1337"/>
      <c r="CQN12" s="1337"/>
      <c r="CQO12" s="1337"/>
      <c r="CQP12" s="1337"/>
      <c r="CQQ12" s="1337"/>
      <c r="CQR12" s="1338"/>
      <c r="CQS12" s="1339"/>
      <c r="CQT12" s="1340"/>
      <c r="CQU12" s="1340"/>
      <c r="CQV12" s="1340"/>
      <c r="CQW12" s="1341"/>
      <c r="CQX12" s="1342"/>
      <c r="CQY12" s="1336"/>
      <c r="CQZ12" s="1336"/>
      <c r="CRA12" s="1336"/>
      <c r="CRB12" s="1336"/>
      <c r="CRC12" s="1337"/>
      <c r="CRD12" s="1337"/>
      <c r="CRE12" s="1337"/>
      <c r="CRF12" s="1337"/>
      <c r="CRG12" s="1337"/>
      <c r="CRH12" s="1338"/>
      <c r="CRI12" s="1339"/>
      <c r="CRJ12" s="1340"/>
      <c r="CRK12" s="1340"/>
      <c r="CRL12" s="1340"/>
      <c r="CRM12" s="1341"/>
      <c r="CRN12" s="1342"/>
      <c r="CRO12" s="1336"/>
      <c r="CRP12" s="1336"/>
      <c r="CRQ12" s="1336"/>
      <c r="CRR12" s="1336"/>
      <c r="CRS12" s="1337"/>
      <c r="CRT12" s="1337"/>
      <c r="CRU12" s="1337"/>
      <c r="CRV12" s="1337"/>
      <c r="CRW12" s="1337"/>
      <c r="CRX12" s="1338"/>
      <c r="CRY12" s="1339"/>
      <c r="CRZ12" s="1340"/>
      <c r="CSA12" s="1340"/>
      <c r="CSB12" s="1340"/>
      <c r="CSC12" s="1341"/>
      <c r="CSD12" s="1342"/>
      <c r="CSE12" s="1336"/>
      <c r="CSF12" s="1336"/>
      <c r="CSG12" s="1336"/>
      <c r="CSH12" s="1336"/>
      <c r="CSI12" s="1337"/>
      <c r="CSJ12" s="1337"/>
      <c r="CSK12" s="1337"/>
      <c r="CSL12" s="1337"/>
      <c r="CSM12" s="1337"/>
      <c r="CSN12" s="1338"/>
      <c r="CSO12" s="1339"/>
      <c r="CSP12" s="1340"/>
      <c r="CSQ12" s="1340"/>
      <c r="CSR12" s="1340"/>
      <c r="CSS12" s="1341"/>
      <c r="CST12" s="1342"/>
      <c r="CSU12" s="1336"/>
      <c r="CSV12" s="1336"/>
      <c r="CSW12" s="1336"/>
      <c r="CSX12" s="1336"/>
      <c r="CSY12" s="1337"/>
      <c r="CSZ12" s="1337"/>
      <c r="CTA12" s="1337"/>
      <c r="CTB12" s="1337"/>
      <c r="CTC12" s="1337"/>
      <c r="CTD12" s="1338"/>
      <c r="CTE12" s="1339"/>
      <c r="CTF12" s="1340"/>
      <c r="CTG12" s="1340"/>
      <c r="CTH12" s="1340"/>
      <c r="CTI12" s="1341"/>
      <c r="CTJ12" s="1342"/>
      <c r="CTK12" s="1336"/>
      <c r="CTL12" s="1336"/>
      <c r="CTM12" s="1336"/>
      <c r="CTN12" s="1336"/>
      <c r="CTO12" s="1337"/>
      <c r="CTP12" s="1337"/>
      <c r="CTQ12" s="1337"/>
      <c r="CTR12" s="1337"/>
      <c r="CTS12" s="1337"/>
      <c r="CTT12" s="1338"/>
      <c r="CTU12" s="1339"/>
      <c r="CTV12" s="1340"/>
      <c r="CTW12" s="1340"/>
      <c r="CTX12" s="1340"/>
      <c r="CTY12" s="1341"/>
      <c r="CTZ12" s="1342"/>
      <c r="CUA12" s="1336"/>
      <c r="CUB12" s="1336"/>
      <c r="CUC12" s="1336"/>
      <c r="CUD12" s="1336"/>
      <c r="CUE12" s="1337"/>
      <c r="CUF12" s="1337"/>
      <c r="CUG12" s="1337"/>
      <c r="CUH12" s="1337"/>
      <c r="CUI12" s="1337"/>
      <c r="CUJ12" s="1338"/>
      <c r="CUK12" s="1339"/>
      <c r="CUL12" s="1340"/>
      <c r="CUM12" s="1340"/>
      <c r="CUN12" s="1340"/>
      <c r="CUO12" s="1341"/>
      <c r="CUP12" s="1342"/>
      <c r="CUQ12" s="1336"/>
      <c r="CUR12" s="1336"/>
      <c r="CUS12" s="1336"/>
      <c r="CUT12" s="1336"/>
      <c r="CUU12" s="1337"/>
      <c r="CUV12" s="1337"/>
      <c r="CUW12" s="1337"/>
      <c r="CUX12" s="1337"/>
      <c r="CUY12" s="1337"/>
      <c r="CUZ12" s="1338"/>
      <c r="CVA12" s="1339"/>
      <c r="CVB12" s="1340"/>
      <c r="CVC12" s="1340"/>
      <c r="CVD12" s="1340"/>
      <c r="CVE12" s="1341"/>
      <c r="CVF12" s="1342"/>
      <c r="CVG12" s="1336"/>
      <c r="CVH12" s="1336"/>
      <c r="CVI12" s="1336"/>
      <c r="CVJ12" s="1336"/>
      <c r="CVK12" s="1337"/>
      <c r="CVL12" s="1337"/>
      <c r="CVM12" s="1337"/>
      <c r="CVN12" s="1337"/>
      <c r="CVO12" s="1337"/>
      <c r="CVP12" s="1338"/>
      <c r="CVQ12" s="1339"/>
      <c r="CVR12" s="1340"/>
      <c r="CVS12" s="1340"/>
      <c r="CVT12" s="1340"/>
      <c r="CVU12" s="1341"/>
      <c r="CVV12" s="1342"/>
      <c r="CVW12" s="1336"/>
      <c r="CVX12" s="1336"/>
      <c r="CVY12" s="1336"/>
      <c r="CVZ12" s="1336"/>
      <c r="CWA12" s="1337"/>
      <c r="CWB12" s="1337"/>
      <c r="CWC12" s="1337"/>
      <c r="CWD12" s="1337"/>
      <c r="CWE12" s="1337"/>
      <c r="CWF12" s="1338"/>
      <c r="CWG12" s="1339"/>
      <c r="CWH12" s="1340"/>
      <c r="CWI12" s="1340"/>
      <c r="CWJ12" s="1340"/>
      <c r="CWK12" s="1341"/>
      <c r="CWL12" s="1342"/>
      <c r="CWM12" s="1336"/>
      <c r="CWN12" s="1336"/>
      <c r="CWO12" s="1336"/>
      <c r="CWP12" s="1336"/>
      <c r="CWQ12" s="1337"/>
      <c r="CWR12" s="1337"/>
      <c r="CWS12" s="1337"/>
      <c r="CWT12" s="1337"/>
      <c r="CWU12" s="1337"/>
      <c r="CWV12" s="1338"/>
      <c r="CWW12" s="1339"/>
      <c r="CWX12" s="1340"/>
      <c r="CWY12" s="1340"/>
      <c r="CWZ12" s="1340"/>
      <c r="CXA12" s="1341"/>
      <c r="CXB12" s="1342"/>
      <c r="CXC12" s="1336"/>
      <c r="CXD12" s="1336"/>
      <c r="CXE12" s="1336"/>
      <c r="CXF12" s="1336"/>
      <c r="CXG12" s="1337"/>
      <c r="CXH12" s="1337"/>
      <c r="CXI12" s="1337"/>
      <c r="CXJ12" s="1337"/>
      <c r="CXK12" s="1337"/>
      <c r="CXL12" s="1338"/>
      <c r="CXM12" s="1339"/>
      <c r="CXN12" s="1340"/>
      <c r="CXO12" s="1340"/>
      <c r="CXP12" s="1340"/>
      <c r="CXQ12" s="1341"/>
      <c r="CXR12" s="1342"/>
      <c r="CXS12" s="1336"/>
      <c r="CXT12" s="1336"/>
      <c r="CXU12" s="1336"/>
      <c r="CXV12" s="1336"/>
      <c r="CXW12" s="1337"/>
      <c r="CXX12" s="1337"/>
      <c r="CXY12" s="1337"/>
      <c r="CXZ12" s="1337"/>
      <c r="CYA12" s="1337"/>
      <c r="CYB12" s="1338"/>
      <c r="CYC12" s="1339"/>
      <c r="CYD12" s="1340"/>
      <c r="CYE12" s="1340"/>
      <c r="CYF12" s="1340"/>
      <c r="CYG12" s="1341"/>
      <c r="CYH12" s="1342"/>
      <c r="CYI12" s="1336"/>
      <c r="CYJ12" s="1336"/>
      <c r="CYK12" s="1336"/>
      <c r="CYL12" s="1336"/>
      <c r="CYM12" s="1337"/>
      <c r="CYN12" s="1337"/>
      <c r="CYO12" s="1337"/>
      <c r="CYP12" s="1337"/>
      <c r="CYQ12" s="1337"/>
      <c r="CYR12" s="1338"/>
      <c r="CYS12" s="1339"/>
      <c r="CYT12" s="1340"/>
      <c r="CYU12" s="1340"/>
      <c r="CYV12" s="1340"/>
      <c r="CYW12" s="1341"/>
      <c r="CYX12" s="1342"/>
      <c r="CYY12" s="1336"/>
      <c r="CYZ12" s="1336"/>
      <c r="CZA12" s="1336"/>
      <c r="CZB12" s="1336"/>
      <c r="CZC12" s="1337"/>
      <c r="CZD12" s="1337"/>
      <c r="CZE12" s="1337"/>
      <c r="CZF12" s="1337"/>
      <c r="CZG12" s="1337"/>
      <c r="CZH12" s="1338"/>
      <c r="CZI12" s="1339"/>
      <c r="CZJ12" s="1340"/>
      <c r="CZK12" s="1340"/>
      <c r="CZL12" s="1340"/>
      <c r="CZM12" s="1341"/>
      <c r="CZN12" s="1342"/>
      <c r="CZO12" s="1336"/>
      <c r="CZP12" s="1336"/>
      <c r="CZQ12" s="1336"/>
      <c r="CZR12" s="1336"/>
      <c r="CZS12" s="1337"/>
      <c r="CZT12" s="1337"/>
      <c r="CZU12" s="1337"/>
      <c r="CZV12" s="1337"/>
      <c r="CZW12" s="1337"/>
      <c r="CZX12" s="1338"/>
      <c r="CZY12" s="1339"/>
      <c r="CZZ12" s="1340"/>
      <c r="DAA12" s="1340"/>
      <c r="DAB12" s="1340"/>
      <c r="DAC12" s="1341"/>
      <c r="DAD12" s="1342"/>
      <c r="DAE12" s="1336"/>
      <c r="DAF12" s="1336"/>
      <c r="DAG12" s="1336"/>
      <c r="DAH12" s="1336"/>
      <c r="DAI12" s="1337"/>
      <c r="DAJ12" s="1337"/>
      <c r="DAK12" s="1337"/>
      <c r="DAL12" s="1337"/>
      <c r="DAM12" s="1337"/>
      <c r="DAN12" s="1338"/>
      <c r="DAO12" s="1339"/>
      <c r="DAP12" s="1340"/>
      <c r="DAQ12" s="1340"/>
      <c r="DAR12" s="1340"/>
      <c r="DAS12" s="1341"/>
      <c r="DAT12" s="1342"/>
      <c r="DAU12" s="1336"/>
      <c r="DAV12" s="1336"/>
      <c r="DAW12" s="1336"/>
      <c r="DAX12" s="1336"/>
      <c r="DAY12" s="1337"/>
      <c r="DAZ12" s="1337"/>
      <c r="DBA12" s="1337"/>
      <c r="DBB12" s="1337"/>
      <c r="DBC12" s="1337"/>
      <c r="DBD12" s="1338"/>
      <c r="DBE12" s="1339"/>
      <c r="DBF12" s="1340"/>
      <c r="DBG12" s="1340"/>
      <c r="DBH12" s="1340"/>
      <c r="DBI12" s="1341"/>
      <c r="DBJ12" s="1342"/>
      <c r="DBK12" s="1336"/>
      <c r="DBL12" s="1336"/>
      <c r="DBM12" s="1336"/>
      <c r="DBN12" s="1336"/>
      <c r="DBO12" s="1337"/>
      <c r="DBP12" s="1337"/>
      <c r="DBQ12" s="1337"/>
      <c r="DBR12" s="1337"/>
      <c r="DBS12" s="1337"/>
      <c r="DBT12" s="1338"/>
      <c r="DBU12" s="1339"/>
      <c r="DBV12" s="1340"/>
      <c r="DBW12" s="1340"/>
      <c r="DBX12" s="1340"/>
      <c r="DBY12" s="1341"/>
      <c r="DBZ12" s="1342"/>
      <c r="DCA12" s="1336"/>
      <c r="DCB12" s="1336"/>
      <c r="DCC12" s="1336"/>
      <c r="DCD12" s="1336"/>
      <c r="DCE12" s="1337"/>
      <c r="DCF12" s="1337"/>
      <c r="DCG12" s="1337"/>
      <c r="DCH12" s="1337"/>
      <c r="DCI12" s="1337"/>
      <c r="DCJ12" s="1338"/>
      <c r="DCK12" s="1339"/>
      <c r="DCL12" s="1340"/>
      <c r="DCM12" s="1340"/>
      <c r="DCN12" s="1340"/>
      <c r="DCO12" s="1341"/>
      <c r="DCP12" s="1342"/>
      <c r="DCQ12" s="1336"/>
      <c r="DCR12" s="1336"/>
      <c r="DCS12" s="1336"/>
      <c r="DCT12" s="1336"/>
      <c r="DCU12" s="1337"/>
      <c r="DCV12" s="1337"/>
      <c r="DCW12" s="1337"/>
      <c r="DCX12" s="1337"/>
      <c r="DCY12" s="1337"/>
      <c r="DCZ12" s="1338"/>
      <c r="DDA12" s="1339"/>
      <c r="DDB12" s="1340"/>
      <c r="DDC12" s="1340"/>
      <c r="DDD12" s="1340"/>
      <c r="DDE12" s="1341"/>
      <c r="DDF12" s="1342"/>
      <c r="DDG12" s="1336"/>
      <c r="DDH12" s="1336"/>
      <c r="DDI12" s="1336"/>
      <c r="DDJ12" s="1336"/>
      <c r="DDK12" s="1337"/>
      <c r="DDL12" s="1337"/>
      <c r="DDM12" s="1337"/>
      <c r="DDN12" s="1337"/>
      <c r="DDO12" s="1337"/>
      <c r="DDP12" s="1338"/>
      <c r="DDQ12" s="1339"/>
      <c r="DDR12" s="1340"/>
      <c r="DDS12" s="1340"/>
      <c r="DDT12" s="1340"/>
      <c r="DDU12" s="1341"/>
      <c r="DDV12" s="1342"/>
      <c r="DDW12" s="1336"/>
      <c r="DDX12" s="1336"/>
      <c r="DDY12" s="1336"/>
      <c r="DDZ12" s="1336"/>
      <c r="DEA12" s="1337"/>
      <c r="DEB12" s="1337"/>
      <c r="DEC12" s="1337"/>
      <c r="DED12" s="1337"/>
      <c r="DEE12" s="1337"/>
      <c r="DEF12" s="1338"/>
      <c r="DEG12" s="1339"/>
      <c r="DEH12" s="1340"/>
      <c r="DEI12" s="1340"/>
      <c r="DEJ12" s="1340"/>
      <c r="DEK12" s="1341"/>
      <c r="DEL12" s="1342"/>
      <c r="DEM12" s="1336"/>
      <c r="DEN12" s="1336"/>
      <c r="DEO12" s="1336"/>
      <c r="DEP12" s="1336"/>
      <c r="DEQ12" s="1337"/>
      <c r="DER12" s="1337"/>
      <c r="DES12" s="1337"/>
      <c r="DET12" s="1337"/>
      <c r="DEU12" s="1337"/>
      <c r="DEV12" s="1338"/>
      <c r="DEW12" s="1339"/>
      <c r="DEX12" s="1340"/>
      <c r="DEY12" s="1340"/>
      <c r="DEZ12" s="1340"/>
      <c r="DFA12" s="1341"/>
      <c r="DFB12" s="1342"/>
      <c r="DFC12" s="1336"/>
      <c r="DFD12" s="1336"/>
      <c r="DFE12" s="1336"/>
      <c r="DFF12" s="1336"/>
      <c r="DFG12" s="1337"/>
      <c r="DFH12" s="1337"/>
      <c r="DFI12" s="1337"/>
      <c r="DFJ12" s="1337"/>
      <c r="DFK12" s="1337"/>
      <c r="DFL12" s="1338"/>
      <c r="DFM12" s="1339"/>
      <c r="DFN12" s="1340"/>
      <c r="DFO12" s="1340"/>
      <c r="DFP12" s="1340"/>
      <c r="DFQ12" s="1341"/>
      <c r="DFR12" s="1342"/>
      <c r="DFS12" s="1336"/>
      <c r="DFT12" s="1336"/>
      <c r="DFU12" s="1336"/>
      <c r="DFV12" s="1336"/>
      <c r="DFW12" s="1337"/>
      <c r="DFX12" s="1337"/>
      <c r="DFY12" s="1337"/>
      <c r="DFZ12" s="1337"/>
      <c r="DGA12" s="1337"/>
      <c r="DGB12" s="1338"/>
      <c r="DGC12" s="1339"/>
      <c r="DGD12" s="1340"/>
      <c r="DGE12" s="1340"/>
      <c r="DGF12" s="1340"/>
      <c r="DGG12" s="1341"/>
      <c r="DGH12" s="1342"/>
      <c r="DGI12" s="1336"/>
      <c r="DGJ12" s="1336"/>
      <c r="DGK12" s="1336"/>
      <c r="DGL12" s="1336"/>
      <c r="DGM12" s="1337"/>
      <c r="DGN12" s="1337"/>
      <c r="DGO12" s="1337"/>
      <c r="DGP12" s="1337"/>
      <c r="DGQ12" s="1337"/>
      <c r="DGR12" s="1338"/>
      <c r="DGS12" s="1339"/>
      <c r="DGT12" s="1340"/>
      <c r="DGU12" s="1340"/>
      <c r="DGV12" s="1340"/>
      <c r="DGW12" s="1341"/>
      <c r="DGX12" s="1342"/>
      <c r="DGY12" s="1336"/>
      <c r="DGZ12" s="1336"/>
      <c r="DHA12" s="1336"/>
      <c r="DHB12" s="1336"/>
      <c r="DHC12" s="1337"/>
      <c r="DHD12" s="1337"/>
      <c r="DHE12" s="1337"/>
      <c r="DHF12" s="1337"/>
      <c r="DHG12" s="1337"/>
      <c r="DHH12" s="1338"/>
      <c r="DHI12" s="1339"/>
      <c r="DHJ12" s="1340"/>
      <c r="DHK12" s="1340"/>
      <c r="DHL12" s="1340"/>
      <c r="DHM12" s="1341"/>
      <c r="DHN12" s="1342"/>
      <c r="DHO12" s="1336"/>
      <c r="DHP12" s="1336"/>
      <c r="DHQ12" s="1336"/>
      <c r="DHR12" s="1336"/>
      <c r="DHS12" s="1337"/>
      <c r="DHT12" s="1337"/>
      <c r="DHU12" s="1337"/>
      <c r="DHV12" s="1337"/>
      <c r="DHW12" s="1337"/>
      <c r="DHX12" s="1338"/>
      <c r="DHY12" s="1339"/>
      <c r="DHZ12" s="1340"/>
      <c r="DIA12" s="1340"/>
      <c r="DIB12" s="1340"/>
      <c r="DIC12" s="1341"/>
      <c r="DID12" s="1342"/>
      <c r="DIE12" s="1336"/>
      <c r="DIF12" s="1336"/>
      <c r="DIG12" s="1336"/>
      <c r="DIH12" s="1336"/>
      <c r="DII12" s="1337"/>
      <c r="DIJ12" s="1337"/>
      <c r="DIK12" s="1337"/>
      <c r="DIL12" s="1337"/>
      <c r="DIM12" s="1337"/>
      <c r="DIN12" s="1338"/>
      <c r="DIO12" s="1339"/>
      <c r="DIP12" s="1340"/>
      <c r="DIQ12" s="1340"/>
      <c r="DIR12" s="1340"/>
      <c r="DIS12" s="1341"/>
      <c r="DIT12" s="1342"/>
      <c r="DIU12" s="1336"/>
      <c r="DIV12" s="1336"/>
      <c r="DIW12" s="1336"/>
      <c r="DIX12" s="1336"/>
      <c r="DIY12" s="1337"/>
      <c r="DIZ12" s="1337"/>
      <c r="DJA12" s="1337"/>
      <c r="DJB12" s="1337"/>
      <c r="DJC12" s="1337"/>
      <c r="DJD12" s="1338"/>
      <c r="DJE12" s="1339"/>
      <c r="DJF12" s="1340"/>
      <c r="DJG12" s="1340"/>
      <c r="DJH12" s="1340"/>
      <c r="DJI12" s="1341"/>
      <c r="DJJ12" s="1342"/>
      <c r="DJK12" s="1336"/>
      <c r="DJL12" s="1336"/>
      <c r="DJM12" s="1336"/>
      <c r="DJN12" s="1336"/>
      <c r="DJO12" s="1337"/>
      <c r="DJP12" s="1337"/>
      <c r="DJQ12" s="1337"/>
      <c r="DJR12" s="1337"/>
      <c r="DJS12" s="1337"/>
      <c r="DJT12" s="1338"/>
      <c r="DJU12" s="1339"/>
      <c r="DJV12" s="1340"/>
      <c r="DJW12" s="1340"/>
      <c r="DJX12" s="1340"/>
      <c r="DJY12" s="1341"/>
      <c r="DJZ12" s="1342"/>
      <c r="DKA12" s="1336"/>
      <c r="DKB12" s="1336"/>
      <c r="DKC12" s="1336"/>
      <c r="DKD12" s="1336"/>
      <c r="DKE12" s="1337"/>
      <c r="DKF12" s="1337"/>
      <c r="DKG12" s="1337"/>
      <c r="DKH12" s="1337"/>
      <c r="DKI12" s="1337"/>
      <c r="DKJ12" s="1338"/>
      <c r="DKK12" s="1339"/>
      <c r="DKL12" s="1340"/>
      <c r="DKM12" s="1340"/>
      <c r="DKN12" s="1340"/>
      <c r="DKO12" s="1341"/>
      <c r="DKP12" s="1342"/>
      <c r="DKQ12" s="1336"/>
      <c r="DKR12" s="1336"/>
      <c r="DKS12" s="1336"/>
      <c r="DKT12" s="1336"/>
      <c r="DKU12" s="1337"/>
      <c r="DKV12" s="1337"/>
      <c r="DKW12" s="1337"/>
      <c r="DKX12" s="1337"/>
      <c r="DKY12" s="1337"/>
      <c r="DKZ12" s="1338"/>
      <c r="DLA12" s="1339"/>
      <c r="DLB12" s="1340"/>
      <c r="DLC12" s="1340"/>
      <c r="DLD12" s="1340"/>
      <c r="DLE12" s="1341"/>
      <c r="DLF12" s="1342"/>
      <c r="DLG12" s="1336"/>
      <c r="DLH12" s="1336"/>
      <c r="DLI12" s="1336"/>
      <c r="DLJ12" s="1336"/>
      <c r="DLK12" s="1337"/>
      <c r="DLL12" s="1337"/>
      <c r="DLM12" s="1337"/>
      <c r="DLN12" s="1337"/>
      <c r="DLO12" s="1337"/>
      <c r="DLP12" s="1338"/>
      <c r="DLQ12" s="1339"/>
      <c r="DLR12" s="1340"/>
      <c r="DLS12" s="1340"/>
      <c r="DLT12" s="1340"/>
      <c r="DLU12" s="1341"/>
      <c r="DLV12" s="1342"/>
      <c r="DLW12" s="1336"/>
      <c r="DLX12" s="1336"/>
      <c r="DLY12" s="1336"/>
      <c r="DLZ12" s="1336"/>
      <c r="DMA12" s="1337"/>
      <c r="DMB12" s="1337"/>
      <c r="DMC12" s="1337"/>
      <c r="DMD12" s="1337"/>
      <c r="DME12" s="1337"/>
      <c r="DMF12" s="1338"/>
      <c r="DMG12" s="1339"/>
      <c r="DMH12" s="1340"/>
      <c r="DMI12" s="1340"/>
      <c r="DMJ12" s="1340"/>
      <c r="DMK12" s="1341"/>
      <c r="DML12" s="1342"/>
      <c r="DMM12" s="1336"/>
      <c r="DMN12" s="1336"/>
      <c r="DMO12" s="1336"/>
      <c r="DMP12" s="1336"/>
      <c r="DMQ12" s="1337"/>
      <c r="DMR12" s="1337"/>
      <c r="DMS12" s="1337"/>
      <c r="DMT12" s="1337"/>
      <c r="DMU12" s="1337"/>
      <c r="DMV12" s="1338"/>
      <c r="DMW12" s="1339"/>
      <c r="DMX12" s="1340"/>
      <c r="DMY12" s="1340"/>
      <c r="DMZ12" s="1340"/>
      <c r="DNA12" s="1341"/>
      <c r="DNB12" s="1342"/>
      <c r="DNC12" s="1336"/>
      <c r="DND12" s="1336"/>
      <c r="DNE12" s="1336"/>
      <c r="DNF12" s="1336"/>
      <c r="DNG12" s="1337"/>
      <c r="DNH12" s="1337"/>
      <c r="DNI12" s="1337"/>
      <c r="DNJ12" s="1337"/>
      <c r="DNK12" s="1337"/>
      <c r="DNL12" s="1338"/>
      <c r="DNM12" s="1339"/>
      <c r="DNN12" s="1340"/>
      <c r="DNO12" s="1340"/>
      <c r="DNP12" s="1340"/>
      <c r="DNQ12" s="1341"/>
      <c r="DNR12" s="1342"/>
      <c r="DNS12" s="1336"/>
      <c r="DNT12" s="1336"/>
      <c r="DNU12" s="1336"/>
      <c r="DNV12" s="1336"/>
      <c r="DNW12" s="1337"/>
      <c r="DNX12" s="1337"/>
      <c r="DNY12" s="1337"/>
      <c r="DNZ12" s="1337"/>
      <c r="DOA12" s="1337"/>
      <c r="DOB12" s="1338"/>
      <c r="DOC12" s="1339"/>
      <c r="DOD12" s="1340"/>
      <c r="DOE12" s="1340"/>
      <c r="DOF12" s="1340"/>
      <c r="DOG12" s="1341"/>
      <c r="DOH12" s="1342"/>
      <c r="DOI12" s="1336"/>
      <c r="DOJ12" s="1336"/>
      <c r="DOK12" s="1336"/>
      <c r="DOL12" s="1336"/>
      <c r="DOM12" s="1337"/>
      <c r="DON12" s="1337"/>
      <c r="DOO12" s="1337"/>
      <c r="DOP12" s="1337"/>
      <c r="DOQ12" s="1337"/>
      <c r="DOR12" s="1338"/>
      <c r="DOS12" s="1339"/>
      <c r="DOT12" s="1340"/>
      <c r="DOU12" s="1340"/>
      <c r="DOV12" s="1340"/>
      <c r="DOW12" s="1341"/>
      <c r="DOX12" s="1342"/>
      <c r="DOY12" s="1336"/>
      <c r="DOZ12" s="1336"/>
      <c r="DPA12" s="1336"/>
      <c r="DPB12" s="1336"/>
      <c r="DPC12" s="1337"/>
      <c r="DPD12" s="1337"/>
      <c r="DPE12" s="1337"/>
      <c r="DPF12" s="1337"/>
      <c r="DPG12" s="1337"/>
      <c r="DPH12" s="1338"/>
      <c r="DPI12" s="1339"/>
      <c r="DPJ12" s="1340"/>
      <c r="DPK12" s="1340"/>
      <c r="DPL12" s="1340"/>
      <c r="DPM12" s="1341"/>
      <c r="DPN12" s="1342"/>
      <c r="DPO12" s="1336"/>
      <c r="DPP12" s="1336"/>
      <c r="DPQ12" s="1336"/>
      <c r="DPR12" s="1336"/>
      <c r="DPS12" s="1337"/>
      <c r="DPT12" s="1337"/>
      <c r="DPU12" s="1337"/>
      <c r="DPV12" s="1337"/>
      <c r="DPW12" s="1337"/>
      <c r="DPX12" s="1338"/>
      <c r="DPY12" s="1339"/>
      <c r="DPZ12" s="1340"/>
      <c r="DQA12" s="1340"/>
      <c r="DQB12" s="1340"/>
      <c r="DQC12" s="1341"/>
      <c r="DQD12" s="1342"/>
      <c r="DQE12" s="1336"/>
      <c r="DQF12" s="1336"/>
      <c r="DQG12" s="1336"/>
      <c r="DQH12" s="1336"/>
      <c r="DQI12" s="1337"/>
      <c r="DQJ12" s="1337"/>
      <c r="DQK12" s="1337"/>
      <c r="DQL12" s="1337"/>
      <c r="DQM12" s="1337"/>
      <c r="DQN12" s="1338"/>
      <c r="DQO12" s="1339"/>
      <c r="DQP12" s="1340"/>
      <c r="DQQ12" s="1340"/>
      <c r="DQR12" s="1340"/>
      <c r="DQS12" s="1341"/>
      <c r="DQT12" s="1342"/>
      <c r="DQU12" s="1336"/>
      <c r="DQV12" s="1336"/>
      <c r="DQW12" s="1336"/>
      <c r="DQX12" s="1336"/>
      <c r="DQY12" s="1337"/>
      <c r="DQZ12" s="1337"/>
      <c r="DRA12" s="1337"/>
      <c r="DRB12" s="1337"/>
      <c r="DRC12" s="1337"/>
      <c r="DRD12" s="1338"/>
      <c r="DRE12" s="1339"/>
      <c r="DRF12" s="1340"/>
      <c r="DRG12" s="1340"/>
      <c r="DRH12" s="1340"/>
      <c r="DRI12" s="1341"/>
      <c r="DRJ12" s="1342"/>
      <c r="DRK12" s="1336"/>
      <c r="DRL12" s="1336"/>
      <c r="DRM12" s="1336"/>
      <c r="DRN12" s="1336"/>
      <c r="DRO12" s="1337"/>
      <c r="DRP12" s="1337"/>
      <c r="DRQ12" s="1337"/>
      <c r="DRR12" s="1337"/>
      <c r="DRS12" s="1337"/>
      <c r="DRT12" s="1338"/>
      <c r="DRU12" s="1339"/>
      <c r="DRV12" s="1340"/>
      <c r="DRW12" s="1340"/>
      <c r="DRX12" s="1340"/>
      <c r="DRY12" s="1341"/>
      <c r="DRZ12" s="1342"/>
      <c r="DSA12" s="1336"/>
      <c r="DSB12" s="1336"/>
      <c r="DSC12" s="1336"/>
      <c r="DSD12" s="1336"/>
      <c r="DSE12" s="1337"/>
      <c r="DSF12" s="1337"/>
      <c r="DSG12" s="1337"/>
      <c r="DSH12" s="1337"/>
      <c r="DSI12" s="1337"/>
      <c r="DSJ12" s="1338"/>
      <c r="DSK12" s="1339"/>
      <c r="DSL12" s="1340"/>
      <c r="DSM12" s="1340"/>
      <c r="DSN12" s="1340"/>
      <c r="DSO12" s="1341"/>
      <c r="DSP12" s="1342"/>
      <c r="DSQ12" s="1336"/>
      <c r="DSR12" s="1336"/>
      <c r="DSS12" s="1336"/>
      <c r="DST12" s="1336"/>
      <c r="DSU12" s="1337"/>
      <c r="DSV12" s="1337"/>
      <c r="DSW12" s="1337"/>
      <c r="DSX12" s="1337"/>
      <c r="DSY12" s="1337"/>
      <c r="DSZ12" s="1338"/>
      <c r="DTA12" s="1339"/>
      <c r="DTB12" s="1340"/>
      <c r="DTC12" s="1340"/>
      <c r="DTD12" s="1340"/>
      <c r="DTE12" s="1341"/>
      <c r="DTF12" s="1342"/>
      <c r="DTG12" s="1336"/>
      <c r="DTH12" s="1336"/>
      <c r="DTI12" s="1336"/>
      <c r="DTJ12" s="1336"/>
      <c r="DTK12" s="1337"/>
      <c r="DTL12" s="1337"/>
      <c r="DTM12" s="1337"/>
      <c r="DTN12" s="1337"/>
      <c r="DTO12" s="1337"/>
      <c r="DTP12" s="1338"/>
      <c r="DTQ12" s="1339"/>
      <c r="DTR12" s="1340"/>
      <c r="DTS12" s="1340"/>
      <c r="DTT12" s="1340"/>
      <c r="DTU12" s="1341"/>
      <c r="DTV12" s="1342"/>
      <c r="DTW12" s="1336"/>
      <c r="DTX12" s="1336"/>
      <c r="DTY12" s="1336"/>
      <c r="DTZ12" s="1336"/>
      <c r="DUA12" s="1337"/>
      <c r="DUB12" s="1337"/>
      <c r="DUC12" s="1337"/>
      <c r="DUD12" s="1337"/>
      <c r="DUE12" s="1337"/>
      <c r="DUF12" s="1338"/>
      <c r="DUG12" s="1339"/>
      <c r="DUH12" s="1340"/>
      <c r="DUI12" s="1340"/>
      <c r="DUJ12" s="1340"/>
      <c r="DUK12" s="1341"/>
      <c r="DUL12" s="1342"/>
      <c r="DUM12" s="1336"/>
      <c r="DUN12" s="1336"/>
      <c r="DUO12" s="1336"/>
      <c r="DUP12" s="1336"/>
      <c r="DUQ12" s="1337"/>
      <c r="DUR12" s="1337"/>
      <c r="DUS12" s="1337"/>
      <c r="DUT12" s="1337"/>
      <c r="DUU12" s="1337"/>
      <c r="DUV12" s="1338"/>
      <c r="DUW12" s="1339"/>
      <c r="DUX12" s="1340"/>
      <c r="DUY12" s="1340"/>
      <c r="DUZ12" s="1340"/>
      <c r="DVA12" s="1341"/>
      <c r="DVB12" s="1342"/>
      <c r="DVC12" s="1336"/>
      <c r="DVD12" s="1336"/>
      <c r="DVE12" s="1336"/>
      <c r="DVF12" s="1336"/>
      <c r="DVG12" s="1337"/>
      <c r="DVH12" s="1337"/>
      <c r="DVI12" s="1337"/>
      <c r="DVJ12" s="1337"/>
      <c r="DVK12" s="1337"/>
      <c r="DVL12" s="1338"/>
      <c r="DVM12" s="1339"/>
      <c r="DVN12" s="1340"/>
      <c r="DVO12" s="1340"/>
      <c r="DVP12" s="1340"/>
      <c r="DVQ12" s="1341"/>
      <c r="DVR12" s="1342"/>
      <c r="DVS12" s="1336"/>
      <c r="DVT12" s="1336"/>
      <c r="DVU12" s="1336"/>
      <c r="DVV12" s="1336"/>
      <c r="DVW12" s="1337"/>
      <c r="DVX12" s="1337"/>
      <c r="DVY12" s="1337"/>
      <c r="DVZ12" s="1337"/>
      <c r="DWA12" s="1337"/>
      <c r="DWB12" s="1338"/>
      <c r="DWC12" s="1339"/>
      <c r="DWD12" s="1340"/>
      <c r="DWE12" s="1340"/>
      <c r="DWF12" s="1340"/>
      <c r="DWG12" s="1341"/>
      <c r="DWH12" s="1342"/>
      <c r="DWI12" s="1336"/>
      <c r="DWJ12" s="1336"/>
      <c r="DWK12" s="1336"/>
      <c r="DWL12" s="1336"/>
      <c r="DWM12" s="1337"/>
      <c r="DWN12" s="1337"/>
      <c r="DWO12" s="1337"/>
      <c r="DWP12" s="1337"/>
      <c r="DWQ12" s="1337"/>
      <c r="DWR12" s="1338"/>
      <c r="DWS12" s="1339"/>
      <c r="DWT12" s="1340"/>
      <c r="DWU12" s="1340"/>
      <c r="DWV12" s="1340"/>
      <c r="DWW12" s="1341"/>
      <c r="DWX12" s="1342"/>
      <c r="DWY12" s="1336"/>
      <c r="DWZ12" s="1336"/>
      <c r="DXA12" s="1336"/>
      <c r="DXB12" s="1336"/>
      <c r="DXC12" s="1337"/>
      <c r="DXD12" s="1337"/>
      <c r="DXE12" s="1337"/>
      <c r="DXF12" s="1337"/>
      <c r="DXG12" s="1337"/>
      <c r="DXH12" s="1338"/>
      <c r="DXI12" s="1339"/>
      <c r="DXJ12" s="1340"/>
      <c r="DXK12" s="1340"/>
      <c r="DXL12" s="1340"/>
      <c r="DXM12" s="1341"/>
      <c r="DXN12" s="1342"/>
      <c r="DXO12" s="1336"/>
      <c r="DXP12" s="1336"/>
      <c r="DXQ12" s="1336"/>
      <c r="DXR12" s="1336"/>
      <c r="DXS12" s="1337"/>
      <c r="DXT12" s="1337"/>
      <c r="DXU12" s="1337"/>
      <c r="DXV12" s="1337"/>
      <c r="DXW12" s="1337"/>
      <c r="DXX12" s="1338"/>
      <c r="DXY12" s="1339"/>
      <c r="DXZ12" s="1340"/>
      <c r="DYA12" s="1340"/>
      <c r="DYB12" s="1340"/>
      <c r="DYC12" s="1341"/>
      <c r="DYD12" s="1342"/>
      <c r="DYE12" s="1336"/>
      <c r="DYF12" s="1336"/>
      <c r="DYG12" s="1336"/>
      <c r="DYH12" s="1336"/>
      <c r="DYI12" s="1337"/>
      <c r="DYJ12" s="1337"/>
      <c r="DYK12" s="1337"/>
      <c r="DYL12" s="1337"/>
      <c r="DYM12" s="1337"/>
      <c r="DYN12" s="1338"/>
      <c r="DYO12" s="1339"/>
      <c r="DYP12" s="1340"/>
      <c r="DYQ12" s="1340"/>
      <c r="DYR12" s="1340"/>
      <c r="DYS12" s="1341"/>
      <c r="DYT12" s="1342"/>
      <c r="DYU12" s="1336"/>
      <c r="DYV12" s="1336"/>
      <c r="DYW12" s="1336"/>
      <c r="DYX12" s="1336"/>
      <c r="DYY12" s="1337"/>
      <c r="DYZ12" s="1337"/>
      <c r="DZA12" s="1337"/>
      <c r="DZB12" s="1337"/>
      <c r="DZC12" s="1337"/>
      <c r="DZD12" s="1338"/>
      <c r="DZE12" s="1339"/>
      <c r="DZF12" s="1340"/>
      <c r="DZG12" s="1340"/>
      <c r="DZH12" s="1340"/>
      <c r="DZI12" s="1341"/>
      <c r="DZJ12" s="1342"/>
      <c r="DZK12" s="1336"/>
      <c r="DZL12" s="1336"/>
      <c r="DZM12" s="1336"/>
      <c r="DZN12" s="1336"/>
      <c r="DZO12" s="1337"/>
      <c r="DZP12" s="1337"/>
      <c r="DZQ12" s="1337"/>
      <c r="DZR12" s="1337"/>
      <c r="DZS12" s="1337"/>
      <c r="DZT12" s="1338"/>
      <c r="DZU12" s="1339"/>
      <c r="DZV12" s="1340"/>
      <c r="DZW12" s="1340"/>
      <c r="DZX12" s="1340"/>
      <c r="DZY12" s="1341"/>
      <c r="DZZ12" s="1342"/>
      <c r="EAA12" s="1336"/>
      <c r="EAB12" s="1336"/>
      <c r="EAC12" s="1336"/>
      <c r="EAD12" s="1336"/>
      <c r="EAE12" s="1337"/>
      <c r="EAF12" s="1337"/>
      <c r="EAG12" s="1337"/>
      <c r="EAH12" s="1337"/>
      <c r="EAI12" s="1337"/>
      <c r="EAJ12" s="1338"/>
      <c r="EAK12" s="1339"/>
      <c r="EAL12" s="1340"/>
      <c r="EAM12" s="1340"/>
      <c r="EAN12" s="1340"/>
      <c r="EAO12" s="1341"/>
      <c r="EAP12" s="1342"/>
      <c r="EAQ12" s="1336"/>
      <c r="EAR12" s="1336"/>
      <c r="EAS12" s="1336"/>
      <c r="EAT12" s="1336"/>
      <c r="EAU12" s="1337"/>
      <c r="EAV12" s="1337"/>
      <c r="EAW12" s="1337"/>
      <c r="EAX12" s="1337"/>
      <c r="EAY12" s="1337"/>
      <c r="EAZ12" s="1338"/>
      <c r="EBA12" s="1339"/>
      <c r="EBB12" s="1340"/>
      <c r="EBC12" s="1340"/>
      <c r="EBD12" s="1340"/>
      <c r="EBE12" s="1341"/>
      <c r="EBF12" s="1342"/>
      <c r="EBG12" s="1336"/>
      <c r="EBH12" s="1336"/>
      <c r="EBI12" s="1336"/>
      <c r="EBJ12" s="1336"/>
      <c r="EBK12" s="1337"/>
      <c r="EBL12" s="1337"/>
      <c r="EBM12" s="1337"/>
      <c r="EBN12" s="1337"/>
      <c r="EBO12" s="1337"/>
      <c r="EBP12" s="1338"/>
      <c r="EBQ12" s="1339"/>
      <c r="EBR12" s="1340"/>
      <c r="EBS12" s="1340"/>
      <c r="EBT12" s="1340"/>
      <c r="EBU12" s="1341"/>
      <c r="EBV12" s="1342"/>
      <c r="EBW12" s="1336"/>
      <c r="EBX12" s="1336"/>
      <c r="EBY12" s="1336"/>
      <c r="EBZ12" s="1336"/>
      <c r="ECA12" s="1337"/>
      <c r="ECB12" s="1337"/>
      <c r="ECC12" s="1337"/>
      <c r="ECD12" s="1337"/>
      <c r="ECE12" s="1337"/>
      <c r="ECF12" s="1338"/>
      <c r="ECG12" s="1339"/>
      <c r="ECH12" s="1340"/>
      <c r="ECI12" s="1340"/>
      <c r="ECJ12" s="1340"/>
      <c r="ECK12" s="1341"/>
      <c r="ECL12" s="1342"/>
      <c r="ECM12" s="1336"/>
      <c r="ECN12" s="1336"/>
      <c r="ECO12" s="1336"/>
      <c r="ECP12" s="1336"/>
      <c r="ECQ12" s="1337"/>
      <c r="ECR12" s="1337"/>
      <c r="ECS12" s="1337"/>
      <c r="ECT12" s="1337"/>
      <c r="ECU12" s="1337"/>
      <c r="ECV12" s="1338"/>
      <c r="ECW12" s="1339"/>
      <c r="ECX12" s="1340"/>
      <c r="ECY12" s="1340"/>
      <c r="ECZ12" s="1340"/>
      <c r="EDA12" s="1341"/>
      <c r="EDB12" s="1342"/>
      <c r="EDC12" s="1336"/>
      <c r="EDD12" s="1336"/>
      <c r="EDE12" s="1336"/>
      <c r="EDF12" s="1336"/>
      <c r="EDG12" s="1337"/>
      <c r="EDH12" s="1337"/>
      <c r="EDI12" s="1337"/>
      <c r="EDJ12" s="1337"/>
      <c r="EDK12" s="1337"/>
      <c r="EDL12" s="1338"/>
      <c r="EDM12" s="1339"/>
      <c r="EDN12" s="1340"/>
      <c r="EDO12" s="1340"/>
      <c r="EDP12" s="1340"/>
      <c r="EDQ12" s="1341"/>
      <c r="EDR12" s="1342"/>
      <c r="EDS12" s="1336"/>
      <c r="EDT12" s="1336"/>
      <c r="EDU12" s="1336"/>
      <c r="EDV12" s="1336"/>
      <c r="EDW12" s="1337"/>
      <c r="EDX12" s="1337"/>
      <c r="EDY12" s="1337"/>
      <c r="EDZ12" s="1337"/>
      <c r="EEA12" s="1337"/>
      <c r="EEB12" s="1338"/>
      <c r="EEC12" s="1339"/>
      <c r="EED12" s="1340"/>
      <c r="EEE12" s="1340"/>
      <c r="EEF12" s="1340"/>
      <c r="EEG12" s="1341"/>
      <c r="EEH12" s="1342"/>
      <c r="EEI12" s="1336"/>
      <c r="EEJ12" s="1336"/>
      <c r="EEK12" s="1336"/>
      <c r="EEL12" s="1336"/>
      <c r="EEM12" s="1337"/>
      <c r="EEN12" s="1337"/>
      <c r="EEO12" s="1337"/>
      <c r="EEP12" s="1337"/>
      <c r="EEQ12" s="1337"/>
      <c r="EER12" s="1338"/>
      <c r="EES12" s="1339"/>
      <c r="EET12" s="1340"/>
      <c r="EEU12" s="1340"/>
      <c r="EEV12" s="1340"/>
      <c r="EEW12" s="1341"/>
      <c r="EEX12" s="1342"/>
      <c r="EEY12" s="1336"/>
      <c r="EEZ12" s="1336"/>
      <c r="EFA12" s="1336"/>
      <c r="EFB12" s="1336"/>
      <c r="EFC12" s="1337"/>
      <c r="EFD12" s="1337"/>
      <c r="EFE12" s="1337"/>
      <c r="EFF12" s="1337"/>
      <c r="EFG12" s="1337"/>
      <c r="EFH12" s="1338"/>
      <c r="EFI12" s="1339"/>
      <c r="EFJ12" s="1340"/>
      <c r="EFK12" s="1340"/>
      <c r="EFL12" s="1340"/>
      <c r="EFM12" s="1341"/>
      <c r="EFN12" s="1342"/>
      <c r="EFO12" s="1336"/>
      <c r="EFP12" s="1336"/>
      <c r="EFQ12" s="1336"/>
      <c r="EFR12" s="1336"/>
      <c r="EFS12" s="1337"/>
      <c r="EFT12" s="1337"/>
      <c r="EFU12" s="1337"/>
      <c r="EFV12" s="1337"/>
      <c r="EFW12" s="1337"/>
      <c r="EFX12" s="1338"/>
      <c r="EFY12" s="1339"/>
      <c r="EFZ12" s="1340"/>
      <c r="EGA12" s="1340"/>
      <c r="EGB12" s="1340"/>
      <c r="EGC12" s="1341"/>
      <c r="EGD12" s="1342"/>
      <c r="EGE12" s="1336"/>
      <c r="EGF12" s="1336"/>
      <c r="EGG12" s="1336"/>
      <c r="EGH12" s="1336"/>
      <c r="EGI12" s="1337"/>
      <c r="EGJ12" s="1337"/>
      <c r="EGK12" s="1337"/>
      <c r="EGL12" s="1337"/>
      <c r="EGM12" s="1337"/>
      <c r="EGN12" s="1338"/>
      <c r="EGO12" s="1339"/>
      <c r="EGP12" s="1340"/>
      <c r="EGQ12" s="1340"/>
      <c r="EGR12" s="1340"/>
      <c r="EGS12" s="1341"/>
      <c r="EGT12" s="1342"/>
      <c r="EGU12" s="1336"/>
      <c r="EGV12" s="1336"/>
      <c r="EGW12" s="1336"/>
      <c r="EGX12" s="1336"/>
      <c r="EGY12" s="1337"/>
      <c r="EGZ12" s="1337"/>
      <c r="EHA12" s="1337"/>
      <c r="EHB12" s="1337"/>
      <c r="EHC12" s="1337"/>
      <c r="EHD12" s="1338"/>
      <c r="EHE12" s="1339"/>
      <c r="EHF12" s="1340"/>
      <c r="EHG12" s="1340"/>
      <c r="EHH12" s="1340"/>
      <c r="EHI12" s="1341"/>
      <c r="EHJ12" s="1342"/>
      <c r="EHK12" s="1336"/>
      <c r="EHL12" s="1336"/>
      <c r="EHM12" s="1336"/>
      <c r="EHN12" s="1336"/>
      <c r="EHO12" s="1337"/>
      <c r="EHP12" s="1337"/>
      <c r="EHQ12" s="1337"/>
      <c r="EHR12" s="1337"/>
      <c r="EHS12" s="1337"/>
      <c r="EHT12" s="1338"/>
      <c r="EHU12" s="1339"/>
      <c r="EHV12" s="1340"/>
      <c r="EHW12" s="1340"/>
      <c r="EHX12" s="1340"/>
      <c r="EHY12" s="1341"/>
      <c r="EHZ12" s="1342"/>
      <c r="EIA12" s="1336"/>
      <c r="EIB12" s="1336"/>
      <c r="EIC12" s="1336"/>
      <c r="EID12" s="1336"/>
      <c r="EIE12" s="1337"/>
      <c r="EIF12" s="1337"/>
      <c r="EIG12" s="1337"/>
      <c r="EIH12" s="1337"/>
      <c r="EII12" s="1337"/>
      <c r="EIJ12" s="1338"/>
      <c r="EIK12" s="1339"/>
      <c r="EIL12" s="1340"/>
      <c r="EIM12" s="1340"/>
      <c r="EIN12" s="1340"/>
      <c r="EIO12" s="1341"/>
      <c r="EIP12" s="1342"/>
      <c r="EIQ12" s="1336"/>
      <c r="EIR12" s="1336"/>
      <c r="EIS12" s="1336"/>
      <c r="EIT12" s="1336"/>
      <c r="EIU12" s="1337"/>
      <c r="EIV12" s="1337"/>
      <c r="EIW12" s="1337"/>
      <c r="EIX12" s="1337"/>
      <c r="EIY12" s="1337"/>
      <c r="EIZ12" s="1338"/>
      <c r="EJA12" s="1339"/>
      <c r="EJB12" s="1340"/>
      <c r="EJC12" s="1340"/>
      <c r="EJD12" s="1340"/>
      <c r="EJE12" s="1341"/>
      <c r="EJF12" s="1342"/>
      <c r="EJG12" s="1336"/>
      <c r="EJH12" s="1336"/>
      <c r="EJI12" s="1336"/>
      <c r="EJJ12" s="1336"/>
      <c r="EJK12" s="1337"/>
      <c r="EJL12" s="1337"/>
      <c r="EJM12" s="1337"/>
      <c r="EJN12" s="1337"/>
      <c r="EJO12" s="1337"/>
      <c r="EJP12" s="1338"/>
      <c r="EJQ12" s="1339"/>
      <c r="EJR12" s="1340"/>
      <c r="EJS12" s="1340"/>
      <c r="EJT12" s="1340"/>
      <c r="EJU12" s="1341"/>
      <c r="EJV12" s="1342"/>
      <c r="EJW12" s="1336"/>
      <c r="EJX12" s="1336"/>
      <c r="EJY12" s="1336"/>
      <c r="EJZ12" s="1336"/>
      <c r="EKA12" s="1337"/>
      <c r="EKB12" s="1337"/>
      <c r="EKC12" s="1337"/>
      <c r="EKD12" s="1337"/>
      <c r="EKE12" s="1337"/>
      <c r="EKF12" s="1338"/>
      <c r="EKG12" s="1339"/>
      <c r="EKH12" s="1340"/>
      <c r="EKI12" s="1340"/>
      <c r="EKJ12" s="1340"/>
      <c r="EKK12" s="1341"/>
      <c r="EKL12" s="1342"/>
      <c r="EKM12" s="1336"/>
      <c r="EKN12" s="1336"/>
      <c r="EKO12" s="1336"/>
      <c r="EKP12" s="1336"/>
      <c r="EKQ12" s="1337"/>
      <c r="EKR12" s="1337"/>
      <c r="EKS12" s="1337"/>
      <c r="EKT12" s="1337"/>
      <c r="EKU12" s="1337"/>
      <c r="EKV12" s="1338"/>
      <c r="EKW12" s="1339"/>
      <c r="EKX12" s="1340"/>
      <c r="EKY12" s="1340"/>
      <c r="EKZ12" s="1340"/>
      <c r="ELA12" s="1341"/>
      <c r="ELB12" s="1342"/>
      <c r="ELC12" s="1336"/>
      <c r="ELD12" s="1336"/>
      <c r="ELE12" s="1336"/>
      <c r="ELF12" s="1336"/>
      <c r="ELG12" s="1337"/>
      <c r="ELH12" s="1337"/>
      <c r="ELI12" s="1337"/>
      <c r="ELJ12" s="1337"/>
      <c r="ELK12" s="1337"/>
      <c r="ELL12" s="1338"/>
      <c r="ELM12" s="1339"/>
      <c r="ELN12" s="1340"/>
      <c r="ELO12" s="1340"/>
      <c r="ELP12" s="1340"/>
      <c r="ELQ12" s="1341"/>
      <c r="ELR12" s="1342"/>
      <c r="ELS12" s="1336"/>
      <c r="ELT12" s="1336"/>
      <c r="ELU12" s="1336"/>
      <c r="ELV12" s="1336"/>
      <c r="ELW12" s="1337"/>
      <c r="ELX12" s="1337"/>
      <c r="ELY12" s="1337"/>
      <c r="ELZ12" s="1337"/>
      <c r="EMA12" s="1337"/>
      <c r="EMB12" s="1338"/>
      <c r="EMC12" s="1339"/>
      <c r="EMD12" s="1340"/>
      <c r="EME12" s="1340"/>
      <c r="EMF12" s="1340"/>
      <c r="EMG12" s="1341"/>
      <c r="EMH12" s="1342"/>
      <c r="EMI12" s="1336"/>
      <c r="EMJ12" s="1336"/>
      <c r="EMK12" s="1336"/>
      <c r="EML12" s="1336"/>
      <c r="EMM12" s="1337"/>
      <c r="EMN12" s="1337"/>
      <c r="EMO12" s="1337"/>
      <c r="EMP12" s="1337"/>
      <c r="EMQ12" s="1337"/>
      <c r="EMR12" s="1338"/>
      <c r="EMS12" s="1339"/>
      <c r="EMT12" s="1340"/>
      <c r="EMU12" s="1340"/>
      <c r="EMV12" s="1340"/>
      <c r="EMW12" s="1341"/>
      <c r="EMX12" s="1342"/>
      <c r="EMY12" s="1336"/>
      <c r="EMZ12" s="1336"/>
      <c r="ENA12" s="1336"/>
      <c r="ENB12" s="1336"/>
      <c r="ENC12" s="1337"/>
      <c r="END12" s="1337"/>
      <c r="ENE12" s="1337"/>
      <c r="ENF12" s="1337"/>
      <c r="ENG12" s="1337"/>
      <c r="ENH12" s="1338"/>
      <c r="ENI12" s="1339"/>
      <c r="ENJ12" s="1340"/>
      <c r="ENK12" s="1340"/>
      <c r="ENL12" s="1340"/>
      <c r="ENM12" s="1341"/>
      <c r="ENN12" s="1342"/>
      <c r="ENO12" s="1336"/>
      <c r="ENP12" s="1336"/>
      <c r="ENQ12" s="1336"/>
      <c r="ENR12" s="1336"/>
      <c r="ENS12" s="1337"/>
      <c r="ENT12" s="1337"/>
      <c r="ENU12" s="1337"/>
      <c r="ENV12" s="1337"/>
      <c r="ENW12" s="1337"/>
      <c r="ENX12" s="1338"/>
      <c r="ENY12" s="1339"/>
      <c r="ENZ12" s="1340"/>
      <c r="EOA12" s="1340"/>
      <c r="EOB12" s="1340"/>
      <c r="EOC12" s="1341"/>
      <c r="EOD12" s="1342"/>
      <c r="EOE12" s="1336"/>
      <c r="EOF12" s="1336"/>
      <c r="EOG12" s="1336"/>
      <c r="EOH12" s="1336"/>
      <c r="EOI12" s="1337"/>
      <c r="EOJ12" s="1337"/>
      <c r="EOK12" s="1337"/>
      <c r="EOL12" s="1337"/>
      <c r="EOM12" s="1337"/>
      <c r="EON12" s="1338"/>
      <c r="EOO12" s="1339"/>
      <c r="EOP12" s="1340"/>
      <c r="EOQ12" s="1340"/>
      <c r="EOR12" s="1340"/>
      <c r="EOS12" s="1341"/>
      <c r="EOT12" s="1342"/>
      <c r="EOU12" s="1336"/>
      <c r="EOV12" s="1336"/>
      <c r="EOW12" s="1336"/>
      <c r="EOX12" s="1336"/>
      <c r="EOY12" s="1337"/>
      <c r="EOZ12" s="1337"/>
      <c r="EPA12" s="1337"/>
      <c r="EPB12" s="1337"/>
      <c r="EPC12" s="1337"/>
      <c r="EPD12" s="1338"/>
      <c r="EPE12" s="1339"/>
      <c r="EPF12" s="1340"/>
      <c r="EPG12" s="1340"/>
      <c r="EPH12" s="1340"/>
      <c r="EPI12" s="1341"/>
      <c r="EPJ12" s="1342"/>
      <c r="EPK12" s="1336"/>
      <c r="EPL12" s="1336"/>
      <c r="EPM12" s="1336"/>
      <c r="EPN12" s="1336"/>
      <c r="EPO12" s="1337"/>
      <c r="EPP12" s="1337"/>
      <c r="EPQ12" s="1337"/>
      <c r="EPR12" s="1337"/>
      <c r="EPS12" s="1337"/>
      <c r="EPT12" s="1338"/>
      <c r="EPU12" s="1339"/>
      <c r="EPV12" s="1340"/>
      <c r="EPW12" s="1340"/>
      <c r="EPX12" s="1340"/>
      <c r="EPY12" s="1341"/>
      <c r="EPZ12" s="1342"/>
      <c r="EQA12" s="1336"/>
      <c r="EQB12" s="1336"/>
      <c r="EQC12" s="1336"/>
      <c r="EQD12" s="1336"/>
      <c r="EQE12" s="1337"/>
      <c r="EQF12" s="1337"/>
      <c r="EQG12" s="1337"/>
      <c r="EQH12" s="1337"/>
      <c r="EQI12" s="1337"/>
      <c r="EQJ12" s="1338"/>
      <c r="EQK12" s="1339"/>
      <c r="EQL12" s="1340"/>
      <c r="EQM12" s="1340"/>
      <c r="EQN12" s="1340"/>
      <c r="EQO12" s="1341"/>
      <c r="EQP12" s="1342"/>
      <c r="EQQ12" s="1336"/>
      <c r="EQR12" s="1336"/>
      <c r="EQS12" s="1336"/>
      <c r="EQT12" s="1336"/>
      <c r="EQU12" s="1337"/>
      <c r="EQV12" s="1337"/>
      <c r="EQW12" s="1337"/>
      <c r="EQX12" s="1337"/>
      <c r="EQY12" s="1337"/>
      <c r="EQZ12" s="1338"/>
      <c r="ERA12" s="1339"/>
      <c r="ERB12" s="1340"/>
      <c r="ERC12" s="1340"/>
      <c r="ERD12" s="1340"/>
      <c r="ERE12" s="1341"/>
      <c r="ERF12" s="1342"/>
      <c r="ERG12" s="1336"/>
      <c r="ERH12" s="1336"/>
      <c r="ERI12" s="1336"/>
      <c r="ERJ12" s="1336"/>
      <c r="ERK12" s="1337"/>
      <c r="ERL12" s="1337"/>
      <c r="ERM12" s="1337"/>
      <c r="ERN12" s="1337"/>
      <c r="ERO12" s="1337"/>
      <c r="ERP12" s="1338"/>
      <c r="ERQ12" s="1339"/>
      <c r="ERR12" s="1340"/>
      <c r="ERS12" s="1340"/>
      <c r="ERT12" s="1340"/>
      <c r="ERU12" s="1341"/>
      <c r="ERV12" s="1342"/>
      <c r="ERW12" s="1336"/>
      <c r="ERX12" s="1336"/>
      <c r="ERY12" s="1336"/>
      <c r="ERZ12" s="1336"/>
      <c r="ESA12" s="1337"/>
      <c r="ESB12" s="1337"/>
      <c r="ESC12" s="1337"/>
      <c r="ESD12" s="1337"/>
      <c r="ESE12" s="1337"/>
      <c r="ESF12" s="1338"/>
      <c r="ESG12" s="1339"/>
      <c r="ESH12" s="1340"/>
      <c r="ESI12" s="1340"/>
      <c r="ESJ12" s="1340"/>
      <c r="ESK12" s="1341"/>
      <c r="ESL12" s="1342"/>
      <c r="ESM12" s="1336"/>
      <c r="ESN12" s="1336"/>
      <c r="ESO12" s="1336"/>
      <c r="ESP12" s="1336"/>
      <c r="ESQ12" s="1337"/>
      <c r="ESR12" s="1337"/>
      <c r="ESS12" s="1337"/>
      <c r="EST12" s="1337"/>
      <c r="ESU12" s="1337"/>
      <c r="ESV12" s="1338"/>
      <c r="ESW12" s="1339"/>
      <c r="ESX12" s="1340"/>
      <c r="ESY12" s="1340"/>
      <c r="ESZ12" s="1340"/>
      <c r="ETA12" s="1341"/>
      <c r="ETB12" s="1342"/>
      <c r="ETC12" s="1336"/>
      <c r="ETD12" s="1336"/>
      <c r="ETE12" s="1336"/>
      <c r="ETF12" s="1336"/>
      <c r="ETG12" s="1337"/>
      <c r="ETH12" s="1337"/>
      <c r="ETI12" s="1337"/>
      <c r="ETJ12" s="1337"/>
      <c r="ETK12" s="1337"/>
      <c r="ETL12" s="1338"/>
      <c r="ETM12" s="1339"/>
      <c r="ETN12" s="1340"/>
      <c r="ETO12" s="1340"/>
      <c r="ETP12" s="1340"/>
      <c r="ETQ12" s="1341"/>
      <c r="ETR12" s="1342"/>
      <c r="ETS12" s="1336"/>
      <c r="ETT12" s="1336"/>
      <c r="ETU12" s="1336"/>
      <c r="ETV12" s="1336"/>
      <c r="ETW12" s="1337"/>
      <c r="ETX12" s="1337"/>
      <c r="ETY12" s="1337"/>
      <c r="ETZ12" s="1337"/>
      <c r="EUA12" s="1337"/>
      <c r="EUB12" s="1338"/>
      <c r="EUC12" s="1339"/>
      <c r="EUD12" s="1340"/>
      <c r="EUE12" s="1340"/>
      <c r="EUF12" s="1340"/>
      <c r="EUG12" s="1341"/>
      <c r="EUH12" s="1342"/>
      <c r="EUI12" s="1336"/>
      <c r="EUJ12" s="1336"/>
      <c r="EUK12" s="1336"/>
      <c r="EUL12" s="1336"/>
      <c r="EUM12" s="1337"/>
      <c r="EUN12" s="1337"/>
      <c r="EUO12" s="1337"/>
      <c r="EUP12" s="1337"/>
      <c r="EUQ12" s="1337"/>
      <c r="EUR12" s="1338"/>
      <c r="EUS12" s="1339"/>
      <c r="EUT12" s="1340"/>
      <c r="EUU12" s="1340"/>
      <c r="EUV12" s="1340"/>
      <c r="EUW12" s="1341"/>
      <c r="EUX12" s="1342"/>
      <c r="EUY12" s="1336"/>
      <c r="EUZ12" s="1336"/>
      <c r="EVA12" s="1336"/>
      <c r="EVB12" s="1336"/>
      <c r="EVC12" s="1337"/>
      <c r="EVD12" s="1337"/>
      <c r="EVE12" s="1337"/>
      <c r="EVF12" s="1337"/>
      <c r="EVG12" s="1337"/>
      <c r="EVH12" s="1338"/>
      <c r="EVI12" s="1339"/>
      <c r="EVJ12" s="1340"/>
      <c r="EVK12" s="1340"/>
      <c r="EVL12" s="1340"/>
      <c r="EVM12" s="1341"/>
      <c r="EVN12" s="1342"/>
      <c r="EVO12" s="1336"/>
      <c r="EVP12" s="1336"/>
      <c r="EVQ12" s="1336"/>
      <c r="EVR12" s="1336"/>
      <c r="EVS12" s="1337"/>
      <c r="EVT12" s="1337"/>
      <c r="EVU12" s="1337"/>
      <c r="EVV12" s="1337"/>
      <c r="EVW12" s="1337"/>
      <c r="EVX12" s="1338"/>
      <c r="EVY12" s="1339"/>
      <c r="EVZ12" s="1340"/>
      <c r="EWA12" s="1340"/>
      <c r="EWB12" s="1340"/>
      <c r="EWC12" s="1341"/>
      <c r="EWD12" s="1342"/>
      <c r="EWE12" s="1336"/>
      <c r="EWF12" s="1336"/>
      <c r="EWG12" s="1336"/>
      <c r="EWH12" s="1336"/>
      <c r="EWI12" s="1337"/>
      <c r="EWJ12" s="1337"/>
      <c r="EWK12" s="1337"/>
      <c r="EWL12" s="1337"/>
      <c r="EWM12" s="1337"/>
      <c r="EWN12" s="1338"/>
      <c r="EWO12" s="1339"/>
      <c r="EWP12" s="1340"/>
      <c r="EWQ12" s="1340"/>
      <c r="EWR12" s="1340"/>
      <c r="EWS12" s="1341"/>
      <c r="EWT12" s="1342"/>
      <c r="EWU12" s="1336"/>
      <c r="EWV12" s="1336"/>
      <c r="EWW12" s="1336"/>
      <c r="EWX12" s="1336"/>
      <c r="EWY12" s="1337"/>
      <c r="EWZ12" s="1337"/>
      <c r="EXA12" s="1337"/>
      <c r="EXB12" s="1337"/>
      <c r="EXC12" s="1337"/>
      <c r="EXD12" s="1338"/>
      <c r="EXE12" s="1339"/>
      <c r="EXF12" s="1340"/>
      <c r="EXG12" s="1340"/>
      <c r="EXH12" s="1340"/>
      <c r="EXI12" s="1341"/>
      <c r="EXJ12" s="1342"/>
      <c r="EXK12" s="1336"/>
      <c r="EXL12" s="1336"/>
      <c r="EXM12" s="1336"/>
      <c r="EXN12" s="1336"/>
      <c r="EXO12" s="1337"/>
      <c r="EXP12" s="1337"/>
      <c r="EXQ12" s="1337"/>
      <c r="EXR12" s="1337"/>
      <c r="EXS12" s="1337"/>
      <c r="EXT12" s="1338"/>
      <c r="EXU12" s="1339"/>
      <c r="EXV12" s="1340"/>
      <c r="EXW12" s="1340"/>
      <c r="EXX12" s="1340"/>
      <c r="EXY12" s="1341"/>
      <c r="EXZ12" s="1342"/>
      <c r="EYA12" s="1336"/>
      <c r="EYB12" s="1336"/>
      <c r="EYC12" s="1336"/>
      <c r="EYD12" s="1336"/>
      <c r="EYE12" s="1337"/>
      <c r="EYF12" s="1337"/>
      <c r="EYG12" s="1337"/>
      <c r="EYH12" s="1337"/>
      <c r="EYI12" s="1337"/>
      <c r="EYJ12" s="1338"/>
      <c r="EYK12" s="1339"/>
      <c r="EYL12" s="1340"/>
      <c r="EYM12" s="1340"/>
      <c r="EYN12" s="1340"/>
      <c r="EYO12" s="1341"/>
      <c r="EYP12" s="1342"/>
      <c r="EYQ12" s="1336"/>
      <c r="EYR12" s="1336"/>
      <c r="EYS12" s="1336"/>
      <c r="EYT12" s="1336"/>
      <c r="EYU12" s="1337"/>
      <c r="EYV12" s="1337"/>
      <c r="EYW12" s="1337"/>
      <c r="EYX12" s="1337"/>
      <c r="EYY12" s="1337"/>
      <c r="EYZ12" s="1338"/>
      <c r="EZA12" s="1339"/>
      <c r="EZB12" s="1340"/>
      <c r="EZC12" s="1340"/>
      <c r="EZD12" s="1340"/>
      <c r="EZE12" s="1341"/>
      <c r="EZF12" s="1342"/>
      <c r="EZG12" s="1336"/>
      <c r="EZH12" s="1336"/>
      <c r="EZI12" s="1336"/>
      <c r="EZJ12" s="1336"/>
      <c r="EZK12" s="1337"/>
      <c r="EZL12" s="1337"/>
      <c r="EZM12" s="1337"/>
      <c r="EZN12" s="1337"/>
      <c r="EZO12" s="1337"/>
      <c r="EZP12" s="1338"/>
      <c r="EZQ12" s="1339"/>
      <c r="EZR12" s="1340"/>
      <c r="EZS12" s="1340"/>
      <c r="EZT12" s="1340"/>
      <c r="EZU12" s="1341"/>
      <c r="EZV12" s="1342"/>
      <c r="EZW12" s="1336"/>
      <c r="EZX12" s="1336"/>
      <c r="EZY12" s="1336"/>
      <c r="EZZ12" s="1336"/>
      <c r="FAA12" s="1337"/>
      <c r="FAB12" s="1337"/>
      <c r="FAC12" s="1337"/>
      <c r="FAD12" s="1337"/>
      <c r="FAE12" s="1337"/>
      <c r="FAF12" s="1338"/>
      <c r="FAG12" s="1339"/>
      <c r="FAH12" s="1340"/>
      <c r="FAI12" s="1340"/>
      <c r="FAJ12" s="1340"/>
      <c r="FAK12" s="1341"/>
      <c r="FAL12" s="1342"/>
      <c r="FAM12" s="1336"/>
      <c r="FAN12" s="1336"/>
      <c r="FAO12" s="1336"/>
      <c r="FAP12" s="1336"/>
      <c r="FAQ12" s="1337"/>
      <c r="FAR12" s="1337"/>
      <c r="FAS12" s="1337"/>
      <c r="FAT12" s="1337"/>
      <c r="FAU12" s="1337"/>
      <c r="FAV12" s="1338"/>
      <c r="FAW12" s="1339"/>
      <c r="FAX12" s="1340"/>
      <c r="FAY12" s="1340"/>
      <c r="FAZ12" s="1340"/>
      <c r="FBA12" s="1341"/>
      <c r="FBB12" s="1342"/>
      <c r="FBC12" s="1336"/>
      <c r="FBD12" s="1336"/>
      <c r="FBE12" s="1336"/>
      <c r="FBF12" s="1336"/>
      <c r="FBG12" s="1337"/>
      <c r="FBH12" s="1337"/>
      <c r="FBI12" s="1337"/>
      <c r="FBJ12" s="1337"/>
      <c r="FBK12" s="1337"/>
      <c r="FBL12" s="1338"/>
      <c r="FBM12" s="1339"/>
      <c r="FBN12" s="1340"/>
      <c r="FBO12" s="1340"/>
      <c r="FBP12" s="1340"/>
      <c r="FBQ12" s="1341"/>
      <c r="FBR12" s="1342"/>
      <c r="FBS12" s="1336"/>
      <c r="FBT12" s="1336"/>
      <c r="FBU12" s="1336"/>
      <c r="FBV12" s="1336"/>
      <c r="FBW12" s="1337"/>
      <c r="FBX12" s="1337"/>
      <c r="FBY12" s="1337"/>
      <c r="FBZ12" s="1337"/>
      <c r="FCA12" s="1337"/>
      <c r="FCB12" s="1338"/>
      <c r="FCC12" s="1339"/>
      <c r="FCD12" s="1340"/>
      <c r="FCE12" s="1340"/>
      <c r="FCF12" s="1340"/>
      <c r="FCG12" s="1341"/>
      <c r="FCH12" s="1342"/>
      <c r="FCI12" s="1336"/>
      <c r="FCJ12" s="1336"/>
      <c r="FCK12" s="1336"/>
      <c r="FCL12" s="1336"/>
      <c r="FCM12" s="1337"/>
      <c r="FCN12" s="1337"/>
      <c r="FCO12" s="1337"/>
      <c r="FCP12" s="1337"/>
      <c r="FCQ12" s="1337"/>
      <c r="FCR12" s="1338"/>
      <c r="FCS12" s="1339"/>
      <c r="FCT12" s="1340"/>
      <c r="FCU12" s="1340"/>
      <c r="FCV12" s="1340"/>
      <c r="FCW12" s="1341"/>
      <c r="FCX12" s="1342"/>
      <c r="FCY12" s="1336"/>
      <c r="FCZ12" s="1336"/>
      <c r="FDA12" s="1336"/>
      <c r="FDB12" s="1336"/>
      <c r="FDC12" s="1337"/>
      <c r="FDD12" s="1337"/>
      <c r="FDE12" s="1337"/>
      <c r="FDF12" s="1337"/>
      <c r="FDG12" s="1337"/>
      <c r="FDH12" s="1338"/>
      <c r="FDI12" s="1339"/>
      <c r="FDJ12" s="1340"/>
      <c r="FDK12" s="1340"/>
      <c r="FDL12" s="1340"/>
      <c r="FDM12" s="1341"/>
      <c r="FDN12" s="1342"/>
      <c r="FDO12" s="1336"/>
      <c r="FDP12" s="1336"/>
      <c r="FDQ12" s="1336"/>
      <c r="FDR12" s="1336"/>
      <c r="FDS12" s="1337"/>
      <c r="FDT12" s="1337"/>
      <c r="FDU12" s="1337"/>
      <c r="FDV12" s="1337"/>
      <c r="FDW12" s="1337"/>
      <c r="FDX12" s="1338"/>
      <c r="FDY12" s="1339"/>
      <c r="FDZ12" s="1340"/>
      <c r="FEA12" s="1340"/>
      <c r="FEB12" s="1340"/>
      <c r="FEC12" s="1341"/>
      <c r="FED12" s="1342"/>
      <c r="FEE12" s="1336"/>
      <c r="FEF12" s="1336"/>
      <c r="FEG12" s="1336"/>
      <c r="FEH12" s="1336"/>
      <c r="FEI12" s="1337"/>
      <c r="FEJ12" s="1337"/>
      <c r="FEK12" s="1337"/>
      <c r="FEL12" s="1337"/>
      <c r="FEM12" s="1337"/>
      <c r="FEN12" s="1338"/>
      <c r="FEO12" s="1339"/>
      <c r="FEP12" s="1340"/>
      <c r="FEQ12" s="1340"/>
      <c r="FER12" s="1340"/>
      <c r="FES12" s="1341"/>
      <c r="FET12" s="1342"/>
      <c r="FEU12" s="1336"/>
      <c r="FEV12" s="1336"/>
      <c r="FEW12" s="1336"/>
      <c r="FEX12" s="1336"/>
      <c r="FEY12" s="1337"/>
      <c r="FEZ12" s="1337"/>
      <c r="FFA12" s="1337"/>
      <c r="FFB12" s="1337"/>
      <c r="FFC12" s="1337"/>
      <c r="FFD12" s="1338"/>
      <c r="FFE12" s="1339"/>
      <c r="FFF12" s="1340"/>
      <c r="FFG12" s="1340"/>
      <c r="FFH12" s="1340"/>
      <c r="FFI12" s="1341"/>
      <c r="FFJ12" s="1342"/>
      <c r="FFK12" s="1336"/>
      <c r="FFL12" s="1336"/>
      <c r="FFM12" s="1336"/>
      <c r="FFN12" s="1336"/>
      <c r="FFO12" s="1337"/>
      <c r="FFP12" s="1337"/>
      <c r="FFQ12" s="1337"/>
      <c r="FFR12" s="1337"/>
      <c r="FFS12" s="1337"/>
      <c r="FFT12" s="1338"/>
      <c r="FFU12" s="1339"/>
      <c r="FFV12" s="1340"/>
      <c r="FFW12" s="1340"/>
      <c r="FFX12" s="1340"/>
      <c r="FFY12" s="1341"/>
      <c r="FFZ12" s="1342"/>
      <c r="FGA12" s="1336"/>
      <c r="FGB12" s="1336"/>
      <c r="FGC12" s="1336"/>
      <c r="FGD12" s="1336"/>
      <c r="FGE12" s="1337"/>
      <c r="FGF12" s="1337"/>
      <c r="FGG12" s="1337"/>
      <c r="FGH12" s="1337"/>
      <c r="FGI12" s="1337"/>
      <c r="FGJ12" s="1338"/>
      <c r="FGK12" s="1339"/>
      <c r="FGL12" s="1340"/>
      <c r="FGM12" s="1340"/>
      <c r="FGN12" s="1340"/>
      <c r="FGO12" s="1341"/>
      <c r="FGP12" s="1342"/>
      <c r="FGQ12" s="1336"/>
      <c r="FGR12" s="1336"/>
      <c r="FGS12" s="1336"/>
      <c r="FGT12" s="1336"/>
      <c r="FGU12" s="1337"/>
      <c r="FGV12" s="1337"/>
      <c r="FGW12" s="1337"/>
      <c r="FGX12" s="1337"/>
      <c r="FGY12" s="1337"/>
      <c r="FGZ12" s="1338"/>
      <c r="FHA12" s="1339"/>
      <c r="FHB12" s="1340"/>
      <c r="FHC12" s="1340"/>
      <c r="FHD12" s="1340"/>
      <c r="FHE12" s="1341"/>
      <c r="FHF12" s="1342"/>
      <c r="FHG12" s="1336"/>
      <c r="FHH12" s="1336"/>
      <c r="FHI12" s="1336"/>
      <c r="FHJ12" s="1336"/>
      <c r="FHK12" s="1337"/>
      <c r="FHL12" s="1337"/>
      <c r="FHM12" s="1337"/>
      <c r="FHN12" s="1337"/>
      <c r="FHO12" s="1337"/>
      <c r="FHP12" s="1338"/>
      <c r="FHQ12" s="1339"/>
      <c r="FHR12" s="1340"/>
      <c r="FHS12" s="1340"/>
      <c r="FHT12" s="1340"/>
      <c r="FHU12" s="1341"/>
      <c r="FHV12" s="1342"/>
      <c r="FHW12" s="1336"/>
      <c r="FHX12" s="1336"/>
      <c r="FHY12" s="1336"/>
      <c r="FHZ12" s="1336"/>
      <c r="FIA12" s="1337"/>
      <c r="FIB12" s="1337"/>
      <c r="FIC12" s="1337"/>
      <c r="FID12" s="1337"/>
      <c r="FIE12" s="1337"/>
      <c r="FIF12" s="1338"/>
      <c r="FIG12" s="1339"/>
      <c r="FIH12" s="1340"/>
      <c r="FII12" s="1340"/>
      <c r="FIJ12" s="1340"/>
      <c r="FIK12" s="1341"/>
      <c r="FIL12" s="1342"/>
      <c r="FIM12" s="1336"/>
      <c r="FIN12" s="1336"/>
      <c r="FIO12" s="1336"/>
      <c r="FIP12" s="1336"/>
      <c r="FIQ12" s="1337"/>
      <c r="FIR12" s="1337"/>
      <c r="FIS12" s="1337"/>
      <c r="FIT12" s="1337"/>
      <c r="FIU12" s="1337"/>
      <c r="FIV12" s="1338"/>
      <c r="FIW12" s="1339"/>
      <c r="FIX12" s="1340"/>
      <c r="FIY12" s="1340"/>
      <c r="FIZ12" s="1340"/>
      <c r="FJA12" s="1341"/>
      <c r="FJB12" s="1342"/>
      <c r="FJC12" s="1336"/>
      <c r="FJD12" s="1336"/>
      <c r="FJE12" s="1336"/>
      <c r="FJF12" s="1336"/>
      <c r="FJG12" s="1337"/>
      <c r="FJH12" s="1337"/>
      <c r="FJI12" s="1337"/>
      <c r="FJJ12" s="1337"/>
      <c r="FJK12" s="1337"/>
      <c r="FJL12" s="1338"/>
      <c r="FJM12" s="1339"/>
      <c r="FJN12" s="1340"/>
      <c r="FJO12" s="1340"/>
      <c r="FJP12" s="1340"/>
      <c r="FJQ12" s="1341"/>
      <c r="FJR12" s="1342"/>
      <c r="FJS12" s="1336"/>
      <c r="FJT12" s="1336"/>
      <c r="FJU12" s="1336"/>
      <c r="FJV12" s="1336"/>
      <c r="FJW12" s="1337"/>
      <c r="FJX12" s="1337"/>
      <c r="FJY12" s="1337"/>
      <c r="FJZ12" s="1337"/>
      <c r="FKA12" s="1337"/>
      <c r="FKB12" s="1338"/>
      <c r="FKC12" s="1339"/>
      <c r="FKD12" s="1340"/>
      <c r="FKE12" s="1340"/>
      <c r="FKF12" s="1340"/>
      <c r="FKG12" s="1341"/>
      <c r="FKH12" s="1342"/>
      <c r="FKI12" s="1336"/>
      <c r="FKJ12" s="1336"/>
      <c r="FKK12" s="1336"/>
      <c r="FKL12" s="1336"/>
      <c r="FKM12" s="1337"/>
      <c r="FKN12" s="1337"/>
      <c r="FKO12" s="1337"/>
      <c r="FKP12" s="1337"/>
      <c r="FKQ12" s="1337"/>
      <c r="FKR12" s="1338"/>
      <c r="FKS12" s="1339"/>
      <c r="FKT12" s="1340"/>
      <c r="FKU12" s="1340"/>
      <c r="FKV12" s="1340"/>
      <c r="FKW12" s="1341"/>
      <c r="FKX12" s="1342"/>
      <c r="FKY12" s="1336"/>
      <c r="FKZ12" s="1336"/>
      <c r="FLA12" s="1336"/>
      <c r="FLB12" s="1336"/>
      <c r="FLC12" s="1337"/>
      <c r="FLD12" s="1337"/>
      <c r="FLE12" s="1337"/>
      <c r="FLF12" s="1337"/>
      <c r="FLG12" s="1337"/>
      <c r="FLH12" s="1338"/>
      <c r="FLI12" s="1339"/>
      <c r="FLJ12" s="1340"/>
      <c r="FLK12" s="1340"/>
      <c r="FLL12" s="1340"/>
      <c r="FLM12" s="1341"/>
      <c r="FLN12" s="1342"/>
      <c r="FLO12" s="1336"/>
      <c r="FLP12" s="1336"/>
      <c r="FLQ12" s="1336"/>
      <c r="FLR12" s="1336"/>
      <c r="FLS12" s="1337"/>
      <c r="FLT12" s="1337"/>
      <c r="FLU12" s="1337"/>
      <c r="FLV12" s="1337"/>
      <c r="FLW12" s="1337"/>
      <c r="FLX12" s="1338"/>
      <c r="FLY12" s="1339"/>
      <c r="FLZ12" s="1340"/>
      <c r="FMA12" s="1340"/>
      <c r="FMB12" s="1340"/>
      <c r="FMC12" s="1341"/>
      <c r="FMD12" s="1342"/>
      <c r="FME12" s="1336"/>
      <c r="FMF12" s="1336"/>
      <c r="FMG12" s="1336"/>
      <c r="FMH12" s="1336"/>
      <c r="FMI12" s="1337"/>
      <c r="FMJ12" s="1337"/>
      <c r="FMK12" s="1337"/>
      <c r="FML12" s="1337"/>
      <c r="FMM12" s="1337"/>
      <c r="FMN12" s="1338"/>
      <c r="FMO12" s="1339"/>
      <c r="FMP12" s="1340"/>
      <c r="FMQ12" s="1340"/>
      <c r="FMR12" s="1340"/>
      <c r="FMS12" s="1341"/>
      <c r="FMT12" s="1342"/>
      <c r="FMU12" s="1336"/>
      <c r="FMV12" s="1336"/>
      <c r="FMW12" s="1336"/>
      <c r="FMX12" s="1336"/>
      <c r="FMY12" s="1337"/>
      <c r="FMZ12" s="1337"/>
      <c r="FNA12" s="1337"/>
      <c r="FNB12" s="1337"/>
      <c r="FNC12" s="1337"/>
      <c r="FND12" s="1338"/>
      <c r="FNE12" s="1339"/>
      <c r="FNF12" s="1340"/>
      <c r="FNG12" s="1340"/>
      <c r="FNH12" s="1340"/>
      <c r="FNI12" s="1341"/>
      <c r="FNJ12" s="1342"/>
      <c r="FNK12" s="1336"/>
      <c r="FNL12" s="1336"/>
      <c r="FNM12" s="1336"/>
      <c r="FNN12" s="1336"/>
      <c r="FNO12" s="1337"/>
      <c r="FNP12" s="1337"/>
      <c r="FNQ12" s="1337"/>
      <c r="FNR12" s="1337"/>
      <c r="FNS12" s="1337"/>
      <c r="FNT12" s="1338"/>
      <c r="FNU12" s="1339"/>
      <c r="FNV12" s="1340"/>
      <c r="FNW12" s="1340"/>
      <c r="FNX12" s="1340"/>
      <c r="FNY12" s="1341"/>
      <c r="FNZ12" s="1342"/>
      <c r="FOA12" s="1336"/>
      <c r="FOB12" s="1336"/>
      <c r="FOC12" s="1336"/>
      <c r="FOD12" s="1336"/>
      <c r="FOE12" s="1337"/>
      <c r="FOF12" s="1337"/>
      <c r="FOG12" s="1337"/>
      <c r="FOH12" s="1337"/>
      <c r="FOI12" s="1337"/>
      <c r="FOJ12" s="1338"/>
      <c r="FOK12" s="1339"/>
      <c r="FOL12" s="1340"/>
      <c r="FOM12" s="1340"/>
      <c r="FON12" s="1340"/>
      <c r="FOO12" s="1341"/>
      <c r="FOP12" s="1342"/>
      <c r="FOQ12" s="1336"/>
      <c r="FOR12" s="1336"/>
      <c r="FOS12" s="1336"/>
      <c r="FOT12" s="1336"/>
      <c r="FOU12" s="1337"/>
      <c r="FOV12" s="1337"/>
      <c r="FOW12" s="1337"/>
      <c r="FOX12" s="1337"/>
      <c r="FOY12" s="1337"/>
      <c r="FOZ12" s="1338"/>
      <c r="FPA12" s="1339"/>
      <c r="FPB12" s="1340"/>
      <c r="FPC12" s="1340"/>
      <c r="FPD12" s="1340"/>
      <c r="FPE12" s="1341"/>
      <c r="FPF12" s="1342"/>
      <c r="FPG12" s="1336"/>
      <c r="FPH12" s="1336"/>
      <c r="FPI12" s="1336"/>
      <c r="FPJ12" s="1336"/>
      <c r="FPK12" s="1337"/>
      <c r="FPL12" s="1337"/>
      <c r="FPM12" s="1337"/>
      <c r="FPN12" s="1337"/>
      <c r="FPO12" s="1337"/>
      <c r="FPP12" s="1338"/>
      <c r="FPQ12" s="1339"/>
      <c r="FPR12" s="1340"/>
      <c r="FPS12" s="1340"/>
      <c r="FPT12" s="1340"/>
      <c r="FPU12" s="1341"/>
      <c r="FPV12" s="1342"/>
      <c r="FPW12" s="1336"/>
      <c r="FPX12" s="1336"/>
      <c r="FPY12" s="1336"/>
      <c r="FPZ12" s="1336"/>
      <c r="FQA12" s="1337"/>
      <c r="FQB12" s="1337"/>
      <c r="FQC12" s="1337"/>
      <c r="FQD12" s="1337"/>
      <c r="FQE12" s="1337"/>
      <c r="FQF12" s="1338"/>
      <c r="FQG12" s="1339"/>
      <c r="FQH12" s="1340"/>
      <c r="FQI12" s="1340"/>
      <c r="FQJ12" s="1340"/>
      <c r="FQK12" s="1341"/>
      <c r="FQL12" s="1342"/>
      <c r="FQM12" s="1336"/>
      <c r="FQN12" s="1336"/>
      <c r="FQO12" s="1336"/>
      <c r="FQP12" s="1336"/>
      <c r="FQQ12" s="1337"/>
      <c r="FQR12" s="1337"/>
      <c r="FQS12" s="1337"/>
      <c r="FQT12" s="1337"/>
      <c r="FQU12" s="1337"/>
      <c r="FQV12" s="1338"/>
      <c r="FQW12" s="1339"/>
      <c r="FQX12" s="1340"/>
      <c r="FQY12" s="1340"/>
      <c r="FQZ12" s="1340"/>
      <c r="FRA12" s="1341"/>
      <c r="FRB12" s="1342"/>
      <c r="FRC12" s="1336"/>
      <c r="FRD12" s="1336"/>
      <c r="FRE12" s="1336"/>
      <c r="FRF12" s="1336"/>
      <c r="FRG12" s="1337"/>
      <c r="FRH12" s="1337"/>
      <c r="FRI12" s="1337"/>
      <c r="FRJ12" s="1337"/>
      <c r="FRK12" s="1337"/>
      <c r="FRL12" s="1338"/>
      <c r="FRM12" s="1339"/>
      <c r="FRN12" s="1340"/>
      <c r="FRO12" s="1340"/>
      <c r="FRP12" s="1340"/>
      <c r="FRQ12" s="1341"/>
      <c r="FRR12" s="1342"/>
      <c r="FRS12" s="1336"/>
      <c r="FRT12" s="1336"/>
      <c r="FRU12" s="1336"/>
      <c r="FRV12" s="1336"/>
      <c r="FRW12" s="1337"/>
      <c r="FRX12" s="1337"/>
      <c r="FRY12" s="1337"/>
      <c r="FRZ12" s="1337"/>
      <c r="FSA12" s="1337"/>
      <c r="FSB12" s="1338"/>
      <c r="FSC12" s="1339"/>
      <c r="FSD12" s="1340"/>
      <c r="FSE12" s="1340"/>
      <c r="FSF12" s="1340"/>
      <c r="FSG12" s="1341"/>
      <c r="FSH12" s="1342"/>
      <c r="FSI12" s="1336"/>
      <c r="FSJ12" s="1336"/>
      <c r="FSK12" s="1336"/>
      <c r="FSL12" s="1336"/>
      <c r="FSM12" s="1337"/>
      <c r="FSN12" s="1337"/>
      <c r="FSO12" s="1337"/>
      <c r="FSP12" s="1337"/>
      <c r="FSQ12" s="1337"/>
      <c r="FSR12" s="1338"/>
      <c r="FSS12" s="1339"/>
      <c r="FST12" s="1340"/>
      <c r="FSU12" s="1340"/>
      <c r="FSV12" s="1340"/>
      <c r="FSW12" s="1341"/>
      <c r="FSX12" s="1342"/>
      <c r="FSY12" s="1336"/>
      <c r="FSZ12" s="1336"/>
      <c r="FTA12" s="1336"/>
      <c r="FTB12" s="1336"/>
      <c r="FTC12" s="1337"/>
      <c r="FTD12" s="1337"/>
      <c r="FTE12" s="1337"/>
      <c r="FTF12" s="1337"/>
      <c r="FTG12" s="1337"/>
      <c r="FTH12" s="1338"/>
      <c r="FTI12" s="1339"/>
      <c r="FTJ12" s="1340"/>
      <c r="FTK12" s="1340"/>
      <c r="FTL12" s="1340"/>
      <c r="FTM12" s="1341"/>
      <c r="FTN12" s="1342"/>
      <c r="FTO12" s="1336"/>
      <c r="FTP12" s="1336"/>
      <c r="FTQ12" s="1336"/>
      <c r="FTR12" s="1336"/>
      <c r="FTS12" s="1337"/>
      <c r="FTT12" s="1337"/>
      <c r="FTU12" s="1337"/>
      <c r="FTV12" s="1337"/>
      <c r="FTW12" s="1337"/>
      <c r="FTX12" s="1338"/>
      <c r="FTY12" s="1339"/>
      <c r="FTZ12" s="1340"/>
      <c r="FUA12" s="1340"/>
      <c r="FUB12" s="1340"/>
      <c r="FUC12" s="1341"/>
      <c r="FUD12" s="1342"/>
      <c r="FUE12" s="1336"/>
      <c r="FUF12" s="1336"/>
      <c r="FUG12" s="1336"/>
      <c r="FUH12" s="1336"/>
      <c r="FUI12" s="1337"/>
      <c r="FUJ12" s="1337"/>
      <c r="FUK12" s="1337"/>
      <c r="FUL12" s="1337"/>
      <c r="FUM12" s="1337"/>
      <c r="FUN12" s="1338"/>
      <c r="FUO12" s="1339"/>
      <c r="FUP12" s="1340"/>
      <c r="FUQ12" s="1340"/>
      <c r="FUR12" s="1340"/>
      <c r="FUS12" s="1341"/>
      <c r="FUT12" s="1342"/>
      <c r="FUU12" s="1336"/>
      <c r="FUV12" s="1336"/>
      <c r="FUW12" s="1336"/>
      <c r="FUX12" s="1336"/>
      <c r="FUY12" s="1337"/>
      <c r="FUZ12" s="1337"/>
      <c r="FVA12" s="1337"/>
      <c r="FVB12" s="1337"/>
      <c r="FVC12" s="1337"/>
      <c r="FVD12" s="1338"/>
      <c r="FVE12" s="1339"/>
      <c r="FVF12" s="1340"/>
      <c r="FVG12" s="1340"/>
      <c r="FVH12" s="1340"/>
      <c r="FVI12" s="1341"/>
      <c r="FVJ12" s="1342"/>
      <c r="FVK12" s="1336"/>
      <c r="FVL12" s="1336"/>
      <c r="FVM12" s="1336"/>
      <c r="FVN12" s="1336"/>
      <c r="FVO12" s="1337"/>
      <c r="FVP12" s="1337"/>
      <c r="FVQ12" s="1337"/>
      <c r="FVR12" s="1337"/>
      <c r="FVS12" s="1337"/>
      <c r="FVT12" s="1338"/>
      <c r="FVU12" s="1339"/>
      <c r="FVV12" s="1340"/>
      <c r="FVW12" s="1340"/>
      <c r="FVX12" s="1340"/>
      <c r="FVY12" s="1341"/>
      <c r="FVZ12" s="1342"/>
      <c r="FWA12" s="1336"/>
      <c r="FWB12" s="1336"/>
      <c r="FWC12" s="1336"/>
      <c r="FWD12" s="1336"/>
      <c r="FWE12" s="1337"/>
      <c r="FWF12" s="1337"/>
      <c r="FWG12" s="1337"/>
      <c r="FWH12" s="1337"/>
      <c r="FWI12" s="1337"/>
      <c r="FWJ12" s="1338"/>
      <c r="FWK12" s="1339"/>
      <c r="FWL12" s="1340"/>
      <c r="FWM12" s="1340"/>
      <c r="FWN12" s="1340"/>
      <c r="FWO12" s="1341"/>
      <c r="FWP12" s="1342"/>
      <c r="FWQ12" s="1336"/>
      <c r="FWR12" s="1336"/>
      <c r="FWS12" s="1336"/>
      <c r="FWT12" s="1336"/>
      <c r="FWU12" s="1337"/>
      <c r="FWV12" s="1337"/>
      <c r="FWW12" s="1337"/>
      <c r="FWX12" s="1337"/>
      <c r="FWY12" s="1337"/>
      <c r="FWZ12" s="1338"/>
      <c r="FXA12" s="1339"/>
      <c r="FXB12" s="1340"/>
      <c r="FXC12" s="1340"/>
      <c r="FXD12" s="1340"/>
      <c r="FXE12" s="1341"/>
      <c r="FXF12" s="1342"/>
      <c r="FXG12" s="1336"/>
      <c r="FXH12" s="1336"/>
      <c r="FXI12" s="1336"/>
      <c r="FXJ12" s="1336"/>
      <c r="FXK12" s="1337"/>
      <c r="FXL12" s="1337"/>
      <c r="FXM12" s="1337"/>
      <c r="FXN12" s="1337"/>
      <c r="FXO12" s="1337"/>
      <c r="FXP12" s="1338"/>
      <c r="FXQ12" s="1339"/>
      <c r="FXR12" s="1340"/>
      <c r="FXS12" s="1340"/>
      <c r="FXT12" s="1340"/>
      <c r="FXU12" s="1341"/>
      <c r="FXV12" s="1342"/>
      <c r="FXW12" s="1336"/>
      <c r="FXX12" s="1336"/>
      <c r="FXY12" s="1336"/>
      <c r="FXZ12" s="1336"/>
      <c r="FYA12" s="1337"/>
      <c r="FYB12" s="1337"/>
      <c r="FYC12" s="1337"/>
      <c r="FYD12" s="1337"/>
      <c r="FYE12" s="1337"/>
      <c r="FYF12" s="1338"/>
      <c r="FYG12" s="1339"/>
      <c r="FYH12" s="1340"/>
      <c r="FYI12" s="1340"/>
      <c r="FYJ12" s="1340"/>
      <c r="FYK12" s="1341"/>
      <c r="FYL12" s="1342"/>
      <c r="FYM12" s="1336"/>
      <c r="FYN12" s="1336"/>
      <c r="FYO12" s="1336"/>
      <c r="FYP12" s="1336"/>
      <c r="FYQ12" s="1337"/>
      <c r="FYR12" s="1337"/>
      <c r="FYS12" s="1337"/>
      <c r="FYT12" s="1337"/>
      <c r="FYU12" s="1337"/>
      <c r="FYV12" s="1338"/>
      <c r="FYW12" s="1339"/>
      <c r="FYX12" s="1340"/>
      <c r="FYY12" s="1340"/>
      <c r="FYZ12" s="1340"/>
      <c r="FZA12" s="1341"/>
      <c r="FZB12" s="1342"/>
      <c r="FZC12" s="1336"/>
      <c r="FZD12" s="1336"/>
      <c r="FZE12" s="1336"/>
      <c r="FZF12" s="1336"/>
      <c r="FZG12" s="1337"/>
      <c r="FZH12" s="1337"/>
      <c r="FZI12" s="1337"/>
      <c r="FZJ12" s="1337"/>
      <c r="FZK12" s="1337"/>
      <c r="FZL12" s="1338"/>
      <c r="FZM12" s="1339"/>
      <c r="FZN12" s="1340"/>
      <c r="FZO12" s="1340"/>
      <c r="FZP12" s="1340"/>
      <c r="FZQ12" s="1341"/>
      <c r="FZR12" s="1342"/>
      <c r="FZS12" s="1336"/>
      <c r="FZT12" s="1336"/>
      <c r="FZU12" s="1336"/>
      <c r="FZV12" s="1336"/>
      <c r="FZW12" s="1337"/>
      <c r="FZX12" s="1337"/>
      <c r="FZY12" s="1337"/>
      <c r="FZZ12" s="1337"/>
      <c r="GAA12" s="1337"/>
      <c r="GAB12" s="1338"/>
      <c r="GAC12" s="1339"/>
      <c r="GAD12" s="1340"/>
      <c r="GAE12" s="1340"/>
      <c r="GAF12" s="1340"/>
      <c r="GAG12" s="1341"/>
      <c r="GAH12" s="1342"/>
      <c r="GAI12" s="1336"/>
      <c r="GAJ12" s="1336"/>
      <c r="GAK12" s="1336"/>
      <c r="GAL12" s="1336"/>
      <c r="GAM12" s="1337"/>
      <c r="GAN12" s="1337"/>
      <c r="GAO12" s="1337"/>
      <c r="GAP12" s="1337"/>
      <c r="GAQ12" s="1337"/>
      <c r="GAR12" s="1338"/>
      <c r="GAS12" s="1339"/>
      <c r="GAT12" s="1340"/>
      <c r="GAU12" s="1340"/>
      <c r="GAV12" s="1340"/>
      <c r="GAW12" s="1341"/>
      <c r="GAX12" s="1342"/>
      <c r="GAY12" s="1336"/>
      <c r="GAZ12" s="1336"/>
      <c r="GBA12" s="1336"/>
      <c r="GBB12" s="1336"/>
      <c r="GBC12" s="1337"/>
      <c r="GBD12" s="1337"/>
      <c r="GBE12" s="1337"/>
      <c r="GBF12" s="1337"/>
      <c r="GBG12" s="1337"/>
      <c r="GBH12" s="1338"/>
      <c r="GBI12" s="1339"/>
      <c r="GBJ12" s="1340"/>
      <c r="GBK12" s="1340"/>
      <c r="GBL12" s="1340"/>
      <c r="GBM12" s="1341"/>
      <c r="GBN12" s="1342"/>
      <c r="GBO12" s="1336"/>
      <c r="GBP12" s="1336"/>
      <c r="GBQ12" s="1336"/>
      <c r="GBR12" s="1336"/>
      <c r="GBS12" s="1337"/>
      <c r="GBT12" s="1337"/>
      <c r="GBU12" s="1337"/>
      <c r="GBV12" s="1337"/>
      <c r="GBW12" s="1337"/>
      <c r="GBX12" s="1338"/>
      <c r="GBY12" s="1339"/>
      <c r="GBZ12" s="1340"/>
      <c r="GCA12" s="1340"/>
      <c r="GCB12" s="1340"/>
      <c r="GCC12" s="1341"/>
      <c r="GCD12" s="1342"/>
      <c r="GCE12" s="1336"/>
      <c r="GCF12" s="1336"/>
      <c r="GCG12" s="1336"/>
      <c r="GCH12" s="1336"/>
      <c r="GCI12" s="1337"/>
      <c r="GCJ12" s="1337"/>
      <c r="GCK12" s="1337"/>
      <c r="GCL12" s="1337"/>
      <c r="GCM12" s="1337"/>
      <c r="GCN12" s="1338"/>
      <c r="GCO12" s="1339"/>
      <c r="GCP12" s="1340"/>
      <c r="GCQ12" s="1340"/>
      <c r="GCR12" s="1340"/>
      <c r="GCS12" s="1341"/>
      <c r="GCT12" s="1342"/>
      <c r="GCU12" s="1336"/>
      <c r="GCV12" s="1336"/>
      <c r="GCW12" s="1336"/>
      <c r="GCX12" s="1336"/>
      <c r="GCY12" s="1337"/>
      <c r="GCZ12" s="1337"/>
      <c r="GDA12" s="1337"/>
      <c r="GDB12" s="1337"/>
      <c r="GDC12" s="1337"/>
      <c r="GDD12" s="1338"/>
      <c r="GDE12" s="1339"/>
      <c r="GDF12" s="1340"/>
      <c r="GDG12" s="1340"/>
      <c r="GDH12" s="1340"/>
      <c r="GDI12" s="1341"/>
      <c r="GDJ12" s="1342"/>
      <c r="GDK12" s="1336"/>
      <c r="GDL12" s="1336"/>
      <c r="GDM12" s="1336"/>
      <c r="GDN12" s="1336"/>
      <c r="GDO12" s="1337"/>
      <c r="GDP12" s="1337"/>
      <c r="GDQ12" s="1337"/>
      <c r="GDR12" s="1337"/>
      <c r="GDS12" s="1337"/>
      <c r="GDT12" s="1338"/>
      <c r="GDU12" s="1339"/>
      <c r="GDV12" s="1340"/>
      <c r="GDW12" s="1340"/>
      <c r="GDX12" s="1340"/>
      <c r="GDY12" s="1341"/>
      <c r="GDZ12" s="1342"/>
      <c r="GEA12" s="1336"/>
      <c r="GEB12" s="1336"/>
      <c r="GEC12" s="1336"/>
      <c r="GED12" s="1336"/>
      <c r="GEE12" s="1337"/>
      <c r="GEF12" s="1337"/>
      <c r="GEG12" s="1337"/>
      <c r="GEH12" s="1337"/>
      <c r="GEI12" s="1337"/>
      <c r="GEJ12" s="1338"/>
      <c r="GEK12" s="1339"/>
      <c r="GEL12" s="1340"/>
      <c r="GEM12" s="1340"/>
      <c r="GEN12" s="1340"/>
      <c r="GEO12" s="1341"/>
      <c r="GEP12" s="1342"/>
      <c r="GEQ12" s="1336"/>
      <c r="GER12" s="1336"/>
      <c r="GES12" s="1336"/>
      <c r="GET12" s="1336"/>
      <c r="GEU12" s="1337"/>
      <c r="GEV12" s="1337"/>
      <c r="GEW12" s="1337"/>
      <c r="GEX12" s="1337"/>
      <c r="GEY12" s="1337"/>
      <c r="GEZ12" s="1338"/>
      <c r="GFA12" s="1339"/>
      <c r="GFB12" s="1340"/>
      <c r="GFC12" s="1340"/>
      <c r="GFD12" s="1340"/>
      <c r="GFE12" s="1341"/>
      <c r="GFF12" s="1342"/>
      <c r="GFG12" s="1336"/>
      <c r="GFH12" s="1336"/>
      <c r="GFI12" s="1336"/>
      <c r="GFJ12" s="1336"/>
      <c r="GFK12" s="1337"/>
      <c r="GFL12" s="1337"/>
      <c r="GFM12" s="1337"/>
      <c r="GFN12" s="1337"/>
      <c r="GFO12" s="1337"/>
      <c r="GFP12" s="1338"/>
      <c r="GFQ12" s="1339"/>
      <c r="GFR12" s="1340"/>
      <c r="GFS12" s="1340"/>
      <c r="GFT12" s="1340"/>
      <c r="GFU12" s="1341"/>
      <c r="GFV12" s="1342"/>
      <c r="GFW12" s="1336"/>
      <c r="GFX12" s="1336"/>
      <c r="GFY12" s="1336"/>
      <c r="GFZ12" s="1336"/>
      <c r="GGA12" s="1337"/>
      <c r="GGB12" s="1337"/>
      <c r="GGC12" s="1337"/>
      <c r="GGD12" s="1337"/>
      <c r="GGE12" s="1337"/>
      <c r="GGF12" s="1338"/>
      <c r="GGG12" s="1339"/>
      <c r="GGH12" s="1340"/>
      <c r="GGI12" s="1340"/>
      <c r="GGJ12" s="1340"/>
      <c r="GGK12" s="1341"/>
      <c r="GGL12" s="1342"/>
      <c r="GGM12" s="1336"/>
      <c r="GGN12" s="1336"/>
      <c r="GGO12" s="1336"/>
      <c r="GGP12" s="1336"/>
      <c r="GGQ12" s="1337"/>
      <c r="GGR12" s="1337"/>
      <c r="GGS12" s="1337"/>
      <c r="GGT12" s="1337"/>
      <c r="GGU12" s="1337"/>
      <c r="GGV12" s="1338"/>
      <c r="GGW12" s="1339"/>
      <c r="GGX12" s="1340"/>
      <c r="GGY12" s="1340"/>
      <c r="GGZ12" s="1340"/>
      <c r="GHA12" s="1341"/>
      <c r="GHB12" s="1342"/>
      <c r="GHC12" s="1336"/>
      <c r="GHD12" s="1336"/>
      <c r="GHE12" s="1336"/>
      <c r="GHF12" s="1336"/>
      <c r="GHG12" s="1337"/>
      <c r="GHH12" s="1337"/>
      <c r="GHI12" s="1337"/>
      <c r="GHJ12" s="1337"/>
      <c r="GHK12" s="1337"/>
      <c r="GHL12" s="1338"/>
      <c r="GHM12" s="1339"/>
      <c r="GHN12" s="1340"/>
      <c r="GHO12" s="1340"/>
      <c r="GHP12" s="1340"/>
      <c r="GHQ12" s="1341"/>
      <c r="GHR12" s="1342"/>
      <c r="GHS12" s="1336"/>
      <c r="GHT12" s="1336"/>
      <c r="GHU12" s="1336"/>
      <c r="GHV12" s="1336"/>
      <c r="GHW12" s="1337"/>
      <c r="GHX12" s="1337"/>
      <c r="GHY12" s="1337"/>
      <c r="GHZ12" s="1337"/>
      <c r="GIA12" s="1337"/>
      <c r="GIB12" s="1338"/>
      <c r="GIC12" s="1339"/>
      <c r="GID12" s="1340"/>
      <c r="GIE12" s="1340"/>
      <c r="GIF12" s="1340"/>
      <c r="GIG12" s="1341"/>
      <c r="GIH12" s="1342"/>
      <c r="GII12" s="1336"/>
      <c r="GIJ12" s="1336"/>
      <c r="GIK12" s="1336"/>
      <c r="GIL12" s="1336"/>
      <c r="GIM12" s="1337"/>
      <c r="GIN12" s="1337"/>
      <c r="GIO12" s="1337"/>
      <c r="GIP12" s="1337"/>
      <c r="GIQ12" s="1337"/>
      <c r="GIR12" s="1338"/>
      <c r="GIS12" s="1339"/>
      <c r="GIT12" s="1340"/>
      <c r="GIU12" s="1340"/>
      <c r="GIV12" s="1340"/>
      <c r="GIW12" s="1341"/>
      <c r="GIX12" s="1342"/>
      <c r="GIY12" s="1336"/>
      <c r="GIZ12" s="1336"/>
      <c r="GJA12" s="1336"/>
      <c r="GJB12" s="1336"/>
      <c r="GJC12" s="1337"/>
      <c r="GJD12" s="1337"/>
      <c r="GJE12" s="1337"/>
      <c r="GJF12" s="1337"/>
      <c r="GJG12" s="1337"/>
      <c r="GJH12" s="1338"/>
      <c r="GJI12" s="1339"/>
      <c r="GJJ12" s="1340"/>
      <c r="GJK12" s="1340"/>
      <c r="GJL12" s="1340"/>
      <c r="GJM12" s="1341"/>
      <c r="GJN12" s="1342"/>
      <c r="GJO12" s="1336"/>
      <c r="GJP12" s="1336"/>
      <c r="GJQ12" s="1336"/>
      <c r="GJR12" s="1336"/>
      <c r="GJS12" s="1337"/>
      <c r="GJT12" s="1337"/>
      <c r="GJU12" s="1337"/>
      <c r="GJV12" s="1337"/>
      <c r="GJW12" s="1337"/>
      <c r="GJX12" s="1338"/>
      <c r="GJY12" s="1339"/>
      <c r="GJZ12" s="1340"/>
      <c r="GKA12" s="1340"/>
      <c r="GKB12" s="1340"/>
      <c r="GKC12" s="1341"/>
      <c r="GKD12" s="1342"/>
      <c r="GKE12" s="1336"/>
      <c r="GKF12" s="1336"/>
      <c r="GKG12" s="1336"/>
      <c r="GKH12" s="1336"/>
      <c r="GKI12" s="1337"/>
      <c r="GKJ12" s="1337"/>
      <c r="GKK12" s="1337"/>
      <c r="GKL12" s="1337"/>
      <c r="GKM12" s="1337"/>
      <c r="GKN12" s="1338"/>
      <c r="GKO12" s="1339"/>
      <c r="GKP12" s="1340"/>
      <c r="GKQ12" s="1340"/>
      <c r="GKR12" s="1340"/>
      <c r="GKS12" s="1341"/>
      <c r="GKT12" s="1342"/>
      <c r="GKU12" s="1336"/>
      <c r="GKV12" s="1336"/>
      <c r="GKW12" s="1336"/>
      <c r="GKX12" s="1336"/>
      <c r="GKY12" s="1337"/>
      <c r="GKZ12" s="1337"/>
      <c r="GLA12" s="1337"/>
      <c r="GLB12" s="1337"/>
      <c r="GLC12" s="1337"/>
      <c r="GLD12" s="1338"/>
      <c r="GLE12" s="1339"/>
      <c r="GLF12" s="1340"/>
      <c r="GLG12" s="1340"/>
      <c r="GLH12" s="1340"/>
      <c r="GLI12" s="1341"/>
      <c r="GLJ12" s="1342"/>
      <c r="GLK12" s="1336"/>
      <c r="GLL12" s="1336"/>
      <c r="GLM12" s="1336"/>
      <c r="GLN12" s="1336"/>
      <c r="GLO12" s="1337"/>
      <c r="GLP12" s="1337"/>
      <c r="GLQ12" s="1337"/>
      <c r="GLR12" s="1337"/>
      <c r="GLS12" s="1337"/>
      <c r="GLT12" s="1338"/>
      <c r="GLU12" s="1339"/>
      <c r="GLV12" s="1340"/>
      <c r="GLW12" s="1340"/>
      <c r="GLX12" s="1340"/>
      <c r="GLY12" s="1341"/>
      <c r="GLZ12" s="1342"/>
      <c r="GMA12" s="1336"/>
      <c r="GMB12" s="1336"/>
      <c r="GMC12" s="1336"/>
      <c r="GMD12" s="1336"/>
      <c r="GME12" s="1337"/>
      <c r="GMF12" s="1337"/>
      <c r="GMG12" s="1337"/>
      <c r="GMH12" s="1337"/>
      <c r="GMI12" s="1337"/>
      <c r="GMJ12" s="1338"/>
      <c r="GMK12" s="1339"/>
      <c r="GML12" s="1340"/>
      <c r="GMM12" s="1340"/>
      <c r="GMN12" s="1340"/>
      <c r="GMO12" s="1341"/>
      <c r="GMP12" s="1342"/>
      <c r="GMQ12" s="1336"/>
      <c r="GMR12" s="1336"/>
      <c r="GMS12" s="1336"/>
      <c r="GMT12" s="1336"/>
      <c r="GMU12" s="1337"/>
      <c r="GMV12" s="1337"/>
      <c r="GMW12" s="1337"/>
      <c r="GMX12" s="1337"/>
      <c r="GMY12" s="1337"/>
      <c r="GMZ12" s="1338"/>
      <c r="GNA12" s="1339"/>
      <c r="GNB12" s="1340"/>
      <c r="GNC12" s="1340"/>
      <c r="GND12" s="1340"/>
      <c r="GNE12" s="1341"/>
      <c r="GNF12" s="1342"/>
      <c r="GNG12" s="1336"/>
      <c r="GNH12" s="1336"/>
      <c r="GNI12" s="1336"/>
      <c r="GNJ12" s="1336"/>
      <c r="GNK12" s="1337"/>
      <c r="GNL12" s="1337"/>
      <c r="GNM12" s="1337"/>
      <c r="GNN12" s="1337"/>
      <c r="GNO12" s="1337"/>
      <c r="GNP12" s="1338"/>
      <c r="GNQ12" s="1339"/>
      <c r="GNR12" s="1340"/>
      <c r="GNS12" s="1340"/>
      <c r="GNT12" s="1340"/>
      <c r="GNU12" s="1341"/>
      <c r="GNV12" s="1342"/>
      <c r="GNW12" s="1336"/>
      <c r="GNX12" s="1336"/>
      <c r="GNY12" s="1336"/>
      <c r="GNZ12" s="1336"/>
      <c r="GOA12" s="1337"/>
      <c r="GOB12" s="1337"/>
      <c r="GOC12" s="1337"/>
      <c r="GOD12" s="1337"/>
      <c r="GOE12" s="1337"/>
      <c r="GOF12" s="1338"/>
      <c r="GOG12" s="1339"/>
      <c r="GOH12" s="1340"/>
      <c r="GOI12" s="1340"/>
      <c r="GOJ12" s="1340"/>
      <c r="GOK12" s="1341"/>
      <c r="GOL12" s="1342"/>
      <c r="GOM12" s="1336"/>
      <c r="GON12" s="1336"/>
      <c r="GOO12" s="1336"/>
      <c r="GOP12" s="1336"/>
      <c r="GOQ12" s="1337"/>
      <c r="GOR12" s="1337"/>
      <c r="GOS12" s="1337"/>
      <c r="GOT12" s="1337"/>
      <c r="GOU12" s="1337"/>
      <c r="GOV12" s="1338"/>
      <c r="GOW12" s="1339"/>
      <c r="GOX12" s="1340"/>
      <c r="GOY12" s="1340"/>
      <c r="GOZ12" s="1340"/>
      <c r="GPA12" s="1341"/>
      <c r="GPB12" s="1342"/>
      <c r="GPC12" s="1336"/>
      <c r="GPD12" s="1336"/>
      <c r="GPE12" s="1336"/>
      <c r="GPF12" s="1336"/>
      <c r="GPG12" s="1337"/>
      <c r="GPH12" s="1337"/>
      <c r="GPI12" s="1337"/>
      <c r="GPJ12" s="1337"/>
      <c r="GPK12" s="1337"/>
      <c r="GPL12" s="1338"/>
      <c r="GPM12" s="1339"/>
      <c r="GPN12" s="1340"/>
      <c r="GPO12" s="1340"/>
      <c r="GPP12" s="1340"/>
      <c r="GPQ12" s="1341"/>
      <c r="GPR12" s="1342"/>
      <c r="GPS12" s="1336"/>
      <c r="GPT12" s="1336"/>
      <c r="GPU12" s="1336"/>
      <c r="GPV12" s="1336"/>
      <c r="GPW12" s="1337"/>
      <c r="GPX12" s="1337"/>
      <c r="GPY12" s="1337"/>
      <c r="GPZ12" s="1337"/>
      <c r="GQA12" s="1337"/>
      <c r="GQB12" s="1338"/>
      <c r="GQC12" s="1339"/>
      <c r="GQD12" s="1340"/>
      <c r="GQE12" s="1340"/>
      <c r="GQF12" s="1340"/>
      <c r="GQG12" s="1341"/>
      <c r="GQH12" s="1342"/>
      <c r="GQI12" s="1336"/>
      <c r="GQJ12" s="1336"/>
      <c r="GQK12" s="1336"/>
      <c r="GQL12" s="1336"/>
      <c r="GQM12" s="1337"/>
      <c r="GQN12" s="1337"/>
      <c r="GQO12" s="1337"/>
      <c r="GQP12" s="1337"/>
      <c r="GQQ12" s="1337"/>
      <c r="GQR12" s="1338"/>
      <c r="GQS12" s="1339"/>
      <c r="GQT12" s="1340"/>
      <c r="GQU12" s="1340"/>
      <c r="GQV12" s="1340"/>
      <c r="GQW12" s="1341"/>
      <c r="GQX12" s="1342"/>
      <c r="GQY12" s="1336"/>
      <c r="GQZ12" s="1336"/>
      <c r="GRA12" s="1336"/>
      <c r="GRB12" s="1336"/>
      <c r="GRC12" s="1337"/>
      <c r="GRD12" s="1337"/>
      <c r="GRE12" s="1337"/>
      <c r="GRF12" s="1337"/>
      <c r="GRG12" s="1337"/>
      <c r="GRH12" s="1338"/>
      <c r="GRI12" s="1339"/>
      <c r="GRJ12" s="1340"/>
      <c r="GRK12" s="1340"/>
      <c r="GRL12" s="1340"/>
      <c r="GRM12" s="1341"/>
      <c r="GRN12" s="1342"/>
      <c r="GRO12" s="1336"/>
      <c r="GRP12" s="1336"/>
      <c r="GRQ12" s="1336"/>
      <c r="GRR12" s="1336"/>
      <c r="GRS12" s="1337"/>
      <c r="GRT12" s="1337"/>
      <c r="GRU12" s="1337"/>
      <c r="GRV12" s="1337"/>
      <c r="GRW12" s="1337"/>
      <c r="GRX12" s="1338"/>
      <c r="GRY12" s="1339"/>
      <c r="GRZ12" s="1340"/>
      <c r="GSA12" s="1340"/>
      <c r="GSB12" s="1340"/>
      <c r="GSC12" s="1341"/>
      <c r="GSD12" s="1342"/>
      <c r="GSE12" s="1336"/>
      <c r="GSF12" s="1336"/>
      <c r="GSG12" s="1336"/>
      <c r="GSH12" s="1336"/>
      <c r="GSI12" s="1337"/>
      <c r="GSJ12" s="1337"/>
      <c r="GSK12" s="1337"/>
      <c r="GSL12" s="1337"/>
      <c r="GSM12" s="1337"/>
      <c r="GSN12" s="1338"/>
      <c r="GSO12" s="1339"/>
      <c r="GSP12" s="1340"/>
      <c r="GSQ12" s="1340"/>
      <c r="GSR12" s="1340"/>
      <c r="GSS12" s="1341"/>
      <c r="GST12" s="1342"/>
      <c r="GSU12" s="1336"/>
      <c r="GSV12" s="1336"/>
      <c r="GSW12" s="1336"/>
      <c r="GSX12" s="1336"/>
      <c r="GSY12" s="1337"/>
      <c r="GSZ12" s="1337"/>
      <c r="GTA12" s="1337"/>
      <c r="GTB12" s="1337"/>
      <c r="GTC12" s="1337"/>
      <c r="GTD12" s="1338"/>
      <c r="GTE12" s="1339"/>
      <c r="GTF12" s="1340"/>
      <c r="GTG12" s="1340"/>
      <c r="GTH12" s="1340"/>
      <c r="GTI12" s="1341"/>
      <c r="GTJ12" s="1342"/>
      <c r="GTK12" s="1336"/>
      <c r="GTL12" s="1336"/>
      <c r="GTM12" s="1336"/>
      <c r="GTN12" s="1336"/>
      <c r="GTO12" s="1337"/>
      <c r="GTP12" s="1337"/>
      <c r="GTQ12" s="1337"/>
      <c r="GTR12" s="1337"/>
      <c r="GTS12" s="1337"/>
      <c r="GTT12" s="1338"/>
      <c r="GTU12" s="1339"/>
      <c r="GTV12" s="1340"/>
      <c r="GTW12" s="1340"/>
      <c r="GTX12" s="1340"/>
      <c r="GTY12" s="1341"/>
      <c r="GTZ12" s="1342"/>
      <c r="GUA12" s="1336"/>
      <c r="GUB12" s="1336"/>
      <c r="GUC12" s="1336"/>
      <c r="GUD12" s="1336"/>
      <c r="GUE12" s="1337"/>
      <c r="GUF12" s="1337"/>
      <c r="GUG12" s="1337"/>
      <c r="GUH12" s="1337"/>
      <c r="GUI12" s="1337"/>
      <c r="GUJ12" s="1338"/>
      <c r="GUK12" s="1339"/>
      <c r="GUL12" s="1340"/>
      <c r="GUM12" s="1340"/>
      <c r="GUN12" s="1340"/>
      <c r="GUO12" s="1341"/>
      <c r="GUP12" s="1342"/>
      <c r="GUQ12" s="1336"/>
      <c r="GUR12" s="1336"/>
      <c r="GUS12" s="1336"/>
      <c r="GUT12" s="1336"/>
      <c r="GUU12" s="1337"/>
      <c r="GUV12" s="1337"/>
      <c r="GUW12" s="1337"/>
      <c r="GUX12" s="1337"/>
      <c r="GUY12" s="1337"/>
      <c r="GUZ12" s="1338"/>
      <c r="GVA12" s="1339"/>
      <c r="GVB12" s="1340"/>
      <c r="GVC12" s="1340"/>
      <c r="GVD12" s="1340"/>
      <c r="GVE12" s="1341"/>
      <c r="GVF12" s="1342"/>
      <c r="GVG12" s="1336"/>
      <c r="GVH12" s="1336"/>
      <c r="GVI12" s="1336"/>
      <c r="GVJ12" s="1336"/>
      <c r="GVK12" s="1337"/>
      <c r="GVL12" s="1337"/>
      <c r="GVM12" s="1337"/>
      <c r="GVN12" s="1337"/>
      <c r="GVO12" s="1337"/>
      <c r="GVP12" s="1338"/>
      <c r="GVQ12" s="1339"/>
      <c r="GVR12" s="1340"/>
      <c r="GVS12" s="1340"/>
      <c r="GVT12" s="1340"/>
      <c r="GVU12" s="1341"/>
      <c r="GVV12" s="1342"/>
      <c r="GVW12" s="1336"/>
      <c r="GVX12" s="1336"/>
      <c r="GVY12" s="1336"/>
      <c r="GVZ12" s="1336"/>
      <c r="GWA12" s="1337"/>
      <c r="GWB12" s="1337"/>
      <c r="GWC12" s="1337"/>
      <c r="GWD12" s="1337"/>
      <c r="GWE12" s="1337"/>
      <c r="GWF12" s="1338"/>
      <c r="GWG12" s="1339"/>
      <c r="GWH12" s="1340"/>
      <c r="GWI12" s="1340"/>
      <c r="GWJ12" s="1340"/>
      <c r="GWK12" s="1341"/>
      <c r="GWL12" s="1342"/>
      <c r="GWM12" s="1336"/>
      <c r="GWN12" s="1336"/>
      <c r="GWO12" s="1336"/>
      <c r="GWP12" s="1336"/>
      <c r="GWQ12" s="1337"/>
      <c r="GWR12" s="1337"/>
      <c r="GWS12" s="1337"/>
      <c r="GWT12" s="1337"/>
      <c r="GWU12" s="1337"/>
      <c r="GWV12" s="1338"/>
      <c r="GWW12" s="1339"/>
      <c r="GWX12" s="1340"/>
      <c r="GWY12" s="1340"/>
      <c r="GWZ12" s="1340"/>
      <c r="GXA12" s="1341"/>
      <c r="GXB12" s="1342"/>
      <c r="GXC12" s="1336"/>
      <c r="GXD12" s="1336"/>
      <c r="GXE12" s="1336"/>
      <c r="GXF12" s="1336"/>
      <c r="GXG12" s="1337"/>
      <c r="GXH12" s="1337"/>
      <c r="GXI12" s="1337"/>
      <c r="GXJ12" s="1337"/>
      <c r="GXK12" s="1337"/>
      <c r="GXL12" s="1338"/>
      <c r="GXM12" s="1339"/>
      <c r="GXN12" s="1340"/>
      <c r="GXO12" s="1340"/>
      <c r="GXP12" s="1340"/>
      <c r="GXQ12" s="1341"/>
      <c r="GXR12" s="1342"/>
      <c r="GXS12" s="1336"/>
      <c r="GXT12" s="1336"/>
      <c r="GXU12" s="1336"/>
      <c r="GXV12" s="1336"/>
      <c r="GXW12" s="1337"/>
      <c r="GXX12" s="1337"/>
      <c r="GXY12" s="1337"/>
      <c r="GXZ12" s="1337"/>
      <c r="GYA12" s="1337"/>
      <c r="GYB12" s="1338"/>
      <c r="GYC12" s="1339"/>
      <c r="GYD12" s="1340"/>
      <c r="GYE12" s="1340"/>
      <c r="GYF12" s="1340"/>
      <c r="GYG12" s="1341"/>
      <c r="GYH12" s="1342"/>
      <c r="GYI12" s="1336"/>
      <c r="GYJ12" s="1336"/>
      <c r="GYK12" s="1336"/>
      <c r="GYL12" s="1336"/>
      <c r="GYM12" s="1337"/>
      <c r="GYN12" s="1337"/>
      <c r="GYO12" s="1337"/>
      <c r="GYP12" s="1337"/>
      <c r="GYQ12" s="1337"/>
      <c r="GYR12" s="1338"/>
      <c r="GYS12" s="1339"/>
      <c r="GYT12" s="1340"/>
      <c r="GYU12" s="1340"/>
      <c r="GYV12" s="1340"/>
      <c r="GYW12" s="1341"/>
      <c r="GYX12" s="1342"/>
      <c r="GYY12" s="1336"/>
      <c r="GYZ12" s="1336"/>
      <c r="GZA12" s="1336"/>
      <c r="GZB12" s="1336"/>
      <c r="GZC12" s="1337"/>
      <c r="GZD12" s="1337"/>
      <c r="GZE12" s="1337"/>
      <c r="GZF12" s="1337"/>
      <c r="GZG12" s="1337"/>
      <c r="GZH12" s="1338"/>
      <c r="GZI12" s="1339"/>
      <c r="GZJ12" s="1340"/>
      <c r="GZK12" s="1340"/>
      <c r="GZL12" s="1340"/>
      <c r="GZM12" s="1341"/>
      <c r="GZN12" s="1342"/>
      <c r="GZO12" s="1336"/>
      <c r="GZP12" s="1336"/>
      <c r="GZQ12" s="1336"/>
      <c r="GZR12" s="1336"/>
      <c r="GZS12" s="1337"/>
      <c r="GZT12" s="1337"/>
      <c r="GZU12" s="1337"/>
      <c r="GZV12" s="1337"/>
      <c r="GZW12" s="1337"/>
      <c r="GZX12" s="1338"/>
      <c r="GZY12" s="1339"/>
      <c r="GZZ12" s="1340"/>
      <c r="HAA12" s="1340"/>
      <c r="HAB12" s="1340"/>
      <c r="HAC12" s="1341"/>
      <c r="HAD12" s="1342"/>
      <c r="HAE12" s="1336"/>
      <c r="HAF12" s="1336"/>
      <c r="HAG12" s="1336"/>
      <c r="HAH12" s="1336"/>
      <c r="HAI12" s="1337"/>
      <c r="HAJ12" s="1337"/>
      <c r="HAK12" s="1337"/>
      <c r="HAL12" s="1337"/>
      <c r="HAM12" s="1337"/>
      <c r="HAN12" s="1338"/>
      <c r="HAO12" s="1339"/>
      <c r="HAP12" s="1340"/>
      <c r="HAQ12" s="1340"/>
      <c r="HAR12" s="1340"/>
      <c r="HAS12" s="1341"/>
      <c r="HAT12" s="1342"/>
      <c r="HAU12" s="1336"/>
      <c r="HAV12" s="1336"/>
      <c r="HAW12" s="1336"/>
      <c r="HAX12" s="1336"/>
      <c r="HAY12" s="1337"/>
      <c r="HAZ12" s="1337"/>
      <c r="HBA12" s="1337"/>
      <c r="HBB12" s="1337"/>
      <c r="HBC12" s="1337"/>
      <c r="HBD12" s="1338"/>
      <c r="HBE12" s="1339"/>
      <c r="HBF12" s="1340"/>
      <c r="HBG12" s="1340"/>
      <c r="HBH12" s="1340"/>
      <c r="HBI12" s="1341"/>
      <c r="HBJ12" s="1342"/>
      <c r="HBK12" s="1336"/>
      <c r="HBL12" s="1336"/>
      <c r="HBM12" s="1336"/>
      <c r="HBN12" s="1336"/>
      <c r="HBO12" s="1337"/>
      <c r="HBP12" s="1337"/>
      <c r="HBQ12" s="1337"/>
      <c r="HBR12" s="1337"/>
      <c r="HBS12" s="1337"/>
      <c r="HBT12" s="1338"/>
      <c r="HBU12" s="1339"/>
      <c r="HBV12" s="1340"/>
      <c r="HBW12" s="1340"/>
      <c r="HBX12" s="1340"/>
      <c r="HBY12" s="1341"/>
      <c r="HBZ12" s="1342"/>
      <c r="HCA12" s="1336"/>
      <c r="HCB12" s="1336"/>
      <c r="HCC12" s="1336"/>
      <c r="HCD12" s="1336"/>
      <c r="HCE12" s="1337"/>
      <c r="HCF12" s="1337"/>
      <c r="HCG12" s="1337"/>
      <c r="HCH12" s="1337"/>
      <c r="HCI12" s="1337"/>
      <c r="HCJ12" s="1338"/>
      <c r="HCK12" s="1339"/>
      <c r="HCL12" s="1340"/>
      <c r="HCM12" s="1340"/>
      <c r="HCN12" s="1340"/>
      <c r="HCO12" s="1341"/>
      <c r="HCP12" s="1342"/>
      <c r="HCQ12" s="1336"/>
      <c r="HCR12" s="1336"/>
      <c r="HCS12" s="1336"/>
      <c r="HCT12" s="1336"/>
      <c r="HCU12" s="1337"/>
      <c r="HCV12" s="1337"/>
      <c r="HCW12" s="1337"/>
      <c r="HCX12" s="1337"/>
      <c r="HCY12" s="1337"/>
      <c r="HCZ12" s="1338"/>
      <c r="HDA12" s="1339"/>
      <c r="HDB12" s="1340"/>
      <c r="HDC12" s="1340"/>
      <c r="HDD12" s="1340"/>
      <c r="HDE12" s="1341"/>
      <c r="HDF12" s="1342"/>
      <c r="HDG12" s="1336"/>
      <c r="HDH12" s="1336"/>
      <c r="HDI12" s="1336"/>
      <c r="HDJ12" s="1336"/>
      <c r="HDK12" s="1337"/>
      <c r="HDL12" s="1337"/>
      <c r="HDM12" s="1337"/>
      <c r="HDN12" s="1337"/>
      <c r="HDO12" s="1337"/>
      <c r="HDP12" s="1338"/>
      <c r="HDQ12" s="1339"/>
      <c r="HDR12" s="1340"/>
      <c r="HDS12" s="1340"/>
      <c r="HDT12" s="1340"/>
      <c r="HDU12" s="1341"/>
      <c r="HDV12" s="1342"/>
      <c r="HDW12" s="1336"/>
      <c r="HDX12" s="1336"/>
      <c r="HDY12" s="1336"/>
      <c r="HDZ12" s="1336"/>
      <c r="HEA12" s="1337"/>
      <c r="HEB12" s="1337"/>
      <c r="HEC12" s="1337"/>
      <c r="HED12" s="1337"/>
      <c r="HEE12" s="1337"/>
      <c r="HEF12" s="1338"/>
      <c r="HEG12" s="1339"/>
      <c r="HEH12" s="1340"/>
      <c r="HEI12" s="1340"/>
      <c r="HEJ12" s="1340"/>
      <c r="HEK12" s="1341"/>
      <c r="HEL12" s="1342"/>
      <c r="HEM12" s="1336"/>
      <c r="HEN12" s="1336"/>
      <c r="HEO12" s="1336"/>
      <c r="HEP12" s="1336"/>
      <c r="HEQ12" s="1337"/>
      <c r="HER12" s="1337"/>
      <c r="HES12" s="1337"/>
      <c r="HET12" s="1337"/>
      <c r="HEU12" s="1337"/>
      <c r="HEV12" s="1338"/>
      <c r="HEW12" s="1339"/>
      <c r="HEX12" s="1340"/>
      <c r="HEY12" s="1340"/>
      <c r="HEZ12" s="1340"/>
      <c r="HFA12" s="1341"/>
      <c r="HFB12" s="1342"/>
      <c r="HFC12" s="1336"/>
      <c r="HFD12" s="1336"/>
      <c r="HFE12" s="1336"/>
      <c r="HFF12" s="1336"/>
      <c r="HFG12" s="1337"/>
      <c r="HFH12" s="1337"/>
      <c r="HFI12" s="1337"/>
      <c r="HFJ12" s="1337"/>
      <c r="HFK12" s="1337"/>
      <c r="HFL12" s="1338"/>
      <c r="HFM12" s="1339"/>
      <c r="HFN12" s="1340"/>
      <c r="HFO12" s="1340"/>
      <c r="HFP12" s="1340"/>
      <c r="HFQ12" s="1341"/>
      <c r="HFR12" s="1342"/>
      <c r="HFS12" s="1336"/>
      <c r="HFT12" s="1336"/>
      <c r="HFU12" s="1336"/>
      <c r="HFV12" s="1336"/>
      <c r="HFW12" s="1337"/>
      <c r="HFX12" s="1337"/>
      <c r="HFY12" s="1337"/>
      <c r="HFZ12" s="1337"/>
      <c r="HGA12" s="1337"/>
      <c r="HGB12" s="1338"/>
      <c r="HGC12" s="1339"/>
      <c r="HGD12" s="1340"/>
      <c r="HGE12" s="1340"/>
      <c r="HGF12" s="1340"/>
      <c r="HGG12" s="1341"/>
      <c r="HGH12" s="1342"/>
      <c r="HGI12" s="1336"/>
      <c r="HGJ12" s="1336"/>
      <c r="HGK12" s="1336"/>
      <c r="HGL12" s="1336"/>
      <c r="HGM12" s="1337"/>
      <c r="HGN12" s="1337"/>
      <c r="HGO12" s="1337"/>
      <c r="HGP12" s="1337"/>
      <c r="HGQ12" s="1337"/>
      <c r="HGR12" s="1338"/>
      <c r="HGS12" s="1339"/>
      <c r="HGT12" s="1340"/>
      <c r="HGU12" s="1340"/>
      <c r="HGV12" s="1340"/>
      <c r="HGW12" s="1341"/>
      <c r="HGX12" s="1342"/>
      <c r="HGY12" s="1336"/>
      <c r="HGZ12" s="1336"/>
      <c r="HHA12" s="1336"/>
      <c r="HHB12" s="1336"/>
      <c r="HHC12" s="1337"/>
      <c r="HHD12" s="1337"/>
      <c r="HHE12" s="1337"/>
      <c r="HHF12" s="1337"/>
      <c r="HHG12" s="1337"/>
      <c r="HHH12" s="1338"/>
      <c r="HHI12" s="1339"/>
      <c r="HHJ12" s="1340"/>
      <c r="HHK12" s="1340"/>
      <c r="HHL12" s="1340"/>
      <c r="HHM12" s="1341"/>
      <c r="HHN12" s="1342"/>
      <c r="HHO12" s="1336"/>
      <c r="HHP12" s="1336"/>
      <c r="HHQ12" s="1336"/>
      <c r="HHR12" s="1336"/>
      <c r="HHS12" s="1337"/>
      <c r="HHT12" s="1337"/>
      <c r="HHU12" s="1337"/>
      <c r="HHV12" s="1337"/>
      <c r="HHW12" s="1337"/>
      <c r="HHX12" s="1338"/>
      <c r="HHY12" s="1339"/>
      <c r="HHZ12" s="1340"/>
      <c r="HIA12" s="1340"/>
      <c r="HIB12" s="1340"/>
      <c r="HIC12" s="1341"/>
      <c r="HID12" s="1342"/>
      <c r="HIE12" s="1336"/>
      <c r="HIF12" s="1336"/>
      <c r="HIG12" s="1336"/>
      <c r="HIH12" s="1336"/>
      <c r="HII12" s="1337"/>
      <c r="HIJ12" s="1337"/>
      <c r="HIK12" s="1337"/>
      <c r="HIL12" s="1337"/>
      <c r="HIM12" s="1337"/>
      <c r="HIN12" s="1338"/>
      <c r="HIO12" s="1339"/>
      <c r="HIP12" s="1340"/>
      <c r="HIQ12" s="1340"/>
      <c r="HIR12" s="1340"/>
      <c r="HIS12" s="1341"/>
      <c r="HIT12" s="1342"/>
      <c r="HIU12" s="1336"/>
      <c r="HIV12" s="1336"/>
      <c r="HIW12" s="1336"/>
      <c r="HIX12" s="1336"/>
      <c r="HIY12" s="1337"/>
      <c r="HIZ12" s="1337"/>
      <c r="HJA12" s="1337"/>
      <c r="HJB12" s="1337"/>
      <c r="HJC12" s="1337"/>
      <c r="HJD12" s="1338"/>
      <c r="HJE12" s="1339"/>
      <c r="HJF12" s="1340"/>
      <c r="HJG12" s="1340"/>
      <c r="HJH12" s="1340"/>
      <c r="HJI12" s="1341"/>
      <c r="HJJ12" s="1342"/>
      <c r="HJK12" s="1336"/>
      <c r="HJL12" s="1336"/>
      <c r="HJM12" s="1336"/>
      <c r="HJN12" s="1336"/>
      <c r="HJO12" s="1337"/>
      <c r="HJP12" s="1337"/>
      <c r="HJQ12" s="1337"/>
      <c r="HJR12" s="1337"/>
      <c r="HJS12" s="1337"/>
      <c r="HJT12" s="1338"/>
      <c r="HJU12" s="1339"/>
      <c r="HJV12" s="1340"/>
      <c r="HJW12" s="1340"/>
      <c r="HJX12" s="1340"/>
      <c r="HJY12" s="1341"/>
      <c r="HJZ12" s="1342"/>
      <c r="HKA12" s="1336"/>
      <c r="HKB12" s="1336"/>
      <c r="HKC12" s="1336"/>
      <c r="HKD12" s="1336"/>
      <c r="HKE12" s="1337"/>
      <c r="HKF12" s="1337"/>
      <c r="HKG12" s="1337"/>
      <c r="HKH12" s="1337"/>
      <c r="HKI12" s="1337"/>
      <c r="HKJ12" s="1338"/>
      <c r="HKK12" s="1339"/>
      <c r="HKL12" s="1340"/>
      <c r="HKM12" s="1340"/>
      <c r="HKN12" s="1340"/>
      <c r="HKO12" s="1341"/>
      <c r="HKP12" s="1342"/>
      <c r="HKQ12" s="1336"/>
      <c r="HKR12" s="1336"/>
      <c r="HKS12" s="1336"/>
      <c r="HKT12" s="1336"/>
      <c r="HKU12" s="1337"/>
      <c r="HKV12" s="1337"/>
      <c r="HKW12" s="1337"/>
      <c r="HKX12" s="1337"/>
      <c r="HKY12" s="1337"/>
      <c r="HKZ12" s="1338"/>
      <c r="HLA12" s="1339"/>
      <c r="HLB12" s="1340"/>
      <c r="HLC12" s="1340"/>
      <c r="HLD12" s="1340"/>
      <c r="HLE12" s="1341"/>
      <c r="HLF12" s="1342"/>
      <c r="HLG12" s="1336"/>
      <c r="HLH12" s="1336"/>
      <c r="HLI12" s="1336"/>
      <c r="HLJ12" s="1336"/>
      <c r="HLK12" s="1337"/>
      <c r="HLL12" s="1337"/>
      <c r="HLM12" s="1337"/>
      <c r="HLN12" s="1337"/>
      <c r="HLO12" s="1337"/>
      <c r="HLP12" s="1338"/>
      <c r="HLQ12" s="1339"/>
      <c r="HLR12" s="1340"/>
      <c r="HLS12" s="1340"/>
      <c r="HLT12" s="1340"/>
      <c r="HLU12" s="1341"/>
      <c r="HLV12" s="1342"/>
      <c r="HLW12" s="1336"/>
      <c r="HLX12" s="1336"/>
      <c r="HLY12" s="1336"/>
      <c r="HLZ12" s="1336"/>
      <c r="HMA12" s="1337"/>
      <c r="HMB12" s="1337"/>
      <c r="HMC12" s="1337"/>
      <c r="HMD12" s="1337"/>
      <c r="HME12" s="1337"/>
      <c r="HMF12" s="1338"/>
      <c r="HMG12" s="1339"/>
      <c r="HMH12" s="1340"/>
      <c r="HMI12" s="1340"/>
      <c r="HMJ12" s="1340"/>
      <c r="HMK12" s="1341"/>
      <c r="HML12" s="1342"/>
      <c r="HMM12" s="1336"/>
      <c r="HMN12" s="1336"/>
      <c r="HMO12" s="1336"/>
      <c r="HMP12" s="1336"/>
      <c r="HMQ12" s="1337"/>
      <c r="HMR12" s="1337"/>
      <c r="HMS12" s="1337"/>
      <c r="HMT12" s="1337"/>
      <c r="HMU12" s="1337"/>
      <c r="HMV12" s="1338"/>
      <c r="HMW12" s="1339"/>
      <c r="HMX12" s="1340"/>
      <c r="HMY12" s="1340"/>
      <c r="HMZ12" s="1340"/>
      <c r="HNA12" s="1341"/>
      <c r="HNB12" s="1342"/>
      <c r="HNC12" s="1336"/>
      <c r="HND12" s="1336"/>
      <c r="HNE12" s="1336"/>
      <c r="HNF12" s="1336"/>
      <c r="HNG12" s="1337"/>
      <c r="HNH12" s="1337"/>
      <c r="HNI12" s="1337"/>
      <c r="HNJ12" s="1337"/>
      <c r="HNK12" s="1337"/>
      <c r="HNL12" s="1338"/>
      <c r="HNM12" s="1339"/>
      <c r="HNN12" s="1340"/>
      <c r="HNO12" s="1340"/>
      <c r="HNP12" s="1340"/>
      <c r="HNQ12" s="1341"/>
      <c r="HNR12" s="1342"/>
      <c r="HNS12" s="1336"/>
      <c r="HNT12" s="1336"/>
      <c r="HNU12" s="1336"/>
      <c r="HNV12" s="1336"/>
      <c r="HNW12" s="1337"/>
      <c r="HNX12" s="1337"/>
      <c r="HNY12" s="1337"/>
      <c r="HNZ12" s="1337"/>
      <c r="HOA12" s="1337"/>
      <c r="HOB12" s="1338"/>
      <c r="HOC12" s="1339"/>
      <c r="HOD12" s="1340"/>
      <c r="HOE12" s="1340"/>
      <c r="HOF12" s="1340"/>
      <c r="HOG12" s="1341"/>
      <c r="HOH12" s="1342"/>
      <c r="HOI12" s="1336"/>
      <c r="HOJ12" s="1336"/>
      <c r="HOK12" s="1336"/>
      <c r="HOL12" s="1336"/>
      <c r="HOM12" s="1337"/>
      <c r="HON12" s="1337"/>
      <c r="HOO12" s="1337"/>
      <c r="HOP12" s="1337"/>
      <c r="HOQ12" s="1337"/>
      <c r="HOR12" s="1338"/>
      <c r="HOS12" s="1339"/>
      <c r="HOT12" s="1340"/>
      <c r="HOU12" s="1340"/>
      <c r="HOV12" s="1340"/>
      <c r="HOW12" s="1341"/>
      <c r="HOX12" s="1342"/>
      <c r="HOY12" s="1336"/>
      <c r="HOZ12" s="1336"/>
      <c r="HPA12" s="1336"/>
      <c r="HPB12" s="1336"/>
      <c r="HPC12" s="1337"/>
      <c r="HPD12" s="1337"/>
      <c r="HPE12" s="1337"/>
      <c r="HPF12" s="1337"/>
      <c r="HPG12" s="1337"/>
      <c r="HPH12" s="1338"/>
      <c r="HPI12" s="1339"/>
      <c r="HPJ12" s="1340"/>
      <c r="HPK12" s="1340"/>
      <c r="HPL12" s="1340"/>
      <c r="HPM12" s="1341"/>
      <c r="HPN12" s="1342"/>
      <c r="HPO12" s="1336"/>
      <c r="HPP12" s="1336"/>
      <c r="HPQ12" s="1336"/>
      <c r="HPR12" s="1336"/>
      <c r="HPS12" s="1337"/>
      <c r="HPT12" s="1337"/>
      <c r="HPU12" s="1337"/>
      <c r="HPV12" s="1337"/>
      <c r="HPW12" s="1337"/>
      <c r="HPX12" s="1338"/>
      <c r="HPY12" s="1339"/>
      <c r="HPZ12" s="1340"/>
      <c r="HQA12" s="1340"/>
      <c r="HQB12" s="1340"/>
      <c r="HQC12" s="1341"/>
      <c r="HQD12" s="1342"/>
      <c r="HQE12" s="1336"/>
      <c r="HQF12" s="1336"/>
      <c r="HQG12" s="1336"/>
      <c r="HQH12" s="1336"/>
      <c r="HQI12" s="1337"/>
      <c r="HQJ12" s="1337"/>
      <c r="HQK12" s="1337"/>
      <c r="HQL12" s="1337"/>
      <c r="HQM12" s="1337"/>
      <c r="HQN12" s="1338"/>
      <c r="HQO12" s="1339"/>
      <c r="HQP12" s="1340"/>
      <c r="HQQ12" s="1340"/>
      <c r="HQR12" s="1340"/>
      <c r="HQS12" s="1341"/>
      <c r="HQT12" s="1342"/>
      <c r="HQU12" s="1336"/>
      <c r="HQV12" s="1336"/>
      <c r="HQW12" s="1336"/>
      <c r="HQX12" s="1336"/>
      <c r="HQY12" s="1337"/>
      <c r="HQZ12" s="1337"/>
      <c r="HRA12" s="1337"/>
      <c r="HRB12" s="1337"/>
      <c r="HRC12" s="1337"/>
      <c r="HRD12" s="1338"/>
      <c r="HRE12" s="1339"/>
      <c r="HRF12" s="1340"/>
      <c r="HRG12" s="1340"/>
      <c r="HRH12" s="1340"/>
      <c r="HRI12" s="1341"/>
      <c r="HRJ12" s="1342"/>
      <c r="HRK12" s="1336"/>
      <c r="HRL12" s="1336"/>
      <c r="HRM12" s="1336"/>
      <c r="HRN12" s="1336"/>
      <c r="HRO12" s="1337"/>
      <c r="HRP12" s="1337"/>
      <c r="HRQ12" s="1337"/>
      <c r="HRR12" s="1337"/>
      <c r="HRS12" s="1337"/>
      <c r="HRT12" s="1338"/>
      <c r="HRU12" s="1339"/>
      <c r="HRV12" s="1340"/>
      <c r="HRW12" s="1340"/>
      <c r="HRX12" s="1340"/>
      <c r="HRY12" s="1341"/>
      <c r="HRZ12" s="1342"/>
      <c r="HSA12" s="1336"/>
      <c r="HSB12" s="1336"/>
      <c r="HSC12" s="1336"/>
      <c r="HSD12" s="1336"/>
      <c r="HSE12" s="1337"/>
      <c r="HSF12" s="1337"/>
      <c r="HSG12" s="1337"/>
      <c r="HSH12" s="1337"/>
      <c r="HSI12" s="1337"/>
      <c r="HSJ12" s="1338"/>
      <c r="HSK12" s="1339"/>
      <c r="HSL12" s="1340"/>
      <c r="HSM12" s="1340"/>
      <c r="HSN12" s="1340"/>
      <c r="HSO12" s="1341"/>
      <c r="HSP12" s="1342"/>
      <c r="HSQ12" s="1336"/>
      <c r="HSR12" s="1336"/>
      <c r="HSS12" s="1336"/>
      <c r="HST12" s="1336"/>
      <c r="HSU12" s="1337"/>
      <c r="HSV12" s="1337"/>
      <c r="HSW12" s="1337"/>
      <c r="HSX12" s="1337"/>
      <c r="HSY12" s="1337"/>
      <c r="HSZ12" s="1338"/>
      <c r="HTA12" s="1339"/>
      <c r="HTB12" s="1340"/>
      <c r="HTC12" s="1340"/>
      <c r="HTD12" s="1340"/>
      <c r="HTE12" s="1341"/>
      <c r="HTF12" s="1342"/>
      <c r="HTG12" s="1336"/>
      <c r="HTH12" s="1336"/>
      <c r="HTI12" s="1336"/>
      <c r="HTJ12" s="1336"/>
      <c r="HTK12" s="1337"/>
      <c r="HTL12" s="1337"/>
      <c r="HTM12" s="1337"/>
      <c r="HTN12" s="1337"/>
      <c r="HTO12" s="1337"/>
      <c r="HTP12" s="1338"/>
      <c r="HTQ12" s="1339"/>
      <c r="HTR12" s="1340"/>
      <c r="HTS12" s="1340"/>
      <c r="HTT12" s="1340"/>
      <c r="HTU12" s="1341"/>
      <c r="HTV12" s="1342"/>
      <c r="HTW12" s="1336"/>
      <c r="HTX12" s="1336"/>
      <c r="HTY12" s="1336"/>
      <c r="HTZ12" s="1336"/>
      <c r="HUA12" s="1337"/>
      <c r="HUB12" s="1337"/>
      <c r="HUC12" s="1337"/>
      <c r="HUD12" s="1337"/>
      <c r="HUE12" s="1337"/>
      <c r="HUF12" s="1338"/>
      <c r="HUG12" s="1339"/>
      <c r="HUH12" s="1340"/>
      <c r="HUI12" s="1340"/>
      <c r="HUJ12" s="1340"/>
      <c r="HUK12" s="1341"/>
      <c r="HUL12" s="1342"/>
      <c r="HUM12" s="1336"/>
      <c r="HUN12" s="1336"/>
      <c r="HUO12" s="1336"/>
      <c r="HUP12" s="1336"/>
      <c r="HUQ12" s="1337"/>
      <c r="HUR12" s="1337"/>
      <c r="HUS12" s="1337"/>
      <c r="HUT12" s="1337"/>
      <c r="HUU12" s="1337"/>
      <c r="HUV12" s="1338"/>
      <c r="HUW12" s="1339"/>
      <c r="HUX12" s="1340"/>
      <c r="HUY12" s="1340"/>
      <c r="HUZ12" s="1340"/>
      <c r="HVA12" s="1341"/>
      <c r="HVB12" s="1342"/>
      <c r="HVC12" s="1336"/>
      <c r="HVD12" s="1336"/>
      <c r="HVE12" s="1336"/>
      <c r="HVF12" s="1336"/>
      <c r="HVG12" s="1337"/>
      <c r="HVH12" s="1337"/>
      <c r="HVI12" s="1337"/>
      <c r="HVJ12" s="1337"/>
      <c r="HVK12" s="1337"/>
      <c r="HVL12" s="1338"/>
      <c r="HVM12" s="1339"/>
      <c r="HVN12" s="1340"/>
      <c r="HVO12" s="1340"/>
      <c r="HVP12" s="1340"/>
      <c r="HVQ12" s="1341"/>
      <c r="HVR12" s="1342"/>
      <c r="HVS12" s="1336"/>
      <c r="HVT12" s="1336"/>
      <c r="HVU12" s="1336"/>
      <c r="HVV12" s="1336"/>
      <c r="HVW12" s="1337"/>
      <c r="HVX12" s="1337"/>
      <c r="HVY12" s="1337"/>
      <c r="HVZ12" s="1337"/>
      <c r="HWA12" s="1337"/>
      <c r="HWB12" s="1338"/>
      <c r="HWC12" s="1339"/>
      <c r="HWD12" s="1340"/>
      <c r="HWE12" s="1340"/>
      <c r="HWF12" s="1340"/>
      <c r="HWG12" s="1341"/>
      <c r="HWH12" s="1342"/>
      <c r="HWI12" s="1336"/>
      <c r="HWJ12" s="1336"/>
      <c r="HWK12" s="1336"/>
      <c r="HWL12" s="1336"/>
      <c r="HWM12" s="1337"/>
      <c r="HWN12" s="1337"/>
      <c r="HWO12" s="1337"/>
      <c r="HWP12" s="1337"/>
      <c r="HWQ12" s="1337"/>
      <c r="HWR12" s="1338"/>
      <c r="HWS12" s="1339"/>
      <c r="HWT12" s="1340"/>
      <c r="HWU12" s="1340"/>
      <c r="HWV12" s="1340"/>
      <c r="HWW12" s="1341"/>
      <c r="HWX12" s="1342"/>
      <c r="HWY12" s="1336"/>
      <c r="HWZ12" s="1336"/>
      <c r="HXA12" s="1336"/>
      <c r="HXB12" s="1336"/>
      <c r="HXC12" s="1337"/>
      <c r="HXD12" s="1337"/>
      <c r="HXE12" s="1337"/>
      <c r="HXF12" s="1337"/>
      <c r="HXG12" s="1337"/>
      <c r="HXH12" s="1338"/>
      <c r="HXI12" s="1339"/>
      <c r="HXJ12" s="1340"/>
      <c r="HXK12" s="1340"/>
      <c r="HXL12" s="1340"/>
      <c r="HXM12" s="1341"/>
      <c r="HXN12" s="1342"/>
      <c r="HXO12" s="1336"/>
      <c r="HXP12" s="1336"/>
      <c r="HXQ12" s="1336"/>
      <c r="HXR12" s="1336"/>
      <c r="HXS12" s="1337"/>
      <c r="HXT12" s="1337"/>
      <c r="HXU12" s="1337"/>
      <c r="HXV12" s="1337"/>
      <c r="HXW12" s="1337"/>
      <c r="HXX12" s="1338"/>
      <c r="HXY12" s="1339"/>
      <c r="HXZ12" s="1340"/>
      <c r="HYA12" s="1340"/>
      <c r="HYB12" s="1340"/>
      <c r="HYC12" s="1341"/>
      <c r="HYD12" s="1342"/>
      <c r="HYE12" s="1336"/>
      <c r="HYF12" s="1336"/>
      <c r="HYG12" s="1336"/>
      <c r="HYH12" s="1336"/>
      <c r="HYI12" s="1337"/>
      <c r="HYJ12" s="1337"/>
      <c r="HYK12" s="1337"/>
      <c r="HYL12" s="1337"/>
      <c r="HYM12" s="1337"/>
      <c r="HYN12" s="1338"/>
      <c r="HYO12" s="1339"/>
      <c r="HYP12" s="1340"/>
      <c r="HYQ12" s="1340"/>
      <c r="HYR12" s="1340"/>
      <c r="HYS12" s="1341"/>
      <c r="HYT12" s="1342"/>
      <c r="HYU12" s="1336"/>
      <c r="HYV12" s="1336"/>
      <c r="HYW12" s="1336"/>
      <c r="HYX12" s="1336"/>
      <c r="HYY12" s="1337"/>
      <c r="HYZ12" s="1337"/>
      <c r="HZA12" s="1337"/>
      <c r="HZB12" s="1337"/>
      <c r="HZC12" s="1337"/>
      <c r="HZD12" s="1338"/>
      <c r="HZE12" s="1339"/>
      <c r="HZF12" s="1340"/>
      <c r="HZG12" s="1340"/>
      <c r="HZH12" s="1340"/>
      <c r="HZI12" s="1341"/>
      <c r="HZJ12" s="1342"/>
      <c r="HZK12" s="1336"/>
      <c r="HZL12" s="1336"/>
      <c r="HZM12" s="1336"/>
      <c r="HZN12" s="1336"/>
      <c r="HZO12" s="1337"/>
      <c r="HZP12" s="1337"/>
      <c r="HZQ12" s="1337"/>
      <c r="HZR12" s="1337"/>
      <c r="HZS12" s="1337"/>
      <c r="HZT12" s="1338"/>
      <c r="HZU12" s="1339"/>
      <c r="HZV12" s="1340"/>
      <c r="HZW12" s="1340"/>
      <c r="HZX12" s="1340"/>
      <c r="HZY12" s="1341"/>
      <c r="HZZ12" s="1342"/>
      <c r="IAA12" s="1336"/>
      <c r="IAB12" s="1336"/>
      <c r="IAC12" s="1336"/>
      <c r="IAD12" s="1336"/>
      <c r="IAE12" s="1337"/>
      <c r="IAF12" s="1337"/>
      <c r="IAG12" s="1337"/>
      <c r="IAH12" s="1337"/>
      <c r="IAI12" s="1337"/>
      <c r="IAJ12" s="1338"/>
      <c r="IAK12" s="1339"/>
      <c r="IAL12" s="1340"/>
      <c r="IAM12" s="1340"/>
      <c r="IAN12" s="1340"/>
      <c r="IAO12" s="1341"/>
      <c r="IAP12" s="1342"/>
      <c r="IAQ12" s="1336"/>
      <c r="IAR12" s="1336"/>
      <c r="IAS12" s="1336"/>
      <c r="IAT12" s="1336"/>
      <c r="IAU12" s="1337"/>
      <c r="IAV12" s="1337"/>
      <c r="IAW12" s="1337"/>
      <c r="IAX12" s="1337"/>
      <c r="IAY12" s="1337"/>
      <c r="IAZ12" s="1338"/>
      <c r="IBA12" s="1339"/>
      <c r="IBB12" s="1340"/>
      <c r="IBC12" s="1340"/>
      <c r="IBD12" s="1340"/>
      <c r="IBE12" s="1341"/>
      <c r="IBF12" s="1342"/>
      <c r="IBG12" s="1336"/>
      <c r="IBH12" s="1336"/>
      <c r="IBI12" s="1336"/>
      <c r="IBJ12" s="1336"/>
      <c r="IBK12" s="1337"/>
      <c r="IBL12" s="1337"/>
      <c r="IBM12" s="1337"/>
      <c r="IBN12" s="1337"/>
      <c r="IBO12" s="1337"/>
      <c r="IBP12" s="1338"/>
      <c r="IBQ12" s="1339"/>
      <c r="IBR12" s="1340"/>
      <c r="IBS12" s="1340"/>
      <c r="IBT12" s="1340"/>
      <c r="IBU12" s="1341"/>
      <c r="IBV12" s="1342"/>
      <c r="IBW12" s="1336"/>
      <c r="IBX12" s="1336"/>
      <c r="IBY12" s="1336"/>
      <c r="IBZ12" s="1336"/>
      <c r="ICA12" s="1337"/>
      <c r="ICB12" s="1337"/>
      <c r="ICC12" s="1337"/>
      <c r="ICD12" s="1337"/>
      <c r="ICE12" s="1337"/>
      <c r="ICF12" s="1338"/>
      <c r="ICG12" s="1339"/>
      <c r="ICH12" s="1340"/>
      <c r="ICI12" s="1340"/>
      <c r="ICJ12" s="1340"/>
      <c r="ICK12" s="1341"/>
      <c r="ICL12" s="1342"/>
      <c r="ICM12" s="1336"/>
      <c r="ICN12" s="1336"/>
      <c r="ICO12" s="1336"/>
      <c r="ICP12" s="1336"/>
      <c r="ICQ12" s="1337"/>
      <c r="ICR12" s="1337"/>
      <c r="ICS12" s="1337"/>
      <c r="ICT12" s="1337"/>
      <c r="ICU12" s="1337"/>
      <c r="ICV12" s="1338"/>
      <c r="ICW12" s="1339"/>
      <c r="ICX12" s="1340"/>
      <c r="ICY12" s="1340"/>
      <c r="ICZ12" s="1340"/>
      <c r="IDA12" s="1341"/>
      <c r="IDB12" s="1342"/>
      <c r="IDC12" s="1336"/>
      <c r="IDD12" s="1336"/>
      <c r="IDE12" s="1336"/>
      <c r="IDF12" s="1336"/>
      <c r="IDG12" s="1337"/>
      <c r="IDH12" s="1337"/>
      <c r="IDI12" s="1337"/>
      <c r="IDJ12" s="1337"/>
      <c r="IDK12" s="1337"/>
      <c r="IDL12" s="1338"/>
      <c r="IDM12" s="1339"/>
      <c r="IDN12" s="1340"/>
      <c r="IDO12" s="1340"/>
      <c r="IDP12" s="1340"/>
      <c r="IDQ12" s="1341"/>
      <c r="IDR12" s="1342"/>
      <c r="IDS12" s="1336"/>
      <c r="IDT12" s="1336"/>
      <c r="IDU12" s="1336"/>
      <c r="IDV12" s="1336"/>
      <c r="IDW12" s="1337"/>
      <c r="IDX12" s="1337"/>
      <c r="IDY12" s="1337"/>
      <c r="IDZ12" s="1337"/>
      <c r="IEA12" s="1337"/>
      <c r="IEB12" s="1338"/>
      <c r="IEC12" s="1339"/>
      <c r="IED12" s="1340"/>
      <c r="IEE12" s="1340"/>
      <c r="IEF12" s="1340"/>
      <c r="IEG12" s="1341"/>
      <c r="IEH12" s="1342"/>
      <c r="IEI12" s="1336"/>
      <c r="IEJ12" s="1336"/>
      <c r="IEK12" s="1336"/>
      <c r="IEL12" s="1336"/>
      <c r="IEM12" s="1337"/>
      <c r="IEN12" s="1337"/>
      <c r="IEO12" s="1337"/>
      <c r="IEP12" s="1337"/>
      <c r="IEQ12" s="1337"/>
      <c r="IER12" s="1338"/>
      <c r="IES12" s="1339"/>
      <c r="IET12" s="1340"/>
      <c r="IEU12" s="1340"/>
      <c r="IEV12" s="1340"/>
      <c r="IEW12" s="1341"/>
      <c r="IEX12" s="1342"/>
      <c r="IEY12" s="1336"/>
      <c r="IEZ12" s="1336"/>
      <c r="IFA12" s="1336"/>
      <c r="IFB12" s="1336"/>
      <c r="IFC12" s="1337"/>
      <c r="IFD12" s="1337"/>
      <c r="IFE12" s="1337"/>
      <c r="IFF12" s="1337"/>
      <c r="IFG12" s="1337"/>
      <c r="IFH12" s="1338"/>
      <c r="IFI12" s="1339"/>
      <c r="IFJ12" s="1340"/>
      <c r="IFK12" s="1340"/>
      <c r="IFL12" s="1340"/>
      <c r="IFM12" s="1341"/>
      <c r="IFN12" s="1342"/>
      <c r="IFO12" s="1336"/>
      <c r="IFP12" s="1336"/>
      <c r="IFQ12" s="1336"/>
      <c r="IFR12" s="1336"/>
      <c r="IFS12" s="1337"/>
      <c r="IFT12" s="1337"/>
      <c r="IFU12" s="1337"/>
      <c r="IFV12" s="1337"/>
      <c r="IFW12" s="1337"/>
      <c r="IFX12" s="1338"/>
      <c r="IFY12" s="1339"/>
      <c r="IFZ12" s="1340"/>
      <c r="IGA12" s="1340"/>
      <c r="IGB12" s="1340"/>
      <c r="IGC12" s="1341"/>
      <c r="IGD12" s="1342"/>
      <c r="IGE12" s="1336"/>
      <c r="IGF12" s="1336"/>
      <c r="IGG12" s="1336"/>
      <c r="IGH12" s="1336"/>
      <c r="IGI12" s="1337"/>
      <c r="IGJ12" s="1337"/>
      <c r="IGK12" s="1337"/>
      <c r="IGL12" s="1337"/>
      <c r="IGM12" s="1337"/>
      <c r="IGN12" s="1338"/>
      <c r="IGO12" s="1339"/>
      <c r="IGP12" s="1340"/>
      <c r="IGQ12" s="1340"/>
      <c r="IGR12" s="1340"/>
      <c r="IGS12" s="1341"/>
      <c r="IGT12" s="1342"/>
      <c r="IGU12" s="1336"/>
      <c r="IGV12" s="1336"/>
      <c r="IGW12" s="1336"/>
      <c r="IGX12" s="1336"/>
      <c r="IGY12" s="1337"/>
      <c r="IGZ12" s="1337"/>
      <c r="IHA12" s="1337"/>
      <c r="IHB12" s="1337"/>
      <c r="IHC12" s="1337"/>
      <c r="IHD12" s="1338"/>
      <c r="IHE12" s="1339"/>
      <c r="IHF12" s="1340"/>
      <c r="IHG12" s="1340"/>
      <c r="IHH12" s="1340"/>
      <c r="IHI12" s="1341"/>
      <c r="IHJ12" s="1342"/>
      <c r="IHK12" s="1336"/>
      <c r="IHL12" s="1336"/>
      <c r="IHM12" s="1336"/>
      <c r="IHN12" s="1336"/>
      <c r="IHO12" s="1337"/>
      <c r="IHP12" s="1337"/>
      <c r="IHQ12" s="1337"/>
      <c r="IHR12" s="1337"/>
      <c r="IHS12" s="1337"/>
      <c r="IHT12" s="1338"/>
      <c r="IHU12" s="1339"/>
      <c r="IHV12" s="1340"/>
      <c r="IHW12" s="1340"/>
      <c r="IHX12" s="1340"/>
      <c r="IHY12" s="1341"/>
      <c r="IHZ12" s="1342"/>
      <c r="IIA12" s="1336"/>
      <c r="IIB12" s="1336"/>
      <c r="IIC12" s="1336"/>
      <c r="IID12" s="1336"/>
      <c r="IIE12" s="1337"/>
      <c r="IIF12" s="1337"/>
      <c r="IIG12" s="1337"/>
      <c r="IIH12" s="1337"/>
      <c r="III12" s="1337"/>
      <c r="IIJ12" s="1338"/>
      <c r="IIK12" s="1339"/>
      <c r="IIL12" s="1340"/>
      <c r="IIM12" s="1340"/>
      <c r="IIN12" s="1340"/>
      <c r="IIO12" s="1341"/>
      <c r="IIP12" s="1342"/>
      <c r="IIQ12" s="1336"/>
      <c r="IIR12" s="1336"/>
      <c r="IIS12" s="1336"/>
      <c r="IIT12" s="1336"/>
      <c r="IIU12" s="1337"/>
      <c r="IIV12" s="1337"/>
      <c r="IIW12" s="1337"/>
      <c r="IIX12" s="1337"/>
      <c r="IIY12" s="1337"/>
      <c r="IIZ12" s="1338"/>
      <c r="IJA12" s="1339"/>
      <c r="IJB12" s="1340"/>
      <c r="IJC12" s="1340"/>
      <c r="IJD12" s="1340"/>
      <c r="IJE12" s="1341"/>
      <c r="IJF12" s="1342"/>
      <c r="IJG12" s="1336"/>
      <c r="IJH12" s="1336"/>
      <c r="IJI12" s="1336"/>
      <c r="IJJ12" s="1336"/>
      <c r="IJK12" s="1337"/>
      <c r="IJL12" s="1337"/>
      <c r="IJM12" s="1337"/>
      <c r="IJN12" s="1337"/>
      <c r="IJO12" s="1337"/>
      <c r="IJP12" s="1338"/>
      <c r="IJQ12" s="1339"/>
      <c r="IJR12" s="1340"/>
      <c r="IJS12" s="1340"/>
      <c r="IJT12" s="1340"/>
      <c r="IJU12" s="1341"/>
      <c r="IJV12" s="1342"/>
      <c r="IJW12" s="1336"/>
      <c r="IJX12" s="1336"/>
      <c r="IJY12" s="1336"/>
      <c r="IJZ12" s="1336"/>
      <c r="IKA12" s="1337"/>
      <c r="IKB12" s="1337"/>
      <c r="IKC12" s="1337"/>
      <c r="IKD12" s="1337"/>
      <c r="IKE12" s="1337"/>
      <c r="IKF12" s="1338"/>
      <c r="IKG12" s="1339"/>
      <c r="IKH12" s="1340"/>
      <c r="IKI12" s="1340"/>
      <c r="IKJ12" s="1340"/>
      <c r="IKK12" s="1341"/>
      <c r="IKL12" s="1342"/>
      <c r="IKM12" s="1336"/>
      <c r="IKN12" s="1336"/>
      <c r="IKO12" s="1336"/>
      <c r="IKP12" s="1336"/>
      <c r="IKQ12" s="1337"/>
      <c r="IKR12" s="1337"/>
      <c r="IKS12" s="1337"/>
      <c r="IKT12" s="1337"/>
      <c r="IKU12" s="1337"/>
      <c r="IKV12" s="1338"/>
      <c r="IKW12" s="1339"/>
      <c r="IKX12" s="1340"/>
      <c r="IKY12" s="1340"/>
      <c r="IKZ12" s="1340"/>
      <c r="ILA12" s="1341"/>
      <c r="ILB12" s="1342"/>
      <c r="ILC12" s="1336"/>
      <c r="ILD12" s="1336"/>
      <c r="ILE12" s="1336"/>
      <c r="ILF12" s="1336"/>
      <c r="ILG12" s="1337"/>
      <c r="ILH12" s="1337"/>
      <c r="ILI12" s="1337"/>
      <c r="ILJ12" s="1337"/>
      <c r="ILK12" s="1337"/>
      <c r="ILL12" s="1338"/>
      <c r="ILM12" s="1339"/>
      <c r="ILN12" s="1340"/>
      <c r="ILO12" s="1340"/>
      <c r="ILP12" s="1340"/>
      <c r="ILQ12" s="1341"/>
      <c r="ILR12" s="1342"/>
      <c r="ILS12" s="1336"/>
      <c r="ILT12" s="1336"/>
      <c r="ILU12" s="1336"/>
      <c r="ILV12" s="1336"/>
      <c r="ILW12" s="1337"/>
      <c r="ILX12" s="1337"/>
      <c r="ILY12" s="1337"/>
      <c r="ILZ12" s="1337"/>
      <c r="IMA12" s="1337"/>
      <c r="IMB12" s="1338"/>
      <c r="IMC12" s="1339"/>
      <c r="IMD12" s="1340"/>
      <c r="IME12" s="1340"/>
      <c r="IMF12" s="1340"/>
      <c r="IMG12" s="1341"/>
      <c r="IMH12" s="1342"/>
      <c r="IMI12" s="1336"/>
      <c r="IMJ12" s="1336"/>
      <c r="IMK12" s="1336"/>
      <c r="IML12" s="1336"/>
      <c r="IMM12" s="1337"/>
      <c r="IMN12" s="1337"/>
      <c r="IMO12" s="1337"/>
      <c r="IMP12" s="1337"/>
      <c r="IMQ12" s="1337"/>
      <c r="IMR12" s="1338"/>
      <c r="IMS12" s="1339"/>
      <c r="IMT12" s="1340"/>
      <c r="IMU12" s="1340"/>
      <c r="IMV12" s="1340"/>
      <c r="IMW12" s="1341"/>
      <c r="IMX12" s="1342"/>
      <c r="IMY12" s="1336"/>
      <c r="IMZ12" s="1336"/>
      <c r="INA12" s="1336"/>
      <c r="INB12" s="1336"/>
      <c r="INC12" s="1337"/>
      <c r="IND12" s="1337"/>
      <c r="INE12" s="1337"/>
      <c r="INF12" s="1337"/>
      <c r="ING12" s="1337"/>
      <c r="INH12" s="1338"/>
      <c r="INI12" s="1339"/>
      <c r="INJ12" s="1340"/>
      <c r="INK12" s="1340"/>
      <c r="INL12" s="1340"/>
      <c r="INM12" s="1341"/>
      <c r="INN12" s="1342"/>
      <c r="INO12" s="1336"/>
      <c r="INP12" s="1336"/>
      <c r="INQ12" s="1336"/>
      <c r="INR12" s="1336"/>
      <c r="INS12" s="1337"/>
      <c r="INT12" s="1337"/>
      <c r="INU12" s="1337"/>
      <c r="INV12" s="1337"/>
      <c r="INW12" s="1337"/>
      <c r="INX12" s="1338"/>
      <c r="INY12" s="1339"/>
      <c r="INZ12" s="1340"/>
      <c r="IOA12" s="1340"/>
      <c r="IOB12" s="1340"/>
      <c r="IOC12" s="1341"/>
      <c r="IOD12" s="1342"/>
      <c r="IOE12" s="1336"/>
      <c r="IOF12" s="1336"/>
      <c r="IOG12" s="1336"/>
      <c r="IOH12" s="1336"/>
      <c r="IOI12" s="1337"/>
      <c r="IOJ12" s="1337"/>
      <c r="IOK12" s="1337"/>
      <c r="IOL12" s="1337"/>
      <c r="IOM12" s="1337"/>
      <c r="ION12" s="1338"/>
      <c r="IOO12" s="1339"/>
      <c r="IOP12" s="1340"/>
      <c r="IOQ12" s="1340"/>
      <c r="IOR12" s="1340"/>
      <c r="IOS12" s="1341"/>
      <c r="IOT12" s="1342"/>
      <c r="IOU12" s="1336"/>
      <c r="IOV12" s="1336"/>
      <c r="IOW12" s="1336"/>
      <c r="IOX12" s="1336"/>
      <c r="IOY12" s="1337"/>
      <c r="IOZ12" s="1337"/>
      <c r="IPA12" s="1337"/>
      <c r="IPB12" s="1337"/>
      <c r="IPC12" s="1337"/>
      <c r="IPD12" s="1338"/>
      <c r="IPE12" s="1339"/>
      <c r="IPF12" s="1340"/>
      <c r="IPG12" s="1340"/>
      <c r="IPH12" s="1340"/>
      <c r="IPI12" s="1341"/>
      <c r="IPJ12" s="1342"/>
      <c r="IPK12" s="1336"/>
      <c r="IPL12" s="1336"/>
      <c r="IPM12" s="1336"/>
      <c r="IPN12" s="1336"/>
      <c r="IPO12" s="1337"/>
      <c r="IPP12" s="1337"/>
      <c r="IPQ12" s="1337"/>
      <c r="IPR12" s="1337"/>
      <c r="IPS12" s="1337"/>
      <c r="IPT12" s="1338"/>
      <c r="IPU12" s="1339"/>
      <c r="IPV12" s="1340"/>
      <c r="IPW12" s="1340"/>
      <c r="IPX12" s="1340"/>
      <c r="IPY12" s="1341"/>
      <c r="IPZ12" s="1342"/>
      <c r="IQA12" s="1336"/>
      <c r="IQB12" s="1336"/>
      <c r="IQC12" s="1336"/>
      <c r="IQD12" s="1336"/>
      <c r="IQE12" s="1337"/>
      <c r="IQF12" s="1337"/>
      <c r="IQG12" s="1337"/>
      <c r="IQH12" s="1337"/>
      <c r="IQI12" s="1337"/>
      <c r="IQJ12" s="1338"/>
      <c r="IQK12" s="1339"/>
      <c r="IQL12" s="1340"/>
      <c r="IQM12" s="1340"/>
      <c r="IQN12" s="1340"/>
      <c r="IQO12" s="1341"/>
      <c r="IQP12" s="1342"/>
      <c r="IQQ12" s="1336"/>
      <c r="IQR12" s="1336"/>
      <c r="IQS12" s="1336"/>
      <c r="IQT12" s="1336"/>
      <c r="IQU12" s="1337"/>
      <c r="IQV12" s="1337"/>
      <c r="IQW12" s="1337"/>
      <c r="IQX12" s="1337"/>
      <c r="IQY12" s="1337"/>
      <c r="IQZ12" s="1338"/>
      <c r="IRA12" s="1339"/>
      <c r="IRB12" s="1340"/>
      <c r="IRC12" s="1340"/>
      <c r="IRD12" s="1340"/>
      <c r="IRE12" s="1341"/>
      <c r="IRF12" s="1342"/>
      <c r="IRG12" s="1336"/>
      <c r="IRH12" s="1336"/>
      <c r="IRI12" s="1336"/>
      <c r="IRJ12" s="1336"/>
      <c r="IRK12" s="1337"/>
      <c r="IRL12" s="1337"/>
      <c r="IRM12" s="1337"/>
      <c r="IRN12" s="1337"/>
      <c r="IRO12" s="1337"/>
      <c r="IRP12" s="1338"/>
      <c r="IRQ12" s="1339"/>
      <c r="IRR12" s="1340"/>
      <c r="IRS12" s="1340"/>
      <c r="IRT12" s="1340"/>
      <c r="IRU12" s="1341"/>
      <c r="IRV12" s="1342"/>
      <c r="IRW12" s="1336"/>
      <c r="IRX12" s="1336"/>
      <c r="IRY12" s="1336"/>
      <c r="IRZ12" s="1336"/>
      <c r="ISA12" s="1337"/>
      <c r="ISB12" s="1337"/>
      <c r="ISC12" s="1337"/>
      <c r="ISD12" s="1337"/>
      <c r="ISE12" s="1337"/>
      <c r="ISF12" s="1338"/>
      <c r="ISG12" s="1339"/>
      <c r="ISH12" s="1340"/>
      <c r="ISI12" s="1340"/>
      <c r="ISJ12" s="1340"/>
      <c r="ISK12" s="1341"/>
      <c r="ISL12" s="1342"/>
      <c r="ISM12" s="1336"/>
      <c r="ISN12" s="1336"/>
      <c r="ISO12" s="1336"/>
      <c r="ISP12" s="1336"/>
      <c r="ISQ12" s="1337"/>
      <c r="ISR12" s="1337"/>
      <c r="ISS12" s="1337"/>
      <c r="IST12" s="1337"/>
      <c r="ISU12" s="1337"/>
      <c r="ISV12" s="1338"/>
      <c r="ISW12" s="1339"/>
      <c r="ISX12" s="1340"/>
      <c r="ISY12" s="1340"/>
      <c r="ISZ12" s="1340"/>
      <c r="ITA12" s="1341"/>
      <c r="ITB12" s="1342"/>
      <c r="ITC12" s="1336"/>
      <c r="ITD12" s="1336"/>
      <c r="ITE12" s="1336"/>
      <c r="ITF12" s="1336"/>
      <c r="ITG12" s="1337"/>
      <c r="ITH12" s="1337"/>
      <c r="ITI12" s="1337"/>
      <c r="ITJ12" s="1337"/>
      <c r="ITK12" s="1337"/>
      <c r="ITL12" s="1338"/>
      <c r="ITM12" s="1339"/>
      <c r="ITN12" s="1340"/>
      <c r="ITO12" s="1340"/>
      <c r="ITP12" s="1340"/>
      <c r="ITQ12" s="1341"/>
      <c r="ITR12" s="1342"/>
      <c r="ITS12" s="1336"/>
      <c r="ITT12" s="1336"/>
      <c r="ITU12" s="1336"/>
      <c r="ITV12" s="1336"/>
      <c r="ITW12" s="1337"/>
      <c r="ITX12" s="1337"/>
      <c r="ITY12" s="1337"/>
      <c r="ITZ12" s="1337"/>
      <c r="IUA12" s="1337"/>
      <c r="IUB12" s="1338"/>
      <c r="IUC12" s="1339"/>
      <c r="IUD12" s="1340"/>
      <c r="IUE12" s="1340"/>
      <c r="IUF12" s="1340"/>
      <c r="IUG12" s="1341"/>
      <c r="IUH12" s="1342"/>
      <c r="IUI12" s="1336"/>
      <c r="IUJ12" s="1336"/>
      <c r="IUK12" s="1336"/>
      <c r="IUL12" s="1336"/>
      <c r="IUM12" s="1337"/>
      <c r="IUN12" s="1337"/>
      <c r="IUO12" s="1337"/>
      <c r="IUP12" s="1337"/>
      <c r="IUQ12" s="1337"/>
      <c r="IUR12" s="1338"/>
      <c r="IUS12" s="1339"/>
      <c r="IUT12" s="1340"/>
      <c r="IUU12" s="1340"/>
      <c r="IUV12" s="1340"/>
      <c r="IUW12" s="1341"/>
      <c r="IUX12" s="1342"/>
      <c r="IUY12" s="1336"/>
      <c r="IUZ12" s="1336"/>
      <c r="IVA12" s="1336"/>
      <c r="IVB12" s="1336"/>
      <c r="IVC12" s="1337"/>
      <c r="IVD12" s="1337"/>
      <c r="IVE12" s="1337"/>
      <c r="IVF12" s="1337"/>
      <c r="IVG12" s="1337"/>
      <c r="IVH12" s="1338"/>
      <c r="IVI12" s="1339"/>
      <c r="IVJ12" s="1340"/>
      <c r="IVK12" s="1340"/>
      <c r="IVL12" s="1340"/>
      <c r="IVM12" s="1341"/>
      <c r="IVN12" s="1342"/>
      <c r="IVO12" s="1336"/>
      <c r="IVP12" s="1336"/>
      <c r="IVQ12" s="1336"/>
      <c r="IVR12" s="1336"/>
      <c r="IVS12" s="1337"/>
      <c r="IVT12" s="1337"/>
      <c r="IVU12" s="1337"/>
      <c r="IVV12" s="1337"/>
      <c r="IVW12" s="1337"/>
      <c r="IVX12" s="1338"/>
      <c r="IVY12" s="1339"/>
      <c r="IVZ12" s="1340"/>
      <c r="IWA12" s="1340"/>
      <c r="IWB12" s="1340"/>
      <c r="IWC12" s="1341"/>
      <c r="IWD12" s="1342"/>
      <c r="IWE12" s="1336"/>
      <c r="IWF12" s="1336"/>
      <c r="IWG12" s="1336"/>
      <c r="IWH12" s="1336"/>
      <c r="IWI12" s="1337"/>
      <c r="IWJ12" s="1337"/>
      <c r="IWK12" s="1337"/>
      <c r="IWL12" s="1337"/>
      <c r="IWM12" s="1337"/>
      <c r="IWN12" s="1338"/>
      <c r="IWO12" s="1339"/>
      <c r="IWP12" s="1340"/>
      <c r="IWQ12" s="1340"/>
      <c r="IWR12" s="1340"/>
      <c r="IWS12" s="1341"/>
      <c r="IWT12" s="1342"/>
      <c r="IWU12" s="1336"/>
      <c r="IWV12" s="1336"/>
      <c r="IWW12" s="1336"/>
      <c r="IWX12" s="1336"/>
      <c r="IWY12" s="1337"/>
      <c r="IWZ12" s="1337"/>
      <c r="IXA12" s="1337"/>
      <c r="IXB12" s="1337"/>
      <c r="IXC12" s="1337"/>
      <c r="IXD12" s="1338"/>
      <c r="IXE12" s="1339"/>
      <c r="IXF12" s="1340"/>
      <c r="IXG12" s="1340"/>
      <c r="IXH12" s="1340"/>
      <c r="IXI12" s="1341"/>
      <c r="IXJ12" s="1342"/>
      <c r="IXK12" s="1336"/>
      <c r="IXL12" s="1336"/>
      <c r="IXM12" s="1336"/>
      <c r="IXN12" s="1336"/>
      <c r="IXO12" s="1337"/>
      <c r="IXP12" s="1337"/>
      <c r="IXQ12" s="1337"/>
      <c r="IXR12" s="1337"/>
      <c r="IXS12" s="1337"/>
      <c r="IXT12" s="1338"/>
      <c r="IXU12" s="1339"/>
      <c r="IXV12" s="1340"/>
      <c r="IXW12" s="1340"/>
      <c r="IXX12" s="1340"/>
      <c r="IXY12" s="1341"/>
      <c r="IXZ12" s="1342"/>
      <c r="IYA12" s="1336"/>
      <c r="IYB12" s="1336"/>
      <c r="IYC12" s="1336"/>
      <c r="IYD12" s="1336"/>
      <c r="IYE12" s="1337"/>
      <c r="IYF12" s="1337"/>
      <c r="IYG12" s="1337"/>
      <c r="IYH12" s="1337"/>
      <c r="IYI12" s="1337"/>
      <c r="IYJ12" s="1338"/>
      <c r="IYK12" s="1339"/>
      <c r="IYL12" s="1340"/>
      <c r="IYM12" s="1340"/>
      <c r="IYN12" s="1340"/>
      <c r="IYO12" s="1341"/>
      <c r="IYP12" s="1342"/>
      <c r="IYQ12" s="1336"/>
      <c r="IYR12" s="1336"/>
      <c r="IYS12" s="1336"/>
      <c r="IYT12" s="1336"/>
      <c r="IYU12" s="1337"/>
      <c r="IYV12" s="1337"/>
      <c r="IYW12" s="1337"/>
      <c r="IYX12" s="1337"/>
      <c r="IYY12" s="1337"/>
      <c r="IYZ12" s="1338"/>
      <c r="IZA12" s="1339"/>
      <c r="IZB12" s="1340"/>
      <c r="IZC12" s="1340"/>
      <c r="IZD12" s="1340"/>
      <c r="IZE12" s="1341"/>
      <c r="IZF12" s="1342"/>
      <c r="IZG12" s="1336"/>
      <c r="IZH12" s="1336"/>
      <c r="IZI12" s="1336"/>
      <c r="IZJ12" s="1336"/>
      <c r="IZK12" s="1337"/>
      <c r="IZL12" s="1337"/>
      <c r="IZM12" s="1337"/>
      <c r="IZN12" s="1337"/>
      <c r="IZO12" s="1337"/>
      <c r="IZP12" s="1338"/>
      <c r="IZQ12" s="1339"/>
      <c r="IZR12" s="1340"/>
      <c r="IZS12" s="1340"/>
      <c r="IZT12" s="1340"/>
      <c r="IZU12" s="1341"/>
      <c r="IZV12" s="1342"/>
      <c r="IZW12" s="1336"/>
      <c r="IZX12" s="1336"/>
      <c r="IZY12" s="1336"/>
      <c r="IZZ12" s="1336"/>
      <c r="JAA12" s="1337"/>
      <c r="JAB12" s="1337"/>
      <c r="JAC12" s="1337"/>
      <c r="JAD12" s="1337"/>
      <c r="JAE12" s="1337"/>
      <c r="JAF12" s="1338"/>
      <c r="JAG12" s="1339"/>
      <c r="JAH12" s="1340"/>
      <c r="JAI12" s="1340"/>
      <c r="JAJ12" s="1340"/>
      <c r="JAK12" s="1341"/>
      <c r="JAL12" s="1342"/>
      <c r="JAM12" s="1336"/>
      <c r="JAN12" s="1336"/>
      <c r="JAO12" s="1336"/>
      <c r="JAP12" s="1336"/>
      <c r="JAQ12" s="1337"/>
      <c r="JAR12" s="1337"/>
      <c r="JAS12" s="1337"/>
      <c r="JAT12" s="1337"/>
      <c r="JAU12" s="1337"/>
      <c r="JAV12" s="1338"/>
      <c r="JAW12" s="1339"/>
      <c r="JAX12" s="1340"/>
      <c r="JAY12" s="1340"/>
      <c r="JAZ12" s="1340"/>
      <c r="JBA12" s="1341"/>
      <c r="JBB12" s="1342"/>
      <c r="JBC12" s="1336"/>
      <c r="JBD12" s="1336"/>
      <c r="JBE12" s="1336"/>
      <c r="JBF12" s="1336"/>
      <c r="JBG12" s="1337"/>
      <c r="JBH12" s="1337"/>
      <c r="JBI12" s="1337"/>
      <c r="JBJ12" s="1337"/>
      <c r="JBK12" s="1337"/>
      <c r="JBL12" s="1338"/>
      <c r="JBM12" s="1339"/>
      <c r="JBN12" s="1340"/>
      <c r="JBO12" s="1340"/>
      <c r="JBP12" s="1340"/>
      <c r="JBQ12" s="1341"/>
      <c r="JBR12" s="1342"/>
      <c r="JBS12" s="1336"/>
      <c r="JBT12" s="1336"/>
      <c r="JBU12" s="1336"/>
      <c r="JBV12" s="1336"/>
      <c r="JBW12" s="1337"/>
      <c r="JBX12" s="1337"/>
      <c r="JBY12" s="1337"/>
      <c r="JBZ12" s="1337"/>
      <c r="JCA12" s="1337"/>
      <c r="JCB12" s="1338"/>
      <c r="JCC12" s="1339"/>
      <c r="JCD12" s="1340"/>
      <c r="JCE12" s="1340"/>
      <c r="JCF12" s="1340"/>
      <c r="JCG12" s="1341"/>
      <c r="JCH12" s="1342"/>
      <c r="JCI12" s="1336"/>
      <c r="JCJ12" s="1336"/>
      <c r="JCK12" s="1336"/>
      <c r="JCL12" s="1336"/>
      <c r="JCM12" s="1337"/>
      <c r="JCN12" s="1337"/>
      <c r="JCO12" s="1337"/>
      <c r="JCP12" s="1337"/>
      <c r="JCQ12" s="1337"/>
      <c r="JCR12" s="1338"/>
      <c r="JCS12" s="1339"/>
      <c r="JCT12" s="1340"/>
      <c r="JCU12" s="1340"/>
      <c r="JCV12" s="1340"/>
      <c r="JCW12" s="1341"/>
      <c r="JCX12" s="1342"/>
      <c r="JCY12" s="1336"/>
      <c r="JCZ12" s="1336"/>
      <c r="JDA12" s="1336"/>
      <c r="JDB12" s="1336"/>
      <c r="JDC12" s="1337"/>
      <c r="JDD12" s="1337"/>
      <c r="JDE12" s="1337"/>
      <c r="JDF12" s="1337"/>
      <c r="JDG12" s="1337"/>
      <c r="JDH12" s="1338"/>
      <c r="JDI12" s="1339"/>
      <c r="JDJ12" s="1340"/>
      <c r="JDK12" s="1340"/>
      <c r="JDL12" s="1340"/>
      <c r="JDM12" s="1341"/>
      <c r="JDN12" s="1342"/>
      <c r="JDO12" s="1336"/>
      <c r="JDP12" s="1336"/>
      <c r="JDQ12" s="1336"/>
      <c r="JDR12" s="1336"/>
      <c r="JDS12" s="1337"/>
      <c r="JDT12" s="1337"/>
      <c r="JDU12" s="1337"/>
      <c r="JDV12" s="1337"/>
      <c r="JDW12" s="1337"/>
      <c r="JDX12" s="1338"/>
      <c r="JDY12" s="1339"/>
      <c r="JDZ12" s="1340"/>
      <c r="JEA12" s="1340"/>
      <c r="JEB12" s="1340"/>
      <c r="JEC12" s="1341"/>
      <c r="JED12" s="1342"/>
      <c r="JEE12" s="1336"/>
      <c r="JEF12" s="1336"/>
      <c r="JEG12" s="1336"/>
      <c r="JEH12" s="1336"/>
      <c r="JEI12" s="1337"/>
      <c r="JEJ12" s="1337"/>
      <c r="JEK12" s="1337"/>
      <c r="JEL12" s="1337"/>
      <c r="JEM12" s="1337"/>
      <c r="JEN12" s="1338"/>
      <c r="JEO12" s="1339"/>
      <c r="JEP12" s="1340"/>
      <c r="JEQ12" s="1340"/>
      <c r="JER12" s="1340"/>
      <c r="JES12" s="1341"/>
      <c r="JET12" s="1342"/>
      <c r="JEU12" s="1336"/>
      <c r="JEV12" s="1336"/>
      <c r="JEW12" s="1336"/>
      <c r="JEX12" s="1336"/>
      <c r="JEY12" s="1337"/>
      <c r="JEZ12" s="1337"/>
      <c r="JFA12" s="1337"/>
      <c r="JFB12" s="1337"/>
      <c r="JFC12" s="1337"/>
      <c r="JFD12" s="1338"/>
      <c r="JFE12" s="1339"/>
      <c r="JFF12" s="1340"/>
      <c r="JFG12" s="1340"/>
      <c r="JFH12" s="1340"/>
      <c r="JFI12" s="1341"/>
      <c r="JFJ12" s="1342"/>
      <c r="JFK12" s="1336"/>
      <c r="JFL12" s="1336"/>
      <c r="JFM12" s="1336"/>
      <c r="JFN12" s="1336"/>
      <c r="JFO12" s="1337"/>
      <c r="JFP12" s="1337"/>
      <c r="JFQ12" s="1337"/>
      <c r="JFR12" s="1337"/>
      <c r="JFS12" s="1337"/>
      <c r="JFT12" s="1338"/>
      <c r="JFU12" s="1339"/>
      <c r="JFV12" s="1340"/>
      <c r="JFW12" s="1340"/>
      <c r="JFX12" s="1340"/>
      <c r="JFY12" s="1341"/>
      <c r="JFZ12" s="1342"/>
      <c r="JGA12" s="1336"/>
      <c r="JGB12" s="1336"/>
      <c r="JGC12" s="1336"/>
      <c r="JGD12" s="1336"/>
      <c r="JGE12" s="1337"/>
      <c r="JGF12" s="1337"/>
      <c r="JGG12" s="1337"/>
      <c r="JGH12" s="1337"/>
      <c r="JGI12" s="1337"/>
      <c r="JGJ12" s="1338"/>
      <c r="JGK12" s="1339"/>
      <c r="JGL12" s="1340"/>
      <c r="JGM12" s="1340"/>
      <c r="JGN12" s="1340"/>
      <c r="JGO12" s="1341"/>
      <c r="JGP12" s="1342"/>
      <c r="JGQ12" s="1336"/>
      <c r="JGR12" s="1336"/>
      <c r="JGS12" s="1336"/>
      <c r="JGT12" s="1336"/>
      <c r="JGU12" s="1337"/>
      <c r="JGV12" s="1337"/>
      <c r="JGW12" s="1337"/>
      <c r="JGX12" s="1337"/>
      <c r="JGY12" s="1337"/>
      <c r="JGZ12" s="1338"/>
      <c r="JHA12" s="1339"/>
      <c r="JHB12" s="1340"/>
      <c r="JHC12" s="1340"/>
      <c r="JHD12" s="1340"/>
      <c r="JHE12" s="1341"/>
      <c r="JHF12" s="1342"/>
      <c r="JHG12" s="1336"/>
      <c r="JHH12" s="1336"/>
      <c r="JHI12" s="1336"/>
      <c r="JHJ12" s="1336"/>
      <c r="JHK12" s="1337"/>
      <c r="JHL12" s="1337"/>
      <c r="JHM12" s="1337"/>
      <c r="JHN12" s="1337"/>
      <c r="JHO12" s="1337"/>
      <c r="JHP12" s="1338"/>
      <c r="JHQ12" s="1339"/>
      <c r="JHR12" s="1340"/>
      <c r="JHS12" s="1340"/>
      <c r="JHT12" s="1340"/>
      <c r="JHU12" s="1341"/>
      <c r="JHV12" s="1342"/>
      <c r="JHW12" s="1336"/>
      <c r="JHX12" s="1336"/>
      <c r="JHY12" s="1336"/>
      <c r="JHZ12" s="1336"/>
      <c r="JIA12" s="1337"/>
      <c r="JIB12" s="1337"/>
      <c r="JIC12" s="1337"/>
      <c r="JID12" s="1337"/>
      <c r="JIE12" s="1337"/>
      <c r="JIF12" s="1338"/>
      <c r="JIG12" s="1339"/>
      <c r="JIH12" s="1340"/>
      <c r="JII12" s="1340"/>
      <c r="JIJ12" s="1340"/>
      <c r="JIK12" s="1341"/>
      <c r="JIL12" s="1342"/>
      <c r="JIM12" s="1336"/>
      <c r="JIN12" s="1336"/>
      <c r="JIO12" s="1336"/>
      <c r="JIP12" s="1336"/>
      <c r="JIQ12" s="1337"/>
      <c r="JIR12" s="1337"/>
      <c r="JIS12" s="1337"/>
      <c r="JIT12" s="1337"/>
      <c r="JIU12" s="1337"/>
      <c r="JIV12" s="1338"/>
      <c r="JIW12" s="1339"/>
      <c r="JIX12" s="1340"/>
      <c r="JIY12" s="1340"/>
      <c r="JIZ12" s="1340"/>
      <c r="JJA12" s="1341"/>
      <c r="JJB12" s="1342"/>
      <c r="JJC12" s="1336"/>
      <c r="JJD12" s="1336"/>
      <c r="JJE12" s="1336"/>
      <c r="JJF12" s="1336"/>
      <c r="JJG12" s="1337"/>
      <c r="JJH12" s="1337"/>
      <c r="JJI12" s="1337"/>
      <c r="JJJ12" s="1337"/>
      <c r="JJK12" s="1337"/>
      <c r="JJL12" s="1338"/>
      <c r="JJM12" s="1339"/>
      <c r="JJN12" s="1340"/>
      <c r="JJO12" s="1340"/>
      <c r="JJP12" s="1340"/>
      <c r="JJQ12" s="1341"/>
      <c r="JJR12" s="1342"/>
      <c r="JJS12" s="1336"/>
      <c r="JJT12" s="1336"/>
      <c r="JJU12" s="1336"/>
      <c r="JJV12" s="1336"/>
      <c r="JJW12" s="1337"/>
      <c r="JJX12" s="1337"/>
      <c r="JJY12" s="1337"/>
      <c r="JJZ12" s="1337"/>
      <c r="JKA12" s="1337"/>
      <c r="JKB12" s="1338"/>
      <c r="JKC12" s="1339"/>
      <c r="JKD12" s="1340"/>
      <c r="JKE12" s="1340"/>
      <c r="JKF12" s="1340"/>
      <c r="JKG12" s="1341"/>
      <c r="JKH12" s="1342"/>
      <c r="JKI12" s="1336"/>
      <c r="JKJ12" s="1336"/>
      <c r="JKK12" s="1336"/>
      <c r="JKL12" s="1336"/>
      <c r="JKM12" s="1337"/>
      <c r="JKN12" s="1337"/>
      <c r="JKO12" s="1337"/>
      <c r="JKP12" s="1337"/>
      <c r="JKQ12" s="1337"/>
      <c r="JKR12" s="1338"/>
      <c r="JKS12" s="1339"/>
      <c r="JKT12" s="1340"/>
      <c r="JKU12" s="1340"/>
      <c r="JKV12" s="1340"/>
      <c r="JKW12" s="1341"/>
      <c r="JKX12" s="1342"/>
      <c r="JKY12" s="1336"/>
      <c r="JKZ12" s="1336"/>
      <c r="JLA12" s="1336"/>
      <c r="JLB12" s="1336"/>
      <c r="JLC12" s="1337"/>
      <c r="JLD12" s="1337"/>
      <c r="JLE12" s="1337"/>
      <c r="JLF12" s="1337"/>
      <c r="JLG12" s="1337"/>
      <c r="JLH12" s="1338"/>
      <c r="JLI12" s="1339"/>
      <c r="JLJ12" s="1340"/>
      <c r="JLK12" s="1340"/>
      <c r="JLL12" s="1340"/>
      <c r="JLM12" s="1341"/>
      <c r="JLN12" s="1342"/>
      <c r="JLO12" s="1336"/>
      <c r="JLP12" s="1336"/>
      <c r="JLQ12" s="1336"/>
      <c r="JLR12" s="1336"/>
      <c r="JLS12" s="1337"/>
      <c r="JLT12" s="1337"/>
      <c r="JLU12" s="1337"/>
      <c r="JLV12" s="1337"/>
      <c r="JLW12" s="1337"/>
      <c r="JLX12" s="1338"/>
      <c r="JLY12" s="1339"/>
      <c r="JLZ12" s="1340"/>
      <c r="JMA12" s="1340"/>
      <c r="JMB12" s="1340"/>
      <c r="JMC12" s="1341"/>
      <c r="JMD12" s="1342"/>
      <c r="JME12" s="1336"/>
      <c r="JMF12" s="1336"/>
      <c r="JMG12" s="1336"/>
      <c r="JMH12" s="1336"/>
      <c r="JMI12" s="1337"/>
      <c r="JMJ12" s="1337"/>
      <c r="JMK12" s="1337"/>
      <c r="JML12" s="1337"/>
      <c r="JMM12" s="1337"/>
      <c r="JMN12" s="1338"/>
      <c r="JMO12" s="1339"/>
      <c r="JMP12" s="1340"/>
      <c r="JMQ12" s="1340"/>
      <c r="JMR12" s="1340"/>
      <c r="JMS12" s="1341"/>
      <c r="JMT12" s="1342"/>
      <c r="JMU12" s="1336"/>
      <c r="JMV12" s="1336"/>
      <c r="JMW12" s="1336"/>
      <c r="JMX12" s="1336"/>
      <c r="JMY12" s="1337"/>
      <c r="JMZ12" s="1337"/>
      <c r="JNA12" s="1337"/>
      <c r="JNB12" s="1337"/>
      <c r="JNC12" s="1337"/>
      <c r="JND12" s="1338"/>
      <c r="JNE12" s="1339"/>
      <c r="JNF12" s="1340"/>
      <c r="JNG12" s="1340"/>
      <c r="JNH12" s="1340"/>
      <c r="JNI12" s="1341"/>
      <c r="JNJ12" s="1342"/>
      <c r="JNK12" s="1336"/>
      <c r="JNL12" s="1336"/>
      <c r="JNM12" s="1336"/>
      <c r="JNN12" s="1336"/>
      <c r="JNO12" s="1337"/>
      <c r="JNP12" s="1337"/>
      <c r="JNQ12" s="1337"/>
      <c r="JNR12" s="1337"/>
      <c r="JNS12" s="1337"/>
      <c r="JNT12" s="1338"/>
      <c r="JNU12" s="1339"/>
      <c r="JNV12" s="1340"/>
      <c r="JNW12" s="1340"/>
      <c r="JNX12" s="1340"/>
      <c r="JNY12" s="1341"/>
      <c r="JNZ12" s="1342"/>
      <c r="JOA12" s="1336"/>
      <c r="JOB12" s="1336"/>
      <c r="JOC12" s="1336"/>
      <c r="JOD12" s="1336"/>
      <c r="JOE12" s="1337"/>
      <c r="JOF12" s="1337"/>
      <c r="JOG12" s="1337"/>
      <c r="JOH12" s="1337"/>
      <c r="JOI12" s="1337"/>
      <c r="JOJ12" s="1338"/>
      <c r="JOK12" s="1339"/>
      <c r="JOL12" s="1340"/>
      <c r="JOM12" s="1340"/>
      <c r="JON12" s="1340"/>
      <c r="JOO12" s="1341"/>
      <c r="JOP12" s="1342"/>
      <c r="JOQ12" s="1336"/>
      <c r="JOR12" s="1336"/>
      <c r="JOS12" s="1336"/>
      <c r="JOT12" s="1336"/>
      <c r="JOU12" s="1337"/>
      <c r="JOV12" s="1337"/>
      <c r="JOW12" s="1337"/>
      <c r="JOX12" s="1337"/>
      <c r="JOY12" s="1337"/>
      <c r="JOZ12" s="1338"/>
      <c r="JPA12" s="1339"/>
      <c r="JPB12" s="1340"/>
      <c r="JPC12" s="1340"/>
      <c r="JPD12" s="1340"/>
      <c r="JPE12" s="1341"/>
      <c r="JPF12" s="1342"/>
      <c r="JPG12" s="1336"/>
      <c r="JPH12" s="1336"/>
      <c r="JPI12" s="1336"/>
      <c r="JPJ12" s="1336"/>
      <c r="JPK12" s="1337"/>
      <c r="JPL12" s="1337"/>
      <c r="JPM12" s="1337"/>
      <c r="JPN12" s="1337"/>
      <c r="JPO12" s="1337"/>
      <c r="JPP12" s="1338"/>
      <c r="JPQ12" s="1339"/>
      <c r="JPR12" s="1340"/>
      <c r="JPS12" s="1340"/>
      <c r="JPT12" s="1340"/>
      <c r="JPU12" s="1341"/>
      <c r="JPV12" s="1342"/>
      <c r="JPW12" s="1336"/>
      <c r="JPX12" s="1336"/>
      <c r="JPY12" s="1336"/>
      <c r="JPZ12" s="1336"/>
      <c r="JQA12" s="1337"/>
      <c r="JQB12" s="1337"/>
      <c r="JQC12" s="1337"/>
      <c r="JQD12" s="1337"/>
      <c r="JQE12" s="1337"/>
      <c r="JQF12" s="1338"/>
      <c r="JQG12" s="1339"/>
      <c r="JQH12" s="1340"/>
      <c r="JQI12" s="1340"/>
      <c r="JQJ12" s="1340"/>
      <c r="JQK12" s="1341"/>
      <c r="JQL12" s="1342"/>
      <c r="JQM12" s="1336"/>
      <c r="JQN12" s="1336"/>
      <c r="JQO12" s="1336"/>
      <c r="JQP12" s="1336"/>
      <c r="JQQ12" s="1337"/>
      <c r="JQR12" s="1337"/>
      <c r="JQS12" s="1337"/>
      <c r="JQT12" s="1337"/>
      <c r="JQU12" s="1337"/>
      <c r="JQV12" s="1338"/>
      <c r="JQW12" s="1339"/>
      <c r="JQX12" s="1340"/>
      <c r="JQY12" s="1340"/>
      <c r="JQZ12" s="1340"/>
      <c r="JRA12" s="1341"/>
      <c r="JRB12" s="1342"/>
      <c r="JRC12" s="1336"/>
      <c r="JRD12" s="1336"/>
      <c r="JRE12" s="1336"/>
      <c r="JRF12" s="1336"/>
      <c r="JRG12" s="1337"/>
      <c r="JRH12" s="1337"/>
      <c r="JRI12" s="1337"/>
      <c r="JRJ12" s="1337"/>
      <c r="JRK12" s="1337"/>
      <c r="JRL12" s="1338"/>
      <c r="JRM12" s="1339"/>
      <c r="JRN12" s="1340"/>
      <c r="JRO12" s="1340"/>
      <c r="JRP12" s="1340"/>
      <c r="JRQ12" s="1341"/>
      <c r="JRR12" s="1342"/>
      <c r="JRS12" s="1336"/>
      <c r="JRT12" s="1336"/>
      <c r="JRU12" s="1336"/>
      <c r="JRV12" s="1336"/>
      <c r="JRW12" s="1337"/>
      <c r="JRX12" s="1337"/>
      <c r="JRY12" s="1337"/>
      <c r="JRZ12" s="1337"/>
      <c r="JSA12" s="1337"/>
      <c r="JSB12" s="1338"/>
      <c r="JSC12" s="1339"/>
      <c r="JSD12" s="1340"/>
      <c r="JSE12" s="1340"/>
      <c r="JSF12" s="1340"/>
      <c r="JSG12" s="1341"/>
      <c r="JSH12" s="1342"/>
      <c r="JSI12" s="1336"/>
      <c r="JSJ12" s="1336"/>
      <c r="JSK12" s="1336"/>
      <c r="JSL12" s="1336"/>
      <c r="JSM12" s="1337"/>
      <c r="JSN12" s="1337"/>
      <c r="JSO12" s="1337"/>
      <c r="JSP12" s="1337"/>
      <c r="JSQ12" s="1337"/>
      <c r="JSR12" s="1338"/>
      <c r="JSS12" s="1339"/>
      <c r="JST12" s="1340"/>
      <c r="JSU12" s="1340"/>
      <c r="JSV12" s="1340"/>
      <c r="JSW12" s="1341"/>
      <c r="JSX12" s="1342"/>
      <c r="JSY12" s="1336"/>
      <c r="JSZ12" s="1336"/>
      <c r="JTA12" s="1336"/>
      <c r="JTB12" s="1336"/>
      <c r="JTC12" s="1337"/>
      <c r="JTD12" s="1337"/>
      <c r="JTE12" s="1337"/>
      <c r="JTF12" s="1337"/>
      <c r="JTG12" s="1337"/>
      <c r="JTH12" s="1338"/>
      <c r="JTI12" s="1339"/>
      <c r="JTJ12" s="1340"/>
      <c r="JTK12" s="1340"/>
      <c r="JTL12" s="1340"/>
      <c r="JTM12" s="1341"/>
      <c r="JTN12" s="1342"/>
      <c r="JTO12" s="1336"/>
      <c r="JTP12" s="1336"/>
      <c r="JTQ12" s="1336"/>
      <c r="JTR12" s="1336"/>
      <c r="JTS12" s="1337"/>
      <c r="JTT12" s="1337"/>
      <c r="JTU12" s="1337"/>
      <c r="JTV12" s="1337"/>
      <c r="JTW12" s="1337"/>
      <c r="JTX12" s="1338"/>
      <c r="JTY12" s="1339"/>
      <c r="JTZ12" s="1340"/>
      <c r="JUA12" s="1340"/>
      <c r="JUB12" s="1340"/>
      <c r="JUC12" s="1341"/>
      <c r="JUD12" s="1342"/>
      <c r="JUE12" s="1336"/>
      <c r="JUF12" s="1336"/>
      <c r="JUG12" s="1336"/>
      <c r="JUH12" s="1336"/>
      <c r="JUI12" s="1337"/>
      <c r="JUJ12" s="1337"/>
      <c r="JUK12" s="1337"/>
      <c r="JUL12" s="1337"/>
      <c r="JUM12" s="1337"/>
      <c r="JUN12" s="1338"/>
      <c r="JUO12" s="1339"/>
      <c r="JUP12" s="1340"/>
      <c r="JUQ12" s="1340"/>
      <c r="JUR12" s="1340"/>
      <c r="JUS12" s="1341"/>
      <c r="JUT12" s="1342"/>
      <c r="JUU12" s="1336"/>
      <c r="JUV12" s="1336"/>
      <c r="JUW12" s="1336"/>
      <c r="JUX12" s="1336"/>
      <c r="JUY12" s="1337"/>
      <c r="JUZ12" s="1337"/>
      <c r="JVA12" s="1337"/>
      <c r="JVB12" s="1337"/>
      <c r="JVC12" s="1337"/>
      <c r="JVD12" s="1338"/>
      <c r="JVE12" s="1339"/>
      <c r="JVF12" s="1340"/>
      <c r="JVG12" s="1340"/>
      <c r="JVH12" s="1340"/>
      <c r="JVI12" s="1341"/>
      <c r="JVJ12" s="1342"/>
      <c r="JVK12" s="1336"/>
      <c r="JVL12" s="1336"/>
      <c r="JVM12" s="1336"/>
      <c r="JVN12" s="1336"/>
      <c r="JVO12" s="1337"/>
      <c r="JVP12" s="1337"/>
      <c r="JVQ12" s="1337"/>
      <c r="JVR12" s="1337"/>
      <c r="JVS12" s="1337"/>
      <c r="JVT12" s="1338"/>
      <c r="JVU12" s="1339"/>
      <c r="JVV12" s="1340"/>
      <c r="JVW12" s="1340"/>
      <c r="JVX12" s="1340"/>
      <c r="JVY12" s="1341"/>
      <c r="JVZ12" s="1342"/>
      <c r="JWA12" s="1336"/>
      <c r="JWB12" s="1336"/>
      <c r="JWC12" s="1336"/>
      <c r="JWD12" s="1336"/>
      <c r="JWE12" s="1337"/>
      <c r="JWF12" s="1337"/>
      <c r="JWG12" s="1337"/>
      <c r="JWH12" s="1337"/>
      <c r="JWI12" s="1337"/>
      <c r="JWJ12" s="1338"/>
      <c r="JWK12" s="1339"/>
      <c r="JWL12" s="1340"/>
      <c r="JWM12" s="1340"/>
      <c r="JWN12" s="1340"/>
      <c r="JWO12" s="1341"/>
      <c r="JWP12" s="1342"/>
      <c r="JWQ12" s="1336"/>
      <c r="JWR12" s="1336"/>
      <c r="JWS12" s="1336"/>
      <c r="JWT12" s="1336"/>
      <c r="JWU12" s="1337"/>
      <c r="JWV12" s="1337"/>
      <c r="JWW12" s="1337"/>
      <c r="JWX12" s="1337"/>
      <c r="JWY12" s="1337"/>
      <c r="JWZ12" s="1338"/>
      <c r="JXA12" s="1339"/>
      <c r="JXB12" s="1340"/>
      <c r="JXC12" s="1340"/>
      <c r="JXD12" s="1340"/>
      <c r="JXE12" s="1341"/>
      <c r="JXF12" s="1342"/>
      <c r="JXG12" s="1336"/>
      <c r="JXH12" s="1336"/>
      <c r="JXI12" s="1336"/>
      <c r="JXJ12" s="1336"/>
      <c r="JXK12" s="1337"/>
      <c r="JXL12" s="1337"/>
      <c r="JXM12" s="1337"/>
      <c r="JXN12" s="1337"/>
      <c r="JXO12" s="1337"/>
      <c r="JXP12" s="1338"/>
      <c r="JXQ12" s="1339"/>
      <c r="JXR12" s="1340"/>
      <c r="JXS12" s="1340"/>
      <c r="JXT12" s="1340"/>
      <c r="JXU12" s="1341"/>
      <c r="JXV12" s="1342"/>
      <c r="JXW12" s="1336"/>
      <c r="JXX12" s="1336"/>
      <c r="JXY12" s="1336"/>
      <c r="JXZ12" s="1336"/>
      <c r="JYA12" s="1337"/>
      <c r="JYB12" s="1337"/>
      <c r="JYC12" s="1337"/>
      <c r="JYD12" s="1337"/>
      <c r="JYE12" s="1337"/>
      <c r="JYF12" s="1338"/>
      <c r="JYG12" s="1339"/>
      <c r="JYH12" s="1340"/>
      <c r="JYI12" s="1340"/>
      <c r="JYJ12" s="1340"/>
      <c r="JYK12" s="1341"/>
      <c r="JYL12" s="1342"/>
      <c r="JYM12" s="1336"/>
      <c r="JYN12" s="1336"/>
      <c r="JYO12" s="1336"/>
      <c r="JYP12" s="1336"/>
      <c r="JYQ12" s="1337"/>
      <c r="JYR12" s="1337"/>
      <c r="JYS12" s="1337"/>
      <c r="JYT12" s="1337"/>
      <c r="JYU12" s="1337"/>
      <c r="JYV12" s="1338"/>
      <c r="JYW12" s="1339"/>
      <c r="JYX12" s="1340"/>
      <c r="JYY12" s="1340"/>
      <c r="JYZ12" s="1340"/>
      <c r="JZA12" s="1341"/>
      <c r="JZB12" s="1342"/>
      <c r="JZC12" s="1336"/>
      <c r="JZD12" s="1336"/>
      <c r="JZE12" s="1336"/>
      <c r="JZF12" s="1336"/>
      <c r="JZG12" s="1337"/>
      <c r="JZH12" s="1337"/>
      <c r="JZI12" s="1337"/>
      <c r="JZJ12" s="1337"/>
      <c r="JZK12" s="1337"/>
      <c r="JZL12" s="1338"/>
      <c r="JZM12" s="1339"/>
      <c r="JZN12" s="1340"/>
      <c r="JZO12" s="1340"/>
      <c r="JZP12" s="1340"/>
      <c r="JZQ12" s="1341"/>
      <c r="JZR12" s="1342"/>
      <c r="JZS12" s="1336"/>
      <c r="JZT12" s="1336"/>
      <c r="JZU12" s="1336"/>
      <c r="JZV12" s="1336"/>
      <c r="JZW12" s="1337"/>
      <c r="JZX12" s="1337"/>
      <c r="JZY12" s="1337"/>
      <c r="JZZ12" s="1337"/>
      <c r="KAA12" s="1337"/>
      <c r="KAB12" s="1338"/>
      <c r="KAC12" s="1339"/>
      <c r="KAD12" s="1340"/>
      <c r="KAE12" s="1340"/>
      <c r="KAF12" s="1340"/>
      <c r="KAG12" s="1341"/>
      <c r="KAH12" s="1342"/>
      <c r="KAI12" s="1336"/>
      <c r="KAJ12" s="1336"/>
      <c r="KAK12" s="1336"/>
      <c r="KAL12" s="1336"/>
      <c r="KAM12" s="1337"/>
      <c r="KAN12" s="1337"/>
      <c r="KAO12" s="1337"/>
      <c r="KAP12" s="1337"/>
      <c r="KAQ12" s="1337"/>
      <c r="KAR12" s="1338"/>
      <c r="KAS12" s="1339"/>
      <c r="KAT12" s="1340"/>
      <c r="KAU12" s="1340"/>
      <c r="KAV12" s="1340"/>
      <c r="KAW12" s="1341"/>
      <c r="KAX12" s="1342"/>
      <c r="KAY12" s="1336"/>
      <c r="KAZ12" s="1336"/>
      <c r="KBA12" s="1336"/>
      <c r="KBB12" s="1336"/>
      <c r="KBC12" s="1337"/>
      <c r="KBD12" s="1337"/>
      <c r="KBE12" s="1337"/>
      <c r="KBF12" s="1337"/>
      <c r="KBG12" s="1337"/>
      <c r="KBH12" s="1338"/>
      <c r="KBI12" s="1339"/>
      <c r="KBJ12" s="1340"/>
      <c r="KBK12" s="1340"/>
      <c r="KBL12" s="1340"/>
      <c r="KBM12" s="1341"/>
      <c r="KBN12" s="1342"/>
      <c r="KBO12" s="1336"/>
      <c r="KBP12" s="1336"/>
      <c r="KBQ12" s="1336"/>
      <c r="KBR12" s="1336"/>
      <c r="KBS12" s="1337"/>
      <c r="KBT12" s="1337"/>
      <c r="KBU12" s="1337"/>
      <c r="KBV12" s="1337"/>
      <c r="KBW12" s="1337"/>
      <c r="KBX12" s="1338"/>
      <c r="KBY12" s="1339"/>
      <c r="KBZ12" s="1340"/>
      <c r="KCA12" s="1340"/>
      <c r="KCB12" s="1340"/>
      <c r="KCC12" s="1341"/>
      <c r="KCD12" s="1342"/>
      <c r="KCE12" s="1336"/>
      <c r="KCF12" s="1336"/>
      <c r="KCG12" s="1336"/>
      <c r="KCH12" s="1336"/>
      <c r="KCI12" s="1337"/>
      <c r="KCJ12" s="1337"/>
      <c r="KCK12" s="1337"/>
      <c r="KCL12" s="1337"/>
      <c r="KCM12" s="1337"/>
      <c r="KCN12" s="1338"/>
      <c r="KCO12" s="1339"/>
      <c r="KCP12" s="1340"/>
      <c r="KCQ12" s="1340"/>
      <c r="KCR12" s="1340"/>
      <c r="KCS12" s="1341"/>
      <c r="KCT12" s="1342"/>
      <c r="KCU12" s="1336"/>
      <c r="KCV12" s="1336"/>
      <c r="KCW12" s="1336"/>
      <c r="KCX12" s="1336"/>
      <c r="KCY12" s="1337"/>
      <c r="KCZ12" s="1337"/>
      <c r="KDA12" s="1337"/>
      <c r="KDB12" s="1337"/>
      <c r="KDC12" s="1337"/>
      <c r="KDD12" s="1338"/>
      <c r="KDE12" s="1339"/>
      <c r="KDF12" s="1340"/>
      <c r="KDG12" s="1340"/>
      <c r="KDH12" s="1340"/>
      <c r="KDI12" s="1341"/>
      <c r="KDJ12" s="1342"/>
      <c r="KDK12" s="1336"/>
      <c r="KDL12" s="1336"/>
      <c r="KDM12" s="1336"/>
      <c r="KDN12" s="1336"/>
      <c r="KDO12" s="1337"/>
      <c r="KDP12" s="1337"/>
      <c r="KDQ12" s="1337"/>
      <c r="KDR12" s="1337"/>
      <c r="KDS12" s="1337"/>
      <c r="KDT12" s="1338"/>
      <c r="KDU12" s="1339"/>
      <c r="KDV12" s="1340"/>
      <c r="KDW12" s="1340"/>
      <c r="KDX12" s="1340"/>
      <c r="KDY12" s="1341"/>
      <c r="KDZ12" s="1342"/>
      <c r="KEA12" s="1336"/>
      <c r="KEB12" s="1336"/>
      <c r="KEC12" s="1336"/>
      <c r="KED12" s="1336"/>
      <c r="KEE12" s="1337"/>
      <c r="KEF12" s="1337"/>
      <c r="KEG12" s="1337"/>
      <c r="KEH12" s="1337"/>
      <c r="KEI12" s="1337"/>
      <c r="KEJ12" s="1338"/>
      <c r="KEK12" s="1339"/>
      <c r="KEL12" s="1340"/>
      <c r="KEM12" s="1340"/>
      <c r="KEN12" s="1340"/>
      <c r="KEO12" s="1341"/>
      <c r="KEP12" s="1342"/>
      <c r="KEQ12" s="1336"/>
      <c r="KER12" s="1336"/>
      <c r="KES12" s="1336"/>
      <c r="KET12" s="1336"/>
      <c r="KEU12" s="1337"/>
      <c r="KEV12" s="1337"/>
      <c r="KEW12" s="1337"/>
      <c r="KEX12" s="1337"/>
      <c r="KEY12" s="1337"/>
      <c r="KEZ12" s="1338"/>
      <c r="KFA12" s="1339"/>
      <c r="KFB12" s="1340"/>
      <c r="KFC12" s="1340"/>
      <c r="KFD12" s="1340"/>
      <c r="KFE12" s="1341"/>
      <c r="KFF12" s="1342"/>
      <c r="KFG12" s="1336"/>
      <c r="KFH12" s="1336"/>
      <c r="KFI12" s="1336"/>
      <c r="KFJ12" s="1336"/>
      <c r="KFK12" s="1337"/>
      <c r="KFL12" s="1337"/>
      <c r="KFM12" s="1337"/>
      <c r="KFN12" s="1337"/>
      <c r="KFO12" s="1337"/>
      <c r="KFP12" s="1338"/>
      <c r="KFQ12" s="1339"/>
      <c r="KFR12" s="1340"/>
      <c r="KFS12" s="1340"/>
      <c r="KFT12" s="1340"/>
      <c r="KFU12" s="1341"/>
      <c r="KFV12" s="1342"/>
      <c r="KFW12" s="1336"/>
      <c r="KFX12" s="1336"/>
      <c r="KFY12" s="1336"/>
      <c r="KFZ12" s="1336"/>
      <c r="KGA12" s="1337"/>
      <c r="KGB12" s="1337"/>
      <c r="KGC12" s="1337"/>
      <c r="KGD12" s="1337"/>
      <c r="KGE12" s="1337"/>
      <c r="KGF12" s="1338"/>
      <c r="KGG12" s="1339"/>
      <c r="KGH12" s="1340"/>
      <c r="KGI12" s="1340"/>
      <c r="KGJ12" s="1340"/>
      <c r="KGK12" s="1341"/>
      <c r="KGL12" s="1342"/>
      <c r="KGM12" s="1336"/>
      <c r="KGN12" s="1336"/>
      <c r="KGO12" s="1336"/>
      <c r="KGP12" s="1336"/>
      <c r="KGQ12" s="1337"/>
      <c r="KGR12" s="1337"/>
      <c r="KGS12" s="1337"/>
      <c r="KGT12" s="1337"/>
      <c r="KGU12" s="1337"/>
      <c r="KGV12" s="1338"/>
      <c r="KGW12" s="1339"/>
      <c r="KGX12" s="1340"/>
      <c r="KGY12" s="1340"/>
      <c r="KGZ12" s="1340"/>
      <c r="KHA12" s="1341"/>
      <c r="KHB12" s="1342"/>
      <c r="KHC12" s="1336"/>
      <c r="KHD12" s="1336"/>
      <c r="KHE12" s="1336"/>
      <c r="KHF12" s="1336"/>
      <c r="KHG12" s="1337"/>
      <c r="KHH12" s="1337"/>
      <c r="KHI12" s="1337"/>
      <c r="KHJ12" s="1337"/>
      <c r="KHK12" s="1337"/>
      <c r="KHL12" s="1338"/>
      <c r="KHM12" s="1339"/>
      <c r="KHN12" s="1340"/>
      <c r="KHO12" s="1340"/>
      <c r="KHP12" s="1340"/>
      <c r="KHQ12" s="1341"/>
      <c r="KHR12" s="1342"/>
      <c r="KHS12" s="1336"/>
      <c r="KHT12" s="1336"/>
      <c r="KHU12" s="1336"/>
      <c r="KHV12" s="1336"/>
      <c r="KHW12" s="1337"/>
      <c r="KHX12" s="1337"/>
      <c r="KHY12" s="1337"/>
      <c r="KHZ12" s="1337"/>
      <c r="KIA12" s="1337"/>
      <c r="KIB12" s="1338"/>
      <c r="KIC12" s="1339"/>
      <c r="KID12" s="1340"/>
      <c r="KIE12" s="1340"/>
      <c r="KIF12" s="1340"/>
      <c r="KIG12" s="1341"/>
      <c r="KIH12" s="1342"/>
      <c r="KII12" s="1336"/>
      <c r="KIJ12" s="1336"/>
      <c r="KIK12" s="1336"/>
      <c r="KIL12" s="1336"/>
      <c r="KIM12" s="1337"/>
      <c r="KIN12" s="1337"/>
      <c r="KIO12" s="1337"/>
      <c r="KIP12" s="1337"/>
      <c r="KIQ12" s="1337"/>
      <c r="KIR12" s="1338"/>
      <c r="KIS12" s="1339"/>
      <c r="KIT12" s="1340"/>
      <c r="KIU12" s="1340"/>
      <c r="KIV12" s="1340"/>
      <c r="KIW12" s="1341"/>
      <c r="KIX12" s="1342"/>
      <c r="KIY12" s="1336"/>
      <c r="KIZ12" s="1336"/>
      <c r="KJA12" s="1336"/>
      <c r="KJB12" s="1336"/>
      <c r="KJC12" s="1337"/>
      <c r="KJD12" s="1337"/>
      <c r="KJE12" s="1337"/>
      <c r="KJF12" s="1337"/>
      <c r="KJG12" s="1337"/>
      <c r="KJH12" s="1338"/>
      <c r="KJI12" s="1339"/>
      <c r="KJJ12" s="1340"/>
      <c r="KJK12" s="1340"/>
      <c r="KJL12" s="1340"/>
      <c r="KJM12" s="1341"/>
      <c r="KJN12" s="1342"/>
      <c r="KJO12" s="1336"/>
      <c r="KJP12" s="1336"/>
      <c r="KJQ12" s="1336"/>
      <c r="KJR12" s="1336"/>
      <c r="KJS12" s="1337"/>
      <c r="KJT12" s="1337"/>
      <c r="KJU12" s="1337"/>
      <c r="KJV12" s="1337"/>
      <c r="KJW12" s="1337"/>
      <c r="KJX12" s="1338"/>
      <c r="KJY12" s="1339"/>
      <c r="KJZ12" s="1340"/>
      <c r="KKA12" s="1340"/>
      <c r="KKB12" s="1340"/>
      <c r="KKC12" s="1341"/>
      <c r="KKD12" s="1342"/>
      <c r="KKE12" s="1336"/>
      <c r="KKF12" s="1336"/>
      <c r="KKG12" s="1336"/>
      <c r="KKH12" s="1336"/>
      <c r="KKI12" s="1337"/>
      <c r="KKJ12" s="1337"/>
      <c r="KKK12" s="1337"/>
      <c r="KKL12" s="1337"/>
      <c r="KKM12" s="1337"/>
      <c r="KKN12" s="1338"/>
      <c r="KKO12" s="1339"/>
      <c r="KKP12" s="1340"/>
      <c r="KKQ12" s="1340"/>
      <c r="KKR12" s="1340"/>
      <c r="KKS12" s="1341"/>
      <c r="KKT12" s="1342"/>
      <c r="KKU12" s="1336"/>
      <c r="KKV12" s="1336"/>
      <c r="KKW12" s="1336"/>
      <c r="KKX12" s="1336"/>
      <c r="KKY12" s="1337"/>
      <c r="KKZ12" s="1337"/>
      <c r="KLA12" s="1337"/>
      <c r="KLB12" s="1337"/>
      <c r="KLC12" s="1337"/>
      <c r="KLD12" s="1338"/>
      <c r="KLE12" s="1339"/>
      <c r="KLF12" s="1340"/>
      <c r="KLG12" s="1340"/>
      <c r="KLH12" s="1340"/>
      <c r="KLI12" s="1341"/>
      <c r="KLJ12" s="1342"/>
      <c r="KLK12" s="1336"/>
      <c r="KLL12" s="1336"/>
      <c r="KLM12" s="1336"/>
      <c r="KLN12" s="1336"/>
      <c r="KLO12" s="1337"/>
      <c r="KLP12" s="1337"/>
      <c r="KLQ12" s="1337"/>
      <c r="KLR12" s="1337"/>
      <c r="KLS12" s="1337"/>
      <c r="KLT12" s="1338"/>
      <c r="KLU12" s="1339"/>
      <c r="KLV12" s="1340"/>
      <c r="KLW12" s="1340"/>
      <c r="KLX12" s="1340"/>
      <c r="KLY12" s="1341"/>
      <c r="KLZ12" s="1342"/>
      <c r="KMA12" s="1336"/>
      <c r="KMB12" s="1336"/>
      <c r="KMC12" s="1336"/>
      <c r="KMD12" s="1336"/>
      <c r="KME12" s="1337"/>
      <c r="KMF12" s="1337"/>
      <c r="KMG12" s="1337"/>
      <c r="KMH12" s="1337"/>
      <c r="KMI12" s="1337"/>
      <c r="KMJ12" s="1338"/>
      <c r="KMK12" s="1339"/>
      <c r="KML12" s="1340"/>
      <c r="KMM12" s="1340"/>
      <c r="KMN12" s="1340"/>
      <c r="KMO12" s="1341"/>
      <c r="KMP12" s="1342"/>
      <c r="KMQ12" s="1336"/>
      <c r="KMR12" s="1336"/>
      <c r="KMS12" s="1336"/>
      <c r="KMT12" s="1336"/>
      <c r="KMU12" s="1337"/>
      <c r="KMV12" s="1337"/>
      <c r="KMW12" s="1337"/>
      <c r="KMX12" s="1337"/>
      <c r="KMY12" s="1337"/>
      <c r="KMZ12" s="1338"/>
      <c r="KNA12" s="1339"/>
      <c r="KNB12" s="1340"/>
      <c r="KNC12" s="1340"/>
      <c r="KND12" s="1340"/>
      <c r="KNE12" s="1341"/>
      <c r="KNF12" s="1342"/>
      <c r="KNG12" s="1336"/>
      <c r="KNH12" s="1336"/>
      <c r="KNI12" s="1336"/>
      <c r="KNJ12" s="1336"/>
      <c r="KNK12" s="1337"/>
      <c r="KNL12" s="1337"/>
      <c r="KNM12" s="1337"/>
      <c r="KNN12" s="1337"/>
      <c r="KNO12" s="1337"/>
      <c r="KNP12" s="1338"/>
      <c r="KNQ12" s="1339"/>
      <c r="KNR12" s="1340"/>
      <c r="KNS12" s="1340"/>
      <c r="KNT12" s="1340"/>
      <c r="KNU12" s="1341"/>
      <c r="KNV12" s="1342"/>
      <c r="KNW12" s="1336"/>
      <c r="KNX12" s="1336"/>
      <c r="KNY12" s="1336"/>
      <c r="KNZ12" s="1336"/>
      <c r="KOA12" s="1337"/>
      <c r="KOB12" s="1337"/>
      <c r="KOC12" s="1337"/>
      <c r="KOD12" s="1337"/>
      <c r="KOE12" s="1337"/>
      <c r="KOF12" s="1338"/>
      <c r="KOG12" s="1339"/>
      <c r="KOH12" s="1340"/>
      <c r="KOI12" s="1340"/>
      <c r="KOJ12" s="1340"/>
      <c r="KOK12" s="1341"/>
      <c r="KOL12" s="1342"/>
      <c r="KOM12" s="1336"/>
      <c r="KON12" s="1336"/>
      <c r="KOO12" s="1336"/>
      <c r="KOP12" s="1336"/>
      <c r="KOQ12" s="1337"/>
      <c r="KOR12" s="1337"/>
      <c r="KOS12" s="1337"/>
      <c r="KOT12" s="1337"/>
      <c r="KOU12" s="1337"/>
      <c r="KOV12" s="1338"/>
      <c r="KOW12" s="1339"/>
      <c r="KOX12" s="1340"/>
      <c r="KOY12" s="1340"/>
      <c r="KOZ12" s="1340"/>
      <c r="KPA12" s="1341"/>
      <c r="KPB12" s="1342"/>
      <c r="KPC12" s="1336"/>
      <c r="KPD12" s="1336"/>
      <c r="KPE12" s="1336"/>
      <c r="KPF12" s="1336"/>
      <c r="KPG12" s="1337"/>
      <c r="KPH12" s="1337"/>
      <c r="KPI12" s="1337"/>
      <c r="KPJ12" s="1337"/>
      <c r="KPK12" s="1337"/>
      <c r="KPL12" s="1338"/>
      <c r="KPM12" s="1339"/>
      <c r="KPN12" s="1340"/>
      <c r="KPO12" s="1340"/>
      <c r="KPP12" s="1340"/>
      <c r="KPQ12" s="1341"/>
      <c r="KPR12" s="1342"/>
      <c r="KPS12" s="1336"/>
      <c r="KPT12" s="1336"/>
      <c r="KPU12" s="1336"/>
      <c r="KPV12" s="1336"/>
      <c r="KPW12" s="1337"/>
      <c r="KPX12" s="1337"/>
      <c r="KPY12" s="1337"/>
      <c r="KPZ12" s="1337"/>
      <c r="KQA12" s="1337"/>
      <c r="KQB12" s="1338"/>
      <c r="KQC12" s="1339"/>
      <c r="KQD12" s="1340"/>
      <c r="KQE12" s="1340"/>
      <c r="KQF12" s="1340"/>
      <c r="KQG12" s="1341"/>
      <c r="KQH12" s="1342"/>
      <c r="KQI12" s="1336"/>
      <c r="KQJ12" s="1336"/>
      <c r="KQK12" s="1336"/>
      <c r="KQL12" s="1336"/>
      <c r="KQM12" s="1337"/>
      <c r="KQN12" s="1337"/>
      <c r="KQO12" s="1337"/>
      <c r="KQP12" s="1337"/>
      <c r="KQQ12" s="1337"/>
      <c r="KQR12" s="1338"/>
      <c r="KQS12" s="1339"/>
      <c r="KQT12" s="1340"/>
      <c r="KQU12" s="1340"/>
      <c r="KQV12" s="1340"/>
      <c r="KQW12" s="1341"/>
      <c r="KQX12" s="1342"/>
      <c r="KQY12" s="1336"/>
      <c r="KQZ12" s="1336"/>
      <c r="KRA12" s="1336"/>
      <c r="KRB12" s="1336"/>
      <c r="KRC12" s="1337"/>
      <c r="KRD12" s="1337"/>
      <c r="KRE12" s="1337"/>
      <c r="KRF12" s="1337"/>
      <c r="KRG12" s="1337"/>
      <c r="KRH12" s="1338"/>
      <c r="KRI12" s="1339"/>
      <c r="KRJ12" s="1340"/>
      <c r="KRK12" s="1340"/>
      <c r="KRL12" s="1340"/>
      <c r="KRM12" s="1341"/>
      <c r="KRN12" s="1342"/>
      <c r="KRO12" s="1336"/>
      <c r="KRP12" s="1336"/>
      <c r="KRQ12" s="1336"/>
      <c r="KRR12" s="1336"/>
      <c r="KRS12" s="1337"/>
      <c r="KRT12" s="1337"/>
      <c r="KRU12" s="1337"/>
      <c r="KRV12" s="1337"/>
      <c r="KRW12" s="1337"/>
      <c r="KRX12" s="1338"/>
      <c r="KRY12" s="1339"/>
      <c r="KRZ12" s="1340"/>
      <c r="KSA12" s="1340"/>
      <c r="KSB12" s="1340"/>
      <c r="KSC12" s="1341"/>
      <c r="KSD12" s="1342"/>
      <c r="KSE12" s="1336"/>
      <c r="KSF12" s="1336"/>
      <c r="KSG12" s="1336"/>
      <c r="KSH12" s="1336"/>
      <c r="KSI12" s="1337"/>
      <c r="KSJ12" s="1337"/>
      <c r="KSK12" s="1337"/>
      <c r="KSL12" s="1337"/>
      <c r="KSM12" s="1337"/>
      <c r="KSN12" s="1338"/>
      <c r="KSO12" s="1339"/>
      <c r="KSP12" s="1340"/>
      <c r="KSQ12" s="1340"/>
      <c r="KSR12" s="1340"/>
      <c r="KSS12" s="1341"/>
      <c r="KST12" s="1342"/>
      <c r="KSU12" s="1336"/>
      <c r="KSV12" s="1336"/>
      <c r="KSW12" s="1336"/>
      <c r="KSX12" s="1336"/>
      <c r="KSY12" s="1337"/>
      <c r="KSZ12" s="1337"/>
      <c r="KTA12" s="1337"/>
      <c r="KTB12" s="1337"/>
      <c r="KTC12" s="1337"/>
      <c r="KTD12" s="1338"/>
      <c r="KTE12" s="1339"/>
      <c r="KTF12" s="1340"/>
      <c r="KTG12" s="1340"/>
      <c r="KTH12" s="1340"/>
      <c r="KTI12" s="1341"/>
      <c r="KTJ12" s="1342"/>
      <c r="KTK12" s="1336"/>
      <c r="KTL12" s="1336"/>
      <c r="KTM12" s="1336"/>
      <c r="KTN12" s="1336"/>
      <c r="KTO12" s="1337"/>
      <c r="KTP12" s="1337"/>
      <c r="KTQ12" s="1337"/>
      <c r="KTR12" s="1337"/>
      <c r="KTS12" s="1337"/>
      <c r="KTT12" s="1338"/>
      <c r="KTU12" s="1339"/>
      <c r="KTV12" s="1340"/>
      <c r="KTW12" s="1340"/>
      <c r="KTX12" s="1340"/>
      <c r="KTY12" s="1341"/>
      <c r="KTZ12" s="1342"/>
      <c r="KUA12" s="1336"/>
      <c r="KUB12" s="1336"/>
      <c r="KUC12" s="1336"/>
      <c r="KUD12" s="1336"/>
      <c r="KUE12" s="1337"/>
      <c r="KUF12" s="1337"/>
      <c r="KUG12" s="1337"/>
      <c r="KUH12" s="1337"/>
      <c r="KUI12" s="1337"/>
      <c r="KUJ12" s="1338"/>
      <c r="KUK12" s="1339"/>
      <c r="KUL12" s="1340"/>
      <c r="KUM12" s="1340"/>
      <c r="KUN12" s="1340"/>
      <c r="KUO12" s="1341"/>
      <c r="KUP12" s="1342"/>
      <c r="KUQ12" s="1336"/>
      <c r="KUR12" s="1336"/>
      <c r="KUS12" s="1336"/>
      <c r="KUT12" s="1336"/>
      <c r="KUU12" s="1337"/>
      <c r="KUV12" s="1337"/>
      <c r="KUW12" s="1337"/>
      <c r="KUX12" s="1337"/>
      <c r="KUY12" s="1337"/>
      <c r="KUZ12" s="1338"/>
      <c r="KVA12" s="1339"/>
      <c r="KVB12" s="1340"/>
      <c r="KVC12" s="1340"/>
      <c r="KVD12" s="1340"/>
      <c r="KVE12" s="1341"/>
      <c r="KVF12" s="1342"/>
      <c r="KVG12" s="1336"/>
      <c r="KVH12" s="1336"/>
      <c r="KVI12" s="1336"/>
      <c r="KVJ12" s="1336"/>
      <c r="KVK12" s="1337"/>
      <c r="KVL12" s="1337"/>
      <c r="KVM12" s="1337"/>
      <c r="KVN12" s="1337"/>
      <c r="KVO12" s="1337"/>
      <c r="KVP12" s="1338"/>
      <c r="KVQ12" s="1339"/>
      <c r="KVR12" s="1340"/>
      <c r="KVS12" s="1340"/>
      <c r="KVT12" s="1340"/>
      <c r="KVU12" s="1341"/>
      <c r="KVV12" s="1342"/>
      <c r="KVW12" s="1336"/>
      <c r="KVX12" s="1336"/>
      <c r="KVY12" s="1336"/>
      <c r="KVZ12" s="1336"/>
      <c r="KWA12" s="1337"/>
      <c r="KWB12" s="1337"/>
      <c r="KWC12" s="1337"/>
      <c r="KWD12" s="1337"/>
      <c r="KWE12" s="1337"/>
      <c r="KWF12" s="1338"/>
      <c r="KWG12" s="1339"/>
      <c r="KWH12" s="1340"/>
      <c r="KWI12" s="1340"/>
      <c r="KWJ12" s="1340"/>
      <c r="KWK12" s="1341"/>
      <c r="KWL12" s="1342"/>
      <c r="KWM12" s="1336"/>
      <c r="KWN12" s="1336"/>
      <c r="KWO12" s="1336"/>
      <c r="KWP12" s="1336"/>
      <c r="KWQ12" s="1337"/>
      <c r="KWR12" s="1337"/>
      <c r="KWS12" s="1337"/>
      <c r="KWT12" s="1337"/>
      <c r="KWU12" s="1337"/>
      <c r="KWV12" s="1338"/>
      <c r="KWW12" s="1339"/>
      <c r="KWX12" s="1340"/>
      <c r="KWY12" s="1340"/>
      <c r="KWZ12" s="1340"/>
      <c r="KXA12" s="1341"/>
      <c r="KXB12" s="1342"/>
      <c r="KXC12" s="1336"/>
      <c r="KXD12" s="1336"/>
      <c r="KXE12" s="1336"/>
      <c r="KXF12" s="1336"/>
      <c r="KXG12" s="1337"/>
      <c r="KXH12" s="1337"/>
      <c r="KXI12" s="1337"/>
      <c r="KXJ12" s="1337"/>
      <c r="KXK12" s="1337"/>
      <c r="KXL12" s="1338"/>
      <c r="KXM12" s="1339"/>
      <c r="KXN12" s="1340"/>
      <c r="KXO12" s="1340"/>
      <c r="KXP12" s="1340"/>
      <c r="KXQ12" s="1341"/>
      <c r="KXR12" s="1342"/>
      <c r="KXS12" s="1336"/>
      <c r="KXT12" s="1336"/>
      <c r="KXU12" s="1336"/>
      <c r="KXV12" s="1336"/>
      <c r="KXW12" s="1337"/>
      <c r="KXX12" s="1337"/>
      <c r="KXY12" s="1337"/>
      <c r="KXZ12" s="1337"/>
      <c r="KYA12" s="1337"/>
      <c r="KYB12" s="1338"/>
      <c r="KYC12" s="1339"/>
      <c r="KYD12" s="1340"/>
      <c r="KYE12" s="1340"/>
      <c r="KYF12" s="1340"/>
      <c r="KYG12" s="1341"/>
      <c r="KYH12" s="1342"/>
      <c r="KYI12" s="1336"/>
      <c r="KYJ12" s="1336"/>
      <c r="KYK12" s="1336"/>
      <c r="KYL12" s="1336"/>
      <c r="KYM12" s="1337"/>
      <c r="KYN12" s="1337"/>
      <c r="KYO12" s="1337"/>
      <c r="KYP12" s="1337"/>
      <c r="KYQ12" s="1337"/>
      <c r="KYR12" s="1338"/>
      <c r="KYS12" s="1339"/>
      <c r="KYT12" s="1340"/>
      <c r="KYU12" s="1340"/>
      <c r="KYV12" s="1340"/>
      <c r="KYW12" s="1341"/>
      <c r="KYX12" s="1342"/>
      <c r="KYY12" s="1336"/>
      <c r="KYZ12" s="1336"/>
      <c r="KZA12" s="1336"/>
      <c r="KZB12" s="1336"/>
      <c r="KZC12" s="1337"/>
      <c r="KZD12" s="1337"/>
      <c r="KZE12" s="1337"/>
      <c r="KZF12" s="1337"/>
      <c r="KZG12" s="1337"/>
      <c r="KZH12" s="1338"/>
      <c r="KZI12" s="1339"/>
      <c r="KZJ12" s="1340"/>
      <c r="KZK12" s="1340"/>
      <c r="KZL12" s="1340"/>
      <c r="KZM12" s="1341"/>
      <c r="KZN12" s="1342"/>
      <c r="KZO12" s="1336"/>
      <c r="KZP12" s="1336"/>
      <c r="KZQ12" s="1336"/>
      <c r="KZR12" s="1336"/>
      <c r="KZS12" s="1337"/>
      <c r="KZT12" s="1337"/>
      <c r="KZU12" s="1337"/>
      <c r="KZV12" s="1337"/>
      <c r="KZW12" s="1337"/>
      <c r="KZX12" s="1338"/>
      <c r="KZY12" s="1339"/>
      <c r="KZZ12" s="1340"/>
      <c r="LAA12" s="1340"/>
      <c r="LAB12" s="1340"/>
      <c r="LAC12" s="1341"/>
      <c r="LAD12" s="1342"/>
      <c r="LAE12" s="1336"/>
      <c r="LAF12" s="1336"/>
      <c r="LAG12" s="1336"/>
      <c r="LAH12" s="1336"/>
      <c r="LAI12" s="1337"/>
      <c r="LAJ12" s="1337"/>
      <c r="LAK12" s="1337"/>
      <c r="LAL12" s="1337"/>
      <c r="LAM12" s="1337"/>
      <c r="LAN12" s="1338"/>
      <c r="LAO12" s="1339"/>
      <c r="LAP12" s="1340"/>
      <c r="LAQ12" s="1340"/>
      <c r="LAR12" s="1340"/>
      <c r="LAS12" s="1341"/>
      <c r="LAT12" s="1342"/>
      <c r="LAU12" s="1336"/>
      <c r="LAV12" s="1336"/>
      <c r="LAW12" s="1336"/>
      <c r="LAX12" s="1336"/>
      <c r="LAY12" s="1337"/>
      <c r="LAZ12" s="1337"/>
      <c r="LBA12" s="1337"/>
      <c r="LBB12" s="1337"/>
      <c r="LBC12" s="1337"/>
      <c r="LBD12" s="1338"/>
      <c r="LBE12" s="1339"/>
      <c r="LBF12" s="1340"/>
      <c r="LBG12" s="1340"/>
      <c r="LBH12" s="1340"/>
      <c r="LBI12" s="1341"/>
      <c r="LBJ12" s="1342"/>
      <c r="LBK12" s="1336"/>
      <c r="LBL12" s="1336"/>
      <c r="LBM12" s="1336"/>
      <c r="LBN12" s="1336"/>
      <c r="LBO12" s="1337"/>
      <c r="LBP12" s="1337"/>
      <c r="LBQ12" s="1337"/>
      <c r="LBR12" s="1337"/>
      <c r="LBS12" s="1337"/>
      <c r="LBT12" s="1338"/>
      <c r="LBU12" s="1339"/>
      <c r="LBV12" s="1340"/>
      <c r="LBW12" s="1340"/>
      <c r="LBX12" s="1340"/>
      <c r="LBY12" s="1341"/>
      <c r="LBZ12" s="1342"/>
      <c r="LCA12" s="1336"/>
      <c r="LCB12" s="1336"/>
      <c r="LCC12" s="1336"/>
      <c r="LCD12" s="1336"/>
      <c r="LCE12" s="1337"/>
      <c r="LCF12" s="1337"/>
      <c r="LCG12" s="1337"/>
      <c r="LCH12" s="1337"/>
      <c r="LCI12" s="1337"/>
      <c r="LCJ12" s="1338"/>
      <c r="LCK12" s="1339"/>
      <c r="LCL12" s="1340"/>
      <c r="LCM12" s="1340"/>
      <c r="LCN12" s="1340"/>
      <c r="LCO12" s="1341"/>
      <c r="LCP12" s="1342"/>
      <c r="LCQ12" s="1336"/>
      <c r="LCR12" s="1336"/>
      <c r="LCS12" s="1336"/>
      <c r="LCT12" s="1336"/>
      <c r="LCU12" s="1337"/>
      <c r="LCV12" s="1337"/>
      <c r="LCW12" s="1337"/>
      <c r="LCX12" s="1337"/>
      <c r="LCY12" s="1337"/>
      <c r="LCZ12" s="1338"/>
      <c r="LDA12" s="1339"/>
      <c r="LDB12" s="1340"/>
      <c r="LDC12" s="1340"/>
      <c r="LDD12" s="1340"/>
      <c r="LDE12" s="1341"/>
      <c r="LDF12" s="1342"/>
      <c r="LDG12" s="1336"/>
      <c r="LDH12" s="1336"/>
      <c r="LDI12" s="1336"/>
      <c r="LDJ12" s="1336"/>
      <c r="LDK12" s="1337"/>
      <c r="LDL12" s="1337"/>
      <c r="LDM12" s="1337"/>
      <c r="LDN12" s="1337"/>
      <c r="LDO12" s="1337"/>
      <c r="LDP12" s="1338"/>
      <c r="LDQ12" s="1339"/>
      <c r="LDR12" s="1340"/>
      <c r="LDS12" s="1340"/>
      <c r="LDT12" s="1340"/>
      <c r="LDU12" s="1341"/>
      <c r="LDV12" s="1342"/>
      <c r="LDW12" s="1336"/>
      <c r="LDX12" s="1336"/>
      <c r="LDY12" s="1336"/>
      <c r="LDZ12" s="1336"/>
      <c r="LEA12" s="1337"/>
      <c r="LEB12" s="1337"/>
      <c r="LEC12" s="1337"/>
      <c r="LED12" s="1337"/>
      <c r="LEE12" s="1337"/>
      <c r="LEF12" s="1338"/>
      <c r="LEG12" s="1339"/>
      <c r="LEH12" s="1340"/>
      <c r="LEI12" s="1340"/>
      <c r="LEJ12" s="1340"/>
      <c r="LEK12" s="1341"/>
      <c r="LEL12" s="1342"/>
      <c r="LEM12" s="1336"/>
      <c r="LEN12" s="1336"/>
      <c r="LEO12" s="1336"/>
      <c r="LEP12" s="1336"/>
      <c r="LEQ12" s="1337"/>
      <c r="LER12" s="1337"/>
      <c r="LES12" s="1337"/>
      <c r="LET12" s="1337"/>
      <c r="LEU12" s="1337"/>
      <c r="LEV12" s="1338"/>
      <c r="LEW12" s="1339"/>
      <c r="LEX12" s="1340"/>
      <c r="LEY12" s="1340"/>
      <c r="LEZ12" s="1340"/>
      <c r="LFA12" s="1341"/>
      <c r="LFB12" s="1342"/>
      <c r="LFC12" s="1336"/>
      <c r="LFD12" s="1336"/>
      <c r="LFE12" s="1336"/>
      <c r="LFF12" s="1336"/>
      <c r="LFG12" s="1337"/>
      <c r="LFH12" s="1337"/>
      <c r="LFI12" s="1337"/>
      <c r="LFJ12" s="1337"/>
      <c r="LFK12" s="1337"/>
      <c r="LFL12" s="1338"/>
      <c r="LFM12" s="1339"/>
      <c r="LFN12" s="1340"/>
      <c r="LFO12" s="1340"/>
      <c r="LFP12" s="1340"/>
      <c r="LFQ12" s="1341"/>
      <c r="LFR12" s="1342"/>
      <c r="LFS12" s="1336"/>
      <c r="LFT12" s="1336"/>
      <c r="LFU12" s="1336"/>
      <c r="LFV12" s="1336"/>
      <c r="LFW12" s="1337"/>
      <c r="LFX12" s="1337"/>
      <c r="LFY12" s="1337"/>
      <c r="LFZ12" s="1337"/>
      <c r="LGA12" s="1337"/>
      <c r="LGB12" s="1338"/>
      <c r="LGC12" s="1339"/>
      <c r="LGD12" s="1340"/>
      <c r="LGE12" s="1340"/>
      <c r="LGF12" s="1340"/>
      <c r="LGG12" s="1341"/>
      <c r="LGH12" s="1342"/>
      <c r="LGI12" s="1336"/>
      <c r="LGJ12" s="1336"/>
      <c r="LGK12" s="1336"/>
      <c r="LGL12" s="1336"/>
      <c r="LGM12" s="1337"/>
      <c r="LGN12" s="1337"/>
      <c r="LGO12" s="1337"/>
      <c r="LGP12" s="1337"/>
      <c r="LGQ12" s="1337"/>
      <c r="LGR12" s="1338"/>
      <c r="LGS12" s="1339"/>
      <c r="LGT12" s="1340"/>
      <c r="LGU12" s="1340"/>
      <c r="LGV12" s="1340"/>
      <c r="LGW12" s="1341"/>
      <c r="LGX12" s="1342"/>
      <c r="LGY12" s="1336"/>
      <c r="LGZ12" s="1336"/>
      <c r="LHA12" s="1336"/>
      <c r="LHB12" s="1336"/>
      <c r="LHC12" s="1337"/>
      <c r="LHD12" s="1337"/>
      <c r="LHE12" s="1337"/>
      <c r="LHF12" s="1337"/>
      <c r="LHG12" s="1337"/>
      <c r="LHH12" s="1338"/>
      <c r="LHI12" s="1339"/>
      <c r="LHJ12" s="1340"/>
      <c r="LHK12" s="1340"/>
      <c r="LHL12" s="1340"/>
      <c r="LHM12" s="1341"/>
      <c r="LHN12" s="1342"/>
      <c r="LHO12" s="1336"/>
      <c r="LHP12" s="1336"/>
      <c r="LHQ12" s="1336"/>
      <c r="LHR12" s="1336"/>
      <c r="LHS12" s="1337"/>
      <c r="LHT12" s="1337"/>
      <c r="LHU12" s="1337"/>
      <c r="LHV12" s="1337"/>
      <c r="LHW12" s="1337"/>
      <c r="LHX12" s="1338"/>
      <c r="LHY12" s="1339"/>
      <c r="LHZ12" s="1340"/>
      <c r="LIA12" s="1340"/>
      <c r="LIB12" s="1340"/>
      <c r="LIC12" s="1341"/>
      <c r="LID12" s="1342"/>
      <c r="LIE12" s="1336"/>
      <c r="LIF12" s="1336"/>
      <c r="LIG12" s="1336"/>
      <c r="LIH12" s="1336"/>
      <c r="LII12" s="1337"/>
      <c r="LIJ12" s="1337"/>
      <c r="LIK12" s="1337"/>
      <c r="LIL12" s="1337"/>
      <c r="LIM12" s="1337"/>
      <c r="LIN12" s="1338"/>
      <c r="LIO12" s="1339"/>
      <c r="LIP12" s="1340"/>
      <c r="LIQ12" s="1340"/>
      <c r="LIR12" s="1340"/>
      <c r="LIS12" s="1341"/>
      <c r="LIT12" s="1342"/>
      <c r="LIU12" s="1336"/>
      <c r="LIV12" s="1336"/>
      <c r="LIW12" s="1336"/>
      <c r="LIX12" s="1336"/>
      <c r="LIY12" s="1337"/>
      <c r="LIZ12" s="1337"/>
      <c r="LJA12" s="1337"/>
      <c r="LJB12" s="1337"/>
      <c r="LJC12" s="1337"/>
      <c r="LJD12" s="1338"/>
      <c r="LJE12" s="1339"/>
      <c r="LJF12" s="1340"/>
      <c r="LJG12" s="1340"/>
      <c r="LJH12" s="1340"/>
      <c r="LJI12" s="1341"/>
      <c r="LJJ12" s="1342"/>
      <c r="LJK12" s="1336"/>
      <c r="LJL12" s="1336"/>
      <c r="LJM12" s="1336"/>
      <c r="LJN12" s="1336"/>
      <c r="LJO12" s="1337"/>
      <c r="LJP12" s="1337"/>
      <c r="LJQ12" s="1337"/>
      <c r="LJR12" s="1337"/>
      <c r="LJS12" s="1337"/>
      <c r="LJT12" s="1338"/>
      <c r="LJU12" s="1339"/>
      <c r="LJV12" s="1340"/>
      <c r="LJW12" s="1340"/>
      <c r="LJX12" s="1340"/>
      <c r="LJY12" s="1341"/>
      <c r="LJZ12" s="1342"/>
      <c r="LKA12" s="1336"/>
      <c r="LKB12" s="1336"/>
      <c r="LKC12" s="1336"/>
      <c r="LKD12" s="1336"/>
      <c r="LKE12" s="1337"/>
      <c r="LKF12" s="1337"/>
      <c r="LKG12" s="1337"/>
      <c r="LKH12" s="1337"/>
      <c r="LKI12" s="1337"/>
      <c r="LKJ12" s="1338"/>
      <c r="LKK12" s="1339"/>
      <c r="LKL12" s="1340"/>
      <c r="LKM12" s="1340"/>
      <c r="LKN12" s="1340"/>
      <c r="LKO12" s="1341"/>
      <c r="LKP12" s="1342"/>
      <c r="LKQ12" s="1336"/>
      <c r="LKR12" s="1336"/>
      <c r="LKS12" s="1336"/>
      <c r="LKT12" s="1336"/>
      <c r="LKU12" s="1337"/>
      <c r="LKV12" s="1337"/>
      <c r="LKW12" s="1337"/>
      <c r="LKX12" s="1337"/>
      <c r="LKY12" s="1337"/>
      <c r="LKZ12" s="1338"/>
      <c r="LLA12" s="1339"/>
      <c r="LLB12" s="1340"/>
      <c r="LLC12" s="1340"/>
      <c r="LLD12" s="1340"/>
      <c r="LLE12" s="1341"/>
      <c r="LLF12" s="1342"/>
      <c r="LLG12" s="1336"/>
      <c r="LLH12" s="1336"/>
      <c r="LLI12" s="1336"/>
      <c r="LLJ12" s="1336"/>
      <c r="LLK12" s="1337"/>
      <c r="LLL12" s="1337"/>
      <c r="LLM12" s="1337"/>
      <c r="LLN12" s="1337"/>
      <c r="LLO12" s="1337"/>
      <c r="LLP12" s="1338"/>
      <c r="LLQ12" s="1339"/>
      <c r="LLR12" s="1340"/>
      <c r="LLS12" s="1340"/>
      <c r="LLT12" s="1340"/>
      <c r="LLU12" s="1341"/>
      <c r="LLV12" s="1342"/>
      <c r="LLW12" s="1336"/>
      <c r="LLX12" s="1336"/>
      <c r="LLY12" s="1336"/>
      <c r="LLZ12" s="1336"/>
      <c r="LMA12" s="1337"/>
      <c r="LMB12" s="1337"/>
      <c r="LMC12" s="1337"/>
      <c r="LMD12" s="1337"/>
      <c r="LME12" s="1337"/>
      <c r="LMF12" s="1338"/>
      <c r="LMG12" s="1339"/>
      <c r="LMH12" s="1340"/>
      <c r="LMI12" s="1340"/>
      <c r="LMJ12" s="1340"/>
      <c r="LMK12" s="1341"/>
      <c r="LML12" s="1342"/>
      <c r="LMM12" s="1336"/>
      <c r="LMN12" s="1336"/>
      <c r="LMO12" s="1336"/>
      <c r="LMP12" s="1336"/>
      <c r="LMQ12" s="1337"/>
      <c r="LMR12" s="1337"/>
      <c r="LMS12" s="1337"/>
      <c r="LMT12" s="1337"/>
      <c r="LMU12" s="1337"/>
      <c r="LMV12" s="1338"/>
      <c r="LMW12" s="1339"/>
      <c r="LMX12" s="1340"/>
      <c r="LMY12" s="1340"/>
      <c r="LMZ12" s="1340"/>
      <c r="LNA12" s="1341"/>
      <c r="LNB12" s="1342"/>
      <c r="LNC12" s="1336"/>
      <c r="LND12" s="1336"/>
      <c r="LNE12" s="1336"/>
      <c r="LNF12" s="1336"/>
      <c r="LNG12" s="1337"/>
      <c r="LNH12" s="1337"/>
      <c r="LNI12" s="1337"/>
      <c r="LNJ12" s="1337"/>
      <c r="LNK12" s="1337"/>
      <c r="LNL12" s="1338"/>
      <c r="LNM12" s="1339"/>
      <c r="LNN12" s="1340"/>
      <c r="LNO12" s="1340"/>
      <c r="LNP12" s="1340"/>
      <c r="LNQ12" s="1341"/>
      <c r="LNR12" s="1342"/>
      <c r="LNS12" s="1336"/>
      <c r="LNT12" s="1336"/>
      <c r="LNU12" s="1336"/>
      <c r="LNV12" s="1336"/>
      <c r="LNW12" s="1337"/>
      <c r="LNX12" s="1337"/>
      <c r="LNY12" s="1337"/>
      <c r="LNZ12" s="1337"/>
      <c r="LOA12" s="1337"/>
      <c r="LOB12" s="1338"/>
      <c r="LOC12" s="1339"/>
      <c r="LOD12" s="1340"/>
      <c r="LOE12" s="1340"/>
      <c r="LOF12" s="1340"/>
      <c r="LOG12" s="1341"/>
      <c r="LOH12" s="1342"/>
      <c r="LOI12" s="1336"/>
      <c r="LOJ12" s="1336"/>
      <c r="LOK12" s="1336"/>
      <c r="LOL12" s="1336"/>
      <c r="LOM12" s="1337"/>
      <c r="LON12" s="1337"/>
      <c r="LOO12" s="1337"/>
      <c r="LOP12" s="1337"/>
      <c r="LOQ12" s="1337"/>
      <c r="LOR12" s="1338"/>
      <c r="LOS12" s="1339"/>
      <c r="LOT12" s="1340"/>
      <c r="LOU12" s="1340"/>
      <c r="LOV12" s="1340"/>
      <c r="LOW12" s="1341"/>
      <c r="LOX12" s="1342"/>
      <c r="LOY12" s="1336"/>
      <c r="LOZ12" s="1336"/>
      <c r="LPA12" s="1336"/>
      <c r="LPB12" s="1336"/>
      <c r="LPC12" s="1337"/>
      <c r="LPD12" s="1337"/>
      <c r="LPE12" s="1337"/>
      <c r="LPF12" s="1337"/>
      <c r="LPG12" s="1337"/>
      <c r="LPH12" s="1338"/>
      <c r="LPI12" s="1339"/>
      <c r="LPJ12" s="1340"/>
      <c r="LPK12" s="1340"/>
      <c r="LPL12" s="1340"/>
      <c r="LPM12" s="1341"/>
      <c r="LPN12" s="1342"/>
      <c r="LPO12" s="1336"/>
      <c r="LPP12" s="1336"/>
      <c r="LPQ12" s="1336"/>
      <c r="LPR12" s="1336"/>
      <c r="LPS12" s="1337"/>
      <c r="LPT12" s="1337"/>
      <c r="LPU12" s="1337"/>
      <c r="LPV12" s="1337"/>
      <c r="LPW12" s="1337"/>
      <c r="LPX12" s="1338"/>
      <c r="LPY12" s="1339"/>
      <c r="LPZ12" s="1340"/>
      <c r="LQA12" s="1340"/>
      <c r="LQB12" s="1340"/>
      <c r="LQC12" s="1341"/>
      <c r="LQD12" s="1342"/>
      <c r="LQE12" s="1336"/>
      <c r="LQF12" s="1336"/>
      <c r="LQG12" s="1336"/>
      <c r="LQH12" s="1336"/>
      <c r="LQI12" s="1337"/>
      <c r="LQJ12" s="1337"/>
      <c r="LQK12" s="1337"/>
      <c r="LQL12" s="1337"/>
      <c r="LQM12" s="1337"/>
      <c r="LQN12" s="1338"/>
      <c r="LQO12" s="1339"/>
      <c r="LQP12" s="1340"/>
      <c r="LQQ12" s="1340"/>
      <c r="LQR12" s="1340"/>
      <c r="LQS12" s="1341"/>
      <c r="LQT12" s="1342"/>
      <c r="LQU12" s="1336"/>
      <c r="LQV12" s="1336"/>
      <c r="LQW12" s="1336"/>
      <c r="LQX12" s="1336"/>
      <c r="LQY12" s="1337"/>
      <c r="LQZ12" s="1337"/>
      <c r="LRA12" s="1337"/>
      <c r="LRB12" s="1337"/>
      <c r="LRC12" s="1337"/>
      <c r="LRD12" s="1338"/>
      <c r="LRE12" s="1339"/>
      <c r="LRF12" s="1340"/>
      <c r="LRG12" s="1340"/>
      <c r="LRH12" s="1340"/>
      <c r="LRI12" s="1341"/>
      <c r="LRJ12" s="1342"/>
      <c r="LRK12" s="1336"/>
      <c r="LRL12" s="1336"/>
      <c r="LRM12" s="1336"/>
      <c r="LRN12" s="1336"/>
      <c r="LRO12" s="1337"/>
      <c r="LRP12" s="1337"/>
      <c r="LRQ12" s="1337"/>
      <c r="LRR12" s="1337"/>
      <c r="LRS12" s="1337"/>
      <c r="LRT12" s="1338"/>
      <c r="LRU12" s="1339"/>
      <c r="LRV12" s="1340"/>
      <c r="LRW12" s="1340"/>
      <c r="LRX12" s="1340"/>
      <c r="LRY12" s="1341"/>
      <c r="LRZ12" s="1342"/>
      <c r="LSA12" s="1336"/>
      <c r="LSB12" s="1336"/>
      <c r="LSC12" s="1336"/>
      <c r="LSD12" s="1336"/>
      <c r="LSE12" s="1337"/>
      <c r="LSF12" s="1337"/>
      <c r="LSG12" s="1337"/>
      <c r="LSH12" s="1337"/>
      <c r="LSI12" s="1337"/>
      <c r="LSJ12" s="1338"/>
      <c r="LSK12" s="1339"/>
      <c r="LSL12" s="1340"/>
      <c r="LSM12" s="1340"/>
      <c r="LSN12" s="1340"/>
      <c r="LSO12" s="1341"/>
      <c r="LSP12" s="1342"/>
      <c r="LSQ12" s="1336"/>
      <c r="LSR12" s="1336"/>
      <c r="LSS12" s="1336"/>
      <c r="LST12" s="1336"/>
      <c r="LSU12" s="1337"/>
      <c r="LSV12" s="1337"/>
      <c r="LSW12" s="1337"/>
      <c r="LSX12" s="1337"/>
      <c r="LSY12" s="1337"/>
      <c r="LSZ12" s="1338"/>
      <c r="LTA12" s="1339"/>
      <c r="LTB12" s="1340"/>
      <c r="LTC12" s="1340"/>
      <c r="LTD12" s="1340"/>
      <c r="LTE12" s="1341"/>
      <c r="LTF12" s="1342"/>
      <c r="LTG12" s="1336"/>
      <c r="LTH12" s="1336"/>
      <c r="LTI12" s="1336"/>
      <c r="LTJ12" s="1336"/>
      <c r="LTK12" s="1337"/>
      <c r="LTL12" s="1337"/>
      <c r="LTM12" s="1337"/>
      <c r="LTN12" s="1337"/>
      <c r="LTO12" s="1337"/>
      <c r="LTP12" s="1338"/>
      <c r="LTQ12" s="1339"/>
      <c r="LTR12" s="1340"/>
      <c r="LTS12" s="1340"/>
      <c r="LTT12" s="1340"/>
      <c r="LTU12" s="1341"/>
      <c r="LTV12" s="1342"/>
      <c r="LTW12" s="1336"/>
      <c r="LTX12" s="1336"/>
      <c r="LTY12" s="1336"/>
      <c r="LTZ12" s="1336"/>
      <c r="LUA12" s="1337"/>
      <c r="LUB12" s="1337"/>
      <c r="LUC12" s="1337"/>
      <c r="LUD12" s="1337"/>
      <c r="LUE12" s="1337"/>
      <c r="LUF12" s="1338"/>
      <c r="LUG12" s="1339"/>
      <c r="LUH12" s="1340"/>
      <c r="LUI12" s="1340"/>
      <c r="LUJ12" s="1340"/>
      <c r="LUK12" s="1341"/>
      <c r="LUL12" s="1342"/>
      <c r="LUM12" s="1336"/>
      <c r="LUN12" s="1336"/>
      <c r="LUO12" s="1336"/>
      <c r="LUP12" s="1336"/>
      <c r="LUQ12" s="1337"/>
      <c r="LUR12" s="1337"/>
      <c r="LUS12" s="1337"/>
      <c r="LUT12" s="1337"/>
      <c r="LUU12" s="1337"/>
      <c r="LUV12" s="1338"/>
      <c r="LUW12" s="1339"/>
      <c r="LUX12" s="1340"/>
      <c r="LUY12" s="1340"/>
      <c r="LUZ12" s="1340"/>
      <c r="LVA12" s="1341"/>
      <c r="LVB12" s="1342"/>
      <c r="LVC12" s="1336"/>
      <c r="LVD12" s="1336"/>
      <c r="LVE12" s="1336"/>
      <c r="LVF12" s="1336"/>
      <c r="LVG12" s="1337"/>
      <c r="LVH12" s="1337"/>
      <c r="LVI12" s="1337"/>
      <c r="LVJ12" s="1337"/>
      <c r="LVK12" s="1337"/>
      <c r="LVL12" s="1338"/>
      <c r="LVM12" s="1339"/>
      <c r="LVN12" s="1340"/>
      <c r="LVO12" s="1340"/>
      <c r="LVP12" s="1340"/>
      <c r="LVQ12" s="1341"/>
      <c r="LVR12" s="1342"/>
      <c r="LVS12" s="1336"/>
      <c r="LVT12" s="1336"/>
      <c r="LVU12" s="1336"/>
      <c r="LVV12" s="1336"/>
      <c r="LVW12" s="1337"/>
      <c r="LVX12" s="1337"/>
      <c r="LVY12" s="1337"/>
      <c r="LVZ12" s="1337"/>
      <c r="LWA12" s="1337"/>
      <c r="LWB12" s="1338"/>
      <c r="LWC12" s="1339"/>
      <c r="LWD12" s="1340"/>
      <c r="LWE12" s="1340"/>
      <c r="LWF12" s="1340"/>
      <c r="LWG12" s="1341"/>
      <c r="LWH12" s="1342"/>
      <c r="LWI12" s="1336"/>
      <c r="LWJ12" s="1336"/>
      <c r="LWK12" s="1336"/>
      <c r="LWL12" s="1336"/>
      <c r="LWM12" s="1337"/>
      <c r="LWN12" s="1337"/>
      <c r="LWO12" s="1337"/>
      <c r="LWP12" s="1337"/>
      <c r="LWQ12" s="1337"/>
      <c r="LWR12" s="1338"/>
      <c r="LWS12" s="1339"/>
      <c r="LWT12" s="1340"/>
      <c r="LWU12" s="1340"/>
      <c r="LWV12" s="1340"/>
      <c r="LWW12" s="1341"/>
      <c r="LWX12" s="1342"/>
      <c r="LWY12" s="1336"/>
      <c r="LWZ12" s="1336"/>
      <c r="LXA12" s="1336"/>
      <c r="LXB12" s="1336"/>
      <c r="LXC12" s="1337"/>
      <c r="LXD12" s="1337"/>
      <c r="LXE12" s="1337"/>
      <c r="LXF12" s="1337"/>
      <c r="LXG12" s="1337"/>
      <c r="LXH12" s="1338"/>
      <c r="LXI12" s="1339"/>
      <c r="LXJ12" s="1340"/>
      <c r="LXK12" s="1340"/>
      <c r="LXL12" s="1340"/>
      <c r="LXM12" s="1341"/>
      <c r="LXN12" s="1342"/>
      <c r="LXO12" s="1336"/>
      <c r="LXP12" s="1336"/>
      <c r="LXQ12" s="1336"/>
      <c r="LXR12" s="1336"/>
      <c r="LXS12" s="1337"/>
      <c r="LXT12" s="1337"/>
      <c r="LXU12" s="1337"/>
      <c r="LXV12" s="1337"/>
      <c r="LXW12" s="1337"/>
      <c r="LXX12" s="1338"/>
      <c r="LXY12" s="1339"/>
      <c r="LXZ12" s="1340"/>
      <c r="LYA12" s="1340"/>
      <c r="LYB12" s="1340"/>
      <c r="LYC12" s="1341"/>
      <c r="LYD12" s="1342"/>
      <c r="LYE12" s="1336"/>
      <c r="LYF12" s="1336"/>
      <c r="LYG12" s="1336"/>
      <c r="LYH12" s="1336"/>
      <c r="LYI12" s="1337"/>
      <c r="LYJ12" s="1337"/>
      <c r="LYK12" s="1337"/>
      <c r="LYL12" s="1337"/>
      <c r="LYM12" s="1337"/>
      <c r="LYN12" s="1338"/>
      <c r="LYO12" s="1339"/>
      <c r="LYP12" s="1340"/>
      <c r="LYQ12" s="1340"/>
      <c r="LYR12" s="1340"/>
      <c r="LYS12" s="1341"/>
      <c r="LYT12" s="1342"/>
      <c r="LYU12" s="1336"/>
      <c r="LYV12" s="1336"/>
      <c r="LYW12" s="1336"/>
      <c r="LYX12" s="1336"/>
      <c r="LYY12" s="1337"/>
      <c r="LYZ12" s="1337"/>
      <c r="LZA12" s="1337"/>
      <c r="LZB12" s="1337"/>
      <c r="LZC12" s="1337"/>
      <c r="LZD12" s="1338"/>
      <c r="LZE12" s="1339"/>
      <c r="LZF12" s="1340"/>
      <c r="LZG12" s="1340"/>
      <c r="LZH12" s="1340"/>
      <c r="LZI12" s="1341"/>
      <c r="LZJ12" s="1342"/>
      <c r="LZK12" s="1336"/>
      <c r="LZL12" s="1336"/>
      <c r="LZM12" s="1336"/>
      <c r="LZN12" s="1336"/>
      <c r="LZO12" s="1337"/>
      <c r="LZP12" s="1337"/>
      <c r="LZQ12" s="1337"/>
      <c r="LZR12" s="1337"/>
      <c r="LZS12" s="1337"/>
      <c r="LZT12" s="1338"/>
      <c r="LZU12" s="1339"/>
      <c r="LZV12" s="1340"/>
      <c r="LZW12" s="1340"/>
      <c r="LZX12" s="1340"/>
      <c r="LZY12" s="1341"/>
      <c r="LZZ12" s="1342"/>
      <c r="MAA12" s="1336"/>
      <c r="MAB12" s="1336"/>
      <c r="MAC12" s="1336"/>
      <c r="MAD12" s="1336"/>
      <c r="MAE12" s="1337"/>
      <c r="MAF12" s="1337"/>
      <c r="MAG12" s="1337"/>
      <c r="MAH12" s="1337"/>
      <c r="MAI12" s="1337"/>
      <c r="MAJ12" s="1338"/>
      <c r="MAK12" s="1339"/>
      <c r="MAL12" s="1340"/>
      <c r="MAM12" s="1340"/>
      <c r="MAN12" s="1340"/>
      <c r="MAO12" s="1341"/>
      <c r="MAP12" s="1342"/>
      <c r="MAQ12" s="1336"/>
      <c r="MAR12" s="1336"/>
      <c r="MAS12" s="1336"/>
      <c r="MAT12" s="1336"/>
      <c r="MAU12" s="1337"/>
      <c r="MAV12" s="1337"/>
      <c r="MAW12" s="1337"/>
      <c r="MAX12" s="1337"/>
      <c r="MAY12" s="1337"/>
      <c r="MAZ12" s="1338"/>
      <c r="MBA12" s="1339"/>
      <c r="MBB12" s="1340"/>
      <c r="MBC12" s="1340"/>
      <c r="MBD12" s="1340"/>
      <c r="MBE12" s="1341"/>
      <c r="MBF12" s="1342"/>
      <c r="MBG12" s="1336"/>
      <c r="MBH12" s="1336"/>
      <c r="MBI12" s="1336"/>
      <c r="MBJ12" s="1336"/>
      <c r="MBK12" s="1337"/>
      <c r="MBL12" s="1337"/>
      <c r="MBM12" s="1337"/>
      <c r="MBN12" s="1337"/>
      <c r="MBO12" s="1337"/>
      <c r="MBP12" s="1338"/>
      <c r="MBQ12" s="1339"/>
      <c r="MBR12" s="1340"/>
      <c r="MBS12" s="1340"/>
      <c r="MBT12" s="1340"/>
      <c r="MBU12" s="1341"/>
      <c r="MBV12" s="1342"/>
      <c r="MBW12" s="1336"/>
      <c r="MBX12" s="1336"/>
      <c r="MBY12" s="1336"/>
      <c r="MBZ12" s="1336"/>
      <c r="MCA12" s="1337"/>
      <c r="MCB12" s="1337"/>
      <c r="MCC12" s="1337"/>
      <c r="MCD12" s="1337"/>
      <c r="MCE12" s="1337"/>
      <c r="MCF12" s="1338"/>
      <c r="MCG12" s="1339"/>
      <c r="MCH12" s="1340"/>
      <c r="MCI12" s="1340"/>
      <c r="MCJ12" s="1340"/>
      <c r="MCK12" s="1341"/>
      <c r="MCL12" s="1342"/>
      <c r="MCM12" s="1336"/>
      <c r="MCN12" s="1336"/>
      <c r="MCO12" s="1336"/>
      <c r="MCP12" s="1336"/>
      <c r="MCQ12" s="1337"/>
      <c r="MCR12" s="1337"/>
      <c r="MCS12" s="1337"/>
      <c r="MCT12" s="1337"/>
      <c r="MCU12" s="1337"/>
      <c r="MCV12" s="1338"/>
      <c r="MCW12" s="1339"/>
      <c r="MCX12" s="1340"/>
      <c r="MCY12" s="1340"/>
      <c r="MCZ12" s="1340"/>
      <c r="MDA12" s="1341"/>
      <c r="MDB12" s="1342"/>
      <c r="MDC12" s="1336"/>
      <c r="MDD12" s="1336"/>
      <c r="MDE12" s="1336"/>
      <c r="MDF12" s="1336"/>
      <c r="MDG12" s="1337"/>
      <c r="MDH12" s="1337"/>
      <c r="MDI12" s="1337"/>
      <c r="MDJ12" s="1337"/>
      <c r="MDK12" s="1337"/>
      <c r="MDL12" s="1338"/>
      <c r="MDM12" s="1339"/>
      <c r="MDN12" s="1340"/>
      <c r="MDO12" s="1340"/>
      <c r="MDP12" s="1340"/>
      <c r="MDQ12" s="1341"/>
      <c r="MDR12" s="1342"/>
      <c r="MDS12" s="1336"/>
      <c r="MDT12" s="1336"/>
      <c r="MDU12" s="1336"/>
      <c r="MDV12" s="1336"/>
      <c r="MDW12" s="1337"/>
      <c r="MDX12" s="1337"/>
      <c r="MDY12" s="1337"/>
      <c r="MDZ12" s="1337"/>
      <c r="MEA12" s="1337"/>
      <c r="MEB12" s="1338"/>
      <c r="MEC12" s="1339"/>
      <c r="MED12" s="1340"/>
      <c r="MEE12" s="1340"/>
      <c r="MEF12" s="1340"/>
      <c r="MEG12" s="1341"/>
      <c r="MEH12" s="1342"/>
      <c r="MEI12" s="1336"/>
      <c r="MEJ12" s="1336"/>
      <c r="MEK12" s="1336"/>
      <c r="MEL12" s="1336"/>
      <c r="MEM12" s="1337"/>
      <c r="MEN12" s="1337"/>
      <c r="MEO12" s="1337"/>
      <c r="MEP12" s="1337"/>
      <c r="MEQ12" s="1337"/>
      <c r="MER12" s="1338"/>
      <c r="MES12" s="1339"/>
      <c r="MET12" s="1340"/>
      <c r="MEU12" s="1340"/>
      <c r="MEV12" s="1340"/>
      <c r="MEW12" s="1341"/>
      <c r="MEX12" s="1342"/>
      <c r="MEY12" s="1336"/>
      <c r="MEZ12" s="1336"/>
      <c r="MFA12" s="1336"/>
      <c r="MFB12" s="1336"/>
      <c r="MFC12" s="1337"/>
      <c r="MFD12" s="1337"/>
      <c r="MFE12" s="1337"/>
      <c r="MFF12" s="1337"/>
      <c r="MFG12" s="1337"/>
      <c r="MFH12" s="1338"/>
      <c r="MFI12" s="1339"/>
      <c r="MFJ12" s="1340"/>
      <c r="MFK12" s="1340"/>
      <c r="MFL12" s="1340"/>
      <c r="MFM12" s="1341"/>
      <c r="MFN12" s="1342"/>
      <c r="MFO12" s="1336"/>
      <c r="MFP12" s="1336"/>
      <c r="MFQ12" s="1336"/>
      <c r="MFR12" s="1336"/>
      <c r="MFS12" s="1337"/>
      <c r="MFT12" s="1337"/>
      <c r="MFU12" s="1337"/>
      <c r="MFV12" s="1337"/>
      <c r="MFW12" s="1337"/>
      <c r="MFX12" s="1338"/>
      <c r="MFY12" s="1339"/>
      <c r="MFZ12" s="1340"/>
      <c r="MGA12" s="1340"/>
      <c r="MGB12" s="1340"/>
      <c r="MGC12" s="1341"/>
      <c r="MGD12" s="1342"/>
      <c r="MGE12" s="1336"/>
      <c r="MGF12" s="1336"/>
      <c r="MGG12" s="1336"/>
      <c r="MGH12" s="1336"/>
      <c r="MGI12" s="1337"/>
      <c r="MGJ12" s="1337"/>
      <c r="MGK12" s="1337"/>
      <c r="MGL12" s="1337"/>
      <c r="MGM12" s="1337"/>
      <c r="MGN12" s="1338"/>
      <c r="MGO12" s="1339"/>
      <c r="MGP12" s="1340"/>
      <c r="MGQ12" s="1340"/>
      <c r="MGR12" s="1340"/>
      <c r="MGS12" s="1341"/>
      <c r="MGT12" s="1342"/>
      <c r="MGU12" s="1336"/>
      <c r="MGV12" s="1336"/>
      <c r="MGW12" s="1336"/>
      <c r="MGX12" s="1336"/>
      <c r="MGY12" s="1337"/>
      <c r="MGZ12" s="1337"/>
      <c r="MHA12" s="1337"/>
      <c r="MHB12" s="1337"/>
      <c r="MHC12" s="1337"/>
      <c r="MHD12" s="1338"/>
      <c r="MHE12" s="1339"/>
      <c r="MHF12" s="1340"/>
      <c r="MHG12" s="1340"/>
      <c r="MHH12" s="1340"/>
      <c r="MHI12" s="1341"/>
      <c r="MHJ12" s="1342"/>
      <c r="MHK12" s="1336"/>
      <c r="MHL12" s="1336"/>
      <c r="MHM12" s="1336"/>
      <c r="MHN12" s="1336"/>
      <c r="MHO12" s="1337"/>
      <c r="MHP12" s="1337"/>
      <c r="MHQ12" s="1337"/>
      <c r="MHR12" s="1337"/>
      <c r="MHS12" s="1337"/>
      <c r="MHT12" s="1338"/>
      <c r="MHU12" s="1339"/>
      <c r="MHV12" s="1340"/>
      <c r="MHW12" s="1340"/>
      <c r="MHX12" s="1340"/>
      <c r="MHY12" s="1341"/>
      <c r="MHZ12" s="1342"/>
      <c r="MIA12" s="1336"/>
      <c r="MIB12" s="1336"/>
      <c r="MIC12" s="1336"/>
      <c r="MID12" s="1336"/>
      <c r="MIE12" s="1337"/>
      <c r="MIF12" s="1337"/>
      <c r="MIG12" s="1337"/>
      <c r="MIH12" s="1337"/>
      <c r="MII12" s="1337"/>
      <c r="MIJ12" s="1338"/>
      <c r="MIK12" s="1339"/>
      <c r="MIL12" s="1340"/>
      <c r="MIM12" s="1340"/>
      <c r="MIN12" s="1340"/>
      <c r="MIO12" s="1341"/>
      <c r="MIP12" s="1342"/>
      <c r="MIQ12" s="1336"/>
      <c r="MIR12" s="1336"/>
      <c r="MIS12" s="1336"/>
      <c r="MIT12" s="1336"/>
      <c r="MIU12" s="1337"/>
      <c r="MIV12" s="1337"/>
      <c r="MIW12" s="1337"/>
      <c r="MIX12" s="1337"/>
      <c r="MIY12" s="1337"/>
      <c r="MIZ12" s="1338"/>
      <c r="MJA12" s="1339"/>
      <c r="MJB12" s="1340"/>
      <c r="MJC12" s="1340"/>
      <c r="MJD12" s="1340"/>
      <c r="MJE12" s="1341"/>
      <c r="MJF12" s="1342"/>
      <c r="MJG12" s="1336"/>
      <c r="MJH12" s="1336"/>
      <c r="MJI12" s="1336"/>
      <c r="MJJ12" s="1336"/>
      <c r="MJK12" s="1337"/>
      <c r="MJL12" s="1337"/>
      <c r="MJM12" s="1337"/>
      <c r="MJN12" s="1337"/>
      <c r="MJO12" s="1337"/>
      <c r="MJP12" s="1338"/>
      <c r="MJQ12" s="1339"/>
      <c r="MJR12" s="1340"/>
      <c r="MJS12" s="1340"/>
      <c r="MJT12" s="1340"/>
      <c r="MJU12" s="1341"/>
      <c r="MJV12" s="1342"/>
      <c r="MJW12" s="1336"/>
      <c r="MJX12" s="1336"/>
      <c r="MJY12" s="1336"/>
      <c r="MJZ12" s="1336"/>
      <c r="MKA12" s="1337"/>
      <c r="MKB12" s="1337"/>
      <c r="MKC12" s="1337"/>
      <c r="MKD12" s="1337"/>
      <c r="MKE12" s="1337"/>
      <c r="MKF12" s="1338"/>
      <c r="MKG12" s="1339"/>
      <c r="MKH12" s="1340"/>
      <c r="MKI12" s="1340"/>
      <c r="MKJ12" s="1340"/>
      <c r="MKK12" s="1341"/>
      <c r="MKL12" s="1342"/>
      <c r="MKM12" s="1336"/>
      <c r="MKN12" s="1336"/>
      <c r="MKO12" s="1336"/>
      <c r="MKP12" s="1336"/>
      <c r="MKQ12" s="1337"/>
      <c r="MKR12" s="1337"/>
      <c r="MKS12" s="1337"/>
      <c r="MKT12" s="1337"/>
      <c r="MKU12" s="1337"/>
      <c r="MKV12" s="1338"/>
      <c r="MKW12" s="1339"/>
      <c r="MKX12" s="1340"/>
      <c r="MKY12" s="1340"/>
      <c r="MKZ12" s="1340"/>
      <c r="MLA12" s="1341"/>
      <c r="MLB12" s="1342"/>
      <c r="MLC12" s="1336"/>
      <c r="MLD12" s="1336"/>
      <c r="MLE12" s="1336"/>
      <c r="MLF12" s="1336"/>
      <c r="MLG12" s="1337"/>
      <c r="MLH12" s="1337"/>
      <c r="MLI12" s="1337"/>
      <c r="MLJ12" s="1337"/>
      <c r="MLK12" s="1337"/>
      <c r="MLL12" s="1338"/>
      <c r="MLM12" s="1339"/>
      <c r="MLN12" s="1340"/>
      <c r="MLO12" s="1340"/>
      <c r="MLP12" s="1340"/>
      <c r="MLQ12" s="1341"/>
      <c r="MLR12" s="1342"/>
      <c r="MLS12" s="1336"/>
      <c r="MLT12" s="1336"/>
      <c r="MLU12" s="1336"/>
      <c r="MLV12" s="1336"/>
      <c r="MLW12" s="1337"/>
      <c r="MLX12" s="1337"/>
      <c r="MLY12" s="1337"/>
      <c r="MLZ12" s="1337"/>
      <c r="MMA12" s="1337"/>
      <c r="MMB12" s="1338"/>
      <c r="MMC12" s="1339"/>
      <c r="MMD12" s="1340"/>
      <c r="MME12" s="1340"/>
      <c r="MMF12" s="1340"/>
      <c r="MMG12" s="1341"/>
      <c r="MMH12" s="1342"/>
      <c r="MMI12" s="1336"/>
      <c r="MMJ12" s="1336"/>
      <c r="MMK12" s="1336"/>
      <c r="MML12" s="1336"/>
      <c r="MMM12" s="1337"/>
      <c r="MMN12" s="1337"/>
      <c r="MMO12" s="1337"/>
      <c r="MMP12" s="1337"/>
      <c r="MMQ12" s="1337"/>
      <c r="MMR12" s="1338"/>
      <c r="MMS12" s="1339"/>
      <c r="MMT12" s="1340"/>
      <c r="MMU12" s="1340"/>
      <c r="MMV12" s="1340"/>
      <c r="MMW12" s="1341"/>
      <c r="MMX12" s="1342"/>
      <c r="MMY12" s="1336"/>
      <c r="MMZ12" s="1336"/>
      <c r="MNA12" s="1336"/>
      <c r="MNB12" s="1336"/>
      <c r="MNC12" s="1337"/>
      <c r="MND12" s="1337"/>
      <c r="MNE12" s="1337"/>
      <c r="MNF12" s="1337"/>
      <c r="MNG12" s="1337"/>
      <c r="MNH12" s="1338"/>
      <c r="MNI12" s="1339"/>
      <c r="MNJ12" s="1340"/>
      <c r="MNK12" s="1340"/>
      <c r="MNL12" s="1340"/>
      <c r="MNM12" s="1341"/>
      <c r="MNN12" s="1342"/>
      <c r="MNO12" s="1336"/>
      <c r="MNP12" s="1336"/>
      <c r="MNQ12" s="1336"/>
      <c r="MNR12" s="1336"/>
      <c r="MNS12" s="1337"/>
      <c r="MNT12" s="1337"/>
      <c r="MNU12" s="1337"/>
      <c r="MNV12" s="1337"/>
      <c r="MNW12" s="1337"/>
      <c r="MNX12" s="1338"/>
      <c r="MNY12" s="1339"/>
      <c r="MNZ12" s="1340"/>
      <c r="MOA12" s="1340"/>
      <c r="MOB12" s="1340"/>
      <c r="MOC12" s="1341"/>
      <c r="MOD12" s="1342"/>
      <c r="MOE12" s="1336"/>
      <c r="MOF12" s="1336"/>
      <c r="MOG12" s="1336"/>
      <c r="MOH12" s="1336"/>
      <c r="MOI12" s="1337"/>
      <c r="MOJ12" s="1337"/>
      <c r="MOK12" s="1337"/>
      <c r="MOL12" s="1337"/>
      <c r="MOM12" s="1337"/>
      <c r="MON12" s="1338"/>
      <c r="MOO12" s="1339"/>
      <c r="MOP12" s="1340"/>
      <c r="MOQ12" s="1340"/>
      <c r="MOR12" s="1340"/>
      <c r="MOS12" s="1341"/>
      <c r="MOT12" s="1342"/>
      <c r="MOU12" s="1336"/>
      <c r="MOV12" s="1336"/>
      <c r="MOW12" s="1336"/>
      <c r="MOX12" s="1336"/>
      <c r="MOY12" s="1337"/>
      <c r="MOZ12" s="1337"/>
      <c r="MPA12" s="1337"/>
      <c r="MPB12" s="1337"/>
      <c r="MPC12" s="1337"/>
      <c r="MPD12" s="1338"/>
      <c r="MPE12" s="1339"/>
      <c r="MPF12" s="1340"/>
      <c r="MPG12" s="1340"/>
      <c r="MPH12" s="1340"/>
      <c r="MPI12" s="1341"/>
      <c r="MPJ12" s="1342"/>
      <c r="MPK12" s="1336"/>
      <c r="MPL12" s="1336"/>
      <c r="MPM12" s="1336"/>
      <c r="MPN12" s="1336"/>
      <c r="MPO12" s="1337"/>
      <c r="MPP12" s="1337"/>
      <c r="MPQ12" s="1337"/>
      <c r="MPR12" s="1337"/>
      <c r="MPS12" s="1337"/>
      <c r="MPT12" s="1338"/>
      <c r="MPU12" s="1339"/>
      <c r="MPV12" s="1340"/>
      <c r="MPW12" s="1340"/>
      <c r="MPX12" s="1340"/>
      <c r="MPY12" s="1341"/>
      <c r="MPZ12" s="1342"/>
      <c r="MQA12" s="1336"/>
      <c r="MQB12" s="1336"/>
      <c r="MQC12" s="1336"/>
      <c r="MQD12" s="1336"/>
      <c r="MQE12" s="1337"/>
      <c r="MQF12" s="1337"/>
      <c r="MQG12" s="1337"/>
      <c r="MQH12" s="1337"/>
      <c r="MQI12" s="1337"/>
      <c r="MQJ12" s="1338"/>
      <c r="MQK12" s="1339"/>
      <c r="MQL12" s="1340"/>
      <c r="MQM12" s="1340"/>
      <c r="MQN12" s="1340"/>
      <c r="MQO12" s="1341"/>
      <c r="MQP12" s="1342"/>
      <c r="MQQ12" s="1336"/>
      <c r="MQR12" s="1336"/>
      <c r="MQS12" s="1336"/>
      <c r="MQT12" s="1336"/>
      <c r="MQU12" s="1337"/>
      <c r="MQV12" s="1337"/>
      <c r="MQW12" s="1337"/>
      <c r="MQX12" s="1337"/>
      <c r="MQY12" s="1337"/>
      <c r="MQZ12" s="1338"/>
      <c r="MRA12" s="1339"/>
      <c r="MRB12" s="1340"/>
      <c r="MRC12" s="1340"/>
      <c r="MRD12" s="1340"/>
      <c r="MRE12" s="1341"/>
      <c r="MRF12" s="1342"/>
      <c r="MRG12" s="1336"/>
      <c r="MRH12" s="1336"/>
      <c r="MRI12" s="1336"/>
      <c r="MRJ12" s="1336"/>
      <c r="MRK12" s="1337"/>
      <c r="MRL12" s="1337"/>
      <c r="MRM12" s="1337"/>
      <c r="MRN12" s="1337"/>
      <c r="MRO12" s="1337"/>
      <c r="MRP12" s="1338"/>
      <c r="MRQ12" s="1339"/>
      <c r="MRR12" s="1340"/>
      <c r="MRS12" s="1340"/>
      <c r="MRT12" s="1340"/>
      <c r="MRU12" s="1341"/>
      <c r="MRV12" s="1342"/>
      <c r="MRW12" s="1336"/>
      <c r="MRX12" s="1336"/>
      <c r="MRY12" s="1336"/>
      <c r="MRZ12" s="1336"/>
      <c r="MSA12" s="1337"/>
      <c r="MSB12" s="1337"/>
      <c r="MSC12" s="1337"/>
      <c r="MSD12" s="1337"/>
      <c r="MSE12" s="1337"/>
      <c r="MSF12" s="1338"/>
      <c r="MSG12" s="1339"/>
      <c r="MSH12" s="1340"/>
      <c r="MSI12" s="1340"/>
      <c r="MSJ12" s="1340"/>
      <c r="MSK12" s="1341"/>
      <c r="MSL12" s="1342"/>
      <c r="MSM12" s="1336"/>
      <c r="MSN12" s="1336"/>
      <c r="MSO12" s="1336"/>
      <c r="MSP12" s="1336"/>
      <c r="MSQ12" s="1337"/>
      <c r="MSR12" s="1337"/>
      <c r="MSS12" s="1337"/>
      <c r="MST12" s="1337"/>
      <c r="MSU12" s="1337"/>
      <c r="MSV12" s="1338"/>
      <c r="MSW12" s="1339"/>
      <c r="MSX12" s="1340"/>
      <c r="MSY12" s="1340"/>
      <c r="MSZ12" s="1340"/>
      <c r="MTA12" s="1341"/>
      <c r="MTB12" s="1342"/>
      <c r="MTC12" s="1336"/>
      <c r="MTD12" s="1336"/>
      <c r="MTE12" s="1336"/>
      <c r="MTF12" s="1336"/>
      <c r="MTG12" s="1337"/>
      <c r="MTH12" s="1337"/>
      <c r="MTI12" s="1337"/>
      <c r="MTJ12" s="1337"/>
      <c r="MTK12" s="1337"/>
      <c r="MTL12" s="1338"/>
      <c r="MTM12" s="1339"/>
      <c r="MTN12" s="1340"/>
      <c r="MTO12" s="1340"/>
      <c r="MTP12" s="1340"/>
      <c r="MTQ12" s="1341"/>
      <c r="MTR12" s="1342"/>
      <c r="MTS12" s="1336"/>
      <c r="MTT12" s="1336"/>
      <c r="MTU12" s="1336"/>
      <c r="MTV12" s="1336"/>
      <c r="MTW12" s="1337"/>
      <c r="MTX12" s="1337"/>
      <c r="MTY12" s="1337"/>
      <c r="MTZ12" s="1337"/>
      <c r="MUA12" s="1337"/>
      <c r="MUB12" s="1338"/>
      <c r="MUC12" s="1339"/>
      <c r="MUD12" s="1340"/>
      <c r="MUE12" s="1340"/>
      <c r="MUF12" s="1340"/>
      <c r="MUG12" s="1341"/>
      <c r="MUH12" s="1342"/>
      <c r="MUI12" s="1336"/>
      <c r="MUJ12" s="1336"/>
      <c r="MUK12" s="1336"/>
      <c r="MUL12" s="1336"/>
      <c r="MUM12" s="1337"/>
      <c r="MUN12" s="1337"/>
      <c r="MUO12" s="1337"/>
      <c r="MUP12" s="1337"/>
      <c r="MUQ12" s="1337"/>
      <c r="MUR12" s="1338"/>
      <c r="MUS12" s="1339"/>
      <c r="MUT12" s="1340"/>
      <c r="MUU12" s="1340"/>
      <c r="MUV12" s="1340"/>
      <c r="MUW12" s="1341"/>
      <c r="MUX12" s="1342"/>
      <c r="MUY12" s="1336"/>
      <c r="MUZ12" s="1336"/>
      <c r="MVA12" s="1336"/>
      <c r="MVB12" s="1336"/>
      <c r="MVC12" s="1337"/>
      <c r="MVD12" s="1337"/>
      <c r="MVE12" s="1337"/>
      <c r="MVF12" s="1337"/>
      <c r="MVG12" s="1337"/>
      <c r="MVH12" s="1338"/>
      <c r="MVI12" s="1339"/>
      <c r="MVJ12" s="1340"/>
      <c r="MVK12" s="1340"/>
      <c r="MVL12" s="1340"/>
      <c r="MVM12" s="1341"/>
      <c r="MVN12" s="1342"/>
      <c r="MVO12" s="1336"/>
      <c r="MVP12" s="1336"/>
      <c r="MVQ12" s="1336"/>
      <c r="MVR12" s="1336"/>
      <c r="MVS12" s="1337"/>
      <c r="MVT12" s="1337"/>
      <c r="MVU12" s="1337"/>
      <c r="MVV12" s="1337"/>
      <c r="MVW12" s="1337"/>
      <c r="MVX12" s="1338"/>
      <c r="MVY12" s="1339"/>
      <c r="MVZ12" s="1340"/>
      <c r="MWA12" s="1340"/>
      <c r="MWB12" s="1340"/>
      <c r="MWC12" s="1341"/>
      <c r="MWD12" s="1342"/>
      <c r="MWE12" s="1336"/>
      <c r="MWF12" s="1336"/>
      <c r="MWG12" s="1336"/>
      <c r="MWH12" s="1336"/>
      <c r="MWI12" s="1337"/>
      <c r="MWJ12" s="1337"/>
      <c r="MWK12" s="1337"/>
      <c r="MWL12" s="1337"/>
      <c r="MWM12" s="1337"/>
      <c r="MWN12" s="1338"/>
      <c r="MWO12" s="1339"/>
      <c r="MWP12" s="1340"/>
      <c r="MWQ12" s="1340"/>
      <c r="MWR12" s="1340"/>
      <c r="MWS12" s="1341"/>
      <c r="MWT12" s="1342"/>
      <c r="MWU12" s="1336"/>
      <c r="MWV12" s="1336"/>
      <c r="MWW12" s="1336"/>
      <c r="MWX12" s="1336"/>
      <c r="MWY12" s="1337"/>
      <c r="MWZ12" s="1337"/>
      <c r="MXA12" s="1337"/>
      <c r="MXB12" s="1337"/>
      <c r="MXC12" s="1337"/>
      <c r="MXD12" s="1338"/>
      <c r="MXE12" s="1339"/>
      <c r="MXF12" s="1340"/>
      <c r="MXG12" s="1340"/>
      <c r="MXH12" s="1340"/>
      <c r="MXI12" s="1341"/>
      <c r="MXJ12" s="1342"/>
      <c r="MXK12" s="1336"/>
      <c r="MXL12" s="1336"/>
      <c r="MXM12" s="1336"/>
      <c r="MXN12" s="1336"/>
      <c r="MXO12" s="1337"/>
      <c r="MXP12" s="1337"/>
      <c r="MXQ12" s="1337"/>
      <c r="MXR12" s="1337"/>
      <c r="MXS12" s="1337"/>
      <c r="MXT12" s="1338"/>
      <c r="MXU12" s="1339"/>
      <c r="MXV12" s="1340"/>
      <c r="MXW12" s="1340"/>
      <c r="MXX12" s="1340"/>
      <c r="MXY12" s="1341"/>
      <c r="MXZ12" s="1342"/>
      <c r="MYA12" s="1336"/>
      <c r="MYB12" s="1336"/>
      <c r="MYC12" s="1336"/>
      <c r="MYD12" s="1336"/>
      <c r="MYE12" s="1337"/>
      <c r="MYF12" s="1337"/>
      <c r="MYG12" s="1337"/>
      <c r="MYH12" s="1337"/>
      <c r="MYI12" s="1337"/>
      <c r="MYJ12" s="1338"/>
      <c r="MYK12" s="1339"/>
      <c r="MYL12" s="1340"/>
      <c r="MYM12" s="1340"/>
      <c r="MYN12" s="1340"/>
      <c r="MYO12" s="1341"/>
      <c r="MYP12" s="1342"/>
      <c r="MYQ12" s="1336"/>
      <c r="MYR12" s="1336"/>
      <c r="MYS12" s="1336"/>
      <c r="MYT12" s="1336"/>
      <c r="MYU12" s="1337"/>
      <c r="MYV12" s="1337"/>
      <c r="MYW12" s="1337"/>
      <c r="MYX12" s="1337"/>
      <c r="MYY12" s="1337"/>
      <c r="MYZ12" s="1338"/>
      <c r="MZA12" s="1339"/>
      <c r="MZB12" s="1340"/>
      <c r="MZC12" s="1340"/>
      <c r="MZD12" s="1340"/>
      <c r="MZE12" s="1341"/>
      <c r="MZF12" s="1342"/>
      <c r="MZG12" s="1336"/>
      <c r="MZH12" s="1336"/>
      <c r="MZI12" s="1336"/>
      <c r="MZJ12" s="1336"/>
      <c r="MZK12" s="1337"/>
      <c r="MZL12" s="1337"/>
      <c r="MZM12" s="1337"/>
      <c r="MZN12" s="1337"/>
      <c r="MZO12" s="1337"/>
      <c r="MZP12" s="1338"/>
      <c r="MZQ12" s="1339"/>
      <c r="MZR12" s="1340"/>
      <c r="MZS12" s="1340"/>
      <c r="MZT12" s="1340"/>
      <c r="MZU12" s="1341"/>
      <c r="MZV12" s="1342"/>
      <c r="MZW12" s="1336"/>
      <c r="MZX12" s="1336"/>
      <c r="MZY12" s="1336"/>
      <c r="MZZ12" s="1336"/>
      <c r="NAA12" s="1337"/>
      <c r="NAB12" s="1337"/>
      <c r="NAC12" s="1337"/>
      <c r="NAD12" s="1337"/>
      <c r="NAE12" s="1337"/>
      <c r="NAF12" s="1338"/>
      <c r="NAG12" s="1339"/>
      <c r="NAH12" s="1340"/>
      <c r="NAI12" s="1340"/>
      <c r="NAJ12" s="1340"/>
      <c r="NAK12" s="1341"/>
      <c r="NAL12" s="1342"/>
      <c r="NAM12" s="1336"/>
      <c r="NAN12" s="1336"/>
      <c r="NAO12" s="1336"/>
      <c r="NAP12" s="1336"/>
      <c r="NAQ12" s="1337"/>
      <c r="NAR12" s="1337"/>
      <c r="NAS12" s="1337"/>
      <c r="NAT12" s="1337"/>
      <c r="NAU12" s="1337"/>
      <c r="NAV12" s="1338"/>
      <c r="NAW12" s="1339"/>
      <c r="NAX12" s="1340"/>
      <c r="NAY12" s="1340"/>
      <c r="NAZ12" s="1340"/>
      <c r="NBA12" s="1341"/>
      <c r="NBB12" s="1342"/>
      <c r="NBC12" s="1336"/>
      <c r="NBD12" s="1336"/>
      <c r="NBE12" s="1336"/>
      <c r="NBF12" s="1336"/>
      <c r="NBG12" s="1337"/>
      <c r="NBH12" s="1337"/>
      <c r="NBI12" s="1337"/>
      <c r="NBJ12" s="1337"/>
      <c r="NBK12" s="1337"/>
      <c r="NBL12" s="1338"/>
      <c r="NBM12" s="1339"/>
      <c r="NBN12" s="1340"/>
      <c r="NBO12" s="1340"/>
      <c r="NBP12" s="1340"/>
      <c r="NBQ12" s="1341"/>
      <c r="NBR12" s="1342"/>
      <c r="NBS12" s="1336"/>
      <c r="NBT12" s="1336"/>
      <c r="NBU12" s="1336"/>
      <c r="NBV12" s="1336"/>
      <c r="NBW12" s="1337"/>
      <c r="NBX12" s="1337"/>
      <c r="NBY12" s="1337"/>
      <c r="NBZ12" s="1337"/>
      <c r="NCA12" s="1337"/>
      <c r="NCB12" s="1338"/>
      <c r="NCC12" s="1339"/>
      <c r="NCD12" s="1340"/>
      <c r="NCE12" s="1340"/>
      <c r="NCF12" s="1340"/>
      <c r="NCG12" s="1341"/>
      <c r="NCH12" s="1342"/>
      <c r="NCI12" s="1336"/>
      <c r="NCJ12" s="1336"/>
      <c r="NCK12" s="1336"/>
      <c r="NCL12" s="1336"/>
      <c r="NCM12" s="1337"/>
      <c r="NCN12" s="1337"/>
      <c r="NCO12" s="1337"/>
      <c r="NCP12" s="1337"/>
      <c r="NCQ12" s="1337"/>
      <c r="NCR12" s="1338"/>
      <c r="NCS12" s="1339"/>
      <c r="NCT12" s="1340"/>
      <c r="NCU12" s="1340"/>
      <c r="NCV12" s="1340"/>
      <c r="NCW12" s="1341"/>
      <c r="NCX12" s="1342"/>
      <c r="NCY12" s="1336"/>
      <c r="NCZ12" s="1336"/>
      <c r="NDA12" s="1336"/>
      <c r="NDB12" s="1336"/>
      <c r="NDC12" s="1337"/>
      <c r="NDD12" s="1337"/>
      <c r="NDE12" s="1337"/>
      <c r="NDF12" s="1337"/>
      <c r="NDG12" s="1337"/>
      <c r="NDH12" s="1338"/>
      <c r="NDI12" s="1339"/>
      <c r="NDJ12" s="1340"/>
      <c r="NDK12" s="1340"/>
      <c r="NDL12" s="1340"/>
      <c r="NDM12" s="1341"/>
      <c r="NDN12" s="1342"/>
      <c r="NDO12" s="1336"/>
      <c r="NDP12" s="1336"/>
      <c r="NDQ12" s="1336"/>
      <c r="NDR12" s="1336"/>
      <c r="NDS12" s="1337"/>
      <c r="NDT12" s="1337"/>
      <c r="NDU12" s="1337"/>
      <c r="NDV12" s="1337"/>
      <c r="NDW12" s="1337"/>
      <c r="NDX12" s="1338"/>
      <c r="NDY12" s="1339"/>
      <c r="NDZ12" s="1340"/>
      <c r="NEA12" s="1340"/>
      <c r="NEB12" s="1340"/>
      <c r="NEC12" s="1341"/>
      <c r="NED12" s="1342"/>
      <c r="NEE12" s="1336"/>
      <c r="NEF12" s="1336"/>
      <c r="NEG12" s="1336"/>
      <c r="NEH12" s="1336"/>
      <c r="NEI12" s="1337"/>
      <c r="NEJ12" s="1337"/>
      <c r="NEK12" s="1337"/>
      <c r="NEL12" s="1337"/>
      <c r="NEM12" s="1337"/>
      <c r="NEN12" s="1338"/>
      <c r="NEO12" s="1339"/>
      <c r="NEP12" s="1340"/>
      <c r="NEQ12" s="1340"/>
      <c r="NER12" s="1340"/>
      <c r="NES12" s="1341"/>
      <c r="NET12" s="1342"/>
      <c r="NEU12" s="1336"/>
      <c r="NEV12" s="1336"/>
      <c r="NEW12" s="1336"/>
      <c r="NEX12" s="1336"/>
      <c r="NEY12" s="1337"/>
      <c r="NEZ12" s="1337"/>
      <c r="NFA12" s="1337"/>
      <c r="NFB12" s="1337"/>
      <c r="NFC12" s="1337"/>
      <c r="NFD12" s="1338"/>
      <c r="NFE12" s="1339"/>
      <c r="NFF12" s="1340"/>
      <c r="NFG12" s="1340"/>
      <c r="NFH12" s="1340"/>
      <c r="NFI12" s="1341"/>
      <c r="NFJ12" s="1342"/>
      <c r="NFK12" s="1336"/>
      <c r="NFL12" s="1336"/>
      <c r="NFM12" s="1336"/>
      <c r="NFN12" s="1336"/>
      <c r="NFO12" s="1337"/>
      <c r="NFP12" s="1337"/>
      <c r="NFQ12" s="1337"/>
      <c r="NFR12" s="1337"/>
      <c r="NFS12" s="1337"/>
      <c r="NFT12" s="1338"/>
      <c r="NFU12" s="1339"/>
      <c r="NFV12" s="1340"/>
      <c r="NFW12" s="1340"/>
      <c r="NFX12" s="1340"/>
      <c r="NFY12" s="1341"/>
      <c r="NFZ12" s="1342"/>
      <c r="NGA12" s="1336"/>
      <c r="NGB12" s="1336"/>
      <c r="NGC12" s="1336"/>
      <c r="NGD12" s="1336"/>
      <c r="NGE12" s="1337"/>
      <c r="NGF12" s="1337"/>
      <c r="NGG12" s="1337"/>
      <c r="NGH12" s="1337"/>
      <c r="NGI12" s="1337"/>
      <c r="NGJ12" s="1338"/>
      <c r="NGK12" s="1339"/>
      <c r="NGL12" s="1340"/>
      <c r="NGM12" s="1340"/>
      <c r="NGN12" s="1340"/>
      <c r="NGO12" s="1341"/>
      <c r="NGP12" s="1342"/>
      <c r="NGQ12" s="1336"/>
      <c r="NGR12" s="1336"/>
      <c r="NGS12" s="1336"/>
      <c r="NGT12" s="1336"/>
      <c r="NGU12" s="1337"/>
      <c r="NGV12" s="1337"/>
      <c r="NGW12" s="1337"/>
      <c r="NGX12" s="1337"/>
      <c r="NGY12" s="1337"/>
      <c r="NGZ12" s="1338"/>
      <c r="NHA12" s="1339"/>
      <c r="NHB12" s="1340"/>
      <c r="NHC12" s="1340"/>
      <c r="NHD12" s="1340"/>
      <c r="NHE12" s="1341"/>
      <c r="NHF12" s="1342"/>
      <c r="NHG12" s="1336"/>
      <c r="NHH12" s="1336"/>
      <c r="NHI12" s="1336"/>
      <c r="NHJ12" s="1336"/>
      <c r="NHK12" s="1337"/>
      <c r="NHL12" s="1337"/>
      <c r="NHM12" s="1337"/>
      <c r="NHN12" s="1337"/>
      <c r="NHO12" s="1337"/>
      <c r="NHP12" s="1338"/>
      <c r="NHQ12" s="1339"/>
      <c r="NHR12" s="1340"/>
      <c r="NHS12" s="1340"/>
      <c r="NHT12" s="1340"/>
      <c r="NHU12" s="1341"/>
      <c r="NHV12" s="1342"/>
      <c r="NHW12" s="1336"/>
      <c r="NHX12" s="1336"/>
      <c r="NHY12" s="1336"/>
      <c r="NHZ12" s="1336"/>
      <c r="NIA12" s="1337"/>
      <c r="NIB12" s="1337"/>
      <c r="NIC12" s="1337"/>
      <c r="NID12" s="1337"/>
      <c r="NIE12" s="1337"/>
      <c r="NIF12" s="1338"/>
      <c r="NIG12" s="1339"/>
      <c r="NIH12" s="1340"/>
      <c r="NII12" s="1340"/>
      <c r="NIJ12" s="1340"/>
      <c r="NIK12" s="1341"/>
      <c r="NIL12" s="1342"/>
      <c r="NIM12" s="1336"/>
      <c r="NIN12" s="1336"/>
      <c r="NIO12" s="1336"/>
      <c r="NIP12" s="1336"/>
      <c r="NIQ12" s="1337"/>
      <c r="NIR12" s="1337"/>
      <c r="NIS12" s="1337"/>
      <c r="NIT12" s="1337"/>
      <c r="NIU12" s="1337"/>
      <c r="NIV12" s="1338"/>
      <c r="NIW12" s="1339"/>
      <c r="NIX12" s="1340"/>
      <c r="NIY12" s="1340"/>
      <c r="NIZ12" s="1340"/>
      <c r="NJA12" s="1341"/>
      <c r="NJB12" s="1342"/>
      <c r="NJC12" s="1336"/>
      <c r="NJD12" s="1336"/>
      <c r="NJE12" s="1336"/>
      <c r="NJF12" s="1336"/>
      <c r="NJG12" s="1337"/>
      <c r="NJH12" s="1337"/>
      <c r="NJI12" s="1337"/>
      <c r="NJJ12" s="1337"/>
      <c r="NJK12" s="1337"/>
      <c r="NJL12" s="1338"/>
      <c r="NJM12" s="1339"/>
      <c r="NJN12" s="1340"/>
      <c r="NJO12" s="1340"/>
      <c r="NJP12" s="1340"/>
      <c r="NJQ12" s="1341"/>
      <c r="NJR12" s="1342"/>
      <c r="NJS12" s="1336"/>
      <c r="NJT12" s="1336"/>
      <c r="NJU12" s="1336"/>
      <c r="NJV12" s="1336"/>
      <c r="NJW12" s="1337"/>
      <c r="NJX12" s="1337"/>
      <c r="NJY12" s="1337"/>
      <c r="NJZ12" s="1337"/>
      <c r="NKA12" s="1337"/>
      <c r="NKB12" s="1338"/>
      <c r="NKC12" s="1339"/>
      <c r="NKD12" s="1340"/>
      <c r="NKE12" s="1340"/>
      <c r="NKF12" s="1340"/>
      <c r="NKG12" s="1341"/>
      <c r="NKH12" s="1342"/>
      <c r="NKI12" s="1336"/>
      <c r="NKJ12" s="1336"/>
      <c r="NKK12" s="1336"/>
      <c r="NKL12" s="1336"/>
      <c r="NKM12" s="1337"/>
      <c r="NKN12" s="1337"/>
      <c r="NKO12" s="1337"/>
      <c r="NKP12" s="1337"/>
      <c r="NKQ12" s="1337"/>
      <c r="NKR12" s="1338"/>
      <c r="NKS12" s="1339"/>
      <c r="NKT12" s="1340"/>
      <c r="NKU12" s="1340"/>
      <c r="NKV12" s="1340"/>
      <c r="NKW12" s="1341"/>
      <c r="NKX12" s="1342"/>
      <c r="NKY12" s="1336"/>
      <c r="NKZ12" s="1336"/>
      <c r="NLA12" s="1336"/>
      <c r="NLB12" s="1336"/>
      <c r="NLC12" s="1337"/>
      <c r="NLD12" s="1337"/>
      <c r="NLE12" s="1337"/>
      <c r="NLF12" s="1337"/>
      <c r="NLG12" s="1337"/>
      <c r="NLH12" s="1338"/>
      <c r="NLI12" s="1339"/>
      <c r="NLJ12" s="1340"/>
      <c r="NLK12" s="1340"/>
      <c r="NLL12" s="1340"/>
      <c r="NLM12" s="1341"/>
      <c r="NLN12" s="1342"/>
      <c r="NLO12" s="1336"/>
      <c r="NLP12" s="1336"/>
      <c r="NLQ12" s="1336"/>
      <c r="NLR12" s="1336"/>
      <c r="NLS12" s="1337"/>
      <c r="NLT12" s="1337"/>
      <c r="NLU12" s="1337"/>
      <c r="NLV12" s="1337"/>
      <c r="NLW12" s="1337"/>
      <c r="NLX12" s="1338"/>
      <c r="NLY12" s="1339"/>
      <c r="NLZ12" s="1340"/>
      <c r="NMA12" s="1340"/>
      <c r="NMB12" s="1340"/>
      <c r="NMC12" s="1341"/>
      <c r="NMD12" s="1342"/>
      <c r="NME12" s="1336"/>
      <c r="NMF12" s="1336"/>
      <c r="NMG12" s="1336"/>
      <c r="NMH12" s="1336"/>
      <c r="NMI12" s="1337"/>
      <c r="NMJ12" s="1337"/>
      <c r="NMK12" s="1337"/>
      <c r="NML12" s="1337"/>
      <c r="NMM12" s="1337"/>
      <c r="NMN12" s="1338"/>
      <c r="NMO12" s="1339"/>
      <c r="NMP12" s="1340"/>
      <c r="NMQ12" s="1340"/>
      <c r="NMR12" s="1340"/>
      <c r="NMS12" s="1341"/>
      <c r="NMT12" s="1342"/>
      <c r="NMU12" s="1336"/>
      <c r="NMV12" s="1336"/>
      <c r="NMW12" s="1336"/>
      <c r="NMX12" s="1336"/>
      <c r="NMY12" s="1337"/>
      <c r="NMZ12" s="1337"/>
      <c r="NNA12" s="1337"/>
      <c r="NNB12" s="1337"/>
      <c r="NNC12" s="1337"/>
      <c r="NND12" s="1338"/>
      <c r="NNE12" s="1339"/>
      <c r="NNF12" s="1340"/>
      <c r="NNG12" s="1340"/>
      <c r="NNH12" s="1340"/>
      <c r="NNI12" s="1341"/>
      <c r="NNJ12" s="1342"/>
      <c r="NNK12" s="1336"/>
      <c r="NNL12" s="1336"/>
      <c r="NNM12" s="1336"/>
      <c r="NNN12" s="1336"/>
      <c r="NNO12" s="1337"/>
      <c r="NNP12" s="1337"/>
      <c r="NNQ12" s="1337"/>
      <c r="NNR12" s="1337"/>
      <c r="NNS12" s="1337"/>
      <c r="NNT12" s="1338"/>
      <c r="NNU12" s="1339"/>
      <c r="NNV12" s="1340"/>
      <c r="NNW12" s="1340"/>
      <c r="NNX12" s="1340"/>
      <c r="NNY12" s="1341"/>
      <c r="NNZ12" s="1342"/>
      <c r="NOA12" s="1336"/>
      <c r="NOB12" s="1336"/>
      <c r="NOC12" s="1336"/>
      <c r="NOD12" s="1336"/>
      <c r="NOE12" s="1337"/>
      <c r="NOF12" s="1337"/>
      <c r="NOG12" s="1337"/>
      <c r="NOH12" s="1337"/>
      <c r="NOI12" s="1337"/>
      <c r="NOJ12" s="1338"/>
      <c r="NOK12" s="1339"/>
      <c r="NOL12" s="1340"/>
      <c r="NOM12" s="1340"/>
      <c r="NON12" s="1340"/>
      <c r="NOO12" s="1341"/>
      <c r="NOP12" s="1342"/>
      <c r="NOQ12" s="1336"/>
      <c r="NOR12" s="1336"/>
      <c r="NOS12" s="1336"/>
      <c r="NOT12" s="1336"/>
      <c r="NOU12" s="1337"/>
      <c r="NOV12" s="1337"/>
      <c r="NOW12" s="1337"/>
      <c r="NOX12" s="1337"/>
      <c r="NOY12" s="1337"/>
      <c r="NOZ12" s="1338"/>
      <c r="NPA12" s="1339"/>
      <c r="NPB12" s="1340"/>
      <c r="NPC12" s="1340"/>
      <c r="NPD12" s="1340"/>
      <c r="NPE12" s="1341"/>
      <c r="NPF12" s="1342"/>
      <c r="NPG12" s="1336"/>
      <c r="NPH12" s="1336"/>
      <c r="NPI12" s="1336"/>
      <c r="NPJ12" s="1336"/>
      <c r="NPK12" s="1337"/>
      <c r="NPL12" s="1337"/>
      <c r="NPM12" s="1337"/>
      <c r="NPN12" s="1337"/>
      <c r="NPO12" s="1337"/>
      <c r="NPP12" s="1338"/>
      <c r="NPQ12" s="1339"/>
      <c r="NPR12" s="1340"/>
      <c r="NPS12" s="1340"/>
      <c r="NPT12" s="1340"/>
      <c r="NPU12" s="1341"/>
      <c r="NPV12" s="1342"/>
      <c r="NPW12" s="1336"/>
      <c r="NPX12" s="1336"/>
      <c r="NPY12" s="1336"/>
      <c r="NPZ12" s="1336"/>
      <c r="NQA12" s="1337"/>
      <c r="NQB12" s="1337"/>
      <c r="NQC12" s="1337"/>
      <c r="NQD12" s="1337"/>
      <c r="NQE12" s="1337"/>
      <c r="NQF12" s="1338"/>
      <c r="NQG12" s="1339"/>
      <c r="NQH12" s="1340"/>
      <c r="NQI12" s="1340"/>
      <c r="NQJ12" s="1340"/>
      <c r="NQK12" s="1341"/>
      <c r="NQL12" s="1342"/>
      <c r="NQM12" s="1336"/>
      <c r="NQN12" s="1336"/>
      <c r="NQO12" s="1336"/>
      <c r="NQP12" s="1336"/>
      <c r="NQQ12" s="1337"/>
      <c r="NQR12" s="1337"/>
      <c r="NQS12" s="1337"/>
      <c r="NQT12" s="1337"/>
      <c r="NQU12" s="1337"/>
      <c r="NQV12" s="1338"/>
      <c r="NQW12" s="1339"/>
      <c r="NQX12" s="1340"/>
      <c r="NQY12" s="1340"/>
      <c r="NQZ12" s="1340"/>
      <c r="NRA12" s="1341"/>
      <c r="NRB12" s="1342"/>
      <c r="NRC12" s="1336"/>
      <c r="NRD12" s="1336"/>
      <c r="NRE12" s="1336"/>
      <c r="NRF12" s="1336"/>
      <c r="NRG12" s="1337"/>
      <c r="NRH12" s="1337"/>
      <c r="NRI12" s="1337"/>
      <c r="NRJ12" s="1337"/>
      <c r="NRK12" s="1337"/>
      <c r="NRL12" s="1338"/>
      <c r="NRM12" s="1339"/>
      <c r="NRN12" s="1340"/>
      <c r="NRO12" s="1340"/>
      <c r="NRP12" s="1340"/>
      <c r="NRQ12" s="1341"/>
      <c r="NRR12" s="1342"/>
      <c r="NRS12" s="1336"/>
      <c r="NRT12" s="1336"/>
      <c r="NRU12" s="1336"/>
      <c r="NRV12" s="1336"/>
      <c r="NRW12" s="1337"/>
      <c r="NRX12" s="1337"/>
      <c r="NRY12" s="1337"/>
      <c r="NRZ12" s="1337"/>
      <c r="NSA12" s="1337"/>
      <c r="NSB12" s="1338"/>
      <c r="NSC12" s="1339"/>
      <c r="NSD12" s="1340"/>
      <c r="NSE12" s="1340"/>
      <c r="NSF12" s="1340"/>
      <c r="NSG12" s="1341"/>
      <c r="NSH12" s="1342"/>
      <c r="NSI12" s="1336"/>
      <c r="NSJ12" s="1336"/>
      <c r="NSK12" s="1336"/>
      <c r="NSL12" s="1336"/>
      <c r="NSM12" s="1337"/>
      <c r="NSN12" s="1337"/>
      <c r="NSO12" s="1337"/>
      <c r="NSP12" s="1337"/>
      <c r="NSQ12" s="1337"/>
      <c r="NSR12" s="1338"/>
      <c r="NSS12" s="1339"/>
      <c r="NST12" s="1340"/>
      <c r="NSU12" s="1340"/>
      <c r="NSV12" s="1340"/>
      <c r="NSW12" s="1341"/>
      <c r="NSX12" s="1342"/>
      <c r="NSY12" s="1336"/>
      <c r="NSZ12" s="1336"/>
      <c r="NTA12" s="1336"/>
      <c r="NTB12" s="1336"/>
      <c r="NTC12" s="1337"/>
      <c r="NTD12" s="1337"/>
      <c r="NTE12" s="1337"/>
      <c r="NTF12" s="1337"/>
      <c r="NTG12" s="1337"/>
      <c r="NTH12" s="1338"/>
      <c r="NTI12" s="1339"/>
      <c r="NTJ12" s="1340"/>
      <c r="NTK12" s="1340"/>
      <c r="NTL12" s="1340"/>
      <c r="NTM12" s="1341"/>
      <c r="NTN12" s="1342"/>
      <c r="NTO12" s="1336"/>
      <c r="NTP12" s="1336"/>
      <c r="NTQ12" s="1336"/>
      <c r="NTR12" s="1336"/>
      <c r="NTS12" s="1337"/>
      <c r="NTT12" s="1337"/>
      <c r="NTU12" s="1337"/>
      <c r="NTV12" s="1337"/>
      <c r="NTW12" s="1337"/>
      <c r="NTX12" s="1338"/>
      <c r="NTY12" s="1339"/>
      <c r="NTZ12" s="1340"/>
      <c r="NUA12" s="1340"/>
      <c r="NUB12" s="1340"/>
      <c r="NUC12" s="1341"/>
      <c r="NUD12" s="1342"/>
      <c r="NUE12" s="1336"/>
      <c r="NUF12" s="1336"/>
      <c r="NUG12" s="1336"/>
      <c r="NUH12" s="1336"/>
      <c r="NUI12" s="1337"/>
      <c r="NUJ12" s="1337"/>
      <c r="NUK12" s="1337"/>
      <c r="NUL12" s="1337"/>
      <c r="NUM12" s="1337"/>
      <c r="NUN12" s="1338"/>
      <c r="NUO12" s="1339"/>
      <c r="NUP12" s="1340"/>
      <c r="NUQ12" s="1340"/>
      <c r="NUR12" s="1340"/>
      <c r="NUS12" s="1341"/>
      <c r="NUT12" s="1342"/>
      <c r="NUU12" s="1336"/>
      <c r="NUV12" s="1336"/>
      <c r="NUW12" s="1336"/>
      <c r="NUX12" s="1336"/>
      <c r="NUY12" s="1337"/>
      <c r="NUZ12" s="1337"/>
      <c r="NVA12" s="1337"/>
      <c r="NVB12" s="1337"/>
      <c r="NVC12" s="1337"/>
      <c r="NVD12" s="1338"/>
      <c r="NVE12" s="1339"/>
      <c r="NVF12" s="1340"/>
      <c r="NVG12" s="1340"/>
      <c r="NVH12" s="1340"/>
      <c r="NVI12" s="1341"/>
      <c r="NVJ12" s="1342"/>
      <c r="NVK12" s="1336"/>
      <c r="NVL12" s="1336"/>
      <c r="NVM12" s="1336"/>
      <c r="NVN12" s="1336"/>
      <c r="NVO12" s="1337"/>
      <c r="NVP12" s="1337"/>
      <c r="NVQ12" s="1337"/>
      <c r="NVR12" s="1337"/>
      <c r="NVS12" s="1337"/>
      <c r="NVT12" s="1338"/>
      <c r="NVU12" s="1339"/>
      <c r="NVV12" s="1340"/>
      <c r="NVW12" s="1340"/>
      <c r="NVX12" s="1340"/>
      <c r="NVY12" s="1341"/>
      <c r="NVZ12" s="1342"/>
      <c r="NWA12" s="1336"/>
      <c r="NWB12" s="1336"/>
      <c r="NWC12" s="1336"/>
      <c r="NWD12" s="1336"/>
      <c r="NWE12" s="1337"/>
      <c r="NWF12" s="1337"/>
      <c r="NWG12" s="1337"/>
      <c r="NWH12" s="1337"/>
      <c r="NWI12" s="1337"/>
      <c r="NWJ12" s="1338"/>
      <c r="NWK12" s="1339"/>
      <c r="NWL12" s="1340"/>
      <c r="NWM12" s="1340"/>
      <c r="NWN12" s="1340"/>
      <c r="NWO12" s="1341"/>
      <c r="NWP12" s="1342"/>
      <c r="NWQ12" s="1336"/>
      <c r="NWR12" s="1336"/>
      <c r="NWS12" s="1336"/>
      <c r="NWT12" s="1336"/>
      <c r="NWU12" s="1337"/>
      <c r="NWV12" s="1337"/>
      <c r="NWW12" s="1337"/>
      <c r="NWX12" s="1337"/>
      <c r="NWY12" s="1337"/>
      <c r="NWZ12" s="1338"/>
      <c r="NXA12" s="1339"/>
      <c r="NXB12" s="1340"/>
      <c r="NXC12" s="1340"/>
      <c r="NXD12" s="1340"/>
      <c r="NXE12" s="1341"/>
      <c r="NXF12" s="1342"/>
      <c r="NXG12" s="1336"/>
      <c r="NXH12" s="1336"/>
      <c r="NXI12" s="1336"/>
      <c r="NXJ12" s="1336"/>
      <c r="NXK12" s="1337"/>
      <c r="NXL12" s="1337"/>
      <c r="NXM12" s="1337"/>
      <c r="NXN12" s="1337"/>
      <c r="NXO12" s="1337"/>
      <c r="NXP12" s="1338"/>
      <c r="NXQ12" s="1339"/>
      <c r="NXR12" s="1340"/>
      <c r="NXS12" s="1340"/>
      <c r="NXT12" s="1340"/>
      <c r="NXU12" s="1341"/>
      <c r="NXV12" s="1342"/>
      <c r="NXW12" s="1336"/>
      <c r="NXX12" s="1336"/>
      <c r="NXY12" s="1336"/>
      <c r="NXZ12" s="1336"/>
      <c r="NYA12" s="1337"/>
      <c r="NYB12" s="1337"/>
      <c r="NYC12" s="1337"/>
      <c r="NYD12" s="1337"/>
      <c r="NYE12" s="1337"/>
      <c r="NYF12" s="1338"/>
      <c r="NYG12" s="1339"/>
      <c r="NYH12" s="1340"/>
      <c r="NYI12" s="1340"/>
      <c r="NYJ12" s="1340"/>
      <c r="NYK12" s="1341"/>
      <c r="NYL12" s="1342"/>
      <c r="NYM12" s="1336"/>
      <c r="NYN12" s="1336"/>
      <c r="NYO12" s="1336"/>
      <c r="NYP12" s="1336"/>
      <c r="NYQ12" s="1337"/>
      <c r="NYR12" s="1337"/>
      <c r="NYS12" s="1337"/>
      <c r="NYT12" s="1337"/>
      <c r="NYU12" s="1337"/>
      <c r="NYV12" s="1338"/>
      <c r="NYW12" s="1339"/>
      <c r="NYX12" s="1340"/>
      <c r="NYY12" s="1340"/>
      <c r="NYZ12" s="1340"/>
      <c r="NZA12" s="1341"/>
      <c r="NZB12" s="1342"/>
      <c r="NZC12" s="1336"/>
      <c r="NZD12" s="1336"/>
      <c r="NZE12" s="1336"/>
      <c r="NZF12" s="1336"/>
      <c r="NZG12" s="1337"/>
      <c r="NZH12" s="1337"/>
      <c r="NZI12" s="1337"/>
      <c r="NZJ12" s="1337"/>
      <c r="NZK12" s="1337"/>
      <c r="NZL12" s="1338"/>
      <c r="NZM12" s="1339"/>
      <c r="NZN12" s="1340"/>
      <c r="NZO12" s="1340"/>
      <c r="NZP12" s="1340"/>
      <c r="NZQ12" s="1341"/>
      <c r="NZR12" s="1342"/>
      <c r="NZS12" s="1336"/>
      <c r="NZT12" s="1336"/>
      <c r="NZU12" s="1336"/>
      <c r="NZV12" s="1336"/>
      <c r="NZW12" s="1337"/>
      <c r="NZX12" s="1337"/>
      <c r="NZY12" s="1337"/>
      <c r="NZZ12" s="1337"/>
      <c r="OAA12" s="1337"/>
      <c r="OAB12" s="1338"/>
      <c r="OAC12" s="1339"/>
      <c r="OAD12" s="1340"/>
      <c r="OAE12" s="1340"/>
      <c r="OAF12" s="1340"/>
      <c r="OAG12" s="1341"/>
      <c r="OAH12" s="1342"/>
      <c r="OAI12" s="1336"/>
      <c r="OAJ12" s="1336"/>
      <c r="OAK12" s="1336"/>
      <c r="OAL12" s="1336"/>
      <c r="OAM12" s="1337"/>
      <c r="OAN12" s="1337"/>
      <c r="OAO12" s="1337"/>
      <c r="OAP12" s="1337"/>
      <c r="OAQ12" s="1337"/>
      <c r="OAR12" s="1338"/>
      <c r="OAS12" s="1339"/>
      <c r="OAT12" s="1340"/>
      <c r="OAU12" s="1340"/>
      <c r="OAV12" s="1340"/>
      <c r="OAW12" s="1341"/>
      <c r="OAX12" s="1342"/>
      <c r="OAY12" s="1336"/>
      <c r="OAZ12" s="1336"/>
      <c r="OBA12" s="1336"/>
      <c r="OBB12" s="1336"/>
      <c r="OBC12" s="1337"/>
      <c r="OBD12" s="1337"/>
      <c r="OBE12" s="1337"/>
      <c r="OBF12" s="1337"/>
      <c r="OBG12" s="1337"/>
      <c r="OBH12" s="1338"/>
      <c r="OBI12" s="1339"/>
      <c r="OBJ12" s="1340"/>
      <c r="OBK12" s="1340"/>
      <c r="OBL12" s="1340"/>
      <c r="OBM12" s="1341"/>
      <c r="OBN12" s="1342"/>
      <c r="OBO12" s="1336"/>
      <c r="OBP12" s="1336"/>
      <c r="OBQ12" s="1336"/>
      <c r="OBR12" s="1336"/>
      <c r="OBS12" s="1337"/>
      <c r="OBT12" s="1337"/>
      <c r="OBU12" s="1337"/>
      <c r="OBV12" s="1337"/>
      <c r="OBW12" s="1337"/>
      <c r="OBX12" s="1338"/>
      <c r="OBY12" s="1339"/>
      <c r="OBZ12" s="1340"/>
      <c r="OCA12" s="1340"/>
      <c r="OCB12" s="1340"/>
      <c r="OCC12" s="1341"/>
      <c r="OCD12" s="1342"/>
      <c r="OCE12" s="1336"/>
      <c r="OCF12" s="1336"/>
      <c r="OCG12" s="1336"/>
      <c r="OCH12" s="1336"/>
      <c r="OCI12" s="1337"/>
      <c r="OCJ12" s="1337"/>
      <c r="OCK12" s="1337"/>
      <c r="OCL12" s="1337"/>
      <c r="OCM12" s="1337"/>
      <c r="OCN12" s="1338"/>
      <c r="OCO12" s="1339"/>
      <c r="OCP12" s="1340"/>
      <c r="OCQ12" s="1340"/>
      <c r="OCR12" s="1340"/>
      <c r="OCS12" s="1341"/>
      <c r="OCT12" s="1342"/>
      <c r="OCU12" s="1336"/>
      <c r="OCV12" s="1336"/>
      <c r="OCW12" s="1336"/>
      <c r="OCX12" s="1336"/>
      <c r="OCY12" s="1337"/>
      <c r="OCZ12" s="1337"/>
      <c r="ODA12" s="1337"/>
      <c r="ODB12" s="1337"/>
      <c r="ODC12" s="1337"/>
      <c r="ODD12" s="1338"/>
      <c r="ODE12" s="1339"/>
      <c r="ODF12" s="1340"/>
      <c r="ODG12" s="1340"/>
      <c r="ODH12" s="1340"/>
      <c r="ODI12" s="1341"/>
      <c r="ODJ12" s="1342"/>
      <c r="ODK12" s="1336"/>
      <c r="ODL12" s="1336"/>
      <c r="ODM12" s="1336"/>
      <c r="ODN12" s="1336"/>
      <c r="ODO12" s="1337"/>
      <c r="ODP12" s="1337"/>
      <c r="ODQ12" s="1337"/>
      <c r="ODR12" s="1337"/>
      <c r="ODS12" s="1337"/>
      <c r="ODT12" s="1338"/>
      <c r="ODU12" s="1339"/>
      <c r="ODV12" s="1340"/>
      <c r="ODW12" s="1340"/>
      <c r="ODX12" s="1340"/>
      <c r="ODY12" s="1341"/>
      <c r="ODZ12" s="1342"/>
      <c r="OEA12" s="1336"/>
      <c r="OEB12" s="1336"/>
      <c r="OEC12" s="1336"/>
      <c r="OED12" s="1336"/>
      <c r="OEE12" s="1337"/>
      <c r="OEF12" s="1337"/>
      <c r="OEG12" s="1337"/>
      <c r="OEH12" s="1337"/>
      <c r="OEI12" s="1337"/>
      <c r="OEJ12" s="1338"/>
      <c r="OEK12" s="1339"/>
      <c r="OEL12" s="1340"/>
      <c r="OEM12" s="1340"/>
      <c r="OEN12" s="1340"/>
      <c r="OEO12" s="1341"/>
      <c r="OEP12" s="1342"/>
      <c r="OEQ12" s="1336"/>
      <c r="OER12" s="1336"/>
      <c r="OES12" s="1336"/>
      <c r="OET12" s="1336"/>
      <c r="OEU12" s="1337"/>
      <c r="OEV12" s="1337"/>
      <c r="OEW12" s="1337"/>
      <c r="OEX12" s="1337"/>
      <c r="OEY12" s="1337"/>
      <c r="OEZ12" s="1338"/>
      <c r="OFA12" s="1339"/>
      <c r="OFB12" s="1340"/>
      <c r="OFC12" s="1340"/>
      <c r="OFD12" s="1340"/>
      <c r="OFE12" s="1341"/>
      <c r="OFF12" s="1342"/>
      <c r="OFG12" s="1336"/>
      <c r="OFH12" s="1336"/>
      <c r="OFI12" s="1336"/>
      <c r="OFJ12" s="1336"/>
      <c r="OFK12" s="1337"/>
      <c r="OFL12" s="1337"/>
      <c r="OFM12" s="1337"/>
      <c r="OFN12" s="1337"/>
      <c r="OFO12" s="1337"/>
      <c r="OFP12" s="1338"/>
      <c r="OFQ12" s="1339"/>
      <c r="OFR12" s="1340"/>
      <c r="OFS12" s="1340"/>
      <c r="OFT12" s="1340"/>
      <c r="OFU12" s="1341"/>
      <c r="OFV12" s="1342"/>
      <c r="OFW12" s="1336"/>
      <c r="OFX12" s="1336"/>
      <c r="OFY12" s="1336"/>
      <c r="OFZ12" s="1336"/>
      <c r="OGA12" s="1337"/>
      <c r="OGB12" s="1337"/>
      <c r="OGC12" s="1337"/>
      <c r="OGD12" s="1337"/>
      <c r="OGE12" s="1337"/>
      <c r="OGF12" s="1338"/>
      <c r="OGG12" s="1339"/>
      <c r="OGH12" s="1340"/>
      <c r="OGI12" s="1340"/>
      <c r="OGJ12" s="1340"/>
      <c r="OGK12" s="1341"/>
      <c r="OGL12" s="1342"/>
      <c r="OGM12" s="1336"/>
      <c r="OGN12" s="1336"/>
      <c r="OGO12" s="1336"/>
      <c r="OGP12" s="1336"/>
      <c r="OGQ12" s="1337"/>
      <c r="OGR12" s="1337"/>
      <c r="OGS12" s="1337"/>
      <c r="OGT12" s="1337"/>
      <c r="OGU12" s="1337"/>
      <c r="OGV12" s="1338"/>
      <c r="OGW12" s="1339"/>
      <c r="OGX12" s="1340"/>
      <c r="OGY12" s="1340"/>
      <c r="OGZ12" s="1340"/>
      <c r="OHA12" s="1341"/>
      <c r="OHB12" s="1342"/>
      <c r="OHC12" s="1336"/>
      <c r="OHD12" s="1336"/>
      <c r="OHE12" s="1336"/>
      <c r="OHF12" s="1336"/>
      <c r="OHG12" s="1337"/>
      <c r="OHH12" s="1337"/>
      <c r="OHI12" s="1337"/>
      <c r="OHJ12" s="1337"/>
      <c r="OHK12" s="1337"/>
      <c r="OHL12" s="1338"/>
      <c r="OHM12" s="1339"/>
      <c r="OHN12" s="1340"/>
      <c r="OHO12" s="1340"/>
      <c r="OHP12" s="1340"/>
      <c r="OHQ12" s="1341"/>
      <c r="OHR12" s="1342"/>
      <c r="OHS12" s="1336"/>
      <c r="OHT12" s="1336"/>
      <c r="OHU12" s="1336"/>
      <c r="OHV12" s="1336"/>
      <c r="OHW12" s="1337"/>
      <c r="OHX12" s="1337"/>
      <c r="OHY12" s="1337"/>
      <c r="OHZ12" s="1337"/>
      <c r="OIA12" s="1337"/>
      <c r="OIB12" s="1338"/>
      <c r="OIC12" s="1339"/>
      <c r="OID12" s="1340"/>
      <c r="OIE12" s="1340"/>
      <c r="OIF12" s="1340"/>
      <c r="OIG12" s="1341"/>
      <c r="OIH12" s="1342"/>
      <c r="OII12" s="1336"/>
      <c r="OIJ12" s="1336"/>
      <c r="OIK12" s="1336"/>
      <c r="OIL12" s="1336"/>
      <c r="OIM12" s="1337"/>
      <c r="OIN12" s="1337"/>
      <c r="OIO12" s="1337"/>
      <c r="OIP12" s="1337"/>
      <c r="OIQ12" s="1337"/>
      <c r="OIR12" s="1338"/>
      <c r="OIS12" s="1339"/>
      <c r="OIT12" s="1340"/>
      <c r="OIU12" s="1340"/>
      <c r="OIV12" s="1340"/>
      <c r="OIW12" s="1341"/>
      <c r="OIX12" s="1342"/>
      <c r="OIY12" s="1336"/>
      <c r="OIZ12" s="1336"/>
      <c r="OJA12" s="1336"/>
      <c r="OJB12" s="1336"/>
      <c r="OJC12" s="1337"/>
      <c r="OJD12" s="1337"/>
      <c r="OJE12" s="1337"/>
      <c r="OJF12" s="1337"/>
      <c r="OJG12" s="1337"/>
      <c r="OJH12" s="1338"/>
      <c r="OJI12" s="1339"/>
      <c r="OJJ12" s="1340"/>
      <c r="OJK12" s="1340"/>
      <c r="OJL12" s="1340"/>
      <c r="OJM12" s="1341"/>
      <c r="OJN12" s="1342"/>
      <c r="OJO12" s="1336"/>
      <c r="OJP12" s="1336"/>
      <c r="OJQ12" s="1336"/>
      <c r="OJR12" s="1336"/>
      <c r="OJS12" s="1337"/>
      <c r="OJT12" s="1337"/>
      <c r="OJU12" s="1337"/>
      <c r="OJV12" s="1337"/>
      <c r="OJW12" s="1337"/>
      <c r="OJX12" s="1338"/>
      <c r="OJY12" s="1339"/>
      <c r="OJZ12" s="1340"/>
      <c r="OKA12" s="1340"/>
      <c r="OKB12" s="1340"/>
      <c r="OKC12" s="1341"/>
      <c r="OKD12" s="1342"/>
      <c r="OKE12" s="1336"/>
      <c r="OKF12" s="1336"/>
      <c r="OKG12" s="1336"/>
      <c r="OKH12" s="1336"/>
      <c r="OKI12" s="1337"/>
      <c r="OKJ12" s="1337"/>
      <c r="OKK12" s="1337"/>
      <c r="OKL12" s="1337"/>
      <c r="OKM12" s="1337"/>
      <c r="OKN12" s="1338"/>
      <c r="OKO12" s="1339"/>
      <c r="OKP12" s="1340"/>
      <c r="OKQ12" s="1340"/>
      <c r="OKR12" s="1340"/>
      <c r="OKS12" s="1341"/>
      <c r="OKT12" s="1342"/>
      <c r="OKU12" s="1336"/>
      <c r="OKV12" s="1336"/>
      <c r="OKW12" s="1336"/>
      <c r="OKX12" s="1336"/>
      <c r="OKY12" s="1337"/>
      <c r="OKZ12" s="1337"/>
      <c r="OLA12" s="1337"/>
      <c r="OLB12" s="1337"/>
      <c r="OLC12" s="1337"/>
      <c r="OLD12" s="1338"/>
      <c r="OLE12" s="1339"/>
      <c r="OLF12" s="1340"/>
      <c r="OLG12" s="1340"/>
      <c r="OLH12" s="1340"/>
      <c r="OLI12" s="1341"/>
      <c r="OLJ12" s="1342"/>
      <c r="OLK12" s="1336"/>
      <c r="OLL12" s="1336"/>
      <c r="OLM12" s="1336"/>
      <c r="OLN12" s="1336"/>
      <c r="OLO12" s="1337"/>
      <c r="OLP12" s="1337"/>
      <c r="OLQ12" s="1337"/>
      <c r="OLR12" s="1337"/>
      <c r="OLS12" s="1337"/>
      <c r="OLT12" s="1338"/>
      <c r="OLU12" s="1339"/>
      <c r="OLV12" s="1340"/>
      <c r="OLW12" s="1340"/>
      <c r="OLX12" s="1340"/>
      <c r="OLY12" s="1341"/>
      <c r="OLZ12" s="1342"/>
      <c r="OMA12" s="1336"/>
      <c r="OMB12" s="1336"/>
      <c r="OMC12" s="1336"/>
      <c r="OMD12" s="1336"/>
      <c r="OME12" s="1337"/>
      <c r="OMF12" s="1337"/>
      <c r="OMG12" s="1337"/>
      <c r="OMH12" s="1337"/>
      <c r="OMI12" s="1337"/>
      <c r="OMJ12" s="1338"/>
      <c r="OMK12" s="1339"/>
      <c r="OML12" s="1340"/>
      <c r="OMM12" s="1340"/>
      <c r="OMN12" s="1340"/>
      <c r="OMO12" s="1341"/>
      <c r="OMP12" s="1342"/>
      <c r="OMQ12" s="1336"/>
      <c r="OMR12" s="1336"/>
      <c r="OMS12" s="1336"/>
      <c r="OMT12" s="1336"/>
      <c r="OMU12" s="1337"/>
      <c r="OMV12" s="1337"/>
      <c r="OMW12" s="1337"/>
      <c r="OMX12" s="1337"/>
      <c r="OMY12" s="1337"/>
      <c r="OMZ12" s="1338"/>
      <c r="ONA12" s="1339"/>
      <c r="ONB12" s="1340"/>
      <c r="ONC12" s="1340"/>
      <c r="OND12" s="1340"/>
      <c r="ONE12" s="1341"/>
      <c r="ONF12" s="1342"/>
      <c r="ONG12" s="1336"/>
      <c r="ONH12" s="1336"/>
      <c r="ONI12" s="1336"/>
      <c r="ONJ12" s="1336"/>
      <c r="ONK12" s="1337"/>
      <c r="ONL12" s="1337"/>
      <c r="ONM12" s="1337"/>
      <c r="ONN12" s="1337"/>
      <c r="ONO12" s="1337"/>
      <c r="ONP12" s="1338"/>
      <c r="ONQ12" s="1339"/>
      <c r="ONR12" s="1340"/>
      <c r="ONS12" s="1340"/>
      <c r="ONT12" s="1340"/>
      <c r="ONU12" s="1341"/>
      <c r="ONV12" s="1342"/>
      <c r="ONW12" s="1336"/>
      <c r="ONX12" s="1336"/>
      <c r="ONY12" s="1336"/>
      <c r="ONZ12" s="1336"/>
      <c r="OOA12" s="1337"/>
      <c r="OOB12" s="1337"/>
      <c r="OOC12" s="1337"/>
      <c r="OOD12" s="1337"/>
      <c r="OOE12" s="1337"/>
      <c r="OOF12" s="1338"/>
      <c r="OOG12" s="1339"/>
      <c r="OOH12" s="1340"/>
      <c r="OOI12" s="1340"/>
      <c r="OOJ12" s="1340"/>
      <c r="OOK12" s="1341"/>
      <c r="OOL12" s="1342"/>
      <c r="OOM12" s="1336"/>
      <c r="OON12" s="1336"/>
      <c r="OOO12" s="1336"/>
      <c r="OOP12" s="1336"/>
      <c r="OOQ12" s="1337"/>
      <c r="OOR12" s="1337"/>
      <c r="OOS12" s="1337"/>
      <c r="OOT12" s="1337"/>
      <c r="OOU12" s="1337"/>
      <c r="OOV12" s="1338"/>
      <c r="OOW12" s="1339"/>
      <c r="OOX12" s="1340"/>
      <c r="OOY12" s="1340"/>
      <c r="OOZ12" s="1340"/>
      <c r="OPA12" s="1341"/>
      <c r="OPB12" s="1342"/>
      <c r="OPC12" s="1336"/>
      <c r="OPD12" s="1336"/>
      <c r="OPE12" s="1336"/>
      <c r="OPF12" s="1336"/>
      <c r="OPG12" s="1337"/>
      <c r="OPH12" s="1337"/>
      <c r="OPI12" s="1337"/>
      <c r="OPJ12" s="1337"/>
      <c r="OPK12" s="1337"/>
      <c r="OPL12" s="1338"/>
      <c r="OPM12" s="1339"/>
      <c r="OPN12" s="1340"/>
      <c r="OPO12" s="1340"/>
      <c r="OPP12" s="1340"/>
      <c r="OPQ12" s="1341"/>
      <c r="OPR12" s="1342"/>
      <c r="OPS12" s="1336"/>
      <c r="OPT12" s="1336"/>
      <c r="OPU12" s="1336"/>
      <c r="OPV12" s="1336"/>
      <c r="OPW12" s="1337"/>
      <c r="OPX12" s="1337"/>
      <c r="OPY12" s="1337"/>
      <c r="OPZ12" s="1337"/>
      <c r="OQA12" s="1337"/>
      <c r="OQB12" s="1338"/>
      <c r="OQC12" s="1339"/>
      <c r="OQD12" s="1340"/>
      <c r="OQE12" s="1340"/>
      <c r="OQF12" s="1340"/>
      <c r="OQG12" s="1341"/>
      <c r="OQH12" s="1342"/>
      <c r="OQI12" s="1336"/>
      <c r="OQJ12" s="1336"/>
      <c r="OQK12" s="1336"/>
      <c r="OQL12" s="1336"/>
      <c r="OQM12" s="1337"/>
      <c r="OQN12" s="1337"/>
      <c r="OQO12" s="1337"/>
      <c r="OQP12" s="1337"/>
      <c r="OQQ12" s="1337"/>
      <c r="OQR12" s="1338"/>
      <c r="OQS12" s="1339"/>
      <c r="OQT12" s="1340"/>
      <c r="OQU12" s="1340"/>
      <c r="OQV12" s="1340"/>
      <c r="OQW12" s="1341"/>
      <c r="OQX12" s="1342"/>
      <c r="OQY12" s="1336"/>
      <c r="OQZ12" s="1336"/>
      <c r="ORA12" s="1336"/>
      <c r="ORB12" s="1336"/>
      <c r="ORC12" s="1337"/>
      <c r="ORD12" s="1337"/>
      <c r="ORE12" s="1337"/>
      <c r="ORF12" s="1337"/>
      <c r="ORG12" s="1337"/>
      <c r="ORH12" s="1338"/>
      <c r="ORI12" s="1339"/>
      <c r="ORJ12" s="1340"/>
      <c r="ORK12" s="1340"/>
      <c r="ORL12" s="1340"/>
      <c r="ORM12" s="1341"/>
      <c r="ORN12" s="1342"/>
      <c r="ORO12" s="1336"/>
      <c r="ORP12" s="1336"/>
      <c r="ORQ12" s="1336"/>
      <c r="ORR12" s="1336"/>
      <c r="ORS12" s="1337"/>
      <c r="ORT12" s="1337"/>
      <c r="ORU12" s="1337"/>
      <c r="ORV12" s="1337"/>
      <c r="ORW12" s="1337"/>
      <c r="ORX12" s="1338"/>
      <c r="ORY12" s="1339"/>
      <c r="ORZ12" s="1340"/>
      <c r="OSA12" s="1340"/>
      <c r="OSB12" s="1340"/>
      <c r="OSC12" s="1341"/>
      <c r="OSD12" s="1342"/>
      <c r="OSE12" s="1336"/>
      <c r="OSF12" s="1336"/>
      <c r="OSG12" s="1336"/>
      <c r="OSH12" s="1336"/>
      <c r="OSI12" s="1337"/>
      <c r="OSJ12" s="1337"/>
      <c r="OSK12" s="1337"/>
      <c r="OSL12" s="1337"/>
      <c r="OSM12" s="1337"/>
      <c r="OSN12" s="1338"/>
      <c r="OSO12" s="1339"/>
      <c r="OSP12" s="1340"/>
      <c r="OSQ12" s="1340"/>
      <c r="OSR12" s="1340"/>
      <c r="OSS12" s="1341"/>
      <c r="OST12" s="1342"/>
      <c r="OSU12" s="1336"/>
      <c r="OSV12" s="1336"/>
      <c r="OSW12" s="1336"/>
      <c r="OSX12" s="1336"/>
      <c r="OSY12" s="1337"/>
      <c r="OSZ12" s="1337"/>
      <c r="OTA12" s="1337"/>
      <c r="OTB12" s="1337"/>
      <c r="OTC12" s="1337"/>
      <c r="OTD12" s="1338"/>
      <c r="OTE12" s="1339"/>
      <c r="OTF12" s="1340"/>
      <c r="OTG12" s="1340"/>
      <c r="OTH12" s="1340"/>
      <c r="OTI12" s="1341"/>
      <c r="OTJ12" s="1342"/>
      <c r="OTK12" s="1336"/>
      <c r="OTL12" s="1336"/>
      <c r="OTM12" s="1336"/>
      <c r="OTN12" s="1336"/>
      <c r="OTO12" s="1337"/>
      <c r="OTP12" s="1337"/>
      <c r="OTQ12" s="1337"/>
      <c r="OTR12" s="1337"/>
      <c r="OTS12" s="1337"/>
      <c r="OTT12" s="1338"/>
      <c r="OTU12" s="1339"/>
      <c r="OTV12" s="1340"/>
      <c r="OTW12" s="1340"/>
      <c r="OTX12" s="1340"/>
      <c r="OTY12" s="1341"/>
      <c r="OTZ12" s="1342"/>
      <c r="OUA12" s="1336"/>
      <c r="OUB12" s="1336"/>
      <c r="OUC12" s="1336"/>
      <c r="OUD12" s="1336"/>
      <c r="OUE12" s="1337"/>
      <c r="OUF12" s="1337"/>
      <c r="OUG12" s="1337"/>
      <c r="OUH12" s="1337"/>
      <c r="OUI12" s="1337"/>
      <c r="OUJ12" s="1338"/>
      <c r="OUK12" s="1339"/>
      <c r="OUL12" s="1340"/>
      <c r="OUM12" s="1340"/>
      <c r="OUN12" s="1340"/>
      <c r="OUO12" s="1341"/>
      <c r="OUP12" s="1342"/>
      <c r="OUQ12" s="1336"/>
      <c r="OUR12" s="1336"/>
      <c r="OUS12" s="1336"/>
      <c r="OUT12" s="1336"/>
      <c r="OUU12" s="1337"/>
      <c r="OUV12" s="1337"/>
      <c r="OUW12" s="1337"/>
      <c r="OUX12" s="1337"/>
      <c r="OUY12" s="1337"/>
      <c r="OUZ12" s="1338"/>
      <c r="OVA12" s="1339"/>
      <c r="OVB12" s="1340"/>
      <c r="OVC12" s="1340"/>
      <c r="OVD12" s="1340"/>
      <c r="OVE12" s="1341"/>
      <c r="OVF12" s="1342"/>
      <c r="OVG12" s="1336"/>
      <c r="OVH12" s="1336"/>
      <c r="OVI12" s="1336"/>
      <c r="OVJ12" s="1336"/>
      <c r="OVK12" s="1337"/>
      <c r="OVL12" s="1337"/>
      <c r="OVM12" s="1337"/>
      <c r="OVN12" s="1337"/>
      <c r="OVO12" s="1337"/>
      <c r="OVP12" s="1338"/>
      <c r="OVQ12" s="1339"/>
      <c r="OVR12" s="1340"/>
      <c r="OVS12" s="1340"/>
      <c r="OVT12" s="1340"/>
      <c r="OVU12" s="1341"/>
      <c r="OVV12" s="1342"/>
      <c r="OVW12" s="1336"/>
      <c r="OVX12" s="1336"/>
      <c r="OVY12" s="1336"/>
      <c r="OVZ12" s="1336"/>
      <c r="OWA12" s="1337"/>
      <c r="OWB12" s="1337"/>
      <c r="OWC12" s="1337"/>
      <c r="OWD12" s="1337"/>
      <c r="OWE12" s="1337"/>
      <c r="OWF12" s="1338"/>
      <c r="OWG12" s="1339"/>
      <c r="OWH12" s="1340"/>
      <c r="OWI12" s="1340"/>
      <c r="OWJ12" s="1340"/>
      <c r="OWK12" s="1341"/>
      <c r="OWL12" s="1342"/>
      <c r="OWM12" s="1336"/>
      <c r="OWN12" s="1336"/>
      <c r="OWO12" s="1336"/>
      <c r="OWP12" s="1336"/>
      <c r="OWQ12" s="1337"/>
      <c r="OWR12" s="1337"/>
      <c r="OWS12" s="1337"/>
      <c r="OWT12" s="1337"/>
      <c r="OWU12" s="1337"/>
      <c r="OWV12" s="1338"/>
      <c r="OWW12" s="1339"/>
      <c r="OWX12" s="1340"/>
      <c r="OWY12" s="1340"/>
      <c r="OWZ12" s="1340"/>
      <c r="OXA12" s="1341"/>
      <c r="OXB12" s="1342"/>
      <c r="OXC12" s="1336"/>
      <c r="OXD12" s="1336"/>
      <c r="OXE12" s="1336"/>
      <c r="OXF12" s="1336"/>
      <c r="OXG12" s="1337"/>
      <c r="OXH12" s="1337"/>
      <c r="OXI12" s="1337"/>
      <c r="OXJ12" s="1337"/>
      <c r="OXK12" s="1337"/>
      <c r="OXL12" s="1338"/>
      <c r="OXM12" s="1339"/>
      <c r="OXN12" s="1340"/>
      <c r="OXO12" s="1340"/>
      <c r="OXP12" s="1340"/>
      <c r="OXQ12" s="1341"/>
      <c r="OXR12" s="1342"/>
      <c r="OXS12" s="1336"/>
      <c r="OXT12" s="1336"/>
      <c r="OXU12" s="1336"/>
      <c r="OXV12" s="1336"/>
      <c r="OXW12" s="1337"/>
      <c r="OXX12" s="1337"/>
      <c r="OXY12" s="1337"/>
      <c r="OXZ12" s="1337"/>
      <c r="OYA12" s="1337"/>
      <c r="OYB12" s="1338"/>
      <c r="OYC12" s="1339"/>
      <c r="OYD12" s="1340"/>
      <c r="OYE12" s="1340"/>
      <c r="OYF12" s="1340"/>
      <c r="OYG12" s="1341"/>
      <c r="OYH12" s="1342"/>
      <c r="OYI12" s="1336"/>
      <c r="OYJ12" s="1336"/>
      <c r="OYK12" s="1336"/>
      <c r="OYL12" s="1336"/>
      <c r="OYM12" s="1337"/>
      <c r="OYN12" s="1337"/>
      <c r="OYO12" s="1337"/>
      <c r="OYP12" s="1337"/>
      <c r="OYQ12" s="1337"/>
      <c r="OYR12" s="1338"/>
      <c r="OYS12" s="1339"/>
      <c r="OYT12" s="1340"/>
      <c r="OYU12" s="1340"/>
      <c r="OYV12" s="1340"/>
      <c r="OYW12" s="1341"/>
      <c r="OYX12" s="1342"/>
      <c r="OYY12" s="1336"/>
      <c r="OYZ12" s="1336"/>
      <c r="OZA12" s="1336"/>
      <c r="OZB12" s="1336"/>
      <c r="OZC12" s="1337"/>
      <c r="OZD12" s="1337"/>
      <c r="OZE12" s="1337"/>
      <c r="OZF12" s="1337"/>
      <c r="OZG12" s="1337"/>
      <c r="OZH12" s="1338"/>
      <c r="OZI12" s="1339"/>
      <c r="OZJ12" s="1340"/>
      <c r="OZK12" s="1340"/>
      <c r="OZL12" s="1340"/>
      <c r="OZM12" s="1341"/>
      <c r="OZN12" s="1342"/>
      <c r="OZO12" s="1336"/>
      <c r="OZP12" s="1336"/>
      <c r="OZQ12" s="1336"/>
      <c r="OZR12" s="1336"/>
      <c r="OZS12" s="1337"/>
      <c r="OZT12" s="1337"/>
      <c r="OZU12" s="1337"/>
      <c r="OZV12" s="1337"/>
      <c r="OZW12" s="1337"/>
      <c r="OZX12" s="1338"/>
      <c r="OZY12" s="1339"/>
      <c r="OZZ12" s="1340"/>
      <c r="PAA12" s="1340"/>
      <c r="PAB12" s="1340"/>
      <c r="PAC12" s="1341"/>
      <c r="PAD12" s="1342"/>
      <c r="PAE12" s="1336"/>
      <c r="PAF12" s="1336"/>
      <c r="PAG12" s="1336"/>
      <c r="PAH12" s="1336"/>
      <c r="PAI12" s="1337"/>
      <c r="PAJ12" s="1337"/>
      <c r="PAK12" s="1337"/>
      <c r="PAL12" s="1337"/>
      <c r="PAM12" s="1337"/>
      <c r="PAN12" s="1338"/>
      <c r="PAO12" s="1339"/>
      <c r="PAP12" s="1340"/>
      <c r="PAQ12" s="1340"/>
      <c r="PAR12" s="1340"/>
      <c r="PAS12" s="1341"/>
      <c r="PAT12" s="1342"/>
      <c r="PAU12" s="1336"/>
      <c r="PAV12" s="1336"/>
      <c r="PAW12" s="1336"/>
      <c r="PAX12" s="1336"/>
      <c r="PAY12" s="1337"/>
      <c r="PAZ12" s="1337"/>
      <c r="PBA12" s="1337"/>
      <c r="PBB12" s="1337"/>
      <c r="PBC12" s="1337"/>
      <c r="PBD12" s="1338"/>
      <c r="PBE12" s="1339"/>
      <c r="PBF12" s="1340"/>
      <c r="PBG12" s="1340"/>
      <c r="PBH12" s="1340"/>
      <c r="PBI12" s="1341"/>
      <c r="PBJ12" s="1342"/>
      <c r="PBK12" s="1336"/>
      <c r="PBL12" s="1336"/>
      <c r="PBM12" s="1336"/>
      <c r="PBN12" s="1336"/>
      <c r="PBO12" s="1337"/>
      <c r="PBP12" s="1337"/>
      <c r="PBQ12" s="1337"/>
      <c r="PBR12" s="1337"/>
      <c r="PBS12" s="1337"/>
      <c r="PBT12" s="1338"/>
      <c r="PBU12" s="1339"/>
      <c r="PBV12" s="1340"/>
      <c r="PBW12" s="1340"/>
      <c r="PBX12" s="1340"/>
      <c r="PBY12" s="1341"/>
      <c r="PBZ12" s="1342"/>
      <c r="PCA12" s="1336"/>
      <c r="PCB12" s="1336"/>
      <c r="PCC12" s="1336"/>
      <c r="PCD12" s="1336"/>
      <c r="PCE12" s="1337"/>
      <c r="PCF12" s="1337"/>
      <c r="PCG12" s="1337"/>
      <c r="PCH12" s="1337"/>
      <c r="PCI12" s="1337"/>
      <c r="PCJ12" s="1338"/>
      <c r="PCK12" s="1339"/>
      <c r="PCL12" s="1340"/>
      <c r="PCM12" s="1340"/>
      <c r="PCN12" s="1340"/>
      <c r="PCO12" s="1341"/>
      <c r="PCP12" s="1342"/>
      <c r="PCQ12" s="1336"/>
      <c r="PCR12" s="1336"/>
      <c r="PCS12" s="1336"/>
      <c r="PCT12" s="1336"/>
      <c r="PCU12" s="1337"/>
      <c r="PCV12" s="1337"/>
      <c r="PCW12" s="1337"/>
      <c r="PCX12" s="1337"/>
      <c r="PCY12" s="1337"/>
      <c r="PCZ12" s="1338"/>
      <c r="PDA12" s="1339"/>
      <c r="PDB12" s="1340"/>
      <c r="PDC12" s="1340"/>
      <c r="PDD12" s="1340"/>
      <c r="PDE12" s="1341"/>
      <c r="PDF12" s="1342"/>
      <c r="PDG12" s="1336"/>
      <c r="PDH12" s="1336"/>
      <c r="PDI12" s="1336"/>
      <c r="PDJ12" s="1336"/>
      <c r="PDK12" s="1337"/>
      <c r="PDL12" s="1337"/>
      <c r="PDM12" s="1337"/>
      <c r="PDN12" s="1337"/>
      <c r="PDO12" s="1337"/>
      <c r="PDP12" s="1338"/>
      <c r="PDQ12" s="1339"/>
      <c r="PDR12" s="1340"/>
      <c r="PDS12" s="1340"/>
      <c r="PDT12" s="1340"/>
      <c r="PDU12" s="1341"/>
      <c r="PDV12" s="1342"/>
      <c r="PDW12" s="1336"/>
      <c r="PDX12" s="1336"/>
      <c r="PDY12" s="1336"/>
      <c r="PDZ12" s="1336"/>
      <c r="PEA12" s="1337"/>
      <c r="PEB12" s="1337"/>
      <c r="PEC12" s="1337"/>
      <c r="PED12" s="1337"/>
      <c r="PEE12" s="1337"/>
      <c r="PEF12" s="1338"/>
      <c r="PEG12" s="1339"/>
      <c r="PEH12" s="1340"/>
      <c r="PEI12" s="1340"/>
      <c r="PEJ12" s="1340"/>
      <c r="PEK12" s="1341"/>
      <c r="PEL12" s="1342"/>
      <c r="PEM12" s="1336"/>
      <c r="PEN12" s="1336"/>
      <c r="PEO12" s="1336"/>
      <c r="PEP12" s="1336"/>
      <c r="PEQ12" s="1337"/>
      <c r="PER12" s="1337"/>
      <c r="PES12" s="1337"/>
      <c r="PET12" s="1337"/>
      <c r="PEU12" s="1337"/>
      <c r="PEV12" s="1338"/>
      <c r="PEW12" s="1339"/>
      <c r="PEX12" s="1340"/>
      <c r="PEY12" s="1340"/>
      <c r="PEZ12" s="1340"/>
      <c r="PFA12" s="1341"/>
      <c r="PFB12" s="1342"/>
      <c r="PFC12" s="1336"/>
      <c r="PFD12" s="1336"/>
      <c r="PFE12" s="1336"/>
      <c r="PFF12" s="1336"/>
      <c r="PFG12" s="1337"/>
      <c r="PFH12" s="1337"/>
      <c r="PFI12" s="1337"/>
      <c r="PFJ12" s="1337"/>
      <c r="PFK12" s="1337"/>
      <c r="PFL12" s="1338"/>
      <c r="PFM12" s="1339"/>
      <c r="PFN12" s="1340"/>
      <c r="PFO12" s="1340"/>
      <c r="PFP12" s="1340"/>
      <c r="PFQ12" s="1341"/>
      <c r="PFR12" s="1342"/>
      <c r="PFS12" s="1336"/>
      <c r="PFT12" s="1336"/>
      <c r="PFU12" s="1336"/>
      <c r="PFV12" s="1336"/>
      <c r="PFW12" s="1337"/>
      <c r="PFX12" s="1337"/>
      <c r="PFY12" s="1337"/>
      <c r="PFZ12" s="1337"/>
      <c r="PGA12" s="1337"/>
      <c r="PGB12" s="1338"/>
      <c r="PGC12" s="1339"/>
      <c r="PGD12" s="1340"/>
      <c r="PGE12" s="1340"/>
      <c r="PGF12" s="1340"/>
      <c r="PGG12" s="1341"/>
      <c r="PGH12" s="1342"/>
      <c r="PGI12" s="1336"/>
      <c r="PGJ12" s="1336"/>
      <c r="PGK12" s="1336"/>
      <c r="PGL12" s="1336"/>
      <c r="PGM12" s="1337"/>
      <c r="PGN12" s="1337"/>
      <c r="PGO12" s="1337"/>
      <c r="PGP12" s="1337"/>
      <c r="PGQ12" s="1337"/>
      <c r="PGR12" s="1338"/>
      <c r="PGS12" s="1339"/>
      <c r="PGT12" s="1340"/>
      <c r="PGU12" s="1340"/>
      <c r="PGV12" s="1340"/>
      <c r="PGW12" s="1341"/>
      <c r="PGX12" s="1342"/>
      <c r="PGY12" s="1336"/>
      <c r="PGZ12" s="1336"/>
      <c r="PHA12" s="1336"/>
      <c r="PHB12" s="1336"/>
      <c r="PHC12" s="1337"/>
      <c r="PHD12" s="1337"/>
      <c r="PHE12" s="1337"/>
      <c r="PHF12" s="1337"/>
      <c r="PHG12" s="1337"/>
      <c r="PHH12" s="1338"/>
      <c r="PHI12" s="1339"/>
      <c r="PHJ12" s="1340"/>
      <c r="PHK12" s="1340"/>
      <c r="PHL12" s="1340"/>
      <c r="PHM12" s="1341"/>
      <c r="PHN12" s="1342"/>
      <c r="PHO12" s="1336"/>
      <c r="PHP12" s="1336"/>
      <c r="PHQ12" s="1336"/>
      <c r="PHR12" s="1336"/>
      <c r="PHS12" s="1337"/>
      <c r="PHT12" s="1337"/>
      <c r="PHU12" s="1337"/>
      <c r="PHV12" s="1337"/>
      <c r="PHW12" s="1337"/>
      <c r="PHX12" s="1338"/>
      <c r="PHY12" s="1339"/>
      <c r="PHZ12" s="1340"/>
      <c r="PIA12" s="1340"/>
      <c r="PIB12" s="1340"/>
      <c r="PIC12" s="1341"/>
      <c r="PID12" s="1342"/>
      <c r="PIE12" s="1336"/>
      <c r="PIF12" s="1336"/>
      <c r="PIG12" s="1336"/>
      <c r="PIH12" s="1336"/>
      <c r="PII12" s="1337"/>
      <c r="PIJ12" s="1337"/>
      <c r="PIK12" s="1337"/>
      <c r="PIL12" s="1337"/>
      <c r="PIM12" s="1337"/>
      <c r="PIN12" s="1338"/>
      <c r="PIO12" s="1339"/>
      <c r="PIP12" s="1340"/>
      <c r="PIQ12" s="1340"/>
      <c r="PIR12" s="1340"/>
      <c r="PIS12" s="1341"/>
      <c r="PIT12" s="1342"/>
      <c r="PIU12" s="1336"/>
      <c r="PIV12" s="1336"/>
      <c r="PIW12" s="1336"/>
      <c r="PIX12" s="1336"/>
      <c r="PIY12" s="1337"/>
      <c r="PIZ12" s="1337"/>
      <c r="PJA12" s="1337"/>
      <c r="PJB12" s="1337"/>
      <c r="PJC12" s="1337"/>
      <c r="PJD12" s="1338"/>
      <c r="PJE12" s="1339"/>
      <c r="PJF12" s="1340"/>
      <c r="PJG12" s="1340"/>
      <c r="PJH12" s="1340"/>
      <c r="PJI12" s="1341"/>
      <c r="PJJ12" s="1342"/>
      <c r="PJK12" s="1336"/>
      <c r="PJL12" s="1336"/>
      <c r="PJM12" s="1336"/>
      <c r="PJN12" s="1336"/>
      <c r="PJO12" s="1337"/>
      <c r="PJP12" s="1337"/>
      <c r="PJQ12" s="1337"/>
      <c r="PJR12" s="1337"/>
      <c r="PJS12" s="1337"/>
      <c r="PJT12" s="1338"/>
      <c r="PJU12" s="1339"/>
      <c r="PJV12" s="1340"/>
      <c r="PJW12" s="1340"/>
      <c r="PJX12" s="1340"/>
      <c r="PJY12" s="1341"/>
      <c r="PJZ12" s="1342"/>
      <c r="PKA12" s="1336"/>
      <c r="PKB12" s="1336"/>
      <c r="PKC12" s="1336"/>
      <c r="PKD12" s="1336"/>
      <c r="PKE12" s="1337"/>
      <c r="PKF12" s="1337"/>
      <c r="PKG12" s="1337"/>
      <c r="PKH12" s="1337"/>
      <c r="PKI12" s="1337"/>
      <c r="PKJ12" s="1338"/>
      <c r="PKK12" s="1339"/>
      <c r="PKL12" s="1340"/>
      <c r="PKM12" s="1340"/>
      <c r="PKN12" s="1340"/>
      <c r="PKO12" s="1341"/>
      <c r="PKP12" s="1342"/>
      <c r="PKQ12" s="1336"/>
      <c r="PKR12" s="1336"/>
      <c r="PKS12" s="1336"/>
      <c r="PKT12" s="1336"/>
      <c r="PKU12" s="1337"/>
      <c r="PKV12" s="1337"/>
      <c r="PKW12" s="1337"/>
      <c r="PKX12" s="1337"/>
      <c r="PKY12" s="1337"/>
      <c r="PKZ12" s="1338"/>
      <c r="PLA12" s="1339"/>
      <c r="PLB12" s="1340"/>
      <c r="PLC12" s="1340"/>
      <c r="PLD12" s="1340"/>
      <c r="PLE12" s="1341"/>
      <c r="PLF12" s="1342"/>
      <c r="PLG12" s="1336"/>
      <c r="PLH12" s="1336"/>
      <c r="PLI12" s="1336"/>
      <c r="PLJ12" s="1336"/>
      <c r="PLK12" s="1337"/>
      <c r="PLL12" s="1337"/>
      <c r="PLM12" s="1337"/>
      <c r="PLN12" s="1337"/>
      <c r="PLO12" s="1337"/>
      <c r="PLP12" s="1338"/>
      <c r="PLQ12" s="1339"/>
      <c r="PLR12" s="1340"/>
      <c r="PLS12" s="1340"/>
      <c r="PLT12" s="1340"/>
      <c r="PLU12" s="1341"/>
      <c r="PLV12" s="1342"/>
      <c r="PLW12" s="1336"/>
      <c r="PLX12" s="1336"/>
      <c r="PLY12" s="1336"/>
      <c r="PLZ12" s="1336"/>
      <c r="PMA12" s="1337"/>
      <c r="PMB12" s="1337"/>
      <c r="PMC12" s="1337"/>
      <c r="PMD12" s="1337"/>
      <c r="PME12" s="1337"/>
      <c r="PMF12" s="1338"/>
      <c r="PMG12" s="1339"/>
      <c r="PMH12" s="1340"/>
      <c r="PMI12" s="1340"/>
      <c r="PMJ12" s="1340"/>
      <c r="PMK12" s="1341"/>
      <c r="PML12" s="1342"/>
      <c r="PMM12" s="1336"/>
      <c r="PMN12" s="1336"/>
      <c r="PMO12" s="1336"/>
      <c r="PMP12" s="1336"/>
      <c r="PMQ12" s="1337"/>
      <c r="PMR12" s="1337"/>
      <c r="PMS12" s="1337"/>
      <c r="PMT12" s="1337"/>
      <c r="PMU12" s="1337"/>
      <c r="PMV12" s="1338"/>
      <c r="PMW12" s="1339"/>
      <c r="PMX12" s="1340"/>
      <c r="PMY12" s="1340"/>
      <c r="PMZ12" s="1340"/>
      <c r="PNA12" s="1341"/>
      <c r="PNB12" s="1342"/>
      <c r="PNC12" s="1336"/>
      <c r="PND12" s="1336"/>
      <c r="PNE12" s="1336"/>
      <c r="PNF12" s="1336"/>
      <c r="PNG12" s="1337"/>
      <c r="PNH12" s="1337"/>
      <c r="PNI12" s="1337"/>
      <c r="PNJ12" s="1337"/>
      <c r="PNK12" s="1337"/>
      <c r="PNL12" s="1338"/>
      <c r="PNM12" s="1339"/>
      <c r="PNN12" s="1340"/>
      <c r="PNO12" s="1340"/>
      <c r="PNP12" s="1340"/>
      <c r="PNQ12" s="1341"/>
      <c r="PNR12" s="1342"/>
      <c r="PNS12" s="1336"/>
      <c r="PNT12" s="1336"/>
      <c r="PNU12" s="1336"/>
      <c r="PNV12" s="1336"/>
      <c r="PNW12" s="1337"/>
      <c r="PNX12" s="1337"/>
      <c r="PNY12" s="1337"/>
      <c r="PNZ12" s="1337"/>
      <c r="POA12" s="1337"/>
      <c r="POB12" s="1338"/>
      <c r="POC12" s="1339"/>
      <c r="POD12" s="1340"/>
      <c r="POE12" s="1340"/>
      <c r="POF12" s="1340"/>
      <c r="POG12" s="1341"/>
      <c r="POH12" s="1342"/>
      <c r="POI12" s="1336"/>
      <c r="POJ12" s="1336"/>
      <c r="POK12" s="1336"/>
      <c r="POL12" s="1336"/>
      <c r="POM12" s="1337"/>
      <c r="PON12" s="1337"/>
      <c r="POO12" s="1337"/>
      <c r="POP12" s="1337"/>
      <c r="POQ12" s="1337"/>
      <c r="POR12" s="1338"/>
      <c r="POS12" s="1339"/>
      <c r="POT12" s="1340"/>
      <c r="POU12" s="1340"/>
      <c r="POV12" s="1340"/>
      <c r="POW12" s="1341"/>
      <c r="POX12" s="1342"/>
      <c r="POY12" s="1336"/>
      <c r="POZ12" s="1336"/>
      <c r="PPA12" s="1336"/>
      <c r="PPB12" s="1336"/>
      <c r="PPC12" s="1337"/>
      <c r="PPD12" s="1337"/>
      <c r="PPE12" s="1337"/>
      <c r="PPF12" s="1337"/>
      <c r="PPG12" s="1337"/>
      <c r="PPH12" s="1338"/>
      <c r="PPI12" s="1339"/>
      <c r="PPJ12" s="1340"/>
      <c r="PPK12" s="1340"/>
      <c r="PPL12" s="1340"/>
      <c r="PPM12" s="1341"/>
      <c r="PPN12" s="1342"/>
      <c r="PPO12" s="1336"/>
      <c r="PPP12" s="1336"/>
      <c r="PPQ12" s="1336"/>
      <c r="PPR12" s="1336"/>
      <c r="PPS12" s="1337"/>
      <c r="PPT12" s="1337"/>
      <c r="PPU12" s="1337"/>
      <c r="PPV12" s="1337"/>
      <c r="PPW12" s="1337"/>
      <c r="PPX12" s="1338"/>
      <c r="PPY12" s="1339"/>
      <c r="PPZ12" s="1340"/>
      <c r="PQA12" s="1340"/>
      <c r="PQB12" s="1340"/>
      <c r="PQC12" s="1341"/>
      <c r="PQD12" s="1342"/>
      <c r="PQE12" s="1336"/>
      <c r="PQF12" s="1336"/>
      <c r="PQG12" s="1336"/>
      <c r="PQH12" s="1336"/>
      <c r="PQI12" s="1337"/>
      <c r="PQJ12" s="1337"/>
      <c r="PQK12" s="1337"/>
      <c r="PQL12" s="1337"/>
      <c r="PQM12" s="1337"/>
      <c r="PQN12" s="1338"/>
      <c r="PQO12" s="1339"/>
      <c r="PQP12" s="1340"/>
      <c r="PQQ12" s="1340"/>
      <c r="PQR12" s="1340"/>
      <c r="PQS12" s="1341"/>
      <c r="PQT12" s="1342"/>
      <c r="PQU12" s="1336"/>
      <c r="PQV12" s="1336"/>
      <c r="PQW12" s="1336"/>
      <c r="PQX12" s="1336"/>
      <c r="PQY12" s="1337"/>
      <c r="PQZ12" s="1337"/>
      <c r="PRA12" s="1337"/>
      <c r="PRB12" s="1337"/>
      <c r="PRC12" s="1337"/>
      <c r="PRD12" s="1338"/>
      <c r="PRE12" s="1339"/>
      <c r="PRF12" s="1340"/>
      <c r="PRG12" s="1340"/>
      <c r="PRH12" s="1340"/>
      <c r="PRI12" s="1341"/>
      <c r="PRJ12" s="1342"/>
      <c r="PRK12" s="1336"/>
      <c r="PRL12" s="1336"/>
      <c r="PRM12" s="1336"/>
      <c r="PRN12" s="1336"/>
      <c r="PRO12" s="1337"/>
      <c r="PRP12" s="1337"/>
      <c r="PRQ12" s="1337"/>
      <c r="PRR12" s="1337"/>
      <c r="PRS12" s="1337"/>
      <c r="PRT12" s="1338"/>
      <c r="PRU12" s="1339"/>
      <c r="PRV12" s="1340"/>
      <c r="PRW12" s="1340"/>
      <c r="PRX12" s="1340"/>
      <c r="PRY12" s="1341"/>
      <c r="PRZ12" s="1342"/>
      <c r="PSA12" s="1336"/>
      <c r="PSB12" s="1336"/>
      <c r="PSC12" s="1336"/>
      <c r="PSD12" s="1336"/>
      <c r="PSE12" s="1337"/>
      <c r="PSF12" s="1337"/>
      <c r="PSG12" s="1337"/>
      <c r="PSH12" s="1337"/>
      <c r="PSI12" s="1337"/>
      <c r="PSJ12" s="1338"/>
      <c r="PSK12" s="1339"/>
      <c r="PSL12" s="1340"/>
      <c r="PSM12" s="1340"/>
      <c r="PSN12" s="1340"/>
      <c r="PSO12" s="1341"/>
      <c r="PSP12" s="1342"/>
      <c r="PSQ12" s="1336"/>
      <c r="PSR12" s="1336"/>
      <c r="PSS12" s="1336"/>
      <c r="PST12" s="1336"/>
      <c r="PSU12" s="1337"/>
      <c r="PSV12" s="1337"/>
      <c r="PSW12" s="1337"/>
      <c r="PSX12" s="1337"/>
      <c r="PSY12" s="1337"/>
      <c r="PSZ12" s="1338"/>
      <c r="PTA12" s="1339"/>
      <c r="PTB12" s="1340"/>
      <c r="PTC12" s="1340"/>
      <c r="PTD12" s="1340"/>
      <c r="PTE12" s="1341"/>
      <c r="PTF12" s="1342"/>
      <c r="PTG12" s="1336"/>
      <c r="PTH12" s="1336"/>
      <c r="PTI12" s="1336"/>
      <c r="PTJ12" s="1336"/>
      <c r="PTK12" s="1337"/>
      <c r="PTL12" s="1337"/>
      <c r="PTM12" s="1337"/>
      <c r="PTN12" s="1337"/>
      <c r="PTO12" s="1337"/>
      <c r="PTP12" s="1338"/>
      <c r="PTQ12" s="1339"/>
      <c r="PTR12" s="1340"/>
      <c r="PTS12" s="1340"/>
      <c r="PTT12" s="1340"/>
      <c r="PTU12" s="1341"/>
      <c r="PTV12" s="1342"/>
      <c r="PTW12" s="1336"/>
      <c r="PTX12" s="1336"/>
      <c r="PTY12" s="1336"/>
      <c r="PTZ12" s="1336"/>
      <c r="PUA12" s="1337"/>
      <c r="PUB12" s="1337"/>
      <c r="PUC12" s="1337"/>
      <c r="PUD12" s="1337"/>
      <c r="PUE12" s="1337"/>
      <c r="PUF12" s="1338"/>
      <c r="PUG12" s="1339"/>
      <c r="PUH12" s="1340"/>
      <c r="PUI12" s="1340"/>
      <c r="PUJ12" s="1340"/>
      <c r="PUK12" s="1341"/>
      <c r="PUL12" s="1342"/>
      <c r="PUM12" s="1336"/>
      <c r="PUN12" s="1336"/>
      <c r="PUO12" s="1336"/>
      <c r="PUP12" s="1336"/>
      <c r="PUQ12" s="1337"/>
      <c r="PUR12" s="1337"/>
      <c r="PUS12" s="1337"/>
      <c r="PUT12" s="1337"/>
      <c r="PUU12" s="1337"/>
      <c r="PUV12" s="1338"/>
      <c r="PUW12" s="1339"/>
      <c r="PUX12" s="1340"/>
      <c r="PUY12" s="1340"/>
      <c r="PUZ12" s="1340"/>
      <c r="PVA12" s="1341"/>
      <c r="PVB12" s="1342"/>
      <c r="PVC12" s="1336"/>
      <c r="PVD12" s="1336"/>
      <c r="PVE12" s="1336"/>
      <c r="PVF12" s="1336"/>
      <c r="PVG12" s="1337"/>
      <c r="PVH12" s="1337"/>
      <c r="PVI12" s="1337"/>
      <c r="PVJ12" s="1337"/>
      <c r="PVK12" s="1337"/>
      <c r="PVL12" s="1338"/>
      <c r="PVM12" s="1339"/>
      <c r="PVN12" s="1340"/>
      <c r="PVO12" s="1340"/>
      <c r="PVP12" s="1340"/>
      <c r="PVQ12" s="1341"/>
      <c r="PVR12" s="1342"/>
      <c r="PVS12" s="1336"/>
      <c r="PVT12" s="1336"/>
      <c r="PVU12" s="1336"/>
      <c r="PVV12" s="1336"/>
      <c r="PVW12" s="1337"/>
      <c r="PVX12" s="1337"/>
      <c r="PVY12" s="1337"/>
      <c r="PVZ12" s="1337"/>
      <c r="PWA12" s="1337"/>
      <c r="PWB12" s="1338"/>
      <c r="PWC12" s="1339"/>
      <c r="PWD12" s="1340"/>
      <c r="PWE12" s="1340"/>
      <c r="PWF12" s="1340"/>
      <c r="PWG12" s="1341"/>
      <c r="PWH12" s="1342"/>
      <c r="PWI12" s="1336"/>
      <c r="PWJ12" s="1336"/>
      <c r="PWK12" s="1336"/>
      <c r="PWL12" s="1336"/>
      <c r="PWM12" s="1337"/>
      <c r="PWN12" s="1337"/>
      <c r="PWO12" s="1337"/>
      <c r="PWP12" s="1337"/>
      <c r="PWQ12" s="1337"/>
      <c r="PWR12" s="1338"/>
      <c r="PWS12" s="1339"/>
      <c r="PWT12" s="1340"/>
      <c r="PWU12" s="1340"/>
      <c r="PWV12" s="1340"/>
      <c r="PWW12" s="1341"/>
      <c r="PWX12" s="1342"/>
      <c r="PWY12" s="1336"/>
      <c r="PWZ12" s="1336"/>
      <c r="PXA12" s="1336"/>
      <c r="PXB12" s="1336"/>
      <c r="PXC12" s="1337"/>
      <c r="PXD12" s="1337"/>
      <c r="PXE12" s="1337"/>
      <c r="PXF12" s="1337"/>
      <c r="PXG12" s="1337"/>
      <c r="PXH12" s="1338"/>
      <c r="PXI12" s="1339"/>
      <c r="PXJ12" s="1340"/>
      <c r="PXK12" s="1340"/>
      <c r="PXL12" s="1340"/>
      <c r="PXM12" s="1341"/>
      <c r="PXN12" s="1342"/>
      <c r="PXO12" s="1336"/>
      <c r="PXP12" s="1336"/>
      <c r="PXQ12" s="1336"/>
      <c r="PXR12" s="1336"/>
      <c r="PXS12" s="1337"/>
      <c r="PXT12" s="1337"/>
      <c r="PXU12" s="1337"/>
      <c r="PXV12" s="1337"/>
      <c r="PXW12" s="1337"/>
      <c r="PXX12" s="1338"/>
      <c r="PXY12" s="1339"/>
      <c r="PXZ12" s="1340"/>
      <c r="PYA12" s="1340"/>
      <c r="PYB12" s="1340"/>
      <c r="PYC12" s="1341"/>
      <c r="PYD12" s="1342"/>
      <c r="PYE12" s="1336"/>
      <c r="PYF12" s="1336"/>
      <c r="PYG12" s="1336"/>
      <c r="PYH12" s="1336"/>
      <c r="PYI12" s="1337"/>
      <c r="PYJ12" s="1337"/>
      <c r="PYK12" s="1337"/>
      <c r="PYL12" s="1337"/>
      <c r="PYM12" s="1337"/>
      <c r="PYN12" s="1338"/>
      <c r="PYO12" s="1339"/>
      <c r="PYP12" s="1340"/>
      <c r="PYQ12" s="1340"/>
      <c r="PYR12" s="1340"/>
      <c r="PYS12" s="1341"/>
      <c r="PYT12" s="1342"/>
      <c r="PYU12" s="1336"/>
      <c r="PYV12" s="1336"/>
      <c r="PYW12" s="1336"/>
      <c r="PYX12" s="1336"/>
      <c r="PYY12" s="1337"/>
      <c r="PYZ12" s="1337"/>
      <c r="PZA12" s="1337"/>
      <c r="PZB12" s="1337"/>
      <c r="PZC12" s="1337"/>
      <c r="PZD12" s="1338"/>
      <c r="PZE12" s="1339"/>
      <c r="PZF12" s="1340"/>
      <c r="PZG12" s="1340"/>
      <c r="PZH12" s="1340"/>
      <c r="PZI12" s="1341"/>
      <c r="PZJ12" s="1342"/>
      <c r="PZK12" s="1336"/>
      <c r="PZL12" s="1336"/>
      <c r="PZM12" s="1336"/>
      <c r="PZN12" s="1336"/>
      <c r="PZO12" s="1337"/>
      <c r="PZP12" s="1337"/>
      <c r="PZQ12" s="1337"/>
      <c r="PZR12" s="1337"/>
      <c r="PZS12" s="1337"/>
      <c r="PZT12" s="1338"/>
      <c r="PZU12" s="1339"/>
      <c r="PZV12" s="1340"/>
      <c r="PZW12" s="1340"/>
      <c r="PZX12" s="1340"/>
      <c r="PZY12" s="1341"/>
      <c r="PZZ12" s="1342"/>
      <c r="QAA12" s="1336"/>
      <c r="QAB12" s="1336"/>
      <c r="QAC12" s="1336"/>
      <c r="QAD12" s="1336"/>
      <c r="QAE12" s="1337"/>
      <c r="QAF12" s="1337"/>
      <c r="QAG12" s="1337"/>
      <c r="QAH12" s="1337"/>
      <c r="QAI12" s="1337"/>
      <c r="QAJ12" s="1338"/>
      <c r="QAK12" s="1339"/>
      <c r="QAL12" s="1340"/>
      <c r="QAM12" s="1340"/>
      <c r="QAN12" s="1340"/>
      <c r="QAO12" s="1341"/>
      <c r="QAP12" s="1342"/>
      <c r="QAQ12" s="1336"/>
      <c r="QAR12" s="1336"/>
      <c r="QAS12" s="1336"/>
      <c r="QAT12" s="1336"/>
      <c r="QAU12" s="1337"/>
      <c r="QAV12" s="1337"/>
      <c r="QAW12" s="1337"/>
      <c r="QAX12" s="1337"/>
      <c r="QAY12" s="1337"/>
      <c r="QAZ12" s="1338"/>
      <c r="QBA12" s="1339"/>
      <c r="QBB12" s="1340"/>
      <c r="QBC12" s="1340"/>
      <c r="QBD12" s="1340"/>
      <c r="QBE12" s="1341"/>
      <c r="QBF12" s="1342"/>
      <c r="QBG12" s="1336"/>
      <c r="QBH12" s="1336"/>
      <c r="QBI12" s="1336"/>
      <c r="QBJ12" s="1336"/>
      <c r="QBK12" s="1337"/>
      <c r="QBL12" s="1337"/>
      <c r="QBM12" s="1337"/>
      <c r="QBN12" s="1337"/>
      <c r="QBO12" s="1337"/>
      <c r="QBP12" s="1338"/>
      <c r="QBQ12" s="1339"/>
      <c r="QBR12" s="1340"/>
      <c r="QBS12" s="1340"/>
      <c r="QBT12" s="1340"/>
      <c r="QBU12" s="1341"/>
      <c r="QBV12" s="1342"/>
      <c r="QBW12" s="1336"/>
      <c r="QBX12" s="1336"/>
      <c r="QBY12" s="1336"/>
      <c r="QBZ12" s="1336"/>
      <c r="QCA12" s="1337"/>
      <c r="QCB12" s="1337"/>
      <c r="QCC12" s="1337"/>
      <c r="QCD12" s="1337"/>
      <c r="QCE12" s="1337"/>
      <c r="QCF12" s="1338"/>
      <c r="QCG12" s="1339"/>
      <c r="QCH12" s="1340"/>
      <c r="QCI12" s="1340"/>
      <c r="QCJ12" s="1340"/>
      <c r="QCK12" s="1341"/>
      <c r="QCL12" s="1342"/>
      <c r="QCM12" s="1336"/>
      <c r="QCN12" s="1336"/>
      <c r="QCO12" s="1336"/>
      <c r="QCP12" s="1336"/>
      <c r="QCQ12" s="1337"/>
      <c r="QCR12" s="1337"/>
      <c r="QCS12" s="1337"/>
      <c r="QCT12" s="1337"/>
      <c r="QCU12" s="1337"/>
      <c r="QCV12" s="1338"/>
      <c r="QCW12" s="1339"/>
      <c r="QCX12" s="1340"/>
      <c r="QCY12" s="1340"/>
      <c r="QCZ12" s="1340"/>
      <c r="QDA12" s="1341"/>
      <c r="QDB12" s="1342"/>
      <c r="QDC12" s="1336"/>
      <c r="QDD12" s="1336"/>
      <c r="QDE12" s="1336"/>
      <c r="QDF12" s="1336"/>
      <c r="QDG12" s="1337"/>
      <c r="QDH12" s="1337"/>
      <c r="QDI12" s="1337"/>
      <c r="QDJ12" s="1337"/>
      <c r="QDK12" s="1337"/>
      <c r="QDL12" s="1338"/>
      <c r="QDM12" s="1339"/>
      <c r="QDN12" s="1340"/>
      <c r="QDO12" s="1340"/>
      <c r="QDP12" s="1340"/>
      <c r="QDQ12" s="1341"/>
      <c r="QDR12" s="1342"/>
      <c r="QDS12" s="1336"/>
      <c r="QDT12" s="1336"/>
      <c r="QDU12" s="1336"/>
      <c r="QDV12" s="1336"/>
      <c r="QDW12" s="1337"/>
      <c r="QDX12" s="1337"/>
      <c r="QDY12" s="1337"/>
      <c r="QDZ12" s="1337"/>
      <c r="QEA12" s="1337"/>
      <c r="QEB12" s="1338"/>
      <c r="QEC12" s="1339"/>
      <c r="QED12" s="1340"/>
      <c r="QEE12" s="1340"/>
      <c r="QEF12" s="1340"/>
      <c r="QEG12" s="1341"/>
      <c r="QEH12" s="1342"/>
      <c r="QEI12" s="1336"/>
      <c r="QEJ12" s="1336"/>
      <c r="QEK12" s="1336"/>
      <c r="QEL12" s="1336"/>
      <c r="QEM12" s="1337"/>
      <c r="QEN12" s="1337"/>
      <c r="QEO12" s="1337"/>
      <c r="QEP12" s="1337"/>
      <c r="QEQ12" s="1337"/>
      <c r="QER12" s="1338"/>
      <c r="QES12" s="1339"/>
      <c r="QET12" s="1340"/>
      <c r="QEU12" s="1340"/>
      <c r="QEV12" s="1340"/>
      <c r="QEW12" s="1341"/>
      <c r="QEX12" s="1342"/>
      <c r="QEY12" s="1336"/>
      <c r="QEZ12" s="1336"/>
      <c r="QFA12" s="1336"/>
      <c r="QFB12" s="1336"/>
      <c r="QFC12" s="1337"/>
      <c r="QFD12" s="1337"/>
      <c r="QFE12" s="1337"/>
      <c r="QFF12" s="1337"/>
      <c r="QFG12" s="1337"/>
      <c r="QFH12" s="1338"/>
      <c r="QFI12" s="1339"/>
      <c r="QFJ12" s="1340"/>
      <c r="QFK12" s="1340"/>
      <c r="QFL12" s="1340"/>
      <c r="QFM12" s="1341"/>
      <c r="QFN12" s="1342"/>
      <c r="QFO12" s="1336"/>
      <c r="QFP12" s="1336"/>
      <c r="QFQ12" s="1336"/>
      <c r="QFR12" s="1336"/>
      <c r="QFS12" s="1337"/>
      <c r="QFT12" s="1337"/>
      <c r="QFU12" s="1337"/>
      <c r="QFV12" s="1337"/>
      <c r="QFW12" s="1337"/>
      <c r="QFX12" s="1338"/>
      <c r="QFY12" s="1339"/>
      <c r="QFZ12" s="1340"/>
      <c r="QGA12" s="1340"/>
      <c r="QGB12" s="1340"/>
      <c r="QGC12" s="1341"/>
      <c r="QGD12" s="1342"/>
      <c r="QGE12" s="1336"/>
      <c r="QGF12" s="1336"/>
      <c r="QGG12" s="1336"/>
      <c r="QGH12" s="1336"/>
      <c r="QGI12" s="1337"/>
      <c r="QGJ12" s="1337"/>
      <c r="QGK12" s="1337"/>
      <c r="QGL12" s="1337"/>
      <c r="QGM12" s="1337"/>
      <c r="QGN12" s="1338"/>
      <c r="QGO12" s="1339"/>
      <c r="QGP12" s="1340"/>
      <c r="QGQ12" s="1340"/>
      <c r="QGR12" s="1340"/>
      <c r="QGS12" s="1341"/>
      <c r="QGT12" s="1342"/>
      <c r="QGU12" s="1336"/>
      <c r="QGV12" s="1336"/>
      <c r="QGW12" s="1336"/>
      <c r="QGX12" s="1336"/>
      <c r="QGY12" s="1337"/>
      <c r="QGZ12" s="1337"/>
      <c r="QHA12" s="1337"/>
      <c r="QHB12" s="1337"/>
      <c r="QHC12" s="1337"/>
      <c r="QHD12" s="1338"/>
      <c r="QHE12" s="1339"/>
      <c r="QHF12" s="1340"/>
      <c r="QHG12" s="1340"/>
      <c r="QHH12" s="1340"/>
      <c r="QHI12" s="1341"/>
      <c r="QHJ12" s="1342"/>
      <c r="QHK12" s="1336"/>
      <c r="QHL12" s="1336"/>
      <c r="QHM12" s="1336"/>
      <c r="QHN12" s="1336"/>
      <c r="QHO12" s="1337"/>
      <c r="QHP12" s="1337"/>
      <c r="QHQ12" s="1337"/>
      <c r="QHR12" s="1337"/>
      <c r="QHS12" s="1337"/>
      <c r="QHT12" s="1338"/>
      <c r="QHU12" s="1339"/>
      <c r="QHV12" s="1340"/>
      <c r="QHW12" s="1340"/>
      <c r="QHX12" s="1340"/>
      <c r="QHY12" s="1341"/>
      <c r="QHZ12" s="1342"/>
      <c r="QIA12" s="1336"/>
      <c r="QIB12" s="1336"/>
      <c r="QIC12" s="1336"/>
      <c r="QID12" s="1336"/>
      <c r="QIE12" s="1337"/>
      <c r="QIF12" s="1337"/>
      <c r="QIG12" s="1337"/>
      <c r="QIH12" s="1337"/>
      <c r="QII12" s="1337"/>
      <c r="QIJ12" s="1338"/>
      <c r="QIK12" s="1339"/>
      <c r="QIL12" s="1340"/>
      <c r="QIM12" s="1340"/>
      <c r="QIN12" s="1340"/>
      <c r="QIO12" s="1341"/>
      <c r="QIP12" s="1342"/>
      <c r="QIQ12" s="1336"/>
      <c r="QIR12" s="1336"/>
      <c r="QIS12" s="1336"/>
      <c r="QIT12" s="1336"/>
      <c r="QIU12" s="1337"/>
      <c r="QIV12" s="1337"/>
      <c r="QIW12" s="1337"/>
      <c r="QIX12" s="1337"/>
      <c r="QIY12" s="1337"/>
      <c r="QIZ12" s="1338"/>
      <c r="QJA12" s="1339"/>
      <c r="QJB12" s="1340"/>
      <c r="QJC12" s="1340"/>
      <c r="QJD12" s="1340"/>
      <c r="QJE12" s="1341"/>
      <c r="QJF12" s="1342"/>
      <c r="QJG12" s="1336"/>
      <c r="QJH12" s="1336"/>
      <c r="QJI12" s="1336"/>
      <c r="QJJ12" s="1336"/>
      <c r="QJK12" s="1337"/>
      <c r="QJL12" s="1337"/>
      <c r="QJM12" s="1337"/>
      <c r="QJN12" s="1337"/>
      <c r="QJO12" s="1337"/>
      <c r="QJP12" s="1338"/>
      <c r="QJQ12" s="1339"/>
      <c r="QJR12" s="1340"/>
      <c r="QJS12" s="1340"/>
      <c r="QJT12" s="1340"/>
      <c r="QJU12" s="1341"/>
      <c r="QJV12" s="1342"/>
      <c r="QJW12" s="1336"/>
      <c r="QJX12" s="1336"/>
      <c r="QJY12" s="1336"/>
      <c r="QJZ12" s="1336"/>
      <c r="QKA12" s="1337"/>
      <c r="QKB12" s="1337"/>
      <c r="QKC12" s="1337"/>
      <c r="QKD12" s="1337"/>
      <c r="QKE12" s="1337"/>
      <c r="QKF12" s="1338"/>
      <c r="QKG12" s="1339"/>
      <c r="QKH12" s="1340"/>
      <c r="QKI12" s="1340"/>
      <c r="QKJ12" s="1340"/>
      <c r="QKK12" s="1341"/>
      <c r="QKL12" s="1342"/>
      <c r="QKM12" s="1336"/>
      <c r="QKN12" s="1336"/>
      <c r="QKO12" s="1336"/>
      <c r="QKP12" s="1336"/>
      <c r="QKQ12" s="1337"/>
      <c r="QKR12" s="1337"/>
      <c r="QKS12" s="1337"/>
      <c r="QKT12" s="1337"/>
      <c r="QKU12" s="1337"/>
      <c r="QKV12" s="1338"/>
      <c r="QKW12" s="1339"/>
      <c r="QKX12" s="1340"/>
      <c r="QKY12" s="1340"/>
      <c r="QKZ12" s="1340"/>
      <c r="QLA12" s="1341"/>
      <c r="QLB12" s="1342"/>
      <c r="QLC12" s="1336"/>
      <c r="QLD12" s="1336"/>
      <c r="QLE12" s="1336"/>
      <c r="QLF12" s="1336"/>
      <c r="QLG12" s="1337"/>
      <c r="QLH12" s="1337"/>
      <c r="QLI12" s="1337"/>
      <c r="QLJ12" s="1337"/>
      <c r="QLK12" s="1337"/>
      <c r="QLL12" s="1338"/>
      <c r="QLM12" s="1339"/>
      <c r="QLN12" s="1340"/>
      <c r="QLO12" s="1340"/>
      <c r="QLP12" s="1340"/>
      <c r="QLQ12" s="1341"/>
      <c r="QLR12" s="1342"/>
      <c r="QLS12" s="1336"/>
      <c r="QLT12" s="1336"/>
      <c r="QLU12" s="1336"/>
      <c r="QLV12" s="1336"/>
      <c r="QLW12" s="1337"/>
      <c r="QLX12" s="1337"/>
      <c r="QLY12" s="1337"/>
      <c r="QLZ12" s="1337"/>
      <c r="QMA12" s="1337"/>
      <c r="QMB12" s="1338"/>
      <c r="QMC12" s="1339"/>
      <c r="QMD12" s="1340"/>
      <c r="QME12" s="1340"/>
      <c r="QMF12" s="1340"/>
      <c r="QMG12" s="1341"/>
      <c r="QMH12" s="1342"/>
      <c r="QMI12" s="1336"/>
      <c r="QMJ12" s="1336"/>
      <c r="QMK12" s="1336"/>
      <c r="QML12" s="1336"/>
      <c r="QMM12" s="1337"/>
      <c r="QMN12" s="1337"/>
      <c r="QMO12" s="1337"/>
      <c r="QMP12" s="1337"/>
      <c r="QMQ12" s="1337"/>
      <c r="QMR12" s="1338"/>
      <c r="QMS12" s="1339"/>
      <c r="QMT12" s="1340"/>
      <c r="QMU12" s="1340"/>
      <c r="QMV12" s="1340"/>
      <c r="QMW12" s="1341"/>
      <c r="QMX12" s="1342"/>
      <c r="QMY12" s="1336"/>
      <c r="QMZ12" s="1336"/>
      <c r="QNA12" s="1336"/>
      <c r="QNB12" s="1336"/>
      <c r="QNC12" s="1337"/>
      <c r="QND12" s="1337"/>
      <c r="QNE12" s="1337"/>
      <c r="QNF12" s="1337"/>
      <c r="QNG12" s="1337"/>
      <c r="QNH12" s="1338"/>
      <c r="QNI12" s="1339"/>
      <c r="QNJ12" s="1340"/>
      <c r="QNK12" s="1340"/>
      <c r="QNL12" s="1340"/>
      <c r="QNM12" s="1341"/>
      <c r="QNN12" s="1342"/>
      <c r="QNO12" s="1336"/>
      <c r="QNP12" s="1336"/>
      <c r="QNQ12" s="1336"/>
      <c r="QNR12" s="1336"/>
      <c r="QNS12" s="1337"/>
      <c r="QNT12" s="1337"/>
      <c r="QNU12" s="1337"/>
      <c r="QNV12" s="1337"/>
      <c r="QNW12" s="1337"/>
      <c r="QNX12" s="1338"/>
      <c r="QNY12" s="1339"/>
      <c r="QNZ12" s="1340"/>
      <c r="QOA12" s="1340"/>
      <c r="QOB12" s="1340"/>
      <c r="QOC12" s="1341"/>
      <c r="QOD12" s="1342"/>
      <c r="QOE12" s="1336"/>
      <c r="QOF12" s="1336"/>
      <c r="QOG12" s="1336"/>
      <c r="QOH12" s="1336"/>
      <c r="QOI12" s="1337"/>
      <c r="QOJ12" s="1337"/>
      <c r="QOK12" s="1337"/>
      <c r="QOL12" s="1337"/>
      <c r="QOM12" s="1337"/>
      <c r="QON12" s="1338"/>
      <c r="QOO12" s="1339"/>
      <c r="QOP12" s="1340"/>
      <c r="QOQ12" s="1340"/>
      <c r="QOR12" s="1340"/>
      <c r="QOS12" s="1341"/>
      <c r="QOT12" s="1342"/>
      <c r="QOU12" s="1336"/>
      <c r="QOV12" s="1336"/>
      <c r="QOW12" s="1336"/>
      <c r="QOX12" s="1336"/>
      <c r="QOY12" s="1337"/>
      <c r="QOZ12" s="1337"/>
      <c r="QPA12" s="1337"/>
      <c r="QPB12" s="1337"/>
      <c r="QPC12" s="1337"/>
      <c r="QPD12" s="1338"/>
      <c r="QPE12" s="1339"/>
      <c r="QPF12" s="1340"/>
      <c r="QPG12" s="1340"/>
      <c r="QPH12" s="1340"/>
      <c r="QPI12" s="1341"/>
      <c r="QPJ12" s="1342"/>
      <c r="QPK12" s="1336"/>
      <c r="QPL12" s="1336"/>
      <c r="QPM12" s="1336"/>
      <c r="QPN12" s="1336"/>
      <c r="QPO12" s="1337"/>
      <c r="QPP12" s="1337"/>
      <c r="QPQ12" s="1337"/>
      <c r="QPR12" s="1337"/>
      <c r="QPS12" s="1337"/>
      <c r="QPT12" s="1338"/>
      <c r="QPU12" s="1339"/>
      <c r="QPV12" s="1340"/>
      <c r="QPW12" s="1340"/>
      <c r="QPX12" s="1340"/>
      <c r="QPY12" s="1341"/>
      <c r="QPZ12" s="1342"/>
      <c r="QQA12" s="1336"/>
      <c r="QQB12" s="1336"/>
      <c r="QQC12" s="1336"/>
      <c r="QQD12" s="1336"/>
      <c r="QQE12" s="1337"/>
      <c r="QQF12" s="1337"/>
      <c r="QQG12" s="1337"/>
      <c r="QQH12" s="1337"/>
      <c r="QQI12" s="1337"/>
      <c r="QQJ12" s="1338"/>
      <c r="QQK12" s="1339"/>
      <c r="QQL12" s="1340"/>
      <c r="QQM12" s="1340"/>
      <c r="QQN12" s="1340"/>
      <c r="QQO12" s="1341"/>
      <c r="QQP12" s="1342"/>
      <c r="QQQ12" s="1336"/>
      <c r="QQR12" s="1336"/>
      <c r="QQS12" s="1336"/>
      <c r="QQT12" s="1336"/>
      <c r="QQU12" s="1337"/>
      <c r="QQV12" s="1337"/>
      <c r="QQW12" s="1337"/>
      <c r="QQX12" s="1337"/>
      <c r="QQY12" s="1337"/>
      <c r="QQZ12" s="1338"/>
      <c r="QRA12" s="1339"/>
      <c r="QRB12" s="1340"/>
      <c r="QRC12" s="1340"/>
      <c r="QRD12" s="1340"/>
      <c r="QRE12" s="1341"/>
      <c r="QRF12" s="1342"/>
      <c r="QRG12" s="1336"/>
      <c r="QRH12" s="1336"/>
      <c r="QRI12" s="1336"/>
      <c r="QRJ12" s="1336"/>
      <c r="QRK12" s="1337"/>
      <c r="QRL12" s="1337"/>
      <c r="QRM12" s="1337"/>
      <c r="QRN12" s="1337"/>
      <c r="QRO12" s="1337"/>
      <c r="QRP12" s="1338"/>
      <c r="QRQ12" s="1339"/>
      <c r="QRR12" s="1340"/>
      <c r="QRS12" s="1340"/>
      <c r="QRT12" s="1340"/>
      <c r="QRU12" s="1341"/>
      <c r="QRV12" s="1342"/>
      <c r="QRW12" s="1336"/>
      <c r="QRX12" s="1336"/>
      <c r="QRY12" s="1336"/>
      <c r="QRZ12" s="1336"/>
      <c r="QSA12" s="1337"/>
      <c r="QSB12" s="1337"/>
      <c r="QSC12" s="1337"/>
      <c r="QSD12" s="1337"/>
      <c r="QSE12" s="1337"/>
      <c r="QSF12" s="1338"/>
      <c r="QSG12" s="1339"/>
      <c r="QSH12" s="1340"/>
      <c r="QSI12" s="1340"/>
      <c r="QSJ12" s="1340"/>
      <c r="QSK12" s="1341"/>
      <c r="QSL12" s="1342"/>
      <c r="QSM12" s="1336"/>
      <c r="QSN12" s="1336"/>
      <c r="QSO12" s="1336"/>
      <c r="QSP12" s="1336"/>
      <c r="QSQ12" s="1337"/>
      <c r="QSR12" s="1337"/>
      <c r="QSS12" s="1337"/>
      <c r="QST12" s="1337"/>
      <c r="QSU12" s="1337"/>
      <c r="QSV12" s="1338"/>
      <c r="QSW12" s="1339"/>
      <c r="QSX12" s="1340"/>
      <c r="QSY12" s="1340"/>
      <c r="QSZ12" s="1340"/>
      <c r="QTA12" s="1341"/>
      <c r="QTB12" s="1342"/>
      <c r="QTC12" s="1336"/>
      <c r="QTD12" s="1336"/>
      <c r="QTE12" s="1336"/>
      <c r="QTF12" s="1336"/>
      <c r="QTG12" s="1337"/>
      <c r="QTH12" s="1337"/>
      <c r="QTI12" s="1337"/>
      <c r="QTJ12" s="1337"/>
      <c r="QTK12" s="1337"/>
      <c r="QTL12" s="1338"/>
      <c r="QTM12" s="1339"/>
      <c r="QTN12" s="1340"/>
      <c r="QTO12" s="1340"/>
      <c r="QTP12" s="1340"/>
      <c r="QTQ12" s="1341"/>
      <c r="QTR12" s="1342"/>
      <c r="QTS12" s="1336"/>
      <c r="QTT12" s="1336"/>
      <c r="QTU12" s="1336"/>
      <c r="QTV12" s="1336"/>
      <c r="QTW12" s="1337"/>
      <c r="QTX12" s="1337"/>
      <c r="QTY12" s="1337"/>
      <c r="QTZ12" s="1337"/>
      <c r="QUA12" s="1337"/>
      <c r="QUB12" s="1338"/>
      <c r="QUC12" s="1339"/>
      <c r="QUD12" s="1340"/>
      <c r="QUE12" s="1340"/>
      <c r="QUF12" s="1340"/>
      <c r="QUG12" s="1341"/>
      <c r="QUH12" s="1342"/>
      <c r="QUI12" s="1336"/>
      <c r="QUJ12" s="1336"/>
      <c r="QUK12" s="1336"/>
      <c r="QUL12" s="1336"/>
      <c r="QUM12" s="1337"/>
      <c r="QUN12" s="1337"/>
      <c r="QUO12" s="1337"/>
      <c r="QUP12" s="1337"/>
      <c r="QUQ12" s="1337"/>
      <c r="QUR12" s="1338"/>
      <c r="QUS12" s="1339"/>
      <c r="QUT12" s="1340"/>
      <c r="QUU12" s="1340"/>
      <c r="QUV12" s="1340"/>
      <c r="QUW12" s="1341"/>
      <c r="QUX12" s="1342"/>
      <c r="QUY12" s="1336"/>
      <c r="QUZ12" s="1336"/>
      <c r="QVA12" s="1336"/>
      <c r="QVB12" s="1336"/>
      <c r="QVC12" s="1337"/>
      <c r="QVD12" s="1337"/>
      <c r="QVE12" s="1337"/>
      <c r="QVF12" s="1337"/>
      <c r="QVG12" s="1337"/>
      <c r="QVH12" s="1338"/>
      <c r="QVI12" s="1339"/>
      <c r="QVJ12" s="1340"/>
      <c r="QVK12" s="1340"/>
      <c r="QVL12" s="1340"/>
      <c r="QVM12" s="1341"/>
      <c r="QVN12" s="1342"/>
      <c r="QVO12" s="1336"/>
      <c r="QVP12" s="1336"/>
      <c r="QVQ12" s="1336"/>
      <c r="QVR12" s="1336"/>
      <c r="QVS12" s="1337"/>
      <c r="QVT12" s="1337"/>
      <c r="QVU12" s="1337"/>
      <c r="QVV12" s="1337"/>
      <c r="QVW12" s="1337"/>
      <c r="QVX12" s="1338"/>
      <c r="QVY12" s="1339"/>
      <c r="QVZ12" s="1340"/>
      <c r="QWA12" s="1340"/>
      <c r="QWB12" s="1340"/>
      <c r="QWC12" s="1341"/>
      <c r="QWD12" s="1342"/>
      <c r="QWE12" s="1336"/>
      <c r="QWF12" s="1336"/>
      <c r="QWG12" s="1336"/>
      <c r="QWH12" s="1336"/>
      <c r="QWI12" s="1337"/>
      <c r="QWJ12" s="1337"/>
      <c r="QWK12" s="1337"/>
      <c r="QWL12" s="1337"/>
      <c r="QWM12" s="1337"/>
      <c r="QWN12" s="1338"/>
      <c r="QWO12" s="1339"/>
      <c r="QWP12" s="1340"/>
      <c r="QWQ12" s="1340"/>
      <c r="QWR12" s="1340"/>
      <c r="QWS12" s="1341"/>
      <c r="QWT12" s="1342"/>
      <c r="QWU12" s="1336"/>
      <c r="QWV12" s="1336"/>
      <c r="QWW12" s="1336"/>
      <c r="QWX12" s="1336"/>
      <c r="QWY12" s="1337"/>
      <c r="QWZ12" s="1337"/>
      <c r="QXA12" s="1337"/>
      <c r="QXB12" s="1337"/>
      <c r="QXC12" s="1337"/>
      <c r="QXD12" s="1338"/>
      <c r="QXE12" s="1339"/>
      <c r="QXF12" s="1340"/>
      <c r="QXG12" s="1340"/>
      <c r="QXH12" s="1340"/>
      <c r="QXI12" s="1341"/>
      <c r="QXJ12" s="1342"/>
      <c r="QXK12" s="1336"/>
      <c r="QXL12" s="1336"/>
      <c r="QXM12" s="1336"/>
      <c r="QXN12" s="1336"/>
      <c r="QXO12" s="1337"/>
      <c r="QXP12" s="1337"/>
      <c r="QXQ12" s="1337"/>
      <c r="QXR12" s="1337"/>
      <c r="QXS12" s="1337"/>
      <c r="QXT12" s="1338"/>
      <c r="QXU12" s="1339"/>
      <c r="QXV12" s="1340"/>
      <c r="QXW12" s="1340"/>
      <c r="QXX12" s="1340"/>
      <c r="QXY12" s="1341"/>
      <c r="QXZ12" s="1342"/>
      <c r="QYA12" s="1336"/>
      <c r="QYB12" s="1336"/>
      <c r="QYC12" s="1336"/>
      <c r="QYD12" s="1336"/>
      <c r="QYE12" s="1337"/>
      <c r="QYF12" s="1337"/>
      <c r="QYG12" s="1337"/>
      <c r="QYH12" s="1337"/>
      <c r="QYI12" s="1337"/>
      <c r="QYJ12" s="1338"/>
      <c r="QYK12" s="1339"/>
      <c r="QYL12" s="1340"/>
      <c r="QYM12" s="1340"/>
      <c r="QYN12" s="1340"/>
      <c r="QYO12" s="1341"/>
      <c r="QYP12" s="1342"/>
      <c r="QYQ12" s="1336"/>
      <c r="QYR12" s="1336"/>
      <c r="QYS12" s="1336"/>
      <c r="QYT12" s="1336"/>
      <c r="QYU12" s="1337"/>
      <c r="QYV12" s="1337"/>
      <c r="QYW12" s="1337"/>
      <c r="QYX12" s="1337"/>
      <c r="QYY12" s="1337"/>
      <c r="QYZ12" s="1338"/>
      <c r="QZA12" s="1339"/>
      <c r="QZB12" s="1340"/>
      <c r="QZC12" s="1340"/>
      <c r="QZD12" s="1340"/>
      <c r="QZE12" s="1341"/>
      <c r="QZF12" s="1342"/>
      <c r="QZG12" s="1336"/>
      <c r="QZH12" s="1336"/>
      <c r="QZI12" s="1336"/>
      <c r="QZJ12" s="1336"/>
      <c r="QZK12" s="1337"/>
      <c r="QZL12" s="1337"/>
      <c r="QZM12" s="1337"/>
      <c r="QZN12" s="1337"/>
      <c r="QZO12" s="1337"/>
      <c r="QZP12" s="1338"/>
      <c r="QZQ12" s="1339"/>
      <c r="QZR12" s="1340"/>
      <c r="QZS12" s="1340"/>
      <c r="QZT12" s="1340"/>
      <c r="QZU12" s="1341"/>
      <c r="QZV12" s="1342"/>
      <c r="QZW12" s="1336"/>
      <c r="QZX12" s="1336"/>
      <c r="QZY12" s="1336"/>
      <c r="QZZ12" s="1336"/>
      <c r="RAA12" s="1337"/>
      <c r="RAB12" s="1337"/>
      <c r="RAC12" s="1337"/>
      <c r="RAD12" s="1337"/>
      <c r="RAE12" s="1337"/>
      <c r="RAF12" s="1338"/>
      <c r="RAG12" s="1339"/>
      <c r="RAH12" s="1340"/>
      <c r="RAI12" s="1340"/>
      <c r="RAJ12" s="1340"/>
      <c r="RAK12" s="1341"/>
      <c r="RAL12" s="1342"/>
      <c r="RAM12" s="1336"/>
      <c r="RAN12" s="1336"/>
      <c r="RAO12" s="1336"/>
      <c r="RAP12" s="1336"/>
      <c r="RAQ12" s="1337"/>
      <c r="RAR12" s="1337"/>
      <c r="RAS12" s="1337"/>
      <c r="RAT12" s="1337"/>
      <c r="RAU12" s="1337"/>
      <c r="RAV12" s="1338"/>
      <c r="RAW12" s="1339"/>
      <c r="RAX12" s="1340"/>
      <c r="RAY12" s="1340"/>
      <c r="RAZ12" s="1340"/>
      <c r="RBA12" s="1341"/>
      <c r="RBB12" s="1342"/>
      <c r="RBC12" s="1336"/>
      <c r="RBD12" s="1336"/>
      <c r="RBE12" s="1336"/>
      <c r="RBF12" s="1336"/>
      <c r="RBG12" s="1337"/>
      <c r="RBH12" s="1337"/>
      <c r="RBI12" s="1337"/>
      <c r="RBJ12" s="1337"/>
      <c r="RBK12" s="1337"/>
      <c r="RBL12" s="1338"/>
      <c r="RBM12" s="1339"/>
      <c r="RBN12" s="1340"/>
      <c r="RBO12" s="1340"/>
      <c r="RBP12" s="1340"/>
      <c r="RBQ12" s="1341"/>
      <c r="RBR12" s="1342"/>
      <c r="RBS12" s="1336"/>
      <c r="RBT12" s="1336"/>
      <c r="RBU12" s="1336"/>
      <c r="RBV12" s="1336"/>
      <c r="RBW12" s="1337"/>
      <c r="RBX12" s="1337"/>
      <c r="RBY12" s="1337"/>
      <c r="RBZ12" s="1337"/>
      <c r="RCA12" s="1337"/>
      <c r="RCB12" s="1338"/>
      <c r="RCC12" s="1339"/>
      <c r="RCD12" s="1340"/>
      <c r="RCE12" s="1340"/>
      <c r="RCF12" s="1340"/>
      <c r="RCG12" s="1341"/>
      <c r="RCH12" s="1342"/>
      <c r="RCI12" s="1336"/>
      <c r="RCJ12" s="1336"/>
      <c r="RCK12" s="1336"/>
      <c r="RCL12" s="1336"/>
      <c r="RCM12" s="1337"/>
      <c r="RCN12" s="1337"/>
      <c r="RCO12" s="1337"/>
      <c r="RCP12" s="1337"/>
      <c r="RCQ12" s="1337"/>
      <c r="RCR12" s="1338"/>
      <c r="RCS12" s="1339"/>
      <c r="RCT12" s="1340"/>
      <c r="RCU12" s="1340"/>
      <c r="RCV12" s="1340"/>
      <c r="RCW12" s="1341"/>
      <c r="RCX12" s="1342"/>
      <c r="RCY12" s="1336"/>
      <c r="RCZ12" s="1336"/>
      <c r="RDA12" s="1336"/>
      <c r="RDB12" s="1336"/>
      <c r="RDC12" s="1337"/>
      <c r="RDD12" s="1337"/>
      <c r="RDE12" s="1337"/>
      <c r="RDF12" s="1337"/>
      <c r="RDG12" s="1337"/>
      <c r="RDH12" s="1338"/>
      <c r="RDI12" s="1339"/>
      <c r="RDJ12" s="1340"/>
      <c r="RDK12" s="1340"/>
      <c r="RDL12" s="1340"/>
      <c r="RDM12" s="1341"/>
      <c r="RDN12" s="1342"/>
      <c r="RDO12" s="1336"/>
      <c r="RDP12" s="1336"/>
      <c r="RDQ12" s="1336"/>
      <c r="RDR12" s="1336"/>
      <c r="RDS12" s="1337"/>
      <c r="RDT12" s="1337"/>
      <c r="RDU12" s="1337"/>
      <c r="RDV12" s="1337"/>
      <c r="RDW12" s="1337"/>
      <c r="RDX12" s="1338"/>
      <c r="RDY12" s="1339"/>
      <c r="RDZ12" s="1340"/>
      <c r="REA12" s="1340"/>
      <c r="REB12" s="1340"/>
      <c r="REC12" s="1341"/>
      <c r="RED12" s="1342"/>
      <c r="REE12" s="1336"/>
      <c r="REF12" s="1336"/>
      <c r="REG12" s="1336"/>
      <c r="REH12" s="1336"/>
      <c r="REI12" s="1337"/>
      <c r="REJ12" s="1337"/>
      <c r="REK12" s="1337"/>
      <c r="REL12" s="1337"/>
      <c r="REM12" s="1337"/>
      <c r="REN12" s="1338"/>
      <c r="REO12" s="1339"/>
      <c r="REP12" s="1340"/>
      <c r="REQ12" s="1340"/>
      <c r="RER12" s="1340"/>
      <c r="RES12" s="1341"/>
      <c r="RET12" s="1342"/>
      <c r="REU12" s="1336"/>
      <c r="REV12" s="1336"/>
      <c r="REW12" s="1336"/>
      <c r="REX12" s="1336"/>
      <c r="REY12" s="1337"/>
      <c r="REZ12" s="1337"/>
      <c r="RFA12" s="1337"/>
      <c r="RFB12" s="1337"/>
      <c r="RFC12" s="1337"/>
      <c r="RFD12" s="1338"/>
      <c r="RFE12" s="1339"/>
      <c r="RFF12" s="1340"/>
      <c r="RFG12" s="1340"/>
      <c r="RFH12" s="1340"/>
      <c r="RFI12" s="1341"/>
      <c r="RFJ12" s="1342"/>
      <c r="RFK12" s="1336"/>
      <c r="RFL12" s="1336"/>
      <c r="RFM12" s="1336"/>
      <c r="RFN12" s="1336"/>
      <c r="RFO12" s="1337"/>
      <c r="RFP12" s="1337"/>
      <c r="RFQ12" s="1337"/>
      <c r="RFR12" s="1337"/>
      <c r="RFS12" s="1337"/>
      <c r="RFT12" s="1338"/>
      <c r="RFU12" s="1339"/>
      <c r="RFV12" s="1340"/>
      <c r="RFW12" s="1340"/>
      <c r="RFX12" s="1340"/>
      <c r="RFY12" s="1341"/>
      <c r="RFZ12" s="1342"/>
      <c r="RGA12" s="1336"/>
      <c r="RGB12" s="1336"/>
      <c r="RGC12" s="1336"/>
      <c r="RGD12" s="1336"/>
      <c r="RGE12" s="1337"/>
      <c r="RGF12" s="1337"/>
      <c r="RGG12" s="1337"/>
      <c r="RGH12" s="1337"/>
      <c r="RGI12" s="1337"/>
      <c r="RGJ12" s="1338"/>
      <c r="RGK12" s="1339"/>
      <c r="RGL12" s="1340"/>
      <c r="RGM12" s="1340"/>
      <c r="RGN12" s="1340"/>
      <c r="RGO12" s="1341"/>
      <c r="RGP12" s="1342"/>
      <c r="RGQ12" s="1336"/>
      <c r="RGR12" s="1336"/>
      <c r="RGS12" s="1336"/>
      <c r="RGT12" s="1336"/>
      <c r="RGU12" s="1337"/>
      <c r="RGV12" s="1337"/>
      <c r="RGW12" s="1337"/>
      <c r="RGX12" s="1337"/>
      <c r="RGY12" s="1337"/>
      <c r="RGZ12" s="1338"/>
      <c r="RHA12" s="1339"/>
      <c r="RHB12" s="1340"/>
      <c r="RHC12" s="1340"/>
      <c r="RHD12" s="1340"/>
      <c r="RHE12" s="1341"/>
      <c r="RHF12" s="1342"/>
      <c r="RHG12" s="1336"/>
      <c r="RHH12" s="1336"/>
      <c r="RHI12" s="1336"/>
      <c r="RHJ12" s="1336"/>
      <c r="RHK12" s="1337"/>
      <c r="RHL12" s="1337"/>
      <c r="RHM12" s="1337"/>
      <c r="RHN12" s="1337"/>
      <c r="RHO12" s="1337"/>
      <c r="RHP12" s="1338"/>
      <c r="RHQ12" s="1339"/>
      <c r="RHR12" s="1340"/>
      <c r="RHS12" s="1340"/>
      <c r="RHT12" s="1340"/>
      <c r="RHU12" s="1341"/>
      <c r="RHV12" s="1342"/>
      <c r="RHW12" s="1336"/>
      <c r="RHX12" s="1336"/>
      <c r="RHY12" s="1336"/>
      <c r="RHZ12" s="1336"/>
      <c r="RIA12" s="1337"/>
      <c r="RIB12" s="1337"/>
      <c r="RIC12" s="1337"/>
      <c r="RID12" s="1337"/>
      <c r="RIE12" s="1337"/>
      <c r="RIF12" s="1338"/>
      <c r="RIG12" s="1339"/>
      <c r="RIH12" s="1340"/>
      <c r="RII12" s="1340"/>
      <c r="RIJ12" s="1340"/>
      <c r="RIK12" s="1341"/>
      <c r="RIL12" s="1342"/>
      <c r="RIM12" s="1336"/>
      <c r="RIN12" s="1336"/>
      <c r="RIO12" s="1336"/>
      <c r="RIP12" s="1336"/>
      <c r="RIQ12" s="1337"/>
      <c r="RIR12" s="1337"/>
      <c r="RIS12" s="1337"/>
      <c r="RIT12" s="1337"/>
      <c r="RIU12" s="1337"/>
      <c r="RIV12" s="1338"/>
      <c r="RIW12" s="1339"/>
      <c r="RIX12" s="1340"/>
      <c r="RIY12" s="1340"/>
      <c r="RIZ12" s="1340"/>
      <c r="RJA12" s="1341"/>
      <c r="RJB12" s="1342"/>
      <c r="RJC12" s="1336"/>
      <c r="RJD12" s="1336"/>
      <c r="RJE12" s="1336"/>
      <c r="RJF12" s="1336"/>
      <c r="RJG12" s="1337"/>
      <c r="RJH12" s="1337"/>
      <c r="RJI12" s="1337"/>
      <c r="RJJ12" s="1337"/>
      <c r="RJK12" s="1337"/>
      <c r="RJL12" s="1338"/>
      <c r="RJM12" s="1339"/>
      <c r="RJN12" s="1340"/>
      <c r="RJO12" s="1340"/>
      <c r="RJP12" s="1340"/>
      <c r="RJQ12" s="1341"/>
      <c r="RJR12" s="1342"/>
      <c r="RJS12" s="1336"/>
      <c r="RJT12" s="1336"/>
      <c r="RJU12" s="1336"/>
      <c r="RJV12" s="1336"/>
      <c r="RJW12" s="1337"/>
      <c r="RJX12" s="1337"/>
      <c r="RJY12" s="1337"/>
      <c r="RJZ12" s="1337"/>
      <c r="RKA12" s="1337"/>
      <c r="RKB12" s="1338"/>
      <c r="RKC12" s="1339"/>
      <c r="RKD12" s="1340"/>
      <c r="RKE12" s="1340"/>
      <c r="RKF12" s="1340"/>
      <c r="RKG12" s="1341"/>
      <c r="RKH12" s="1342"/>
      <c r="RKI12" s="1336"/>
      <c r="RKJ12" s="1336"/>
      <c r="RKK12" s="1336"/>
      <c r="RKL12" s="1336"/>
      <c r="RKM12" s="1337"/>
      <c r="RKN12" s="1337"/>
      <c r="RKO12" s="1337"/>
      <c r="RKP12" s="1337"/>
      <c r="RKQ12" s="1337"/>
      <c r="RKR12" s="1338"/>
      <c r="RKS12" s="1339"/>
      <c r="RKT12" s="1340"/>
      <c r="RKU12" s="1340"/>
      <c r="RKV12" s="1340"/>
      <c r="RKW12" s="1341"/>
      <c r="RKX12" s="1342"/>
      <c r="RKY12" s="1336"/>
      <c r="RKZ12" s="1336"/>
      <c r="RLA12" s="1336"/>
      <c r="RLB12" s="1336"/>
      <c r="RLC12" s="1337"/>
      <c r="RLD12" s="1337"/>
      <c r="RLE12" s="1337"/>
      <c r="RLF12" s="1337"/>
      <c r="RLG12" s="1337"/>
      <c r="RLH12" s="1338"/>
      <c r="RLI12" s="1339"/>
      <c r="RLJ12" s="1340"/>
      <c r="RLK12" s="1340"/>
      <c r="RLL12" s="1340"/>
      <c r="RLM12" s="1341"/>
      <c r="RLN12" s="1342"/>
      <c r="RLO12" s="1336"/>
      <c r="RLP12" s="1336"/>
      <c r="RLQ12" s="1336"/>
      <c r="RLR12" s="1336"/>
      <c r="RLS12" s="1337"/>
      <c r="RLT12" s="1337"/>
      <c r="RLU12" s="1337"/>
      <c r="RLV12" s="1337"/>
      <c r="RLW12" s="1337"/>
      <c r="RLX12" s="1338"/>
      <c r="RLY12" s="1339"/>
      <c r="RLZ12" s="1340"/>
      <c r="RMA12" s="1340"/>
      <c r="RMB12" s="1340"/>
      <c r="RMC12" s="1341"/>
      <c r="RMD12" s="1342"/>
      <c r="RME12" s="1336"/>
      <c r="RMF12" s="1336"/>
      <c r="RMG12" s="1336"/>
      <c r="RMH12" s="1336"/>
      <c r="RMI12" s="1337"/>
      <c r="RMJ12" s="1337"/>
      <c r="RMK12" s="1337"/>
      <c r="RML12" s="1337"/>
      <c r="RMM12" s="1337"/>
      <c r="RMN12" s="1338"/>
      <c r="RMO12" s="1339"/>
      <c r="RMP12" s="1340"/>
      <c r="RMQ12" s="1340"/>
      <c r="RMR12" s="1340"/>
      <c r="RMS12" s="1341"/>
      <c r="RMT12" s="1342"/>
      <c r="RMU12" s="1336"/>
      <c r="RMV12" s="1336"/>
      <c r="RMW12" s="1336"/>
      <c r="RMX12" s="1336"/>
      <c r="RMY12" s="1337"/>
      <c r="RMZ12" s="1337"/>
      <c r="RNA12" s="1337"/>
      <c r="RNB12" s="1337"/>
      <c r="RNC12" s="1337"/>
      <c r="RND12" s="1338"/>
      <c r="RNE12" s="1339"/>
      <c r="RNF12" s="1340"/>
      <c r="RNG12" s="1340"/>
      <c r="RNH12" s="1340"/>
      <c r="RNI12" s="1341"/>
      <c r="RNJ12" s="1342"/>
      <c r="RNK12" s="1336"/>
      <c r="RNL12" s="1336"/>
      <c r="RNM12" s="1336"/>
      <c r="RNN12" s="1336"/>
      <c r="RNO12" s="1337"/>
      <c r="RNP12" s="1337"/>
      <c r="RNQ12" s="1337"/>
      <c r="RNR12" s="1337"/>
      <c r="RNS12" s="1337"/>
      <c r="RNT12" s="1338"/>
      <c r="RNU12" s="1339"/>
      <c r="RNV12" s="1340"/>
      <c r="RNW12" s="1340"/>
      <c r="RNX12" s="1340"/>
      <c r="RNY12" s="1341"/>
      <c r="RNZ12" s="1342"/>
      <c r="ROA12" s="1336"/>
      <c r="ROB12" s="1336"/>
      <c r="ROC12" s="1336"/>
      <c r="ROD12" s="1336"/>
      <c r="ROE12" s="1337"/>
      <c r="ROF12" s="1337"/>
      <c r="ROG12" s="1337"/>
      <c r="ROH12" s="1337"/>
      <c r="ROI12" s="1337"/>
      <c r="ROJ12" s="1338"/>
      <c r="ROK12" s="1339"/>
      <c r="ROL12" s="1340"/>
      <c r="ROM12" s="1340"/>
      <c r="RON12" s="1340"/>
      <c r="ROO12" s="1341"/>
      <c r="ROP12" s="1342"/>
      <c r="ROQ12" s="1336"/>
      <c r="ROR12" s="1336"/>
      <c r="ROS12" s="1336"/>
      <c r="ROT12" s="1336"/>
      <c r="ROU12" s="1337"/>
      <c r="ROV12" s="1337"/>
      <c r="ROW12" s="1337"/>
      <c r="ROX12" s="1337"/>
      <c r="ROY12" s="1337"/>
      <c r="ROZ12" s="1338"/>
      <c r="RPA12" s="1339"/>
      <c r="RPB12" s="1340"/>
      <c r="RPC12" s="1340"/>
      <c r="RPD12" s="1340"/>
      <c r="RPE12" s="1341"/>
      <c r="RPF12" s="1342"/>
      <c r="RPG12" s="1336"/>
      <c r="RPH12" s="1336"/>
      <c r="RPI12" s="1336"/>
      <c r="RPJ12" s="1336"/>
      <c r="RPK12" s="1337"/>
      <c r="RPL12" s="1337"/>
      <c r="RPM12" s="1337"/>
      <c r="RPN12" s="1337"/>
      <c r="RPO12" s="1337"/>
      <c r="RPP12" s="1338"/>
      <c r="RPQ12" s="1339"/>
      <c r="RPR12" s="1340"/>
      <c r="RPS12" s="1340"/>
      <c r="RPT12" s="1340"/>
      <c r="RPU12" s="1341"/>
      <c r="RPV12" s="1342"/>
      <c r="RPW12" s="1336"/>
      <c r="RPX12" s="1336"/>
      <c r="RPY12" s="1336"/>
      <c r="RPZ12" s="1336"/>
      <c r="RQA12" s="1337"/>
      <c r="RQB12" s="1337"/>
      <c r="RQC12" s="1337"/>
      <c r="RQD12" s="1337"/>
      <c r="RQE12" s="1337"/>
      <c r="RQF12" s="1338"/>
      <c r="RQG12" s="1339"/>
      <c r="RQH12" s="1340"/>
      <c r="RQI12" s="1340"/>
      <c r="RQJ12" s="1340"/>
      <c r="RQK12" s="1341"/>
      <c r="RQL12" s="1342"/>
      <c r="RQM12" s="1336"/>
      <c r="RQN12" s="1336"/>
      <c r="RQO12" s="1336"/>
      <c r="RQP12" s="1336"/>
      <c r="RQQ12" s="1337"/>
      <c r="RQR12" s="1337"/>
      <c r="RQS12" s="1337"/>
      <c r="RQT12" s="1337"/>
      <c r="RQU12" s="1337"/>
      <c r="RQV12" s="1338"/>
      <c r="RQW12" s="1339"/>
      <c r="RQX12" s="1340"/>
      <c r="RQY12" s="1340"/>
      <c r="RQZ12" s="1340"/>
      <c r="RRA12" s="1341"/>
      <c r="RRB12" s="1342"/>
      <c r="RRC12" s="1336"/>
      <c r="RRD12" s="1336"/>
      <c r="RRE12" s="1336"/>
      <c r="RRF12" s="1336"/>
      <c r="RRG12" s="1337"/>
      <c r="RRH12" s="1337"/>
      <c r="RRI12" s="1337"/>
      <c r="RRJ12" s="1337"/>
      <c r="RRK12" s="1337"/>
      <c r="RRL12" s="1338"/>
      <c r="RRM12" s="1339"/>
      <c r="RRN12" s="1340"/>
      <c r="RRO12" s="1340"/>
      <c r="RRP12" s="1340"/>
      <c r="RRQ12" s="1341"/>
      <c r="RRR12" s="1342"/>
      <c r="RRS12" s="1336"/>
      <c r="RRT12" s="1336"/>
      <c r="RRU12" s="1336"/>
      <c r="RRV12" s="1336"/>
      <c r="RRW12" s="1337"/>
      <c r="RRX12" s="1337"/>
      <c r="RRY12" s="1337"/>
      <c r="RRZ12" s="1337"/>
      <c r="RSA12" s="1337"/>
      <c r="RSB12" s="1338"/>
      <c r="RSC12" s="1339"/>
      <c r="RSD12" s="1340"/>
      <c r="RSE12" s="1340"/>
      <c r="RSF12" s="1340"/>
      <c r="RSG12" s="1341"/>
      <c r="RSH12" s="1342"/>
      <c r="RSI12" s="1336"/>
      <c r="RSJ12" s="1336"/>
      <c r="RSK12" s="1336"/>
      <c r="RSL12" s="1336"/>
      <c r="RSM12" s="1337"/>
      <c r="RSN12" s="1337"/>
      <c r="RSO12" s="1337"/>
      <c r="RSP12" s="1337"/>
      <c r="RSQ12" s="1337"/>
      <c r="RSR12" s="1338"/>
      <c r="RSS12" s="1339"/>
      <c r="RST12" s="1340"/>
      <c r="RSU12" s="1340"/>
      <c r="RSV12" s="1340"/>
      <c r="RSW12" s="1341"/>
      <c r="RSX12" s="1342"/>
      <c r="RSY12" s="1336"/>
      <c r="RSZ12" s="1336"/>
      <c r="RTA12" s="1336"/>
      <c r="RTB12" s="1336"/>
      <c r="RTC12" s="1337"/>
      <c r="RTD12" s="1337"/>
      <c r="RTE12" s="1337"/>
      <c r="RTF12" s="1337"/>
      <c r="RTG12" s="1337"/>
      <c r="RTH12" s="1338"/>
      <c r="RTI12" s="1339"/>
      <c r="RTJ12" s="1340"/>
      <c r="RTK12" s="1340"/>
      <c r="RTL12" s="1340"/>
      <c r="RTM12" s="1341"/>
      <c r="RTN12" s="1342"/>
      <c r="RTO12" s="1336"/>
      <c r="RTP12" s="1336"/>
      <c r="RTQ12" s="1336"/>
      <c r="RTR12" s="1336"/>
      <c r="RTS12" s="1337"/>
      <c r="RTT12" s="1337"/>
      <c r="RTU12" s="1337"/>
      <c r="RTV12" s="1337"/>
      <c r="RTW12" s="1337"/>
      <c r="RTX12" s="1338"/>
      <c r="RTY12" s="1339"/>
      <c r="RTZ12" s="1340"/>
      <c r="RUA12" s="1340"/>
      <c r="RUB12" s="1340"/>
      <c r="RUC12" s="1341"/>
      <c r="RUD12" s="1342"/>
      <c r="RUE12" s="1336"/>
      <c r="RUF12" s="1336"/>
      <c r="RUG12" s="1336"/>
      <c r="RUH12" s="1336"/>
      <c r="RUI12" s="1337"/>
      <c r="RUJ12" s="1337"/>
      <c r="RUK12" s="1337"/>
      <c r="RUL12" s="1337"/>
      <c r="RUM12" s="1337"/>
      <c r="RUN12" s="1338"/>
      <c r="RUO12" s="1339"/>
      <c r="RUP12" s="1340"/>
      <c r="RUQ12" s="1340"/>
      <c r="RUR12" s="1340"/>
      <c r="RUS12" s="1341"/>
      <c r="RUT12" s="1342"/>
      <c r="RUU12" s="1336"/>
      <c r="RUV12" s="1336"/>
      <c r="RUW12" s="1336"/>
      <c r="RUX12" s="1336"/>
      <c r="RUY12" s="1337"/>
      <c r="RUZ12" s="1337"/>
      <c r="RVA12" s="1337"/>
      <c r="RVB12" s="1337"/>
      <c r="RVC12" s="1337"/>
      <c r="RVD12" s="1338"/>
      <c r="RVE12" s="1339"/>
      <c r="RVF12" s="1340"/>
      <c r="RVG12" s="1340"/>
      <c r="RVH12" s="1340"/>
      <c r="RVI12" s="1341"/>
      <c r="RVJ12" s="1342"/>
      <c r="RVK12" s="1336"/>
      <c r="RVL12" s="1336"/>
      <c r="RVM12" s="1336"/>
      <c r="RVN12" s="1336"/>
      <c r="RVO12" s="1337"/>
      <c r="RVP12" s="1337"/>
      <c r="RVQ12" s="1337"/>
      <c r="RVR12" s="1337"/>
      <c r="RVS12" s="1337"/>
      <c r="RVT12" s="1338"/>
      <c r="RVU12" s="1339"/>
      <c r="RVV12" s="1340"/>
      <c r="RVW12" s="1340"/>
      <c r="RVX12" s="1340"/>
      <c r="RVY12" s="1341"/>
      <c r="RVZ12" s="1342"/>
      <c r="RWA12" s="1336"/>
      <c r="RWB12" s="1336"/>
      <c r="RWC12" s="1336"/>
      <c r="RWD12" s="1336"/>
      <c r="RWE12" s="1337"/>
      <c r="RWF12" s="1337"/>
      <c r="RWG12" s="1337"/>
      <c r="RWH12" s="1337"/>
      <c r="RWI12" s="1337"/>
      <c r="RWJ12" s="1338"/>
      <c r="RWK12" s="1339"/>
      <c r="RWL12" s="1340"/>
      <c r="RWM12" s="1340"/>
      <c r="RWN12" s="1340"/>
      <c r="RWO12" s="1341"/>
      <c r="RWP12" s="1342"/>
      <c r="RWQ12" s="1336"/>
      <c r="RWR12" s="1336"/>
      <c r="RWS12" s="1336"/>
      <c r="RWT12" s="1336"/>
      <c r="RWU12" s="1337"/>
      <c r="RWV12" s="1337"/>
      <c r="RWW12" s="1337"/>
      <c r="RWX12" s="1337"/>
      <c r="RWY12" s="1337"/>
      <c r="RWZ12" s="1338"/>
      <c r="RXA12" s="1339"/>
      <c r="RXB12" s="1340"/>
      <c r="RXC12" s="1340"/>
      <c r="RXD12" s="1340"/>
      <c r="RXE12" s="1341"/>
      <c r="RXF12" s="1342"/>
      <c r="RXG12" s="1336"/>
      <c r="RXH12" s="1336"/>
      <c r="RXI12" s="1336"/>
      <c r="RXJ12" s="1336"/>
      <c r="RXK12" s="1337"/>
      <c r="RXL12" s="1337"/>
      <c r="RXM12" s="1337"/>
      <c r="RXN12" s="1337"/>
      <c r="RXO12" s="1337"/>
      <c r="RXP12" s="1338"/>
      <c r="RXQ12" s="1339"/>
      <c r="RXR12" s="1340"/>
      <c r="RXS12" s="1340"/>
      <c r="RXT12" s="1340"/>
      <c r="RXU12" s="1341"/>
      <c r="RXV12" s="1342"/>
      <c r="RXW12" s="1336"/>
      <c r="RXX12" s="1336"/>
      <c r="RXY12" s="1336"/>
      <c r="RXZ12" s="1336"/>
      <c r="RYA12" s="1337"/>
      <c r="RYB12" s="1337"/>
      <c r="RYC12" s="1337"/>
      <c r="RYD12" s="1337"/>
      <c r="RYE12" s="1337"/>
      <c r="RYF12" s="1338"/>
      <c r="RYG12" s="1339"/>
      <c r="RYH12" s="1340"/>
      <c r="RYI12" s="1340"/>
      <c r="RYJ12" s="1340"/>
      <c r="RYK12" s="1341"/>
      <c r="RYL12" s="1342"/>
      <c r="RYM12" s="1336"/>
      <c r="RYN12" s="1336"/>
      <c r="RYO12" s="1336"/>
      <c r="RYP12" s="1336"/>
      <c r="RYQ12" s="1337"/>
      <c r="RYR12" s="1337"/>
      <c r="RYS12" s="1337"/>
      <c r="RYT12" s="1337"/>
      <c r="RYU12" s="1337"/>
      <c r="RYV12" s="1338"/>
      <c r="RYW12" s="1339"/>
      <c r="RYX12" s="1340"/>
      <c r="RYY12" s="1340"/>
      <c r="RYZ12" s="1340"/>
      <c r="RZA12" s="1341"/>
      <c r="RZB12" s="1342"/>
      <c r="RZC12" s="1336"/>
      <c r="RZD12" s="1336"/>
      <c r="RZE12" s="1336"/>
      <c r="RZF12" s="1336"/>
      <c r="RZG12" s="1337"/>
      <c r="RZH12" s="1337"/>
      <c r="RZI12" s="1337"/>
      <c r="RZJ12" s="1337"/>
      <c r="RZK12" s="1337"/>
      <c r="RZL12" s="1338"/>
      <c r="RZM12" s="1339"/>
      <c r="RZN12" s="1340"/>
      <c r="RZO12" s="1340"/>
      <c r="RZP12" s="1340"/>
      <c r="RZQ12" s="1341"/>
      <c r="RZR12" s="1342"/>
      <c r="RZS12" s="1336"/>
      <c r="RZT12" s="1336"/>
      <c r="RZU12" s="1336"/>
      <c r="RZV12" s="1336"/>
      <c r="RZW12" s="1337"/>
      <c r="RZX12" s="1337"/>
      <c r="RZY12" s="1337"/>
      <c r="RZZ12" s="1337"/>
      <c r="SAA12" s="1337"/>
      <c r="SAB12" s="1338"/>
      <c r="SAC12" s="1339"/>
      <c r="SAD12" s="1340"/>
      <c r="SAE12" s="1340"/>
      <c r="SAF12" s="1340"/>
      <c r="SAG12" s="1341"/>
      <c r="SAH12" s="1342"/>
      <c r="SAI12" s="1336"/>
      <c r="SAJ12" s="1336"/>
      <c r="SAK12" s="1336"/>
      <c r="SAL12" s="1336"/>
      <c r="SAM12" s="1337"/>
      <c r="SAN12" s="1337"/>
      <c r="SAO12" s="1337"/>
      <c r="SAP12" s="1337"/>
      <c r="SAQ12" s="1337"/>
      <c r="SAR12" s="1338"/>
      <c r="SAS12" s="1339"/>
      <c r="SAT12" s="1340"/>
      <c r="SAU12" s="1340"/>
      <c r="SAV12" s="1340"/>
      <c r="SAW12" s="1341"/>
      <c r="SAX12" s="1342"/>
      <c r="SAY12" s="1336"/>
      <c r="SAZ12" s="1336"/>
      <c r="SBA12" s="1336"/>
      <c r="SBB12" s="1336"/>
      <c r="SBC12" s="1337"/>
      <c r="SBD12" s="1337"/>
      <c r="SBE12" s="1337"/>
      <c r="SBF12" s="1337"/>
      <c r="SBG12" s="1337"/>
      <c r="SBH12" s="1338"/>
      <c r="SBI12" s="1339"/>
      <c r="SBJ12" s="1340"/>
      <c r="SBK12" s="1340"/>
      <c r="SBL12" s="1340"/>
      <c r="SBM12" s="1341"/>
      <c r="SBN12" s="1342"/>
      <c r="SBO12" s="1336"/>
      <c r="SBP12" s="1336"/>
      <c r="SBQ12" s="1336"/>
      <c r="SBR12" s="1336"/>
      <c r="SBS12" s="1337"/>
      <c r="SBT12" s="1337"/>
      <c r="SBU12" s="1337"/>
      <c r="SBV12" s="1337"/>
      <c r="SBW12" s="1337"/>
      <c r="SBX12" s="1338"/>
      <c r="SBY12" s="1339"/>
      <c r="SBZ12" s="1340"/>
      <c r="SCA12" s="1340"/>
      <c r="SCB12" s="1340"/>
      <c r="SCC12" s="1341"/>
      <c r="SCD12" s="1342"/>
      <c r="SCE12" s="1336"/>
      <c r="SCF12" s="1336"/>
      <c r="SCG12" s="1336"/>
      <c r="SCH12" s="1336"/>
      <c r="SCI12" s="1337"/>
      <c r="SCJ12" s="1337"/>
      <c r="SCK12" s="1337"/>
      <c r="SCL12" s="1337"/>
      <c r="SCM12" s="1337"/>
      <c r="SCN12" s="1338"/>
      <c r="SCO12" s="1339"/>
      <c r="SCP12" s="1340"/>
      <c r="SCQ12" s="1340"/>
      <c r="SCR12" s="1340"/>
      <c r="SCS12" s="1341"/>
      <c r="SCT12" s="1342"/>
      <c r="SCU12" s="1336"/>
      <c r="SCV12" s="1336"/>
      <c r="SCW12" s="1336"/>
      <c r="SCX12" s="1336"/>
      <c r="SCY12" s="1337"/>
      <c r="SCZ12" s="1337"/>
      <c r="SDA12" s="1337"/>
      <c r="SDB12" s="1337"/>
      <c r="SDC12" s="1337"/>
      <c r="SDD12" s="1338"/>
      <c r="SDE12" s="1339"/>
      <c r="SDF12" s="1340"/>
      <c r="SDG12" s="1340"/>
      <c r="SDH12" s="1340"/>
      <c r="SDI12" s="1341"/>
      <c r="SDJ12" s="1342"/>
      <c r="SDK12" s="1336"/>
      <c r="SDL12" s="1336"/>
      <c r="SDM12" s="1336"/>
      <c r="SDN12" s="1336"/>
      <c r="SDO12" s="1337"/>
      <c r="SDP12" s="1337"/>
      <c r="SDQ12" s="1337"/>
      <c r="SDR12" s="1337"/>
      <c r="SDS12" s="1337"/>
      <c r="SDT12" s="1338"/>
      <c r="SDU12" s="1339"/>
      <c r="SDV12" s="1340"/>
      <c r="SDW12" s="1340"/>
      <c r="SDX12" s="1340"/>
      <c r="SDY12" s="1341"/>
      <c r="SDZ12" s="1342"/>
      <c r="SEA12" s="1336"/>
      <c r="SEB12" s="1336"/>
      <c r="SEC12" s="1336"/>
      <c r="SED12" s="1336"/>
      <c r="SEE12" s="1337"/>
      <c r="SEF12" s="1337"/>
      <c r="SEG12" s="1337"/>
      <c r="SEH12" s="1337"/>
      <c r="SEI12" s="1337"/>
      <c r="SEJ12" s="1338"/>
      <c r="SEK12" s="1339"/>
      <c r="SEL12" s="1340"/>
      <c r="SEM12" s="1340"/>
      <c r="SEN12" s="1340"/>
      <c r="SEO12" s="1341"/>
      <c r="SEP12" s="1342"/>
      <c r="SEQ12" s="1336"/>
      <c r="SER12" s="1336"/>
      <c r="SES12" s="1336"/>
      <c r="SET12" s="1336"/>
      <c r="SEU12" s="1337"/>
      <c r="SEV12" s="1337"/>
      <c r="SEW12" s="1337"/>
      <c r="SEX12" s="1337"/>
      <c r="SEY12" s="1337"/>
      <c r="SEZ12" s="1338"/>
      <c r="SFA12" s="1339"/>
      <c r="SFB12" s="1340"/>
      <c r="SFC12" s="1340"/>
      <c r="SFD12" s="1340"/>
      <c r="SFE12" s="1341"/>
      <c r="SFF12" s="1342"/>
      <c r="SFG12" s="1336"/>
      <c r="SFH12" s="1336"/>
      <c r="SFI12" s="1336"/>
      <c r="SFJ12" s="1336"/>
      <c r="SFK12" s="1337"/>
      <c r="SFL12" s="1337"/>
      <c r="SFM12" s="1337"/>
      <c r="SFN12" s="1337"/>
      <c r="SFO12" s="1337"/>
      <c r="SFP12" s="1338"/>
      <c r="SFQ12" s="1339"/>
      <c r="SFR12" s="1340"/>
      <c r="SFS12" s="1340"/>
      <c r="SFT12" s="1340"/>
      <c r="SFU12" s="1341"/>
      <c r="SFV12" s="1342"/>
      <c r="SFW12" s="1336"/>
      <c r="SFX12" s="1336"/>
      <c r="SFY12" s="1336"/>
      <c r="SFZ12" s="1336"/>
      <c r="SGA12" s="1337"/>
      <c r="SGB12" s="1337"/>
      <c r="SGC12" s="1337"/>
      <c r="SGD12" s="1337"/>
      <c r="SGE12" s="1337"/>
      <c r="SGF12" s="1338"/>
      <c r="SGG12" s="1339"/>
      <c r="SGH12" s="1340"/>
      <c r="SGI12" s="1340"/>
      <c r="SGJ12" s="1340"/>
      <c r="SGK12" s="1341"/>
      <c r="SGL12" s="1342"/>
      <c r="SGM12" s="1336"/>
      <c r="SGN12" s="1336"/>
      <c r="SGO12" s="1336"/>
      <c r="SGP12" s="1336"/>
      <c r="SGQ12" s="1337"/>
      <c r="SGR12" s="1337"/>
      <c r="SGS12" s="1337"/>
      <c r="SGT12" s="1337"/>
      <c r="SGU12" s="1337"/>
      <c r="SGV12" s="1338"/>
      <c r="SGW12" s="1339"/>
      <c r="SGX12" s="1340"/>
      <c r="SGY12" s="1340"/>
      <c r="SGZ12" s="1340"/>
      <c r="SHA12" s="1341"/>
      <c r="SHB12" s="1342"/>
      <c r="SHC12" s="1336"/>
      <c r="SHD12" s="1336"/>
      <c r="SHE12" s="1336"/>
      <c r="SHF12" s="1336"/>
      <c r="SHG12" s="1337"/>
      <c r="SHH12" s="1337"/>
      <c r="SHI12" s="1337"/>
      <c r="SHJ12" s="1337"/>
      <c r="SHK12" s="1337"/>
      <c r="SHL12" s="1338"/>
      <c r="SHM12" s="1339"/>
      <c r="SHN12" s="1340"/>
      <c r="SHO12" s="1340"/>
      <c r="SHP12" s="1340"/>
      <c r="SHQ12" s="1341"/>
      <c r="SHR12" s="1342"/>
      <c r="SHS12" s="1336"/>
      <c r="SHT12" s="1336"/>
      <c r="SHU12" s="1336"/>
      <c r="SHV12" s="1336"/>
      <c r="SHW12" s="1337"/>
      <c r="SHX12" s="1337"/>
      <c r="SHY12" s="1337"/>
      <c r="SHZ12" s="1337"/>
      <c r="SIA12" s="1337"/>
      <c r="SIB12" s="1338"/>
      <c r="SIC12" s="1339"/>
      <c r="SID12" s="1340"/>
      <c r="SIE12" s="1340"/>
      <c r="SIF12" s="1340"/>
      <c r="SIG12" s="1341"/>
      <c r="SIH12" s="1342"/>
      <c r="SII12" s="1336"/>
      <c r="SIJ12" s="1336"/>
      <c r="SIK12" s="1336"/>
      <c r="SIL12" s="1336"/>
      <c r="SIM12" s="1337"/>
      <c r="SIN12" s="1337"/>
      <c r="SIO12" s="1337"/>
      <c r="SIP12" s="1337"/>
      <c r="SIQ12" s="1337"/>
      <c r="SIR12" s="1338"/>
      <c r="SIS12" s="1339"/>
      <c r="SIT12" s="1340"/>
      <c r="SIU12" s="1340"/>
      <c r="SIV12" s="1340"/>
      <c r="SIW12" s="1341"/>
      <c r="SIX12" s="1342"/>
      <c r="SIY12" s="1336"/>
      <c r="SIZ12" s="1336"/>
      <c r="SJA12" s="1336"/>
      <c r="SJB12" s="1336"/>
      <c r="SJC12" s="1337"/>
      <c r="SJD12" s="1337"/>
      <c r="SJE12" s="1337"/>
      <c r="SJF12" s="1337"/>
      <c r="SJG12" s="1337"/>
      <c r="SJH12" s="1338"/>
      <c r="SJI12" s="1339"/>
      <c r="SJJ12" s="1340"/>
      <c r="SJK12" s="1340"/>
      <c r="SJL12" s="1340"/>
      <c r="SJM12" s="1341"/>
      <c r="SJN12" s="1342"/>
      <c r="SJO12" s="1336"/>
      <c r="SJP12" s="1336"/>
      <c r="SJQ12" s="1336"/>
      <c r="SJR12" s="1336"/>
      <c r="SJS12" s="1337"/>
      <c r="SJT12" s="1337"/>
      <c r="SJU12" s="1337"/>
      <c r="SJV12" s="1337"/>
      <c r="SJW12" s="1337"/>
      <c r="SJX12" s="1338"/>
      <c r="SJY12" s="1339"/>
      <c r="SJZ12" s="1340"/>
      <c r="SKA12" s="1340"/>
      <c r="SKB12" s="1340"/>
      <c r="SKC12" s="1341"/>
      <c r="SKD12" s="1342"/>
      <c r="SKE12" s="1336"/>
      <c r="SKF12" s="1336"/>
      <c r="SKG12" s="1336"/>
      <c r="SKH12" s="1336"/>
      <c r="SKI12" s="1337"/>
      <c r="SKJ12" s="1337"/>
      <c r="SKK12" s="1337"/>
      <c r="SKL12" s="1337"/>
      <c r="SKM12" s="1337"/>
      <c r="SKN12" s="1338"/>
      <c r="SKO12" s="1339"/>
      <c r="SKP12" s="1340"/>
      <c r="SKQ12" s="1340"/>
      <c r="SKR12" s="1340"/>
      <c r="SKS12" s="1341"/>
      <c r="SKT12" s="1342"/>
      <c r="SKU12" s="1336"/>
      <c r="SKV12" s="1336"/>
      <c r="SKW12" s="1336"/>
      <c r="SKX12" s="1336"/>
      <c r="SKY12" s="1337"/>
      <c r="SKZ12" s="1337"/>
      <c r="SLA12" s="1337"/>
      <c r="SLB12" s="1337"/>
      <c r="SLC12" s="1337"/>
      <c r="SLD12" s="1338"/>
      <c r="SLE12" s="1339"/>
      <c r="SLF12" s="1340"/>
      <c r="SLG12" s="1340"/>
      <c r="SLH12" s="1340"/>
      <c r="SLI12" s="1341"/>
      <c r="SLJ12" s="1342"/>
      <c r="SLK12" s="1336"/>
      <c r="SLL12" s="1336"/>
      <c r="SLM12" s="1336"/>
      <c r="SLN12" s="1336"/>
      <c r="SLO12" s="1337"/>
      <c r="SLP12" s="1337"/>
      <c r="SLQ12" s="1337"/>
      <c r="SLR12" s="1337"/>
      <c r="SLS12" s="1337"/>
      <c r="SLT12" s="1338"/>
      <c r="SLU12" s="1339"/>
      <c r="SLV12" s="1340"/>
      <c r="SLW12" s="1340"/>
      <c r="SLX12" s="1340"/>
      <c r="SLY12" s="1341"/>
      <c r="SLZ12" s="1342"/>
      <c r="SMA12" s="1336"/>
      <c r="SMB12" s="1336"/>
      <c r="SMC12" s="1336"/>
      <c r="SMD12" s="1336"/>
      <c r="SME12" s="1337"/>
      <c r="SMF12" s="1337"/>
      <c r="SMG12" s="1337"/>
      <c r="SMH12" s="1337"/>
      <c r="SMI12" s="1337"/>
      <c r="SMJ12" s="1338"/>
      <c r="SMK12" s="1339"/>
      <c r="SML12" s="1340"/>
      <c r="SMM12" s="1340"/>
      <c r="SMN12" s="1340"/>
      <c r="SMO12" s="1341"/>
      <c r="SMP12" s="1342"/>
      <c r="SMQ12" s="1336"/>
      <c r="SMR12" s="1336"/>
      <c r="SMS12" s="1336"/>
      <c r="SMT12" s="1336"/>
      <c r="SMU12" s="1337"/>
      <c r="SMV12" s="1337"/>
      <c r="SMW12" s="1337"/>
      <c r="SMX12" s="1337"/>
      <c r="SMY12" s="1337"/>
      <c r="SMZ12" s="1338"/>
      <c r="SNA12" s="1339"/>
      <c r="SNB12" s="1340"/>
      <c r="SNC12" s="1340"/>
      <c r="SND12" s="1340"/>
      <c r="SNE12" s="1341"/>
      <c r="SNF12" s="1342"/>
      <c r="SNG12" s="1336"/>
      <c r="SNH12" s="1336"/>
      <c r="SNI12" s="1336"/>
      <c r="SNJ12" s="1336"/>
      <c r="SNK12" s="1337"/>
      <c r="SNL12" s="1337"/>
      <c r="SNM12" s="1337"/>
      <c r="SNN12" s="1337"/>
      <c r="SNO12" s="1337"/>
      <c r="SNP12" s="1338"/>
      <c r="SNQ12" s="1339"/>
      <c r="SNR12" s="1340"/>
      <c r="SNS12" s="1340"/>
      <c r="SNT12" s="1340"/>
      <c r="SNU12" s="1341"/>
      <c r="SNV12" s="1342"/>
      <c r="SNW12" s="1336"/>
      <c r="SNX12" s="1336"/>
      <c r="SNY12" s="1336"/>
      <c r="SNZ12" s="1336"/>
      <c r="SOA12" s="1337"/>
      <c r="SOB12" s="1337"/>
      <c r="SOC12" s="1337"/>
      <c r="SOD12" s="1337"/>
      <c r="SOE12" s="1337"/>
      <c r="SOF12" s="1338"/>
      <c r="SOG12" s="1339"/>
      <c r="SOH12" s="1340"/>
      <c r="SOI12" s="1340"/>
      <c r="SOJ12" s="1340"/>
      <c r="SOK12" s="1341"/>
      <c r="SOL12" s="1342"/>
      <c r="SOM12" s="1336"/>
      <c r="SON12" s="1336"/>
      <c r="SOO12" s="1336"/>
      <c r="SOP12" s="1336"/>
      <c r="SOQ12" s="1337"/>
      <c r="SOR12" s="1337"/>
      <c r="SOS12" s="1337"/>
      <c r="SOT12" s="1337"/>
      <c r="SOU12" s="1337"/>
      <c r="SOV12" s="1338"/>
      <c r="SOW12" s="1339"/>
      <c r="SOX12" s="1340"/>
      <c r="SOY12" s="1340"/>
      <c r="SOZ12" s="1340"/>
      <c r="SPA12" s="1341"/>
      <c r="SPB12" s="1342"/>
      <c r="SPC12" s="1336"/>
      <c r="SPD12" s="1336"/>
      <c r="SPE12" s="1336"/>
      <c r="SPF12" s="1336"/>
      <c r="SPG12" s="1337"/>
      <c r="SPH12" s="1337"/>
      <c r="SPI12" s="1337"/>
      <c r="SPJ12" s="1337"/>
      <c r="SPK12" s="1337"/>
      <c r="SPL12" s="1338"/>
      <c r="SPM12" s="1339"/>
      <c r="SPN12" s="1340"/>
      <c r="SPO12" s="1340"/>
      <c r="SPP12" s="1340"/>
      <c r="SPQ12" s="1341"/>
      <c r="SPR12" s="1342"/>
      <c r="SPS12" s="1336"/>
      <c r="SPT12" s="1336"/>
      <c r="SPU12" s="1336"/>
      <c r="SPV12" s="1336"/>
      <c r="SPW12" s="1337"/>
      <c r="SPX12" s="1337"/>
      <c r="SPY12" s="1337"/>
      <c r="SPZ12" s="1337"/>
      <c r="SQA12" s="1337"/>
      <c r="SQB12" s="1338"/>
      <c r="SQC12" s="1339"/>
      <c r="SQD12" s="1340"/>
      <c r="SQE12" s="1340"/>
      <c r="SQF12" s="1340"/>
      <c r="SQG12" s="1341"/>
      <c r="SQH12" s="1342"/>
      <c r="SQI12" s="1336"/>
      <c r="SQJ12" s="1336"/>
      <c r="SQK12" s="1336"/>
      <c r="SQL12" s="1336"/>
      <c r="SQM12" s="1337"/>
      <c r="SQN12" s="1337"/>
      <c r="SQO12" s="1337"/>
      <c r="SQP12" s="1337"/>
      <c r="SQQ12" s="1337"/>
      <c r="SQR12" s="1338"/>
      <c r="SQS12" s="1339"/>
      <c r="SQT12" s="1340"/>
      <c r="SQU12" s="1340"/>
      <c r="SQV12" s="1340"/>
      <c r="SQW12" s="1341"/>
      <c r="SQX12" s="1342"/>
      <c r="SQY12" s="1336"/>
      <c r="SQZ12" s="1336"/>
      <c r="SRA12" s="1336"/>
      <c r="SRB12" s="1336"/>
      <c r="SRC12" s="1337"/>
      <c r="SRD12" s="1337"/>
      <c r="SRE12" s="1337"/>
      <c r="SRF12" s="1337"/>
      <c r="SRG12" s="1337"/>
      <c r="SRH12" s="1338"/>
      <c r="SRI12" s="1339"/>
      <c r="SRJ12" s="1340"/>
      <c r="SRK12" s="1340"/>
      <c r="SRL12" s="1340"/>
      <c r="SRM12" s="1341"/>
      <c r="SRN12" s="1342"/>
      <c r="SRO12" s="1336"/>
      <c r="SRP12" s="1336"/>
      <c r="SRQ12" s="1336"/>
      <c r="SRR12" s="1336"/>
      <c r="SRS12" s="1337"/>
      <c r="SRT12" s="1337"/>
      <c r="SRU12" s="1337"/>
      <c r="SRV12" s="1337"/>
      <c r="SRW12" s="1337"/>
      <c r="SRX12" s="1338"/>
      <c r="SRY12" s="1339"/>
      <c r="SRZ12" s="1340"/>
      <c r="SSA12" s="1340"/>
      <c r="SSB12" s="1340"/>
      <c r="SSC12" s="1341"/>
      <c r="SSD12" s="1342"/>
      <c r="SSE12" s="1336"/>
      <c r="SSF12" s="1336"/>
      <c r="SSG12" s="1336"/>
      <c r="SSH12" s="1336"/>
      <c r="SSI12" s="1337"/>
      <c r="SSJ12" s="1337"/>
      <c r="SSK12" s="1337"/>
      <c r="SSL12" s="1337"/>
      <c r="SSM12" s="1337"/>
      <c r="SSN12" s="1338"/>
      <c r="SSO12" s="1339"/>
      <c r="SSP12" s="1340"/>
      <c r="SSQ12" s="1340"/>
      <c r="SSR12" s="1340"/>
      <c r="SSS12" s="1341"/>
      <c r="SST12" s="1342"/>
      <c r="SSU12" s="1336"/>
      <c r="SSV12" s="1336"/>
      <c r="SSW12" s="1336"/>
      <c r="SSX12" s="1336"/>
      <c r="SSY12" s="1337"/>
      <c r="SSZ12" s="1337"/>
      <c r="STA12" s="1337"/>
      <c r="STB12" s="1337"/>
      <c r="STC12" s="1337"/>
      <c r="STD12" s="1338"/>
      <c r="STE12" s="1339"/>
      <c r="STF12" s="1340"/>
      <c r="STG12" s="1340"/>
      <c r="STH12" s="1340"/>
      <c r="STI12" s="1341"/>
      <c r="STJ12" s="1342"/>
      <c r="STK12" s="1336"/>
      <c r="STL12" s="1336"/>
      <c r="STM12" s="1336"/>
      <c r="STN12" s="1336"/>
      <c r="STO12" s="1337"/>
      <c r="STP12" s="1337"/>
      <c r="STQ12" s="1337"/>
      <c r="STR12" s="1337"/>
      <c r="STS12" s="1337"/>
      <c r="STT12" s="1338"/>
      <c r="STU12" s="1339"/>
      <c r="STV12" s="1340"/>
      <c r="STW12" s="1340"/>
      <c r="STX12" s="1340"/>
      <c r="STY12" s="1341"/>
      <c r="STZ12" s="1342"/>
      <c r="SUA12" s="1336"/>
      <c r="SUB12" s="1336"/>
      <c r="SUC12" s="1336"/>
      <c r="SUD12" s="1336"/>
      <c r="SUE12" s="1337"/>
      <c r="SUF12" s="1337"/>
      <c r="SUG12" s="1337"/>
      <c r="SUH12" s="1337"/>
      <c r="SUI12" s="1337"/>
      <c r="SUJ12" s="1338"/>
      <c r="SUK12" s="1339"/>
      <c r="SUL12" s="1340"/>
      <c r="SUM12" s="1340"/>
      <c r="SUN12" s="1340"/>
      <c r="SUO12" s="1341"/>
      <c r="SUP12" s="1342"/>
      <c r="SUQ12" s="1336"/>
      <c r="SUR12" s="1336"/>
      <c r="SUS12" s="1336"/>
      <c r="SUT12" s="1336"/>
      <c r="SUU12" s="1337"/>
      <c r="SUV12" s="1337"/>
      <c r="SUW12" s="1337"/>
      <c r="SUX12" s="1337"/>
      <c r="SUY12" s="1337"/>
      <c r="SUZ12" s="1338"/>
      <c r="SVA12" s="1339"/>
      <c r="SVB12" s="1340"/>
      <c r="SVC12" s="1340"/>
      <c r="SVD12" s="1340"/>
      <c r="SVE12" s="1341"/>
      <c r="SVF12" s="1342"/>
      <c r="SVG12" s="1336"/>
      <c r="SVH12" s="1336"/>
      <c r="SVI12" s="1336"/>
      <c r="SVJ12" s="1336"/>
      <c r="SVK12" s="1337"/>
      <c r="SVL12" s="1337"/>
      <c r="SVM12" s="1337"/>
      <c r="SVN12" s="1337"/>
      <c r="SVO12" s="1337"/>
      <c r="SVP12" s="1338"/>
      <c r="SVQ12" s="1339"/>
      <c r="SVR12" s="1340"/>
      <c r="SVS12" s="1340"/>
      <c r="SVT12" s="1340"/>
      <c r="SVU12" s="1341"/>
      <c r="SVV12" s="1342"/>
      <c r="SVW12" s="1336"/>
      <c r="SVX12" s="1336"/>
      <c r="SVY12" s="1336"/>
      <c r="SVZ12" s="1336"/>
      <c r="SWA12" s="1337"/>
      <c r="SWB12" s="1337"/>
      <c r="SWC12" s="1337"/>
      <c r="SWD12" s="1337"/>
      <c r="SWE12" s="1337"/>
      <c r="SWF12" s="1338"/>
      <c r="SWG12" s="1339"/>
      <c r="SWH12" s="1340"/>
      <c r="SWI12" s="1340"/>
      <c r="SWJ12" s="1340"/>
      <c r="SWK12" s="1341"/>
      <c r="SWL12" s="1342"/>
      <c r="SWM12" s="1336"/>
      <c r="SWN12" s="1336"/>
      <c r="SWO12" s="1336"/>
      <c r="SWP12" s="1336"/>
      <c r="SWQ12" s="1337"/>
      <c r="SWR12" s="1337"/>
      <c r="SWS12" s="1337"/>
      <c r="SWT12" s="1337"/>
      <c r="SWU12" s="1337"/>
      <c r="SWV12" s="1338"/>
      <c r="SWW12" s="1339"/>
      <c r="SWX12" s="1340"/>
      <c r="SWY12" s="1340"/>
      <c r="SWZ12" s="1340"/>
      <c r="SXA12" s="1341"/>
      <c r="SXB12" s="1342"/>
      <c r="SXC12" s="1336"/>
      <c r="SXD12" s="1336"/>
      <c r="SXE12" s="1336"/>
      <c r="SXF12" s="1336"/>
      <c r="SXG12" s="1337"/>
      <c r="SXH12" s="1337"/>
      <c r="SXI12" s="1337"/>
      <c r="SXJ12" s="1337"/>
      <c r="SXK12" s="1337"/>
      <c r="SXL12" s="1338"/>
      <c r="SXM12" s="1339"/>
      <c r="SXN12" s="1340"/>
      <c r="SXO12" s="1340"/>
      <c r="SXP12" s="1340"/>
      <c r="SXQ12" s="1341"/>
      <c r="SXR12" s="1342"/>
      <c r="SXS12" s="1336"/>
      <c r="SXT12" s="1336"/>
      <c r="SXU12" s="1336"/>
      <c r="SXV12" s="1336"/>
      <c r="SXW12" s="1337"/>
      <c r="SXX12" s="1337"/>
      <c r="SXY12" s="1337"/>
      <c r="SXZ12" s="1337"/>
      <c r="SYA12" s="1337"/>
      <c r="SYB12" s="1338"/>
      <c r="SYC12" s="1339"/>
      <c r="SYD12" s="1340"/>
      <c r="SYE12" s="1340"/>
      <c r="SYF12" s="1340"/>
      <c r="SYG12" s="1341"/>
      <c r="SYH12" s="1342"/>
      <c r="SYI12" s="1336"/>
      <c r="SYJ12" s="1336"/>
      <c r="SYK12" s="1336"/>
      <c r="SYL12" s="1336"/>
      <c r="SYM12" s="1337"/>
      <c r="SYN12" s="1337"/>
      <c r="SYO12" s="1337"/>
      <c r="SYP12" s="1337"/>
      <c r="SYQ12" s="1337"/>
      <c r="SYR12" s="1338"/>
      <c r="SYS12" s="1339"/>
      <c r="SYT12" s="1340"/>
      <c r="SYU12" s="1340"/>
      <c r="SYV12" s="1340"/>
      <c r="SYW12" s="1341"/>
      <c r="SYX12" s="1342"/>
      <c r="SYY12" s="1336"/>
      <c r="SYZ12" s="1336"/>
      <c r="SZA12" s="1336"/>
      <c r="SZB12" s="1336"/>
      <c r="SZC12" s="1337"/>
      <c r="SZD12" s="1337"/>
      <c r="SZE12" s="1337"/>
      <c r="SZF12" s="1337"/>
      <c r="SZG12" s="1337"/>
      <c r="SZH12" s="1338"/>
      <c r="SZI12" s="1339"/>
      <c r="SZJ12" s="1340"/>
      <c r="SZK12" s="1340"/>
      <c r="SZL12" s="1340"/>
      <c r="SZM12" s="1341"/>
      <c r="SZN12" s="1342"/>
      <c r="SZO12" s="1336"/>
      <c r="SZP12" s="1336"/>
      <c r="SZQ12" s="1336"/>
      <c r="SZR12" s="1336"/>
      <c r="SZS12" s="1337"/>
      <c r="SZT12" s="1337"/>
      <c r="SZU12" s="1337"/>
      <c r="SZV12" s="1337"/>
      <c r="SZW12" s="1337"/>
      <c r="SZX12" s="1338"/>
      <c r="SZY12" s="1339"/>
      <c r="SZZ12" s="1340"/>
      <c r="TAA12" s="1340"/>
      <c r="TAB12" s="1340"/>
      <c r="TAC12" s="1341"/>
      <c r="TAD12" s="1342"/>
      <c r="TAE12" s="1336"/>
      <c r="TAF12" s="1336"/>
      <c r="TAG12" s="1336"/>
      <c r="TAH12" s="1336"/>
      <c r="TAI12" s="1337"/>
      <c r="TAJ12" s="1337"/>
      <c r="TAK12" s="1337"/>
      <c r="TAL12" s="1337"/>
      <c r="TAM12" s="1337"/>
      <c r="TAN12" s="1338"/>
      <c r="TAO12" s="1339"/>
      <c r="TAP12" s="1340"/>
      <c r="TAQ12" s="1340"/>
      <c r="TAR12" s="1340"/>
      <c r="TAS12" s="1341"/>
      <c r="TAT12" s="1342"/>
      <c r="TAU12" s="1336"/>
      <c r="TAV12" s="1336"/>
      <c r="TAW12" s="1336"/>
      <c r="TAX12" s="1336"/>
      <c r="TAY12" s="1337"/>
      <c r="TAZ12" s="1337"/>
      <c r="TBA12" s="1337"/>
      <c r="TBB12" s="1337"/>
      <c r="TBC12" s="1337"/>
      <c r="TBD12" s="1338"/>
      <c r="TBE12" s="1339"/>
      <c r="TBF12" s="1340"/>
      <c r="TBG12" s="1340"/>
      <c r="TBH12" s="1340"/>
      <c r="TBI12" s="1341"/>
      <c r="TBJ12" s="1342"/>
      <c r="TBK12" s="1336"/>
      <c r="TBL12" s="1336"/>
      <c r="TBM12" s="1336"/>
      <c r="TBN12" s="1336"/>
      <c r="TBO12" s="1337"/>
      <c r="TBP12" s="1337"/>
      <c r="TBQ12" s="1337"/>
      <c r="TBR12" s="1337"/>
      <c r="TBS12" s="1337"/>
      <c r="TBT12" s="1338"/>
      <c r="TBU12" s="1339"/>
      <c r="TBV12" s="1340"/>
      <c r="TBW12" s="1340"/>
      <c r="TBX12" s="1340"/>
      <c r="TBY12" s="1341"/>
      <c r="TBZ12" s="1342"/>
      <c r="TCA12" s="1336"/>
      <c r="TCB12" s="1336"/>
      <c r="TCC12" s="1336"/>
      <c r="TCD12" s="1336"/>
      <c r="TCE12" s="1337"/>
      <c r="TCF12" s="1337"/>
      <c r="TCG12" s="1337"/>
      <c r="TCH12" s="1337"/>
      <c r="TCI12" s="1337"/>
      <c r="TCJ12" s="1338"/>
      <c r="TCK12" s="1339"/>
      <c r="TCL12" s="1340"/>
      <c r="TCM12" s="1340"/>
      <c r="TCN12" s="1340"/>
      <c r="TCO12" s="1341"/>
      <c r="TCP12" s="1342"/>
      <c r="TCQ12" s="1336"/>
      <c r="TCR12" s="1336"/>
      <c r="TCS12" s="1336"/>
      <c r="TCT12" s="1336"/>
      <c r="TCU12" s="1337"/>
      <c r="TCV12" s="1337"/>
      <c r="TCW12" s="1337"/>
      <c r="TCX12" s="1337"/>
      <c r="TCY12" s="1337"/>
      <c r="TCZ12" s="1338"/>
      <c r="TDA12" s="1339"/>
      <c r="TDB12" s="1340"/>
      <c r="TDC12" s="1340"/>
      <c r="TDD12" s="1340"/>
      <c r="TDE12" s="1341"/>
      <c r="TDF12" s="1342"/>
      <c r="TDG12" s="1336"/>
      <c r="TDH12" s="1336"/>
      <c r="TDI12" s="1336"/>
      <c r="TDJ12" s="1336"/>
      <c r="TDK12" s="1337"/>
      <c r="TDL12" s="1337"/>
      <c r="TDM12" s="1337"/>
      <c r="TDN12" s="1337"/>
      <c r="TDO12" s="1337"/>
      <c r="TDP12" s="1338"/>
      <c r="TDQ12" s="1339"/>
      <c r="TDR12" s="1340"/>
      <c r="TDS12" s="1340"/>
      <c r="TDT12" s="1340"/>
      <c r="TDU12" s="1341"/>
      <c r="TDV12" s="1342"/>
      <c r="TDW12" s="1336"/>
      <c r="TDX12" s="1336"/>
      <c r="TDY12" s="1336"/>
      <c r="TDZ12" s="1336"/>
      <c r="TEA12" s="1337"/>
      <c r="TEB12" s="1337"/>
      <c r="TEC12" s="1337"/>
      <c r="TED12" s="1337"/>
      <c r="TEE12" s="1337"/>
      <c r="TEF12" s="1338"/>
      <c r="TEG12" s="1339"/>
      <c r="TEH12" s="1340"/>
      <c r="TEI12" s="1340"/>
      <c r="TEJ12" s="1340"/>
      <c r="TEK12" s="1341"/>
      <c r="TEL12" s="1342"/>
      <c r="TEM12" s="1336"/>
      <c r="TEN12" s="1336"/>
      <c r="TEO12" s="1336"/>
      <c r="TEP12" s="1336"/>
      <c r="TEQ12" s="1337"/>
      <c r="TER12" s="1337"/>
      <c r="TES12" s="1337"/>
      <c r="TET12" s="1337"/>
      <c r="TEU12" s="1337"/>
      <c r="TEV12" s="1338"/>
      <c r="TEW12" s="1339"/>
      <c r="TEX12" s="1340"/>
      <c r="TEY12" s="1340"/>
      <c r="TEZ12" s="1340"/>
      <c r="TFA12" s="1341"/>
      <c r="TFB12" s="1342"/>
      <c r="TFC12" s="1336"/>
      <c r="TFD12" s="1336"/>
      <c r="TFE12" s="1336"/>
      <c r="TFF12" s="1336"/>
      <c r="TFG12" s="1337"/>
      <c r="TFH12" s="1337"/>
      <c r="TFI12" s="1337"/>
      <c r="TFJ12" s="1337"/>
      <c r="TFK12" s="1337"/>
      <c r="TFL12" s="1338"/>
      <c r="TFM12" s="1339"/>
      <c r="TFN12" s="1340"/>
      <c r="TFO12" s="1340"/>
      <c r="TFP12" s="1340"/>
      <c r="TFQ12" s="1341"/>
      <c r="TFR12" s="1342"/>
      <c r="TFS12" s="1336"/>
      <c r="TFT12" s="1336"/>
      <c r="TFU12" s="1336"/>
      <c r="TFV12" s="1336"/>
      <c r="TFW12" s="1337"/>
      <c r="TFX12" s="1337"/>
      <c r="TFY12" s="1337"/>
      <c r="TFZ12" s="1337"/>
      <c r="TGA12" s="1337"/>
      <c r="TGB12" s="1338"/>
      <c r="TGC12" s="1339"/>
      <c r="TGD12" s="1340"/>
      <c r="TGE12" s="1340"/>
      <c r="TGF12" s="1340"/>
      <c r="TGG12" s="1341"/>
      <c r="TGH12" s="1342"/>
      <c r="TGI12" s="1336"/>
      <c r="TGJ12" s="1336"/>
      <c r="TGK12" s="1336"/>
      <c r="TGL12" s="1336"/>
      <c r="TGM12" s="1337"/>
      <c r="TGN12" s="1337"/>
      <c r="TGO12" s="1337"/>
      <c r="TGP12" s="1337"/>
      <c r="TGQ12" s="1337"/>
      <c r="TGR12" s="1338"/>
      <c r="TGS12" s="1339"/>
      <c r="TGT12" s="1340"/>
      <c r="TGU12" s="1340"/>
      <c r="TGV12" s="1340"/>
      <c r="TGW12" s="1341"/>
      <c r="TGX12" s="1342"/>
      <c r="TGY12" s="1336"/>
      <c r="TGZ12" s="1336"/>
      <c r="THA12" s="1336"/>
      <c r="THB12" s="1336"/>
      <c r="THC12" s="1337"/>
      <c r="THD12" s="1337"/>
      <c r="THE12" s="1337"/>
      <c r="THF12" s="1337"/>
      <c r="THG12" s="1337"/>
      <c r="THH12" s="1338"/>
      <c r="THI12" s="1339"/>
      <c r="THJ12" s="1340"/>
      <c r="THK12" s="1340"/>
      <c r="THL12" s="1340"/>
      <c r="THM12" s="1341"/>
      <c r="THN12" s="1342"/>
      <c r="THO12" s="1336"/>
      <c r="THP12" s="1336"/>
      <c r="THQ12" s="1336"/>
      <c r="THR12" s="1336"/>
      <c r="THS12" s="1337"/>
      <c r="THT12" s="1337"/>
      <c r="THU12" s="1337"/>
      <c r="THV12" s="1337"/>
      <c r="THW12" s="1337"/>
      <c r="THX12" s="1338"/>
      <c r="THY12" s="1339"/>
      <c r="THZ12" s="1340"/>
      <c r="TIA12" s="1340"/>
      <c r="TIB12" s="1340"/>
      <c r="TIC12" s="1341"/>
      <c r="TID12" s="1342"/>
      <c r="TIE12" s="1336"/>
      <c r="TIF12" s="1336"/>
      <c r="TIG12" s="1336"/>
      <c r="TIH12" s="1336"/>
      <c r="TII12" s="1337"/>
      <c r="TIJ12" s="1337"/>
      <c r="TIK12" s="1337"/>
      <c r="TIL12" s="1337"/>
      <c r="TIM12" s="1337"/>
      <c r="TIN12" s="1338"/>
      <c r="TIO12" s="1339"/>
      <c r="TIP12" s="1340"/>
      <c r="TIQ12" s="1340"/>
      <c r="TIR12" s="1340"/>
      <c r="TIS12" s="1341"/>
      <c r="TIT12" s="1342"/>
      <c r="TIU12" s="1336"/>
      <c r="TIV12" s="1336"/>
      <c r="TIW12" s="1336"/>
      <c r="TIX12" s="1336"/>
      <c r="TIY12" s="1337"/>
      <c r="TIZ12" s="1337"/>
      <c r="TJA12" s="1337"/>
      <c r="TJB12" s="1337"/>
      <c r="TJC12" s="1337"/>
      <c r="TJD12" s="1338"/>
      <c r="TJE12" s="1339"/>
      <c r="TJF12" s="1340"/>
      <c r="TJG12" s="1340"/>
      <c r="TJH12" s="1340"/>
      <c r="TJI12" s="1341"/>
      <c r="TJJ12" s="1342"/>
      <c r="TJK12" s="1336"/>
      <c r="TJL12" s="1336"/>
      <c r="TJM12" s="1336"/>
      <c r="TJN12" s="1336"/>
      <c r="TJO12" s="1337"/>
      <c r="TJP12" s="1337"/>
      <c r="TJQ12" s="1337"/>
      <c r="TJR12" s="1337"/>
      <c r="TJS12" s="1337"/>
      <c r="TJT12" s="1338"/>
      <c r="TJU12" s="1339"/>
      <c r="TJV12" s="1340"/>
      <c r="TJW12" s="1340"/>
      <c r="TJX12" s="1340"/>
      <c r="TJY12" s="1341"/>
      <c r="TJZ12" s="1342"/>
      <c r="TKA12" s="1336"/>
      <c r="TKB12" s="1336"/>
      <c r="TKC12" s="1336"/>
      <c r="TKD12" s="1336"/>
      <c r="TKE12" s="1337"/>
      <c r="TKF12" s="1337"/>
      <c r="TKG12" s="1337"/>
      <c r="TKH12" s="1337"/>
      <c r="TKI12" s="1337"/>
      <c r="TKJ12" s="1338"/>
      <c r="TKK12" s="1339"/>
      <c r="TKL12" s="1340"/>
      <c r="TKM12" s="1340"/>
      <c r="TKN12" s="1340"/>
      <c r="TKO12" s="1341"/>
      <c r="TKP12" s="1342"/>
      <c r="TKQ12" s="1336"/>
      <c r="TKR12" s="1336"/>
      <c r="TKS12" s="1336"/>
      <c r="TKT12" s="1336"/>
      <c r="TKU12" s="1337"/>
      <c r="TKV12" s="1337"/>
      <c r="TKW12" s="1337"/>
      <c r="TKX12" s="1337"/>
      <c r="TKY12" s="1337"/>
      <c r="TKZ12" s="1338"/>
      <c r="TLA12" s="1339"/>
      <c r="TLB12" s="1340"/>
      <c r="TLC12" s="1340"/>
      <c r="TLD12" s="1340"/>
      <c r="TLE12" s="1341"/>
      <c r="TLF12" s="1342"/>
      <c r="TLG12" s="1336"/>
      <c r="TLH12" s="1336"/>
      <c r="TLI12" s="1336"/>
      <c r="TLJ12" s="1336"/>
      <c r="TLK12" s="1337"/>
      <c r="TLL12" s="1337"/>
      <c r="TLM12" s="1337"/>
      <c r="TLN12" s="1337"/>
      <c r="TLO12" s="1337"/>
      <c r="TLP12" s="1338"/>
      <c r="TLQ12" s="1339"/>
      <c r="TLR12" s="1340"/>
      <c r="TLS12" s="1340"/>
      <c r="TLT12" s="1340"/>
      <c r="TLU12" s="1341"/>
      <c r="TLV12" s="1342"/>
      <c r="TLW12" s="1336"/>
      <c r="TLX12" s="1336"/>
      <c r="TLY12" s="1336"/>
      <c r="TLZ12" s="1336"/>
      <c r="TMA12" s="1337"/>
      <c r="TMB12" s="1337"/>
      <c r="TMC12" s="1337"/>
      <c r="TMD12" s="1337"/>
      <c r="TME12" s="1337"/>
      <c r="TMF12" s="1338"/>
      <c r="TMG12" s="1339"/>
      <c r="TMH12" s="1340"/>
      <c r="TMI12" s="1340"/>
      <c r="TMJ12" s="1340"/>
      <c r="TMK12" s="1341"/>
      <c r="TML12" s="1342"/>
      <c r="TMM12" s="1336"/>
      <c r="TMN12" s="1336"/>
      <c r="TMO12" s="1336"/>
      <c r="TMP12" s="1336"/>
      <c r="TMQ12" s="1337"/>
      <c r="TMR12" s="1337"/>
      <c r="TMS12" s="1337"/>
      <c r="TMT12" s="1337"/>
      <c r="TMU12" s="1337"/>
      <c r="TMV12" s="1338"/>
      <c r="TMW12" s="1339"/>
      <c r="TMX12" s="1340"/>
      <c r="TMY12" s="1340"/>
      <c r="TMZ12" s="1340"/>
      <c r="TNA12" s="1341"/>
      <c r="TNB12" s="1342"/>
      <c r="TNC12" s="1336"/>
      <c r="TND12" s="1336"/>
      <c r="TNE12" s="1336"/>
      <c r="TNF12" s="1336"/>
      <c r="TNG12" s="1337"/>
      <c r="TNH12" s="1337"/>
      <c r="TNI12" s="1337"/>
      <c r="TNJ12" s="1337"/>
      <c r="TNK12" s="1337"/>
      <c r="TNL12" s="1338"/>
      <c r="TNM12" s="1339"/>
      <c r="TNN12" s="1340"/>
      <c r="TNO12" s="1340"/>
      <c r="TNP12" s="1340"/>
      <c r="TNQ12" s="1341"/>
      <c r="TNR12" s="1342"/>
      <c r="TNS12" s="1336"/>
      <c r="TNT12" s="1336"/>
      <c r="TNU12" s="1336"/>
      <c r="TNV12" s="1336"/>
      <c r="TNW12" s="1337"/>
      <c r="TNX12" s="1337"/>
      <c r="TNY12" s="1337"/>
      <c r="TNZ12" s="1337"/>
      <c r="TOA12" s="1337"/>
      <c r="TOB12" s="1338"/>
      <c r="TOC12" s="1339"/>
      <c r="TOD12" s="1340"/>
      <c r="TOE12" s="1340"/>
      <c r="TOF12" s="1340"/>
      <c r="TOG12" s="1341"/>
      <c r="TOH12" s="1342"/>
      <c r="TOI12" s="1336"/>
      <c r="TOJ12" s="1336"/>
      <c r="TOK12" s="1336"/>
      <c r="TOL12" s="1336"/>
      <c r="TOM12" s="1337"/>
      <c r="TON12" s="1337"/>
      <c r="TOO12" s="1337"/>
      <c r="TOP12" s="1337"/>
      <c r="TOQ12" s="1337"/>
      <c r="TOR12" s="1338"/>
      <c r="TOS12" s="1339"/>
      <c r="TOT12" s="1340"/>
      <c r="TOU12" s="1340"/>
      <c r="TOV12" s="1340"/>
      <c r="TOW12" s="1341"/>
      <c r="TOX12" s="1342"/>
      <c r="TOY12" s="1336"/>
      <c r="TOZ12" s="1336"/>
      <c r="TPA12" s="1336"/>
      <c r="TPB12" s="1336"/>
      <c r="TPC12" s="1337"/>
      <c r="TPD12" s="1337"/>
      <c r="TPE12" s="1337"/>
      <c r="TPF12" s="1337"/>
      <c r="TPG12" s="1337"/>
      <c r="TPH12" s="1338"/>
      <c r="TPI12" s="1339"/>
      <c r="TPJ12" s="1340"/>
      <c r="TPK12" s="1340"/>
      <c r="TPL12" s="1340"/>
      <c r="TPM12" s="1341"/>
      <c r="TPN12" s="1342"/>
      <c r="TPO12" s="1336"/>
      <c r="TPP12" s="1336"/>
      <c r="TPQ12" s="1336"/>
      <c r="TPR12" s="1336"/>
      <c r="TPS12" s="1337"/>
      <c r="TPT12" s="1337"/>
      <c r="TPU12" s="1337"/>
      <c r="TPV12" s="1337"/>
      <c r="TPW12" s="1337"/>
      <c r="TPX12" s="1338"/>
      <c r="TPY12" s="1339"/>
      <c r="TPZ12" s="1340"/>
      <c r="TQA12" s="1340"/>
      <c r="TQB12" s="1340"/>
      <c r="TQC12" s="1341"/>
      <c r="TQD12" s="1342"/>
      <c r="TQE12" s="1336"/>
      <c r="TQF12" s="1336"/>
      <c r="TQG12" s="1336"/>
      <c r="TQH12" s="1336"/>
      <c r="TQI12" s="1337"/>
      <c r="TQJ12" s="1337"/>
      <c r="TQK12" s="1337"/>
      <c r="TQL12" s="1337"/>
      <c r="TQM12" s="1337"/>
      <c r="TQN12" s="1338"/>
      <c r="TQO12" s="1339"/>
      <c r="TQP12" s="1340"/>
      <c r="TQQ12" s="1340"/>
      <c r="TQR12" s="1340"/>
      <c r="TQS12" s="1341"/>
      <c r="TQT12" s="1342"/>
      <c r="TQU12" s="1336"/>
      <c r="TQV12" s="1336"/>
      <c r="TQW12" s="1336"/>
      <c r="TQX12" s="1336"/>
      <c r="TQY12" s="1337"/>
      <c r="TQZ12" s="1337"/>
      <c r="TRA12" s="1337"/>
      <c r="TRB12" s="1337"/>
      <c r="TRC12" s="1337"/>
      <c r="TRD12" s="1338"/>
      <c r="TRE12" s="1339"/>
      <c r="TRF12" s="1340"/>
      <c r="TRG12" s="1340"/>
      <c r="TRH12" s="1340"/>
      <c r="TRI12" s="1341"/>
      <c r="TRJ12" s="1342"/>
      <c r="TRK12" s="1336"/>
      <c r="TRL12" s="1336"/>
      <c r="TRM12" s="1336"/>
      <c r="TRN12" s="1336"/>
      <c r="TRO12" s="1337"/>
      <c r="TRP12" s="1337"/>
      <c r="TRQ12" s="1337"/>
      <c r="TRR12" s="1337"/>
      <c r="TRS12" s="1337"/>
      <c r="TRT12" s="1338"/>
      <c r="TRU12" s="1339"/>
      <c r="TRV12" s="1340"/>
      <c r="TRW12" s="1340"/>
      <c r="TRX12" s="1340"/>
      <c r="TRY12" s="1341"/>
      <c r="TRZ12" s="1342"/>
      <c r="TSA12" s="1336"/>
      <c r="TSB12" s="1336"/>
      <c r="TSC12" s="1336"/>
      <c r="TSD12" s="1336"/>
      <c r="TSE12" s="1337"/>
      <c r="TSF12" s="1337"/>
      <c r="TSG12" s="1337"/>
      <c r="TSH12" s="1337"/>
      <c r="TSI12" s="1337"/>
      <c r="TSJ12" s="1338"/>
      <c r="TSK12" s="1339"/>
      <c r="TSL12" s="1340"/>
      <c r="TSM12" s="1340"/>
      <c r="TSN12" s="1340"/>
      <c r="TSO12" s="1341"/>
      <c r="TSP12" s="1342"/>
      <c r="TSQ12" s="1336"/>
      <c r="TSR12" s="1336"/>
      <c r="TSS12" s="1336"/>
      <c r="TST12" s="1336"/>
      <c r="TSU12" s="1337"/>
      <c r="TSV12" s="1337"/>
      <c r="TSW12" s="1337"/>
      <c r="TSX12" s="1337"/>
      <c r="TSY12" s="1337"/>
      <c r="TSZ12" s="1338"/>
      <c r="TTA12" s="1339"/>
      <c r="TTB12" s="1340"/>
      <c r="TTC12" s="1340"/>
      <c r="TTD12" s="1340"/>
      <c r="TTE12" s="1341"/>
      <c r="TTF12" s="1342"/>
      <c r="TTG12" s="1336"/>
      <c r="TTH12" s="1336"/>
      <c r="TTI12" s="1336"/>
      <c r="TTJ12" s="1336"/>
      <c r="TTK12" s="1337"/>
      <c r="TTL12" s="1337"/>
      <c r="TTM12" s="1337"/>
      <c r="TTN12" s="1337"/>
      <c r="TTO12" s="1337"/>
      <c r="TTP12" s="1338"/>
      <c r="TTQ12" s="1339"/>
      <c r="TTR12" s="1340"/>
      <c r="TTS12" s="1340"/>
      <c r="TTT12" s="1340"/>
      <c r="TTU12" s="1341"/>
      <c r="TTV12" s="1342"/>
      <c r="TTW12" s="1336"/>
      <c r="TTX12" s="1336"/>
      <c r="TTY12" s="1336"/>
      <c r="TTZ12" s="1336"/>
      <c r="TUA12" s="1337"/>
      <c r="TUB12" s="1337"/>
      <c r="TUC12" s="1337"/>
      <c r="TUD12" s="1337"/>
      <c r="TUE12" s="1337"/>
      <c r="TUF12" s="1338"/>
      <c r="TUG12" s="1339"/>
      <c r="TUH12" s="1340"/>
      <c r="TUI12" s="1340"/>
      <c r="TUJ12" s="1340"/>
      <c r="TUK12" s="1341"/>
      <c r="TUL12" s="1342"/>
      <c r="TUM12" s="1336"/>
      <c r="TUN12" s="1336"/>
      <c r="TUO12" s="1336"/>
      <c r="TUP12" s="1336"/>
      <c r="TUQ12" s="1337"/>
      <c r="TUR12" s="1337"/>
      <c r="TUS12" s="1337"/>
      <c r="TUT12" s="1337"/>
      <c r="TUU12" s="1337"/>
      <c r="TUV12" s="1338"/>
      <c r="TUW12" s="1339"/>
      <c r="TUX12" s="1340"/>
      <c r="TUY12" s="1340"/>
      <c r="TUZ12" s="1340"/>
      <c r="TVA12" s="1341"/>
      <c r="TVB12" s="1342"/>
      <c r="TVC12" s="1336"/>
      <c r="TVD12" s="1336"/>
      <c r="TVE12" s="1336"/>
      <c r="TVF12" s="1336"/>
      <c r="TVG12" s="1337"/>
      <c r="TVH12" s="1337"/>
      <c r="TVI12" s="1337"/>
      <c r="TVJ12" s="1337"/>
      <c r="TVK12" s="1337"/>
      <c r="TVL12" s="1338"/>
      <c r="TVM12" s="1339"/>
      <c r="TVN12" s="1340"/>
      <c r="TVO12" s="1340"/>
      <c r="TVP12" s="1340"/>
      <c r="TVQ12" s="1341"/>
      <c r="TVR12" s="1342"/>
      <c r="TVS12" s="1336"/>
      <c r="TVT12" s="1336"/>
      <c r="TVU12" s="1336"/>
      <c r="TVV12" s="1336"/>
      <c r="TVW12" s="1337"/>
      <c r="TVX12" s="1337"/>
      <c r="TVY12" s="1337"/>
      <c r="TVZ12" s="1337"/>
      <c r="TWA12" s="1337"/>
      <c r="TWB12" s="1338"/>
      <c r="TWC12" s="1339"/>
      <c r="TWD12" s="1340"/>
      <c r="TWE12" s="1340"/>
      <c r="TWF12" s="1340"/>
      <c r="TWG12" s="1341"/>
      <c r="TWH12" s="1342"/>
      <c r="TWI12" s="1336"/>
      <c r="TWJ12" s="1336"/>
      <c r="TWK12" s="1336"/>
      <c r="TWL12" s="1336"/>
      <c r="TWM12" s="1337"/>
      <c r="TWN12" s="1337"/>
      <c r="TWO12" s="1337"/>
      <c r="TWP12" s="1337"/>
      <c r="TWQ12" s="1337"/>
      <c r="TWR12" s="1338"/>
      <c r="TWS12" s="1339"/>
      <c r="TWT12" s="1340"/>
      <c r="TWU12" s="1340"/>
      <c r="TWV12" s="1340"/>
      <c r="TWW12" s="1341"/>
      <c r="TWX12" s="1342"/>
      <c r="TWY12" s="1336"/>
      <c r="TWZ12" s="1336"/>
      <c r="TXA12" s="1336"/>
      <c r="TXB12" s="1336"/>
      <c r="TXC12" s="1337"/>
      <c r="TXD12" s="1337"/>
      <c r="TXE12" s="1337"/>
      <c r="TXF12" s="1337"/>
      <c r="TXG12" s="1337"/>
      <c r="TXH12" s="1338"/>
      <c r="TXI12" s="1339"/>
      <c r="TXJ12" s="1340"/>
      <c r="TXK12" s="1340"/>
      <c r="TXL12" s="1340"/>
      <c r="TXM12" s="1341"/>
      <c r="TXN12" s="1342"/>
      <c r="TXO12" s="1336"/>
      <c r="TXP12" s="1336"/>
      <c r="TXQ12" s="1336"/>
      <c r="TXR12" s="1336"/>
      <c r="TXS12" s="1337"/>
      <c r="TXT12" s="1337"/>
      <c r="TXU12" s="1337"/>
      <c r="TXV12" s="1337"/>
      <c r="TXW12" s="1337"/>
      <c r="TXX12" s="1338"/>
      <c r="TXY12" s="1339"/>
      <c r="TXZ12" s="1340"/>
      <c r="TYA12" s="1340"/>
      <c r="TYB12" s="1340"/>
      <c r="TYC12" s="1341"/>
      <c r="TYD12" s="1342"/>
      <c r="TYE12" s="1336"/>
      <c r="TYF12" s="1336"/>
      <c r="TYG12" s="1336"/>
      <c r="TYH12" s="1336"/>
      <c r="TYI12" s="1337"/>
      <c r="TYJ12" s="1337"/>
      <c r="TYK12" s="1337"/>
      <c r="TYL12" s="1337"/>
      <c r="TYM12" s="1337"/>
      <c r="TYN12" s="1338"/>
      <c r="TYO12" s="1339"/>
      <c r="TYP12" s="1340"/>
      <c r="TYQ12" s="1340"/>
      <c r="TYR12" s="1340"/>
      <c r="TYS12" s="1341"/>
      <c r="TYT12" s="1342"/>
      <c r="TYU12" s="1336"/>
      <c r="TYV12" s="1336"/>
      <c r="TYW12" s="1336"/>
      <c r="TYX12" s="1336"/>
      <c r="TYY12" s="1337"/>
      <c r="TYZ12" s="1337"/>
      <c r="TZA12" s="1337"/>
      <c r="TZB12" s="1337"/>
      <c r="TZC12" s="1337"/>
      <c r="TZD12" s="1338"/>
      <c r="TZE12" s="1339"/>
      <c r="TZF12" s="1340"/>
      <c r="TZG12" s="1340"/>
      <c r="TZH12" s="1340"/>
      <c r="TZI12" s="1341"/>
      <c r="TZJ12" s="1342"/>
      <c r="TZK12" s="1336"/>
      <c r="TZL12" s="1336"/>
      <c r="TZM12" s="1336"/>
      <c r="TZN12" s="1336"/>
      <c r="TZO12" s="1337"/>
      <c r="TZP12" s="1337"/>
      <c r="TZQ12" s="1337"/>
      <c r="TZR12" s="1337"/>
      <c r="TZS12" s="1337"/>
      <c r="TZT12" s="1338"/>
      <c r="TZU12" s="1339"/>
      <c r="TZV12" s="1340"/>
      <c r="TZW12" s="1340"/>
      <c r="TZX12" s="1340"/>
      <c r="TZY12" s="1341"/>
      <c r="TZZ12" s="1342"/>
      <c r="UAA12" s="1336"/>
      <c r="UAB12" s="1336"/>
      <c r="UAC12" s="1336"/>
      <c r="UAD12" s="1336"/>
      <c r="UAE12" s="1337"/>
      <c r="UAF12" s="1337"/>
      <c r="UAG12" s="1337"/>
      <c r="UAH12" s="1337"/>
      <c r="UAI12" s="1337"/>
      <c r="UAJ12" s="1338"/>
      <c r="UAK12" s="1339"/>
      <c r="UAL12" s="1340"/>
      <c r="UAM12" s="1340"/>
      <c r="UAN12" s="1340"/>
      <c r="UAO12" s="1341"/>
      <c r="UAP12" s="1342"/>
      <c r="UAQ12" s="1336"/>
      <c r="UAR12" s="1336"/>
      <c r="UAS12" s="1336"/>
      <c r="UAT12" s="1336"/>
      <c r="UAU12" s="1337"/>
      <c r="UAV12" s="1337"/>
      <c r="UAW12" s="1337"/>
      <c r="UAX12" s="1337"/>
      <c r="UAY12" s="1337"/>
      <c r="UAZ12" s="1338"/>
      <c r="UBA12" s="1339"/>
      <c r="UBB12" s="1340"/>
      <c r="UBC12" s="1340"/>
      <c r="UBD12" s="1340"/>
      <c r="UBE12" s="1341"/>
      <c r="UBF12" s="1342"/>
      <c r="UBG12" s="1336"/>
      <c r="UBH12" s="1336"/>
      <c r="UBI12" s="1336"/>
      <c r="UBJ12" s="1336"/>
      <c r="UBK12" s="1337"/>
      <c r="UBL12" s="1337"/>
      <c r="UBM12" s="1337"/>
      <c r="UBN12" s="1337"/>
      <c r="UBO12" s="1337"/>
      <c r="UBP12" s="1338"/>
      <c r="UBQ12" s="1339"/>
      <c r="UBR12" s="1340"/>
      <c r="UBS12" s="1340"/>
      <c r="UBT12" s="1340"/>
      <c r="UBU12" s="1341"/>
      <c r="UBV12" s="1342"/>
      <c r="UBW12" s="1336"/>
      <c r="UBX12" s="1336"/>
      <c r="UBY12" s="1336"/>
      <c r="UBZ12" s="1336"/>
      <c r="UCA12" s="1337"/>
      <c r="UCB12" s="1337"/>
      <c r="UCC12" s="1337"/>
      <c r="UCD12" s="1337"/>
      <c r="UCE12" s="1337"/>
      <c r="UCF12" s="1338"/>
      <c r="UCG12" s="1339"/>
      <c r="UCH12" s="1340"/>
      <c r="UCI12" s="1340"/>
      <c r="UCJ12" s="1340"/>
      <c r="UCK12" s="1341"/>
      <c r="UCL12" s="1342"/>
      <c r="UCM12" s="1336"/>
      <c r="UCN12" s="1336"/>
      <c r="UCO12" s="1336"/>
      <c r="UCP12" s="1336"/>
      <c r="UCQ12" s="1337"/>
      <c r="UCR12" s="1337"/>
      <c r="UCS12" s="1337"/>
      <c r="UCT12" s="1337"/>
      <c r="UCU12" s="1337"/>
      <c r="UCV12" s="1338"/>
      <c r="UCW12" s="1339"/>
      <c r="UCX12" s="1340"/>
      <c r="UCY12" s="1340"/>
      <c r="UCZ12" s="1340"/>
      <c r="UDA12" s="1341"/>
      <c r="UDB12" s="1342"/>
      <c r="UDC12" s="1336"/>
      <c r="UDD12" s="1336"/>
      <c r="UDE12" s="1336"/>
      <c r="UDF12" s="1336"/>
      <c r="UDG12" s="1337"/>
      <c r="UDH12" s="1337"/>
      <c r="UDI12" s="1337"/>
      <c r="UDJ12" s="1337"/>
      <c r="UDK12" s="1337"/>
      <c r="UDL12" s="1338"/>
      <c r="UDM12" s="1339"/>
      <c r="UDN12" s="1340"/>
      <c r="UDO12" s="1340"/>
      <c r="UDP12" s="1340"/>
      <c r="UDQ12" s="1341"/>
      <c r="UDR12" s="1342"/>
      <c r="UDS12" s="1336"/>
      <c r="UDT12" s="1336"/>
      <c r="UDU12" s="1336"/>
      <c r="UDV12" s="1336"/>
      <c r="UDW12" s="1337"/>
      <c r="UDX12" s="1337"/>
      <c r="UDY12" s="1337"/>
      <c r="UDZ12" s="1337"/>
      <c r="UEA12" s="1337"/>
      <c r="UEB12" s="1338"/>
      <c r="UEC12" s="1339"/>
      <c r="UED12" s="1340"/>
      <c r="UEE12" s="1340"/>
      <c r="UEF12" s="1340"/>
      <c r="UEG12" s="1341"/>
      <c r="UEH12" s="1342"/>
      <c r="UEI12" s="1336"/>
      <c r="UEJ12" s="1336"/>
      <c r="UEK12" s="1336"/>
      <c r="UEL12" s="1336"/>
      <c r="UEM12" s="1337"/>
      <c r="UEN12" s="1337"/>
      <c r="UEO12" s="1337"/>
      <c r="UEP12" s="1337"/>
      <c r="UEQ12" s="1337"/>
      <c r="UER12" s="1338"/>
      <c r="UES12" s="1339"/>
      <c r="UET12" s="1340"/>
      <c r="UEU12" s="1340"/>
      <c r="UEV12" s="1340"/>
      <c r="UEW12" s="1341"/>
      <c r="UEX12" s="1342"/>
      <c r="UEY12" s="1336"/>
      <c r="UEZ12" s="1336"/>
      <c r="UFA12" s="1336"/>
      <c r="UFB12" s="1336"/>
      <c r="UFC12" s="1337"/>
      <c r="UFD12" s="1337"/>
      <c r="UFE12" s="1337"/>
      <c r="UFF12" s="1337"/>
      <c r="UFG12" s="1337"/>
      <c r="UFH12" s="1338"/>
      <c r="UFI12" s="1339"/>
      <c r="UFJ12" s="1340"/>
      <c r="UFK12" s="1340"/>
      <c r="UFL12" s="1340"/>
      <c r="UFM12" s="1341"/>
      <c r="UFN12" s="1342"/>
      <c r="UFO12" s="1336"/>
      <c r="UFP12" s="1336"/>
      <c r="UFQ12" s="1336"/>
      <c r="UFR12" s="1336"/>
      <c r="UFS12" s="1337"/>
      <c r="UFT12" s="1337"/>
      <c r="UFU12" s="1337"/>
      <c r="UFV12" s="1337"/>
      <c r="UFW12" s="1337"/>
      <c r="UFX12" s="1338"/>
      <c r="UFY12" s="1339"/>
      <c r="UFZ12" s="1340"/>
      <c r="UGA12" s="1340"/>
      <c r="UGB12" s="1340"/>
      <c r="UGC12" s="1341"/>
      <c r="UGD12" s="1342"/>
      <c r="UGE12" s="1336"/>
      <c r="UGF12" s="1336"/>
      <c r="UGG12" s="1336"/>
      <c r="UGH12" s="1336"/>
      <c r="UGI12" s="1337"/>
      <c r="UGJ12" s="1337"/>
      <c r="UGK12" s="1337"/>
      <c r="UGL12" s="1337"/>
      <c r="UGM12" s="1337"/>
      <c r="UGN12" s="1338"/>
      <c r="UGO12" s="1339"/>
      <c r="UGP12" s="1340"/>
      <c r="UGQ12" s="1340"/>
      <c r="UGR12" s="1340"/>
      <c r="UGS12" s="1341"/>
      <c r="UGT12" s="1342"/>
      <c r="UGU12" s="1336"/>
      <c r="UGV12" s="1336"/>
      <c r="UGW12" s="1336"/>
      <c r="UGX12" s="1336"/>
      <c r="UGY12" s="1337"/>
      <c r="UGZ12" s="1337"/>
      <c r="UHA12" s="1337"/>
      <c r="UHB12" s="1337"/>
      <c r="UHC12" s="1337"/>
      <c r="UHD12" s="1338"/>
      <c r="UHE12" s="1339"/>
      <c r="UHF12" s="1340"/>
      <c r="UHG12" s="1340"/>
      <c r="UHH12" s="1340"/>
      <c r="UHI12" s="1341"/>
      <c r="UHJ12" s="1342"/>
      <c r="UHK12" s="1336"/>
      <c r="UHL12" s="1336"/>
      <c r="UHM12" s="1336"/>
      <c r="UHN12" s="1336"/>
      <c r="UHO12" s="1337"/>
      <c r="UHP12" s="1337"/>
      <c r="UHQ12" s="1337"/>
      <c r="UHR12" s="1337"/>
      <c r="UHS12" s="1337"/>
      <c r="UHT12" s="1338"/>
      <c r="UHU12" s="1339"/>
      <c r="UHV12" s="1340"/>
      <c r="UHW12" s="1340"/>
      <c r="UHX12" s="1340"/>
      <c r="UHY12" s="1341"/>
      <c r="UHZ12" s="1342"/>
      <c r="UIA12" s="1336"/>
      <c r="UIB12" s="1336"/>
      <c r="UIC12" s="1336"/>
      <c r="UID12" s="1336"/>
      <c r="UIE12" s="1337"/>
      <c r="UIF12" s="1337"/>
      <c r="UIG12" s="1337"/>
      <c r="UIH12" s="1337"/>
      <c r="UII12" s="1337"/>
      <c r="UIJ12" s="1338"/>
      <c r="UIK12" s="1339"/>
      <c r="UIL12" s="1340"/>
      <c r="UIM12" s="1340"/>
      <c r="UIN12" s="1340"/>
      <c r="UIO12" s="1341"/>
      <c r="UIP12" s="1342"/>
      <c r="UIQ12" s="1336"/>
      <c r="UIR12" s="1336"/>
      <c r="UIS12" s="1336"/>
      <c r="UIT12" s="1336"/>
      <c r="UIU12" s="1337"/>
      <c r="UIV12" s="1337"/>
      <c r="UIW12" s="1337"/>
      <c r="UIX12" s="1337"/>
      <c r="UIY12" s="1337"/>
      <c r="UIZ12" s="1338"/>
      <c r="UJA12" s="1339"/>
      <c r="UJB12" s="1340"/>
      <c r="UJC12" s="1340"/>
      <c r="UJD12" s="1340"/>
      <c r="UJE12" s="1341"/>
      <c r="UJF12" s="1342"/>
      <c r="UJG12" s="1336"/>
      <c r="UJH12" s="1336"/>
      <c r="UJI12" s="1336"/>
      <c r="UJJ12" s="1336"/>
      <c r="UJK12" s="1337"/>
      <c r="UJL12" s="1337"/>
      <c r="UJM12" s="1337"/>
      <c r="UJN12" s="1337"/>
      <c r="UJO12" s="1337"/>
      <c r="UJP12" s="1338"/>
      <c r="UJQ12" s="1339"/>
      <c r="UJR12" s="1340"/>
      <c r="UJS12" s="1340"/>
      <c r="UJT12" s="1340"/>
      <c r="UJU12" s="1341"/>
      <c r="UJV12" s="1342"/>
      <c r="UJW12" s="1336"/>
      <c r="UJX12" s="1336"/>
      <c r="UJY12" s="1336"/>
      <c r="UJZ12" s="1336"/>
      <c r="UKA12" s="1337"/>
      <c r="UKB12" s="1337"/>
      <c r="UKC12" s="1337"/>
      <c r="UKD12" s="1337"/>
      <c r="UKE12" s="1337"/>
      <c r="UKF12" s="1338"/>
      <c r="UKG12" s="1339"/>
      <c r="UKH12" s="1340"/>
      <c r="UKI12" s="1340"/>
      <c r="UKJ12" s="1340"/>
      <c r="UKK12" s="1341"/>
      <c r="UKL12" s="1342"/>
      <c r="UKM12" s="1336"/>
      <c r="UKN12" s="1336"/>
      <c r="UKO12" s="1336"/>
      <c r="UKP12" s="1336"/>
      <c r="UKQ12" s="1337"/>
      <c r="UKR12" s="1337"/>
      <c r="UKS12" s="1337"/>
      <c r="UKT12" s="1337"/>
      <c r="UKU12" s="1337"/>
      <c r="UKV12" s="1338"/>
      <c r="UKW12" s="1339"/>
      <c r="UKX12" s="1340"/>
      <c r="UKY12" s="1340"/>
      <c r="UKZ12" s="1340"/>
      <c r="ULA12" s="1341"/>
      <c r="ULB12" s="1342"/>
      <c r="ULC12" s="1336"/>
      <c r="ULD12" s="1336"/>
      <c r="ULE12" s="1336"/>
      <c r="ULF12" s="1336"/>
      <c r="ULG12" s="1337"/>
      <c r="ULH12" s="1337"/>
      <c r="ULI12" s="1337"/>
      <c r="ULJ12" s="1337"/>
      <c r="ULK12" s="1337"/>
      <c r="ULL12" s="1338"/>
      <c r="ULM12" s="1339"/>
      <c r="ULN12" s="1340"/>
      <c r="ULO12" s="1340"/>
      <c r="ULP12" s="1340"/>
      <c r="ULQ12" s="1341"/>
      <c r="ULR12" s="1342"/>
      <c r="ULS12" s="1336"/>
      <c r="ULT12" s="1336"/>
      <c r="ULU12" s="1336"/>
      <c r="ULV12" s="1336"/>
      <c r="ULW12" s="1337"/>
      <c r="ULX12" s="1337"/>
      <c r="ULY12" s="1337"/>
      <c r="ULZ12" s="1337"/>
      <c r="UMA12" s="1337"/>
      <c r="UMB12" s="1338"/>
      <c r="UMC12" s="1339"/>
      <c r="UMD12" s="1340"/>
      <c r="UME12" s="1340"/>
      <c r="UMF12" s="1340"/>
      <c r="UMG12" s="1341"/>
      <c r="UMH12" s="1342"/>
      <c r="UMI12" s="1336"/>
      <c r="UMJ12" s="1336"/>
      <c r="UMK12" s="1336"/>
      <c r="UML12" s="1336"/>
      <c r="UMM12" s="1337"/>
      <c r="UMN12" s="1337"/>
      <c r="UMO12" s="1337"/>
      <c r="UMP12" s="1337"/>
      <c r="UMQ12" s="1337"/>
      <c r="UMR12" s="1338"/>
      <c r="UMS12" s="1339"/>
      <c r="UMT12" s="1340"/>
      <c r="UMU12" s="1340"/>
      <c r="UMV12" s="1340"/>
      <c r="UMW12" s="1341"/>
      <c r="UMX12" s="1342"/>
      <c r="UMY12" s="1336"/>
      <c r="UMZ12" s="1336"/>
      <c r="UNA12" s="1336"/>
      <c r="UNB12" s="1336"/>
      <c r="UNC12" s="1337"/>
      <c r="UND12" s="1337"/>
      <c r="UNE12" s="1337"/>
      <c r="UNF12" s="1337"/>
      <c r="UNG12" s="1337"/>
      <c r="UNH12" s="1338"/>
      <c r="UNI12" s="1339"/>
      <c r="UNJ12" s="1340"/>
      <c r="UNK12" s="1340"/>
      <c r="UNL12" s="1340"/>
      <c r="UNM12" s="1341"/>
      <c r="UNN12" s="1342"/>
      <c r="UNO12" s="1336"/>
      <c r="UNP12" s="1336"/>
      <c r="UNQ12" s="1336"/>
      <c r="UNR12" s="1336"/>
      <c r="UNS12" s="1337"/>
      <c r="UNT12" s="1337"/>
      <c r="UNU12" s="1337"/>
      <c r="UNV12" s="1337"/>
      <c r="UNW12" s="1337"/>
      <c r="UNX12" s="1338"/>
      <c r="UNY12" s="1339"/>
      <c r="UNZ12" s="1340"/>
      <c r="UOA12" s="1340"/>
      <c r="UOB12" s="1340"/>
      <c r="UOC12" s="1341"/>
      <c r="UOD12" s="1342"/>
      <c r="UOE12" s="1336"/>
      <c r="UOF12" s="1336"/>
      <c r="UOG12" s="1336"/>
      <c r="UOH12" s="1336"/>
      <c r="UOI12" s="1337"/>
      <c r="UOJ12" s="1337"/>
      <c r="UOK12" s="1337"/>
      <c r="UOL12" s="1337"/>
      <c r="UOM12" s="1337"/>
      <c r="UON12" s="1338"/>
      <c r="UOO12" s="1339"/>
      <c r="UOP12" s="1340"/>
      <c r="UOQ12" s="1340"/>
      <c r="UOR12" s="1340"/>
      <c r="UOS12" s="1341"/>
      <c r="UOT12" s="1342"/>
      <c r="UOU12" s="1336"/>
      <c r="UOV12" s="1336"/>
      <c r="UOW12" s="1336"/>
      <c r="UOX12" s="1336"/>
      <c r="UOY12" s="1337"/>
      <c r="UOZ12" s="1337"/>
      <c r="UPA12" s="1337"/>
      <c r="UPB12" s="1337"/>
      <c r="UPC12" s="1337"/>
      <c r="UPD12" s="1338"/>
      <c r="UPE12" s="1339"/>
      <c r="UPF12" s="1340"/>
      <c r="UPG12" s="1340"/>
      <c r="UPH12" s="1340"/>
      <c r="UPI12" s="1341"/>
      <c r="UPJ12" s="1342"/>
      <c r="UPK12" s="1336"/>
      <c r="UPL12" s="1336"/>
      <c r="UPM12" s="1336"/>
      <c r="UPN12" s="1336"/>
      <c r="UPO12" s="1337"/>
      <c r="UPP12" s="1337"/>
      <c r="UPQ12" s="1337"/>
      <c r="UPR12" s="1337"/>
      <c r="UPS12" s="1337"/>
      <c r="UPT12" s="1338"/>
      <c r="UPU12" s="1339"/>
      <c r="UPV12" s="1340"/>
      <c r="UPW12" s="1340"/>
      <c r="UPX12" s="1340"/>
      <c r="UPY12" s="1341"/>
      <c r="UPZ12" s="1342"/>
      <c r="UQA12" s="1336"/>
      <c r="UQB12" s="1336"/>
      <c r="UQC12" s="1336"/>
      <c r="UQD12" s="1336"/>
      <c r="UQE12" s="1337"/>
      <c r="UQF12" s="1337"/>
      <c r="UQG12" s="1337"/>
      <c r="UQH12" s="1337"/>
      <c r="UQI12" s="1337"/>
      <c r="UQJ12" s="1338"/>
      <c r="UQK12" s="1339"/>
      <c r="UQL12" s="1340"/>
      <c r="UQM12" s="1340"/>
      <c r="UQN12" s="1340"/>
      <c r="UQO12" s="1341"/>
      <c r="UQP12" s="1342"/>
      <c r="UQQ12" s="1336"/>
      <c r="UQR12" s="1336"/>
      <c r="UQS12" s="1336"/>
      <c r="UQT12" s="1336"/>
      <c r="UQU12" s="1337"/>
      <c r="UQV12" s="1337"/>
      <c r="UQW12" s="1337"/>
      <c r="UQX12" s="1337"/>
      <c r="UQY12" s="1337"/>
      <c r="UQZ12" s="1338"/>
      <c r="URA12" s="1339"/>
      <c r="URB12" s="1340"/>
      <c r="URC12" s="1340"/>
      <c r="URD12" s="1340"/>
      <c r="URE12" s="1341"/>
      <c r="URF12" s="1342"/>
      <c r="URG12" s="1336"/>
      <c r="URH12" s="1336"/>
      <c r="URI12" s="1336"/>
      <c r="URJ12" s="1336"/>
      <c r="URK12" s="1337"/>
      <c r="URL12" s="1337"/>
      <c r="URM12" s="1337"/>
      <c r="URN12" s="1337"/>
      <c r="URO12" s="1337"/>
      <c r="URP12" s="1338"/>
      <c r="URQ12" s="1339"/>
      <c r="URR12" s="1340"/>
      <c r="URS12" s="1340"/>
      <c r="URT12" s="1340"/>
      <c r="URU12" s="1341"/>
      <c r="URV12" s="1342"/>
      <c r="URW12" s="1336"/>
      <c r="URX12" s="1336"/>
      <c r="URY12" s="1336"/>
      <c r="URZ12" s="1336"/>
      <c r="USA12" s="1337"/>
      <c r="USB12" s="1337"/>
      <c r="USC12" s="1337"/>
      <c r="USD12" s="1337"/>
      <c r="USE12" s="1337"/>
      <c r="USF12" s="1338"/>
      <c r="USG12" s="1339"/>
      <c r="USH12" s="1340"/>
      <c r="USI12" s="1340"/>
      <c r="USJ12" s="1340"/>
      <c r="USK12" s="1341"/>
      <c r="USL12" s="1342"/>
      <c r="USM12" s="1336"/>
      <c r="USN12" s="1336"/>
      <c r="USO12" s="1336"/>
      <c r="USP12" s="1336"/>
      <c r="USQ12" s="1337"/>
      <c r="USR12" s="1337"/>
      <c r="USS12" s="1337"/>
      <c r="UST12" s="1337"/>
      <c r="USU12" s="1337"/>
      <c r="USV12" s="1338"/>
      <c r="USW12" s="1339"/>
      <c r="USX12" s="1340"/>
      <c r="USY12" s="1340"/>
      <c r="USZ12" s="1340"/>
      <c r="UTA12" s="1341"/>
      <c r="UTB12" s="1342"/>
      <c r="UTC12" s="1336"/>
      <c r="UTD12" s="1336"/>
      <c r="UTE12" s="1336"/>
      <c r="UTF12" s="1336"/>
      <c r="UTG12" s="1337"/>
      <c r="UTH12" s="1337"/>
      <c r="UTI12" s="1337"/>
      <c r="UTJ12" s="1337"/>
      <c r="UTK12" s="1337"/>
      <c r="UTL12" s="1338"/>
      <c r="UTM12" s="1339"/>
      <c r="UTN12" s="1340"/>
      <c r="UTO12" s="1340"/>
      <c r="UTP12" s="1340"/>
      <c r="UTQ12" s="1341"/>
      <c r="UTR12" s="1342"/>
      <c r="UTS12" s="1336"/>
      <c r="UTT12" s="1336"/>
      <c r="UTU12" s="1336"/>
      <c r="UTV12" s="1336"/>
      <c r="UTW12" s="1337"/>
      <c r="UTX12" s="1337"/>
      <c r="UTY12" s="1337"/>
      <c r="UTZ12" s="1337"/>
      <c r="UUA12" s="1337"/>
      <c r="UUB12" s="1338"/>
      <c r="UUC12" s="1339"/>
      <c r="UUD12" s="1340"/>
      <c r="UUE12" s="1340"/>
      <c r="UUF12" s="1340"/>
      <c r="UUG12" s="1341"/>
      <c r="UUH12" s="1342"/>
      <c r="UUI12" s="1336"/>
      <c r="UUJ12" s="1336"/>
      <c r="UUK12" s="1336"/>
      <c r="UUL12" s="1336"/>
      <c r="UUM12" s="1337"/>
      <c r="UUN12" s="1337"/>
      <c r="UUO12" s="1337"/>
      <c r="UUP12" s="1337"/>
      <c r="UUQ12" s="1337"/>
      <c r="UUR12" s="1338"/>
      <c r="UUS12" s="1339"/>
      <c r="UUT12" s="1340"/>
      <c r="UUU12" s="1340"/>
      <c r="UUV12" s="1340"/>
      <c r="UUW12" s="1341"/>
      <c r="UUX12" s="1342"/>
      <c r="UUY12" s="1336"/>
      <c r="UUZ12" s="1336"/>
      <c r="UVA12" s="1336"/>
      <c r="UVB12" s="1336"/>
      <c r="UVC12" s="1337"/>
      <c r="UVD12" s="1337"/>
      <c r="UVE12" s="1337"/>
      <c r="UVF12" s="1337"/>
      <c r="UVG12" s="1337"/>
      <c r="UVH12" s="1338"/>
      <c r="UVI12" s="1339"/>
      <c r="UVJ12" s="1340"/>
      <c r="UVK12" s="1340"/>
      <c r="UVL12" s="1340"/>
      <c r="UVM12" s="1341"/>
      <c r="UVN12" s="1342"/>
      <c r="UVO12" s="1336"/>
      <c r="UVP12" s="1336"/>
      <c r="UVQ12" s="1336"/>
      <c r="UVR12" s="1336"/>
      <c r="UVS12" s="1337"/>
      <c r="UVT12" s="1337"/>
      <c r="UVU12" s="1337"/>
      <c r="UVV12" s="1337"/>
      <c r="UVW12" s="1337"/>
      <c r="UVX12" s="1338"/>
      <c r="UVY12" s="1339"/>
      <c r="UVZ12" s="1340"/>
      <c r="UWA12" s="1340"/>
      <c r="UWB12" s="1340"/>
      <c r="UWC12" s="1341"/>
      <c r="UWD12" s="1342"/>
      <c r="UWE12" s="1336"/>
      <c r="UWF12" s="1336"/>
      <c r="UWG12" s="1336"/>
      <c r="UWH12" s="1336"/>
      <c r="UWI12" s="1337"/>
      <c r="UWJ12" s="1337"/>
      <c r="UWK12" s="1337"/>
      <c r="UWL12" s="1337"/>
      <c r="UWM12" s="1337"/>
      <c r="UWN12" s="1338"/>
      <c r="UWO12" s="1339"/>
      <c r="UWP12" s="1340"/>
      <c r="UWQ12" s="1340"/>
      <c r="UWR12" s="1340"/>
      <c r="UWS12" s="1341"/>
      <c r="UWT12" s="1342"/>
      <c r="UWU12" s="1336"/>
      <c r="UWV12" s="1336"/>
      <c r="UWW12" s="1336"/>
      <c r="UWX12" s="1336"/>
      <c r="UWY12" s="1337"/>
      <c r="UWZ12" s="1337"/>
      <c r="UXA12" s="1337"/>
      <c r="UXB12" s="1337"/>
      <c r="UXC12" s="1337"/>
      <c r="UXD12" s="1338"/>
      <c r="UXE12" s="1339"/>
      <c r="UXF12" s="1340"/>
      <c r="UXG12" s="1340"/>
      <c r="UXH12" s="1340"/>
      <c r="UXI12" s="1341"/>
      <c r="UXJ12" s="1342"/>
      <c r="UXK12" s="1336"/>
      <c r="UXL12" s="1336"/>
      <c r="UXM12" s="1336"/>
      <c r="UXN12" s="1336"/>
      <c r="UXO12" s="1337"/>
      <c r="UXP12" s="1337"/>
      <c r="UXQ12" s="1337"/>
      <c r="UXR12" s="1337"/>
      <c r="UXS12" s="1337"/>
      <c r="UXT12" s="1338"/>
      <c r="UXU12" s="1339"/>
      <c r="UXV12" s="1340"/>
      <c r="UXW12" s="1340"/>
      <c r="UXX12" s="1340"/>
      <c r="UXY12" s="1341"/>
      <c r="UXZ12" s="1342"/>
      <c r="UYA12" s="1336"/>
      <c r="UYB12" s="1336"/>
      <c r="UYC12" s="1336"/>
      <c r="UYD12" s="1336"/>
      <c r="UYE12" s="1337"/>
      <c r="UYF12" s="1337"/>
      <c r="UYG12" s="1337"/>
      <c r="UYH12" s="1337"/>
      <c r="UYI12" s="1337"/>
      <c r="UYJ12" s="1338"/>
      <c r="UYK12" s="1339"/>
      <c r="UYL12" s="1340"/>
      <c r="UYM12" s="1340"/>
      <c r="UYN12" s="1340"/>
      <c r="UYO12" s="1341"/>
      <c r="UYP12" s="1342"/>
      <c r="UYQ12" s="1336"/>
      <c r="UYR12" s="1336"/>
      <c r="UYS12" s="1336"/>
      <c r="UYT12" s="1336"/>
      <c r="UYU12" s="1337"/>
      <c r="UYV12" s="1337"/>
      <c r="UYW12" s="1337"/>
      <c r="UYX12" s="1337"/>
      <c r="UYY12" s="1337"/>
      <c r="UYZ12" s="1338"/>
      <c r="UZA12" s="1339"/>
      <c r="UZB12" s="1340"/>
      <c r="UZC12" s="1340"/>
      <c r="UZD12" s="1340"/>
      <c r="UZE12" s="1341"/>
      <c r="UZF12" s="1342"/>
      <c r="UZG12" s="1336"/>
      <c r="UZH12" s="1336"/>
      <c r="UZI12" s="1336"/>
      <c r="UZJ12" s="1336"/>
      <c r="UZK12" s="1337"/>
      <c r="UZL12" s="1337"/>
      <c r="UZM12" s="1337"/>
      <c r="UZN12" s="1337"/>
      <c r="UZO12" s="1337"/>
      <c r="UZP12" s="1338"/>
      <c r="UZQ12" s="1339"/>
      <c r="UZR12" s="1340"/>
      <c r="UZS12" s="1340"/>
      <c r="UZT12" s="1340"/>
      <c r="UZU12" s="1341"/>
      <c r="UZV12" s="1342"/>
      <c r="UZW12" s="1336"/>
      <c r="UZX12" s="1336"/>
      <c r="UZY12" s="1336"/>
      <c r="UZZ12" s="1336"/>
      <c r="VAA12" s="1337"/>
      <c r="VAB12" s="1337"/>
      <c r="VAC12" s="1337"/>
      <c r="VAD12" s="1337"/>
      <c r="VAE12" s="1337"/>
      <c r="VAF12" s="1338"/>
      <c r="VAG12" s="1339"/>
      <c r="VAH12" s="1340"/>
      <c r="VAI12" s="1340"/>
      <c r="VAJ12" s="1340"/>
      <c r="VAK12" s="1341"/>
      <c r="VAL12" s="1342"/>
      <c r="VAM12" s="1336"/>
      <c r="VAN12" s="1336"/>
      <c r="VAO12" s="1336"/>
      <c r="VAP12" s="1336"/>
      <c r="VAQ12" s="1337"/>
      <c r="VAR12" s="1337"/>
      <c r="VAS12" s="1337"/>
      <c r="VAT12" s="1337"/>
      <c r="VAU12" s="1337"/>
      <c r="VAV12" s="1338"/>
      <c r="VAW12" s="1339"/>
      <c r="VAX12" s="1340"/>
      <c r="VAY12" s="1340"/>
      <c r="VAZ12" s="1340"/>
      <c r="VBA12" s="1341"/>
      <c r="VBB12" s="1342"/>
      <c r="VBC12" s="1336"/>
      <c r="VBD12" s="1336"/>
      <c r="VBE12" s="1336"/>
      <c r="VBF12" s="1336"/>
      <c r="VBG12" s="1337"/>
      <c r="VBH12" s="1337"/>
      <c r="VBI12" s="1337"/>
      <c r="VBJ12" s="1337"/>
      <c r="VBK12" s="1337"/>
      <c r="VBL12" s="1338"/>
      <c r="VBM12" s="1339"/>
      <c r="VBN12" s="1340"/>
      <c r="VBO12" s="1340"/>
      <c r="VBP12" s="1340"/>
      <c r="VBQ12" s="1341"/>
      <c r="VBR12" s="1342"/>
      <c r="VBS12" s="1336"/>
      <c r="VBT12" s="1336"/>
      <c r="VBU12" s="1336"/>
      <c r="VBV12" s="1336"/>
      <c r="VBW12" s="1337"/>
      <c r="VBX12" s="1337"/>
      <c r="VBY12" s="1337"/>
      <c r="VBZ12" s="1337"/>
      <c r="VCA12" s="1337"/>
      <c r="VCB12" s="1338"/>
      <c r="VCC12" s="1339"/>
      <c r="VCD12" s="1340"/>
      <c r="VCE12" s="1340"/>
      <c r="VCF12" s="1340"/>
      <c r="VCG12" s="1341"/>
      <c r="VCH12" s="1342"/>
      <c r="VCI12" s="1336"/>
      <c r="VCJ12" s="1336"/>
      <c r="VCK12" s="1336"/>
      <c r="VCL12" s="1336"/>
      <c r="VCM12" s="1337"/>
      <c r="VCN12" s="1337"/>
      <c r="VCO12" s="1337"/>
      <c r="VCP12" s="1337"/>
      <c r="VCQ12" s="1337"/>
      <c r="VCR12" s="1338"/>
      <c r="VCS12" s="1339"/>
      <c r="VCT12" s="1340"/>
      <c r="VCU12" s="1340"/>
      <c r="VCV12" s="1340"/>
      <c r="VCW12" s="1341"/>
      <c r="VCX12" s="1342"/>
      <c r="VCY12" s="1336"/>
      <c r="VCZ12" s="1336"/>
      <c r="VDA12" s="1336"/>
      <c r="VDB12" s="1336"/>
      <c r="VDC12" s="1337"/>
      <c r="VDD12" s="1337"/>
      <c r="VDE12" s="1337"/>
      <c r="VDF12" s="1337"/>
      <c r="VDG12" s="1337"/>
      <c r="VDH12" s="1338"/>
      <c r="VDI12" s="1339"/>
      <c r="VDJ12" s="1340"/>
      <c r="VDK12" s="1340"/>
      <c r="VDL12" s="1340"/>
      <c r="VDM12" s="1341"/>
      <c r="VDN12" s="1342"/>
      <c r="VDO12" s="1336"/>
      <c r="VDP12" s="1336"/>
      <c r="VDQ12" s="1336"/>
      <c r="VDR12" s="1336"/>
      <c r="VDS12" s="1337"/>
      <c r="VDT12" s="1337"/>
      <c r="VDU12" s="1337"/>
      <c r="VDV12" s="1337"/>
      <c r="VDW12" s="1337"/>
      <c r="VDX12" s="1338"/>
      <c r="VDY12" s="1339"/>
      <c r="VDZ12" s="1340"/>
      <c r="VEA12" s="1340"/>
      <c r="VEB12" s="1340"/>
      <c r="VEC12" s="1341"/>
      <c r="VED12" s="1342"/>
      <c r="VEE12" s="1336"/>
      <c r="VEF12" s="1336"/>
      <c r="VEG12" s="1336"/>
      <c r="VEH12" s="1336"/>
      <c r="VEI12" s="1337"/>
      <c r="VEJ12" s="1337"/>
      <c r="VEK12" s="1337"/>
      <c r="VEL12" s="1337"/>
      <c r="VEM12" s="1337"/>
      <c r="VEN12" s="1338"/>
      <c r="VEO12" s="1339"/>
      <c r="VEP12" s="1340"/>
      <c r="VEQ12" s="1340"/>
      <c r="VER12" s="1340"/>
      <c r="VES12" s="1341"/>
      <c r="VET12" s="1342"/>
      <c r="VEU12" s="1336"/>
      <c r="VEV12" s="1336"/>
      <c r="VEW12" s="1336"/>
      <c r="VEX12" s="1336"/>
      <c r="VEY12" s="1337"/>
      <c r="VEZ12" s="1337"/>
      <c r="VFA12" s="1337"/>
      <c r="VFB12" s="1337"/>
      <c r="VFC12" s="1337"/>
      <c r="VFD12" s="1338"/>
      <c r="VFE12" s="1339"/>
      <c r="VFF12" s="1340"/>
      <c r="VFG12" s="1340"/>
      <c r="VFH12" s="1340"/>
      <c r="VFI12" s="1341"/>
      <c r="VFJ12" s="1342"/>
      <c r="VFK12" s="1336"/>
      <c r="VFL12" s="1336"/>
      <c r="VFM12" s="1336"/>
      <c r="VFN12" s="1336"/>
      <c r="VFO12" s="1337"/>
      <c r="VFP12" s="1337"/>
      <c r="VFQ12" s="1337"/>
      <c r="VFR12" s="1337"/>
      <c r="VFS12" s="1337"/>
      <c r="VFT12" s="1338"/>
      <c r="VFU12" s="1339"/>
      <c r="VFV12" s="1340"/>
      <c r="VFW12" s="1340"/>
      <c r="VFX12" s="1340"/>
      <c r="VFY12" s="1341"/>
      <c r="VFZ12" s="1342"/>
      <c r="VGA12" s="1336"/>
      <c r="VGB12" s="1336"/>
      <c r="VGC12" s="1336"/>
      <c r="VGD12" s="1336"/>
      <c r="VGE12" s="1337"/>
      <c r="VGF12" s="1337"/>
      <c r="VGG12" s="1337"/>
      <c r="VGH12" s="1337"/>
      <c r="VGI12" s="1337"/>
      <c r="VGJ12" s="1338"/>
      <c r="VGK12" s="1339"/>
      <c r="VGL12" s="1340"/>
      <c r="VGM12" s="1340"/>
      <c r="VGN12" s="1340"/>
      <c r="VGO12" s="1341"/>
      <c r="VGP12" s="1342"/>
      <c r="VGQ12" s="1336"/>
      <c r="VGR12" s="1336"/>
      <c r="VGS12" s="1336"/>
      <c r="VGT12" s="1336"/>
      <c r="VGU12" s="1337"/>
      <c r="VGV12" s="1337"/>
      <c r="VGW12" s="1337"/>
      <c r="VGX12" s="1337"/>
      <c r="VGY12" s="1337"/>
      <c r="VGZ12" s="1338"/>
      <c r="VHA12" s="1339"/>
      <c r="VHB12" s="1340"/>
      <c r="VHC12" s="1340"/>
      <c r="VHD12" s="1340"/>
      <c r="VHE12" s="1341"/>
      <c r="VHF12" s="1342"/>
      <c r="VHG12" s="1336"/>
      <c r="VHH12" s="1336"/>
      <c r="VHI12" s="1336"/>
      <c r="VHJ12" s="1336"/>
      <c r="VHK12" s="1337"/>
      <c r="VHL12" s="1337"/>
      <c r="VHM12" s="1337"/>
      <c r="VHN12" s="1337"/>
      <c r="VHO12" s="1337"/>
      <c r="VHP12" s="1338"/>
      <c r="VHQ12" s="1339"/>
      <c r="VHR12" s="1340"/>
      <c r="VHS12" s="1340"/>
      <c r="VHT12" s="1340"/>
      <c r="VHU12" s="1341"/>
      <c r="VHV12" s="1342"/>
      <c r="VHW12" s="1336"/>
      <c r="VHX12" s="1336"/>
      <c r="VHY12" s="1336"/>
      <c r="VHZ12" s="1336"/>
      <c r="VIA12" s="1337"/>
      <c r="VIB12" s="1337"/>
      <c r="VIC12" s="1337"/>
      <c r="VID12" s="1337"/>
      <c r="VIE12" s="1337"/>
      <c r="VIF12" s="1338"/>
      <c r="VIG12" s="1339"/>
      <c r="VIH12" s="1340"/>
      <c r="VII12" s="1340"/>
      <c r="VIJ12" s="1340"/>
      <c r="VIK12" s="1341"/>
      <c r="VIL12" s="1342"/>
      <c r="VIM12" s="1336"/>
      <c r="VIN12" s="1336"/>
      <c r="VIO12" s="1336"/>
      <c r="VIP12" s="1336"/>
      <c r="VIQ12" s="1337"/>
      <c r="VIR12" s="1337"/>
      <c r="VIS12" s="1337"/>
      <c r="VIT12" s="1337"/>
      <c r="VIU12" s="1337"/>
      <c r="VIV12" s="1338"/>
      <c r="VIW12" s="1339"/>
      <c r="VIX12" s="1340"/>
      <c r="VIY12" s="1340"/>
      <c r="VIZ12" s="1340"/>
      <c r="VJA12" s="1341"/>
      <c r="VJB12" s="1342"/>
      <c r="VJC12" s="1336"/>
      <c r="VJD12" s="1336"/>
      <c r="VJE12" s="1336"/>
      <c r="VJF12" s="1336"/>
      <c r="VJG12" s="1337"/>
      <c r="VJH12" s="1337"/>
      <c r="VJI12" s="1337"/>
      <c r="VJJ12" s="1337"/>
      <c r="VJK12" s="1337"/>
      <c r="VJL12" s="1338"/>
      <c r="VJM12" s="1339"/>
      <c r="VJN12" s="1340"/>
      <c r="VJO12" s="1340"/>
      <c r="VJP12" s="1340"/>
      <c r="VJQ12" s="1341"/>
      <c r="VJR12" s="1342"/>
      <c r="VJS12" s="1336"/>
      <c r="VJT12" s="1336"/>
      <c r="VJU12" s="1336"/>
      <c r="VJV12" s="1336"/>
      <c r="VJW12" s="1337"/>
      <c r="VJX12" s="1337"/>
      <c r="VJY12" s="1337"/>
      <c r="VJZ12" s="1337"/>
      <c r="VKA12" s="1337"/>
      <c r="VKB12" s="1338"/>
      <c r="VKC12" s="1339"/>
      <c r="VKD12" s="1340"/>
      <c r="VKE12" s="1340"/>
      <c r="VKF12" s="1340"/>
      <c r="VKG12" s="1341"/>
      <c r="VKH12" s="1342"/>
      <c r="VKI12" s="1336"/>
      <c r="VKJ12" s="1336"/>
      <c r="VKK12" s="1336"/>
      <c r="VKL12" s="1336"/>
      <c r="VKM12" s="1337"/>
      <c r="VKN12" s="1337"/>
      <c r="VKO12" s="1337"/>
      <c r="VKP12" s="1337"/>
      <c r="VKQ12" s="1337"/>
      <c r="VKR12" s="1338"/>
      <c r="VKS12" s="1339"/>
      <c r="VKT12" s="1340"/>
      <c r="VKU12" s="1340"/>
      <c r="VKV12" s="1340"/>
      <c r="VKW12" s="1341"/>
      <c r="VKX12" s="1342"/>
      <c r="VKY12" s="1336"/>
      <c r="VKZ12" s="1336"/>
      <c r="VLA12" s="1336"/>
      <c r="VLB12" s="1336"/>
      <c r="VLC12" s="1337"/>
      <c r="VLD12" s="1337"/>
      <c r="VLE12" s="1337"/>
      <c r="VLF12" s="1337"/>
      <c r="VLG12" s="1337"/>
      <c r="VLH12" s="1338"/>
      <c r="VLI12" s="1339"/>
      <c r="VLJ12" s="1340"/>
      <c r="VLK12" s="1340"/>
      <c r="VLL12" s="1340"/>
      <c r="VLM12" s="1341"/>
      <c r="VLN12" s="1342"/>
      <c r="VLO12" s="1336"/>
      <c r="VLP12" s="1336"/>
      <c r="VLQ12" s="1336"/>
      <c r="VLR12" s="1336"/>
      <c r="VLS12" s="1337"/>
      <c r="VLT12" s="1337"/>
      <c r="VLU12" s="1337"/>
      <c r="VLV12" s="1337"/>
      <c r="VLW12" s="1337"/>
      <c r="VLX12" s="1338"/>
      <c r="VLY12" s="1339"/>
      <c r="VLZ12" s="1340"/>
      <c r="VMA12" s="1340"/>
      <c r="VMB12" s="1340"/>
      <c r="VMC12" s="1341"/>
      <c r="VMD12" s="1342"/>
      <c r="VME12" s="1336"/>
      <c r="VMF12" s="1336"/>
      <c r="VMG12" s="1336"/>
      <c r="VMH12" s="1336"/>
      <c r="VMI12" s="1337"/>
      <c r="VMJ12" s="1337"/>
      <c r="VMK12" s="1337"/>
      <c r="VML12" s="1337"/>
      <c r="VMM12" s="1337"/>
      <c r="VMN12" s="1338"/>
      <c r="VMO12" s="1339"/>
      <c r="VMP12" s="1340"/>
      <c r="VMQ12" s="1340"/>
      <c r="VMR12" s="1340"/>
      <c r="VMS12" s="1341"/>
      <c r="VMT12" s="1342"/>
      <c r="VMU12" s="1336"/>
      <c r="VMV12" s="1336"/>
      <c r="VMW12" s="1336"/>
      <c r="VMX12" s="1336"/>
      <c r="VMY12" s="1337"/>
      <c r="VMZ12" s="1337"/>
      <c r="VNA12" s="1337"/>
      <c r="VNB12" s="1337"/>
      <c r="VNC12" s="1337"/>
      <c r="VND12" s="1338"/>
      <c r="VNE12" s="1339"/>
      <c r="VNF12" s="1340"/>
      <c r="VNG12" s="1340"/>
      <c r="VNH12" s="1340"/>
      <c r="VNI12" s="1341"/>
      <c r="VNJ12" s="1342"/>
      <c r="VNK12" s="1336"/>
      <c r="VNL12" s="1336"/>
      <c r="VNM12" s="1336"/>
      <c r="VNN12" s="1336"/>
      <c r="VNO12" s="1337"/>
      <c r="VNP12" s="1337"/>
      <c r="VNQ12" s="1337"/>
      <c r="VNR12" s="1337"/>
      <c r="VNS12" s="1337"/>
      <c r="VNT12" s="1338"/>
      <c r="VNU12" s="1339"/>
      <c r="VNV12" s="1340"/>
      <c r="VNW12" s="1340"/>
      <c r="VNX12" s="1340"/>
      <c r="VNY12" s="1341"/>
      <c r="VNZ12" s="1342"/>
      <c r="VOA12" s="1336"/>
      <c r="VOB12" s="1336"/>
      <c r="VOC12" s="1336"/>
      <c r="VOD12" s="1336"/>
      <c r="VOE12" s="1337"/>
      <c r="VOF12" s="1337"/>
      <c r="VOG12" s="1337"/>
      <c r="VOH12" s="1337"/>
      <c r="VOI12" s="1337"/>
      <c r="VOJ12" s="1338"/>
      <c r="VOK12" s="1339"/>
      <c r="VOL12" s="1340"/>
      <c r="VOM12" s="1340"/>
      <c r="VON12" s="1340"/>
      <c r="VOO12" s="1341"/>
      <c r="VOP12" s="1342"/>
      <c r="VOQ12" s="1336"/>
      <c r="VOR12" s="1336"/>
      <c r="VOS12" s="1336"/>
      <c r="VOT12" s="1336"/>
      <c r="VOU12" s="1337"/>
      <c r="VOV12" s="1337"/>
      <c r="VOW12" s="1337"/>
      <c r="VOX12" s="1337"/>
      <c r="VOY12" s="1337"/>
      <c r="VOZ12" s="1338"/>
      <c r="VPA12" s="1339"/>
      <c r="VPB12" s="1340"/>
      <c r="VPC12" s="1340"/>
      <c r="VPD12" s="1340"/>
      <c r="VPE12" s="1341"/>
      <c r="VPF12" s="1342"/>
      <c r="VPG12" s="1336"/>
      <c r="VPH12" s="1336"/>
      <c r="VPI12" s="1336"/>
      <c r="VPJ12" s="1336"/>
      <c r="VPK12" s="1337"/>
      <c r="VPL12" s="1337"/>
      <c r="VPM12" s="1337"/>
      <c r="VPN12" s="1337"/>
      <c r="VPO12" s="1337"/>
      <c r="VPP12" s="1338"/>
      <c r="VPQ12" s="1339"/>
      <c r="VPR12" s="1340"/>
      <c r="VPS12" s="1340"/>
      <c r="VPT12" s="1340"/>
      <c r="VPU12" s="1341"/>
      <c r="VPV12" s="1342"/>
      <c r="VPW12" s="1336"/>
      <c r="VPX12" s="1336"/>
      <c r="VPY12" s="1336"/>
      <c r="VPZ12" s="1336"/>
      <c r="VQA12" s="1337"/>
      <c r="VQB12" s="1337"/>
      <c r="VQC12" s="1337"/>
      <c r="VQD12" s="1337"/>
      <c r="VQE12" s="1337"/>
      <c r="VQF12" s="1338"/>
      <c r="VQG12" s="1339"/>
      <c r="VQH12" s="1340"/>
      <c r="VQI12" s="1340"/>
      <c r="VQJ12" s="1340"/>
      <c r="VQK12" s="1341"/>
      <c r="VQL12" s="1342"/>
      <c r="VQM12" s="1336"/>
      <c r="VQN12" s="1336"/>
      <c r="VQO12" s="1336"/>
      <c r="VQP12" s="1336"/>
      <c r="VQQ12" s="1337"/>
      <c r="VQR12" s="1337"/>
      <c r="VQS12" s="1337"/>
      <c r="VQT12" s="1337"/>
      <c r="VQU12" s="1337"/>
      <c r="VQV12" s="1338"/>
      <c r="VQW12" s="1339"/>
      <c r="VQX12" s="1340"/>
      <c r="VQY12" s="1340"/>
      <c r="VQZ12" s="1340"/>
      <c r="VRA12" s="1341"/>
      <c r="VRB12" s="1342"/>
      <c r="VRC12" s="1336"/>
      <c r="VRD12" s="1336"/>
      <c r="VRE12" s="1336"/>
      <c r="VRF12" s="1336"/>
      <c r="VRG12" s="1337"/>
      <c r="VRH12" s="1337"/>
      <c r="VRI12" s="1337"/>
      <c r="VRJ12" s="1337"/>
      <c r="VRK12" s="1337"/>
      <c r="VRL12" s="1338"/>
      <c r="VRM12" s="1339"/>
      <c r="VRN12" s="1340"/>
      <c r="VRO12" s="1340"/>
      <c r="VRP12" s="1340"/>
      <c r="VRQ12" s="1341"/>
      <c r="VRR12" s="1342"/>
      <c r="VRS12" s="1336"/>
      <c r="VRT12" s="1336"/>
      <c r="VRU12" s="1336"/>
      <c r="VRV12" s="1336"/>
      <c r="VRW12" s="1337"/>
      <c r="VRX12" s="1337"/>
      <c r="VRY12" s="1337"/>
      <c r="VRZ12" s="1337"/>
      <c r="VSA12" s="1337"/>
      <c r="VSB12" s="1338"/>
      <c r="VSC12" s="1339"/>
      <c r="VSD12" s="1340"/>
      <c r="VSE12" s="1340"/>
      <c r="VSF12" s="1340"/>
      <c r="VSG12" s="1341"/>
      <c r="VSH12" s="1342"/>
      <c r="VSI12" s="1336"/>
      <c r="VSJ12" s="1336"/>
      <c r="VSK12" s="1336"/>
      <c r="VSL12" s="1336"/>
      <c r="VSM12" s="1337"/>
      <c r="VSN12" s="1337"/>
      <c r="VSO12" s="1337"/>
      <c r="VSP12" s="1337"/>
      <c r="VSQ12" s="1337"/>
      <c r="VSR12" s="1338"/>
      <c r="VSS12" s="1339"/>
      <c r="VST12" s="1340"/>
      <c r="VSU12" s="1340"/>
      <c r="VSV12" s="1340"/>
      <c r="VSW12" s="1341"/>
      <c r="VSX12" s="1342"/>
      <c r="VSY12" s="1336"/>
      <c r="VSZ12" s="1336"/>
      <c r="VTA12" s="1336"/>
      <c r="VTB12" s="1336"/>
      <c r="VTC12" s="1337"/>
      <c r="VTD12" s="1337"/>
      <c r="VTE12" s="1337"/>
      <c r="VTF12" s="1337"/>
      <c r="VTG12" s="1337"/>
      <c r="VTH12" s="1338"/>
      <c r="VTI12" s="1339"/>
      <c r="VTJ12" s="1340"/>
      <c r="VTK12" s="1340"/>
      <c r="VTL12" s="1340"/>
      <c r="VTM12" s="1341"/>
      <c r="VTN12" s="1342"/>
      <c r="VTO12" s="1336"/>
      <c r="VTP12" s="1336"/>
      <c r="VTQ12" s="1336"/>
      <c r="VTR12" s="1336"/>
      <c r="VTS12" s="1337"/>
      <c r="VTT12" s="1337"/>
      <c r="VTU12" s="1337"/>
      <c r="VTV12" s="1337"/>
      <c r="VTW12" s="1337"/>
      <c r="VTX12" s="1338"/>
      <c r="VTY12" s="1339"/>
      <c r="VTZ12" s="1340"/>
      <c r="VUA12" s="1340"/>
      <c r="VUB12" s="1340"/>
      <c r="VUC12" s="1341"/>
      <c r="VUD12" s="1342"/>
      <c r="VUE12" s="1336"/>
      <c r="VUF12" s="1336"/>
      <c r="VUG12" s="1336"/>
      <c r="VUH12" s="1336"/>
      <c r="VUI12" s="1337"/>
      <c r="VUJ12" s="1337"/>
      <c r="VUK12" s="1337"/>
      <c r="VUL12" s="1337"/>
      <c r="VUM12" s="1337"/>
      <c r="VUN12" s="1338"/>
      <c r="VUO12" s="1339"/>
      <c r="VUP12" s="1340"/>
      <c r="VUQ12" s="1340"/>
      <c r="VUR12" s="1340"/>
      <c r="VUS12" s="1341"/>
      <c r="VUT12" s="1342"/>
      <c r="VUU12" s="1336"/>
      <c r="VUV12" s="1336"/>
      <c r="VUW12" s="1336"/>
      <c r="VUX12" s="1336"/>
      <c r="VUY12" s="1337"/>
      <c r="VUZ12" s="1337"/>
      <c r="VVA12" s="1337"/>
      <c r="VVB12" s="1337"/>
      <c r="VVC12" s="1337"/>
      <c r="VVD12" s="1338"/>
      <c r="VVE12" s="1339"/>
      <c r="VVF12" s="1340"/>
      <c r="VVG12" s="1340"/>
      <c r="VVH12" s="1340"/>
      <c r="VVI12" s="1341"/>
      <c r="VVJ12" s="1342"/>
      <c r="VVK12" s="1336"/>
      <c r="VVL12" s="1336"/>
      <c r="VVM12" s="1336"/>
      <c r="VVN12" s="1336"/>
      <c r="VVO12" s="1337"/>
      <c r="VVP12" s="1337"/>
      <c r="VVQ12" s="1337"/>
      <c r="VVR12" s="1337"/>
      <c r="VVS12" s="1337"/>
      <c r="VVT12" s="1338"/>
      <c r="VVU12" s="1339"/>
      <c r="VVV12" s="1340"/>
      <c r="VVW12" s="1340"/>
      <c r="VVX12" s="1340"/>
      <c r="VVY12" s="1341"/>
      <c r="VVZ12" s="1342"/>
      <c r="VWA12" s="1336"/>
      <c r="VWB12" s="1336"/>
      <c r="VWC12" s="1336"/>
      <c r="VWD12" s="1336"/>
      <c r="VWE12" s="1337"/>
      <c r="VWF12" s="1337"/>
      <c r="VWG12" s="1337"/>
      <c r="VWH12" s="1337"/>
      <c r="VWI12" s="1337"/>
      <c r="VWJ12" s="1338"/>
      <c r="VWK12" s="1339"/>
      <c r="VWL12" s="1340"/>
      <c r="VWM12" s="1340"/>
      <c r="VWN12" s="1340"/>
      <c r="VWO12" s="1341"/>
      <c r="VWP12" s="1342"/>
      <c r="VWQ12" s="1336"/>
      <c r="VWR12" s="1336"/>
      <c r="VWS12" s="1336"/>
      <c r="VWT12" s="1336"/>
      <c r="VWU12" s="1337"/>
      <c r="VWV12" s="1337"/>
      <c r="VWW12" s="1337"/>
      <c r="VWX12" s="1337"/>
      <c r="VWY12" s="1337"/>
      <c r="VWZ12" s="1338"/>
      <c r="VXA12" s="1339"/>
      <c r="VXB12" s="1340"/>
      <c r="VXC12" s="1340"/>
      <c r="VXD12" s="1340"/>
      <c r="VXE12" s="1341"/>
      <c r="VXF12" s="1342"/>
      <c r="VXG12" s="1336"/>
      <c r="VXH12" s="1336"/>
      <c r="VXI12" s="1336"/>
      <c r="VXJ12" s="1336"/>
      <c r="VXK12" s="1337"/>
      <c r="VXL12" s="1337"/>
      <c r="VXM12" s="1337"/>
      <c r="VXN12" s="1337"/>
      <c r="VXO12" s="1337"/>
      <c r="VXP12" s="1338"/>
      <c r="VXQ12" s="1339"/>
      <c r="VXR12" s="1340"/>
      <c r="VXS12" s="1340"/>
      <c r="VXT12" s="1340"/>
      <c r="VXU12" s="1341"/>
      <c r="VXV12" s="1342"/>
      <c r="VXW12" s="1336"/>
      <c r="VXX12" s="1336"/>
      <c r="VXY12" s="1336"/>
      <c r="VXZ12" s="1336"/>
      <c r="VYA12" s="1337"/>
      <c r="VYB12" s="1337"/>
      <c r="VYC12" s="1337"/>
      <c r="VYD12" s="1337"/>
      <c r="VYE12" s="1337"/>
      <c r="VYF12" s="1338"/>
      <c r="VYG12" s="1339"/>
      <c r="VYH12" s="1340"/>
      <c r="VYI12" s="1340"/>
      <c r="VYJ12" s="1340"/>
      <c r="VYK12" s="1341"/>
      <c r="VYL12" s="1342"/>
      <c r="VYM12" s="1336"/>
      <c r="VYN12" s="1336"/>
      <c r="VYO12" s="1336"/>
      <c r="VYP12" s="1336"/>
      <c r="VYQ12" s="1337"/>
      <c r="VYR12" s="1337"/>
      <c r="VYS12" s="1337"/>
      <c r="VYT12" s="1337"/>
      <c r="VYU12" s="1337"/>
      <c r="VYV12" s="1338"/>
      <c r="VYW12" s="1339"/>
      <c r="VYX12" s="1340"/>
      <c r="VYY12" s="1340"/>
      <c r="VYZ12" s="1340"/>
      <c r="VZA12" s="1341"/>
      <c r="VZB12" s="1342"/>
      <c r="VZC12" s="1336"/>
      <c r="VZD12" s="1336"/>
      <c r="VZE12" s="1336"/>
      <c r="VZF12" s="1336"/>
      <c r="VZG12" s="1337"/>
      <c r="VZH12" s="1337"/>
      <c r="VZI12" s="1337"/>
      <c r="VZJ12" s="1337"/>
      <c r="VZK12" s="1337"/>
      <c r="VZL12" s="1338"/>
      <c r="VZM12" s="1339"/>
      <c r="VZN12" s="1340"/>
      <c r="VZO12" s="1340"/>
      <c r="VZP12" s="1340"/>
      <c r="VZQ12" s="1341"/>
      <c r="VZR12" s="1342"/>
      <c r="VZS12" s="1336"/>
      <c r="VZT12" s="1336"/>
      <c r="VZU12" s="1336"/>
      <c r="VZV12" s="1336"/>
      <c r="VZW12" s="1337"/>
      <c r="VZX12" s="1337"/>
      <c r="VZY12" s="1337"/>
      <c r="VZZ12" s="1337"/>
      <c r="WAA12" s="1337"/>
      <c r="WAB12" s="1338"/>
      <c r="WAC12" s="1339"/>
      <c r="WAD12" s="1340"/>
      <c r="WAE12" s="1340"/>
      <c r="WAF12" s="1340"/>
      <c r="WAG12" s="1341"/>
      <c r="WAH12" s="1342"/>
      <c r="WAI12" s="1336"/>
      <c r="WAJ12" s="1336"/>
      <c r="WAK12" s="1336"/>
      <c r="WAL12" s="1336"/>
      <c r="WAM12" s="1337"/>
      <c r="WAN12" s="1337"/>
      <c r="WAO12" s="1337"/>
      <c r="WAP12" s="1337"/>
      <c r="WAQ12" s="1337"/>
      <c r="WAR12" s="1338"/>
      <c r="WAS12" s="1339"/>
      <c r="WAT12" s="1340"/>
      <c r="WAU12" s="1340"/>
      <c r="WAV12" s="1340"/>
      <c r="WAW12" s="1341"/>
      <c r="WAX12" s="1342"/>
      <c r="WAY12" s="1336"/>
      <c r="WAZ12" s="1336"/>
      <c r="WBA12" s="1336"/>
      <c r="WBB12" s="1336"/>
      <c r="WBC12" s="1337"/>
      <c r="WBD12" s="1337"/>
      <c r="WBE12" s="1337"/>
      <c r="WBF12" s="1337"/>
      <c r="WBG12" s="1337"/>
      <c r="WBH12" s="1338"/>
      <c r="WBI12" s="1339"/>
      <c r="WBJ12" s="1340"/>
      <c r="WBK12" s="1340"/>
      <c r="WBL12" s="1340"/>
      <c r="WBM12" s="1341"/>
      <c r="WBN12" s="1342"/>
      <c r="WBO12" s="1336"/>
      <c r="WBP12" s="1336"/>
      <c r="WBQ12" s="1336"/>
      <c r="WBR12" s="1336"/>
      <c r="WBS12" s="1337"/>
      <c r="WBT12" s="1337"/>
      <c r="WBU12" s="1337"/>
      <c r="WBV12" s="1337"/>
      <c r="WBW12" s="1337"/>
      <c r="WBX12" s="1338"/>
      <c r="WBY12" s="1339"/>
      <c r="WBZ12" s="1340"/>
      <c r="WCA12" s="1340"/>
      <c r="WCB12" s="1340"/>
      <c r="WCC12" s="1341"/>
      <c r="WCD12" s="1342"/>
      <c r="WCE12" s="1336"/>
      <c r="WCF12" s="1336"/>
      <c r="WCG12" s="1336"/>
      <c r="WCH12" s="1336"/>
      <c r="WCI12" s="1337"/>
      <c r="WCJ12" s="1337"/>
      <c r="WCK12" s="1337"/>
      <c r="WCL12" s="1337"/>
      <c r="WCM12" s="1337"/>
      <c r="WCN12" s="1338"/>
      <c r="WCO12" s="1339"/>
      <c r="WCP12" s="1340"/>
      <c r="WCQ12" s="1340"/>
      <c r="WCR12" s="1340"/>
      <c r="WCS12" s="1341"/>
      <c r="WCT12" s="1342"/>
      <c r="WCU12" s="1336"/>
      <c r="WCV12" s="1336"/>
      <c r="WCW12" s="1336"/>
      <c r="WCX12" s="1336"/>
      <c r="WCY12" s="1337"/>
      <c r="WCZ12" s="1337"/>
      <c r="WDA12" s="1337"/>
      <c r="WDB12" s="1337"/>
      <c r="WDC12" s="1337"/>
      <c r="WDD12" s="1338"/>
      <c r="WDE12" s="1339"/>
      <c r="WDF12" s="1340"/>
      <c r="WDG12" s="1340"/>
      <c r="WDH12" s="1340"/>
      <c r="WDI12" s="1341"/>
      <c r="WDJ12" s="1342"/>
      <c r="WDK12" s="1336"/>
      <c r="WDL12" s="1336"/>
      <c r="WDM12" s="1336"/>
      <c r="WDN12" s="1336"/>
      <c r="WDO12" s="1337"/>
      <c r="WDP12" s="1337"/>
      <c r="WDQ12" s="1337"/>
      <c r="WDR12" s="1337"/>
      <c r="WDS12" s="1337"/>
      <c r="WDT12" s="1338"/>
      <c r="WDU12" s="1339"/>
      <c r="WDV12" s="1340"/>
      <c r="WDW12" s="1340"/>
      <c r="WDX12" s="1340"/>
      <c r="WDY12" s="1341"/>
      <c r="WDZ12" s="1342"/>
      <c r="WEA12" s="1336"/>
      <c r="WEB12" s="1336"/>
      <c r="WEC12" s="1336"/>
      <c r="WED12" s="1336"/>
      <c r="WEE12" s="1337"/>
      <c r="WEF12" s="1337"/>
      <c r="WEG12" s="1337"/>
      <c r="WEH12" s="1337"/>
      <c r="WEI12" s="1337"/>
      <c r="WEJ12" s="1338"/>
      <c r="WEK12" s="1339"/>
      <c r="WEL12" s="1340"/>
      <c r="WEM12" s="1340"/>
      <c r="WEN12" s="1340"/>
      <c r="WEO12" s="1341"/>
      <c r="WEP12" s="1342"/>
      <c r="WEQ12" s="1336"/>
      <c r="WER12" s="1336"/>
      <c r="WES12" s="1336"/>
      <c r="WET12" s="1336"/>
      <c r="WEU12" s="1337"/>
      <c r="WEV12" s="1337"/>
      <c r="WEW12" s="1337"/>
      <c r="WEX12" s="1337"/>
      <c r="WEY12" s="1337"/>
      <c r="WEZ12" s="1338"/>
      <c r="WFA12" s="1339"/>
      <c r="WFB12" s="1340"/>
      <c r="WFC12" s="1340"/>
      <c r="WFD12" s="1340"/>
      <c r="WFE12" s="1341"/>
      <c r="WFF12" s="1342"/>
      <c r="WFG12" s="1336"/>
      <c r="WFH12" s="1336"/>
      <c r="WFI12" s="1336"/>
      <c r="WFJ12" s="1336"/>
      <c r="WFK12" s="1337"/>
      <c r="WFL12" s="1337"/>
      <c r="WFM12" s="1337"/>
      <c r="WFN12" s="1337"/>
      <c r="WFO12" s="1337"/>
      <c r="WFP12" s="1338"/>
      <c r="WFQ12" s="1339"/>
      <c r="WFR12" s="1340"/>
      <c r="WFS12" s="1340"/>
      <c r="WFT12" s="1340"/>
      <c r="WFU12" s="1341"/>
      <c r="WFV12" s="1342"/>
      <c r="WFW12" s="1336"/>
      <c r="WFX12" s="1336"/>
      <c r="WFY12" s="1336"/>
      <c r="WFZ12" s="1336"/>
      <c r="WGA12" s="1337"/>
      <c r="WGB12" s="1337"/>
      <c r="WGC12" s="1337"/>
      <c r="WGD12" s="1337"/>
      <c r="WGE12" s="1337"/>
      <c r="WGF12" s="1338"/>
      <c r="WGG12" s="1339"/>
      <c r="WGH12" s="1340"/>
      <c r="WGI12" s="1340"/>
      <c r="WGJ12" s="1340"/>
      <c r="WGK12" s="1341"/>
      <c r="WGL12" s="1342"/>
      <c r="WGM12" s="1336"/>
      <c r="WGN12" s="1336"/>
      <c r="WGO12" s="1336"/>
      <c r="WGP12" s="1336"/>
      <c r="WGQ12" s="1337"/>
      <c r="WGR12" s="1337"/>
      <c r="WGS12" s="1337"/>
      <c r="WGT12" s="1337"/>
      <c r="WGU12" s="1337"/>
      <c r="WGV12" s="1338"/>
      <c r="WGW12" s="1339"/>
      <c r="WGX12" s="1340"/>
      <c r="WGY12" s="1340"/>
      <c r="WGZ12" s="1340"/>
      <c r="WHA12" s="1341"/>
      <c r="WHB12" s="1342"/>
      <c r="WHC12" s="1336"/>
      <c r="WHD12" s="1336"/>
      <c r="WHE12" s="1336"/>
      <c r="WHF12" s="1336"/>
      <c r="WHG12" s="1337"/>
      <c r="WHH12" s="1337"/>
      <c r="WHI12" s="1337"/>
      <c r="WHJ12" s="1337"/>
      <c r="WHK12" s="1337"/>
      <c r="WHL12" s="1338"/>
      <c r="WHM12" s="1339"/>
      <c r="WHN12" s="1340"/>
      <c r="WHO12" s="1340"/>
      <c r="WHP12" s="1340"/>
      <c r="WHQ12" s="1341"/>
      <c r="WHR12" s="1342"/>
      <c r="WHS12" s="1336"/>
      <c r="WHT12" s="1336"/>
      <c r="WHU12" s="1336"/>
      <c r="WHV12" s="1336"/>
      <c r="WHW12" s="1337"/>
      <c r="WHX12" s="1337"/>
      <c r="WHY12" s="1337"/>
      <c r="WHZ12" s="1337"/>
      <c r="WIA12" s="1337"/>
      <c r="WIB12" s="1338"/>
      <c r="WIC12" s="1339"/>
      <c r="WID12" s="1340"/>
      <c r="WIE12" s="1340"/>
      <c r="WIF12" s="1340"/>
      <c r="WIG12" s="1341"/>
      <c r="WIH12" s="1342"/>
      <c r="WII12" s="1336"/>
      <c r="WIJ12" s="1336"/>
      <c r="WIK12" s="1336"/>
      <c r="WIL12" s="1336"/>
      <c r="WIM12" s="1337"/>
      <c r="WIN12" s="1337"/>
      <c r="WIO12" s="1337"/>
      <c r="WIP12" s="1337"/>
      <c r="WIQ12" s="1337"/>
      <c r="WIR12" s="1338"/>
      <c r="WIS12" s="1339"/>
      <c r="WIT12" s="1340"/>
      <c r="WIU12" s="1340"/>
      <c r="WIV12" s="1340"/>
      <c r="WIW12" s="1341"/>
      <c r="WIX12" s="1342"/>
      <c r="WIY12" s="1336"/>
      <c r="WIZ12" s="1336"/>
      <c r="WJA12" s="1336"/>
      <c r="WJB12" s="1336"/>
      <c r="WJC12" s="1337"/>
      <c r="WJD12" s="1337"/>
      <c r="WJE12" s="1337"/>
      <c r="WJF12" s="1337"/>
      <c r="WJG12" s="1337"/>
      <c r="WJH12" s="1338"/>
      <c r="WJI12" s="1339"/>
      <c r="WJJ12" s="1340"/>
      <c r="WJK12" s="1340"/>
      <c r="WJL12" s="1340"/>
      <c r="WJM12" s="1341"/>
      <c r="WJN12" s="1342"/>
      <c r="WJO12" s="1336"/>
      <c r="WJP12" s="1336"/>
      <c r="WJQ12" s="1336"/>
      <c r="WJR12" s="1336"/>
      <c r="WJS12" s="1337"/>
      <c r="WJT12" s="1337"/>
      <c r="WJU12" s="1337"/>
      <c r="WJV12" s="1337"/>
      <c r="WJW12" s="1337"/>
      <c r="WJX12" s="1338"/>
      <c r="WJY12" s="1339"/>
      <c r="WJZ12" s="1340"/>
      <c r="WKA12" s="1340"/>
      <c r="WKB12" s="1340"/>
      <c r="WKC12" s="1341"/>
      <c r="WKD12" s="1342"/>
      <c r="WKE12" s="1336"/>
      <c r="WKF12" s="1336"/>
      <c r="WKG12" s="1336"/>
      <c r="WKH12" s="1336"/>
      <c r="WKI12" s="1337"/>
      <c r="WKJ12" s="1337"/>
      <c r="WKK12" s="1337"/>
      <c r="WKL12" s="1337"/>
      <c r="WKM12" s="1337"/>
      <c r="WKN12" s="1338"/>
      <c r="WKO12" s="1339"/>
      <c r="WKP12" s="1340"/>
      <c r="WKQ12" s="1340"/>
      <c r="WKR12" s="1340"/>
      <c r="WKS12" s="1341"/>
      <c r="WKT12" s="1342"/>
      <c r="WKU12" s="1336"/>
      <c r="WKV12" s="1336"/>
      <c r="WKW12" s="1336"/>
      <c r="WKX12" s="1336"/>
      <c r="WKY12" s="1337"/>
      <c r="WKZ12" s="1337"/>
      <c r="WLA12" s="1337"/>
      <c r="WLB12" s="1337"/>
      <c r="WLC12" s="1337"/>
      <c r="WLD12" s="1338"/>
      <c r="WLE12" s="1339"/>
      <c r="WLF12" s="1340"/>
      <c r="WLG12" s="1340"/>
      <c r="WLH12" s="1340"/>
      <c r="WLI12" s="1341"/>
      <c r="WLJ12" s="1342"/>
      <c r="WLK12" s="1336"/>
      <c r="WLL12" s="1336"/>
      <c r="WLM12" s="1336"/>
      <c r="WLN12" s="1336"/>
      <c r="WLO12" s="1337"/>
      <c r="WLP12" s="1337"/>
      <c r="WLQ12" s="1337"/>
      <c r="WLR12" s="1337"/>
      <c r="WLS12" s="1337"/>
      <c r="WLT12" s="1338"/>
      <c r="WLU12" s="1339"/>
      <c r="WLV12" s="1340"/>
      <c r="WLW12" s="1340"/>
      <c r="WLX12" s="1340"/>
      <c r="WLY12" s="1341"/>
      <c r="WLZ12" s="1342"/>
      <c r="WMA12" s="1336"/>
      <c r="WMB12" s="1336"/>
      <c r="WMC12" s="1336"/>
      <c r="WMD12" s="1336"/>
      <c r="WME12" s="1337"/>
      <c r="WMF12" s="1337"/>
      <c r="WMG12" s="1337"/>
      <c r="WMH12" s="1337"/>
      <c r="WMI12" s="1337"/>
      <c r="WMJ12" s="1338"/>
      <c r="WMK12" s="1339"/>
      <c r="WML12" s="1340"/>
      <c r="WMM12" s="1340"/>
      <c r="WMN12" s="1340"/>
      <c r="WMO12" s="1341"/>
      <c r="WMP12" s="1342"/>
      <c r="WMQ12" s="1336"/>
      <c r="WMR12" s="1336"/>
      <c r="WMS12" s="1336"/>
      <c r="WMT12" s="1336"/>
      <c r="WMU12" s="1337"/>
      <c r="WMV12" s="1337"/>
      <c r="WMW12" s="1337"/>
      <c r="WMX12" s="1337"/>
      <c r="WMY12" s="1337"/>
      <c r="WMZ12" s="1338"/>
      <c r="WNA12" s="1339"/>
      <c r="WNB12" s="1340"/>
      <c r="WNC12" s="1340"/>
      <c r="WND12" s="1340"/>
      <c r="WNE12" s="1341"/>
      <c r="WNF12" s="1342"/>
      <c r="WNG12" s="1336"/>
      <c r="WNH12" s="1336"/>
      <c r="WNI12" s="1336"/>
      <c r="WNJ12" s="1336"/>
      <c r="WNK12" s="1337"/>
      <c r="WNL12" s="1337"/>
      <c r="WNM12" s="1337"/>
      <c r="WNN12" s="1337"/>
      <c r="WNO12" s="1337"/>
      <c r="WNP12" s="1338"/>
      <c r="WNQ12" s="1339"/>
      <c r="WNR12" s="1340"/>
      <c r="WNS12" s="1340"/>
      <c r="WNT12" s="1340"/>
      <c r="WNU12" s="1341"/>
      <c r="WNV12" s="1342"/>
      <c r="WNW12" s="1336"/>
      <c r="WNX12" s="1336"/>
      <c r="WNY12" s="1336"/>
      <c r="WNZ12" s="1336"/>
      <c r="WOA12" s="1337"/>
      <c r="WOB12" s="1337"/>
      <c r="WOC12" s="1337"/>
      <c r="WOD12" s="1337"/>
      <c r="WOE12" s="1337"/>
      <c r="WOF12" s="1338"/>
      <c r="WOG12" s="1339"/>
      <c r="WOH12" s="1340"/>
      <c r="WOI12" s="1340"/>
      <c r="WOJ12" s="1340"/>
      <c r="WOK12" s="1341"/>
      <c r="WOL12" s="1342"/>
      <c r="WOM12" s="1336"/>
      <c r="WON12" s="1336"/>
      <c r="WOO12" s="1336"/>
      <c r="WOP12" s="1336"/>
      <c r="WOQ12" s="1337"/>
      <c r="WOR12" s="1337"/>
      <c r="WOS12" s="1337"/>
      <c r="WOT12" s="1337"/>
      <c r="WOU12" s="1337"/>
      <c r="WOV12" s="1338"/>
      <c r="WOW12" s="1339"/>
      <c r="WOX12" s="1340"/>
      <c r="WOY12" s="1340"/>
      <c r="WOZ12" s="1340"/>
      <c r="WPA12" s="1341"/>
      <c r="WPB12" s="1342"/>
      <c r="WPC12" s="1336"/>
      <c r="WPD12" s="1336"/>
      <c r="WPE12" s="1336"/>
      <c r="WPF12" s="1336"/>
      <c r="WPG12" s="1337"/>
      <c r="WPH12" s="1337"/>
      <c r="WPI12" s="1337"/>
      <c r="WPJ12" s="1337"/>
      <c r="WPK12" s="1337"/>
      <c r="WPL12" s="1338"/>
      <c r="WPM12" s="1339"/>
      <c r="WPN12" s="1340"/>
      <c r="WPO12" s="1340"/>
      <c r="WPP12" s="1340"/>
      <c r="WPQ12" s="1341"/>
      <c r="WPR12" s="1342"/>
      <c r="WPS12" s="1336"/>
      <c r="WPT12" s="1336"/>
      <c r="WPU12" s="1336"/>
      <c r="WPV12" s="1336"/>
      <c r="WPW12" s="1337"/>
      <c r="WPX12" s="1337"/>
      <c r="WPY12" s="1337"/>
      <c r="WPZ12" s="1337"/>
      <c r="WQA12" s="1337"/>
      <c r="WQB12" s="1338"/>
      <c r="WQC12" s="1339"/>
      <c r="WQD12" s="1340"/>
      <c r="WQE12" s="1340"/>
      <c r="WQF12" s="1340"/>
      <c r="WQG12" s="1341"/>
      <c r="WQH12" s="1342"/>
      <c r="WQI12" s="1336"/>
      <c r="WQJ12" s="1336"/>
      <c r="WQK12" s="1336"/>
      <c r="WQL12" s="1336"/>
      <c r="WQM12" s="1337"/>
      <c r="WQN12" s="1337"/>
      <c r="WQO12" s="1337"/>
      <c r="WQP12" s="1337"/>
      <c r="WQQ12" s="1337"/>
      <c r="WQR12" s="1338"/>
      <c r="WQS12" s="1339"/>
      <c r="WQT12" s="1340"/>
      <c r="WQU12" s="1340"/>
      <c r="WQV12" s="1340"/>
      <c r="WQW12" s="1341"/>
      <c r="WQX12" s="1342"/>
      <c r="WQY12" s="1336"/>
      <c r="WQZ12" s="1336"/>
      <c r="WRA12" s="1336"/>
      <c r="WRB12" s="1336"/>
      <c r="WRC12" s="1337"/>
      <c r="WRD12" s="1337"/>
      <c r="WRE12" s="1337"/>
      <c r="WRF12" s="1337"/>
      <c r="WRG12" s="1337"/>
      <c r="WRH12" s="1338"/>
      <c r="WRI12" s="1339"/>
      <c r="WRJ12" s="1340"/>
      <c r="WRK12" s="1340"/>
      <c r="WRL12" s="1340"/>
      <c r="WRM12" s="1341"/>
      <c r="WRN12" s="1342"/>
      <c r="WRO12" s="1336"/>
      <c r="WRP12" s="1336"/>
      <c r="WRQ12" s="1336"/>
      <c r="WRR12" s="1336"/>
      <c r="WRS12" s="1337"/>
      <c r="WRT12" s="1337"/>
      <c r="WRU12" s="1337"/>
      <c r="WRV12" s="1337"/>
      <c r="WRW12" s="1337"/>
      <c r="WRX12" s="1338"/>
      <c r="WRY12" s="1339"/>
      <c r="WRZ12" s="1340"/>
      <c r="WSA12" s="1340"/>
      <c r="WSB12" s="1340"/>
      <c r="WSC12" s="1341"/>
      <c r="WSD12" s="1342"/>
      <c r="WSE12" s="1336"/>
      <c r="WSF12" s="1336"/>
      <c r="WSG12" s="1336"/>
      <c r="WSH12" s="1336"/>
      <c r="WSI12" s="1337"/>
      <c r="WSJ12" s="1337"/>
      <c r="WSK12" s="1337"/>
      <c r="WSL12" s="1337"/>
      <c r="WSM12" s="1337"/>
      <c r="WSN12" s="1338"/>
      <c r="WSO12" s="1339"/>
      <c r="WSP12" s="1340"/>
      <c r="WSQ12" s="1340"/>
      <c r="WSR12" s="1340"/>
      <c r="WSS12" s="1341"/>
      <c r="WST12" s="1342"/>
      <c r="WSU12" s="1336"/>
      <c r="WSV12" s="1336"/>
      <c r="WSW12" s="1336"/>
      <c r="WSX12" s="1336"/>
      <c r="WSY12" s="1337"/>
      <c r="WSZ12" s="1337"/>
      <c r="WTA12" s="1337"/>
      <c r="WTB12" s="1337"/>
      <c r="WTC12" s="1337"/>
      <c r="WTD12" s="1338"/>
      <c r="WTE12" s="1339"/>
      <c r="WTF12" s="1340"/>
      <c r="WTG12" s="1340"/>
      <c r="WTH12" s="1340"/>
      <c r="WTI12" s="1341"/>
      <c r="WTJ12" s="1342"/>
      <c r="WTK12" s="1336"/>
      <c r="WTL12" s="1336"/>
      <c r="WTM12" s="1336"/>
      <c r="WTN12" s="1336"/>
      <c r="WTO12" s="1337"/>
      <c r="WTP12" s="1337"/>
      <c r="WTQ12" s="1337"/>
      <c r="WTR12" s="1337"/>
      <c r="WTS12" s="1337"/>
      <c r="WTT12" s="1338"/>
      <c r="WTU12" s="1339"/>
      <c r="WTV12" s="1340"/>
      <c r="WTW12" s="1340"/>
      <c r="WTX12" s="1340"/>
      <c r="WTY12" s="1341"/>
      <c r="WTZ12" s="1342"/>
      <c r="WUA12" s="1336"/>
      <c r="WUB12" s="1336"/>
      <c r="WUC12" s="1336"/>
      <c r="WUD12" s="1336"/>
      <c r="WUE12" s="1337"/>
      <c r="WUF12" s="1337"/>
      <c r="WUG12" s="1337"/>
      <c r="WUH12" s="1337"/>
      <c r="WUI12" s="1337"/>
      <c r="WUJ12" s="1338"/>
      <c r="WUK12" s="1339"/>
      <c r="WUL12" s="1340"/>
      <c r="WUM12" s="1340"/>
      <c r="WUN12" s="1340"/>
      <c r="WUO12" s="1341"/>
      <c r="WUP12" s="1342"/>
      <c r="WUQ12" s="1336"/>
      <c r="WUR12" s="1336"/>
      <c r="WUS12" s="1336"/>
      <c r="WUT12" s="1336"/>
      <c r="WUU12" s="1337"/>
      <c r="WUV12" s="1337"/>
      <c r="WUW12" s="1337"/>
      <c r="WUX12" s="1337"/>
      <c r="WUY12" s="1337"/>
      <c r="WUZ12" s="1338"/>
      <c r="WVA12" s="1339"/>
      <c r="WVB12" s="1340"/>
      <c r="WVC12" s="1340"/>
      <c r="WVD12" s="1340"/>
      <c r="WVE12" s="1341"/>
      <c r="WVF12" s="1342"/>
      <c r="WVG12" s="1336"/>
      <c r="WVH12" s="1336"/>
      <c r="WVI12" s="1336"/>
      <c r="WVJ12" s="1336"/>
      <c r="WVK12" s="1337"/>
      <c r="WVL12" s="1337"/>
      <c r="WVM12" s="1337"/>
      <c r="WVN12" s="1337"/>
      <c r="WVO12" s="1337"/>
      <c r="WVP12" s="1338"/>
      <c r="WVQ12" s="1339"/>
      <c r="WVR12" s="1340"/>
      <c r="WVS12" s="1340"/>
      <c r="WVT12" s="1340"/>
      <c r="WVU12" s="1341"/>
      <c r="WVV12" s="1342"/>
      <c r="WVW12" s="1336"/>
      <c r="WVX12" s="1336"/>
      <c r="WVY12" s="1336"/>
      <c r="WVZ12" s="1336"/>
      <c r="WWA12" s="1337"/>
      <c r="WWB12" s="1337"/>
      <c r="WWC12" s="1337"/>
      <c r="WWD12" s="1337"/>
      <c r="WWE12" s="1337"/>
      <c r="WWF12" s="1338"/>
      <c r="WWG12" s="1339"/>
      <c r="WWH12" s="1340"/>
      <c r="WWI12" s="1340"/>
      <c r="WWJ12" s="1340"/>
      <c r="WWK12" s="1341"/>
      <c r="WWL12" s="1342"/>
      <c r="WWM12" s="1336"/>
      <c r="WWN12" s="1336"/>
      <c r="WWO12" s="1336"/>
      <c r="WWP12" s="1336"/>
      <c r="WWQ12" s="1337"/>
      <c r="WWR12" s="1337"/>
      <c r="WWS12" s="1337"/>
      <c r="WWT12" s="1337"/>
      <c r="WWU12" s="1337"/>
      <c r="WWV12" s="1338"/>
      <c r="WWW12" s="1339"/>
      <c r="WWX12" s="1340"/>
      <c r="WWY12" s="1340"/>
      <c r="WWZ12" s="1340"/>
      <c r="WXA12" s="1341"/>
      <c r="WXB12" s="1342"/>
      <c r="WXC12" s="1336"/>
      <c r="WXD12" s="1336"/>
      <c r="WXE12" s="1336"/>
      <c r="WXF12" s="1336"/>
      <c r="WXG12" s="1337"/>
      <c r="WXH12" s="1337"/>
      <c r="WXI12" s="1337"/>
      <c r="WXJ12" s="1337"/>
      <c r="WXK12" s="1337"/>
      <c r="WXL12" s="1338"/>
      <c r="WXM12" s="1339"/>
      <c r="WXN12" s="1340"/>
      <c r="WXO12" s="1340"/>
      <c r="WXP12" s="1340"/>
      <c r="WXQ12" s="1341"/>
      <c r="WXR12" s="1342"/>
      <c r="WXS12" s="1336"/>
      <c r="WXT12" s="1336"/>
      <c r="WXU12" s="1336"/>
      <c r="WXV12" s="1336"/>
      <c r="WXW12" s="1337"/>
      <c r="WXX12" s="1337"/>
      <c r="WXY12" s="1337"/>
      <c r="WXZ12" s="1337"/>
      <c r="WYA12" s="1337"/>
      <c r="WYB12" s="1338"/>
      <c r="WYC12" s="1339"/>
      <c r="WYD12" s="1340"/>
      <c r="WYE12" s="1340"/>
      <c r="WYF12" s="1340"/>
      <c r="WYG12" s="1341"/>
      <c r="WYH12" s="1342"/>
      <c r="WYI12" s="1336"/>
      <c r="WYJ12" s="1336"/>
      <c r="WYK12" s="1336"/>
      <c r="WYL12" s="1336"/>
      <c r="WYM12" s="1337"/>
      <c r="WYN12" s="1337"/>
      <c r="WYO12" s="1337"/>
      <c r="WYP12" s="1337"/>
      <c r="WYQ12" s="1337"/>
      <c r="WYR12" s="1338"/>
      <c r="WYS12" s="1339"/>
      <c r="WYT12" s="1340"/>
      <c r="WYU12" s="1340"/>
      <c r="WYV12" s="1340"/>
      <c r="WYW12" s="1341"/>
      <c r="WYX12" s="1342"/>
      <c r="WYY12" s="1336"/>
      <c r="WYZ12" s="1336"/>
      <c r="WZA12" s="1336"/>
      <c r="WZB12" s="1336"/>
      <c r="WZC12" s="1337"/>
      <c r="WZD12" s="1337"/>
      <c r="WZE12" s="1337"/>
      <c r="WZF12" s="1337"/>
      <c r="WZG12" s="1337"/>
      <c r="WZH12" s="1338"/>
      <c r="WZI12" s="1339"/>
      <c r="WZJ12" s="1340"/>
      <c r="WZK12" s="1340"/>
      <c r="WZL12" s="1340"/>
      <c r="WZM12" s="1341"/>
      <c r="WZN12" s="1342"/>
      <c r="WZO12" s="1336"/>
      <c r="WZP12" s="1336"/>
      <c r="WZQ12" s="1336"/>
      <c r="WZR12" s="1336"/>
      <c r="WZS12" s="1337"/>
      <c r="WZT12" s="1337"/>
      <c r="WZU12" s="1337"/>
      <c r="WZV12" s="1337"/>
      <c r="WZW12" s="1337"/>
      <c r="WZX12" s="1338"/>
      <c r="WZY12" s="1339"/>
      <c r="WZZ12" s="1340"/>
      <c r="XAA12" s="1340"/>
      <c r="XAB12" s="1340"/>
      <c r="XAC12" s="1341"/>
      <c r="XAD12" s="1342"/>
      <c r="XAE12" s="1336"/>
      <c r="XAF12" s="1336"/>
      <c r="XAG12" s="1336"/>
      <c r="XAH12" s="1336"/>
      <c r="XAI12" s="1337"/>
      <c r="XAJ12" s="1337"/>
      <c r="XAK12" s="1337"/>
      <c r="XAL12" s="1337"/>
      <c r="XAM12" s="1337"/>
      <c r="XAN12" s="1338"/>
      <c r="XAO12" s="1339"/>
      <c r="XAP12" s="1340"/>
      <c r="XAQ12" s="1340"/>
      <c r="XAR12" s="1340"/>
      <c r="XAS12" s="1341"/>
      <c r="XAT12" s="1342"/>
      <c r="XAU12" s="1336"/>
      <c r="XAV12" s="1336"/>
      <c r="XAW12" s="1336"/>
      <c r="XAX12" s="1336"/>
      <c r="XAY12" s="1337"/>
      <c r="XAZ12" s="1337"/>
      <c r="XBA12" s="1337"/>
      <c r="XBB12" s="1337"/>
      <c r="XBC12" s="1337"/>
      <c r="XBD12" s="1338"/>
      <c r="XBE12" s="1339"/>
      <c r="XBF12" s="1340"/>
      <c r="XBG12" s="1340"/>
      <c r="XBH12" s="1340"/>
      <c r="XBI12" s="1341"/>
      <c r="XBJ12" s="1342"/>
      <c r="XBK12" s="1336"/>
      <c r="XBL12" s="1336"/>
      <c r="XBM12" s="1336"/>
      <c r="XBN12" s="1336"/>
      <c r="XBO12" s="1337"/>
      <c r="XBP12" s="1337"/>
      <c r="XBQ12" s="1337"/>
      <c r="XBR12" s="1337"/>
      <c r="XBS12" s="1337"/>
      <c r="XBT12" s="1338"/>
    </row>
    <row r="13" spans="1:16296" ht="18" customHeight="1" x14ac:dyDescent="0.35">
      <c r="A13" s="7152" t="s">
        <v>1016</v>
      </c>
      <c r="B13" s="7153"/>
      <c r="C13" s="7153"/>
      <c r="D13" s="7153"/>
      <c r="E13" s="7154">
        <v>0</v>
      </c>
      <c r="F13" s="7155"/>
      <c r="G13" s="7156">
        <f>E13*G9</f>
        <v>0</v>
      </c>
      <c r="H13" s="7156"/>
      <c r="I13" s="7157"/>
      <c r="J13" s="7157"/>
      <c r="K13" s="7158"/>
      <c r="L13" s="7158"/>
      <c r="M13" s="7158"/>
      <c r="N13" s="7158"/>
      <c r="O13" s="7158"/>
      <c r="P13" s="7159"/>
      <c r="Q13" s="770"/>
      <c r="R13" s="74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row>
    <row r="14" spans="1:16296" ht="18" customHeight="1" x14ac:dyDescent="0.35">
      <c r="A14" s="7152" t="s">
        <v>1013</v>
      </c>
      <c r="B14" s="7153"/>
      <c r="C14" s="7153"/>
      <c r="D14" s="7153"/>
      <c r="E14" s="7154">
        <v>0</v>
      </c>
      <c r="F14" s="7155"/>
      <c r="G14" s="7156">
        <f>E14*G13</f>
        <v>0</v>
      </c>
      <c r="H14" s="7156"/>
      <c r="I14" s="7157"/>
      <c r="J14" s="7157"/>
      <c r="K14" s="7158" t="s">
        <v>1232</v>
      </c>
      <c r="L14" s="7158"/>
      <c r="M14" s="7158"/>
      <c r="N14" s="7158"/>
      <c r="O14" s="7158"/>
      <c r="P14" s="7159"/>
      <c r="Q14" s="770"/>
      <c r="R14" s="74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row>
    <row r="15" spans="1:16296" ht="18" customHeight="1" x14ac:dyDescent="0.35">
      <c r="A15" s="7152" t="s">
        <v>1234</v>
      </c>
      <c r="B15" s="7153"/>
      <c r="C15" s="7153"/>
      <c r="D15" s="7153"/>
      <c r="E15" s="7154">
        <v>0</v>
      </c>
      <c r="F15" s="7155"/>
      <c r="G15" s="7183">
        <f>G14-E15*G14</f>
        <v>0</v>
      </c>
      <c r="H15" s="7183"/>
      <c r="I15" s="7157"/>
      <c r="J15" s="7157"/>
      <c r="K15" s="7158"/>
      <c r="L15" s="7158"/>
      <c r="M15" s="7158"/>
      <c r="N15" s="7158"/>
      <c r="O15" s="7158"/>
      <c r="P15" s="7159"/>
      <c r="Q15" s="7178"/>
      <c r="R15" s="7179"/>
      <c r="S15" s="7176"/>
      <c r="T15" s="7176"/>
      <c r="U15" s="7176"/>
      <c r="V15" s="7176"/>
      <c r="W15" s="7176"/>
      <c r="X15" s="7176"/>
      <c r="Y15" s="7180"/>
      <c r="Z15" s="7181"/>
      <c r="AA15" s="7181"/>
      <c r="AB15" s="7181"/>
      <c r="AC15" s="7175"/>
      <c r="AD15" s="7175"/>
      <c r="AE15" s="7175"/>
      <c r="AF15" s="7175"/>
      <c r="AG15" s="7175"/>
      <c r="AH15" s="7175"/>
      <c r="AI15" s="7176"/>
      <c r="AJ15" s="7176"/>
      <c r="AK15" s="7176"/>
      <c r="AL15" s="7176"/>
      <c r="AM15" s="7176"/>
      <c r="AN15" s="7176"/>
      <c r="AO15" s="7177"/>
      <c r="AP15" s="7153"/>
      <c r="AQ15" s="7153"/>
      <c r="AR15" s="7153"/>
      <c r="AS15" s="7157"/>
      <c r="AT15" s="7157"/>
      <c r="AU15" s="7157"/>
      <c r="AV15" s="7157"/>
      <c r="AW15" s="7157"/>
      <c r="AX15" s="7157"/>
      <c r="AY15" s="7158"/>
      <c r="AZ15" s="7158"/>
      <c r="BA15" s="7158"/>
      <c r="BB15" s="7158"/>
      <c r="BC15" s="7158"/>
      <c r="BD15" s="7159"/>
      <c r="BE15" s="7152"/>
      <c r="BF15" s="7153"/>
      <c r="BG15" s="7153"/>
      <c r="BH15" s="7153"/>
      <c r="BI15" s="7157"/>
      <c r="BJ15" s="7157"/>
      <c r="BK15" s="7157"/>
      <c r="BL15" s="7157"/>
      <c r="BM15" s="7157"/>
      <c r="BN15" s="7157"/>
      <c r="BO15" s="7158"/>
      <c r="BP15" s="7158"/>
      <c r="BQ15" s="7158"/>
      <c r="BR15" s="7158"/>
      <c r="BS15" s="7158"/>
      <c r="BT15" s="7159"/>
      <c r="BU15" s="7152"/>
      <c r="BV15" s="7153"/>
      <c r="BW15" s="7153"/>
      <c r="BX15" s="7153"/>
      <c r="BY15" s="7157"/>
      <c r="BZ15" s="7157"/>
      <c r="CA15" s="7157"/>
      <c r="CB15" s="7157"/>
      <c r="CC15" s="7157"/>
      <c r="CD15" s="7157"/>
      <c r="CE15" s="7158"/>
      <c r="CF15" s="7158"/>
      <c r="CG15" s="7158"/>
      <c r="CH15" s="7158"/>
      <c r="CI15" s="7158"/>
      <c r="CJ15" s="7159"/>
      <c r="CK15" s="7152"/>
      <c r="CL15" s="7153"/>
      <c r="CM15" s="7153"/>
      <c r="CN15" s="7153"/>
      <c r="CO15" s="7157"/>
      <c r="CP15" s="7157"/>
      <c r="CQ15" s="7157"/>
      <c r="CR15" s="7157"/>
      <c r="CS15" s="7157"/>
      <c r="CT15" s="7157"/>
      <c r="CU15" s="7158"/>
      <c r="CV15" s="7158"/>
      <c r="CW15" s="7158"/>
      <c r="CX15" s="7158"/>
      <c r="CY15" s="7158"/>
      <c r="CZ15" s="7159"/>
      <c r="DA15" s="7152"/>
      <c r="DB15" s="7153"/>
      <c r="DC15" s="7153"/>
      <c r="DD15" s="7153"/>
      <c r="DE15" s="7157"/>
      <c r="DF15" s="7157"/>
      <c r="DG15" s="7157"/>
      <c r="DH15" s="7157"/>
      <c r="DI15" s="7157"/>
      <c r="DJ15" s="7157"/>
      <c r="DK15" s="7158"/>
      <c r="DL15" s="7158"/>
      <c r="DM15" s="7158"/>
      <c r="DN15" s="7158"/>
      <c r="DO15" s="7158"/>
      <c r="DP15" s="7159"/>
      <c r="DQ15" s="7152"/>
      <c r="DR15" s="7153"/>
      <c r="DS15" s="7153"/>
      <c r="DT15" s="7153"/>
      <c r="DU15" s="7157"/>
      <c r="DV15" s="7157"/>
      <c r="DW15" s="7157"/>
      <c r="DX15" s="7157"/>
      <c r="DY15" s="7157"/>
      <c r="DZ15" s="7157"/>
      <c r="EA15" s="7158"/>
      <c r="EB15" s="7158"/>
      <c r="EC15" s="7158"/>
      <c r="ED15" s="7158"/>
      <c r="EE15" s="7158"/>
      <c r="EF15" s="7159"/>
      <c r="EG15" s="7152"/>
      <c r="EH15" s="7153"/>
      <c r="EI15" s="7153"/>
      <c r="EJ15" s="7153"/>
      <c r="EK15" s="7157"/>
      <c r="EL15" s="7157"/>
      <c r="EM15" s="7157"/>
      <c r="EN15" s="7157"/>
      <c r="EO15" s="7157"/>
      <c r="EP15" s="7157"/>
      <c r="EQ15" s="7158"/>
      <c r="ER15" s="7158"/>
      <c r="ES15" s="7158"/>
      <c r="ET15" s="7158"/>
      <c r="EU15" s="7158"/>
      <c r="EV15" s="7159"/>
      <c r="EW15" s="7152"/>
      <c r="EX15" s="7153"/>
      <c r="EY15" s="7153"/>
      <c r="EZ15" s="7153"/>
      <c r="FA15" s="7157"/>
      <c r="FB15" s="7157"/>
      <c r="FC15" s="7157"/>
      <c r="FD15" s="7157"/>
      <c r="FE15" s="7157"/>
      <c r="FF15" s="7157"/>
      <c r="FG15" s="7158"/>
      <c r="FH15" s="7158"/>
      <c r="FI15" s="7158"/>
      <c r="FJ15" s="7158"/>
      <c r="FK15" s="7158"/>
      <c r="FL15" s="7159"/>
      <c r="FM15" s="7152"/>
      <c r="FN15" s="7153"/>
      <c r="FO15" s="7153"/>
      <c r="FP15" s="7153"/>
      <c r="FQ15" s="7157"/>
      <c r="FR15" s="7157"/>
      <c r="FS15" s="7157"/>
      <c r="FT15" s="7157"/>
      <c r="FU15" s="7157"/>
      <c r="FV15" s="7157"/>
      <c r="FW15" s="7158"/>
      <c r="FX15" s="7158"/>
      <c r="FY15" s="7158"/>
      <c r="FZ15" s="7158"/>
      <c r="GA15" s="7158"/>
      <c r="GB15" s="7159"/>
      <c r="GC15" s="7152"/>
      <c r="GD15" s="7153"/>
      <c r="GE15" s="7153"/>
      <c r="GF15" s="7153"/>
      <c r="GG15" s="7157"/>
      <c r="GH15" s="7157"/>
      <c r="GI15" s="7157"/>
      <c r="GJ15" s="7157"/>
      <c r="GK15" s="7157"/>
      <c r="GL15" s="7157"/>
      <c r="GM15" s="7158"/>
      <c r="GN15" s="7158"/>
      <c r="GO15" s="7158"/>
      <c r="GP15" s="7158"/>
      <c r="GQ15" s="7158"/>
      <c r="GR15" s="7159"/>
      <c r="GS15" s="7152"/>
      <c r="GT15" s="7153"/>
      <c r="GU15" s="7153"/>
      <c r="GV15" s="7153"/>
      <c r="GW15" s="7157"/>
      <c r="GX15" s="7157"/>
      <c r="GY15" s="7157"/>
      <c r="GZ15" s="7157"/>
      <c r="HA15" s="7157"/>
      <c r="HB15" s="7157"/>
      <c r="HC15" s="7158"/>
      <c r="HD15" s="7158"/>
      <c r="HE15" s="7158"/>
      <c r="HF15" s="7158"/>
      <c r="HG15" s="7158"/>
      <c r="HH15" s="7159"/>
      <c r="HI15" s="7152"/>
      <c r="HJ15" s="7153"/>
      <c r="HK15" s="7153"/>
      <c r="HL15" s="7153"/>
      <c r="HM15" s="7157"/>
      <c r="HN15" s="7157"/>
      <c r="HO15" s="7157"/>
      <c r="HP15" s="7157"/>
      <c r="HQ15" s="7157"/>
      <c r="HR15" s="7157"/>
      <c r="HS15" s="7158"/>
      <c r="HT15" s="7158"/>
      <c r="HU15" s="7158"/>
      <c r="HV15" s="7158"/>
      <c r="HW15" s="7158"/>
      <c r="HX15" s="7159"/>
      <c r="HY15" s="7152"/>
      <c r="HZ15" s="7153"/>
      <c r="IA15" s="7153"/>
      <c r="IB15" s="7153"/>
      <c r="IC15" s="7157"/>
      <c r="ID15" s="7157"/>
      <c r="IE15" s="7157"/>
      <c r="IF15" s="7157"/>
      <c r="IG15" s="7157"/>
      <c r="IH15" s="7157"/>
      <c r="II15" s="7158"/>
      <c r="IJ15" s="7158"/>
      <c r="IK15" s="7158"/>
      <c r="IL15" s="7158"/>
      <c r="IM15" s="7158"/>
      <c r="IN15" s="7159"/>
      <c r="IO15" s="7152"/>
      <c r="IP15" s="7153"/>
      <c r="IQ15" s="7153"/>
      <c r="IR15" s="7153"/>
      <c r="IS15" s="7157"/>
      <c r="IT15" s="7157"/>
      <c r="IU15" s="7157"/>
      <c r="IV15" s="7157"/>
      <c r="IW15" s="7157"/>
      <c r="IX15" s="7157"/>
      <c r="IY15" s="7158"/>
      <c r="IZ15" s="7158"/>
      <c r="JA15" s="7158"/>
      <c r="JB15" s="7158"/>
      <c r="JC15" s="7158"/>
      <c r="JD15" s="7159"/>
      <c r="JE15" s="7152"/>
      <c r="JF15" s="7153"/>
      <c r="JG15" s="7153"/>
      <c r="JH15" s="7153"/>
      <c r="JI15" s="7157"/>
      <c r="JJ15" s="7157"/>
      <c r="JK15" s="7157"/>
      <c r="JL15" s="7157"/>
      <c r="JM15" s="7157"/>
      <c r="JN15" s="7157"/>
      <c r="JO15" s="7158"/>
      <c r="JP15" s="7158"/>
      <c r="JQ15" s="7158"/>
      <c r="JR15" s="7158"/>
      <c r="JS15" s="7158"/>
      <c r="JT15" s="7159"/>
      <c r="JU15" s="7152"/>
      <c r="JV15" s="7153"/>
      <c r="JW15" s="7153"/>
      <c r="JX15" s="7153"/>
      <c r="JY15" s="7157"/>
      <c r="JZ15" s="7157"/>
      <c r="KA15" s="7157"/>
      <c r="KB15" s="7157"/>
      <c r="KC15" s="7157"/>
      <c r="KD15" s="7157"/>
      <c r="KE15" s="7158"/>
      <c r="KF15" s="7158"/>
      <c r="KG15" s="7158"/>
      <c r="KH15" s="7158"/>
      <c r="KI15" s="7158"/>
      <c r="KJ15" s="7159"/>
      <c r="KK15" s="7152"/>
      <c r="KL15" s="7153"/>
      <c r="KM15" s="7153"/>
      <c r="KN15" s="7153"/>
      <c r="KO15" s="7157"/>
      <c r="KP15" s="7157"/>
      <c r="KQ15" s="7157"/>
      <c r="KR15" s="7157"/>
      <c r="KS15" s="7157"/>
      <c r="KT15" s="7157"/>
      <c r="KU15" s="7158"/>
      <c r="KV15" s="7158"/>
      <c r="KW15" s="7158"/>
      <c r="KX15" s="7158"/>
      <c r="KY15" s="7158"/>
      <c r="KZ15" s="7159"/>
      <c r="LA15" s="7152"/>
      <c r="LB15" s="7153"/>
      <c r="LC15" s="7153"/>
      <c r="LD15" s="7153"/>
      <c r="LE15" s="7157"/>
      <c r="LF15" s="7157"/>
      <c r="LG15" s="7157"/>
      <c r="LH15" s="7157"/>
      <c r="LI15" s="7157"/>
      <c r="LJ15" s="7157"/>
      <c r="LK15" s="7158"/>
      <c r="LL15" s="7158"/>
      <c r="LM15" s="7158"/>
      <c r="LN15" s="7158"/>
      <c r="LO15" s="7158"/>
      <c r="LP15" s="7159"/>
      <c r="LQ15" s="7152"/>
      <c r="LR15" s="7153"/>
      <c r="LS15" s="7153"/>
      <c r="LT15" s="7153"/>
      <c r="LU15" s="7157"/>
      <c r="LV15" s="7157"/>
      <c r="LW15" s="7157"/>
      <c r="LX15" s="7157"/>
      <c r="LY15" s="7157"/>
      <c r="LZ15" s="7157"/>
      <c r="MA15" s="7158"/>
      <c r="MB15" s="7158"/>
      <c r="MC15" s="7158"/>
      <c r="MD15" s="7158"/>
      <c r="ME15" s="7158"/>
      <c r="MF15" s="7159"/>
      <c r="MG15" s="7152"/>
      <c r="MH15" s="7153"/>
      <c r="MI15" s="7153"/>
      <c r="MJ15" s="7153"/>
      <c r="MK15" s="7157"/>
      <c r="ML15" s="7157"/>
      <c r="MM15" s="7157"/>
      <c r="MN15" s="7157"/>
      <c r="MO15" s="7157"/>
      <c r="MP15" s="7157"/>
      <c r="MQ15" s="7158"/>
      <c r="MR15" s="7158"/>
      <c r="MS15" s="7158"/>
      <c r="MT15" s="7158"/>
      <c r="MU15" s="7158"/>
      <c r="MV15" s="7159"/>
      <c r="MW15" s="7152"/>
      <c r="MX15" s="7153"/>
      <c r="MY15" s="7153"/>
      <c r="MZ15" s="7153"/>
      <c r="NA15" s="7157"/>
      <c r="NB15" s="7157"/>
      <c r="NC15" s="7157"/>
      <c r="ND15" s="7157"/>
      <c r="NE15" s="7157"/>
      <c r="NF15" s="7157"/>
      <c r="NG15" s="7158"/>
      <c r="NH15" s="7158"/>
      <c r="NI15" s="7158"/>
      <c r="NJ15" s="7158"/>
      <c r="NK15" s="7158"/>
      <c r="NL15" s="7159"/>
      <c r="NM15" s="7152"/>
      <c r="NN15" s="7153"/>
      <c r="NO15" s="7153"/>
      <c r="NP15" s="7153"/>
      <c r="NQ15" s="7157"/>
      <c r="NR15" s="7157"/>
      <c r="NS15" s="7157"/>
      <c r="NT15" s="7157"/>
      <c r="NU15" s="7157"/>
      <c r="NV15" s="7157"/>
      <c r="NW15" s="7158"/>
      <c r="NX15" s="7158"/>
      <c r="NY15" s="7158"/>
      <c r="NZ15" s="7158"/>
      <c r="OA15" s="7158"/>
      <c r="OB15" s="7159"/>
      <c r="OC15" s="7152"/>
      <c r="OD15" s="7153"/>
      <c r="OE15" s="7153"/>
      <c r="OF15" s="7153"/>
      <c r="OG15" s="7157"/>
      <c r="OH15" s="7157"/>
      <c r="OI15" s="7157"/>
      <c r="OJ15" s="7157"/>
      <c r="OK15" s="7157"/>
      <c r="OL15" s="7157"/>
      <c r="OM15" s="7158"/>
      <c r="ON15" s="7158"/>
      <c r="OO15" s="7158"/>
      <c r="OP15" s="7158"/>
      <c r="OQ15" s="7158"/>
      <c r="OR15" s="7159"/>
      <c r="OS15" s="7152"/>
      <c r="OT15" s="7153"/>
      <c r="OU15" s="7153"/>
      <c r="OV15" s="7153"/>
      <c r="OW15" s="7157"/>
      <c r="OX15" s="7157"/>
      <c r="OY15" s="7157"/>
      <c r="OZ15" s="7157"/>
      <c r="PA15" s="7157"/>
      <c r="PB15" s="7157"/>
      <c r="PC15" s="7158"/>
      <c r="PD15" s="7158"/>
      <c r="PE15" s="7158"/>
      <c r="PF15" s="7158"/>
      <c r="PG15" s="7158"/>
      <c r="PH15" s="7159"/>
      <c r="PI15" s="7152"/>
      <c r="PJ15" s="7153"/>
      <c r="PK15" s="7153"/>
      <c r="PL15" s="7153"/>
      <c r="PM15" s="7157"/>
      <c r="PN15" s="7157"/>
      <c r="PO15" s="7157"/>
      <c r="PP15" s="7157"/>
      <c r="PQ15" s="7157"/>
      <c r="PR15" s="7157"/>
      <c r="PS15" s="7158"/>
      <c r="PT15" s="7158"/>
      <c r="PU15" s="7158"/>
      <c r="PV15" s="7158"/>
      <c r="PW15" s="7158"/>
      <c r="PX15" s="7159"/>
      <c r="PY15" s="7152"/>
      <c r="PZ15" s="7153"/>
      <c r="QA15" s="7153"/>
      <c r="QB15" s="7153"/>
      <c r="QC15" s="7157"/>
      <c r="QD15" s="7157"/>
      <c r="QE15" s="7157"/>
      <c r="QF15" s="7157"/>
      <c r="QG15" s="7157"/>
      <c r="QH15" s="7157"/>
      <c r="QI15" s="7158"/>
      <c r="QJ15" s="7158"/>
      <c r="QK15" s="7158"/>
      <c r="QL15" s="7158"/>
      <c r="QM15" s="7158"/>
      <c r="QN15" s="7159"/>
      <c r="QO15" s="7152"/>
      <c r="QP15" s="7153"/>
      <c r="QQ15" s="7153"/>
      <c r="QR15" s="7153"/>
      <c r="QS15" s="7157"/>
      <c r="QT15" s="7157"/>
      <c r="QU15" s="7157"/>
      <c r="QV15" s="7157"/>
      <c r="QW15" s="7157"/>
      <c r="QX15" s="7157"/>
      <c r="QY15" s="7158"/>
      <c r="QZ15" s="7158"/>
      <c r="RA15" s="7158"/>
      <c r="RB15" s="7158"/>
      <c r="RC15" s="7158"/>
      <c r="RD15" s="7159"/>
      <c r="RE15" s="7152"/>
      <c r="RF15" s="7153"/>
      <c r="RG15" s="7153"/>
      <c r="RH15" s="7153"/>
      <c r="RI15" s="7157"/>
      <c r="RJ15" s="7157"/>
      <c r="RK15" s="7157"/>
      <c r="RL15" s="7157"/>
      <c r="RM15" s="7157"/>
      <c r="RN15" s="7157"/>
      <c r="RO15" s="7158"/>
      <c r="RP15" s="7158"/>
      <c r="RQ15" s="7158"/>
      <c r="RR15" s="7158"/>
      <c r="RS15" s="7158"/>
      <c r="RT15" s="7159"/>
      <c r="RU15" s="7152"/>
      <c r="RV15" s="7153"/>
      <c r="RW15" s="7153"/>
      <c r="RX15" s="7153"/>
      <c r="RY15" s="7157"/>
      <c r="RZ15" s="7157"/>
      <c r="SA15" s="7157"/>
      <c r="SB15" s="7157"/>
      <c r="SC15" s="7157"/>
      <c r="SD15" s="7157"/>
      <c r="SE15" s="7158"/>
      <c r="SF15" s="7158"/>
      <c r="SG15" s="7158"/>
      <c r="SH15" s="7158"/>
      <c r="SI15" s="7158"/>
      <c r="SJ15" s="7159"/>
      <c r="SK15" s="7152"/>
      <c r="SL15" s="7153"/>
      <c r="SM15" s="7153"/>
      <c r="SN15" s="7153"/>
      <c r="SO15" s="7157"/>
      <c r="SP15" s="7157"/>
      <c r="SQ15" s="7157"/>
      <c r="SR15" s="7157"/>
      <c r="SS15" s="7157"/>
      <c r="ST15" s="7157"/>
      <c r="SU15" s="7158"/>
      <c r="SV15" s="7158"/>
      <c r="SW15" s="7158"/>
      <c r="SX15" s="7158"/>
      <c r="SY15" s="7158"/>
      <c r="SZ15" s="7159"/>
      <c r="TA15" s="7152"/>
      <c r="TB15" s="7153"/>
      <c r="TC15" s="7153"/>
      <c r="TD15" s="7153"/>
      <c r="TE15" s="7157"/>
      <c r="TF15" s="7157"/>
      <c r="TG15" s="7157"/>
      <c r="TH15" s="7157"/>
      <c r="TI15" s="7157"/>
      <c r="TJ15" s="7157"/>
      <c r="TK15" s="7158"/>
      <c r="TL15" s="7158"/>
      <c r="TM15" s="7158"/>
      <c r="TN15" s="7158"/>
      <c r="TO15" s="7158"/>
      <c r="TP15" s="7159"/>
      <c r="TQ15" s="7152"/>
      <c r="TR15" s="7153"/>
      <c r="TS15" s="7153"/>
      <c r="TT15" s="7153"/>
      <c r="TU15" s="7157"/>
      <c r="TV15" s="7157"/>
      <c r="TW15" s="7157"/>
      <c r="TX15" s="7157"/>
      <c r="TY15" s="7157"/>
      <c r="TZ15" s="7157"/>
      <c r="UA15" s="7158"/>
      <c r="UB15" s="7158"/>
      <c r="UC15" s="7158"/>
      <c r="UD15" s="7158"/>
      <c r="UE15" s="7158"/>
      <c r="UF15" s="7159"/>
      <c r="UG15" s="7152"/>
      <c r="UH15" s="7153"/>
      <c r="UI15" s="7153"/>
      <c r="UJ15" s="7153"/>
      <c r="UK15" s="7157"/>
      <c r="UL15" s="7157"/>
      <c r="UM15" s="7157"/>
      <c r="UN15" s="7157"/>
      <c r="UO15" s="7157"/>
      <c r="UP15" s="7157"/>
      <c r="UQ15" s="7158"/>
      <c r="UR15" s="7158"/>
      <c r="US15" s="7158"/>
      <c r="UT15" s="7158"/>
      <c r="UU15" s="7158"/>
      <c r="UV15" s="7159"/>
      <c r="UW15" s="7152"/>
      <c r="UX15" s="7153"/>
      <c r="UY15" s="7153"/>
      <c r="UZ15" s="7153"/>
      <c r="VA15" s="7157"/>
      <c r="VB15" s="7157"/>
      <c r="VC15" s="7157"/>
      <c r="VD15" s="7157"/>
      <c r="VE15" s="7157"/>
      <c r="VF15" s="7157"/>
      <c r="VG15" s="7158"/>
      <c r="VH15" s="7158"/>
      <c r="VI15" s="7158"/>
      <c r="VJ15" s="7158"/>
      <c r="VK15" s="7158"/>
      <c r="VL15" s="7159"/>
      <c r="VM15" s="7152"/>
      <c r="VN15" s="7153"/>
      <c r="VO15" s="7153"/>
      <c r="VP15" s="7153"/>
      <c r="VQ15" s="7157"/>
      <c r="VR15" s="7157"/>
      <c r="VS15" s="7157"/>
      <c r="VT15" s="7157"/>
      <c r="VU15" s="7157"/>
      <c r="VV15" s="7157"/>
      <c r="VW15" s="7158"/>
      <c r="VX15" s="7158"/>
      <c r="VY15" s="7158"/>
      <c r="VZ15" s="7158"/>
      <c r="WA15" s="7158"/>
      <c r="WB15" s="7159"/>
      <c r="WC15" s="7152"/>
      <c r="WD15" s="7153"/>
      <c r="WE15" s="7153"/>
      <c r="WF15" s="7153"/>
      <c r="WG15" s="7157"/>
      <c r="WH15" s="7157"/>
      <c r="WI15" s="7157"/>
      <c r="WJ15" s="7157"/>
      <c r="WK15" s="7157"/>
      <c r="WL15" s="7157"/>
      <c r="WM15" s="7158"/>
      <c r="WN15" s="7158"/>
      <c r="WO15" s="7158"/>
      <c r="WP15" s="7158"/>
      <c r="WQ15" s="7158"/>
      <c r="WR15" s="7159"/>
      <c r="WS15" s="7152"/>
      <c r="WT15" s="7153"/>
      <c r="WU15" s="7153"/>
      <c r="WV15" s="7153"/>
      <c r="WW15" s="7157"/>
      <c r="WX15" s="7157"/>
      <c r="WY15" s="7157"/>
      <c r="WZ15" s="7157"/>
      <c r="XA15" s="7157"/>
      <c r="XB15" s="7157"/>
      <c r="XC15" s="7158"/>
      <c r="XD15" s="7158"/>
      <c r="XE15" s="7158"/>
      <c r="XF15" s="7158"/>
      <c r="XG15" s="7158"/>
      <c r="XH15" s="7159"/>
      <c r="XI15" s="7152"/>
      <c r="XJ15" s="7153"/>
      <c r="XK15" s="7153"/>
      <c r="XL15" s="7153"/>
      <c r="XM15" s="7157"/>
      <c r="XN15" s="7157"/>
      <c r="XO15" s="7157"/>
      <c r="XP15" s="7157"/>
      <c r="XQ15" s="7157"/>
      <c r="XR15" s="7157"/>
      <c r="XS15" s="7158"/>
      <c r="XT15" s="7158"/>
      <c r="XU15" s="7158"/>
      <c r="XV15" s="7158"/>
      <c r="XW15" s="7158"/>
      <c r="XX15" s="7159"/>
      <c r="XY15" s="7152"/>
      <c r="XZ15" s="7153"/>
      <c r="YA15" s="7153"/>
      <c r="YB15" s="7153"/>
      <c r="YC15" s="7157"/>
      <c r="YD15" s="7157"/>
      <c r="YE15" s="7157"/>
      <c r="YF15" s="7157"/>
      <c r="YG15" s="7157"/>
      <c r="YH15" s="7157"/>
      <c r="YI15" s="7158"/>
      <c r="YJ15" s="7158"/>
      <c r="YK15" s="7158"/>
      <c r="YL15" s="7158"/>
      <c r="YM15" s="7158"/>
      <c r="YN15" s="7159"/>
      <c r="YO15" s="7152"/>
      <c r="YP15" s="7153"/>
      <c r="YQ15" s="7153"/>
      <c r="YR15" s="7153"/>
      <c r="YS15" s="7157"/>
      <c r="YT15" s="7157"/>
      <c r="YU15" s="7157"/>
      <c r="YV15" s="7157"/>
      <c r="YW15" s="7157"/>
      <c r="YX15" s="7157"/>
      <c r="YY15" s="7158"/>
      <c r="YZ15" s="7158"/>
      <c r="ZA15" s="7158"/>
      <c r="ZB15" s="7158"/>
      <c r="ZC15" s="7158"/>
      <c r="ZD15" s="7159"/>
      <c r="ZE15" s="7152"/>
      <c r="ZF15" s="7153"/>
      <c r="ZG15" s="7153"/>
      <c r="ZH15" s="7153"/>
      <c r="ZI15" s="7157"/>
      <c r="ZJ15" s="7157"/>
      <c r="ZK15" s="7157"/>
      <c r="ZL15" s="7157"/>
      <c r="ZM15" s="7157"/>
      <c r="ZN15" s="7157"/>
      <c r="ZO15" s="7158"/>
      <c r="ZP15" s="7158"/>
      <c r="ZQ15" s="7158"/>
      <c r="ZR15" s="7158"/>
      <c r="ZS15" s="7158"/>
      <c r="ZT15" s="7159"/>
      <c r="ZU15" s="7152"/>
      <c r="ZV15" s="7153"/>
      <c r="ZW15" s="7153"/>
      <c r="ZX15" s="7153"/>
      <c r="ZY15" s="7157"/>
      <c r="ZZ15" s="7157"/>
      <c r="AAA15" s="7157"/>
      <c r="AAB15" s="7157"/>
      <c r="AAC15" s="7157"/>
      <c r="AAD15" s="7157"/>
      <c r="AAE15" s="7158"/>
      <c r="AAF15" s="7158"/>
      <c r="AAG15" s="7158"/>
      <c r="AAH15" s="7158"/>
      <c r="AAI15" s="7158"/>
      <c r="AAJ15" s="7159"/>
      <c r="AAK15" s="7152"/>
      <c r="AAL15" s="7153"/>
      <c r="AAM15" s="7153"/>
      <c r="AAN15" s="7153"/>
      <c r="AAO15" s="7157"/>
      <c r="AAP15" s="7157"/>
      <c r="AAQ15" s="7157"/>
      <c r="AAR15" s="7157"/>
      <c r="AAS15" s="7157"/>
      <c r="AAT15" s="7157"/>
      <c r="AAU15" s="7158"/>
      <c r="AAV15" s="7158"/>
      <c r="AAW15" s="7158"/>
      <c r="AAX15" s="7158"/>
      <c r="AAY15" s="7158"/>
      <c r="AAZ15" s="7159"/>
      <c r="ABA15" s="7152"/>
      <c r="ABB15" s="7153"/>
      <c r="ABC15" s="7153"/>
      <c r="ABD15" s="7153"/>
      <c r="ABE15" s="7157"/>
      <c r="ABF15" s="7157"/>
      <c r="ABG15" s="7157"/>
      <c r="ABH15" s="7157"/>
      <c r="ABI15" s="7157"/>
      <c r="ABJ15" s="7157"/>
      <c r="ABK15" s="7158"/>
      <c r="ABL15" s="7158"/>
      <c r="ABM15" s="7158"/>
      <c r="ABN15" s="7158"/>
      <c r="ABO15" s="7158"/>
      <c r="ABP15" s="7159"/>
      <c r="ABQ15" s="7152"/>
      <c r="ABR15" s="7153"/>
      <c r="ABS15" s="7153"/>
      <c r="ABT15" s="7153"/>
      <c r="ABU15" s="7157"/>
      <c r="ABV15" s="7157"/>
      <c r="ABW15" s="7157"/>
      <c r="ABX15" s="7157"/>
      <c r="ABY15" s="7157"/>
      <c r="ABZ15" s="7157"/>
      <c r="ACA15" s="7158"/>
      <c r="ACB15" s="7158"/>
      <c r="ACC15" s="7158"/>
      <c r="ACD15" s="7158"/>
      <c r="ACE15" s="7158"/>
      <c r="ACF15" s="7159"/>
      <c r="ACG15" s="7152"/>
      <c r="ACH15" s="7153"/>
      <c r="ACI15" s="7153"/>
      <c r="ACJ15" s="7153"/>
      <c r="ACK15" s="7157"/>
      <c r="ACL15" s="7157"/>
      <c r="ACM15" s="7157"/>
      <c r="ACN15" s="7157"/>
      <c r="ACO15" s="7157"/>
      <c r="ACP15" s="7157"/>
      <c r="ACQ15" s="7158"/>
      <c r="ACR15" s="7158"/>
      <c r="ACS15" s="7158"/>
      <c r="ACT15" s="7158"/>
      <c r="ACU15" s="7158"/>
      <c r="ACV15" s="7159"/>
      <c r="ACW15" s="7152"/>
      <c r="ACX15" s="7153"/>
      <c r="ACY15" s="7153"/>
      <c r="ACZ15" s="7153"/>
      <c r="ADA15" s="7157"/>
      <c r="ADB15" s="7157"/>
      <c r="ADC15" s="7157"/>
      <c r="ADD15" s="7157"/>
      <c r="ADE15" s="7157"/>
      <c r="ADF15" s="7157"/>
      <c r="ADG15" s="7158"/>
      <c r="ADH15" s="7158"/>
      <c r="ADI15" s="7158"/>
      <c r="ADJ15" s="7158"/>
      <c r="ADK15" s="7158"/>
      <c r="ADL15" s="7159"/>
      <c r="ADM15" s="7152"/>
      <c r="ADN15" s="7153"/>
      <c r="ADO15" s="7153"/>
      <c r="ADP15" s="7153"/>
      <c r="ADQ15" s="7157"/>
      <c r="ADR15" s="7157"/>
      <c r="ADS15" s="7157"/>
      <c r="ADT15" s="7157"/>
      <c r="ADU15" s="7157"/>
      <c r="ADV15" s="7157"/>
      <c r="ADW15" s="7158"/>
      <c r="ADX15" s="7158"/>
      <c r="ADY15" s="7158"/>
      <c r="ADZ15" s="7158"/>
      <c r="AEA15" s="7158"/>
      <c r="AEB15" s="7159"/>
      <c r="AEC15" s="7152"/>
      <c r="AED15" s="7153"/>
      <c r="AEE15" s="7153"/>
      <c r="AEF15" s="7153"/>
      <c r="AEG15" s="7157"/>
      <c r="AEH15" s="7157"/>
      <c r="AEI15" s="7157"/>
      <c r="AEJ15" s="7157"/>
      <c r="AEK15" s="7157"/>
      <c r="AEL15" s="7157"/>
      <c r="AEM15" s="7158"/>
      <c r="AEN15" s="7158"/>
      <c r="AEO15" s="7158"/>
      <c r="AEP15" s="7158"/>
      <c r="AEQ15" s="7158"/>
      <c r="AER15" s="7159"/>
      <c r="AES15" s="7152"/>
      <c r="AET15" s="7153"/>
      <c r="AEU15" s="7153"/>
      <c r="AEV15" s="7153"/>
      <c r="AEW15" s="7157"/>
      <c r="AEX15" s="7157"/>
      <c r="AEY15" s="7157"/>
      <c r="AEZ15" s="7157"/>
      <c r="AFA15" s="7157"/>
      <c r="AFB15" s="7157"/>
      <c r="AFC15" s="7158"/>
      <c r="AFD15" s="7158"/>
      <c r="AFE15" s="7158"/>
      <c r="AFF15" s="7158"/>
      <c r="AFG15" s="7158"/>
      <c r="AFH15" s="7159"/>
      <c r="AFI15" s="7152"/>
      <c r="AFJ15" s="7153"/>
      <c r="AFK15" s="7153"/>
      <c r="AFL15" s="7153"/>
      <c r="AFM15" s="7157"/>
      <c r="AFN15" s="7157"/>
      <c r="AFO15" s="7157"/>
      <c r="AFP15" s="7157"/>
      <c r="AFQ15" s="7157"/>
      <c r="AFR15" s="7157"/>
      <c r="AFS15" s="7158"/>
      <c r="AFT15" s="7158"/>
      <c r="AFU15" s="7158"/>
      <c r="AFV15" s="7158"/>
      <c r="AFW15" s="7158"/>
      <c r="AFX15" s="7159"/>
      <c r="AFY15" s="7152"/>
      <c r="AFZ15" s="7153"/>
      <c r="AGA15" s="7153"/>
      <c r="AGB15" s="7153"/>
      <c r="AGC15" s="7157"/>
      <c r="AGD15" s="7157"/>
      <c r="AGE15" s="7157"/>
      <c r="AGF15" s="7157"/>
      <c r="AGG15" s="7157"/>
      <c r="AGH15" s="7157"/>
      <c r="AGI15" s="7158"/>
      <c r="AGJ15" s="7158"/>
      <c r="AGK15" s="7158"/>
      <c r="AGL15" s="7158"/>
      <c r="AGM15" s="7158"/>
      <c r="AGN15" s="7159"/>
      <c r="AGO15" s="7152"/>
      <c r="AGP15" s="7153"/>
      <c r="AGQ15" s="7153"/>
      <c r="AGR15" s="7153"/>
      <c r="AGS15" s="7157"/>
      <c r="AGT15" s="7157"/>
      <c r="AGU15" s="7157"/>
      <c r="AGV15" s="7157"/>
      <c r="AGW15" s="7157"/>
      <c r="AGX15" s="7157"/>
      <c r="AGY15" s="7158"/>
      <c r="AGZ15" s="7158"/>
      <c r="AHA15" s="7158"/>
      <c r="AHB15" s="7158"/>
      <c r="AHC15" s="7158"/>
      <c r="AHD15" s="7159"/>
      <c r="AHE15" s="7152"/>
      <c r="AHF15" s="7153"/>
      <c r="AHG15" s="7153"/>
      <c r="AHH15" s="7153"/>
      <c r="AHI15" s="7157"/>
      <c r="AHJ15" s="7157"/>
      <c r="AHK15" s="7157"/>
      <c r="AHL15" s="7157"/>
      <c r="AHM15" s="7157"/>
      <c r="AHN15" s="7157"/>
      <c r="AHO15" s="7158"/>
      <c r="AHP15" s="7158"/>
      <c r="AHQ15" s="7158"/>
      <c r="AHR15" s="7158"/>
      <c r="AHS15" s="7158"/>
      <c r="AHT15" s="7159"/>
      <c r="AHU15" s="7152"/>
      <c r="AHV15" s="7153"/>
      <c r="AHW15" s="7153"/>
      <c r="AHX15" s="7153"/>
      <c r="AHY15" s="7157"/>
      <c r="AHZ15" s="7157"/>
      <c r="AIA15" s="7157"/>
      <c r="AIB15" s="7157"/>
      <c r="AIC15" s="7157"/>
      <c r="AID15" s="7157"/>
      <c r="AIE15" s="7158"/>
      <c r="AIF15" s="7158"/>
      <c r="AIG15" s="7158"/>
      <c r="AIH15" s="7158"/>
      <c r="AII15" s="7158"/>
      <c r="AIJ15" s="7159"/>
      <c r="AIK15" s="7152"/>
      <c r="AIL15" s="7153"/>
      <c r="AIM15" s="7153"/>
      <c r="AIN15" s="7153"/>
      <c r="AIO15" s="7157"/>
      <c r="AIP15" s="7157"/>
      <c r="AIQ15" s="7157"/>
      <c r="AIR15" s="7157"/>
      <c r="AIS15" s="7157"/>
      <c r="AIT15" s="7157"/>
      <c r="AIU15" s="7158"/>
      <c r="AIV15" s="7158"/>
      <c r="AIW15" s="7158"/>
      <c r="AIX15" s="7158"/>
      <c r="AIY15" s="7158"/>
      <c r="AIZ15" s="7159"/>
      <c r="AJA15" s="7152"/>
      <c r="AJB15" s="7153"/>
      <c r="AJC15" s="7153"/>
      <c r="AJD15" s="7153"/>
      <c r="AJE15" s="7157"/>
      <c r="AJF15" s="7157"/>
      <c r="AJG15" s="7157"/>
      <c r="AJH15" s="7157"/>
      <c r="AJI15" s="7157"/>
      <c r="AJJ15" s="7157"/>
      <c r="AJK15" s="7158"/>
      <c r="AJL15" s="7158"/>
      <c r="AJM15" s="7158"/>
      <c r="AJN15" s="7158"/>
      <c r="AJO15" s="7158"/>
      <c r="AJP15" s="7159"/>
      <c r="AJQ15" s="7152"/>
      <c r="AJR15" s="7153"/>
      <c r="AJS15" s="7153"/>
      <c r="AJT15" s="7153"/>
      <c r="AJU15" s="7157"/>
      <c r="AJV15" s="7157"/>
      <c r="AJW15" s="7157"/>
      <c r="AJX15" s="7157"/>
      <c r="AJY15" s="7157"/>
      <c r="AJZ15" s="7157"/>
      <c r="AKA15" s="7158"/>
      <c r="AKB15" s="7158"/>
      <c r="AKC15" s="7158"/>
      <c r="AKD15" s="7158"/>
      <c r="AKE15" s="7158"/>
      <c r="AKF15" s="7159"/>
      <c r="AKG15" s="7152"/>
      <c r="AKH15" s="7153"/>
      <c r="AKI15" s="7153"/>
      <c r="AKJ15" s="7153"/>
      <c r="AKK15" s="7157"/>
      <c r="AKL15" s="7157"/>
      <c r="AKM15" s="7157"/>
      <c r="AKN15" s="7157"/>
      <c r="AKO15" s="7157"/>
      <c r="AKP15" s="7157"/>
      <c r="AKQ15" s="7158"/>
      <c r="AKR15" s="7158"/>
      <c r="AKS15" s="7158"/>
      <c r="AKT15" s="7158"/>
      <c r="AKU15" s="7158"/>
      <c r="AKV15" s="7159"/>
      <c r="AKW15" s="7152"/>
      <c r="AKX15" s="7153"/>
      <c r="AKY15" s="7153"/>
      <c r="AKZ15" s="7153"/>
      <c r="ALA15" s="7157"/>
      <c r="ALB15" s="7157"/>
      <c r="ALC15" s="7157"/>
      <c r="ALD15" s="7157"/>
      <c r="ALE15" s="7157"/>
      <c r="ALF15" s="7157"/>
      <c r="ALG15" s="7158"/>
      <c r="ALH15" s="7158"/>
      <c r="ALI15" s="7158"/>
      <c r="ALJ15" s="7158"/>
      <c r="ALK15" s="7158"/>
      <c r="ALL15" s="7159"/>
      <c r="ALM15" s="7152"/>
      <c r="ALN15" s="7153"/>
      <c r="ALO15" s="7153"/>
      <c r="ALP15" s="7153"/>
      <c r="ALQ15" s="7157"/>
      <c r="ALR15" s="7157"/>
      <c r="ALS15" s="7157"/>
      <c r="ALT15" s="7157"/>
      <c r="ALU15" s="7157"/>
      <c r="ALV15" s="7157"/>
      <c r="ALW15" s="7158"/>
      <c r="ALX15" s="7158"/>
      <c r="ALY15" s="7158"/>
      <c r="ALZ15" s="7158"/>
      <c r="AMA15" s="7158"/>
      <c r="AMB15" s="7159"/>
      <c r="AMC15" s="7152"/>
      <c r="AMD15" s="7153"/>
      <c r="AME15" s="7153"/>
      <c r="AMF15" s="7153"/>
      <c r="AMG15" s="7157"/>
      <c r="AMH15" s="7157"/>
      <c r="AMI15" s="7157"/>
      <c r="AMJ15" s="7157"/>
      <c r="AMK15" s="7157"/>
      <c r="AML15" s="7157"/>
      <c r="AMM15" s="7158"/>
      <c r="AMN15" s="7158"/>
      <c r="AMO15" s="7158"/>
      <c r="AMP15" s="7158"/>
      <c r="AMQ15" s="7158"/>
      <c r="AMR15" s="7159"/>
      <c r="AMS15" s="7152"/>
      <c r="AMT15" s="7153"/>
      <c r="AMU15" s="7153"/>
      <c r="AMV15" s="7153"/>
      <c r="AMW15" s="7157"/>
      <c r="AMX15" s="7157"/>
      <c r="AMY15" s="7157"/>
      <c r="AMZ15" s="7157"/>
      <c r="ANA15" s="7157"/>
      <c r="ANB15" s="7157"/>
      <c r="ANC15" s="7158"/>
      <c r="AND15" s="7158"/>
      <c r="ANE15" s="7158"/>
      <c r="ANF15" s="7158"/>
      <c r="ANG15" s="7158"/>
      <c r="ANH15" s="7159"/>
      <c r="ANI15" s="7152"/>
      <c r="ANJ15" s="7153"/>
      <c r="ANK15" s="7153"/>
      <c r="ANL15" s="7153"/>
      <c r="ANM15" s="7157"/>
      <c r="ANN15" s="7157"/>
      <c r="ANO15" s="7157"/>
      <c r="ANP15" s="7157"/>
      <c r="ANQ15" s="7157"/>
      <c r="ANR15" s="7157"/>
      <c r="ANS15" s="7158"/>
      <c r="ANT15" s="7158"/>
      <c r="ANU15" s="7158"/>
      <c r="ANV15" s="7158"/>
      <c r="ANW15" s="7158"/>
      <c r="ANX15" s="7159"/>
      <c r="ANY15" s="7152"/>
      <c r="ANZ15" s="7153"/>
      <c r="AOA15" s="7153"/>
      <c r="AOB15" s="7153"/>
      <c r="AOC15" s="7157"/>
      <c r="AOD15" s="7157"/>
      <c r="AOE15" s="7157"/>
      <c r="AOF15" s="7157"/>
      <c r="AOG15" s="7157"/>
      <c r="AOH15" s="7157"/>
      <c r="AOI15" s="7158"/>
      <c r="AOJ15" s="7158"/>
      <c r="AOK15" s="7158"/>
      <c r="AOL15" s="7158"/>
      <c r="AOM15" s="7158"/>
      <c r="AON15" s="7159"/>
      <c r="AOO15" s="7152"/>
      <c r="AOP15" s="7153"/>
      <c r="AOQ15" s="7153"/>
      <c r="AOR15" s="7153"/>
      <c r="AOS15" s="7157"/>
      <c r="AOT15" s="7157"/>
      <c r="AOU15" s="7157"/>
      <c r="AOV15" s="7157"/>
      <c r="AOW15" s="7157"/>
      <c r="AOX15" s="7157"/>
      <c r="AOY15" s="7158"/>
      <c r="AOZ15" s="7158"/>
      <c r="APA15" s="7158"/>
      <c r="APB15" s="7158"/>
      <c r="APC15" s="7158"/>
      <c r="APD15" s="7159"/>
      <c r="APE15" s="7152"/>
      <c r="APF15" s="7153"/>
      <c r="APG15" s="7153"/>
      <c r="APH15" s="7153"/>
      <c r="API15" s="7157"/>
      <c r="APJ15" s="7157"/>
      <c r="APK15" s="7157"/>
      <c r="APL15" s="7157"/>
      <c r="APM15" s="7157"/>
      <c r="APN15" s="7157"/>
      <c r="APO15" s="7158"/>
      <c r="APP15" s="7158"/>
      <c r="APQ15" s="7158"/>
      <c r="APR15" s="7158"/>
      <c r="APS15" s="7158"/>
      <c r="APT15" s="7159"/>
      <c r="APU15" s="7152"/>
      <c r="APV15" s="7153"/>
      <c r="APW15" s="7153"/>
      <c r="APX15" s="7153"/>
      <c r="APY15" s="7157"/>
      <c r="APZ15" s="7157"/>
      <c r="AQA15" s="7157"/>
      <c r="AQB15" s="7157"/>
      <c r="AQC15" s="7157"/>
      <c r="AQD15" s="7157"/>
      <c r="AQE15" s="7158"/>
      <c r="AQF15" s="7158"/>
      <c r="AQG15" s="7158"/>
      <c r="AQH15" s="7158"/>
      <c r="AQI15" s="7158"/>
      <c r="AQJ15" s="7159"/>
      <c r="AQK15" s="7152"/>
      <c r="AQL15" s="7153"/>
      <c r="AQM15" s="7153"/>
      <c r="AQN15" s="7153"/>
      <c r="AQO15" s="7157"/>
      <c r="AQP15" s="7157"/>
      <c r="AQQ15" s="7157"/>
      <c r="AQR15" s="7157"/>
      <c r="AQS15" s="7157"/>
      <c r="AQT15" s="7157"/>
      <c r="AQU15" s="7158"/>
      <c r="AQV15" s="7158"/>
      <c r="AQW15" s="7158"/>
      <c r="AQX15" s="7158"/>
      <c r="AQY15" s="7158"/>
      <c r="AQZ15" s="7159"/>
      <c r="ARA15" s="7152"/>
      <c r="ARB15" s="7153"/>
      <c r="ARC15" s="7153"/>
      <c r="ARD15" s="7153"/>
      <c r="ARE15" s="7157"/>
      <c r="ARF15" s="7157"/>
      <c r="ARG15" s="7157"/>
      <c r="ARH15" s="7157"/>
      <c r="ARI15" s="7157"/>
      <c r="ARJ15" s="7157"/>
      <c r="ARK15" s="7158"/>
      <c r="ARL15" s="7158"/>
      <c r="ARM15" s="7158"/>
      <c r="ARN15" s="7158"/>
      <c r="ARO15" s="7158"/>
      <c r="ARP15" s="7159"/>
      <c r="ARQ15" s="7152"/>
      <c r="ARR15" s="7153"/>
      <c r="ARS15" s="7153"/>
      <c r="ART15" s="7153"/>
      <c r="ARU15" s="7157"/>
      <c r="ARV15" s="7157"/>
      <c r="ARW15" s="7157"/>
      <c r="ARX15" s="7157"/>
      <c r="ARY15" s="7157"/>
      <c r="ARZ15" s="7157"/>
      <c r="ASA15" s="7158"/>
      <c r="ASB15" s="7158"/>
      <c r="ASC15" s="7158"/>
      <c r="ASD15" s="7158"/>
      <c r="ASE15" s="7158"/>
      <c r="ASF15" s="7159"/>
      <c r="ASG15" s="7152"/>
      <c r="ASH15" s="7153"/>
      <c r="ASI15" s="7153"/>
      <c r="ASJ15" s="7153"/>
      <c r="ASK15" s="7157"/>
      <c r="ASL15" s="7157"/>
      <c r="ASM15" s="7157"/>
      <c r="ASN15" s="7157"/>
      <c r="ASO15" s="7157"/>
      <c r="ASP15" s="7157"/>
      <c r="ASQ15" s="7158"/>
      <c r="ASR15" s="7158"/>
      <c r="ASS15" s="7158"/>
      <c r="AST15" s="7158"/>
      <c r="ASU15" s="7158"/>
      <c r="ASV15" s="7159"/>
      <c r="ASW15" s="7152"/>
      <c r="ASX15" s="7153"/>
      <c r="ASY15" s="7153"/>
      <c r="ASZ15" s="7153"/>
      <c r="ATA15" s="7157"/>
      <c r="ATB15" s="7157"/>
      <c r="ATC15" s="7157"/>
      <c r="ATD15" s="7157"/>
      <c r="ATE15" s="7157"/>
      <c r="ATF15" s="7157"/>
      <c r="ATG15" s="7158"/>
      <c r="ATH15" s="7158"/>
      <c r="ATI15" s="7158"/>
      <c r="ATJ15" s="7158"/>
      <c r="ATK15" s="7158"/>
      <c r="ATL15" s="7159"/>
      <c r="ATM15" s="7152"/>
      <c r="ATN15" s="7153"/>
      <c r="ATO15" s="7153"/>
      <c r="ATP15" s="7153"/>
      <c r="ATQ15" s="7157"/>
      <c r="ATR15" s="7157"/>
      <c r="ATS15" s="7157"/>
      <c r="ATT15" s="7157"/>
      <c r="ATU15" s="7157"/>
      <c r="ATV15" s="7157"/>
      <c r="ATW15" s="7158"/>
      <c r="ATX15" s="7158"/>
      <c r="ATY15" s="7158"/>
      <c r="ATZ15" s="7158"/>
      <c r="AUA15" s="7158"/>
      <c r="AUB15" s="7159"/>
      <c r="AUC15" s="7152"/>
      <c r="AUD15" s="7153"/>
      <c r="AUE15" s="7153"/>
      <c r="AUF15" s="7153"/>
      <c r="AUG15" s="7157"/>
      <c r="AUH15" s="7157"/>
      <c r="AUI15" s="7157"/>
      <c r="AUJ15" s="7157"/>
      <c r="AUK15" s="7157"/>
      <c r="AUL15" s="7157"/>
      <c r="AUM15" s="7158"/>
      <c r="AUN15" s="7158"/>
      <c r="AUO15" s="7158"/>
      <c r="AUP15" s="7158"/>
      <c r="AUQ15" s="7158"/>
      <c r="AUR15" s="7159"/>
      <c r="AUS15" s="7152"/>
      <c r="AUT15" s="7153"/>
      <c r="AUU15" s="7153"/>
      <c r="AUV15" s="7153"/>
      <c r="AUW15" s="7157"/>
      <c r="AUX15" s="7157"/>
      <c r="AUY15" s="7157"/>
      <c r="AUZ15" s="7157"/>
      <c r="AVA15" s="7157"/>
      <c r="AVB15" s="7157"/>
      <c r="AVC15" s="7158"/>
      <c r="AVD15" s="7158"/>
      <c r="AVE15" s="7158"/>
      <c r="AVF15" s="7158"/>
      <c r="AVG15" s="7158"/>
      <c r="AVH15" s="7159"/>
      <c r="AVI15" s="7152"/>
      <c r="AVJ15" s="7153"/>
      <c r="AVK15" s="7153"/>
      <c r="AVL15" s="7153"/>
      <c r="AVM15" s="7157"/>
      <c r="AVN15" s="7157"/>
      <c r="AVO15" s="7157"/>
      <c r="AVP15" s="7157"/>
      <c r="AVQ15" s="7157"/>
      <c r="AVR15" s="7157"/>
      <c r="AVS15" s="7158"/>
      <c r="AVT15" s="7158"/>
      <c r="AVU15" s="7158"/>
      <c r="AVV15" s="7158"/>
      <c r="AVW15" s="7158"/>
      <c r="AVX15" s="7159"/>
      <c r="AVY15" s="7152"/>
      <c r="AVZ15" s="7153"/>
      <c r="AWA15" s="7153"/>
      <c r="AWB15" s="7153"/>
      <c r="AWC15" s="7157"/>
      <c r="AWD15" s="7157"/>
      <c r="AWE15" s="7157"/>
      <c r="AWF15" s="7157"/>
      <c r="AWG15" s="7157"/>
      <c r="AWH15" s="7157"/>
      <c r="AWI15" s="7158"/>
      <c r="AWJ15" s="7158"/>
      <c r="AWK15" s="7158"/>
      <c r="AWL15" s="7158"/>
      <c r="AWM15" s="7158"/>
      <c r="AWN15" s="7159"/>
      <c r="AWO15" s="7152"/>
      <c r="AWP15" s="7153"/>
      <c r="AWQ15" s="7153"/>
      <c r="AWR15" s="7153"/>
      <c r="AWS15" s="7157"/>
      <c r="AWT15" s="7157"/>
      <c r="AWU15" s="7157"/>
      <c r="AWV15" s="7157"/>
      <c r="AWW15" s="7157"/>
      <c r="AWX15" s="7157"/>
      <c r="AWY15" s="7158"/>
      <c r="AWZ15" s="7158"/>
      <c r="AXA15" s="7158"/>
      <c r="AXB15" s="7158"/>
      <c r="AXC15" s="7158"/>
      <c r="AXD15" s="7159"/>
      <c r="AXE15" s="7152"/>
      <c r="AXF15" s="7153"/>
      <c r="AXG15" s="7153"/>
      <c r="AXH15" s="7153"/>
      <c r="AXI15" s="7157"/>
      <c r="AXJ15" s="7157"/>
      <c r="AXK15" s="7157"/>
      <c r="AXL15" s="7157"/>
      <c r="AXM15" s="7157"/>
      <c r="AXN15" s="7157"/>
      <c r="AXO15" s="7158"/>
      <c r="AXP15" s="7158"/>
      <c r="AXQ15" s="7158"/>
      <c r="AXR15" s="7158"/>
      <c r="AXS15" s="7158"/>
      <c r="AXT15" s="7159"/>
      <c r="AXU15" s="7152"/>
      <c r="AXV15" s="7153"/>
      <c r="AXW15" s="7153"/>
      <c r="AXX15" s="7153"/>
      <c r="AXY15" s="7157"/>
      <c r="AXZ15" s="7157"/>
      <c r="AYA15" s="7157"/>
      <c r="AYB15" s="7157"/>
      <c r="AYC15" s="7157"/>
      <c r="AYD15" s="7157"/>
      <c r="AYE15" s="7158"/>
      <c r="AYF15" s="7158"/>
      <c r="AYG15" s="7158"/>
      <c r="AYH15" s="7158"/>
      <c r="AYI15" s="7158"/>
      <c r="AYJ15" s="7159"/>
      <c r="AYK15" s="7152"/>
      <c r="AYL15" s="7153"/>
      <c r="AYM15" s="7153"/>
      <c r="AYN15" s="7153"/>
      <c r="AYO15" s="7157"/>
      <c r="AYP15" s="7157"/>
      <c r="AYQ15" s="7157"/>
      <c r="AYR15" s="7157"/>
      <c r="AYS15" s="7157"/>
      <c r="AYT15" s="7157"/>
      <c r="AYU15" s="7158"/>
      <c r="AYV15" s="7158"/>
      <c r="AYW15" s="7158"/>
      <c r="AYX15" s="7158"/>
      <c r="AYY15" s="7158"/>
      <c r="AYZ15" s="7159"/>
      <c r="AZA15" s="7152"/>
      <c r="AZB15" s="7153"/>
      <c r="AZC15" s="7153"/>
      <c r="AZD15" s="7153"/>
      <c r="AZE15" s="7157"/>
      <c r="AZF15" s="7157"/>
      <c r="AZG15" s="7157"/>
      <c r="AZH15" s="7157"/>
      <c r="AZI15" s="7157"/>
      <c r="AZJ15" s="7157"/>
      <c r="AZK15" s="7158"/>
      <c r="AZL15" s="7158"/>
      <c r="AZM15" s="7158"/>
      <c r="AZN15" s="7158"/>
      <c r="AZO15" s="7158"/>
      <c r="AZP15" s="7159"/>
      <c r="AZQ15" s="7152"/>
      <c r="AZR15" s="7153"/>
      <c r="AZS15" s="7153"/>
      <c r="AZT15" s="7153"/>
      <c r="AZU15" s="7157"/>
      <c r="AZV15" s="7157"/>
      <c r="AZW15" s="7157"/>
      <c r="AZX15" s="7157"/>
      <c r="AZY15" s="7157"/>
      <c r="AZZ15" s="7157"/>
      <c r="BAA15" s="7158"/>
      <c r="BAB15" s="7158"/>
      <c r="BAC15" s="7158"/>
      <c r="BAD15" s="7158"/>
      <c r="BAE15" s="7158"/>
      <c r="BAF15" s="7159"/>
      <c r="BAG15" s="7152"/>
      <c r="BAH15" s="7153"/>
      <c r="BAI15" s="7153"/>
      <c r="BAJ15" s="7153"/>
      <c r="BAK15" s="7157"/>
      <c r="BAL15" s="7157"/>
      <c r="BAM15" s="7157"/>
      <c r="BAN15" s="7157"/>
      <c r="BAO15" s="7157"/>
      <c r="BAP15" s="7157"/>
      <c r="BAQ15" s="7158"/>
      <c r="BAR15" s="7158"/>
      <c r="BAS15" s="7158"/>
      <c r="BAT15" s="7158"/>
      <c r="BAU15" s="7158"/>
      <c r="BAV15" s="7159"/>
      <c r="BAW15" s="7152"/>
      <c r="BAX15" s="7153"/>
      <c r="BAY15" s="7153"/>
      <c r="BAZ15" s="7153"/>
      <c r="BBA15" s="7157"/>
      <c r="BBB15" s="7157"/>
      <c r="BBC15" s="7157"/>
      <c r="BBD15" s="7157"/>
      <c r="BBE15" s="7157"/>
      <c r="BBF15" s="7157"/>
      <c r="BBG15" s="7158"/>
      <c r="BBH15" s="7158"/>
      <c r="BBI15" s="7158"/>
      <c r="BBJ15" s="7158"/>
      <c r="BBK15" s="7158"/>
      <c r="BBL15" s="7159"/>
      <c r="BBM15" s="7152"/>
      <c r="BBN15" s="7153"/>
      <c r="BBO15" s="7153"/>
      <c r="BBP15" s="7153"/>
      <c r="BBQ15" s="7157"/>
      <c r="BBR15" s="7157"/>
      <c r="BBS15" s="7157"/>
      <c r="BBT15" s="7157"/>
      <c r="BBU15" s="7157"/>
      <c r="BBV15" s="7157"/>
      <c r="BBW15" s="7158"/>
      <c r="BBX15" s="7158"/>
      <c r="BBY15" s="7158"/>
      <c r="BBZ15" s="7158"/>
      <c r="BCA15" s="7158"/>
      <c r="BCB15" s="7159"/>
      <c r="BCC15" s="7152"/>
      <c r="BCD15" s="7153"/>
      <c r="BCE15" s="7153"/>
      <c r="BCF15" s="7153"/>
      <c r="BCG15" s="7157"/>
      <c r="BCH15" s="7157"/>
      <c r="BCI15" s="7157"/>
      <c r="BCJ15" s="7157"/>
      <c r="BCK15" s="7157"/>
      <c r="BCL15" s="7157"/>
      <c r="BCM15" s="7158"/>
      <c r="BCN15" s="7158"/>
      <c r="BCO15" s="7158"/>
      <c r="BCP15" s="7158"/>
      <c r="BCQ15" s="7158"/>
      <c r="BCR15" s="7159"/>
      <c r="BCS15" s="7152"/>
      <c r="BCT15" s="7153"/>
      <c r="BCU15" s="7153"/>
      <c r="BCV15" s="7153"/>
      <c r="BCW15" s="7157"/>
      <c r="BCX15" s="7157"/>
      <c r="BCY15" s="7157"/>
      <c r="BCZ15" s="7157"/>
      <c r="BDA15" s="7157"/>
      <c r="BDB15" s="7157"/>
      <c r="BDC15" s="7158"/>
      <c r="BDD15" s="7158"/>
      <c r="BDE15" s="7158"/>
      <c r="BDF15" s="7158"/>
      <c r="BDG15" s="7158"/>
      <c r="BDH15" s="7159"/>
      <c r="BDI15" s="7152"/>
      <c r="BDJ15" s="7153"/>
      <c r="BDK15" s="7153"/>
      <c r="BDL15" s="7153"/>
      <c r="BDM15" s="7157"/>
      <c r="BDN15" s="7157"/>
      <c r="BDO15" s="7157"/>
      <c r="BDP15" s="7157"/>
      <c r="BDQ15" s="7157"/>
      <c r="BDR15" s="7157"/>
      <c r="BDS15" s="7158"/>
      <c r="BDT15" s="7158"/>
      <c r="BDU15" s="7158"/>
      <c r="BDV15" s="7158"/>
      <c r="BDW15" s="7158"/>
      <c r="BDX15" s="7159"/>
      <c r="BDY15" s="7152"/>
      <c r="BDZ15" s="7153"/>
      <c r="BEA15" s="7153"/>
      <c r="BEB15" s="7153"/>
      <c r="BEC15" s="7157"/>
      <c r="BED15" s="7157"/>
      <c r="BEE15" s="7157"/>
      <c r="BEF15" s="7157"/>
      <c r="BEG15" s="7157"/>
      <c r="BEH15" s="7157"/>
      <c r="BEI15" s="7158"/>
      <c r="BEJ15" s="7158"/>
      <c r="BEK15" s="7158"/>
      <c r="BEL15" s="7158"/>
      <c r="BEM15" s="7158"/>
      <c r="BEN15" s="7159"/>
      <c r="BEO15" s="7152"/>
      <c r="BEP15" s="7153"/>
      <c r="BEQ15" s="7153"/>
      <c r="BER15" s="7153"/>
      <c r="BES15" s="7157"/>
      <c r="BET15" s="7157"/>
      <c r="BEU15" s="7157"/>
      <c r="BEV15" s="7157"/>
      <c r="BEW15" s="7157"/>
      <c r="BEX15" s="7157"/>
      <c r="BEY15" s="7158"/>
      <c r="BEZ15" s="7158"/>
      <c r="BFA15" s="7158"/>
      <c r="BFB15" s="7158"/>
      <c r="BFC15" s="7158"/>
      <c r="BFD15" s="7159"/>
      <c r="BFE15" s="7152"/>
      <c r="BFF15" s="7153"/>
      <c r="BFG15" s="7153"/>
      <c r="BFH15" s="7153"/>
      <c r="BFI15" s="7157"/>
      <c r="BFJ15" s="7157"/>
      <c r="BFK15" s="7157"/>
      <c r="BFL15" s="7157"/>
      <c r="BFM15" s="7157"/>
      <c r="BFN15" s="7157"/>
      <c r="BFO15" s="7158"/>
      <c r="BFP15" s="7158"/>
      <c r="BFQ15" s="7158"/>
      <c r="BFR15" s="7158"/>
      <c r="BFS15" s="7158"/>
      <c r="BFT15" s="7159"/>
      <c r="BFU15" s="7152"/>
      <c r="BFV15" s="7153"/>
      <c r="BFW15" s="7153"/>
      <c r="BFX15" s="7153"/>
      <c r="BFY15" s="7157"/>
      <c r="BFZ15" s="7157"/>
      <c r="BGA15" s="7157"/>
      <c r="BGB15" s="7157"/>
      <c r="BGC15" s="7157"/>
      <c r="BGD15" s="7157"/>
      <c r="BGE15" s="7158"/>
      <c r="BGF15" s="7158"/>
      <c r="BGG15" s="7158"/>
      <c r="BGH15" s="7158"/>
      <c r="BGI15" s="7158"/>
      <c r="BGJ15" s="7159"/>
      <c r="BGK15" s="7152"/>
      <c r="BGL15" s="7153"/>
      <c r="BGM15" s="7153"/>
      <c r="BGN15" s="7153"/>
      <c r="BGO15" s="7157"/>
      <c r="BGP15" s="7157"/>
      <c r="BGQ15" s="7157"/>
      <c r="BGR15" s="7157"/>
      <c r="BGS15" s="7157"/>
      <c r="BGT15" s="7157"/>
      <c r="BGU15" s="7158"/>
      <c r="BGV15" s="7158"/>
      <c r="BGW15" s="7158"/>
      <c r="BGX15" s="7158"/>
      <c r="BGY15" s="7158"/>
      <c r="BGZ15" s="7159"/>
      <c r="BHA15" s="7152"/>
      <c r="BHB15" s="7153"/>
      <c r="BHC15" s="7153"/>
      <c r="BHD15" s="7153"/>
      <c r="BHE15" s="7157"/>
      <c r="BHF15" s="7157"/>
      <c r="BHG15" s="7157"/>
      <c r="BHH15" s="7157"/>
      <c r="BHI15" s="7157"/>
      <c r="BHJ15" s="7157"/>
      <c r="BHK15" s="7158"/>
      <c r="BHL15" s="7158"/>
      <c r="BHM15" s="7158"/>
      <c r="BHN15" s="7158"/>
      <c r="BHO15" s="7158"/>
      <c r="BHP15" s="7159"/>
      <c r="BHQ15" s="7152"/>
      <c r="BHR15" s="7153"/>
      <c r="BHS15" s="7153"/>
      <c r="BHT15" s="7153"/>
      <c r="BHU15" s="7157"/>
      <c r="BHV15" s="7157"/>
      <c r="BHW15" s="7157"/>
      <c r="BHX15" s="7157"/>
      <c r="BHY15" s="7157"/>
      <c r="BHZ15" s="7157"/>
      <c r="BIA15" s="7158"/>
      <c r="BIB15" s="7158"/>
      <c r="BIC15" s="7158"/>
      <c r="BID15" s="7158"/>
      <c r="BIE15" s="7158"/>
      <c r="BIF15" s="7159"/>
      <c r="BIG15" s="7152"/>
      <c r="BIH15" s="7153"/>
      <c r="BII15" s="7153"/>
      <c r="BIJ15" s="7153"/>
      <c r="BIK15" s="7157"/>
      <c r="BIL15" s="7157"/>
      <c r="BIM15" s="7157"/>
      <c r="BIN15" s="7157"/>
      <c r="BIO15" s="7157"/>
      <c r="BIP15" s="7157"/>
      <c r="BIQ15" s="7158"/>
      <c r="BIR15" s="7158"/>
      <c r="BIS15" s="7158"/>
      <c r="BIT15" s="7158"/>
      <c r="BIU15" s="7158"/>
      <c r="BIV15" s="7159"/>
      <c r="BIW15" s="7152"/>
      <c r="BIX15" s="7153"/>
      <c r="BIY15" s="7153"/>
      <c r="BIZ15" s="7153"/>
      <c r="BJA15" s="7157"/>
      <c r="BJB15" s="7157"/>
      <c r="BJC15" s="7157"/>
      <c r="BJD15" s="7157"/>
      <c r="BJE15" s="7157"/>
      <c r="BJF15" s="7157"/>
      <c r="BJG15" s="7158"/>
      <c r="BJH15" s="7158"/>
      <c r="BJI15" s="7158"/>
      <c r="BJJ15" s="7158"/>
      <c r="BJK15" s="7158"/>
      <c r="BJL15" s="7159"/>
      <c r="BJM15" s="7152"/>
      <c r="BJN15" s="7153"/>
      <c r="BJO15" s="7153"/>
      <c r="BJP15" s="7153"/>
      <c r="BJQ15" s="7157"/>
      <c r="BJR15" s="7157"/>
      <c r="BJS15" s="7157"/>
      <c r="BJT15" s="7157"/>
      <c r="BJU15" s="7157"/>
      <c r="BJV15" s="7157"/>
      <c r="BJW15" s="7158"/>
      <c r="BJX15" s="7158"/>
      <c r="BJY15" s="7158"/>
      <c r="BJZ15" s="7158"/>
      <c r="BKA15" s="7158"/>
      <c r="BKB15" s="7159"/>
      <c r="BKC15" s="7152"/>
      <c r="BKD15" s="7153"/>
      <c r="BKE15" s="7153"/>
      <c r="BKF15" s="7153"/>
      <c r="BKG15" s="7157"/>
      <c r="BKH15" s="7157"/>
      <c r="BKI15" s="7157"/>
      <c r="BKJ15" s="7157"/>
      <c r="BKK15" s="7157"/>
      <c r="BKL15" s="7157"/>
      <c r="BKM15" s="7158"/>
      <c r="BKN15" s="7158"/>
      <c r="BKO15" s="7158"/>
      <c r="BKP15" s="7158"/>
      <c r="BKQ15" s="7158"/>
      <c r="BKR15" s="7159"/>
      <c r="BKS15" s="7152"/>
      <c r="BKT15" s="7153"/>
      <c r="BKU15" s="7153"/>
      <c r="BKV15" s="7153"/>
      <c r="BKW15" s="7157"/>
      <c r="BKX15" s="7157"/>
      <c r="BKY15" s="7157"/>
      <c r="BKZ15" s="7157"/>
      <c r="BLA15" s="7157"/>
      <c r="BLB15" s="7157"/>
      <c r="BLC15" s="7158"/>
      <c r="BLD15" s="7158"/>
      <c r="BLE15" s="7158"/>
      <c r="BLF15" s="7158"/>
      <c r="BLG15" s="7158"/>
      <c r="BLH15" s="7159"/>
      <c r="BLI15" s="7152"/>
      <c r="BLJ15" s="7153"/>
      <c r="BLK15" s="7153"/>
      <c r="BLL15" s="7153"/>
      <c r="BLM15" s="7157"/>
      <c r="BLN15" s="7157"/>
      <c r="BLO15" s="7157"/>
      <c r="BLP15" s="7157"/>
      <c r="BLQ15" s="7157"/>
      <c r="BLR15" s="7157"/>
      <c r="BLS15" s="7158"/>
      <c r="BLT15" s="7158"/>
      <c r="BLU15" s="7158"/>
      <c r="BLV15" s="7158"/>
      <c r="BLW15" s="7158"/>
      <c r="BLX15" s="7159"/>
      <c r="BLY15" s="7152"/>
      <c r="BLZ15" s="7153"/>
      <c r="BMA15" s="7153"/>
      <c r="BMB15" s="7153"/>
      <c r="BMC15" s="7157"/>
      <c r="BMD15" s="7157"/>
      <c r="BME15" s="7157"/>
      <c r="BMF15" s="7157"/>
      <c r="BMG15" s="7157"/>
      <c r="BMH15" s="7157"/>
      <c r="BMI15" s="7158"/>
      <c r="BMJ15" s="7158"/>
      <c r="BMK15" s="7158"/>
      <c r="BML15" s="7158"/>
      <c r="BMM15" s="7158"/>
      <c r="BMN15" s="7159"/>
      <c r="BMO15" s="7152"/>
      <c r="BMP15" s="7153"/>
      <c r="BMQ15" s="7153"/>
      <c r="BMR15" s="7153"/>
      <c r="BMS15" s="7157"/>
      <c r="BMT15" s="7157"/>
      <c r="BMU15" s="7157"/>
      <c r="BMV15" s="7157"/>
      <c r="BMW15" s="7157"/>
      <c r="BMX15" s="7157"/>
      <c r="BMY15" s="7158"/>
      <c r="BMZ15" s="7158"/>
      <c r="BNA15" s="7158"/>
      <c r="BNB15" s="7158"/>
      <c r="BNC15" s="7158"/>
      <c r="BND15" s="7159"/>
      <c r="BNE15" s="7152"/>
      <c r="BNF15" s="7153"/>
      <c r="BNG15" s="7153"/>
      <c r="BNH15" s="7153"/>
      <c r="BNI15" s="7157"/>
      <c r="BNJ15" s="7157"/>
      <c r="BNK15" s="7157"/>
      <c r="BNL15" s="7157"/>
      <c r="BNM15" s="7157"/>
      <c r="BNN15" s="7157"/>
      <c r="BNO15" s="7158"/>
      <c r="BNP15" s="7158"/>
      <c r="BNQ15" s="7158"/>
      <c r="BNR15" s="7158"/>
      <c r="BNS15" s="7158"/>
      <c r="BNT15" s="7159"/>
      <c r="BNU15" s="7152"/>
      <c r="BNV15" s="7153"/>
      <c r="BNW15" s="7153"/>
      <c r="BNX15" s="7153"/>
      <c r="BNY15" s="7157"/>
      <c r="BNZ15" s="7157"/>
      <c r="BOA15" s="7157"/>
      <c r="BOB15" s="7157"/>
      <c r="BOC15" s="7157"/>
      <c r="BOD15" s="7157"/>
      <c r="BOE15" s="7158"/>
      <c r="BOF15" s="7158"/>
      <c r="BOG15" s="7158"/>
      <c r="BOH15" s="7158"/>
      <c r="BOI15" s="7158"/>
      <c r="BOJ15" s="7159"/>
      <c r="BOK15" s="7152"/>
      <c r="BOL15" s="7153"/>
      <c r="BOM15" s="7153"/>
      <c r="BON15" s="7153"/>
      <c r="BOO15" s="7157"/>
      <c r="BOP15" s="7157"/>
      <c r="BOQ15" s="7157"/>
      <c r="BOR15" s="7157"/>
      <c r="BOS15" s="7157"/>
      <c r="BOT15" s="7157"/>
      <c r="BOU15" s="7158"/>
      <c r="BOV15" s="7158"/>
      <c r="BOW15" s="7158"/>
      <c r="BOX15" s="7158"/>
      <c r="BOY15" s="7158"/>
      <c r="BOZ15" s="7159"/>
      <c r="BPA15" s="7152"/>
      <c r="BPB15" s="7153"/>
      <c r="BPC15" s="7153"/>
      <c r="BPD15" s="7153"/>
      <c r="BPE15" s="7157"/>
      <c r="BPF15" s="7157"/>
      <c r="BPG15" s="7157"/>
      <c r="BPH15" s="7157"/>
      <c r="BPI15" s="7157"/>
      <c r="BPJ15" s="7157"/>
      <c r="BPK15" s="7158"/>
      <c r="BPL15" s="7158"/>
      <c r="BPM15" s="7158"/>
      <c r="BPN15" s="7158"/>
      <c r="BPO15" s="7158"/>
      <c r="BPP15" s="7159"/>
      <c r="BPQ15" s="7152"/>
      <c r="BPR15" s="7153"/>
      <c r="BPS15" s="7153"/>
      <c r="BPT15" s="7153"/>
      <c r="BPU15" s="7157"/>
      <c r="BPV15" s="7157"/>
      <c r="BPW15" s="7157"/>
      <c r="BPX15" s="7157"/>
      <c r="BPY15" s="7157"/>
      <c r="BPZ15" s="7157"/>
      <c r="BQA15" s="7158"/>
      <c r="BQB15" s="7158"/>
      <c r="BQC15" s="7158"/>
      <c r="BQD15" s="7158"/>
      <c r="BQE15" s="7158"/>
      <c r="BQF15" s="7159"/>
      <c r="BQG15" s="7152"/>
      <c r="BQH15" s="7153"/>
      <c r="BQI15" s="7153"/>
      <c r="BQJ15" s="7153"/>
      <c r="BQK15" s="7157"/>
      <c r="BQL15" s="7157"/>
      <c r="BQM15" s="7157"/>
      <c r="BQN15" s="7157"/>
      <c r="BQO15" s="7157"/>
      <c r="BQP15" s="7157"/>
      <c r="BQQ15" s="7158"/>
      <c r="BQR15" s="7158"/>
      <c r="BQS15" s="7158"/>
      <c r="BQT15" s="7158"/>
      <c r="BQU15" s="7158"/>
      <c r="BQV15" s="7159"/>
      <c r="BQW15" s="7152"/>
      <c r="BQX15" s="7153"/>
      <c r="BQY15" s="7153"/>
      <c r="BQZ15" s="7153"/>
      <c r="BRA15" s="7157"/>
      <c r="BRB15" s="7157"/>
      <c r="BRC15" s="7157"/>
      <c r="BRD15" s="7157"/>
      <c r="BRE15" s="7157"/>
      <c r="BRF15" s="7157"/>
      <c r="BRG15" s="7158"/>
      <c r="BRH15" s="7158"/>
      <c r="BRI15" s="7158"/>
      <c r="BRJ15" s="7158"/>
      <c r="BRK15" s="7158"/>
      <c r="BRL15" s="7159"/>
      <c r="BRM15" s="7152"/>
      <c r="BRN15" s="7153"/>
      <c r="BRO15" s="7153"/>
      <c r="BRP15" s="7153"/>
      <c r="BRQ15" s="7157"/>
      <c r="BRR15" s="7157"/>
      <c r="BRS15" s="7157"/>
      <c r="BRT15" s="7157"/>
      <c r="BRU15" s="7157"/>
      <c r="BRV15" s="7157"/>
      <c r="BRW15" s="7158"/>
      <c r="BRX15" s="7158"/>
      <c r="BRY15" s="7158"/>
      <c r="BRZ15" s="7158"/>
      <c r="BSA15" s="7158"/>
      <c r="BSB15" s="7159"/>
      <c r="BSC15" s="7152"/>
      <c r="BSD15" s="7153"/>
      <c r="BSE15" s="7153"/>
      <c r="BSF15" s="7153"/>
      <c r="BSG15" s="7157"/>
      <c r="BSH15" s="7157"/>
      <c r="BSI15" s="7157"/>
      <c r="BSJ15" s="7157"/>
      <c r="BSK15" s="7157"/>
      <c r="BSL15" s="7157"/>
      <c r="BSM15" s="7158"/>
      <c r="BSN15" s="7158"/>
      <c r="BSO15" s="7158"/>
      <c r="BSP15" s="7158"/>
      <c r="BSQ15" s="7158"/>
      <c r="BSR15" s="7159"/>
      <c r="BSS15" s="7152"/>
      <c r="BST15" s="7153"/>
      <c r="BSU15" s="7153"/>
      <c r="BSV15" s="7153"/>
      <c r="BSW15" s="7157"/>
      <c r="BSX15" s="7157"/>
      <c r="BSY15" s="7157"/>
      <c r="BSZ15" s="7157"/>
      <c r="BTA15" s="7157"/>
      <c r="BTB15" s="7157"/>
      <c r="BTC15" s="7158"/>
      <c r="BTD15" s="7158"/>
      <c r="BTE15" s="7158"/>
      <c r="BTF15" s="7158"/>
      <c r="BTG15" s="7158"/>
      <c r="BTH15" s="7159"/>
      <c r="BTI15" s="7152"/>
      <c r="BTJ15" s="7153"/>
      <c r="BTK15" s="7153"/>
      <c r="BTL15" s="7153"/>
      <c r="BTM15" s="7157"/>
      <c r="BTN15" s="7157"/>
      <c r="BTO15" s="7157"/>
      <c r="BTP15" s="7157"/>
      <c r="BTQ15" s="7157"/>
      <c r="BTR15" s="7157"/>
      <c r="BTS15" s="7158"/>
      <c r="BTT15" s="7158"/>
      <c r="BTU15" s="7158"/>
      <c r="BTV15" s="7158"/>
      <c r="BTW15" s="7158"/>
      <c r="BTX15" s="7159"/>
      <c r="BTY15" s="7152"/>
      <c r="BTZ15" s="7153"/>
      <c r="BUA15" s="7153"/>
      <c r="BUB15" s="7153"/>
      <c r="BUC15" s="7157"/>
      <c r="BUD15" s="7157"/>
      <c r="BUE15" s="7157"/>
      <c r="BUF15" s="7157"/>
      <c r="BUG15" s="7157"/>
      <c r="BUH15" s="7157"/>
      <c r="BUI15" s="7158"/>
      <c r="BUJ15" s="7158"/>
      <c r="BUK15" s="7158"/>
      <c r="BUL15" s="7158"/>
      <c r="BUM15" s="7158"/>
      <c r="BUN15" s="7159"/>
      <c r="BUO15" s="7152"/>
      <c r="BUP15" s="7153"/>
      <c r="BUQ15" s="7153"/>
      <c r="BUR15" s="7153"/>
      <c r="BUS15" s="7157"/>
      <c r="BUT15" s="7157"/>
      <c r="BUU15" s="7157"/>
      <c r="BUV15" s="7157"/>
      <c r="BUW15" s="7157"/>
      <c r="BUX15" s="7157"/>
      <c r="BUY15" s="7158"/>
      <c r="BUZ15" s="7158"/>
      <c r="BVA15" s="7158"/>
      <c r="BVB15" s="7158"/>
      <c r="BVC15" s="7158"/>
      <c r="BVD15" s="7159"/>
      <c r="BVE15" s="7152"/>
      <c r="BVF15" s="7153"/>
      <c r="BVG15" s="7153"/>
      <c r="BVH15" s="7153"/>
      <c r="BVI15" s="7157"/>
      <c r="BVJ15" s="7157"/>
      <c r="BVK15" s="7157"/>
      <c r="BVL15" s="7157"/>
      <c r="BVM15" s="7157"/>
      <c r="BVN15" s="7157"/>
      <c r="BVO15" s="7158"/>
      <c r="BVP15" s="7158"/>
      <c r="BVQ15" s="7158"/>
      <c r="BVR15" s="7158"/>
      <c r="BVS15" s="7158"/>
      <c r="BVT15" s="7159"/>
      <c r="BVU15" s="7152"/>
      <c r="BVV15" s="7153"/>
      <c r="BVW15" s="7153"/>
      <c r="BVX15" s="7153"/>
      <c r="BVY15" s="7157"/>
      <c r="BVZ15" s="7157"/>
      <c r="BWA15" s="7157"/>
      <c r="BWB15" s="7157"/>
      <c r="BWC15" s="7157"/>
      <c r="BWD15" s="7157"/>
      <c r="BWE15" s="7158"/>
      <c r="BWF15" s="7158"/>
      <c r="BWG15" s="7158"/>
      <c r="BWH15" s="7158"/>
      <c r="BWI15" s="7158"/>
      <c r="BWJ15" s="7159"/>
      <c r="BWK15" s="7152"/>
      <c r="BWL15" s="7153"/>
      <c r="BWM15" s="7153"/>
      <c r="BWN15" s="7153"/>
      <c r="BWO15" s="7157"/>
      <c r="BWP15" s="7157"/>
      <c r="BWQ15" s="7157"/>
      <c r="BWR15" s="7157"/>
      <c r="BWS15" s="7157"/>
      <c r="BWT15" s="7157"/>
      <c r="BWU15" s="7158"/>
      <c r="BWV15" s="7158"/>
      <c r="BWW15" s="7158"/>
      <c r="BWX15" s="7158"/>
      <c r="BWY15" s="7158"/>
      <c r="BWZ15" s="7159"/>
      <c r="BXA15" s="7152"/>
      <c r="BXB15" s="7153"/>
      <c r="BXC15" s="7153"/>
      <c r="BXD15" s="7153"/>
      <c r="BXE15" s="7157"/>
      <c r="BXF15" s="7157"/>
      <c r="BXG15" s="7157"/>
      <c r="BXH15" s="7157"/>
      <c r="BXI15" s="7157"/>
      <c r="BXJ15" s="7157"/>
      <c r="BXK15" s="7158"/>
      <c r="BXL15" s="7158"/>
      <c r="BXM15" s="7158"/>
      <c r="BXN15" s="7158"/>
      <c r="BXO15" s="7158"/>
      <c r="BXP15" s="7159"/>
      <c r="BXQ15" s="7152"/>
      <c r="BXR15" s="7153"/>
      <c r="BXS15" s="7153"/>
      <c r="BXT15" s="7153"/>
      <c r="BXU15" s="7157"/>
      <c r="BXV15" s="7157"/>
      <c r="BXW15" s="7157"/>
      <c r="BXX15" s="7157"/>
      <c r="BXY15" s="7157"/>
      <c r="BXZ15" s="7157"/>
      <c r="BYA15" s="7158"/>
      <c r="BYB15" s="7158"/>
      <c r="BYC15" s="7158"/>
      <c r="BYD15" s="7158"/>
      <c r="BYE15" s="7158"/>
      <c r="BYF15" s="7159"/>
      <c r="BYG15" s="7152"/>
      <c r="BYH15" s="7153"/>
      <c r="BYI15" s="7153"/>
      <c r="BYJ15" s="7153"/>
      <c r="BYK15" s="7157"/>
      <c r="BYL15" s="7157"/>
      <c r="BYM15" s="7157"/>
      <c r="BYN15" s="7157"/>
      <c r="BYO15" s="7157"/>
      <c r="BYP15" s="7157"/>
      <c r="BYQ15" s="7158"/>
      <c r="BYR15" s="7158"/>
      <c r="BYS15" s="7158"/>
      <c r="BYT15" s="7158"/>
      <c r="BYU15" s="7158"/>
      <c r="BYV15" s="7159"/>
      <c r="BYW15" s="7152"/>
      <c r="BYX15" s="7153"/>
      <c r="BYY15" s="7153"/>
      <c r="BYZ15" s="7153"/>
      <c r="BZA15" s="7157"/>
      <c r="BZB15" s="7157"/>
      <c r="BZC15" s="7157"/>
      <c r="BZD15" s="7157"/>
      <c r="BZE15" s="7157"/>
      <c r="BZF15" s="7157"/>
      <c r="BZG15" s="7158"/>
      <c r="BZH15" s="7158"/>
      <c r="BZI15" s="7158"/>
      <c r="BZJ15" s="7158"/>
      <c r="BZK15" s="7158"/>
      <c r="BZL15" s="7159"/>
      <c r="BZM15" s="7152"/>
      <c r="BZN15" s="7153"/>
      <c r="BZO15" s="7153"/>
      <c r="BZP15" s="7153"/>
      <c r="BZQ15" s="7157"/>
      <c r="BZR15" s="7157"/>
      <c r="BZS15" s="7157"/>
      <c r="BZT15" s="7157"/>
      <c r="BZU15" s="7157"/>
      <c r="BZV15" s="7157"/>
      <c r="BZW15" s="7158"/>
      <c r="BZX15" s="7158"/>
      <c r="BZY15" s="7158"/>
      <c r="BZZ15" s="7158"/>
      <c r="CAA15" s="7158"/>
      <c r="CAB15" s="7159"/>
      <c r="CAC15" s="7152"/>
      <c r="CAD15" s="7153"/>
      <c r="CAE15" s="7153"/>
      <c r="CAF15" s="7153"/>
      <c r="CAG15" s="7157"/>
      <c r="CAH15" s="7157"/>
      <c r="CAI15" s="7157"/>
      <c r="CAJ15" s="7157"/>
      <c r="CAK15" s="7157"/>
      <c r="CAL15" s="7157"/>
      <c r="CAM15" s="7158"/>
      <c r="CAN15" s="7158"/>
      <c r="CAO15" s="7158"/>
      <c r="CAP15" s="7158"/>
      <c r="CAQ15" s="7158"/>
      <c r="CAR15" s="7159"/>
      <c r="CAS15" s="7152"/>
      <c r="CAT15" s="7153"/>
      <c r="CAU15" s="7153"/>
      <c r="CAV15" s="7153"/>
      <c r="CAW15" s="7157"/>
      <c r="CAX15" s="7157"/>
      <c r="CAY15" s="7157"/>
      <c r="CAZ15" s="7157"/>
      <c r="CBA15" s="7157"/>
      <c r="CBB15" s="7157"/>
      <c r="CBC15" s="7158"/>
      <c r="CBD15" s="7158"/>
      <c r="CBE15" s="7158"/>
      <c r="CBF15" s="7158"/>
      <c r="CBG15" s="7158"/>
      <c r="CBH15" s="7159"/>
      <c r="CBI15" s="7152"/>
      <c r="CBJ15" s="7153"/>
      <c r="CBK15" s="7153"/>
      <c r="CBL15" s="7153"/>
      <c r="CBM15" s="7157"/>
      <c r="CBN15" s="7157"/>
      <c r="CBO15" s="7157"/>
      <c r="CBP15" s="7157"/>
      <c r="CBQ15" s="7157"/>
      <c r="CBR15" s="7157"/>
      <c r="CBS15" s="7158"/>
      <c r="CBT15" s="7158"/>
      <c r="CBU15" s="7158"/>
      <c r="CBV15" s="7158"/>
      <c r="CBW15" s="7158"/>
      <c r="CBX15" s="7159"/>
      <c r="CBY15" s="7152"/>
      <c r="CBZ15" s="7153"/>
      <c r="CCA15" s="7153"/>
      <c r="CCB15" s="7153"/>
      <c r="CCC15" s="7157"/>
      <c r="CCD15" s="7157"/>
      <c r="CCE15" s="7157"/>
      <c r="CCF15" s="7157"/>
      <c r="CCG15" s="7157"/>
      <c r="CCH15" s="7157"/>
      <c r="CCI15" s="7158"/>
      <c r="CCJ15" s="7158"/>
      <c r="CCK15" s="7158"/>
      <c r="CCL15" s="7158"/>
      <c r="CCM15" s="7158"/>
      <c r="CCN15" s="7159"/>
      <c r="CCO15" s="7152"/>
      <c r="CCP15" s="7153"/>
      <c r="CCQ15" s="7153"/>
      <c r="CCR15" s="7153"/>
      <c r="CCS15" s="7157"/>
      <c r="CCT15" s="7157"/>
      <c r="CCU15" s="7157"/>
      <c r="CCV15" s="7157"/>
      <c r="CCW15" s="7157"/>
      <c r="CCX15" s="7157"/>
      <c r="CCY15" s="7158"/>
      <c r="CCZ15" s="7158"/>
      <c r="CDA15" s="7158"/>
      <c r="CDB15" s="7158"/>
      <c r="CDC15" s="7158"/>
      <c r="CDD15" s="7159"/>
      <c r="CDE15" s="7152"/>
      <c r="CDF15" s="7153"/>
      <c r="CDG15" s="7153"/>
      <c r="CDH15" s="7153"/>
      <c r="CDI15" s="7157"/>
      <c r="CDJ15" s="7157"/>
      <c r="CDK15" s="7157"/>
      <c r="CDL15" s="7157"/>
      <c r="CDM15" s="7157"/>
      <c r="CDN15" s="7157"/>
      <c r="CDO15" s="7158"/>
      <c r="CDP15" s="7158"/>
      <c r="CDQ15" s="7158"/>
      <c r="CDR15" s="7158"/>
      <c r="CDS15" s="7158"/>
      <c r="CDT15" s="7159"/>
      <c r="CDU15" s="7152"/>
      <c r="CDV15" s="7153"/>
      <c r="CDW15" s="7153"/>
      <c r="CDX15" s="7153"/>
      <c r="CDY15" s="7157"/>
      <c r="CDZ15" s="7157"/>
      <c r="CEA15" s="7157"/>
      <c r="CEB15" s="7157"/>
      <c r="CEC15" s="7157"/>
      <c r="CED15" s="7157"/>
      <c r="CEE15" s="7158"/>
      <c r="CEF15" s="7158"/>
      <c r="CEG15" s="7158"/>
      <c r="CEH15" s="7158"/>
      <c r="CEI15" s="7158"/>
      <c r="CEJ15" s="7159"/>
      <c r="CEK15" s="7152"/>
      <c r="CEL15" s="7153"/>
      <c r="CEM15" s="7153"/>
      <c r="CEN15" s="7153"/>
      <c r="CEO15" s="7157"/>
      <c r="CEP15" s="7157"/>
      <c r="CEQ15" s="7157"/>
      <c r="CER15" s="7157"/>
      <c r="CES15" s="7157"/>
      <c r="CET15" s="7157"/>
      <c r="CEU15" s="7158"/>
      <c r="CEV15" s="7158"/>
      <c r="CEW15" s="7158"/>
      <c r="CEX15" s="7158"/>
      <c r="CEY15" s="7158"/>
      <c r="CEZ15" s="7159"/>
      <c r="CFA15" s="7152"/>
      <c r="CFB15" s="7153"/>
      <c r="CFC15" s="7153"/>
      <c r="CFD15" s="7153"/>
      <c r="CFE15" s="7157"/>
      <c r="CFF15" s="7157"/>
      <c r="CFG15" s="7157"/>
      <c r="CFH15" s="7157"/>
      <c r="CFI15" s="7157"/>
      <c r="CFJ15" s="7157"/>
      <c r="CFK15" s="7158"/>
      <c r="CFL15" s="7158"/>
      <c r="CFM15" s="7158"/>
      <c r="CFN15" s="7158"/>
      <c r="CFO15" s="7158"/>
      <c r="CFP15" s="7159"/>
      <c r="CFQ15" s="7152"/>
      <c r="CFR15" s="7153"/>
      <c r="CFS15" s="7153"/>
      <c r="CFT15" s="7153"/>
      <c r="CFU15" s="7157"/>
      <c r="CFV15" s="7157"/>
      <c r="CFW15" s="7157"/>
      <c r="CFX15" s="7157"/>
      <c r="CFY15" s="7157"/>
      <c r="CFZ15" s="7157"/>
      <c r="CGA15" s="7158"/>
      <c r="CGB15" s="7158"/>
      <c r="CGC15" s="7158"/>
      <c r="CGD15" s="7158"/>
      <c r="CGE15" s="7158"/>
      <c r="CGF15" s="7159"/>
      <c r="CGG15" s="7152"/>
      <c r="CGH15" s="7153"/>
      <c r="CGI15" s="7153"/>
      <c r="CGJ15" s="7153"/>
      <c r="CGK15" s="7157"/>
      <c r="CGL15" s="7157"/>
      <c r="CGM15" s="7157"/>
      <c r="CGN15" s="7157"/>
      <c r="CGO15" s="7157"/>
      <c r="CGP15" s="7157"/>
      <c r="CGQ15" s="7158"/>
      <c r="CGR15" s="7158"/>
      <c r="CGS15" s="7158"/>
      <c r="CGT15" s="7158"/>
      <c r="CGU15" s="7158"/>
      <c r="CGV15" s="7159"/>
      <c r="CGW15" s="7152"/>
      <c r="CGX15" s="7153"/>
      <c r="CGY15" s="7153"/>
      <c r="CGZ15" s="7153"/>
      <c r="CHA15" s="7157"/>
      <c r="CHB15" s="7157"/>
      <c r="CHC15" s="7157"/>
      <c r="CHD15" s="7157"/>
      <c r="CHE15" s="7157"/>
      <c r="CHF15" s="7157"/>
      <c r="CHG15" s="7158"/>
      <c r="CHH15" s="7158"/>
      <c r="CHI15" s="7158"/>
      <c r="CHJ15" s="7158"/>
      <c r="CHK15" s="7158"/>
      <c r="CHL15" s="7159"/>
      <c r="CHM15" s="7152"/>
      <c r="CHN15" s="7153"/>
      <c r="CHO15" s="7153"/>
      <c r="CHP15" s="7153"/>
      <c r="CHQ15" s="7157"/>
      <c r="CHR15" s="7157"/>
      <c r="CHS15" s="7157"/>
      <c r="CHT15" s="7157"/>
      <c r="CHU15" s="7157"/>
      <c r="CHV15" s="7157"/>
      <c r="CHW15" s="7158"/>
      <c r="CHX15" s="7158"/>
      <c r="CHY15" s="7158"/>
      <c r="CHZ15" s="7158"/>
      <c r="CIA15" s="7158"/>
      <c r="CIB15" s="7159"/>
      <c r="CIC15" s="7152"/>
      <c r="CID15" s="7153"/>
      <c r="CIE15" s="7153"/>
      <c r="CIF15" s="7153"/>
      <c r="CIG15" s="7157"/>
      <c r="CIH15" s="7157"/>
      <c r="CII15" s="7157"/>
      <c r="CIJ15" s="7157"/>
      <c r="CIK15" s="7157"/>
      <c r="CIL15" s="7157"/>
      <c r="CIM15" s="7158"/>
      <c r="CIN15" s="7158"/>
      <c r="CIO15" s="7158"/>
      <c r="CIP15" s="7158"/>
      <c r="CIQ15" s="7158"/>
      <c r="CIR15" s="7159"/>
      <c r="CIS15" s="7152"/>
      <c r="CIT15" s="7153"/>
      <c r="CIU15" s="7153"/>
      <c r="CIV15" s="7153"/>
      <c r="CIW15" s="7157"/>
      <c r="CIX15" s="7157"/>
      <c r="CIY15" s="7157"/>
      <c r="CIZ15" s="7157"/>
      <c r="CJA15" s="7157"/>
      <c r="CJB15" s="7157"/>
      <c r="CJC15" s="7158"/>
      <c r="CJD15" s="7158"/>
      <c r="CJE15" s="7158"/>
      <c r="CJF15" s="7158"/>
      <c r="CJG15" s="7158"/>
      <c r="CJH15" s="7159"/>
      <c r="CJI15" s="7152"/>
      <c r="CJJ15" s="7153"/>
      <c r="CJK15" s="7153"/>
      <c r="CJL15" s="7153"/>
      <c r="CJM15" s="7157"/>
      <c r="CJN15" s="7157"/>
      <c r="CJO15" s="7157"/>
      <c r="CJP15" s="7157"/>
      <c r="CJQ15" s="7157"/>
      <c r="CJR15" s="7157"/>
      <c r="CJS15" s="7158"/>
      <c r="CJT15" s="7158"/>
      <c r="CJU15" s="7158"/>
      <c r="CJV15" s="7158"/>
      <c r="CJW15" s="7158"/>
      <c r="CJX15" s="7159"/>
      <c r="CJY15" s="7152"/>
      <c r="CJZ15" s="7153"/>
      <c r="CKA15" s="7153"/>
      <c r="CKB15" s="7153"/>
      <c r="CKC15" s="7157"/>
      <c r="CKD15" s="7157"/>
      <c r="CKE15" s="7157"/>
      <c r="CKF15" s="7157"/>
      <c r="CKG15" s="7157"/>
      <c r="CKH15" s="7157"/>
      <c r="CKI15" s="7158"/>
      <c r="CKJ15" s="7158"/>
      <c r="CKK15" s="7158"/>
      <c r="CKL15" s="7158"/>
      <c r="CKM15" s="7158"/>
      <c r="CKN15" s="7159"/>
      <c r="CKO15" s="7152"/>
      <c r="CKP15" s="7153"/>
      <c r="CKQ15" s="7153"/>
      <c r="CKR15" s="7153"/>
      <c r="CKS15" s="7157"/>
      <c r="CKT15" s="7157"/>
      <c r="CKU15" s="7157"/>
      <c r="CKV15" s="7157"/>
      <c r="CKW15" s="7157"/>
      <c r="CKX15" s="7157"/>
      <c r="CKY15" s="7158"/>
      <c r="CKZ15" s="7158"/>
      <c r="CLA15" s="7158"/>
      <c r="CLB15" s="7158"/>
      <c r="CLC15" s="7158"/>
      <c r="CLD15" s="7159"/>
      <c r="CLE15" s="7152"/>
      <c r="CLF15" s="7153"/>
      <c r="CLG15" s="7153"/>
      <c r="CLH15" s="7153"/>
      <c r="CLI15" s="7157"/>
      <c r="CLJ15" s="7157"/>
      <c r="CLK15" s="7157"/>
      <c r="CLL15" s="7157"/>
      <c r="CLM15" s="7157"/>
      <c r="CLN15" s="7157"/>
      <c r="CLO15" s="7158"/>
      <c r="CLP15" s="7158"/>
      <c r="CLQ15" s="7158"/>
      <c r="CLR15" s="7158"/>
      <c r="CLS15" s="7158"/>
      <c r="CLT15" s="7159"/>
      <c r="CLU15" s="7152"/>
      <c r="CLV15" s="7153"/>
      <c r="CLW15" s="7153"/>
      <c r="CLX15" s="7153"/>
      <c r="CLY15" s="7157"/>
      <c r="CLZ15" s="7157"/>
      <c r="CMA15" s="7157"/>
      <c r="CMB15" s="7157"/>
      <c r="CMC15" s="7157"/>
      <c r="CMD15" s="7157"/>
      <c r="CME15" s="7158"/>
      <c r="CMF15" s="7158"/>
      <c r="CMG15" s="7158"/>
      <c r="CMH15" s="7158"/>
      <c r="CMI15" s="7158"/>
      <c r="CMJ15" s="7159"/>
      <c r="CMK15" s="7152"/>
      <c r="CML15" s="7153"/>
      <c r="CMM15" s="7153"/>
      <c r="CMN15" s="7153"/>
      <c r="CMO15" s="7157"/>
      <c r="CMP15" s="7157"/>
      <c r="CMQ15" s="7157"/>
      <c r="CMR15" s="7157"/>
      <c r="CMS15" s="7157"/>
      <c r="CMT15" s="7157"/>
      <c r="CMU15" s="7158"/>
      <c r="CMV15" s="7158"/>
      <c r="CMW15" s="7158"/>
      <c r="CMX15" s="7158"/>
      <c r="CMY15" s="7158"/>
      <c r="CMZ15" s="7159"/>
      <c r="CNA15" s="7152"/>
      <c r="CNB15" s="7153"/>
      <c r="CNC15" s="7153"/>
      <c r="CND15" s="7153"/>
      <c r="CNE15" s="7157"/>
      <c r="CNF15" s="7157"/>
      <c r="CNG15" s="7157"/>
      <c r="CNH15" s="7157"/>
      <c r="CNI15" s="7157"/>
      <c r="CNJ15" s="7157"/>
      <c r="CNK15" s="7158"/>
      <c r="CNL15" s="7158"/>
      <c r="CNM15" s="7158"/>
      <c r="CNN15" s="7158"/>
      <c r="CNO15" s="7158"/>
      <c r="CNP15" s="7159"/>
      <c r="CNQ15" s="7152"/>
      <c r="CNR15" s="7153"/>
      <c r="CNS15" s="7153"/>
      <c r="CNT15" s="7153"/>
      <c r="CNU15" s="7157"/>
      <c r="CNV15" s="7157"/>
      <c r="CNW15" s="7157"/>
      <c r="CNX15" s="7157"/>
      <c r="CNY15" s="7157"/>
      <c r="CNZ15" s="7157"/>
      <c r="COA15" s="7158"/>
      <c r="COB15" s="7158"/>
      <c r="COC15" s="7158"/>
      <c r="COD15" s="7158"/>
      <c r="COE15" s="7158"/>
      <c r="COF15" s="7159"/>
      <c r="COG15" s="7152"/>
      <c r="COH15" s="7153"/>
      <c r="COI15" s="7153"/>
      <c r="COJ15" s="7153"/>
      <c r="COK15" s="7157"/>
      <c r="COL15" s="7157"/>
      <c r="COM15" s="7157"/>
      <c r="CON15" s="7157"/>
      <c r="COO15" s="7157"/>
      <c r="COP15" s="7157"/>
      <c r="COQ15" s="7158"/>
      <c r="COR15" s="7158"/>
      <c r="COS15" s="7158"/>
      <c r="COT15" s="7158"/>
      <c r="COU15" s="7158"/>
      <c r="COV15" s="7159"/>
      <c r="COW15" s="7152"/>
      <c r="COX15" s="7153"/>
      <c r="COY15" s="7153"/>
      <c r="COZ15" s="7153"/>
      <c r="CPA15" s="7157"/>
      <c r="CPB15" s="7157"/>
      <c r="CPC15" s="7157"/>
      <c r="CPD15" s="7157"/>
      <c r="CPE15" s="7157"/>
      <c r="CPF15" s="7157"/>
      <c r="CPG15" s="7158"/>
      <c r="CPH15" s="7158"/>
      <c r="CPI15" s="7158"/>
      <c r="CPJ15" s="7158"/>
      <c r="CPK15" s="7158"/>
      <c r="CPL15" s="7159"/>
      <c r="CPM15" s="7152"/>
      <c r="CPN15" s="7153"/>
      <c r="CPO15" s="7153"/>
      <c r="CPP15" s="7153"/>
      <c r="CPQ15" s="7157"/>
      <c r="CPR15" s="7157"/>
      <c r="CPS15" s="7157"/>
      <c r="CPT15" s="7157"/>
      <c r="CPU15" s="7157"/>
      <c r="CPV15" s="7157"/>
      <c r="CPW15" s="7158"/>
      <c r="CPX15" s="7158"/>
      <c r="CPY15" s="7158"/>
      <c r="CPZ15" s="7158"/>
      <c r="CQA15" s="7158"/>
      <c r="CQB15" s="7159"/>
      <c r="CQC15" s="7152"/>
      <c r="CQD15" s="7153"/>
      <c r="CQE15" s="7153"/>
      <c r="CQF15" s="7153"/>
      <c r="CQG15" s="7157"/>
      <c r="CQH15" s="7157"/>
      <c r="CQI15" s="7157"/>
      <c r="CQJ15" s="7157"/>
      <c r="CQK15" s="7157"/>
      <c r="CQL15" s="7157"/>
      <c r="CQM15" s="7158"/>
      <c r="CQN15" s="7158"/>
      <c r="CQO15" s="7158"/>
      <c r="CQP15" s="7158"/>
      <c r="CQQ15" s="7158"/>
      <c r="CQR15" s="7159"/>
      <c r="CQS15" s="7152"/>
      <c r="CQT15" s="7153"/>
      <c r="CQU15" s="7153"/>
      <c r="CQV15" s="7153"/>
      <c r="CQW15" s="7157"/>
      <c r="CQX15" s="7157"/>
      <c r="CQY15" s="7157"/>
      <c r="CQZ15" s="7157"/>
      <c r="CRA15" s="7157"/>
      <c r="CRB15" s="7157"/>
      <c r="CRC15" s="7158"/>
      <c r="CRD15" s="7158"/>
      <c r="CRE15" s="7158"/>
      <c r="CRF15" s="7158"/>
      <c r="CRG15" s="7158"/>
      <c r="CRH15" s="7159"/>
      <c r="CRI15" s="7152"/>
      <c r="CRJ15" s="7153"/>
      <c r="CRK15" s="7153"/>
      <c r="CRL15" s="7153"/>
      <c r="CRM15" s="7157"/>
      <c r="CRN15" s="7157"/>
      <c r="CRO15" s="7157"/>
      <c r="CRP15" s="7157"/>
      <c r="CRQ15" s="7157"/>
      <c r="CRR15" s="7157"/>
      <c r="CRS15" s="7158"/>
      <c r="CRT15" s="7158"/>
      <c r="CRU15" s="7158"/>
      <c r="CRV15" s="7158"/>
      <c r="CRW15" s="7158"/>
      <c r="CRX15" s="7159"/>
      <c r="CRY15" s="7152"/>
      <c r="CRZ15" s="7153"/>
      <c r="CSA15" s="7153"/>
      <c r="CSB15" s="7153"/>
      <c r="CSC15" s="7157"/>
      <c r="CSD15" s="7157"/>
      <c r="CSE15" s="7157"/>
      <c r="CSF15" s="7157"/>
      <c r="CSG15" s="7157"/>
      <c r="CSH15" s="7157"/>
      <c r="CSI15" s="7158"/>
      <c r="CSJ15" s="7158"/>
      <c r="CSK15" s="7158"/>
      <c r="CSL15" s="7158"/>
      <c r="CSM15" s="7158"/>
      <c r="CSN15" s="7159"/>
      <c r="CSO15" s="7152"/>
      <c r="CSP15" s="7153"/>
      <c r="CSQ15" s="7153"/>
      <c r="CSR15" s="7153"/>
      <c r="CSS15" s="7157"/>
      <c r="CST15" s="7157"/>
      <c r="CSU15" s="7157"/>
      <c r="CSV15" s="7157"/>
      <c r="CSW15" s="7157"/>
      <c r="CSX15" s="7157"/>
      <c r="CSY15" s="7158"/>
      <c r="CSZ15" s="7158"/>
      <c r="CTA15" s="7158"/>
      <c r="CTB15" s="7158"/>
      <c r="CTC15" s="7158"/>
      <c r="CTD15" s="7159"/>
      <c r="CTE15" s="7152"/>
      <c r="CTF15" s="7153"/>
      <c r="CTG15" s="7153"/>
      <c r="CTH15" s="7153"/>
      <c r="CTI15" s="7157"/>
      <c r="CTJ15" s="7157"/>
      <c r="CTK15" s="7157"/>
      <c r="CTL15" s="7157"/>
      <c r="CTM15" s="7157"/>
      <c r="CTN15" s="7157"/>
      <c r="CTO15" s="7158"/>
      <c r="CTP15" s="7158"/>
      <c r="CTQ15" s="7158"/>
      <c r="CTR15" s="7158"/>
      <c r="CTS15" s="7158"/>
      <c r="CTT15" s="7159"/>
      <c r="CTU15" s="7152"/>
      <c r="CTV15" s="7153"/>
      <c r="CTW15" s="7153"/>
      <c r="CTX15" s="7153"/>
      <c r="CTY15" s="7157"/>
      <c r="CTZ15" s="7157"/>
      <c r="CUA15" s="7157"/>
      <c r="CUB15" s="7157"/>
      <c r="CUC15" s="7157"/>
      <c r="CUD15" s="7157"/>
      <c r="CUE15" s="7158"/>
      <c r="CUF15" s="7158"/>
      <c r="CUG15" s="7158"/>
      <c r="CUH15" s="7158"/>
      <c r="CUI15" s="7158"/>
      <c r="CUJ15" s="7159"/>
      <c r="CUK15" s="7152"/>
      <c r="CUL15" s="7153"/>
      <c r="CUM15" s="7153"/>
      <c r="CUN15" s="7153"/>
      <c r="CUO15" s="7157"/>
      <c r="CUP15" s="7157"/>
      <c r="CUQ15" s="7157"/>
      <c r="CUR15" s="7157"/>
      <c r="CUS15" s="7157"/>
      <c r="CUT15" s="7157"/>
      <c r="CUU15" s="7158"/>
      <c r="CUV15" s="7158"/>
      <c r="CUW15" s="7158"/>
      <c r="CUX15" s="7158"/>
      <c r="CUY15" s="7158"/>
      <c r="CUZ15" s="7159"/>
      <c r="CVA15" s="7152"/>
      <c r="CVB15" s="7153"/>
      <c r="CVC15" s="7153"/>
      <c r="CVD15" s="7153"/>
      <c r="CVE15" s="7157"/>
      <c r="CVF15" s="7157"/>
      <c r="CVG15" s="7157"/>
      <c r="CVH15" s="7157"/>
      <c r="CVI15" s="7157"/>
      <c r="CVJ15" s="7157"/>
      <c r="CVK15" s="7158"/>
      <c r="CVL15" s="7158"/>
      <c r="CVM15" s="7158"/>
      <c r="CVN15" s="7158"/>
      <c r="CVO15" s="7158"/>
      <c r="CVP15" s="7159"/>
      <c r="CVQ15" s="7152"/>
      <c r="CVR15" s="7153"/>
      <c r="CVS15" s="7153"/>
      <c r="CVT15" s="7153"/>
      <c r="CVU15" s="7157"/>
      <c r="CVV15" s="7157"/>
      <c r="CVW15" s="7157"/>
      <c r="CVX15" s="7157"/>
      <c r="CVY15" s="7157"/>
      <c r="CVZ15" s="7157"/>
      <c r="CWA15" s="7158"/>
      <c r="CWB15" s="7158"/>
      <c r="CWC15" s="7158"/>
      <c r="CWD15" s="7158"/>
      <c r="CWE15" s="7158"/>
      <c r="CWF15" s="7159"/>
      <c r="CWG15" s="7152"/>
      <c r="CWH15" s="7153"/>
      <c r="CWI15" s="7153"/>
      <c r="CWJ15" s="7153"/>
      <c r="CWK15" s="7157"/>
      <c r="CWL15" s="7157"/>
      <c r="CWM15" s="7157"/>
      <c r="CWN15" s="7157"/>
      <c r="CWO15" s="7157"/>
      <c r="CWP15" s="7157"/>
      <c r="CWQ15" s="7158"/>
      <c r="CWR15" s="7158"/>
      <c r="CWS15" s="7158"/>
      <c r="CWT15" s="7158"/>
      <c r="CWU15" s="7158"/>
      <c r="CWV15" s="7159"/>
      <c r="CWW15" s="7152"/>
      <c r="CWX15" s="7153"/>
      <c r="CWY15" s="7153"/>
      <c r="CWZ15" s="7153"/>
      <c r="CXA15" s="7157"/>
      <c r="CXB15" s="7157"/>
      <c r="CXC15" s="7157"/>
      <c r="CXD15" s="7157"/>
      <c r="CXE15" s="7157"/>
      <c r="CXF15" s="7157"/>
      <c r="CXG15" s="7158"/>
      <c r="CXH15" s="7158"/>
      <c r="CXI15" s="7158"/>
      <c r="CXJ15" s="7158"/>
      <c r="CXK15" s="7158"/>
      <c r="CXL15" s="7159"/>
      <c r="CXM15" s="7152"/>
      <c r="CXN15" s="7153"/>
      <c r="CXO15" s="7153"/>
      <c r="CXP15" s="7153"/>
      <c r="CXQ15" s="7157"/>
      <c r="CXR15" s="7157"/>
      <c r="CXS15" s="7157"/>
      <c r="CXT15" s="7157"/>
      <c r="CXU15" s="7157"/>
      <c r="CXV15" s="7157"/>
      <c r="CXW15" s="7158"/>
      <c r="CXX15" s="7158"/>
      <c r="CXY15" s="7158"/>
      <c r="CXZ15" s="7158"/>
      <c r="CYA15" s="7158"/>
      <c r="CYB15" s="7159"/>
      <c r="CYC15" s="7152"/>
      <c r="CYD15" s="7153"/>
      <c r="CYE15" s="7153"/>
      <c r="CYF15" s="7153"/>
      <c r="CYG15" s="7157"/>
      <c r="CYH15" s="7157"/>
      <c r="CYI15" s="7157"/>
      <c r="CYJ15" s="7157"/>
      <c r="CYK15" s="7157"/>
      <c r="CYL15" s="7157"/>
      <c r="CYM15" s="7158"/>
      <c r="CYN15" s="7158"/>
      <c r="CYO15" s="7158"/>
      <c r="CYP15" s="7158"/>
      <c r="CYQ15" s="7158"/>
      <c r="CYR15" s="7159"/>
      <c r="CYS15" s="7152"/>
      <c r="CYT15" s="7153"/>
      <c r="CYU15" s="7153"/>
      <c r="CYV15" s="7153"/>
      <c r="CYW15" s="7157"/>
      <c r="CYX15" s="7157"/>
      <c r="CYY15" s="7157"/>
      <c r="CYZ15" s="7157"/>
      <c r="CZA15" s="7157"/>
      <c r="CZB15" s="7157"/>
      <c r="CZC15" s="7158"/>
      <c r="CZD15" s="7158"/>
      <c r="CZE15" s="7158"/>
      <c r="CZF15" s="7158"/>
      <c r="CZG15" s="7158"/>
      <c r="CZH15" s="7159"/>
      <c r="CZI15" s="7152"/>
      <c r="CZJ15" s="7153"/>
      <c r="CZK15" s="7153"/>
      <c r="CZL15" s="7153"/>
      <c r="CZM15" s="7157"/>
      <c r="CZN15" s="7157"/>
      <c r="CZO15" s="7157"/>
      <c r="CZP15" s="7157"/>
      <c r="CZQ15" s="7157"/>
      <c r="CZR15" s="7157"/>
      <c r="CZS15" s="7158"/>
      <c r="CZT15" s="7158"/>
      <c r="CZU15" s="7158"/>
      <c r="CZV15" s="7158"/>
      <c r="CZW15" s="7158"/>
      <c r="CZX15" s="7159"/>
      <c r="CZY15" s="7152"/>
      <c r="CZZ15" s="7153"/>
      <c r="DAA15" s="7153"/>
      <c r="DAB15" s="7153"/>
      <c r="DAC15" s="7157"/>
      <c r="DAD15" s="7157"/>
      <c r="DAE15" s="7157"/>
      <c r="DAF15" s="7157"/>
      <c r="DAG15" s="7157"/>
      <c r="DAH15" s="7157"/>
      <c r="DAI15" s="7158"/>
      <c r="DAJ15" s="7158"/>
      <c r="DAK15" s="7158"/>
      <c r="DAL15" s="7158"/>
      <c r="DAM15" s="7158"/>
      <c r="DAN15" s="7159"/>
      <c r="DAO15" s="7152"/>
      <c r="DAP15" s="7153"/>
      <c r="DAQ15" s="7153"/>
      <c r="DAR15" s="7153"/>
      <c r="DAS15" s="7157"/>
      <c r="DAT15" s="7157"/>
      <c r="DAU15" s="7157"/>
      <c r="DAV15" s="7157"/>
      <c r="DAW15" s="7157"/>
      <c r="DAX15" s="7157"/>
      <c r="DAY15" s="7158"/>
      <c r="DAZ15" s="7158"/>
      <c r="DBA15" s="7158"/>
      <c r="DBB15" s="7158"/>
      <c r="DBC15" s="7158"/>
      <c r="DBD15" s="7159"/>
      <c r="DBE15" s="7152"/>
      <c r="DBF15" s="7153"/>
      <c r="DBG15" s="7153"/>
      <c r="DBH15" s="7153"/>
      <c r="DBI15" s="7157"/>
      <c r="DBJ15" s="7157"/>
      <c r="DBK15" s="7157"/>
      <c r="DBL15" s="7157"/>
      <c r="DBM15" s="7157"/>
      <c r="DBN15" s="7157"/>
      <c r="DBO15" s="7158"/>
      <c r="DBP15" s="7158"/>
      <c r="DBQ15" s="7158"/>
      <c r="DBR15" s="7158"/>
      <c r="DBS15" s="7158"/>
      <c r="DBT15" s="7159"/>
      <c r="DBU15" s="7152"/>
      <c r="DBV15" s="7153"/>
      <c r="DBW15" s="7153"/>
      <c r="DBX15" s="7153"/>
      <c r="DBY15" s="7157"/>
      <c r="DBZ15" s="7157"/>
      <c r="DCA15" s="7157"/>
      <c r="DCB15" s="7157"/>
      <c r="DCC15" s="7157"/>
      <c r="DCD15" s="7157"/>
      <c r="DCE15" s="7158"/>
      <c r="DCF15" s="7158"/>
      <c r="DCG15" s="7158"/>
      <c r="DCH15" s="7158"/>
      <c r="DCI15" s="7158"/>
      <c r="DCJ15" s="7159"/>
      <c r="DCK15" s="7152"/>
      <c r="DCL15" s="7153"/>
      <c r="DCM15" s="7153"/>
      <c r="DCN15" s="7153"/>
      <c r="DCO15" s="7157"/>
      <c r="DCP15" s="7157"/>
      <c r="DCQ15" s="7157"/>
      <c r="DCR15" s="7157"/>
      <c r="DCS15" s="7157"/>
      <c r="DCT15" s="7157"/>
      <c r="DCU15" s="7158"/>
      <c r="DCV15" s="7158"/>
      <c r="DCW15" s="7158"/>
      <c r="DCX15" s="7158"/>
      <c r="DCY15" s="7158"/>
      <c r="DCZ15" s="7159"/>
      <c r="DDA15" s="7152"/>
      <c r="DDB15" s="7153"/>
      <c r="DDC15" s="7153"/>
      <c r="DDD15" s="7153"/>
      <c r="DDE15" s="7157"/>
      <c r="DDF15" s="7157"/>
      <c r="DDG15" s="7157"/>
      <c r="DDH15" s="7157"/>
      <c r="DDI15" s="7157"/>
      <c r="DDJ15" s="7157"/>
      <c r="DDK15" s="7158"/>
      <c r="DDL15" s="7158"/>
      <c r="DDM15" s="7158"/>
      <c r="DDN15" s="7158"/>
      <c r="DDO15" s="7158"/>
      <c r="DDP15" s="7159"/>
      <c r="DDQ15" s="7152"/>
      <c r="DDR15" s="7153"/>
      <c r="DDS15" s="7153"/>
      <c r="DDT15" s="7153"/>
      <c r="DDU15" s="7157"/>
      <c r="DDV15" s="7157"/>
      <c r="DDW15" s="7157"/>
      <c r="DDX15" s="7157"/>
      <c r="DDY15" s="7157"/>
      <c r="DDZ15" s="7157"/>
      <c r="DEA15" s="7158"/>
      <c r="DEB15" s="7158"/>
      <c r="DEC15" s="7158"/>
      <c r="DED15" s="7158"/>
      <c r="DEE15" s="7158"/>
      <c r="DEF15" s="7159"/>
      <c r="DEG15" s="7152"/>
      <c r="DEH15" s="7153"/>
      <c r="DEI15" s="7153"/>
      <c r="DEJ15" s="7153"/>
      <c r="DEK15" s="7157"/>
      <c r="DEL15" s="7157"/>
      <c r="DEM15" s="7157"/>
      <c r="DEN15" s="7157"/>
      <c r="DEO15" s="7157"/>
      <c r="DEP15" s="7157"/>
      <c r="DEQ15" s="7158"/>
      <c r="DER15" s="7158"/>
      <c r="DES15" s="7158"/>
      <c r="DET15" s="7158"/>
      <c r="DEU15" s="7158"/>
      <c r="DEV15" s="7159"/>
      <c r="DEW15" s="7152"/>
      <c r="DEX15" s="7153"/>
      <c r="DEY15" s="7153"/>
      <c r="DEZ15" s="7153"/>
      <c r="DFA15" s="7157"/>
      <c r="DFB15" s="7157"/>
      <c r="DFC15" s="7157"/>
      <c r="DFD15" s="7157"/>
      <c r="DFE15" s="7157"/>
      <c r="DFF15" s="7157"/>
      <c r="DFG15" s="7158"/>
      <c r="DFH15" s="7158"/>
      <c r="DFI15" s="7158"/>
      <c r="DFJ15" s="7158"/>
      <c r="DFK15" s="7158"/>
      <c r="DFL15" s="7159"/>
      <c r="DFM15" s="7152"/>
      <c r="DFN15" s="7153"/>
      <c r="DFO15" s="7153"/>
      <c r="DFP15" s="7153"/>
      <c r="DFQ15" s="7157"/>
      <c r="DFR15" s="7157"/>
      <c r="DFS15" s="7157"/>
      <c r="DFT15" s="7157"/>
      <c r="DFU15" s="7157"/>
      <c r="DFV15" s="7157"/>
      <c r="DFW15" s="7158"/>
      <c r="DFX15" s="7158"/>
      <c r="DFY15" s="7158"/>
      <c r="DFZ15" s="7158"/>
      <c r="DGA15" s="7158"/>
      <c r="DGB15" s="7159"/>
      <c r="DGC15" s="7152"/>
      <c r="DGD15" s="7153"/>
      <c r="DGE15" s="7153"/>
      <c r="DGF15" s="7153"/>
      <c r="DGG15" s="7157"/>
      <c r="DGH15" s="7157"/>
      <c r="DGI15" s="7157"/>
      <c r="DGJ15" s="7157"/>
      <c r="DGK15" s="7157"/>
      <c r="DGL15" s="7157"/>
      <c r="DGM15" s="7158"/>
      <c r="DGN15" s="7158"/>
      <c r="DGO15" s="7158"/>
      <c r="DGP15" s="7158"/>
      <c r="DGQ15" s="7158"/>
      <c r="DGR15" s="7159"/>
      <c r="DGS15" s="7152"/>
      <c r="DGT15" s="7153"/>
      <c r="DGU15" s="7153"/>
      <c r="DGV15" s="7153"/>
      <c r="DGW15" s="7157"/>
      <c r="DGX15" s="7157"/>
      <c r="DGY15" s="7157"/>
      <c r="DGZ15" s="7157"/>
      <c r="DHA15" s="7157"/>
      <c r="DHB15" s="7157"/>
      <c r="DHC15" s="7158"/>
      <c r="DHD15" s="7158"/>
      <c r="DHE15" s="7158"/>
      <c r="DHF15" s="7158"/>
      <c r="DHG15" s="7158"/>
      <c r="DHH15" s="7159"/>
      <c r="DHI15" s="7152"/>
      <c r="DHJ15" s="7153"/>
      <c r="DHK15" s="7153"/>
      <c r="DHL15" s="7153"/>
      <c r="DHM15" s="7157"/>
      <c r="DHN15" s="7157"/>
      <c r="DHO15" s="7157"/>
      <c r="DHP15" s="7157"/>
      <c r="DHQ15" s="7157"/>
      <c r="DHR15" s="7157"/>
      <c r="DHS15" s="7158"/>
      <c r="DHT15" s="7158"/>
      <c r="DHU15" s="7158"/>
      <c r="DHV15" s="7158"/>
      <c r="DHW15" s="7158"/>
      <c r="DHX15" s="7159"/>
      <c r="DHY15" s="7152"/>
      <c r="DHZ15" s="7153"/>
      <c r="DIA15" s="7153"/>
      <c r="DIB15" s="7153"/>
      <c r="DIC15" s="7157"/>
      <c r="DID15" s="7157"/>
      <c r="DIE15" s="7157"/>
      <c r="DIF15" s="7157"/>
      <c r="DIG15" s="7157"/>
      <c r="DIH15" s="7157"/>
      <c r="DII15" s="7158"/>
      <c r="DIJ15" s="7158"/>
      <c r="DIK15" s="7158"/>
      <c r="DIL15" s="7158"/>
      <c r="DIM15" s="7158"/>
      <c r="DIN15" s="7159"/>
      <c r="DIO15" s="7152"/>
      <c r="DIP15" s="7153"/>
      <c r="DIQ15" s="7153"/>
      <c r="DIR15" s="7153"/>
      <c r="DIS15" s="7157"/>
      <c r="DIT15" s="7157"/>
      <c r="DIU15" s="7157"/>
      <c r="DIV15" s="7157"/>
      <c r="DIW15" s="7157"/>
      <c r="DIX15" s="7157"/>
      <c r="DIY15" s="7158"/>
      <c r="DIZ15" s="7158"/>
      <c r="DJA15" s="7158"/>
      <c r="DJB15" s="7158"/>
      <c r="DJC15" s="7158"/>
      <c r="DJD15" s="7159"/>
      <c r="DJE15" s="7152"/>
      <c r="DJF15" s="7153"/>
      <c r="DJG15" s="7153"/>
      <c r="DJH15" s="7153"/>
      <c r="DJI15" s="7157"/>
      <c r="DJJ15" s="7157"/>
      <c r="DJK15" s="7157"/>
      <c r="DJL15" s="7157"/>
      <c r="DJM15" s="7157"/>
      <c r="DJN15" s="7157"/>
      <c r="DJO15" s="7158"/>
      <c r="DJP15" s="7158"/>
      <c r="DJQ15" s="7158"/>
      <c r="DJR15" s="7158"/>
      <c r="DJS15" s="7158"/>
      <c r="DJT15" s="7159"/>
      <c r="DJU15" s="7152"/>
      <c r="DJV15" s="7153"/>
      <c r="DJW15" s="7153"/>
      <c r="DJX15" s="7153"/>
      <c r="DJY15" s="7157"/>
      <c r="DJZ15" s="7157"/>
      <c r="DKA15" s="7157"/>
      <c r="DKB15" s="7157"/>
      <c r="DKC15" s="7157"/>
      <c r="DKD15" s="7157"/>
      <c r="DKE15" s="7158"/>
      <c r="DKF15" s="7158"/>
      <c r="DKG15" s="7158"/>
      <c r="DKH15" s="7158"/>
      <c r="DKI15" s="7158"/>
      <c r="DKJ15" s="7159"/>
      <c r="DKK15" s="7152"/>
      <c r="DKL15" s="7153"/>
      <c r="DKM15" s="7153"/>
      <c r="DKN15" s="7153"/>
      <c r="DKO15" s="7157"/>
      <c r="DKP15" s="7157"/>
      <c r="DKQ15" s="7157"/>
      <c r="DKR15" s="7157"/>
      <c r="DKS15" s="7157"/>
      <c r="DKT15" s="7157"/>
      <c r="DKU15" s="7158"/>
      <c r="DKV15" s="7158"/>
      <c r="DKW15" s="7158"/>
      <c r="DKX15" s="7158"/>
      <c r="DKY15" s="7158"/>
      <c r="DKZ15" s="7159"/>
      <c r="DLA15" s="7152"/>
      <c r="DLB15" s="7153"/>
      <c r="DLC15" s="7153"/>
      <c r="DLD15" s="7153"/>
      <c r="DLE15" s="7157"/>
      <c r="DLF15" s="7157"/>
      <c r="DLG15" s="7157"/>
      <c r="DLH15" s="7157"/>
      <c r="DLI15" s="7157"/>
      <c r="DLJ15" s="7157"/>
      <c r="DLK15" s="7158"/>
      <c r="DLL15" s="7158"/>
      <c r="DLM15" s="7158"/>
      <c r="DLN15" s="7158"/>
      <c r="DLO15" s="7158"/>
      <c r="DLP15" s="7159"/>
      <c r="DLQ15" s="7152"/>
      <c r="DLR15" s="7153"/>
      <c r="DLS15" s="7153"/>
      <c r="DLT15" s="7153"/>
      <c r="DLU15" s="7157"/>
      <c r="DLV15" s="7157"/>
      <c r="DLW15" s="7157"/>
      <c r="DLX15" s="7157"/>
      <c r="DLY15" s="7157"/>
      <c r="DLZ15" s="7157"/>
      <c r="DMA15" s="7158"/>
      <c r="DMB15" s="7158"/>
      <c r="DMC15" s="7158"/>
      <c r="DMD15" s="7158"/>
      <c r="DME15" s="7158"/>
      <c r="DMF15" s="7159"/>
      <c r="DMG15" s="7152"/>
      <c r="DMH15" s="7153"/>
      <c r="DMI15" s="7153"/>
      <c r="DMJ15" s="7153"/>
      <c r="DMK15" s="7157"/>
      <c r="DML15" s="7157"/>
      <c r="DMM15" s="7157"/>
      <c r="DMN15" s="7157"/>
      <c r="DMO15" s="7157"/>
      <c r="DMP15" s="7157"/>
      <c r="DMQ15" s="7158"/>
      <c r="DMR15" s="7158"/>
      <c r="DMS15" s="7158"/>
      <c r="DMT15" s="7158"/>
      <c r="DMU15" s="7158"/>
      <c r="DMV15" s="7159"/>
      <c r="DMW15" s="7152"/>
      <c r="DMX15" s="7153"/>
      <c r="DMY15" s="7153"/>
      <c r="DMZ15" s="7153"/>
      <c r="DNA15" s="7157"/>
      <c r="DNB15" s="7157"/>
      <c r="DNC15" s="7157"/>
      <c r="DND15" s="7157"/>
      <c r="DNE15" s="7157"/>
      <c r="DNF15" s="7157"/>
      <c r="DNG15" s="7158"/>
      <c r="DNH15" s="7158"/>
      <c r="DNI15" s="7158"/>
      <c r="DNJ15" s="7158"/>
      <c r="DNK15" s="7158"/>
      <c r="DNL15" s="7159"/>
      <c r="DNM15" s="7152"/>
      <c r="DNN15" s="7153"/>
      <c r="DNO15" s="7153"/>
      <c r="DNP15" s="7153"/>
      <c r="DNQ15" s="7157"/>
      <c r="DNR15" s="7157"/>
      <c r="DNS15" s="7157"/>
      <c r="DNT15" s="7157"/>
      <c r="DNU15" s="7157"/>
      <c r="DNV15" s="7157"/>
      <c r="DNW15" s="7158"/>
      <c r="DNX15" s="7158"/>
      <c r="DNY15" s="7158"/>
      <c r="DNZ15" s="7158"/>
      <c r="DOA15" s="7158"/>
      <c r="DOB15" s="7159"/>
      <c r="DOC15" s="7152"/>
      <c r="DOD15" s="7153"/>
      <c r="DOE15" s="7153"/>
      <c r="DOF15" s="7153"/>
      <c r="DOG15" s="7157"/>
      <c r="DOH15" s="7157"/>
      <c r="DOI15" s="7157"/>
      <c r="DOJ15" s="7157"/>
      <c r="DOK15" s="7157"/>
      <c r="DOL15" s="7157"/>
      <c r="DOM15" s="7158"/>
      <c r="DON15" s="7158"/>
      <c r="DOO15" s="7158"/>
      <c r="DOP15" s="7158"/>
      <c r="DOQ15" s="7158"/>
      <c r="DOR15" s="7159"/>
      <c r="DOS15" s="7152"/>
      <c r="DOT15" s="7153"/>
      <c r="DOU15" s="7153"/>
      <c r="DOV15" s="7153"/>
      <c r="DOW15" s="7157"/>
      <c r="DOX15" s="7157"/>
      <c r="DOY15" s="7157"/>
      <c r="DOZ15" s="7157"/>
      <c r="DPA15" s="7157"/>
      <c r="DPB15" s="7157"/>
      <c r="DPC15" s="7158"/>
      <c r="DPD15" s="7158"/>
      <c r="DPE15" s="7158"/>
      <c r="DPF15" s="7158"/>
      <c r="DPG15" s="7158"/>
      <c r="DPH15" s="7159"/>
      <c r="DPI15" s="7152"/>
      <c r="DPJ15" s="7153"/>
      <c r="DPK15" s="7153"/>
      <c r="DPL15" s="7153"/>
      <c r="DPM15" s="7157"/>
      <c r="DPN15" s="7157"/>
      <c r="DPO15" s="7157"/>
      <c r="DPP15" s="7157"/>
      <c r="DPQ15" s="7157"/>
      <c r="DPR15" s="7157"/>
      <c r="DPS15" s="7158"/>
      <c r="DPT15" s="7158"/>
      <c r="DPU15" s="7158"/>
      <c r="DPV15" s="7158"/>
      <c r="DPW15" s="7158"/>
      <c r="DPX15" s="7159"/>
      <c r="DPY15" s="7152"/>
      <c r="DPZ15" s="7153"/>
      <c r="DQA15" s="7153"/>
      <c r="DQB15" s="7153"/>
      <c r="DQC15" s="7157"/>
      <c r="DQD15" s="7157"/>
      <c r="DQE15" s="7157"/>
      <c r="DQF15" s="7157"/>
      <c r="DQG15" s="7157"/>
      <c r="DQH15" s="7157"/>
      <c r="DQI15" s="7158"/>
      <c r="DQJ15" s="7158"/>
      <c r="DQK15" s="7158"/>
      <c r="DQL15" s="7158"/>
      <c r="DQM15" s="7158"/>
      <c r="DQN15" s="7159"/>
      <c r="DQO15" s="7152"/>
      <c r="DQP15" s="7153"/>
      <c r="DQQ15" s="7153"/>
      <c r="DQR15" s="7153"/>
      <c r="DQS15" s="7157"/>
      <c r="DQT15" s="7157"/>
      <c r="DQU15" s="7157"/>
      <c r="DQV15" s="7157"/>
      <c r="DQW15" s="7157"/>
      <c r="DQX15" s="7157"/>
      <c r="DQY15" s="7158"/>
      <c r="DQZ15" s="7158"/>
      <c r="DRA15" s="7158"/>
      <c r="DRB15" s="7158"/>
      <c r="DRC15" s="7158"/>
      <c r="DRD15" s="7159"/>
      <c r="DRE15" s="7152"/>
      <c r="DRF15" s="7153"/>
      <c r="DRG15" s="7153"/>
      <c r="DRH15" s="7153"/>
      <c r="DRI15" s="7157"/>
      <c r="DRJ15" s="7157"/>
      <c r="DRK15" s="7157"/>
      <c r="DRL15" s="7157"/>
      <c r="DRM15" s="7157"/>
      <c r="DRN15" s="7157"/>
      <c r="DRO15" s="7158"/>
      <c r="DRP15" s="7158"/>
      <c r="DRQ15" s="7158"/>
      <c r="DRR15" s="7158"/>
      <c r="DRS15" s="7158"/>
      <c r="DRT15" s="7159"/>
      <c r="DRU15" s="7152"/>
      <c r="DRV15" s="7153"/>
      <c r="DRW15" s="7153"/>
      <c r="DRX15" s="7153"/>
      <c r="DRY15" s="7157"/>
      <c r="DRZ15" s="7157"/>
      <c r="DSA15" s="7157"/>
      <c r="DSB15" s="7157"/>
      <c r="DSC15" s="7157"/>
      <c r="DSD15" s="7157"/>
      <c r="DSE15" s="7158"/>
      <c r="DSF15" s="7158"/>
      <c r="DSG15" s="7158"/>
      <c r="DSH15" s="7158"/>
      <c r="DSI15" s="7158"/>
      <c r="DSJ15" s="7159"/>
      <c r="DSK15" s="7152"/>
      <c r="DSL15" s="7153"/>
      <c r="DSM15" s="7153"/>
      <c r="DSN15" s="7153"/>
      <c r="DSO15" s="7157"/>
      <c r="DSP15" s="7157"/>
      <c r="DSQ15" s="7157"/>
      <c r="DSR15" s="7157"/>
      <c r="DSS15" s="7157"/>
      <c r="DST15" s="7157"/>
      <c r="DSU15" s="7158"/>
      <c r="DSV15" s="7158"/>
      <c r="DSW15" s="7158"/>
      <c r="DSX15" s="7158"/>
      <c r="DSY15" s="7158"/>
      <c r="DSZ15" s="7159"/>
      <c r="DTA15" s="7152"/>
      <c r="DTB15" s="7153"/>
      <c r="DTC15" s="7153"/>
      <c r="DTD15" s="7153"/>
      <c r="DTE15" s="7157"/>
      <c r="DTF15" s="7157"/>
      <c r="DTG15" s="7157"/>
      <c r="DTH15" s="7157"/>
      <c r="DTI15" s="7157"/>
      <c r="DTJ15" s="7157"/>
      <c r="DTK15" s="7158"/>
      <c r="DTL15" s="7158"/>
      <c r="DTM15" s="7158"/>
      <c r="DTN15" s="7158"/>
      <c r="DTO15" s="7158"/>
      <c r="DTP15" s="7159"/>
      <c r="DTQ15" s="7152"/>
      <c r="DTR15" s="7153"/>
      <c r="DTS15" s="7153"/>
      <c r="DTT15" s="7153"/>
      <c r="DTU15" s="7157"/>
      <c r="DTV15" s="7157"/>
      <c r="DTW15" s="7157"/>
      <c r="DTX15" s="7157"/>
      <c r="DTY15" s="7157"/>
      <c r="DTZ15" s="7157"/>
      <c r="DUA15" s="7158"/>
      <c r="DUB15" s="7158"/>
      <c r="DUC15" s="7158"/>
      <c r="DUD15" s="7158"/>
      <c r="DUE15" s="7158"/>
      <c r="DUF15" s="7159"/>
      <c r="DUG15" s="7152"/>
      <c r="DUH15" s="7153"/>
      <c r="DUI15" s="7153"/>
      <c r="DUJ15" s="7153"/>
      <c r="DUK15" s="7157"/>
      <c r="DUL15" s="7157"/>
      <c r="DUM15" s="7157"/>
      <c r="DUN15" s="7157"/>
      <c r="DUO15" s="7157"/>
      <c r="DUP15" s="7157"/>
      <c r="DUQ15" s="7158"/>
      <c r="DUR15" s="7158"/>
      <c r="DUS15" s="7158"/>
      <c r="DUT15" s="7158"/>
      <c r="DUU15" s="7158"/>
      <c r="DUV15" s="7159"/>
      <c r="DUW15" s="7152"/>
      <c r="DUX15" s="7153"/>
      <c r="DUY15" s="7153"/>
      <c r="DUZ15" s="7153"/>
      <c r="DVA15" s="7157"/>
      <c r="DVB15" s="7157"/>
      <c r="DVC15" s="7157"/>
      <c r="DVD15" s="7157"/>
      <c r="DVE15" s="7157"/>
      <c r="DVF15" s="7157"/>
      <c r="DVG15" s="7158"/>
      <c r="DVH15" s="7158"/>
      <c r="DVI15" s="7158"/>
      <c r="DVJ15" s="7158"/>
      <c r="DVK15" s="7158"/>
      <c r="DVL15" s="7159"/>
      <c r="DVM15" s="7152"/>
      <c r="DVN15" s="7153"/>
      <c r="DVO15" s="7153"/>
      <c r="DVP15" s="7153"/>
      <c r="DVQ15" s="7157"/>
      <c r="DVR15" s="7157"/>
      <c r="DVS15" s="7157"/>
      <c r="DVT15" s="7157"/>
      <c r="DVU15" s="7157"/>
      <c r="DVV15" s="7157"/>
      <c r="DVW15" s="7158"/>
      <c r="DVX15" s="7158"/>
      <c r="DVY15" s="7158"/>
      <c r="DVZ15" s="7158"/>
      <c r="DWA15" s="7158"/>
      <c r="DWB15" s="7159"/>
      <c r="DWC15" s="7152"/>
      <c r="DWD15" s="7153"/>
      <c r="DWE15" s="7153"/>
      <c r="DWF15" s="7153"/>
      <c r="DWG15" s="7157"/>
      <c r="DWH15" s="7157"/>
      <c r="DWI15" s="7157"/>
      <c r="DWJ15" s="7157"/>
      <c r="DWK15" s="7157"/>
      <c r="DWL15" s="7157"/>
      <c r="DWM15" s="7158"/>
      <c r="DWN15" s="7158"/>
      <c r="DWO15" s="7158"/>
      <c r="DWP15" s="7158"/>
      <c r="DWQ15" s="7158"/>
      <c r="DWR15" s="7159"/>
      <c r="DWS15" s="7152"/>
      <c r="DWT15" s="7153"/>
      <c r="DWU15" s="7153"/>
      <c r="DWV15" s="7153"/>
      <c r="DWW15" s="7157"/>
      <c r="DWX15" s="7157"/>
      <c r="DWY15" s="7157"/>
      <c r="DWZ15" s="7157"/>
      <c r="DXA15" s="7157"/>
      <c r="DXB15" s="7157"/>
      <c r="DXC15" s="7158"/>
      <c r="DXD15" s="7158"/>
      <c r="DXE15" s="7158"/>
      <c r="DXF15" s="7158"/>
      <c r="DXG15" s="7158"/>
      <c r="DXH15" s="7159"/>
      <c r="DXI15" s="7152"/>
      <c r="DXJ15" s="7153"/>
      <c r="DXK15" s="7153"/>
      <c r="DXL15" s="7153"/>
      <c r="DXM15" s="7157"/>
      <c r="DXN15" s="7157"/>
      <c r="DXO15" s="7157"/>
      <c r="DXP15" s="7157"/>
      <c r="DXQ15" s="7157"/>
      <c r="DXR15" s="7157"/>
      <c r="DXS15" s="7158"/>
      <c r="DXT15" s="7158"/>
      <c r="DXU15" s="7158"/>
      <c r="DXV15" s="7158"/>
      <c r="DXW15" s="7158"/>
      <c r="DXX15" s="7159"/>
      <c r="DXY15" s="7152"/>
      <c r="DXZ15" s="7153"/>
      <c r="DYA15" s="7153"/>
      <c r="DYB15" s="7153"/>
      <c r="DYC15" s="7157"/>
      <c r="DYD15" s="7157"/>
      <c r="DYE15" s="7157"/>
      <c r="DYF15" s="7157"/>
      <c r="DYG15" s="7157"/>
      <c r="DYH15" s="7157"/>
      <c r="DYI15" s="7158"/>
      <c r="DYJ15" s="7158"/>
      <c r="DYK15" s="7158"/>
      <c r="DYL15" s="7158"/>
      <c r="DYM15" s="7158"/>
      <c r="DYN15" s="7159"/>
      <c r="DYO15" s="7152"/>
      <c r="DYP15" s="7153"/>
      <c r="DYQ15" s="7153"/>
      <c r="DYR15" s="7153"/>
      <c r="DYS15" s="7157"/>
      <c r="DYT15" s="7157"/>
      <c r="DYU15" s="7157"/>
      <c r="DYV15" s="7157"/>
      <c r="DYW15" s="7157"/>
      <c r="DYX15" s="7157"/>
      <c r="DYY15" s="7158"/>
      <c r="DYZ15" s="7158"/>
      <c r="DZA15" s="7158"/>
      <c r="DZB15" s="7158"/>
      <c r="DZC15" s="7158"/>
      <c r="DZD15" s="7159"/>
      <c r="DZE15" s="7152"/>
      <c r="DZF15" s="7153"/>
      <c r="DZG15" s="7153"/>
      <c r="DZH15" s="7153"/>
      <c r="DZI15" s="7157"/>
      <c r="DZJ15" s="7157"/>
      <c r="DZK15" s="7157"/>
      <c r="DZL15" s="7157"/>
      <c r="DZM15" s="7157"/>
      <c r="DZN15" s="7157"/>
      <c r="DZO15" s="7158"/>
      <c r="DZP15" s="7158"/>
      <c r="DZQ15" s="7158"/>
      <c r="DZR15" s="7158"/>
      <c r="DZS15" s="7158"/>
      <c r="DZT15" s="7159"/>
      <c r="DZU15" s="7152"/>
      <c r="DZV15" s="7153"/>
      <c r="DZW15" s="7153"/>
      <c r="DZX15" s="7153"/>
      <c r="DZY15" s="7157"/>
      <c r="DZZ15" s="7157"/>
      <c r="EAA15" s="7157"/>
      <c r="EAB15" s="7157"/>
      <c r="EAC15" s="7157"/>
      <c r="EAD15" s="7157"/>
      <c r="EAE15" s="7158"/>
      <c r="EAF15" s="7158"/>
      <c r="EAG15" s="7158"/>
      <c r="EAH15" s="7158"/>
      <c r="EAI15" s="7158"/>
      <c r="EAJ15" s="7159"/>
      <c r="EAK15" s="7152"/>
      <c r="EAL15" s="7153"/>
      <c r="EAM15" s="7153"/>
      <c r="EAN15" s="7153"/>
      <c r="EAO15" s="7157"/>
      <c r="EAP15" s="7157"/>
      <c r="EAQ15" s="7157"/>
      <c r="EAR15" s="7157"/>
      <c r="EAS15" s="7157"/>
      <c r="EAT15" s="7157"/>
      <c r="EAU15" s="7158"/>
      <c r="EAV15" s="7158"/>
      <c r="EAW15" s="7158"/>
      <c r="EAX15" s="7158"/>
      <c r="EAY15" s="7158"/>
      <c r="EAZ15" s="7159"/>
      <c r="EBA15" s="7152"/>
      <c r="EBB15" s="7153"/>
      <c r="EBC15" s="7153"/>
      <c r="EBD15" s="7153"/>
      <c r="EBE15" s="7157"/>
      <c r="EBF15" s="7157"/>
      <c r="EBG15" s="7157"/>
      <c r="EBH15" s="7157"/>
      <c r="EBI15" s="7157"/>
      <c r="EBJ15" s="7157"/>
      <c r="EBK15" s="7158"/>
      <c r="EBL15" s="7158"/>
      <c r="EBM15" s="7158"/>
      <c r="EBN15" s="7158"/>
      <c r="EBO15" s="7158"/>
      <c r="EBP15" s="7159"/>
      <c r="EBQ15" s="7152"/>
      <c r="EBR15" s="7153"/>
      <c r="EBS15" s="7153"/>
      <c r="EBT15" s="7153"/>
      <c r="EBU15" s="7157"/>
      <c r="EBV15" s="7157"/>
      <c r="EBW15" s="7157"/>
      <c r="EBX15" s="7157"/>
      <c r="EBY15" s="7157"/>
      <c r="EBZ15" s="7157"/>
      <c r="ECA15" s="7158"/>
      <c r="ECB15" s="7158"/>
      <c r="ECC15" s="7158"/>
      <c r="ECD15" s="7158"/>
      <c r="ECE15" s="7158"/>
      <c r="ECF15" s="7159"/>
      <c r="ECG15" s="7152"/>
      <c r="ECH15" s="7153"/>
      <c r="ECI15" s="7153"/>
      <c r="ECJ15" s="7153"/>
      <c r="ECK15" s="7157"/>
      <c r="ECL15" s="7157"/>
      <c r="ECM15" s="7157"/>
      <c r="ECN15" s="7157"/>
      <c r="ECO15" s="7157"/>
      <c r="ECP15" s="7157"/>
      <c r="ECQ15" s="7158"/>
      <c r="ECR15" s="7158"/>
      <c r="ECS15" s="7158"/>
      <c r="ECT15" s="7158"/>
      <c r="ECU15" s="7158"/>
      <c r="ECV15" s="7159"/>
      <c r="ECW15" s="7152"/>
      <c r="ECX15" s="7153"/>
      <c r="ECY15" s="7153"/>
      <c r="ECZ15" s="7153"/>
      <c r="EDA15" s="7157"/>
      <c r="EDB15" s="7157"/>
      <c r="EDC15" s="7157"/>
      <c r="EDD15" s="7157"/>
      <c r="EDE15" s="7157"/>
      <c r="EDF15" s="7157"/>
      <c r="EDG15" s="7158"/>
      <c r="EDH15" s="7158"/>
      <c r="EDI15" s="7158"/>
      <c r="EDJ15" s="7158"/>
      <c r="EDK15" s="7158"/>
      <c r="EDL15" s="7159"/>
      <c r="EDM15" s="7152"/>
      <c r="EDN15" s="7153"/>
      <c r="EDO15" s="7153"/>
      <c r="EDP15" s="7153"/>
      <c r="EDQ15" s="7157"/>
      <c r="EDR15" s="7157"/>
      <c r="EDS15" s="7157"/>
      <c r="EDT15" s="7157"/>
      <c r="EDU15" s="7157"/>
      <c r="EDV15" s="7157"/>
      <c r="EDW15" s="7158"/>
      <c r="EDX15" s="7158"/>
      <c r="EDY15" s="7158"/>
      <c r="EDZ15" s="7158"/>
      <c r="EEA15" s="7158"/>
      <c r="EEB15" s="7159"/>
      <c r="EEC15" s="7152"/>
      <c r="EED15" s="7153"/>
      <c r="EEE15" s="7153"/>
      <c r="EEF15" s="7153"/>
      <c r="EEG15" s="7157"/>
      <c r="EEH15" s="7157"/>
      <c r="EEI15" s="7157"/>
      <c r="EEJ15" s="7157"/>
      <c r="EEK15" s="7157"/>
      <c r="EEL15" s="7157"/>
      <c r="EEM15" s="7158"/>
      <c r="EEN15" s="7158"/>
      <c r="EEO15" s="7158"/>
      <c r="EEP15" s="7158"/>
      <c r="EEQ15" s="7158"/>
      <c r="EER15" s="7159"/>
      <c r="EES15" s="7152"/>
      <c r="EET15" s="7153"/>
      <c r="EEU15" s="7153"/>
      <c r="EEV15" s="7153"/>
      <c r="EEW15" s="7157"/>
      <c r="EEX15" s="7157"/>
      <c r="EEY15" s="7157"/>
      <c r="EEZ15" s="7157"/>
      <c r="EFA15" s="7157"/>
      <c r="EFB15" s="7157"/>
      <c r="EFC15" s="7158"/>
      <c r="EFD15" s="7158"/>
      <c r="EFE15" s="7158"/>
      <c r="EFF15" s="7158"/>
      <c r="EFG15" s="7158"/>
      <c r="EFH15" s="7159"/>
      <c r="EFI15" s="7152"/>
      <c r="EFJ15" s="7153"/>
      <c r="EFK15" s="7153"/>
      <c r="EFL15" s="7153"/>
      <c r="EFM15" s="7157"/>
      <c r="EFN15" s="7157"/>
      <c r="EFO15" s="7157"/>
      <c r="EFP15" s="7157"/>
      <c r="EFQ15" s="7157"/>
      <c r="EFR15" s="7157"/>
      <c r="EFS15" s="7158"/>
      <c r="EFT15" s="7158"/>
      <c r="EFU15" s="7158"/>
      <c r="EFV15" s="7158"/>
      <c r="EFW15" s="7158"/>
      <c r="EFX15" s="7159"/>
      <c r="EFY15" s="7152"/>
      <c r="EFZ15" s="7153"/>
      <c r="EGA15" s="7153"/>
      <c r="EGB15" s="7153"/>
      <c r="EGC15" s="7157"/>
      <c r="EGD15" s="7157"/>
      <c r="EGE15" s="7157"/>
      <c r="EGF15" s="7157"/>
      <c r="EGG15" s="7157"/>
      <c r="EGH15" s="7157"/>
      <c r="EGI15" s="7158"/>
      <c r="EGJ15" s="7158"/>
      <c r="EGK15" s="7158"/>
      <c r="EGL15" s="7158"/>
      <c r="EGM15" s="7158"/>
      <c r="EGN15" s="7159"/>
      <c r="EGO15" s="7152"/>
      <c r="EGP15" s="7153"/>
      <c r="EGQ15" s="7153"/>
      <c r="EGR15" s="7153"/>
      <c r="EGS15" s="7157"/>
      <c r="EGT15" s="7157"/>
      <c r="EGU15" s="7157"/>
      <c r="EGV15" s="7157"/>
      <c r="EGW15" s="7157"/>
      <c r="EGX15" s="7157"/>
      <c r="EGY15" s="7158"/>
      <c r="EGZ15" s="7158"/>
      <c r="EHA15" s="7158"/>
      <c r="EHB15" s="7158"/>
      <c r="EHC15" s="7158"/>
      <c r="EHD15" s="7159"/>
      <c r="EHE15" s="7152"/>
      <c r="EHF15" s="7153"/>
      <c r="EHG15" s="7153"/>
      <c r="EHH15" s="7153"/>
      <c r="EHI15" s="7157"/>
      <c r="EHJ15" s="7157"/>
      <c r="EHK15" s="7157"/>
      <c r="EHL15" s="7157"/>
      <c r="EHM15" s="7157"/>
      <c r="EHN15" s="7157"/>
      <c r="EHO15" s="7158"/>
      <c r="EHP15" s="7158"/>
      <c r="EHQ15" s="7158"/>
      <c r="EHR15" s="7158"/>
      <c r="EHS15" s="7158"/>
      <c r="EHT15" s="7159"/>
      <c r="EHU15" s="7152"/>
      <c r="EHV15" s="7153"/>
      <c r="EHW15" s="7153"/>
      <c r="EHX15" s="7153"/>
      <c r="EHY15" s="7157"/>
      <c r="EHZ15" s="7157"/>
      <c r="EIA15" s="7157"/>
      <c r="EIB15" s="7157"/>
      <c r="EIC15" s="7157"/>
      <c r="EID15" s="7157"/>
      <c r="EIE15" s="7158"/>
      <c r="EIF15" s="7158"/>
      <c r="EIG15" s="7158"/>
      <c r="EIH15" s="7158"/>
      <c r="EII15" s="7158"/>
      <c r="EIJ15" s="7159"/>
      <c r="EIK15" s="7152"/>
      <c r="EIL15" s="7153"/>
      <c r="EIM15" s="7153"/>
      <c r="EIN15" s="7153"/>
      <c r="EIO15" s="7157"/>
      <c r="EIP15" s="7157"/>
      <c r="EIQ15" s="7157"/>
      <c r="EIR15" s="7157"/>
      <c r="EIS15" s="7157"/>
      <c r="EIT15" s="7157"/>
      <c r="EIU15" s="7158"/>
      <c r="EIV15" s="7158"/>
      <c r="EIW15" s="7158"/>
      <c r="EIX15" s="7158"/>
      <c r="EIY15" s="7158"/>
      <c r="EIZ15" s="7159"/>
      <c r="EJA15" s="7152"/>
      <c r="EJB15" s="7153"/>
      <c r="EJC15" s="7153"/>
      <c r="EJD15" s="7153"/>
      <c r="EJE15" s="7157"/>
      <c r="EJF15" s="7157"/>
      <c r="EJG15" s="7157"/>
      <c r="EJH15" s="7157"/>
      <c r="EJI15" s="7157"/>
      <c r="EJJ15" s="7157"/>
      <c r="EJK15" s="7158"/>
      <c r="EJL15" s="7158"/>
      <c r="EJM15" s="7158"/>
      <c r="EJN15" s="7158"/>
      <c r="EJO15" s="7158"/>
      <c r="EJP15" s="7159"/>
      <c r="EJQ15" s="7152"/>
      <c r="EJR15" s="7153"/>
      <c r="EJS15" s="7153"/>
      <c r="EJT15" s="7153"/>
      <c r="EJU15" s="7157"/>
      <c r="EJV15" s="7157"/>
      <c r="EJW15" s="7157"/>
      <c r="EJX15" s="7157"/>
      <c r="EJY15" s="7157"/>
      <c r="EJZ15" s="7157"/>
      <c r="EKA15" s="7158"/>
      <c r="EKB15" s="7158"/>
      <c r="EKC15" s="7158"/>
      <c r="EKD15" s="7158"/>
      <c r="EKE15" s="7158"/>
      <c r="EKF15" s="7159"/>
      <c r="EKG15" s="7152"/>
      <c r="EKH15" s="7153"/>
      <c r="EKI15" s="7153"/>
      <c r="EKJ15" s="7153"/>
      <c r="EKK15" s="7157"/>
      <c r="EKL15" s="7157"/>
      <c r="EKM15" s="7157"/>
      <c r="EKN15" s="7157"/>
      <c r="EKO15" s="7157"/>
      <c r="EKP15" s="7157"/>
      <c r="EKQ15" s="7158"/>
      <c r="EKR15" s="7158"/>
      <c r="EKS15" s="7158"/>
      <c r="EKT15" s="7158"/>
      <c r="EKU15" s="7158"/>
      <c r="EKV15" s="7159"/>
      <c r="EKW15" s="7152"/>
      <c r="EKX15" s="7153"/>
      <c r="EKY15" s="7153"/>
      <c r="EKZ15" s="7153"/>
      <c r="ELA15" s="7157"/>
      <c r="ELB15" s="7157"/>
      <c r="ELC15" s="7157"/>
      <c r="ELD15" s="7157"/>
      <c r="ELE15" s="7157"/>
      <c r="ELF15" s="7157"/>
      <c r="ELG15" s="7158"/>
      <c r="ELH15" s="7158"/>
      <c r="ELI15" s="7158"/>
      <c r="ELJ15" s="7158"/>
      <c r="ELK15" s="7158"/>
      <c r="ELL15" s="7159"/>
      <c r="ELM15" s="7152"/>
      <c r="ELN15" s="7153"/>
      <c r="ELO15" s="7153"/>
      <c r="ELP15" s="7153"/>
      <c r="ELQ15" s="7157"/>
      <c r="ELR15" s="7157"/>
      <c r="ELS15" s="7157"/>
      <c r="ELT15" s="7157"/>
      <c r="ELU15" s="7157"/>
      <c r="ELV15" s="7157"/>
      <c r="ELW15" s="7158"/>
      <c r="ELX15" s="7158"/>
      <c r="ELY15" s="7158"/>
      <c r="ELZ15" s="7158"/>
      <c r="EMA15" s="7158"/>
      <c r="EMB15" s="7159"/>
      <c r="EMC15" s="7152"/>
      <c r="EMD15" s="7153"/>
      <c r="EME15" s="7153"/>
      <c r="EMF15" s="7153"/>
      <c r="EMG15" s="7157"/>
      <c r="EMH15" s="7157"/>
      <c r="EMI15" s="7157"/>
      <c r="EMJ15" s="7157"/>
      <c r="EMK15" s="7157"/>
      <c r="EML15" s="7157"/>
      <c r="EMM15" s="7158"/>
      <c r="EMN15" s="7158"/>
      <c r="EMO15" s="7158"/>
      <c r="EMP15" s="7158"/>
      <c r="EMQ15" s="7158"/>
      <c r="EMR15" s="7159"/>
      <c r="EMS15" s="7152"/>
      <c r="EMT15" s="7153"/>
      <c r="EMU15" s="7153"/>
      <c r="EMV15" s="7153"/>
      <c r="EMW15" s="7157"/>
      <c r="EMX15" s="7157"/>
      <c r="EMY15" s="7157"/>
      <c r="EMZ15" s="7157"/>
      <c r="ENA15" s="7157"/>
      <c r="ENB15" s="7157"/>
      <c r="ENC15" s="7158"/>
      <c r="END15" s="7158"/>
      <c r="ENE15" s="7158"/>
      <c r="ENF15" s="7158"/>
      <c r="ENG15" s="7158"/>
      <c r="ENH15" s="7159"/>
      <c r="ENI15" s="7152"/>
      <c r="ENJ15" s="7153"/>
      <c r="ENK15" s="7153"/>
      <c r="ENL15" s="7153"/>
      <c r="ENM15" s="7157"/>
      <c r="ENN15" s="7157"/>
      <c r="ENO15" s="7157"/>
      <c r="ENP15" s="7157"/>
      <c r="ENQ15" s="7157"/>
      <c r="ENR15" s="7157"/>
      <c r="ENS15" s="7158"/>
      <c r="ENT15" s="7158"/>
      <c r="ENU15" s="7158"/>
      <c r="ENV15" s="7158"/>
      <c r="ENW15" s="7158"/>
      <c r="ENX15" s="7159"/>
      <c r="ENY15" s="7152"/>
      <c r="ENZ15" s="7153"/>
      <c r="EOA15" s="7153"/>
      <c r="EOB15" s="7153"/>
      <c r="EOC15" s="7157"/>
      <c r="EOD15" s="7157"/>
      <c r="EOE15" s="7157"/>
      <c r="EOF15" s="7157"/>
      <c r="EOG15" s="7157"/>
      <c r="EOH15" s="7157"/>
      <c r="EOI15" s="7158"/>
      <c r="EOJ15" s="7158"/>
      <c r="EOK15" s="7158"/>
      <c r="EOL15" s="7158"/>
      <c r="EOM15" s="7158"/>
      <c r="EON15" s="7159"/>
      <c r="EOO15" s="7152"/>
      <c r="EOP15" s="7153"/>
      <c r="EOQ15" s="7153"/>
      <c r="EOR15" s="7153"/>
      <c r="EOS15" s="7157"/>
      <c r="EOT15" s="7157"/>
      <c r="EOU15" s="7157"/>
      <c r="EOV15" s="7157"/>
      <c r="EOW15" s="7157"/>
      <c r="EOX15" s="7157"/>
      <c r="EOY15" s="7158"/>
      <c r="EOZ15" s="7158"/>
      <c r="EPA15" s="7158"/>
      <c r="EPB15" s="7158"/>
      <c r="EPC15" s="7158"/>
      <c r="EPD15" s="7159"/>
      <c r="EPE15" s="7152"/>
      <c r="EPF15" s="7153"/>
      <c r="EPG15" s="7153"/>
      <c r="EPH15" s="7153"/>
      <c r="EPI15" s="7157"/>
      <c r="EPJ15" s="7157"/>
      <c r="EPK15" s="7157"/>
      <c r="EPL15" s="7157"/>
      <c r="EPM15" s="7157"/>
      <c r="EPN15" s="7157"/>
      <c r="EPO15" s="7158"/>
      <c r="EPP15" s="7158"/>
      <c r="EPQ15" s="7158"/>
      <c r="EPR15" s="7158"/>
      <c r="EPS15" s="7158"/>
      <c r="EPT15" s="7159"/>
      <c r="EPU15" s="7152"/>
      <c r="EPV15" s="7153"/>
      <c r="EPW15" s="7153"/>
      <c r="EPX15" s="7153"/>
      <c r="EPY15" s="7157"/>
      <c r="EPZ15" s="7157"/>
      <c r="EQA15" s="7157"/>
      <c r="EQB15" s="7157"/>
      <c r="EQC15" s="7157"/>
      <c r="EQD15" s="7157"/>
      <c r="EQE15" s="7158"/>
      <c r="EQF15" s="7158"/>
      <c r="EQG15" s="7158"/>
      <c r="EQH15" s="7158"/>
      <c r="EQI15" s="7158"/>
      <c r="EQJ15" s="7159"/>
      <c r="EQK15" s="7152"/>
      <c r="EQL15" s="7153"/>
      <c r="EQM15" s="7153"/>
      <c r="EQN15" s="7153"/>
      <c r="EQO15" s="7157"/>
      <c r="EQP15" s="7157"/>
      <c r="EQQ15" s="7157"/>
      <c r="EQR15" s="7157"/>
      <c r="EQS15" s="7157"/>
      <c r="EQT15" s="7157"/>
      <c r="EQU15" s="7158"/>
      <c r="EQV15" s="7158"/>
      <c r="EQW15" s="7158"/>
      <c r="EQX15" s="7158"/>
      <c r="EQY15" s="7158"/>
      <c r="EQZ15" s="7159"/>
      <c r="ERA15" s="7152"/>
      <c r="ERB15" s="7153"/>
      <c r="ERC15" s="7153"/>
      <c r="ERD15" s="7153"/>
      <c r="ERE15" s="7157"/>
      <c r="ERF15" s="7157"/>
      <c r="ERG15" s="7157"/>
      <c r="ERH15" s="7157"/>
      <c r="ERI15" s="7157"/>
      <c r="ERJ15" s="7157"/>
      <c r="ERK15" s="7158"/>
      <c r="ERL15" s="7158"/>
      <c r="ERM15" s="7158"/>
      <c r="ERN15" s="7158"/>
      <c r="ERO15" s="7158"/>
      <c r="ERP15" s="7159"/>
      <c r="ERQ15" s="7152"/>
      <c r="ERR15" s="7153"/>
      <c r="ERS15" s="7153"/>
      <c r="ERT15" s="7153"/>
      <c r="ERU15" s="7157"/>
      <c r="ERV15" s="7157"/>
      <c r="ERW15" s="7157"/>
      <c r="ERX15" s="7157"/>
      <c r="ERY15" s="7157"/>
      <c r="ERZ15" s="7157"/>
      <c r="ESA15" s="7158"/>
      <c r="ESB15" s="7158"/>
      <c r="ESC15" s="7158"/>
      <c r="ESD15" s="7158"/>
      <c r="ESE15" s="7158"/>
      <c r="ESF15" s="7159"/>
      <c r="ESG15" s="7152"/>
      <c r="ESH15" s="7153"/>
      <c r="ESI15" s="7153"/>
      <c r="ESJ15" s="7153"/>
      <c r="ESK15" s="7157"/>
      <c r="ESL15" s="7157"/>
      <c r="ESM15" s="7157"/>
      <c r="ESN15" s="7157"/>
      <c r="ESO15" s="7157"/>
      <c r="ESP15" s="7157"/>
      <c r="ESQ15" s="7158"/>
      <c r="ESR15" s="7158"/>
      <c r="ESS15" s="7158"/>
      <c r="EST15" s="7158"/>
      <c r="ESU15" s="7158"/>
      <c r="ESV15" s="7159"/>
      <c r="ESW15" s="7152"/>
      <c r="ESX15" s="7153"/>
      <c r="ESY15" s="7153"/>
      <c r="ESZ15" s="7153"/>
      <c r="ETA15" s="7157"/>
      <c r="ETB15" s="7157"/>
      <c r="ETC15" s="7157"/>
      <c r="ETD15" s="7157"/>
      <c r="ETE15" s="7157"/>
      <c r="ETF15" s="7157"/>
      <c r="ETG15" s="7158"/>
      <c r="ETH15" s="7158"/>
      <c r="ETI15" s="7158"/>
      <c r="ETJ15" s="7158"/>
      <c r="ETK15" s="7158"/>
      <c r="ETL15" s="7159"/>
      <c r="ETM15" s="7152"/>
      <c r="ETN15" s="7153"/>
      <c r="ETO15" s="7153"/>
      <c r="ETP15" s="7153"/>
      <c r="ETQ15" s="7157"/>
      <c r="ETR15" s="7157"/>
      <c r="ETS15" s="7157"/>
      <c r="ETT15" s="7157"/>
      <c r="ETU15" s="7157"/>
      <c r="ETV15" s="7157"/>
      <c r="ETW15" s="7158"/>
      <c r="ETX15" s="7158"/>
      <c r="ETY15" s="7158"/>
      <c r="ETZ15" s="7158"/>
      <c r="EUA15" s="7158"/>
      <c r="EUB15" s="7159"/>
      <c r="EUC15" s="7152"/>
      <c r="EUD15" s="7153"/>
      <c r="EUE15" s="7153"/>
      <c r="EUF15" s="7153"/>
      <c r="EUG15" s="7157"/>
      <c r="EUH15" s="7157"/>
      <c r="EUI15" s="7157"/>
      <c r="EUJ15" s="7157"/>
      <c r="EUK15" s="7157"/>
      <c r="EUL15" s="7157"/>
      <c r="EUM15" s="7158"/>
      <c r="EUN15" s="7158"/>
      <c r="EUO15" s="7158"/>
      <c r="EUP15" s="7158"/>
      <c r="EUQ15" s="7158"/>
      <c r="EUR15" s="7159"/>
      <c r="EUS15" s="7152"/>
      <c r="EUT15" s="7153"/>
      <c r="EUU15" s="7153"/>
      <c r="EUV15" s="7153"/>
      <c r="EUW15" s="7157"/>
      <c r="EUX15" s="7157"/>
      <c r="EUY15" s="7157"/>
      <c r="EUZ15" s="7157"/>
      <c r="EVA15" s="7157"/>
      <c r="EVB15" s="7157"/>
      <c r="EVC15" s="7158"/>
      <c r="EVD15" s="7158"/>
      <c r="EVE15" s="7158"/>
      <c r="EVF15" s="7158"/>
      <c r="EVG15" s="7158"/>
      <c r="EVH15" s="7159"/>
      <c r="EVI15" s="7152"/>
      <c r="EVJ15" s="7153"/>
      <c r="EVK15" s="7153"/>
      <c r="EVL15" s="7153"/>
      <c r="EVM15" s="7157"/>
      <c r="EVN15" s="7157"/>
      <c r="EVO15" s="7157"/>
      <c r="EVP15" s="7157"/>
      <c r="EVQ15" s="7157"/>
      <c r="EVR15" s="7157"/>
      <c r="EVS15" s="7158"/>
      <c r="EVT15" s="7158"/>
      <c r="EVU15" s="7158"/>
      <c r="EVV15" s="7158"/>
      <c r="EVW15" s="7158"/>
      <c r="EVX15" s="7159"/>
      <c r="EVY15" s="7152"/>
      <c r="EVZ15" s="7153"/>
      <c r="EWA15" s="7153"/>
      <c r="EWB15" s="7153"/>
      <c r="EWC15" s="7157"/>
      <c r="EWD15" s="7157"/>
      <c r="EWE15" s="7157"/>
      <c r="EWF15" s="7157"/>
      <c r="EWG15" s="7157"/>
      <c r="EWH15" s="7157"/>
      <c r="EWI15" s="7158"/>
      <c r="EWJ15" s="7158"/>
      <c r="EWK15" s="7158"/>
      <c r="EWL15" s="7158"/>
      <c r="EWM15" s="7158"/>
      <c r="EWN15" s="7159"/>
      <c r="EWO15" s="7152"/>
      <c r="EWP15" s="7153"/>
      <c r="EWQ15" s="7153"/>
      <c r="EWR15" s="7153"/>
      <c r="EWS15" s="7157"/>
      <c r="EWT15" s="7157"/>
      <c r="EWU15" s="7157"/>
      <c r="EWV15" s="7157"/>
      <c r="EWW15" s="7157"/>
      <c r="EWX15" s="7157"/>
      <c r="EWY15" s="7158"/>
      <c r="EWZ15" s="7158"/>
      <c r="EXA15" s="7158"/>
      <c r="EXB15" s="7158"/>
      <c r="EXC15" s="7158"/>
      <c r="EXD15" s="7159"/>
      <c r="EXE15" s="7152"/>
      <c r="EXF15" s="7153"/>
      <c r="EXG15" s="7153"/>
      <c r="EXH15" s="7153"/>
      <c r="EXI15" s="7157"/>
      <c r="EXJ15" s="7157"/>
      <c r="EXK15" s="7157"/>
      <c r="EXL15" s="7157"/>
      <c r="EXM15" s="7157"/>
      <c r="EXN15" s="7157"/>
      <c r="EXO15" s="7158"/>
      <c r="EXP15" s="7158"/>
      <c r="EXQ15" s="7158"/>
      <c r="EXR15" s="7158"/>
      <c r="EXS15" s="7158"/>
      <c r="EXT15" s="7159"/>
      <c r="EXU15" s="7152"/>
      <c r="EXV15" s="7153"/>
      <c r="EXW15" s="7153"/>
      <c r="EXX15" s="7153"/>
      <c r="EXY15" s="7157"/>
      <c r="EXZ15" s="7157"/>
      <c r="EYA15" s="7157"/>
      <c r="EYB15" s="7157"/>
      <c r="EYC15" s="7157"/>
      <c r="EYD15" s="7157"/>
      <c r="EYE15" s="7158"/>
      <c r="EYF15" s="7158"/>
      <c r="EYG15" s="7158"/>
      <c r="EYH15" s="7158"/>
      <c r="EYI15" s="7158"/>
      <c r="EYJ15" s="7159"/>
      <c r="EYK15" s="7152"/>
      <c r="EYL15" s="7153"/>
      <c r="EYM15" s="7153"/>
      <c r="EYN15" s="7153"/>
      <c r="EYO15" s="7157"/>
      <c r="EYP15" s="7157"/>
      <c r="EYQ15" s="7157"/>
      <c r="EYR15" s="7157"/>
      <c r="EYS15" s="7157"/>
      <c r="EYT15" s="7157"/>
      <c r="EYU15" s="7158"/>
      <c r="EYV15" s="7158"/>
      <c r="EYW15" s="7158"/>
      <c r="EYX15" s="7158"/>
      <c r="EYY15" s="7158"/>
      <c r="EYZ15" s="7159"/>
      <c r="EZA15" s="7152"/>
      <c r="EZB15" s="7153"/>
      <c r="EZC15" s="7153"/>
      <c r="EZD15" s="7153"/>
      <c r="EZE15" s="7157"/>
      <c r="EZF15" s="7157"/>
      <c r="EZG15" s="7157"/>
      <c r="EZH15" s="7157"/>
      <c r="EZI15" s="7157"/>
      <c r="EZJ15" s="7157"/>
      <c r="EZK15" s="7158"/>
      <c r="EZL15" s="7158"/>
      <c r="EZM15" s="7158"/>
      <c r="EZN15" s="7158"/>
      <c r="EZO15" s="7158"/>
      <c r="EZP15" s="7159"/>
      <c r="EZQ15" s="7152"/>
      <c r="EZR15" s="7153"/>
      <c r="EZS15" s="7153"/>
      <c r="EZT15" s="7153"/>
      <c r="EZU15" s="7157"/>
      <c r="EZV15" s="7157"/>
      <c r="EZW15" s="7157"/>
      <c r="EZX15" s="7157"/>
      <c r="EZY15" s="7157"/>
      <c r="EZZ15" s="7157"/>
      <c r="FAA15" s="7158"/>
      <c r="FAB15" s="7158"/>
      <c r="FAC15" s="7158"/>
      <c r="FAD15" s="7158"/>
      <c r="FAE15" s="7158"/>
      <c r="FAF15" s="7159"/>
      <c r="FAG15" s="7152"/>
      <c r="FAH15" s="7153"/>
      <c r="FAI15" s="7153"/>
      <c r="FAJ15" s="7153"/>
      <c r="FAK15" s="7157"/>
      <c r="FAL15" s="7157"/>
      <c r="FAM15" s="7157"/>
      <c r="FAN15" s="7157"/>
      <c r="FAO15" s="7157"/>
      <c r="FAP15" s="7157"/>
      <c r="FAQ15" s="7158"/>
      <c r="FAR15" s="7158"/>
      <c r="FAS15" s="7158"/>
      <c r="FAT15" s="7158"/>
      <c r="FAU15" s="7158"/>
      <c r="FAV15" s="7159"/>
      <c r="FAW15" s="7152"/>
      <c r="FAX15" s="7153"/>
      <c r="FAY15" s="7153"/>
      <c r="FAZ15" s="7153"/>
      <c r="FBA15" s="7157"/>
      <c r="FBB15" s="7157"/>
      <c r="FBC15" s="7157"/>
      <c r="FBD15" s="7157"/>
      <c r="FBE15" s="7157"/>
      <c r="FBF15" s="7157"/>
      <c r="FBG15" s="7158"/>
      <c r="FBH15" s="7158"/>
      <c r="FBI15" s="7158"/>
      <c r="FBJ15" s="7158"/>
      <c r="FBK15" s="7158"/>
      <c r="FBL15" s="7159"/>
      <c r="FBM15" s="7152"/>
      <c r="FBN15" s="7153"/>
      <c r="FBO15" s="7153"/>
      <c r="FBP15" s="7153"/>
      <c r="FBQ15" s="7157"/>
      <c r="FBR15" s="7157"/>
      <c r="FBS15" s="7157"/>
      <c r="FBT15" s="7157"/>
      <c r="FBU15" s="7157"/>
      <c r="FBV15" s="7157"/>
      <c r="FBW15" s="7158"/>
      <c r="FBX15" s="7158"/>
      <c r="FBY15" s="7158"/>
      <c r="FBZ15" s="7158"/>
      <c r="FCA15" s="7158"/>
      <c r="FCB15" s="7159"/>
      <c r="FCC15" s="7152"/>
      <c r="FCD15" s="7153"/>
      <c r="FCE15" s="7153"/>
      <c r="FCF15" s="7153"/>
      <c r="FCG15" s="7157"/>
      <c r="FCH15" s="7157"/>
      <c r="FCI15" s="7157"/>
      <c r="FCJ15" s="7157"/>
      <c r="FCK15" s="7157"/>
      <c r="FCL15" s="7157"/>
      <c r="FCM15" s="7158"/>
      <c r="FCN15" s="7158"/>
      <c r="FCO15" s="7158"/>
      <c r="FCP15" s="7158"/>
      <c r="FCQ15" s="7158"/>
      <c r="FCR15" s="7159"/>
      <c r="FCS15" s="7152"/>
      <c r="FCT15" s="7153"/>
      <c r="FCU15" s="7153"/>
      <c r="FCV15" s="7153"/>
      <c r="FCW15" s="7157"/>
      <c r="FCX15" s="7157"/>
      <c r="FCY15" s="7157"/>
      <c r="FCZ15" s="7157"/>
      <c r="FDA15" s="7157"/>
      <c r="FDB15" s="7157"/>
      <c r="FDC15" s="7158"/>
      <c r="FDD15" s="7158"/>
      <c r="FDE15" s="7158"/>
      <c r="FDF15" s="7158"/>
      <c r="FDG15" s="7158"/>
      <c r="FDH15" s="7159"/>
      <c r="FDI15" s="7152"/>
      <c r="FDJ15" s="7153"/>
      <c r="FDK15" s="7153"/>
      <c r="FDL15" s="7153"/>
      <c r="FDM15" s="7157"/>
      <c r="FDN15" s="7157"/>
      <c r="FDO15" s="7157"/>
      <c r="FDP15" s="7157"/>
      <c r="FDQ15" s="7157"/>
      <c r="FDR15" s="7157"/>
      <c r="FDS15" s="7158"/>
      <c r="FDT15" s="7158"/>
      <c r="FDU15" s="7158"/>
      <c r="FDV15" s="7158"/>
      <c r="FDW15" s="7158"/>
      <c r="FDX15" s="7159"/>
      <c r="FDY15" s="7152"/>
      <c r="FDZ15" s="7153"/>
      <c r="FEA15" s="7153"/>
      <c r="FEB15" s="7153"/>
      <c r="FEC15" s="7157"/>
      <c r="FED15" s="7157"/>
      <c r="FEE15" s="7157"/>
      <c r="FEF15" s="7157"/>
      <c r="FEG15" s="7157"/>
      <c r="FEH15" s="7157"/>
      <c r="FEI15" s="7158"/>
      <c r="FEJ15" s="7158"/>
      <c r="FEK15" s="7158"/>
      <c r="FEL15" s="7158"/>
      <c r="FEM15" s="7158"/>
      <c r="FEN15" s="7159"/>
      <c r="FEO15" s="7152"/>
      <c r="FEP15" s="7153"/>
      <c r="FEQ15" s="7153"/>
      <c r="FER15" s="7153"/>
      <c r="FES15" s="7157"/>
      <c r="FET15" s="7157"/>
      <c r="FEU15" s="7157"/>
      <c r="FEV15" s="7157"/>
      <c r="FEW15" s="7157"/>
      <c r="FEX15" s="7157"/>
      <c r="FEY15" s="7158"/>
      <c r="FEZ15" s="7158"/>
      <c r="FFA15" s="7158"/>
      <c r="FFB15" s="7158"/>
      <c r="FFC15" s="7158"/>
      <c r="FFD15" s="7159"/>
      <c r="FFE15" s="7152"/>
      <c r="FFF15" s="7153"/>
      <c r="FFG15" s="7153"/>
      <c r="FFH15" s="7153"/>
      <c r="FFI15" s="7157"/>
      <c r="FFJ15" s="7157"/>
      <c r="FFK15" s="7157"/>
      <c r="FFL15" s="7157"/>
      <c r="FFM15" s="7157"/>
      <c r="FFN15" s="7157"/>
      <c r="FFO15" s="7158"/>
      <c r="FFP15" s="7158"/>
      <c r="FFQ15" s="7158"/>
      <c r="FFR15" s="7158"/>
      <c r="FFS15" s="7158"/>
      <c r="FFT15" s="7159"/>
      <c r="FFU15" s="7152"/>
      <c r="FFV15" s="7153"/>
      <c r="FFW15" s="7153"/>
      <c r="FFX15" s="7153"/>
      <c r="FFY15" s="7157"/>
      <c r="FFZ15" s="7157"/>
      <c r="FGA15" s="7157"/>
      <c r="FGB15" s="7157"/>
      <c r="FGC15" s="7157"/>
      <c r="FGD15" s="7157"/>
      <c r="FGE15" s="7158"/>
      <c r="FGF15" s="7158"/>
      <c r="FGG15" s="7158"/>
      <c r="FGH15" s="7158"/>
      <c r="FGI15" s="7158"/>
      <c r="FGJ15" s="7159"/>
      <c r="FGK15" s="7152"/>
      <c r="FGL15" s="7153"/>
      <c r="FGM15" s="7153"/>
      <c r="FGN15" s="7153"/>
      <c r="FGO15" s="7157"/>
      <c r="FGP15" s="7157"/>
      <c r="FGQ15" s="7157"/>
      <c r="FGR15" s="7157"/>
      <c r="FGS15" s="7157"/>
      <c r="FGT15" s="7157"/>
      <c r="FGU15" s="7158"/>
      <c r="FGV15" s="7158"/>
      <c r="FGW15" s="7158"/>
      <c r="FGX15" s="7158"/>
      <c r="FGY15" s="7158"/>
      <c r="FGZ15" s="7159"/>
      <c r="FHA15" s="7152"/>
      <c r="FHB15" s="7153"/>
      <c r="FHC15" s="7153"/>
      <c r="FHD15" s="7153"/>
      <c r="FHE15" s="7157"/>
      <c r="FHF15" s="7157"/>
      <c r="FHG15" s="7157"/>
      <c r="FHH15" s="7157"/>
      <c r="FHI15" s="7157"/>
      <c r="FHJ15" s="7157"/>
      <c r="FHK15" s="7158"/>
      <c r="FHL15" s="7158"/>
      <c r="FHM15" s="7158"/>
      <c r="FHN15" s="7158"/>
      <c r="FHO15" s="7158"/>
      <c r="FHP15" s="7159"/>
      <c r="FHQ15" s="7152"/>
      <c r="FHR15" s="7153"/>
      <c r="FHS15" s="7153"/>
      <c r="FHT15" s="7153"/>
      <c r="FHU15" s="7157"/>
      <c r="FHV15" s="7157"/>
      <c r="FHW15" s="7157"/>
      <c r="FHX15" s="7157"/>
      <c r="FHY15" s="7157"/>
      <c r="FHZ15" s="7157"/>
      <c r="FIA15" s="7158"/>
      <c r="FIB15" s="7158"/>
      <c r="FIC15" s="7158"/>
      <c r="FID15" s="7158"/>
      <c r="FIE15" s="7158"/>
      <c r="FIF15" s="7159"/>
      <c r="FIG15" s="7152"/>
      <c r="FIH15" s="7153"/>
      <c r="FII15" s="7153"/>
      <c r="FIJ15" s="7153"/>
      <c r="FIK15" s="7157"/>
      <c r="FIL15" s="7157"/>
      <c r="FIM15" s="7157"/>
      <c r="FIN15" s="7157"/>
      <c r="FIO15" s="7157"/>
      <c r="FIP15" s="7157"/>
      <c r="FIQ15" s="7158"/>
      <c r="FIR15" s="7158"/>
      <c r="FIS15" s="7158"/>
      <c r="FIT15" s="7158"/>
      <c r="FIU15" s="7158"/>
      <c r="FIV15" s="7159"/>
      <c r="FIW15" s="7152"/>
      <c r="FIX15" s="7153"/>
      <c r="FIY15" s="7153"/>
      <c r="FIZ15" s="7153"/>
      <c r="FJA15" s="7157"/>
      <c r="FJB15" s="7157"/>
      <c r="FJC15" s="7157"/>
      <c r="FJD15" s="7157"/>
      <c r="FJE15" s="7157"/>
      <c r="FJF15" s="7157"/>
      <c r="FJG15" s="7158"/>
      <c r="FJH15" s="7158"/>
      <c r="FJI15" s="7158"/>
      <c r="FJJ15" s="7158"/>
      <c r="FJK15" s="7158"/>
      <c r="FJL15" s="7159"/>
      <c r="FJM15" s="7152"/>
      <c r="FJN15" s="7153"/>
      <c r="FJO15" s="7153"/>
      <c r="FJP15" s="7153"/>
      <c r="FJQ15" s="7157"/>
      <c r="FJR15" s="7157"/>
      <c r="FJS15" s="7157"/>
      <c r="FJT15" s="7157"/>
      <c r="FJU15" s="7157"/>
      <c r="FJV15" s="7157"/>
      <c r="FJW15" s="7158"/>
      <c r="FJX15" s="7158"/>
      <c r="FJY15" s="7158"/>
      <c r="FJZ15" s="7158"/>
      <c r="FKA15" s="7158"/>
      <c r="FKB15" s="7159"/>
      <c r="FKC15" s="7152"/>
      <c r="FKD15" s="7153"/>
      <c r="FKE15" s="7153"/>
      <c r="FKF15" s="7153"/>
      <c r="FKG15" s="7157"/>
      <c r="FKH15" s="7157"/>
      <c r="FKI15" s="7157"/>
      <c r="FKJ15" s="7157"/>
      <c r="FKK15" s="7157"/>
      <c r="FKL15" s="7157"/>
      <c r="FKM15" s="7158"/>
      <c r="FKN15" s="7158"/>
      <c r="FKO15" s="7158"/>
      <c r="FKP15" s="7158"/>
      <c r="FKQ15" s="7158"/>
      <c r="FKR15" s="7159"/>
      <c r="FKS15" s="7152"/>
      <c r="FKT15" s="7153"/>
      <c r="FKU15" s="7153"/>
      <c r="FKV15" s="7153"/>
      <c r="FKW15" s="7157"/>
      <c r="FKX15" s="7157"/>
      <c r="FKY15" s="7157"/>
      <c r="FKZ15" s="7157"/>
      <c r="FLA15" s="7157"/>
      <c r="FLB15" s="7157"/>
      <c r="FLC15" s="7158"/>
      <c r="FLD15" s="7158"/>
      <c r="FLE15" s="7158"/>
      <c r="FLF15" s="7158"/>
      <c r="FLG15" s="7158"/>
      <c r="FLH15" s="7159"/>
      <c r="FLI15" s="7152"/>
      <c r="FLJ15" s="7153"/>
      <c r="FLK15" s="7153"/>
      <c r="FLL15" s="7153"/>
      <c r="FLM15" s="7157"/>
      <c r="FLN15" s="7157"/>
      <c r="FLO15" s="7157"/>
      <c r="FLP15" s="7157"/>
      <c r="FLQ15" s="7157"/>
      <c r="FLR15" s="7157"/>
      <c r="FLS15" s="7158"/>
      <c r="FLT15" s="7158"/>
      <c r="FLU15" s="7158"/>
      <c r="FLV15" s="7158"/>
      <c r="FLW15" s="7158"/>
      <c r="FLX15" s="7159"/>
      <c r="FLY15" s="7152"/>
      <c r="FLZ15" s="7153"/>
      <c r="FMA15" s="7153"/>
      <c r="FMB15" s="7153"/>
      <c r="FMC15" s="7157"/>
      <c r="FMD15" s="7157"/>
      <c r="FME15" s="7157"/>
      <c r="FMF15" s="7157"/>
      <c r="FMG15" s="7157"/>
      <c r="FMH15" s="7157"/>
      <c r="FMI15" s="7158"/>
      <c r="FMJ15" s="7158"/>
      <c r="FMK15" s="7158"/>
      <c r="FML15" s="7158"/>
      <c r="FMM15" s="7158"/>
      <c r="FMN15" s="7159"/>
      <c r="FMO15" s="7152"/>
      <c r="FMP15" s="7153"/>
      <c r="FMQ15" s="7153"/>
      <c r="FMR15" s="7153"/>
      <c r="FMS15" s="7157"/>
      <c r="FMT15" s="7157"/>
      <c r="FMU15" s="7157"/>
      <c r="FMV15" s="7157"/>
      <c r="FMW15" s="7157"/>
      <c r="FMX15" s="7157"/>
      <c r="FMY15" s="7158"/>
      <c r="FMZ15" s="7158"/>
      <c r="FNA15" s="7158"/>
      <c r="FNB15" s="7158"/>
      <c r="FNC15" s="7158"/>
      <c r="FND15" s="7159"/>
      <c r="FNE15" s="7152"/>
      <c r="FNF15" s="7153"/>
      <c r="FNG15" s="7153"/>
      <c r="FNH15" s="7153"/>
      <c r="FNI15" s="7157"/>
      <c r="FNJ15" s="7157"/>
      <c r="FNK15" s="7157"/>
      <c r="FNL15" s="7157"/>
      <c r="FNM15" s="7157"/>
      <c r="FNN15" s="7157"/>
      <c r="FNO15" s="7158"/>
      <c r="FNP15" s="7158"/>
      <c r="FNQ15" s="7158"/>
      <c r="FNR15" s="7158"/>
      <c r="FNS15" s="7158"/>
      <c r="FNT15" s="7159"/>
      <c r="FNU15" s="7152"/>
      <c r="FNV15" s="7153"/>
      <c r="FNW15" s="7153"/>
      <c r="FNX15" s="7153"/>
      <c r="FNY15" s="7157"/>
      <c r="FNZ15" s="7157"/>
      <c r="FOA15" s="7157"/>
      <c r="FOB15" s="7157"/>
      <c r="FOC15" s="7157"/>
      <c r="FOD15" s="7157"/>
      <c r="FOE15" s="7158"/>
      <c r="FOF15" s="7158"/>
      <c r="FOG15" s="7158"/>
      <c r="FOH15" s="7158"/>
      <c r="FOI15" s="7158"/>
      <c r="FOJ15" s="7159"/>
      <c r="FOK15" s="7152"/>
      <c r="FOL15" s="7153"/>
      <c r="FOM15" s="7153"/>
      <c r="FON15" s="7153"/>
      <c r="FOO15" s="7157"/>
      <c r="FOP15" s="7157"/>
      <c r="FOQ15" s="7157"/>
      <c r="FOR15" s="7157"/>
      <c r="FOS15" s="7157"/>
      <c r="FOT15" s="7157"/>
      <c r="FOU15" s="7158"/>
      <c r="FOV15" s="7158"/>
      <c r="FOW15" s="7158"/>
      <c r="FOX15" s="7158"/>
      <c r="FOY15" s="7158"/>
      <c r="FOZ15" s="7159"/>
      <c r="FPA15" s="7152"/>
      <c r="FPB15" s="7153"/>
      <c r="FPC15" s="7153"/>
      <c r="FPD15" s="7153"/>
      <c r="FPE15" s="7157"/>
      <c r="FPF15" s="7157"/>
      <c r="FPG15" s="7157"/>
      <c r="FPH15" s="7157"/>
      <c r="FPI15" s="7157"/>
      <c r="FPJ15" s="7157"/>
      <c r="FPK15" s="7158"/>
      <c r="FPL15" s="7158"/>
      <c r="FPM15" s="7158"/>
      <c r="FPN15" s="7158"/>
      <c r="FPO15" s="7158"/>
      <c r="FPP15" s="7159"/>
      <c r="FPQ15" s="7152"/>
      <c r="FPR15" s="7153"/>
      <c r="FPS15" s="7153"/>
      <c r="FPT15" s="7153"/>
      <c r="FPU15" s="7157"/>
      <c r="FPV15" s="7157"/>
      <c r="FPW15" s="7157"/>
      <c r="FPX15" s="7157"/>
      <c r="FPY15" s="7157"/>
      <c r="FPZ15" s="7157"/>
      <c r="FQA15" s="7158"/>
      <c r="FQB15" s="7158"/>
      <c r="FQC15" s="7158"/>
      <c r="FQD15" s="7158"/>
      <c r="FQE15" s="7158"/>
      <c r="FQF15" s="7159"/>
      <c r="FQG15" s="7152"/>
      <c r="FQH15" s="7153"/>
      <c r="FQI15" s="7153"/>
      <c r="FQJ15" s="7153"/>
      <c r="FQK15" s="7157"/>
      <c r="FQL15" s="7157"/>
      <c r="FQM15" s="7157"/>
      <c r="FQN15" s="7157"/>
      <c r="FQO15" s="7157"/>
      <c r="FQP15" s="7157"/>
      <c r="FQQ15" s="7158"/>
      <c r="FQR15" s="7158"/>
      <c r="FQS15" s="7158"/>
      <c r="FQT15" s="7158"/>
      <c r="FQU15" s="7158"/>
      <c r="FQV15" s="7159"/>
      <c r="FQW15" s="7152"/>
      <c r="FQX15" s="7153"/>
      <c r="FQY15" s="7153"/>
      <c r="FQZ15" s="7153"/>
      <c r="FRA15" s="7157"/>
      <c r="FRB15" s="7157"/>
      <c r="FRC15" s="7157"/>
      <c r="FRD15" s="7157"/>
      <c r="FRE15" s="7157"/>
      <c r="FRF15" s="7157"/>
      <c r="FRG15" s="7158"/>
      <c r="FRH15" s="7158"/>
      <c r="FRI15" s="7158"/>
      <c r="FRJ15" s="7158"/>
      <c r="FRK15" s="7158"/>
      <c r="FRL15" s="7159"/>
      <c r="FRM15" s="7152"/>
      <c r="FRN15" s="7153"/>
      <c r="FRO15" s="7153"/>
      <c r="FRP15" s="7153"/>
      <c r="FRQ15" s="7157"/>
      <c r="FRR15" s="7157"/>
      <c r="FRS15" s="7157"/>
      <c r="FRT15" s="7157"/>
      <c r="FRU15" s="7157"/>
      <c r="FRV15" s="7157"/>
      <c r="FRW15" s="7158"/>
      <c r="FRX15" s="7158"/>
      <c r="FRY15" s="7158"/>
      <c r="FRZ15" s="7158"/>
      <c r="FSA15" s="7158"/>
      <c r="FSB15" s="7159"/>
      <c r="FSC15" s="7152"/>
      <c r="FSD15" s="7153"/>
      <c r="FSE15" s="7153"/>
      <c r="FSF15" s="7153"/>
      <c r="FSG15" s="7157"/>
      <c r="FSH15" s="7157"/>
      <c r="FSI15" s="7157"/>
      <c r="FSJ15" s="7157"/>
      <c r="FSK15" s="7157"/>
      <c r="FSL15" s="7157"/>
      <c r="FSM15" s="7158"/>
      <c r="FSN15" s="7158"/>
      <c r="FSO15" s="7158"/>
      <c r="FSP15" s="7158"/>
      <c r="FSQ15" s="7158"/>
      <c r="FSR15" s="7159"/>
      <c r="FSS15" s="7152"/>
      <c r="FST15" s="7153"/>
      <c r="FSU15" s="7153"/>
      <c r="FSV15" s="7153"/>
      <c r="FSW15" s="7157"/>
      <c r="FSX15" s="7157"/>
      <c r="FSY15" s="7157"/>
      <c r="FSZ15" s="7157"/>
      <c r="FTA15" s="7157"/>
      <c r="FTB15" s="7157"/>
      <c r="FTC15" s="7158"/>
      <c r="FTD15" s="7158"/>
      <c r="FTE15" s="7158"/>
      <c r="FTF15" s="7158"/>
      <c r="FTG15" s="7158"/>
      <c r="FTH15" s="7159"/>
      <c r="FTI15" s="7152"/>
      <c r="FTJ15" s="7153"/>
      <c r="FTK15" s="7153"/>
      <c r="FTL15" s="7153"/>
      <c r="FTM15" s="7157"/>
      <c r="FTN15" s="7157"/>
      <c r="FTO15" s="7157"/>
      <c r="FTP15" s="7157"/>
      <c r="FTQ15" s="7157"/>
      <c r="FTR15" s="7157"/>
      <c r="FTS15" s="7158"/>
      <c r="FTT15" s="7158"/>
      <c r="FTU15" s="7158"/>
      <c r="FTV15" s="7158"/>
      <c r="FTW15" s="7158"/>
      <c r="FTX15" s="7159"/>
      <c r="FTY15" s="7152"/>
      <c r="FTZ15" s="7153"/>
      <c r="FUA15" s="7153"/>
      <c r="FUB15" s="7153"/>
      <c r="FUC15" s="7157"/>
      <c r="FUD15" s="7157"/>
      <c r="FUE15" s="7157"/>
      <c r="FUF15" s="7157"/>
      <c r="FUG15" s="7157"/>
      <c r="FUH15" s="7157"/>
      <c r="FUI15" s="7158"/>
      <c r="FUJ15" s="7158"/>
      <c r="FUK15" s="7158"/>
      <c r="FUL15" s="7158"/>
      <c r="FUM15" s="7158"/>
      <c r="FUN15" s="7159"/>
      <c r="FUO15" s="7152"/>
      <c r="FUP15" s="7153"/>
      <c r="FUQ15" s="7153"/>
      <c r="FUR15" s="7153"/>
      <c r="FUS15" s="7157"/>
      <c r="FUT15" s="7157"/>
      <c r="FUU15" s="7157"/>
      <c r="FUV15" s="7157"/>
      <c r="FUW15" s="7157"/>
      <c r="FUX15" s="7157"/>
      <c r="FUY15" s="7158"/>
      <c r="FUZ15" s="7158"/>
      <c r="FVA15" s="7158"/>
      <c r="FVB15" s="7158"/>
      <c r="FVC15" s="7158"/>
      <c r="FVD15" s="7159"/>
      <c r="FVE15" s="7152"/>
      <c r="FVF15" s="7153"/>
      <c r="FVG15" s="7153"/>
      <c r="FVH15" s="7153"/>
      <c r="FVI15" s="7157"/>
      <c r="FVJ15" s="7157"/>
      <c r="FVK15" s="7157"/>
      <c r="FVL15" s="7157"/>
      <c r="FVM15" s="7157"/>
      <c r="FVN15" s="7157"/>
      <c r="FVO15" s="7158"/>
      <c r="FVP15" s="7158"/>
      <c r="FVQ15" s="7158"/>
      <c r="FVR15" s="7158"/>
      <c r="FVS15" s="7158"/>
      <c r="FVT15" s="7159"/>
      <c r="FVU15" s="7152"/>
      <c r="FVV15" s="7153"/>
      <c r="FVW15" s="7153"/>
      <c r="FVX15" s="7153"/>
      <c r="FVY15" s="7157"/>
      <c r="FVZ15" s="7157"/>
      <c r="FWA15" s="7157"/>
      <c r="FWB15" s="7157"/>
      <c r="FWC15" s="7157"/>
      <c r="FWD15" s="7157"/>
      <c r="FWE15" s="7158"/>
      <c r="FWF15" s="7158"/>
      <c r="FWG15" s="7158"/>
      <c r="FWH15" s="7158"/>
      <c r="FWI15" s="7158"/>
      <c r="FWJ15" s="7159"/>
      <c r="FWK15" s="7152"/>
      <c r="FWL15" s="7153"/>
      <c r="FWM15" s="7153"/>
      <c r="FWN15" s="7153"/>
      <c r="FWO15" s="7157"/>
      <c r="FWP15" s="7157"/>
      <c r="FWQ15" s="7157"/>
      <c r="FWR15" s="7157"/>
      <c r="FWS15" s="7157"/>
      <c r="FWT15" s="7157"/>
      <c r="FWU15" s="7158"/>
      <c r="FWV15" s="7158"/>
      <c r="FWW15" s="7158"/>
      <c r="FWX15" s="7158"/>
      <c r="FWY15" s="7158"/>
      <c r="FWZ15" s="7159"/>
      <c r="FXA15" s="7152"/>
      <c r="FXB15" s="7153"/>
      <c r="FXC15" s="7153"/>
      <c r="FXD15" s="7153"/>
      <c r="FXE15" s="7157"/>
      <c r="FXF15" s="7157"/>
      <c r="FXG15" s="7157"/>
      <c r="FXH15" s="7157"/>
      <c r="FXI15" s="7157"/>
      <c r="FXJ15" s="7157"/>
      <c r="FXK15" s="7158"/>
      <c r="FXL15" s="7158"/>
      <c r="FXM15" s="7158"/>
      <c r="FXN15" s="7158"/>
      <c r="FXO15" s="7158"/>
      <c r="FXP15" s="7159"/>
      <c r="FXQ15" s="7152"/>
      <c r="FXR15" s="7153"/>
      <c r="FXS15" s="7153"/>
      <c r="FXT15" s="7153"/>
      <c r="FXU15" s="7157"/>
      <c r="FXV15" s="7157"/>
      <c r="FXW15" s="7157"/>
      <c r="FXX15" s="7157"/>
      <c r="FXY15" s="7157"/>
      <c r="FXZ15" s="7157"/>
      <c r="FYA15" s="7158"/>
      <c r="FYB15" s="7158"/>
      <c r="FYC15" s="7158"/>
      <c r="FYD15" s="7158"/>
      <c r="FYE15" s="7158"/>
      <c r="FYF15" s="7159"/>
      <c r="FYG15" s="7152"/>
      <c r="FYH15" s="7153"/>
      <c r="FYI15" s="7153"/>
      <c r="FYJ15" s="7153"/>
      <c r="FYK15" s="7157"/>
      <c r="FYL15" s="7157"/>
      <c r="FYM15" s="7157"/>
      <c r="FYN15" s="7157"/>
      <c r="FYO15" s="7157"/>
      <c r="FYP15" s="7157"/>
      <c r="FYQ15" s="7158"/>
      <c r="FYR15" s="7158"/>
      <c r="FYS15" s="7158"/>
      <c r="FYT15" s="7158"/>
      <c r="FYU15" s="7158"/>
      <c r="FYV15" s="7159"/>
      <c r="FYW15" s="7152"/>
      <c r="FYX15" s="7153"/>
      <c r="FYY15" s="7153"/>
      <c r="FYZ15" s="7153"/>
      <c r="FZA15" s="7157"/>
      <c r="FZB15" s="7157"/>
      <c r="FZC15" s="7157"/>
      <c r="FZD15" s="7157"/>
      <c r="FZE15" s="7157"/>
      <c r="FZF15" s="7157"/>
      <c r="FZG15" s="7158"/>
      <c r="FZH15" s="7158"/>
      <c r="FZI15" s="7158"/>
      <c r="FZJ15" s="7158"/>
      <c r="FZK15" s="7158"/>
      <c r="FZL15" s="7159"/>
      <c r="FZM15" s="7152"/>
      <c r="FZN15" s="7153"/>
      <c r="FZO15" s="7153"/>
      <c r="FZP15" s="7153"/>
      <c r="FZQ15" s="7157"/>
      <c r="FZR15" s="7157"/>
      <c r="FZS15" s="7157"/>
      <c r="FZT15" s="7157"/>
      <c r="FZU15" s="7157"/>
      <c r="FZV15" s="7157"/>
      <c r="FZW15" s="7158"/>
      <c r="FZX15" s="7158"/>
      <c r="FZY15" s="7158"/>
      <c r="FZZ15" s="7158"/>
      <c r="GAA15" s="7158"/>
      <c r="GAB15" s="7159"/>
      <c r="GAC15" s="7152"/>
      <c r="GAD15" s="7153"/>
      <c r="GAE15" s="7153"/>
      <c r="GAF15" s="7153"/>
      <c r="GAG15" s="7157"/>
      <c r="GAH15" s="7157"/>
      <c r="GAI15" s="7157"/>
      <c r="GAJ15" s="7157"/>
      <c r="GAK15" s="7157"/>
      <c r="GAL15" s="7157"/>
      <c r="GAM15" s="7158"/>
      <c r="GAN15" s="7158"/>
      <c r="GAO15" s="7158"/>
      <c r="GAP15" s="7158"/>
      <c r="GAQ15" s="7158"/>
      <c r="GAR15" s="7159"/>
      <c r="GAS15" s="7152"/>
      <c r="GAT15" s="7153"/>
      <c r="GAU15" s="7153"/>
      <c r="GAV15" s="7153"/>
      <c r="GAW15" s="7157"/>
      <c r="GAX15" s="7157"/>
      <c r="GAY15" s="7157"/>
      <c r="GAZ15" s="7157"/>
      <c r="GBA15" s="7157"/>
      <c r="GBB15" s="7157"/>
      <c r="GBC15" s="7158"/>
      <c r="GBD15" s="7158"/>
      <c r="GBE15" s="7158"/>
      <c r="GBF15" s="7158"/>
      <c r="GBG15" s="7158"/>
      <c r="GBH15" s="7159"/>
      <c r="GBI15" s="7152"/>
      <c r="GBJ15" s="7153"/>
      <c r="GBK15" s="7153"/>
      <c r="GBL15" s="7153"/>
      <c r="GBM15" s="7157"/>
      <c r="GBN15" s="7157"/>
      <c r="GBO15" s="7157"/>
      <c r="GBP15" s="7157"/>
      <c r="GBQ15" s="7157"/>
      <c r="GBR15" s="7157"/>
      <c r="GBS15" s="7158"/>
      <c r="GBT15" s="7158"/>
      <c r="GBU15" s="7158"/>
      <c r="GBV15" s="7158"/>
      <c r="GBW15" s="7158"/>
      <c r="GBX15" s="7159"/>
      <c r="GBY15" s="7152"/>
      <c r="GBZ15" s="7153"/>
      <c r="GCA15" s="7153"/>
      <c r="GCB15" s="7153"/>
      <c r="GCC15" s="7157"/>
      <c r="GCD15" s="7157"/>
      <c r="GCE15" s="7157"/>
      <c r="GCF15" s="7157"/>
      <c r="GCG15" s="7157"/>
      <c r="GCH15" s="7157"/>
      <c r="GCI15" s="7158"/>
      <c r="GCJ15" s="7158"/>
      <c r="GCK15" s="7158"/>
      <c r="GCL15" s="7158"/>
      <c r="GCM15" s="7158"/>
      <c r="GCN15" s="7159"/>
      <c r="GCO15" s="7152"/>
      <c r="GCP15" s="7153"/>
      <c r="GCQ15" s="7153"/>
      <c r="GCR15" s="7153"/>
      <c r="GCS15" s="7157"/>
      <c r="GCT15" s="7157"/>
      <c r="GCU15" s="7157"/>
      <c r="GCV15" s="7157"/>
      <c r="GCW15" s="7157"/>
      <c r="GCX15" s="7157"/>
      <c r="GCY15" s="7158"/>
      <c r="GCZ15" s="7158"/>
      <c r="GDA15" s="7158"/>
      <c r="GDB15" s="7158"/>
      <c r="GDC15" s="7158"/>
      <c r="GDD15" s="7159"/>
      <c r="GDE15" s="7152"/>
      <c r="GDF15" s="7153"/>
      <c r="GDG15" s="7153"/>
      <c r="GDH15" s="7153"/>
      <c r="GDI15" s="7157"/>
      <c r="GDJ15" s="7157"/>
      <c r="GDK15" s="7157"/>
      <c r="GDL15" s="7157"/>
      <c r="GDM15" s="7157"/>
      <c r="GDN15" s="7157"/>
      <c r="GDO15" s="7158"/>
      <c r="GDP15" s="7158"/>
      <c r="GDQ15" s="7158"/>
      <c r="GDR15" s="7158"/>
      <c r="GDS15" s="7158"/>
      <c r="GDT15" s="7159"/>
      <c r="GDU15" s="7152"/>
      <c r="GDV15" s="7153"/>
      <c r="GDW15" s="7153"/>
      <c r="GDX15" s="7153"/>
      <c r="GDY15" s="7157"/>
      <c r="GDZ15" s="7157"/>
      <c r="GEA15" s="7157"/>
      <c r="GEB15" s="7157"/>
      <c r="GEC15" s="7157"/>
      <c r="GED15" s="7157"/>
      <c r="GEE15" s="7158"/>
      <c r="GEF15" s="7158"/>
      <c r="GEG15" s="7158"/>
      <c r="GEH15" s="7158"/>
      <c r="GEI15" s="7158"/>
      <c r="GEJ15" s="7159"/>
      <c r="GEK15" s="7152"/>
      <c r="GEL15" s="7153"/>
      <c r="GEM15" s="7153"/>
      <c r="GEN15" s="7153"/>
      <c r="GEO15" s="7157"/>
      <c r="GEP15" s="7157"/>
      <c r="GEQ15" s="7157"/>
      <c r="GER15" s="7157"/>
      <c r="GES15" s="7157"/>
      <c r="GET15" s="7157"/>
      <c r="GEU15" s="7158"/>
      <c r="GEV15" s="7158"/>
      <c r="GEW15" s="7158"/>
      <c r="GEX15" s="7158"/>
      <c r="GEY15" s="7158"/>
      <c r="GEZ15" s="7159"/>
      <c r="GFA15" s="7152"/>
      <c r="GFB15" s="7153"/>
      <c r="GFC15" s="7153"/>
      <c r="GFD15" s="7153"/>
      <c r="GFE15" s="7157"/>
      <c r="GFF15" s="7157"/>
      <c r="GFG15" s="7157"/>
      <c r="GFH15" s="7157"/>
      <c r="GFI15" s="7157"/>
      <c r="GFJ15" s="7157"/>
      <c r="GFK15" s="7158"/>
      <c r="GFL15" s="7158"/>
      <c r="GFM15" s="7158"/>
      <c r="GFN15" s="7158"/>
      <c r="GFO15" s="7158"/>
      <c r="GFP15" s="7159"/>
      <c r="GFQ15" s="7152"/>
      <c r="GFR15" s="7153"/>
      <c r="GFS15" s="7153"/>
      <c r="GFT15" s="7153"/>
      <c r="GFU15" s="7157"/>
      <c r="GFV15" s="7157"/>
      <c r="GFW15" s="7157"/>
      <c r="GFX15" s="7157"/>
      <c r="GFY15" s="7157"/>
      <c r="GFZ15" s="7157"/>
      <c r="GGA15" s="7158"/>
      <c r="GGB15" s="7158"/>
      <c r="GGC15" s="7158"/>
      <c r="GGD15" s="7158"/>
      <c r="GGE15" s="7158"/>
      <c r="GGF15" s="7159"/>
      <c r="GGG15" s="7152"/>
      <c r="GGH15" s="7153"/>
      <c r="GGI15" s="7153"/>
      <c r="GGJ15" s="7153"/>
      <c r="GGK15" s="7157"/>
      <c r="GGL15" s="7157"/>
      <c r="GGM15" s="7157"/>
      <c r="GGN15" s="7157"/>
      <c r="GGO15" s="7157"/>
      <c r="GGP15" s="7157"/>
      <c r="GGQ15" s="7158"/>
      <c r="GGR15" s="7158"/>
      <c r="GGS15" s="7158"/>
      <c r="GGT15" s="7158"/>
      <c r="GGU15" s="7158"/>
      <c r="GGV15" s="7159"/>
      <c r="GGW15" s="7152"/>
      <c r="GGX15" s="7153"/>
      <c r="GGY15" s="7153"/>
      <c r="GGZ15" s="7153"/>
      <c r="GHA15" s="7157"/>
      <c r="GHB15" s="7157"/>
      <c r="GHC15" s="7157"/>
      <c r="GHD15" s="7157"/>
      <c r="GHE15" s="7157"/>
      <c r="GHF15" s="7157"/>
      <c r="GHG15" s="7158"/>
      <c r="GHH15" s="7158"/>
      <c r="GHI15" s="7158"/>
      <c r="GHJ15" s="7158"/>
      <c r="GHK15" s="7158"/>
      <c r="GHL15" s="7159"/>
      <c r="GHM15" s="7152"/>
      <c r="GHN15" s="7153"/>
      <c r="GHO15" s="7153"/>
      <c r="GHP15" s="7153"/>
      <c r="GHQ15" s="7157"/>
      <c r="GHR15" s="7157"/>
      <c r="GHS15" s="7157"/>
      <c r="GHT15" s="7157"/>
      <c r="GHU15" s="7157"/>
      <c r="GHV15" s="7157"/>
      <c r="GHW15" s="7158"/>
      <c r="GHX15" s="7158"/>
      <c r="GHY15" s="7158"/>
      <c r="GHZ15" s="7158"/>
      <c r="GIA15" s="7158"/>
      <c r="GIB15" s="7159"/>
      <c r="GIC15" s="7152"/>
      <c r="GID15" s="7153"/>
      <c r="GIE15" s="7153"/>
      <c r="GIF15" s="7153"/>
      <c r="GIG15" s="7157"/>
      <c r="GIH15" s="7157"/>
      <c r="GII15" s="7157"/>
      <c r="GIJ15" s="7157"/>
      <c r="GIK15" s="7157"/>
      <c r="GIL15" s="7157"/>
      <c r="GIM15" s="7158"/>
      <c r="GIN15" s="7158"/>
      <c r="GIO15" s="7158"/>
      <c r="GIP15" s="7158"/>
      <c r="GIQ15" s="7158"/>
      <c r="GIR15" s="7159"/>
      <c r="GIS15" s="7152"/>
      <c r="GIT15" s="7153"/>
      <c r="GIU15" s="7153"/>
      <c r="GIV15" s="7153"/>
      <c r="GIW15" s="7157"/>
      <c r="GIX15" s="7157"/>
      <c r="GIY15" s="7157"/>
      <c r="GIZ15" s="7157"/>
      <c r="GJA15" s="7157"/>
      <c r="GJB15" s="7157"/>
      <c r="GJC15" s="7158"/>
      <c r="GJD15" s="7158"/>
      <c r="GJE15" s="7158"/>
      <c r="GJF15" s="7158"/>
      <c r="GJG15" s="7158"/>
      <c r="GJH15" s="7159"/>
      <c r="GJI15" s="7152"/>
      <c r="GJJ15" s="7153"/>
      <c r="GJK15" s="7153"/>
      <c r="GJL15" s="7153"/>
      <c r="GJM15" s="7157"/>
      <c r="GJN15" s="7157"/>
      <c r="GJO15" s="7157"/>
      <c r="GJP15" s="7157"/>
      <c r="GJQ15" s="7157"/>
      <c r="GJR15" s="7157"/>
      <c r="GJS15" s="7158"/>
      <c r="GJT15" s="7158"/>
      <c r="GJU15" s="7158"/>
      <c r="GJV15" s="7158"/>
      <c r="GJW15" s="7158"/>
      <c r="GJX15" s="7159"/>
      <c r="GJY15" s="7152"/>
      <c r="GJZ15" s="7153"/>
      <c r="GKA15" s="7153"/>
      <c r="GKB15" s="7153"/>
      <c r="GKC15" s="7157"/>
      <c r="GKD15" s="7157"/>
      <c r="GKE15" s="7157"/>
      <c r="GKF15" s="7157"/>
      <c r="GKG15" s="7157"/>
      <c r="GKH15" s="7157"/>
      <c r="GKI15" s="7158"/>
      <c r="GKJ15" s="7158"/>
      <c r="GKK15" s="7158"/>
      <c r="GKL15" s="7158"/>
      <c r="GKM15" s="7158"/>
      <c r="GKN15" s="7159"/>
      <c r="GKO15" s="7152"/>
      <c r="GKP15" s="7153"/>
      <c r="GKQ15" s="7153"/>
      <c r="GKR15" s="7153"/>
      <c r="GKS15" s="7157"/>
      <c r="GKT15" s="7157"/>
      <c r="GKU15" s="7157"/>
      <c r="GKV15" s="7157"/>
      <c r="GKW15" s="7157"/>
      <c r="GKX15" s="7157"/>
      <c r="GKY15" s="7158"/>
      <c r="GKZ15" s="7158"/>
      <c r="GLA15" s="7158"/>
      <c r="GLB15" s="7158"/>
      <c r="GLC15" s="7158"/>
      <c r="GLD15" s="7159"/>
      <c r="GLE15" s="7152"/>
      <c r="GLF15" s="7153"/>
      <c r="GLG15" s="7153"/>
      <c r="GLH15" s="7153"/>
      <c r="GLI15" s="7157"/>
      <c r="GLJ15" s="7157"/>
      <c r="GLK15" s="7157"/>
      <c r="GLL15" s="7157"/>
      <c r="GLM15" s="7157"/>
      <c r="GLN15" s="7157"/>
      <c r="GLO15" s="7158"/>
      <c r="GLP15" s="7158"/>
      <c r="GLQ15" s="7158"/>
      <c r="GLR15" s="7158"/>
      <c r="GLS15" s="7158"/>
      <c r="GLT15" s="7159"/>
      <c r="GLU15" s="7152"/>
      <c r="GLV15" s="7153"/>
      <c r="GLW15" s="7153"/>
      <c r="GLX15" s="7153"/>
      <c r="GLY15" s="7157"/>
      <c r="GLZ15" s="7157"/>
      <c r="GMA15" s="7157"/>
      <c r="GMB15" s="7157"/>
      <c r="GMC15" s="7157"/>
      <c r="GMD15" s="7157"/>
      <c r="GME15" s="7158"/>
      <c r="GMF15" s="7158"/>
      <c r="GMG15" s="7158"/>
      <c r="GMH15" s="7158"/>
      <c r="GMI15" s="7158"/>
      <c r="GMJ15" s="7159"/>
      <c r="GMK15" s="7152"/>
      <c r="GML15" s="7153"/>
      <c r="GMM15" s="7153"/>
      <c r="GMN15" s="7153"/>
      <c r="GMO15" s="7157"/>
      <c r="GMP15" s="7157"/>
      <c r="GMQ15" s="7157"/>
      <c r="GMR15" s="7157"/>
      <c r="GMS15" s="7157"/>
      <c r="GMT15" s="7157"/>
      <c r="GMU15" s="7158"/>
      <c r="GMV15" s="7158"/>
      <c r="GMW15" s="7158"/>
      <c r="GMX15" s="7158"/>
      <c r="GMY15" s="7158"/>
      <c r="GMZ15" s="7159"/>
      <c r="GNA15" s="7152"/>
      <c r="GNB15" s="7153"/>
      <c r="GNC15" s="7153"/>
      <c r="GND15" s="7153"/>
      <c r="GNE15" s="7157"/>
      <c r="GNF15" s="7157"/>
      <c r="GNG15" s="7157"/>
      <c r="GNH15" s="7157"/>
      <c r="GNI15" s="7157"/>
      <c r="GNJ15" s="7157"/>
      <c r="GNK15" s="7158"/>
      <c r="GNL15" s="7158"/>
      <c r="GNM15" s="7158"/>
      <c r="GNN15" s="7158"/>
      <c r="GNO15" s="7158"/>
      <c r="GNP15" s="7159"/>
      <c r="GNQ15" s="7152"/>
      <c r="GNR15" s="7153"/>
      <c r="GNS15" s="7153"/>
      <c r="GNT15" s="7153"/>
      <c r="GNU15" s="7157"/>
      <c r="GNV15" s="7157"/>
      <c r="GNW15" s="7157"/>
      <c r="GNX15" s="7157"/>
      <c r="GNY15" s="7157"/>
      <c r="GNZ15" s="7157"/>
      <c r="GOA15" s="7158"/>
      <c r="GOB15" s="7158"/>
      <c r="GOC15" s="7158"/>
      <c r="GOD15" s="7158"/>
      <c r="GOE15" s="7158"/>
      <c r="GOF15" s="7159"/>
      <c r="GOG15" s="7152"/>
      <c r="GOH15" s="7153"/>
      <c r="GOI15" s="7153"/>
      <c r="GOJ15" s="7153"/>
      <c r="GOK15" s="7157"/>
      <c r="GOL15" s="7157"/>
      <c r="GOM15" s="7157"/>
      <c r="GON15" s="7157"/>
      <c r="GOO15" s="7157"/>
      <c r="GOP15" s="7157"/>
      <c r="GOQ15" s="7158"/>
      <c r="GOR15" s="7158"/>
      <c r="GOS15" s="7158"/>
      <c r="GOT15" s="7158"/>
      <c r="GOU15" s="7158"/>
      <c r="GOV15" s="7159"/>
      <c r="GOW15" s="7152"/>
      <c r="GOX15" s="7153"/>
      <c r="GOY15" s="7153"/>
      <c r="GOZ15" s="7153"/>
      <c r="GPA15" s="7157"/>
      <c r="GPB15" s="7157"/>
      <c r="GPC15" s="7157"/>
      <c r="GPD15" s="7157"/>
      <c r="GPE15" s="7157"/>
      <c r="GPF15" s="7157"/>
      <c r="GPG15" s="7158"/>
      <c r="GPH15" s="7158"/>
      <c r="GPI15" s="7158"/>
      <c r="GPJ15" s="7158"/>
      <c r="GPK15" s="7158"/>
      <c r="GPL15" s="7159"/>
      <c r="GPM15" s="7152"/>
      <c r="GPN15" s="7153"/>
      <c r="GPO15" s="7153"/>
      <c r="GPP15" s="7153"/>
      <c r="GPQ15" s="7157"/>
      <c r="GPR15" s="7157"/>
      <c r="GPS15" s="7157"/>
      <c r="GPT15" s="7157"/>
      <c r="GPU15" s="7157"/>
      <c r="GPV15" s="7157"/>
      <c r="GPW15" s="7158"/>
      <c r="GPX15" s="7158"/>
      <c r="GPY15" s="7158"/>
      <c r="GPZ15" s="7158"/>
      <c r="GQA15" s="7158"/>
      <c r="GQB15" s="7159"/>
      <c r="GQC15" s="7152"/>
      <c r="GQD15" s="7153"/>
      <c r="GQE15" s="7153"/>
      <c r="GQF15" s="7153"/>
      <c r="GQG15" s="7157"/>
      <c r="GQH15" s="7157"/>
      <c r="GQI15" s="7157"/>
      <c r="GQJ15" s="7157"/>
      <c r="GQK15" s="7157"/>
      <c r="GQL15" s="7157"/>
      <c r="GQM15" s="7158"/>
      <c r="GQN15" s="7158"/>
      <c r="GQO15" s="7158"/>
      <c r="GQP15" s="7158"/>
      <c r="GQQ15" s="7158"/>
      <c r="GQR15" s="7159"/>
      <c r="GQS15" s="7152"/>
      <c r="GQT15" s="7153"/>
      <c r="GQU15" s="7153"/>
      <c r="GQV15" s="7153"/>
      <c r="GQW15" s="7157"/>
      <c r="GQX15" s="7157"/>
      <c r="GQY15" s="7157"/>
      <c r="GQZ15" s="7157"/>
      <c r="GRA15" s="7157"/>
      <c r="GRB15" s="7157"/>
      <c r="GRC15" s="7158"/>
      <c r="GRD15" s="7158"/>
      <c r="GRE15" s="7158"/>
      <c r="GRF15" s="7158"/>
      <c r="GRG15" s="7158"/>
      <c r="GRH15" s="7159"/>
      <c r="GRI15" s="7152"/>
      <c r="GRJ15" s="7153"/>
      <c r="GRK15" s="7153"/>
      <c r="GRL15" s="7153"/>
      <c r="GRM15" s="7157"/>
      <c r="GRN15" s="7157"/>
      <c r="GRO15" s="7157"/>
      <c r="GRP15" s="7157"/>
      <c r="GRQ15" s="7157"/>
      <c r="GRR15" s="7157"/>
      <c r="GRS15" s="7158"/>
      <c r="GRT15" s="7158"/>
      <c r="GRU15" s="7158"/>
      <c r="GRV15" s="7158"/>
      <c r="GRW15" s="7158"/>
      <c r="GRX15" s="7159"/>
      <c r="GRY15" s="7152"/>
      <c r="GRZ15" s="7153"/>
      <c r="GSA15" s="7153"/>
      <c r="GSB15" s="7153"/>
      <c r="GSC15" s="7157"/>
      <c r="GSD15" s="7157"/>
      <c r="GSE15" s="7157"/>
      <c r="GSF15" s="7157"/>
      <c r="GSG15" s="7157"/>
      <c r="GSH15" s="7157"/>
      <c r="GSI15" s="7158"/>
      <c r="GSJ15" s="7158"/>
      <c r="GSK15" s="7158"/>
      <c r="GSL15" s="7158"/>
      <c r="GSM15" s="7158"/>
      <c r="GSN15" s="7159"/>
      <c r="GSO15" s="7152"/>
      <c r="GSP15" s="7153"/>
      <c r="GSQ15" s="7153"/>
      <c r="GSR15" s="7153"/>
      <c r="GSS15" s="7157"/>
      <c r="GST15" s="7157"/>
      <c r="GSU15" s="7157"/>
      <c r="GSV15" s="7157"/>
      <c r="GSW15" s="7157"/>
      <c r="GSX15" s="7157"/>
      <c r="GSY15" s="7158"/>
      <c r="GSZ15" s="7158"/>
      <c r="GTA15" s="7158"/>
      <c r="GTB15" s="7158"/>
      <c r="GTC15" s="7158"/>
      <c r="GTD15" s="7159"/>
      <c r="GTE15" s="7152"/>
      <c r="GTF15" s="7153"/>
      <c r="GTG15" s="7153"/>
      <c r="GTH15" s="7153"/>
      <c r="GTI15" s="7157"/>
      <c r="GTJ15" s="7157"/>
      <c r="GTK15" s="7157"/>
      <c r="GTL15" s="7157"/>
      <c r="GTM15" s="7157"/>
      <c r="GTN15" s="7157"/>
      <c r="GTO15" s="7158"/>
      <c r="GTP15" s="7158"/>
      <c r="GTQ15" s="7158"/>
      <c r="GTR15" s="7158"/>
      <c r="GTS15" s="7158"/>
      <c r="GTT15" s="7159"/>
      <c r="GTU15" s="7152"/>
      <c r="GTV15" s="7153"/>
      <c r="GTW15" s="7153"/>
      <c r="GTX15" s="7153"/>
      <c r="GTY15" s="7157"/>
      <c r="GTZ15" s="7157"/>
      <c r="GUA15" s="7157"/>
      <c r="GUB15" s="7157"/>
      <c r="GUC15" s="7157"/>
      <c r="GUD15" s="7157"/>
      <c r="GUE15" s="7158"/>
      <c r="GUF15" s="7158"/>
      <c r="GUG15" s="7158"/>
      <c r="GUH15" s="7158"/>
      <c r="GUI15" s="7158"/>
      <c r="GUJ15" s="7159"/>
      <c r="GUK15" s="7152"/>
      <c r="GUL15" s="7153"/>
      <c r="GUM15" s="7153"/>
      <c r="GUN15" s="7153"/>
      <c r="GUO15" s="7157"/>
      <c r="GUP15" s="7157"/>
      <c r="GUQ15" s="7157"/>
      <c r="GUR15" s="7157"/>
      <c r="GUS15" s="7157"/>
      <c r="GUT15" s="7157"/>
      <c r="GUU15" s="7158"/>
      <c r="GUV15" s="7158"/>
      <c r="GUW15" s="7158"/>
      <c r="GUX15" s="7158"/>
      <c r="GUY15" s="7158"/>
      <c r="GUZ15" s="7159"/>
      <c r="GVA15" s="7152"/>
      <c r="GVB15" s="7153"/>
      <c r="GVC15" s="7153"/>
      <c r="GVD15" s="7153"/>
      <c r="GVE15" s="7157"/>
      <c r="GVF15" s="7157"/>
      <c r="GVG15" s="7157"/>
      <c r="GVH15" s="7157"/>
      <c r="GVI15" s="7157"/>
      <c r="GVJ15" s="7157"/>
      <c r="GVK15" s="7158"/>
      <c r="GVL15" s="7158"/>
      <c r="GVM15" s="7158"/>
      <c r="GVN15" s="7158"/>
      <c r="GVO15" s="7158"/>
      <c r="GVP15" s="7159"/>
      <c r="GVQ15" s="7152"/>
      <c r="GVR15" s="7153"/>
      <c r="GVS15" s="7153"/>
      <c r="GVT15" s="7153"/>
      <c r="GVU15" s="7157"/>
      <c r="GVV15" s="7157"/>
      <c r="GVW15" s="7157"/>
      <c r="GVX15" s="7157"/>
      <c r="GVY15" s="7157"/>
      <c r="GVZ15" s="7157"/>
      <c r="GWA15" s="7158"/>
      <c r="GWB15" s="7158"/>
      <c r="GWC15" s="7158"/>
      <c r="GWD15" s="7158"/>
      <c r="GWE15" s="7158"/>
      <c r="GWF15" s="7159"/>
      <c r="GWG15" s="7152"/>
      <c r="GWH15" s="7153"/>
      <c r="GWI15" s="7153"/>
      <c r="GWJ15" s="7153"/>
      <c r="GWK15" s="7157"/>
      <c r="GWL15" s="7157"/>
      <c r="GWM15" s="7157"/>
      <c r="GWN15" s="7157"/>
      <c r="GWO15" s="7157"/>
      <c r="GWP15" s="7157"/>
      <c r="GWQ15" s="7158"/>
      <c r="GWR15" s="7158"/>
      <c r="GWS15" s="7158"/>
      <c r="GWT15" s="7158"/>
      <c r="GWU15" s="7158"/>
      <c r="GWV15" s="7159"/>
      <c r="GWW15" s="7152"/>
      <c r="GWX15" s="7153"/>
      <c r="GWY15" s="7153"/>
      <c r="GWZ15" s="7153"/>
      <c r="GXA15" s="7157"/>
      <c r="GXB15" s="7157"/>
      <c r="GXC15" s="7157"/>
      <c r="GXD15" s="7157"/>
      <c r="GXE15" s="7157"/>
      <c r="GXF15" s="7157"/>
      <c r="GXG15" s="7158"/>
      <c r="GXH15" s="7158"/>
      <c r="GXI15" s="7158"/>
      <c r="GXJ15" s="7158"/>
      <c r="GXK15" s="7158"/>
      <c r="GXL15" s="7159"/>
      <c r="GXM15" s="7152"/>
      <c r="GXN15" s="7153"/>
      <c r="GXO15" s="7153"/>
      <c r="GXP15" s="7153"/>
      <c r="GXQ15" s="7157"/>
      <c r="GXR15" s="7157"/>
      <c r="GXS15" s="7157"/>
      <c r="GXT15" s="7157"/>
      <c r="GXU15" s="7157"/>
      <c r="GXV15" s="7157"/>
      <c r="GXW15" s="7158"/>
      <c r="GXX15" s="7158"/>
      <c r="GXY15" s="7158"/>
      <c r="GXZ15" s="7158"/>
      <c r="GYA15" s="7158"/>
      <c r="GYB15" s="7159"/>
      <c r="GYC15" s="7152"/>
      <c r="GYD15" s="7153"/>
      <c r="GYE15" s="7153"/>
      <c r="GYF15" s="7153"/>
      <c r="GYG15" s="7157"/>
      <c r="GYH15" s="7157"/>
      <c r="GYI15" s="7157"/>
      <c r="GYJ15" s="7157"/>
      <c r="GYK15" s="7157"/>
      <c r="GYL15" s="7157"/>
      <c r="GYM15" s="7158"/>
      <c r="GYN15" s="7158"/>
      <c r="GYO15" s="7158"/>
      <c r="GYP15" s="7158"/>
      <c r="GYQ15" s="7158"/>
      <c r="GYR15" s="7159"/>
      <c r="GYS15" s="7152"/>
      <c r="GYT15" s="7153"/>
      <c r="GYU15" s="7153"/>
      <c r="GYV15" s="7153"/>
      <c r="GYW15" s="7157"/>
      <c r="GYX15" s="7157"/>
      <c r="GYY15" s="7157"/>
      <c r="GYZ15" s="7157"/>
      <c r="GZA15" s="7157"/>
      <c r="GZB15" s="7157"/>
      <c r="GZC15" s="7158"/>
      <c r="GZD15" s="7158"/>
      <c r="GZE15" s="7158"/>
      <c r="GZF15" s="7158"/>
      <c r="GZG15" s="7158"/>
      <c r="GZH15" s="7159"/>
      <c r="GZI15" s="7152"/>
      <c r="GZJ15" s="7153"/>
      <c r="GZK15" s="7153"/>
      <c r="GZL15" s="7153"/>
      <c r="GZM15" s="7157"/>
      <c r="GZN15" s="7157"/>
      <c r="GZO15" s="7157"/>
      <c r="GZP15" s="7157"/>
      <c r="GZQ15" s="7157"/>
      <c r="GZR15" s="7157"/>
      <c r="GZS15" s="7158"/>
      <c r="GZT15" s="7158"/>
      <c r="GZU15" s="7158"/>
      <c r="GZV15" s="7158"/>
      <c r="GZW15" s="7158"/>
      <c r="GZX15" s="7159"/>
      <c r="GZY15" s="7152"/>
      <c r="GZZ15" s="7153"/>
      <c r="HAA15" s="7153"/>
      <c r="HAB15" s="7153"/>
      <c r="HAC15" s="7157"/>
      <c r="HAD15" s="7157"/>
      <c r="HAE15" s="7157"/>
      <c r="HAF15" s="7157"/>
      <c r="HAG15" s="7157"/>
      <c r="HAH15" s="7157"/>
      <c r="HAI15" s="7158"/>
      <c r="HAJ15" s="7158"/>
      <c r="HAK15" s="7158"/>
      <c r="HAL15" s="7158"/>
      <c r="HAM15" s="7158"/>
      <c r="HAN15" s="7159"/>
      <c r="HAO15" s="7152"/>
      <c r="HAP15" s="7153"/>
      <c r="HAQ15" s="7153"/>
      <c r="HAR15" s="7153"/>
      <c r="HAS15" s="7157"/>
      <c r="HAT15" s="7157"/>
      <c r="HAU15" s="7157"/>
      <c r="HAV15" s="7157"/>
      <c r="HAW15" s="7157"/>
      <c r="HAX15" s="7157"/>
      <c r="HAY15" s="7158"/>
      <c r="HAZ15" s="7158"/>
      <c r="HBA15" s="7158"/>
      <c r="HBB15" s="7158"/>
      <c r="HBC15" s="7158"/>
      <c r="HBD15" s="7159"/>
      <c r="HBE15" s="7152"/>
      <c r="HBF15" s="7153"/>
      <c r="HBG15" s="7153"/>
      <c r="HBH15" s="7153"/>
      <c r="HBI15" s="7157"/>
      <c r="HBJ15" s="7157"/>
      <c r="HBK15" s="7157"/>
      <c r="HBL15" s="7157"/>
      <c r="HBM15" s="7157"/>
      <c r="HBN15" s="7157"/>
      <c r="HBO15" s="7158"/>
      <c r="HBP15" s="7158"/>
      <c r="HBQ15" s="7158"/>
      <c r="HBR15" s="7158"/>
      <c r="HBS15" s="7158"/>
      <c r="HBT15" s="7159"/>
      <c r="HBU15" s="7152"/>
      <c r="HBV15" s="7153"/>
      <c r="HBW15" s="7153"/>
      <c r="HBX15" s="7153"/>
      <c r="HBY15" s="7157"/>
      <c r="HBZ15" s="7157"/>
      <c r="HCA15" s="7157"/>
      <c r="HCB15" s="7157"/>
      <c r="HCC15" s="7157"/>
      <c r="HCD15" s="7157"/>
      <c r="HCE15" s="7158"/>
      <c r="HCF15" s="7158"/>
      <c r="HCG15" s="7158"/>
      <c r="HCH15" s="7158"/>
      <c r="HCI15" s="7158"/>
      <c r="HCJ15" s="7159"/>
      <c r="HCK15" s="7152"/>
      <c r="HCL15" s="7153"/>
      <c r="HCM15" s="7153"/>
      <c r="HCN15" s="7153"/>
      <c r="HCO15" s="7157"/>
      <c r="HCP15" s="7157"/>
      <c r="HCQ15" s="7157"/>
      <c r="HCR15" s="7157"/>
      <c r="HCS15" s="7157"/>
      <c r="HCT15" s="7157"/>
      <c r="HCU15" s="7158"/>
      <c r="HCV15" s="7158"/>
      <c r="HCW15" s="7158"/>
      <c r="HCX15" s="7158"/>
      <c r="HCY15" s="7158"/>
      <c r="HCZ15" s="7159"/>
      <c r="HDA15" s="7152"/>
      <c r="HDB15" s="7153"/>
      <c r="HDC15" s="7153"/>
      <c r="HDD15" s="7153"/>
      <c r="HDE15" s="7157"/>
      <c r="HDF15" s="7157"/>
      <c r="HDG15" s="7157"/>
      <c r="HDH15" s="7157"/>
      <c r="HDI15" s="7157"/>
      <c r="HDJ15" s="7157"/>
      <c r="HDK15" s="7158"/>
      <c r="HDL15" s="7158"/>
      <c r="HDM15" s="7158"/>
      <c r="HDN15" s="7158"/>
      <c r="HDO15" s="7158"/>
      <c r="HDP15" s="7159"/>
      <c r="HDQ15" s="7152"/>
      <c r="HDR15" s="7153"/>
      <c r="HDS15" s="7153"/>
      <c r="HDT15" s="7153"/>
      <c r="HDU15" s="7157"/>
      <c r="HDV15" s="7157"/>
      <c r="HDW15" s="7157"/>
      <c r="HDX15" s="7157"/>
      <c r="HDY15" s="7157"/>
      <c r="HDZ15" s="7157"/>
      <c r="HEA15" s="7158"/>
      <c r="HEB15" s="7158"/>
      <c r="HEC15" s="7158"/>
      <c r="HED15" s="7158"/>
      <c r="HEE15" s="7158"/>
      <c r="HEF15" s="7159"/>
      <c r="HEG15" s="7152"/>
      <c r="HEH15" s="7153"/>
      <c r="HEI15" s="7153"/>
      <c r="HEJ15" s="7153"/>
      <c r="HEK15" s="7157"/>
      <c r="HEL15" s="7157"/>
      <c r="HEM15" s="7157"/>
      <c r="HEN15" s="7157"/>
      <c r="HEO15" s="7157"/>
      <c r="HEP15" s="7157"/>
      <c r="HEQ15" s="7158"/>
      <c r="HER15" s="7158"/>
      <c r="HES15" s="7158"/>
      <c r="HET15" s="7158"/>
      <c r="HEU15" s="7158"/>
      <c r="HEV15" s="7159"/>
      <c r="HEW15" s="7152"/>
      <c r="HEX15" s="7153"/>
      <c r="HEY15" s="7153"/>
      <c r="HEZ15" s="7153"/>
      <c r="HFA15" s="7157"/>
      <c r="HFB15" s="7157"/>
      <c r="HFC15" s="7157"/>
      <c r="HFD15" s="7157"/>
      <c r="HFE15" s="7157"/>
      <c r="HFF15" s="7157"/>
      <c r="HFG15" s="7158"/>
      <c r="HFH15" s="7158"/>
      <c r="HFI15" s="7158"/>
      <c r="HFJ15" s="7158"/>
      <c r="HFK15" s="7158"/>
      <c r="HFL15" s="7159"/>
      <c r="HFM15" s="7152"/>
      <c r="HFN15" s="7153"/>
      <c r="HFO15" s="7153"/>
      <c r="HFP15" s="7153"/>
      <c r="HFQ15" s="7157"/>
      <c r="HFR15" s="7157"/>
      <c r="HFS15" s="7157"/>
      <c r="HFT15" s="7157"/>
      <c r="HFU15" s="7157"/>
      <c r="HFV15" s="7157"/>
      <c r="HFW15" s="7158"/>
      <c r="HFX15" s="7158"/>
      <c r="HFY15" s="7158"/>
      <c r="HFZ15" s="7158"/>
      <c r="HGA15" s="7158"/>
      <c r="HGB15" s="7159"/>
      <c r="HGC15" s="7152"/>
      <c r="HGD15" s="7153"/>
      <c r="HGE15" s="7153"/>
      <c r="HGF15" s="7153"/>
      <c r="HGG15" s="7157"/>
      <c r="HGH15" s="7157"/>
      <c r="HGI15" s="7157"/>
      <c r="HGJ15" s="7157"/>
      <c r="HGK15" s="7157"/>
      <c r="HGL15" s="7157"/>
      <c r="HGM15" s="7158"/>
      <c r="HGN15" s="7158"/>
      <c r="HGO15" s="7158"/>
      <c r="HGP15" s="7158"/>
      <c r="HGQ15" s="7158"/>
      <c r="HGR15" s="7159"/>
      <c r="HGS15" s="7152"/>
      <c r="HGT15" s="7153"/>
      <c r="HGU15" s="7153"/>
      <c r="HGV15" s="7153"/>
      <c r="HGW15" s="7157"/>
      <c r="HGX15" s="7157"/>
      <c r="HGY15" s="7157"/>
      <c r="HGZ15" s="7157"/>
      <c r="HHA15" s="7157"/>
      <c r="HHB15" s="7157"/>
      <c r="HHC15" s="7158"/>
      <c r="HHD15" s="7158"/>
      <c r="HHE15" s="7158"/>
      <c r="HHF15" s="7158"/>
      <c r="HHG15" s="7158"/>
      <c r="HHH15" s="7159"/>
      <c r="HHI15" s="7152"/>
      <c r="HHJ15" s="7153"/>
      <c r="HHK15" s="7153"/>
      <c r="HHL15" s="7153"/>
      <c r="HHM15" s="7157"/>
      <c r="HHN15" s="7157"/>
      <c r="HHO15" s="7157"/>
      <c r="HHP15" s="7157"/>
      <c r="HHQ15" s="7157"/>
      <c r="HHR15" s="7157"/>
      <c r="HHS15" s="7158"/>
      <c r="HHT15" s="7158"/>
      <c r="HHU15" s="7158"/>
      <c r="HHV15" s="7158"/>
      <c r="HHW15" s="7158"/>
      <c r="HHX15" s="7159"/>
      <c r="HHY15" s="7152"/>
      <c r="HHZ15" s="7153"/>
      <c r="HIA15" s="7153"/>
      <c r="HIB15" s="7153"/>
      <c r="HIC15" s="7157"/>
      <c r="HID15" s="7157"/>
      <c r="HIE15" s="7157"/>
      <c r="HIF15" s="7157"/>
      <c r="HIG15" s="7157"/>
      <c r="HIH15" s="7157"/>
      <c r="HII15" s="7158"/>
      <c r="HIJ15" s="7158"/>
      <c r="HIK15" s="7158"/>
      <c r="HIL15" s="7158"/>
      <c r="HIM15" s="7158"/>
      <c r="HIN15" s="7159"/>
      <c r="HIO15" s="7152"/>
      <c r="HIP15" s="7153"/>
      <c r="HIQ15" s="7153"/>
      <c r="HIR15" s="7153"/>
      <c r="HIS15" s="7157"/>
      <c r="HIT15" s="7157"/>
      <c r="HIU15" s="7157"/>
      <c r="HIV15" s="7157"/>
      <c r="HIW15" s="7157"/>
      <c r="HIX15" s="7157"/>
      <c r="HIY15" s="7158"/>
      <c r="HIZ15" s="7158"/>
      <c r="HJA15" s="7158"/>
      <c r="HJB15" s="7158"/>
      <c r="HJC15" s="7158"/>
      <c r="HJD15" s="7159"/>
      <c r="HJE15" s="7152"/>
      <c r="HJF15" s="7153"/>
      <c r="HJG15" s="7153"/>
      <c r="HJH15" s="7153"/>
      <c r="HJI15" s="7157"/>
      <c r="HJJ15" s="7157"/>
      <c r="HJK15" s="7157"/>
      <c r="HJL15" s="7157"/>
      <c r="HJM15" s="7157"/>
      <c r="HJN15" s="7157"/>
      <c r="HJO15" s="7158"/>
      <c r="HJP15" s="7158"/>
      <c r="HJQ15" s="7158"/>
      <c r="HJR15" s="7158"/>
      <c r="HJS15" s="7158"/>
      <c r="HJT15" s="7159"/>
      <c r="HJU15" s="7152"/>
      <c r="HJV15" s="7153"/>
      <c r="HJW15" s="7153"/>
      <c r="HJX15" s="7153"/>
      <c r="HJY15" s="7157"/>
      <c r="HJZ15" s="7157"/>
      <c r="HKA15" s="7157"/>
      <c r="HKB15" s="7157"/>
      <c r="HKC15" s="7157"/>
      <c r="HKD15" s="7157"/>
      <c r="HKE15" s="7158"/>
      <c r="HKF15" s="7158"/>
      <c r="HKG15" s="7158"/>
      <c r="HKH15" s="7158"/>
      <c r="HKI15" s="7158"/>
      <c r="HKJ15" s="7159"/>
      <c r="HKK15" s="7152"/>
      <c r="HKL15" s="7153"/>
      <c r="HKM15" s="7153"/>
      <c r="HKN15" s="7153"/>
      <c r="HKO15" s="7157"/>
      <c r="HKP15" s="7157"/>
      <c r="HKQ15" s="7157"/>
      <c r="HKR15" s="7157"/>
      <c r="HKS15" s="7157"/>
      <c r="HKT15" s="7157"/>
      <c r="HKU15" s="7158"/>
      <c r="HKV15" s="7158"/>
      <c r="HKW15" s="7158"/>
      <c r="HKX15" s="7158"/>
      <c r="HKY15" s="7158"/>
      <c r="HKZ15" s="7159"/>
      <c r="HLA15" s="7152"/>
      <c r="HLB15" s="7153"/>
      <c r="HLC15" s="7153"/>
      <c r="HLD15" s="7153"/>
      <c r="HLE15" s="7157"/>
      <c r="HLF15" s="7157"/>
      <c r="HLG15" s="7157"/>
      <c r="HLH15" s="7157"/>
      <c r="HLI15" s="7157"/>
      <c r="HLJ15" s="7157"/>
      <c r="HLK15" s="7158"/>
      <c r="HLL15" s="7158"/>
      <c r="HLM15" s="7158"/>
      <c r="HLN15" s="7158"/>
      <c r="HLO15" s="7158"/>
      <c r="HLP15" s="7159"/>
      <c r="HLQ15" s="7152"/>
      <c r="HLR15" s="7153"/>
      <c r="HLS15" s="7153"/>
      <c r="HLT15" s="7153"/>
      <c r="HLU15" s="7157"/>
      <c r="HLV15" s="7157"/>
      <c r="HLW15" s="7157"/>
      <c r="HLX15" s="7157"/>
      <c r="HLY15" s="7157"/>
      <c r="HLZ15" s="7157"/>
      <c r="HMA15" s="7158"/>
      <c r="HMB15" s="7158"/>
      <c r="HMC15" s="7158"/>
      <c r="HMD15" s="7158"/>
      <c r="HME15" s="7158"/>
      <c r="HMF15" s="7159"/>
      <c r="HMG15" s="7152"/>
      <c r="HMH15" s="7153"/>
      <c r="HMI15" s="7153"/>
      <c r="HMJ15" s="7153"/>
      <c r="HMK15" s="7157"/>
      <c r="HML15" s="7157"/>
      <c r="HMM15" s="7157"/>
      <c r="HMN15" s="7157"/>
      <c r="HMO15" s="7157"/>
      <c r="HMP15" s="7157"/>
      <c r="HMQ15" s="7158"/>
      <c r="HMR15" s="7158"/>
      <c r="HMS15" s="7158"/>
      <c r="HMT15" s="7158"/>
      <c r="HMU15" s="7158"/>
      <c r="HMV15" s="7159"/>
      <c r="HMW15" s="7152"/>
      <c r="HMX15" s="7153"/>
      <c r="HMY15" s="7153"/>
      <c r="HMZ15" s="7153"/>
      <c r="HNA15" s="7157"/>
      <c r="HNB15" s="7157"/>
      <c r="HNC15" s="7157"/>
      <c r="HND15" s="7157"/>
      <c r="HNE15" s="7157"/>
      <c r="HNF15" s="7157"/>
      <c r="HNG15" s="7158"/>
      <c r="HNH15" s="7158"/>
      <c r="HNI15" s="7158"/>
      <c r="HNJ15" s="7158"/>
      <c r="HNK15" s="7158"/>
      <c r="HNL15" s="7159"/>
      <c r="HNM15" s="7152"/>
      <c r="HNN15" s="7153"/>
      <c r="HNO15" s="7153"/>
      <c r="HNP15" s="7153"/>
      <c r="HNQ15" s="7157"/>
      <c r="HNR15" s="7157"/>
      <c r="HNS15" s="7157"/>
      <c r="HNT15" s="7157"/>
      <c r="HNU15" s="7157"/>
      <c r="HNV15" s="7157"/>
      <c r="HNW15" s="7158"/>
      <c r="HNX15" s="7158"/>
      <c r="HNY15" s="7158"/>
      <c r="HNZ15" s="7158"/>
      <c r="HOA15" s="7158"/>
      <c r="HOB15" s="7159"/>
      <c r="HOC15" s="7152"/>
      <c r="HOD15" s="7153"/>
      <c r="HOE15" s="7153"/>
      <c r="HOF15" s="7153"/>
      <c r="HOG15" s="7157"/>
      <c r="HOH15" s="7157"/>
      <c r="HOI15" s="7157"/>
      <c r="HOJ15" s="7157"/>
      <c r="HOK15" s="7157"/>
      <c r="HOL15" s="7157"/>
      <c r="HOM15" s="7158"/>
      <c r="HON15" s="7158"/>
      <c r="HOO15" s="7158"/>
      <c r="HOP15" s="7158"/>
      <c r="HOQ15" s="7158"/>
      <c r="HOR15" s="7159"/>
      <c r="HOS15" s="7152"/>
      <c r="HOT15" s="7153"/>
      <c r="HOU15" s="7153"/>
      <c r="HOV15" s="7153"/>
      <c r="HOW15" s="7157"/>
      <c r="HOX15" s="7157"/>
      <c r="HOY15" s="7157"/>
      <c r="HOZ15" s="7157"/>
      <c r="HPA15" s="7157"/>
      <c r="HPB15" s="7157"/>
      <c r="HPC15" s="7158"/>
      <c r="HPD15" s="7158"/>
      <c r="HPE15" s="7158"/>
      <c r="HPF15" s="7158"/>
      <c r="HPG15" s="7158"/>
      <c r="HPH15" s="7159"/>
      <c r="HPI15" s="7152"/>
      <c r="HPJ15" s="7153"/>
      <c r="HPK15" s="7153"/>
      <c r="HPL15" s="7153"/>
      <c r="HPM15" s="7157"/>
      <c r="HPN15" s="7157"/>
      <c r="HPO15" s="7157"/>
      <c r="HPP15" s="7157"/>
      <c r="HPQ15" s="7157"/>
      <c r="HPR15" s="7157"/>
      <c r="HPS15" s="7158"/>
      <c r="HPT15" s="7158"/>
      <c r="HPU15" s="7158"/>
      <c r="HPV15" s="7158"/>
      <c r="HPW15" s="7158"/>
      <c r="HPX15" s="7159"/>
      <c r="HPY15" s="7152"/>
      <c r="HPZ15" s="7153"/>
      <c r="HQA15" s="7153"/>
      <c r="HQB15" s="7153"/>
      <c r="HQC15" s="7157"/>
      <c r="HQD15" s="7157"/>
      <c r="HQE15" s="7157"/>
      <c r="HQF15" s="7157"/>
      <c r="HQG15" s="7157"/>
      <c r="HQH15" s="7157"/>
      <c r="HQI15" s="7158"/>
      <c r="HQJ15" s="7158"/>
      <c r="HQK15" s="7158"/>
      <c r="HQL15" s="7158"/>
      <c r="HQM15" s="7158"/>
      <c r="HQN15" s="7159"/>
      <c r="HQO15" s="7152"/>
      <c r="HQP15" s="7153"/>
      <c r="HQQ15" s="7153"/>
      <c r="HQR15" s="7153"/>
      <c r="HQS15" s="7157"/>
      <c r="HQT15" s="7157"/>
      <c r="HQU15" s="7157"/>
      <c r="HQV15" s="7157"/>
      <c r="HQW15" s="7157"/>
      <c r="HQX15" s="7157"/>
      <c r="HQY15" s="7158"/>
      <c r="HQZ15" s="7158"/>
      <c r="HRA15" s="7158"/>
      <c r="HRB15" s="7158"/>
      <c r="HRC15" s="7158"/>
      <c r="HRD15" s="7159"/>
      <c r="HRE15" s="7152"/>
      <c r="HRF15" s="7153"/>
      <c r="HRG15" s="7153"/>
      <c r="HRH15" s="7153"/>
      <c r="HRI15" s="7157"/>
      <c r="HRJ15" s="7157"/>
      <c r="HRK15" s="7157"/>
      <c r="HRL15" s="7157"/>
      <c r="HRM15" s="7157"/>
      <c r="HRN15" s="7157"/>
      <c r="HRO15" s="7158"/>
      <c r="HRP15" s="7158"/>
      <c r="HRQ15" s="7158"/>
      <c r="HRR15" s="7158"/>
      <c r="HRS15" s="7158"/>
      <c r="HRT15" s="7159"/>
      <c r="HRU15" s="7152"/>
      <c r="HRV15" s="7153"/>
      <c r="HRW15" s="7153"/>
      <c r="HRX15" s="7153"/>
      <c r="HRY15" s="7157"/>
      <c r="HRZ15" s="7157"/>
      <c r="HSA15" s="7157"/>
      <c r="HSB15" s="7157"/>
      <c r="HSC15" s="7157"/>
      <c r="HSD15" s="7157"/>
      <c r="HSE15" s="7158"/>
      <c r="HSF15" s="7158"/>
      <c r="HSG15" s="7158"/>
      <c r="HSH15" s="7158"/>
      <c r="HSI15" s="7158"/>
      <c r="HSJ15" s="7159"/>
      <c r="HSK15" s="7152"/>
      <c r="HSL15" s="7153"/>
      <c r="HSM15" s="7153"/>
      <c r="HSN15" s="7153"/>
      <c r="HSO15" s="7157"/>
      <c r="HSP15" s="7157"/>
      <c r="HSQ15" s="7157"/>
      <c r="HSR15" s="7157"/>
      <c r="HSS15" s="7157"/>
      <c r="HST15" s="7157"/>
      <c r="HSU15" s="7158"/>
      <c r="HSV15" s="7158"/>
      <c r="HSW15" s="7158"/>
      <c r="HSX15" s="7158"/>
      <c r="HSY15" s="7158"/>
      <c r="HSZ15" s="7159"/>
      <c r="HTA15" s="7152"/>
      <c r="HTB15" s="7153"/>
      <c r="HTC15" s="7153"/>
      <c r="HTD15" s="7153"/>
      <c r="HTE15" s="7157"/>
      <c r="HTF15" s="7157"/>
      <c r="HTG15" s="7157"/>
      <c r="HTH15" s="7157"/>
      <c r="HTI15" s="7157"/>
      <c r="HTJ15" s="7157"/>
      <c r="HTK15" s="7158"/>
      <c r="HTL15" s="7158"/>
      <c r="HTM15" s="7158"/>
      <c r="HTN15" s="7158"/>
      <c r="HTO15" s="7158"/>
      <c r="HTP15" s="7159"/>
      <c r="HTQ15" s="7152"/>
      <c r="HTR15" s="7153"/>
      <c r="HTS15" s="7153"/>
      <c r="HTT15" s="7153"/>
      <c r="HTU15" s="7157"/>
      <c r="HTV15" s="7157"/>
      <c r="HTW15" s="7157"/>
      <c r="HTX15" s="7157"/>
      <c r="HTY15" s="7157"/>
      <c r="HTZ15" s="7157"/>
      <c r="HUA15" s="7158"/>
      <c r="HUB15" s="7158"/>
      <c r="HUC15" s="7158"/>
      <c r="HUD15" s="7158"/>
      <c r="HUE15" s="7158"/>
      <c r="HUF15" s="7159"/>
      <c r="HUG15" s="7152"/>
      <c r="HUH15" s="7153"/>
      <c r="HUI15" s="7153"/>
      <c r="HUJ15" s="7153"/>
      <c r="HUK15" s="7157"/>
      <c r="HUL15" s="7157"/>
      <c r="HUM15" s="7157"/>
      <c r="HUN15" s="7157"/>
      <c r="HUO15" s="7157"/>
      <c r="HUP15" s="7157"/>
      <c r="HUQ15" s="7158"/>
      <c r="HUR15" s="7158"/>
      <c r="HUS15" s="7158"/>
      <c r="HUT15" s="7158"/>
      <c r="HUU15" s="7158"/>
      <c r="HUV15" s="7159"/>
      <c r="HUW15" s="7152"/>
      <c r="HUX15" s="7153"/>
      <c r="HUY15" s="7153"/>
      <c r="HUZ15" s="7153"/>
      <c r="HVA15" s="7157"/>
      <c r="HVB15" s="7157"/>
      <c r="HVC15" s="7157"/>
      <c r="HVD15" s="7157"/>
      <c r="HVE15" s="7157"/>
      <c r="HVF15" s="7157"/>
      <c r="HVG15" s="7158"/>
      <c r="HVH15" s="7158"/>
      <c r="HVI15" s="7158"/>
      <c r="HVJ15" s="7158"/>
      <c r="HVK15" s="7158"/>
      <c r="HVL15" s="7159"/>
      <c r="HVM15" s="7152"/>
      <c r="HVN15" s="7153"/>
      <c r="HVO15" s="7153"/>
      <c r="HVP15" s="7153"/>
      <c r="HVQ15" s="7157"/>
      <c r="HVR15" s="7157"/>
      <c r="HVS15" s="7157"/>
      <c r="HVT15" s="7157"/>
      <c r="HVU15" s="7157"/>
      <c r="HVV15" s="7157"/>
      <c r="HVW15" s="7158"/>
      <c r="HVX15" s="7158"/>
      <c r="HVY15" s="7158"/>
      <c r="HVZ15" s="7158"/>
      <c r="HWA15" s="7158"/>
      <c r="HWB15" s="7159"/>
      <c r="HWC15" s="7152"/>
      <c r="HWD15" s="7153"/>
      <c r="HWE15" s="7153"/>
      <c r="HWF15" s="7153"/>
      <c r="HWG15" s="7157"/>
      <c r="HWH15" s="7157"/>
      <c r="HWI15" s="7157"/>
      <c r="HWJ15" s="7157"/>
      <c r="HWK15" s="7157"/>
      <c r="HWL15" s="7157"/>
      <c r="HWM15" s="7158"/>
      <c r="HWN15" s="7158"/>
      <c r="HWO15" s="7158"/>
      <c r="HWP15" s="7158"/>
      <c r="HWQ15" s="7158"/>
      <c r="HWR15" s="7159"/>
      <c r="HWS15" s="7152"/>
      <c r="HWT15" s="7153"/>
      <c r="HWU15" s="7153"/>
      <c r="HWV15" s="7153"/>
      <c r="HWW15" s="7157"/>
      <c r="HWX15" s="7157"/>
      <c r="HWY15" s="7157"/>
      <c r="HWZ15" s="7157"/>
      <c r="HXA15" s="7157"/>
      <c r="HXB15" s="7157"/>
      <c r="HXC15" s="7158"/>
      <c r="HXD15" s="7158"/>
      <c r="HXE15" s="7158"/>
      <c r="HXF15" s="7158"/>
      <c r="HXG15" s="7158"/>
      <c r="HXH15" s="7159"/>
      <c r="HXI15" s="7152"/>
      <c r="HXJ15" s="7153"/>
      <c r="HXK15" s="7153"/>
      <c r="HXL15" s="7153"/>
      <c r="HXM15" s="7157"/>
      <c r="HXN15" s="7157"/>
      <c r="HXO15" s="7157"/>
      <c r="HXP15" s="7157"/>
      <c r="HXQ15" s="7157"/>
      <c r="HXR15" s="7157"/>
      <c r="HXS15" s="7158"/>
      <c r="HXT15" s="7158"/>
      <c r="HXU15" s="7158"/>
      <c r="HXV15" s="7158"/>
      <c r="HXW15" s="7158"/>
      <c r="HXX15" s="7159"/>
      <c r="HXY15" s="7152"/>
      <c r="HXZ15" s="7153"/>
      <c r="HYA15" s="7153"/>
      <c r="HYB15" s="7153"/>
      <c r="HYC15" s="7157"/>
      <c r="HYD15" s="7157"/>
      <c r="HYE15" s="7157"/>
      <c r="HYF15" s="7157"/>
      <c r="HYG15" s="7157"/>
      <c r="HYH15" s="7157"/>
      <c r="HYI15" s="7158"/>
      <c r="HYJ15" s="7158"/>
      <c r="HYK15" s="7158"/>
      <c r="HYL15" s="7158"/>
      <c r="HYM15" s="7158"/>
      <c r="HYN15" s="7159"/>
      <c r="HYO15" s="7152"/>
      <c r="HYP15" s="7153"/>
      <c r="HYQ15" s="7153"/>
      <c r="HYR15" s="7153"/>
      <c r="HYS15" s="7157"/>
      <c r="HYT15" s="7157"/>
      <c r="HYU15" s="7157"/>
      <c r="HYV15" s="7157"/>
      <c r="HYW15" s="7157"/>
      <c r="HYX15" s="7157"/>
      <c r="HYY15" s="7158"/>
      <c r="HYZ15" s="7158"/>
      <c r="HZA15" s="7158"/>
      <c r="HZB15" s="7158"/>
      <c r="HZC15" s="7158"/>
      <c r="HZD15" s="7159"/>
      <c r="HZE15" s="7152"/>
      <c r="HZF15" s="7153"/>
      <c r="HZG15" s="7153"/>
      <c r="HZH15" s="7153"/>
      <c r="HZI15" s="7157"/>
      <c r="HZJ15" s="7157"/>
      <c r="HZK15" s="7157"/>
      <c r="HZL15" s="7157"/>
      <c r="HZM15" s="7157"/>
      <c r="HZN15" s="7157"/>
      <c r="HZO15" s="7158"/>
      <c r="HZP15" s="7158"/>
      <c r="HZQ15" s="7158"/>
      <c r="HZR15" s="7158"/>
      <c r="HZS15" s="7158"/>
      <c r="HZT15" s="7159"/>
      <c r="HZU15" s="7152"/>
      <c r="HZV15" s="7153"/>
      <c r="HZW15" s="7153"/>
      <c r="HZX15" s="7153"/>
      <c r="HZY15" s="7157"/>
      <c r="HZZ15" s="7157"/>
      <c r="IAA15" s="7157"/>
      <c r="IAB15" s="7157"/>
      <c r="IAC15" s="7157"/>
      <c r="IAD15" s="7157"/>
      <c r="IAE15" s="7158"/>
      <c r="IAF15" s="7158"/>
      <c r="IAG15" s="7158"/>
      <c r="IAH15" s="7158"/>
      <c r="IAI15" s="7158"/>
      <c r="IAJ15" s="7159"/>
      <c r="IAK15" s="7152"/>
      <c r="IAL15" s="7153"/>
      <c r="IAM15" s="7153"/>
      <c r="IAN15" s="7153"/>
      <c r="IAO15" s="7157"/>
      <c r="IAP15" s="7157"/>
      <c r="IAQ15" s="7157"/>
      <c r="IAR15" s="7157"/>
      <c r="IAS15" s="7157"/>
      <c r="IAT15" s="7157"/>
      <c r="IAU15" s="7158"/>
      <c r="IAV15" s="7158"/>
      <c r="IAW15" s="7158"/>
      <c r="IAX15" s="7158"/>
      <c r="IAY15" s="7158"/>
      <c r="IAZ15" s="7159"/>
      <c r="IBA15" s="7152"/>
      <c r="IBB15" s="7153"/>
      <c r="IBC15" s="7153"/>
      <c r="IBD15" s="7153"/>
      <c r="IBE15" s="7157"/>
      <c r="IBF15" s="7157"/>
      <c r="IBG15" s="7157"/>
      <c r="IBH15" s="7157"/>
      <c r="IBI15" s="7157"/>
      <c r="IBJ15" s="7157"/>
      <c r="IBK15" s="7158"/>
      <c r="IBL15" s="7158"/>
      <c r="IBM15" s="7158"/>
      <c r="IBN15" s="7158"/>
      <c r="IBO15" s="7158"/>
      <c r="IBP15" s="7159"/>
      <c r="IBQ15" s="7152"/>
      <c r="IBR15" s="7153"/>
      <c r="IBS15" s="7153"/>
      <c r="IBT15" s="7153"/>
      <c r="IBU15" s="7157"/>
      <c r="IBV15" s="7157"/>
      <c r="IBW15" s="7157"/>
      <c r="IBX15" s="7157"/>
      <c r="IBY15" s="7157"/>
      <c r="IBZ15" s="7157"/>
      <c r="ICA15" s="7158"/>
      <c r="ICB15" s="7158"/>
      <c r="ICC15" s="7158"/>
      <c r="ICD15" s="7158"/>
      <c r="ICE15" s="7158"/>
      <c r="ICF15" s="7159"/>
      <c r="ICG15" s="7152"/>
      <c r="ICH15" s="7153"/>
      <c r="ICI15" s="7153"/>
      <c r="ICJ15" s="7153"/>
      <c r="ICK15" s="7157"/>
      <c r="ICL15" s="7157"/>
      <c r="ICM15" s="7157"/>
      <c r="ICN15" s="7157"/>
      <c r="ICO15" s="7157"/>
      <c r="ICP15" s="7157"/>
      <c r="ICQ15" s="7158"/>
      <c r="ICR15" s="7158"/>
      <c r="ICS15" s="7158"/>
      <c r="ICT15" s="7158"/>
      <c r="ICU15" s="7158"/>
      <c r="ICV15" s="7159"/>
      <c r="ICW15" s="7152"/>
      <c r="ICX15" s="7153"/>
      <c r="ICY15" s="7153"/>
      <c r="ICZ15" s="7153"/>
      <c r="IDA15" s="7157"/>
      <c r="IDB15" s="7157"/>
      <c r="IDC15" s="7157"/>
      <c r="IDD15" s="7157"/>
      <c r="IDE15" s="7157"/>
      <c r="IDF15" s="7157"/>
      <c r="IDG15" s="7158"/>
      <c r="IDH15" s="7158"/>
      <c r="IDI15" s="7158"/>
      <c r="IDJ15" s="7158"/>
      <c r="IDK15" s="7158"/>
      <c r="IDL15" s="7159"/>
      <c r="IDM15" s="7152"/>
      <c r="IDN15" s="7153"/>
      <c r="IDO15" s="7153"/>
      <c r="IDP15" s="7153"/>
      <c r="IDQ15" s="7157"/>
      <c r="IDR15" s="7157"/>
      <c r="IDS15" s="7157"/>
      <c r="IDT15" s="7157"/>
      <c r="IDU15" s="7157"/>
      <c r="IDV15" s="7157"/>
      <c r="IDW15" s="7158"/>
      <c r="IDX15" s="7158"/>
      <c r="IDY15" s="7158"/>
      <c r="IDZ15" s="7158"/>
      <c r="IEA15" s="7158"/>
      <c r="IEB15" s="7159"/>
      <c r="IEC15" s="7152"/>
      <c r="IED15" s="7153"/>
      <c r="IEE15" s="7153"/>
      <c r="IEF15" s="7153"/>
      <c r="IEG15" s="7157"/>
      <c r="IEH15" s="7157"/>
      <c r="IEI15" s="7157"/>
      <c r="IEJ15" s="7157"/>
      <c r="IEK15" s="7157"/>
      <c r="IEL15" s="7157"/>
      <c r="IEM15" s="7158"/>
      <c r="IEN15" s="7158"/>
      <c r="IEO15" s="7158"/>
      <c r="IEP15" s="7158"/>
      <c r="IEQ15" s="7158"/>
      <c r="IER15" s="7159"/>
      <c r="IES15" s="7152"/>
      <c r="IET15" s="7153"/>
      <c r="IEU15" s="7153"/>
      <c r="IEV15" s="7153"/>
      <c r="IEW15" s="7157"/>
      <c r="IEX15" s="7157"/>
      <c r="IEY15" s="7157"/>
      <c r="IEZ15" s="7157"/>
      <c r="IFA15" s="7157"/>
      <c r="IFB15" s="7157"/>
      <c r="IFC15" s="7158"/>
      <c r="IFD15" s="7158"/>
      <c r="IFE15" s="7158"/>
      <c r="IFF15" s="7158"/>
      <c r="IFG15" s="7158"/>
      <c r="IFH15" s="7159"/>
      <c r="IFI15" s="7152"/>
      <c r="IFJ15" s="7153"/>
      <c r="IFK15" s="7153"/>
      <c r="IFL15" s="7153"/>
      <c r="IFM15" s="7157"/>
      <c r="IFN15" s="7157"/>
      <c r="IFO15" s="7157"/>
      <c r="IFP15" s="7157"/>
      <c r="IFQ15" s="7157"/>
      <c r="IFR15" s="7157"/>
      <c r="IFS15" s="7158"/>
      <c r="IFT15" s="7158"/>
      <c r="IFU15" s="7158"/>
      <c r="IFV15" s="7158"/>
      <c r="IFW15" s="7158"/>
      <c r="IFX15" s="7159"/>
      <c r="IFY15" s="7152"/>
      <c r="IFZ15" s="7153"/>
      <c r="IGA15" s="7153"/>
      <c r="IGB15" s="7153"/>
      <c r="IGC15" s="7157"/>
      <c r="IGD15" s="7157"/>
      <c r="IGE15" s="7157"/>
      <c r="IGF15" s="7157"/>
      <c r="IGG15" s="7157"/>
      <c r="IGH15" s="7157"/>
      <c r="IGI15" s="7158"/>
      <c r="IGJ15" s="7158"/>
      <c r="IGK15" s="7158"/>
      <c r="IGL15" s="7158"/>
      <c r="IGM15" s="7158"/>
      <c r="IGN15" s="7159"/>
      <c r="IGO15" s="7152"/>
      <c r="IGP15" s="7153"/>
      <c r="IGQ15" s="7153"/>
      <c r="IGR15" s="7153"/>
      <c r="IGS15" s="7157"/>
      <c r="IGT15" s="7157"/>
      <c r="IGU15" s="7157"/>
      <c r="IGV15" s="7157"/>
      <c r="IGW15" s="7157"/>
      <c r="IGX15" s="7157"/>
      <c r="IGY15" s="7158"/>
      <c r="IGZ15" s="7158"/>
      <c r="IHA15" s="7158"/>
      <c r="IHB15" s="7158"/>
      <c r="IHC15" s="7158"/>
      <c r="IHD15" s="7159"/>
      <c r="IHE15" s="7152"/>
      <c r="IHF15" s="7153"/>
      <c r="IHG15" s="7153"/>
      <c r="IHH15" s="7153"/>
      <c r="IHI15" s="7157"/>
      <c r="IHJ15" s="7157"/>
      <c r="IHK15" s="7157"/>
      <c r="IHL15" s="7157"/>
      <c r="IHM15" s="7157"/>
      <c r="IHN15" s="7157"/>
      <c r="IHO15" s="7158"/>
      <c r="IHP15" s="7158"/>
      <c r="IHQ15" s="7158"/>
      <c r="IHR15" s="7158"/>
      <c r="IHS15" s="7158"/>
      <c r="IHT15" s="7159"/>
      <c r="IHU15" s="7152"/>
      <c r="IHV15" s="7153"/>
      <c r="IHW15" s="7153"/>
      <c r="IHX15" s="7153"/>
      <c r="IHY15" s="7157"/>
      <c r="IHZ15" s="7157"/>
      <c r="IIA15" s="7157"/>
      <c r="IIB15" s="7157"/>
      <c r="IIC15" s="7157"/>
      <c r="IID15" s="7157"/>
      <c r="IIE15" s="7158"/>
      <c r="IIF15" s="7158"/>
      <c r="IIG15" s="7158"/>
      <c r="IIH15" s="7158"/>
      <c r="III15" s="7158"/>
      <c r="IIJ15" s="7159"/>
      <c r="IIK15" s="7152"/>
      <c r="IIL15" s="7153"/>
      <c r="IIM15" s="7153"/>
      <c r="IIN15" s="7153"/>
      <c r="IIO15" s="7157"/>
      <c r="IIP15" s="7157"/>
      <c r="IIQ15" s="7157"/>
      <c r="IIR15" s="7157"/>
      <c r="IIS15" s="7157"/>
      <c r="IIT15" s="7157"/>
      <c r="IIU15" s="7158"/>
      <c r="IIV15" s="7158"/>
      <c r="IIW15" s="7158"/>
      <c r="IIX15" s="7158"/>
      <c r="IIY15" s="7158"/>
      <c r="IIZ15" s="7159"/>
      <c r="IJA15" s="7152"/>
      <c r="IJB15" s="7153"/>
      <c r="IJC15" s="7153"/>
      <c r="IJD15" s="7153"/>
      <c r="IJE15" s="7157"/>
      <c r="IJF15" s="7157"/>
      <c r="IJG15" s="7157"/>
      <c r="IJH15" s="7157"/>
      <c r="IJI15" s="7157"/>
      <c r="IJJ15" s="7157"/>
      <c r="IJK15" s="7158"/>
      <c r="IJL15" s="7158"/>
      <c r="IJM15" s="7158"/>
      <c r="IJN15" s="7158"/>
      <c r="IJO15" s="7158"/>
      <c r="IJP15" s="7159"/>
      <c r="IJQ15" s="7152"/>
      <c r="IJR15" s="7153"/>
      <c r="IJS15" s="7153"/>
      <c r="IJT15" s="7153"/>
      <c r="IJU15" s="7157"/>
      <c r="IJV15" s="7157"/>
      <c r="IJW15" s="7157"/>
      <c r="IJX15" s="7157"/>
      <c r="IJY15" s="7157"/>
      <c r="IJZ15" s="7157"/>
      <c r="IKA15" s="7158"/>
      <c r="IKB15" s="7158"/>
      <c r="IKC15" s="7158"/>
      <c r="IKD15" s="7158"/>
      <c r="IKE15" s="7158"/>
      <c r="IKF15" s="7159"/>
      <c r="IKG15" s="7152"/>
      <c r="IKH15" s="7153"/>
      <c r="IKI15" s="7153"/>
      <c r="IKJ15" s="7153"/>
      <c r="IKK15" s="7157"/>
      <c r="IKL15" s="7157"/>
      <c r="IKM15" s="7157"/>
      <c r="IKN15" s="7157"/>
      <c r="IKO15" s="7157"/>
      <c r="IKP15" s="7157"/>
      <c r="IKQ15" s="7158"/>
      <c r="IKR15" s="7158"/>
      <c r="IKS15" s="7158"/>
      <c r="IKT15" s="7158"/>
      <c r="IKU15" s="7158"/>
      <c r="IKV15" s="7159"/>
      <c r="IKW15" s="7152"/>
      <c r="IKX15" s="7153"/>
      <c r="IKY15" s="7153"/>
      <c r="IKZ15" s="7153"/>
      <c r="ILA15" s="7157"/>
      <c r="ILB15" s="7157"/>
      <c r="ILC15" s="7157"/>
      <c r="ILD15" s="7157"/>
      <c r="ILE15" s="7157"/>
      <c r="ILF15" s="7157"/>
      <c r="ILG15" s="7158"/>
      <c r="ILH15" s="7158"/>
      <c r="ILI15" s="7158"/>
      <c r="ILJ15" s="7158"/>
      <c r="ILK15" s="7158"/>
      <c r="ILL15" s="7159"/>
      <c r="ILM15" s="7152"/>
      <c r="ILN15" s="7153"/>
      <c r="ILO15" s="7153"/>
      <c r="ILP15" s="7153"/>
      <c r="ILQ15" s="7157"/>
      <c r="ILR15" s="7157"/>
      <c r="ILS15" s="7157"/>
      <c r="ILT15" s="7157"/>
      <c r="ILU15" s="7157"/>
      <c r="ILV15" s="7157"/>
      <c r="ILW15" s="7158"/>
      <c r="ILX15" s="7158"/>
      <c r="ILY15" s="7158"/>
      <c r="ILZ15" s="7158"/>
      <c r="IMA15" s="7158"/>
      <c r="IMB15" s="7159"/>
      <c r="IMC15" s="7152"/>
      <c r="IMD15" s="7153"/>
      <c r="IME15" s="7153"/>
      <c r="IMF15" s="7153"/>
      <c r="IMG15" s="7157"/>
      <c r="IMH15" s="7157"/>
      <c r="IMI15" s="7157"/>
      <c r="IMJ15" s="7157"/>
      <c r="IMK15" s="7157"/>
      <c r="IML15" s="7157"/>
      <c r="IMM15" s="7158"/>
      <c r="IMN15" s="7158"/>
      <c r="IMO15" s="7158"/>
      <c r="IMP15" s="7158"/>
      <c r="IMQ15" s="7158"/>
      <c r="IMR15" s="7159"/>
      <c r="IMS15" s="7152"/>
      <c r="IMT15" s="7153"/>
      <c r="IMU15" s="7153"/>
      <c r="IMV15" s="7153"/>
      <c r="IMW15" s="7157"/>
      <c r="IMX15" s="7157"/>
      <c r="IMY15" s="7157"/>
      <c r="IMZ15" s="7157"/>
      <c r="INA15" s="7157"/>
      <c r="INB15" s="7157"/>
      <c r="INC15" s="7158"/>
      <c r="IND15" s="7158"/>
      <c r="INE15" s="7158"/>
      <c r="INF15" s="7158"/>
      <c r="ING15" s="7158"/>
      <c r="INH15" s="7159"/>
      <c r="INI15" s="7152"/>
      <c r="INJ15" s="7153"/>
      <c r="INK15" s="7153"/>
      <c r="INL15" s="7153"/>
      <c r="INM15" s="7157"/>
      <c r="INN15" s="7157"/>
      <c r="INO15" s="7157"/>
      <c r="INP15" s="7157"/>
      <c r="INQ15" s="7157"/>
      <c r="INR15" s="7157"/>
      <c r="INS15" s="7158"/>
      <c r="INT15" s="7158"/>
      <c r="INU15" s="7158"/>
      <c r="INV15" s="7158"/>
      <c r="INW15" s="7158"/>
      <c r="INX15" s="7159"/>
      <c r="INY15" s="7152"/>
      <c r="INZ15" s="7153"/>
      <c r="IOA15" s="7153"/>
      <c r="IOB15" s="7153"/>
      <c r="IOC15" s="7157"/>
      <c r="IOD15" s="7157"/>
      <c r="IOE15" s="7157"/>
      <c r="IOF15" s="7157"/>
      <c r="IOG15" s="7157"/>
      <c r="IOH15" s="7157"/>
      <c r="IOI15" s="7158"/>
      <c r="IOJ15" s="7158"/>
      <c r="IOK15" s="7158"/>
      <c r="IOL15" s="7158"/>
      <c r="IOM15" s="7158"/>
      <c r="ION15" s="7159"/>
      <c r="IOO15" s="7152"/>
      <c r="IOP15" s="7153"/>
      <c r="IOQ15" s="7153"/>
      <c r="IOR15" s="7153"/>
      <c r="IOS15" s="7157"/>
      <c r="IOT15" s="7157"/>
      <c r="IOU15" s="7157"/>
      <c r="IOV15" s="7157"/>
      <c r="IOW15" s="7157"/>
      <c r="IOX15" s="7157"/>
      <c r="IOY15" s="7158"/>
      <c r="IOZ15" s="7158"/>
      <c r="IPA15" s="7158"/>
      <c r="IPB15" s="7158"/>
      <c r="IPC15" s="7158"/>
      <c r="IPD15" s="7159"/>
      <c r="IPE15" s="7152"/>
      <c r="IPF15" s="7153"/>
      <c r="IPG15" s="7153"/>
      <c r="IPH15" s="7153"/>
      <c r="IPI15" s="7157"/>
      <c r="IPJ15" s="7157"/>
      <c r="IPK15" s="7157"/>
      <c r="IPL15" s="7157"/>
      <c r="IPM15" s="7157"/>
      <c r="IPN15" s="7157"/>
      <c r="IPO15" s="7158"/>
      <c r="IPP15" s="7158"/>
      <c r="IPQ15" s="7158"/>
      <c r="IPR15" s="7158"/>
      <c r="IPS15" s="7158"/>
      <c r="IPT15" s="7159"/>
      <c r="IPU15" s="7152"/>
      <c r="IPV15" s="7153"/>
      <c r="IPW15" s="7153"/>
      <c r="IPX15" s="7153"/>
      <c r="IPY15" s="7157"/>
      <c r="IPZ15" s="7157"/>
      <c r="IQA15" s="7157"/>
      <c r="IQB15" s="7157"/>
      <c r="IQC15" s="7157"/>
      <c r="IQD15" s="7157"/>
      <c r="IQE15" s="7158"/>
      <c r="IQF15" s="7158"/>
      <c r="IQG15" s="7158"/>
      <c r="IQH15" s="7158"/>
      <c r="IQI15" s="7158"/>
      <c r="IQJ15" s="7159"/>
      <c r="IQK15" s="7152"/>
      <c r="IQL15" s="7153"/>
      <c r="IQM15" s="7153"/>
      <c r="IQN15" s="7153"/>
      <c r="IQO15" s="7157"/>
      <c r="IQP15" s="7157"/>
      <c r="IQQ15" s="7157"/>
      <c r="IQR15" s="7157"/>
      <c r="IQS15" s="7157"/>
      <c r="IQT15" s="7157"/>
      <c r="IQU15" s="7158"/>
      <c r="IQV15" s="7158"/>
      <c r="IQW15" s="7158"/>
      <c r="IQX15" s="7158"/>
      <c r="IQY15" s="7158"/>
      <c r="IQZ15" s="7159"/>
      <c r="IRA15" s="7152"/>
      <c r="IRB15" s="7153"/>
      <c r="IRC15" s="7153"/>
      <c r="IRD15" s="7153"/>
      <c r="IRE15" s="7157"/>
      <c r="IRF15" s="7157"/>
      <c r="IRG15" s="7157"/>
      <c r="IRH15" s="7157"/>
      <c r="IRI15" s="7157"/>
      <c r="IRJ15" s="7157"/>
      <c r="IRK15" s="7158"/>
      <c r="IRL15" s="7158"/>
      <c r="IRM15" s="7158"/>
      <c r="IRN15" s="7158"/>
      <c r="IRO15" s="7158"/>
      <c r="IRP15" s="7159"/>
      <c r="IRQ15" s="7152"/>
      <c r="IRR15" s="7153"/>
      <c r="IRS15" s="7153"/>
      <c r="IRT15" s="7153"/>
      <c r="IRU15" s="7157"/>
      <c r="IRV15" s="7157"/>
      <c r="IRW15" s="7157"/>
      <c r="IRX15" s="7157"/>
      <c r="IRY15" s="7157"/>
      <c r="IRZ15" s="7157"/>
      <c r="ISA15" s="7158"/>
      <c r="ISB15" s="7158"/>
      <c r="ISC15" s="7158"/>
      <c r="ISD15" s="7158"/>
      <c r="ISE15" s="7158"/>
      <c r="ISF15" s="7159"/>
      <c r="ISG15" s="7152"/>
      <c r="ISH15" s="7153"/>
      <c r="ISI15" s="7153"/>
      <c r="ISJ15" s="7153"/>
      <c r="ISK15" s="7157"/>
      <c r="ISL15" s="7157"/>
      <c r="ISM15" s="7157"/>
      <c r="ISN15" s="7157"/>
      <c r="ISO15" s="7157"/>
      <c r="ISP15" s="7157"/>
      <c r="ISQ15" s="7158"/>
      <c r="ISR15" s="7158"/>
      <c r="ISS15" s="7158"/>
      <c r="IST15" s="7158"/>
      <c r="ISU15" s="7158"/>
      <c r="ISV15" s="7159"/>
      <c r="ISW15" s="7152"/>
      <c r="ISX15" s="7153"/>
      <c r="ISY15" s="7153"/>
      <c r="ISZ15" s="7153"/>
      <c r="ITA15" s="7157"/>
      <c r="ITB15" s="7157"/>
      <c r="ITC15" s="7157"/>
      <c r="ITD15" s="7157"/>
      <c r="ITE15" s="7157"/>
      <c r="ITF15" s="7157"/>
      <c r="ITG15" s="7158"/>
      <c r="ITH15" s="7158"/>
      <c r="ITI15" s="7158"/>
      <c r="ITJ15" s="7158"/>
      <c r="ITK15" s="7158"/>
      <c r="ITL15" s="7159"/>
      <c r="ITM15" s="7152"/>
      <c r="ITN15" s="7153"/>
      <c r="ITO15" s="7153"/>
      <c r="ITP15" s="7153"/>
      <c r="ITQ15" s="7157"/>
      <c r="ITR15" s="7157"/>
      <c r="ITS15" s="7157"/>
      <c r="ITT15" s="7157"/>
      <c r="ITU15" s="7157"/>
      <c r="ITV15" s="7157"/>
      <c r="ITW15" s="7158"/>
      <c r="ITX15" s="7158"/>
      <c r="ITY15" s="7158"/>
      <c r="ITZ15" s="7158"/>
      <c r="IUA15" s="7158"/>
      <c r="IUB15" s="7159"/>
      <c r="IUC15" s="7152"/>
      <c r="IUD15" s="7153"/>
      <c r="IUE15" s="7153"/>
      <c r="IUF15" s="7153"/>
      <c r="IUG15" s="7157"/>
      <c r="IUH15" s="7157"/>
      <c r="IUI15" s="7157"/>
      <c r="IUJ15" s="7157"/>
      <c r="IUK15" s="7157"/>
      <c r="IUL15" s="7157"/>
      <c r="IUM15" s="7158"/>
      <c r="IUN15" s="7158"/>
      <c r="IUO15" s="7158"/>
      <c r="IUP15" s="7158"/>
      <c r="IUQ15" s="7158"/>
      <c r="IUR15" s="7159"/>
      <c r="IUS15" s="7152"/>
      <c r="IUT15" s="7153"/>
      <c r="IUU15" s="7153"/>
      <c r="IUV15" s="7153"/>
      <c r="IUW15" s="7157"/>
      <c r="IUX15" s="7157"/>
      <c r="IUY15" s="7157"/>
      <c r="IUZ15" s="7157"/>
      <c r="IVA15" s="7157"/>
      <c r="IVB15" s="7157"/>
      <c r="IVC15" s="7158"/>
      <c r="IVD15" s="7158"/>
      <c r="IVE15" s="7158"/>
      <c r="IVF15" s="7158"/>
      <c r="IVG15" s="7158"/>
      <c r="IVH15" s="7159"/>
      <c r="IVI15" s="7152"/>
      <c r="IVJ15" s="7153"/>
      <c r="IVK15" s="7153"/>
      <c r="IVL15" s="7153"/>
      <c r="IVM15" s="7157"/>
      <c r="IVN15" s="7157"/>
      <c r="IVO15" s="7157"/>
      <c r="IVP15" s="7157"/>
      <c r="IVQ15" s="7157"/>
      <c r="IVR15" s="7157"/>
      <c r="IVS15" s="7158"/>
      <c r="IVT15" s="7158"/>
      <c r="IVU15" s="7158"/>
      <c r="IVV15" s="7158"/>
      <c r="IVW15" s="7158"/>
      <c r="IVX15" s="7159"/>
      <c r="IVY15" s="7152"/>
      <c r="IVZ15" s="7153"/>
      <c r="IWA15" s="7153"/>
      <c r="IWB15" s="7153"/>
      <c r="IWC15" s="7157"/>
      <c r="IWD15" s="7157"/>
      <c r="IWE15" s="7157"/>
      <c r="IWF15" s="7157"/>
      <c r="IWG15" s="7157"/>
      <c r="IWH15" s="7157"/>
      <c r="IWI15" s="7158"/>
      <c r="IWJ15" s="7158"/>
      <c r="IWK15" s="7158"/>
      <c r="IWL15" s="7158"/>
      <c r="IWM15" s="7158"/>
      <c r="IWN15" s="7159"/>
      <c r="IWO15" s="7152"/>
      <c r="IWP15" s="7153"/>
      <c r="IWQ15" s="7153"/>
      <c r="IWR15" s="7153"/>
      <c r="IWS15" s="7157"/>
      <c r="IWT15" s="7157"/>
      <c r="IWU15" s="7157"/>
      <c r="IWV15" s="7157"/>
      <c r="IWW15" s="7157"/>
      <c r="IWX15" s="7157"/>
      <c r="IWY15" s="7158"/>
      <c r="IWZ15" s="7158"/>
      <c r="IXA15" s="7158"/>
      <c r="IXB15" s="7158"/>
      <c r="IXC15" s="7158"/>
      <c r="IXD15" s="7159"/>
      <c r="IXE15" s="7152"/>
      <c r="IXF15" s="7153"/>
      <c r="IXG15" s="7153"/>
      <c r="IXH15" s="7153"/>
      <c r="IXI15" s="7157"/>
      <c r="IXJ15" s="7157"/>
      <c r="IXK15" s="7157"/>
      <c r="IXL15" s="7157"/>
      <c r="IXM15" s="7157"/>
      <c r="IXN15" s="7157"/>
      <c r="IXO15" s="7158"/>
      <c r="IXP15" s="7158"/>
      <c r="IXQ15" s="7158"/>
      <c r="IXR15" s="7158"/>
      <c r="IXS15" s="7158"/>
      <c r="IXT15" s="7159"/>
      <c r="IXU15" s="7152"/>
      <c r="IXV15" s="7153"/>
      <c r="IXW15" s="7153"/>
      <c r="IXX15" s="7153"/>
      <c r="IXY15" s="7157"/>
      <c r="IXZ15" s="7157"/>
      <c r="IYA15" s="7157"/>
      <c r="IYB15" s="7157"/>
      <c r="IYC15" s="7157"/>
      <c r="IYD15" s="7157"/>
      <c r="IYE15" s="7158"/>
      <c r="IYF15" s="7158"/>
      <c r="IYG15" s="7158"/>
      <c r="IYH15" s="7158"/>
      <c r="IYI15" s="7158"/>
      <c r="IYJ15" s="7159"/>
      <c r="IYK15" s="7152"/>
      <c r="IYL15" s="7153"/>
      <c r="IYM15" s="7153"/>
      <c r="IYN15" s="7153"/>
      <c r="IYO15" s="7157"/>
      <c r="IYP15" s="7157"/>
      <c r="IYQ15" s="7157"/>
      <c r="IYR15" s="7157"/>
      <c r="IYS15" s="7157"/>
      <c r="IYT15" s="7157"/>
      <c r="IYU15" s="7158"/>
      <c r="IYV15" s="7158"/>
      <c r="IYW15" s="7158"/>
      <c r="IYX15" s="7158"/>
      <c r="IYY15" s="7158"/>
      <c r="IYZ15" s="7159"/>
      <c r="IZA15" s="7152"/>
      <c r="IZB15" s="7153"/>
      <c r="IZC15" s="7153"/>
      <c r="IZD15" s="7153"/>
      <c r="IZE15" s="7157"/>
      <c r="IZF15" s="7157"/>
      <c r="IZG15" s="7157"/>
      <c r="IZH15" s="7157"/>
      <c r="IZI15" s="7157"/>
      <c r="IZJ15" s="7157"/>
      <c r="IZK15" s="7158"/>
      <c r="IZL15" s="7158"/>
      <c r="IZM15" s="7158"/>
      <c r="IZN15" s="7158"/>
      <c r="IZO15" s="7158"/>
      <c r="IZP15" s="7159"/>
      <c r="IZQ15" s="7152"/>
      <c r="IZR15" s="7153"/>
      <c r="IZS15" s="7153"/>
      <c r="IZT15" s="7153"/>
      <c r="IZU15" s="7157"/>
      <c r="IZV15" s="7157"/>
      <c r="IZW15" s="7157"/>
      <c r="IZX15" s="7157"/>
      <c r="IZY15" s="7157"/>
      <c r="IZZ15" s="7157"/>
      <c r="JAA15" s="7158"/>
      <c r="JAB15" s="7158"/>
      <c r="JAC15" s="7158"/>
      <c r="JAD15" s="7158"/>
      <c r="JAE15" s="7158"/>
      <c r="JAF15" s="7159"/>
      <c r="JAG15" s="7152"/>
      <c r="JAH15" s="7153"/>
      <c r="JAI15" s="7153"/>
      <c r="JAJ15" s="7153"/>
      <c r="JAK15" s="7157"/>
      <c r="JAL15" s="7157"/>
      <c r="JAM15" s="7157"/>
      <c r="JAN15" s="7157"/>
      <c r="JAO15" s="7157"/>
      <c r="JAP15" s="7157"/>
      <c r="JAQ15" s="7158"/>
      <c r="JAR15" s="7158"/>
      <c r="JAS15" s="7158"/>
      <c r="JAT15" s="7158"/>
      <c r="JAU15" s="7158"/>
      <c r="JAV15" s="7159"/>
      <c r="JAW15" s="7152"/>
      <c r="JAX15" s="7153"/>
      <c r="JAY15" s="7153"/>
      <c r="JAZ15" s="7153"/>
      <c r="JBA15" s="7157"/>
      <c r="JBB15" s="7157"/>
      <c r="JBC15" s="7157"/>
      <c r="JBD15" s="7157"/>
      <c r="JBE15" s="7157"/>
      <c r="JBF15" s="7157"/>
      <c r="JBG15" s="7158"/>
      <c r="JBH15" s="7158"/>
      <c r="JBI15" s="7158"/>
      <c r="JBJ15" s="7158"/>
      <c r="JBK15" s="7158"/>
      <c r="JBL15" s="7159"/>
      <c r="JBM15" s="7152"/>
      <c r="JBN15" s="7153"/>
      <c r="JBO15" s="7153"/>
      <c r="JBP15" s="7153"/>
      <c r="JBQ15" s="7157"/>
      <c r="JBR15" s="7157"/>
      <c r="JBS15" s="7157"/>
      <c r="JBT15" s="7157"/>
      <c r="JBU15" s="7157"/>
      <c r="JBV15" s="7157"/>
      <c r="JBW15" s="7158"/>
      <c r="JBX15" s="7158"/>
      <c r="JBY15" s="7158"/>
      <c r="JBZ15" s="7158"/>
      <c r="JCA15" s="7158"/>
      <c r="JCB15" s="7159"/>
      <c r="JCC15" s="7152"/>
      <c r="JCD15" s="7153"/>
      <c r="JCE15" s="7153"/>
      <c r="JCF15" s="7153"/>
      <c r="JCG15" s="7157"/>
      <c r="JCH15" s="7157"/>
      <c r="JCI15" s="7157"/>
      <c r="JCJ15" s="7157"/>
      <c r="JCK15" s="7157"/>
      <c r="JCL15" s="7157"/>
      <c r="JCM15" s="7158"/>
      <c r="JCN15" s="7158"/>
      <c r="JCO15" s="7158"/>
      <c r="JCP15" s="7158"/>
      <c r="JCQ15" s="7158"/>
      <c r="JCR15" s="7159"/>
      <c r="JCS15" s="7152"/>
      <c r="JCT15" s="7153"/>
      <c r="JCU15" s="7153"/>
      <c r="JCV15" s="7153"/>
      <c r="JCW15" s="7157"/>
      <c r="JCX15" s="7157"/>
      <c r="JCY15" s="7157"/>
      <c r="JCZ15" s="7157"/>
      <c r="JDA15" s="7157"/>
      <c r="JDB15" s="7157"/>
      <c r="JDC15" s="7158"/>
      <c r="JDD15" s="7158"/>
      <c r="JDE15" s="7158"/>
      <c r="JDF15" s="7158"/>
      <c r="JDG15" s="7158"/>
      <c r="JDH15" s="7159"/>
      <c r="JDI15" s="7152"/>
      <c r="JDJ15" s="7153"/>
      <c r="JDK15" s="7153"/>
      <c r="JDL15" s="7153"/>
      <c r="JDM15" s="7157"/>
      <c r="JDN15" s="7157"/>
      <c r="JDO15" s="7157"/>
      <c r="JDP15" s="7157"/>
      <c r="JDQ15" s="7157"/>
      <c r="JDR15" s="7157"/>
      <c r="JDS15" s="7158"/>
      <c r="JDT15" s="7158"/>
      <c r="JDU15" s="7158"/>
      <c r="JDV15" s="7158"/>
      <c r="JDW15" s="7158"/>
      <c r="JDX15" s="7159"/>
      <c r="JDY15" s="7152"/>
      <c r="JDZ15" s="7153"/>
      <c r="JEA15" s="7153"/>
      <c r="JEB15" s="7153"/>
      <c r="JEC15" s="7157"/>
      <c r="JED15" s="7157"/>
      <c r="JEE15" s="7157"/>
      <c r="JEF15" s="7157"/>
      <c r="JEG15" s="7157"/>
      <c r="JEH15" s="7157"/>
      <c r="JEI15" s="7158"/>
      <c r="JEJ15" s="7158"/>
      <c r="JEK15" s="7158"/>
      <c r="JEL15" s="7158"/>
      <c r="JEM15" s="7158"/>
      <c r="JEN15" s="7159"/>
      <c r="JEO15" s="7152"/>
      <c r="JEP15" s="7153"/>
      <c r="JEQ15" s="7153"/>
      <c r="JER15" s="7153"/>
      <c r="JES15" s="7157"/>
      <c r="JET15" s="7157"/>
      <c r="JEU15" s="7157"/>
      <c r="JEV15" s="7157"/>
      <c r="JEW15" s="7157"/>
      <c r="JEX15" s="7157"/>
      <c r="JEY15" s="7158"/>
      <c r="JEZ15" s="7158"/>
      <c r="JFA15" s="7158"/>
      <c r="JFB15" s="7158"/>
      <c r="JFC15" s="7158"/>
      <c r="JFD15" s="7159"/>
      <c r="JFE15" s="7152"/>
      <c r="JFF15" s="7153"/>
      <c r="JFG15" s="7153"/>
      <c r="JFH15" s="7153"/>
      <c r="JFI15" s="7157"/>
      <c r="JFJ15" s="7157"/>
      <c r="JFK15" s="7157"/>
      <c r="JFL15" s="7157"/>
      <c r="JFM15" s="7157"/>
      <c r="JFN15" s="7157"/>
      <c r="JFO15" s="7158"/>
      <c r="JFP15" s="7158"/>
      <c r="JFQ15" s="7158"/>
      <c r="JFR15" s="7158"/>
      <c r="JFS15" s="7158"/>
      <c r="JFT15" s="7159"/>
      <c r="JFU15" s="7152"/>
      <c r="JFV15" s="7153"/>
      <c r="JFW15" s="7153"/>
      <c r="JFX15" s="7153"/>
      <c r="JFY15" s="7157"/>
      <c r="JFZ15" s="7157"/>
      <c r="JGA15" s="7157"/>
      <c r="JGB15" s="7157"/>
      <c r="JGC15" s="7157"/>
      <c r="JGD15" s="7157"/>
      <c r="JGE15" s="7158"/>
      <c r="JGF15" s="7158"/>
      <c r="JGG15" s="7158"/>
      <c r="JGH15" s="7158"/>
      <c r="JGI15" s="7158"/>
      <c r="JGJ15" s="7159"/>
      <c r="JGK15" s="7152"/>
      <c r="JGL15" s="7153"/>
      <c r="JGM15" s="7153"/>
      <c r="JGN15" s="7153"/>
      <c r="JGO15" s="7157"/>
      <c r="JGP15" s="7157"/>
      <c r="JGQ15" s="7157"/>
      <c r="JGR15" s="7157"/>
      <c r="JGS15" s="7157"/>
      <c r="JGT15" s="7157"/>
      <c r="JGU15" s="7158"/>
      <c r="JGV15" s="7158"/>
      <c r="JGW15" s="7158"/>
      <c r="JGX15" s="7158"/>
      <c r="JGY15" s="7158"/>
      <c r="JGZ15" s="7159"/>
      <c r="JHA15" s="7152"/>
      <c r="JHB15" s="7153"/>
      <c r="JHC15" s="7153"/>
      <c r="JHD15" s="7153"/>
      <c r="JHE15" s="7157"/>
      <c r="JHF15" s="7157"/>
      <c r="JHG15" s="7157"/>
      <c r="JHH15" s="7157"/>
      <c r="JHI15" s="7157"/>
      <c r="JHJ15" s="7157"/>
      <c r="JHK15" s="7158"/>
      <c r="JHL15" s="7158"/>
      <c r="JHM15" s="7158"/>
      <c r="JHN15" s="7158"/>
      <c r="JHO15" s="7158"/>
      <c r="JHP15" s="7159"/>
      <c r="JHQ15" s="7152"/>
      <c r="JHR15" s="7153"/>
      <c r="JHS15" s="7153"/>
      <c r="JHT15" s="7153"/>
      <c r="JHU15" s="7157"/>
      <c r="JHV15" s="7157"/>
      <c r="JHW15" s="7157"/>
      <c r="JHX15" s="7157"/>
      <c r="JHY15" s="7157"/>
      <c r="JHZ15" s="7157"/>
      <c r="JIA15" s="7158"/>
      <c r="JIB15" s="7158"/>
      <c r="JIC15" s="7158"/>
      <c r="JID15" s="7158"/>
      <c r="JIE15" s="7158"/>
      <c r="JIF15" s="7159"/>
      <c r="JIG15" s="7152"/>
      <c r="JIH15" s="7153"/>
      <c r="JII15" s="7153"/>
      <c r="JIJ15" s="7153"/>
      <c r="JIK15" s="7157"/>
      <c r="JIL15" s="7157"/>
      <c r="JIM15" s="7157"/>
      <c r="JIN15" s="7157"/>
      <c r="JIO15" s="7157"/>
      <c r="JIP15" s="7157"/>
      <c r="JIQ15" s="7158"/>
      <c r="JIR15" s="7158"/>
      <c r="JIS15" s="7158"/>
      <c r="JIT15" s="7158"/>
      <c r="JIU15" s="7158"/>
      <c r="JIV15" s="7159"/>
      <c r="JIW15" s="7152"/>
      <c r="JIX15" s="7153"/>
      <c r="JIY15" s="7153"/>
      <c r="JIZ15" s="7153"/>
      <c r="JJA15" s="7157"/>
      <c r="JJB15" s="7157"/>
      <c r="JJC15" s="7157"/>
      <c r="JJD15" s="7157"/>
      <c r="JJE15" s="7157"/>
      <c r="JJF15" s="7157"/>
      <c r="JJG15" s="7158"/>
      <c r="JJH15" s="7158"/>
      <c r="JJI15" s="7158"/>
      <c r="JJJ15" s="7158"/>
      <c r="JJK15" s="7158"/>
      <c r="JJL15" s="7159"/>
      <c r="JJM15" s="7152"/>
      <c r="JJN15" s="7153"/>
      <c r="JJO15" s="7153"/>
      <c r="JJP15" s="7153"/>
      <c r="JJQ15" s="7157"/>
      <c r="JJR15" s="7157"/>
      <c r="JJS15" s="7157"/>
      <c r="JJT15" s="7157"/>
      <c r="JJU15" s="7157"/>
      <c r="JJV15" s="7157"/>
      <c r="JJW15" s="7158"/>
      <c r="JJX15" s="7158"/>
      <c r="JJY15" s="7158"/>
      <c r="JJZ15" s="7158"/>
      <c r="JKA15" s="7158"/>
      <c r="JKB15" s="7159"/>
      <c r="JKC15" s="7152"/>
      <c r="JKD15" s="7153"/>
      <c r="JKE15" s="7153"/>
      <c r="JKF15" s="7153"/>
      <c r="JKG15" s="7157"/>
      <c r="JKH15" s="7157"/>
      <c r="JKI15" s="7157"/>
      <c r="JKJ15" s="7157"/>
      <c r="JKK15" s="7157"/>
      <c r="JKL15" s="7157"/>
      <c r="JKM15" s="7158"/>
      <c r="JKN15" s="7158"/>
      <c r="JKO15" s="7158"/>
      <c r="JKP15" s="7158"/>
      <c r="JKQ15" s="7158"/>
      <c r="JKR15" s="7159"/>
      <c r="JKS15" s="7152"/>
      <c r="JKT15" s="7153"/>
      <c r="JKU15" s="7153"/>
      <c r="JKV15" s="7153"/>
      <c r="JKW15" s="7157"/>
      <c r="JKX15" s="7157"/>
      <c r="JKY15" s="7157"/>
      <c r="JKZ15" s="7157"/>
      <c r="JLA15" s="7157"/>
      <c r="JLB15" s="7157"/>
      <c r="JLC15" s="7158"/>
      <c r="JLD15" s="7158"/>
      <c r="JLE15" s="7158"/>
      <c r="JLF15" s="7158"/>
      <c r="JLG15" s="7158"/>
      <c r="JLH15" s="7159"/>
      <c r="JLI15" s="7152"/>
      <c r="JLJ15" s="7153"/>
      <c r="JLK15" s="7153"/>
      <c r="JLL15" s="7153"/>
      <c r="JLM15" s="7157"/>
      <c r="JLN15" s="7157"/>
      <c r="JLO15" s="7157"/>
      <c r="JLP15" s="7157"/>
      <c r="JLQ15" s="7157"/>
      <c r="JLR15" s="7157"/>
      <c r="JLS15" s="7158"/>
      <c r="JLT15" s="7158"/>
      <c r="JLU15" s="7158"/>
      <c r="JLV15" s="7158"/>
      <c r="JLW15" s="7158"/>
      <c r="JLX15" s="7159"/>
      <c r="JLY15" s="7152"/>
      <c r="JLZ15" s="7153"/>
      <c r="JMA15" s="7153"/>
      <c r="JMB15" s="7153"/>
      <c r="JMC15" s="7157"/>
      <c r="JMD15" s="7157"/>
      <c r="JME15" s="7157"/>
      <c r="JMF15" s="7157"/>
      <c r="JMG15" s="7157"/>
      <c r="JMH15" s="7157"/>
      <c r="JMI15" s="7158"/>
      <c r="JMJ15" s="7158"/>
      <c r="JMK15" s="7158"/>
      <c r="JML15" s="7158"/>
      <c r="JMM15" s="7158"/>
      <c r="JMN15" s="7159"/>
      <c r="JMO15" s="7152"/>
      <c r="JMP15" s="7153"/>
      <c r="JMQ15" s="7153"/>
      <c r="JMR15" s="7153"/>
      <c r="JMS15" s="7157"/>
      <c r="JMT15" s="7157"/>
      <c r="JMU15" s="7157"/>
      <c r="JMV15" s="7157"/>
      <c r="JMW15" s="7157"/>
      <c r="JMX15" s="7157"/>
      <c r="JMY15" s="7158"/>
      <c r="JMZ15" s="7158"/>
      <c r="JNA15" s="7158"/>
      <c r="JNB15" s="7158"/>
      <c r="JNC15" s="7158"/>
      <c r="JND15" s="7159"/>
      <c r="JNE15" s="7152"/>
      <c r="JNF15" s="7153"/>
      <c r="JNG15" s="7153"/>
      <c r="JNH15" s="7153"/>
      <c r="JNI15" s="7157"/>
      <c r="JNJ15" s="7157"/>
      <c r="JNK15" s="7157"/>
      <c r="JNL15" s="7157"/>
      <c r="JNM15" s="7157"/>
      <c r="JNN15" s="7157"/>
      <c r="JNO15" s="7158"/>
      <c r="JNP15" s="7158"/>
      <c r="JNQ15" s="7158"/>
      <c r="JNR15" s="7158"/>
      <c r="JNS15" s="7158"/>
      <c r="JNT15" s="7159"/>
      <c r="JNU15" s="7152"/>
      <c r="JNV15" s="7153"/>
      <c r="JNW15" s="7153"/>
      <c r="JNX15" s="7153"/>
      <c r="JNY15" s="7157"/>
      <c r="JNZ15" s="7157"/>
      <c r="JOA15" s="7157"/>
      <c r="JOB15" s="7157"/>
      <c r="JOC15" s="7157"/>
      <c r="JOD15" s="7157"/>
      <c r="JOE15" s="7158"/>
      <c r="JOF15" s="7158"/>
      <c r="JOG15" s="7158"/>
      <c r="JOH15" s="7158"/>
      <c r="JOI15" s="7158"/>
      <c r="JOJ15" s="7159"/>
      <c r="JOK15" s="7152"/>
      <c r="JOL15" s="7153"/>
      <c r="JOM15" s="7153"/>
      <c r="JON15" s="7153"/>
      <c r="JOO15" s="7157"/>
      <c r="JOP15" s="7157"/>
      <c r="JOQ15" s="7157"/>
      <c r="JOR15" s="7157"/>
      <c r="JOS15" s="7157"/>
      <c r="JOT15" s="7157"/>
      <c r="JOU15" s="7158"/>
      <c r="JOV15" s="7158"/>
      <c r="JOW15" s="7158"/>
      <c r="JOX15" s="7158"/>
      <c r="JOY15" s="7158"/>
      <c r="JOZ15" s="7159"/>
      <c r="JPA15" s="7152"/>
      <c r="JPB15" s="7153"/>
      <c r="JPC15" s="7153"/>
      <c r="JPD15" s="7153"/>
      <c r="JPE15" s="7157"/>
      <c r="JPF15" s="7157"/>
      <c r="JPG15" s="7157"/>
      <c r="JPH15" s="7157"/>
      <c r="JPI15" s="7157"/>
      <c r="JPJ15" s="7157"/>
      <c r="JPK15" s="7158"/>
      <c r="JPL15" s="7158"/>
      <c r="JPM15" s="7158"/>
      <c r="JPN15" s="7158"/>
      <c r="JPO15" s="7158"/>
      <c r="JPP15" s="7159"/>
      <c r="JPQ15" s="7152"/>
      <c r="JPR15" s="7153"/>
      <c r="JPS15" s="7153"/>
      <c r="JPT15" s="7153"/>
      <c r="JPU15" s="7157"/>
      <c r="JPV15" s="7157"/>
      <c r="JPW15" s="7157"/>
      <c r="JPX15" s="7157"/>
      <c r="JPY15" s="7157"/>
      <c r="JPZ15" s="7157"/>
      <c r="JQA15" s="7158"/>
      <c r="JQB15" s="7158"/>
      <c r="JQC15" s="7158"/>
      <c r="JQD15" s="7158"/>
      <c r="JQE15" s="7158"/>
      <c r="JQF15" s="7159"/>
      <c r="JQG15" s="7152"/>
      <c r="JQH15" s="7153"/>
      <c r="JQI15" s="7153"/>
      <c r="JQJ15" s="7153"/>
      <c r="JQK15" s="7157"/>
      <c r="JQL15" s="7157"/>
      <c r="JQM15" s="7157"/>
      <c r="JQN15" s="7157"/>
      <c r="JQO15" s="7157"/>
      <c r="JQP15" s="7157"/>
      <c r="JQQ15" s="7158"/>
      <c r="JQR15" s="7158"/>
      <c r="JQS15" s="7158"/>
      <c r="JQT15" s="7158"/>
      <c r="JQU15" s="7158"/>
      <c r="JQV15" s="7159"/>
      <c r="JQW15" s="7152"/>
      <c r="JQX15" s="7153"/>
      <c r="JQY15" s="7153"/>
      <c r="JQZ15" s="7153"/>
      <c r="JRA15" s="7157"/>
      <c r="JRB15" s="7157"/>
      <c r="JRC15" s="7157"/>
      <c r="JRD15" s="7157"/>
      <c r="JRE15" s="7157"/>
      <c r="JRF15" s="7157"/>
      <c r="JRG15" s="7158"/>
      <c r="JRH15" s="7158"/>
      <c r="JRI15" s="7158"/>
      <c r="JRJ15" s="7158"/>
      <c r="JRK15" s="7158"/>
      <c r="JRL15" s="7159"/>
      <c r="JRM15" s="7152"/>
      <c r="JRN15" s="7153"/>
      <c r="JRO15" s="7153"/>
      <c r="JRP15" s="7153"/>
      <c r="JRQ15" s="7157"/>
      <c r="JRR15" s="7157"/>
      <c r="JRS15" s="7157"/>
      <c r="JRT15" s="7157"/>
      <c r="JRU15" s="7157"/>
      <c r="JRV15" s="7157"/>
      <c r="JRW15" s="7158"/>
      <c r="JRX15" s="7158"/>
      <c r="JRY15" s="7158"/>
      <c r="JRZ15" s="7158"/>
      <c r="JSA15" s="7158"/>
      <c r="JSB15" s="7159"/>
      <c r="JSC15" s="7152"/>
      <c r="JSD15" s="7153"/>
      <c r="JSE15" s="7153"/>
      <c r="JSF15" s="7153"/>
      <c r="JSG15" s="7157"/>
      <c r="JSH15" s="7157"/>
      <c r="JSI15" s="7157"/>
      <c r="JSJ15" s="7157"/>
      <c r="JSK15" s="7157"/>
      <c r="JSL15" s="7157"/>
      <c r="JSM15" s="7158"/>
      <c r="JSN15" s="7158"/>
      <c r="JSO15" s="7158"/>
      <c r="JSP15" s="7158"/>
      <c r="JSQ15" s="7158"/>
      <c r="JSR15" s="7159"/>
      <c r="JSS15" s="7152"/>
      <c r="JST15" s="7153"/>
      <c r="JSU15" s="7153"/>
      <c r="JSV15" s="7153"/>
      <c r="JSW15" s="7157"/>
      <c r="JSX15" s="7157"/>
      <c r="JSY15" s="7157"/>
      <c r="JSZ15" s="7157"/>
      <c r="JTA15" s="7157"/>
      <c r="JTB15" s="7157"/>
      <c r="JTC15" s="7158"/>
      <c r="JTD15" s="7158"/>
      <c r="JTE15" s="7158"/>
      <c r="JTF15" s="7158"/>
      <c r="JTG15" s="7158"/>
      <c r="JTH15" s="7159"/>
      <c r="JTI15" s="7152"/>
      <c r="JTJ15" s="7153"/>
      <c r="JTK15" s="7153"/>
      <c r="JTL15" s="7153"/>
      <c r="JTM15" s="7157"/>
      <c r="JTN15" s="7157"/>
      <c r="JTO15" s="7157"/>
      <c r="JTP15" s="7157"/>
      <c r="JTQ15" s="7157"/>
      <c r="JTR15" s="7157"/>
      <c r="JTS15" s="7158"/>
      <c r="JTT15" s="7158"/>
      <c r="JTU15" s="7158"/>
      <c r="JTV15" s="7158"/>
      <c r="JTW15" s="7158"/>
      <c r="JTX15" s="7159"/>
      <c r="JTY15" s="7152"/>
      <c r="JTZ15" s="7153"/>
      <c r="JUA15" s="7153"/>
      <c r="JUB15" s="7153"/>
      <c r="JUC15" s="7157"/>
      <c r="JUD15" s="7157"/>
      <c r="JUE15" s="7157"/>
      <c r="JUF15" s="7157"/>
      <c r="JUG15" s="7157"/>
      <c r="JUH15" s="7157"/>
      <c r="JUI15" s="7158"/>
      <c r="JUJ15" s="7158"/>
      <c r="JUK15" s="7158"/>
      <c r="JUL15" s="7158"/>
      <c r="JUM15" s="7158"/>
      <c r="JUN15" s="7159"/>
      <c r="JUO15" s="7152"/>
      <c r="JUP15" s="7153"/>
      <c r="JUQ15" s="7153"/>
      <c r="JUR15" s="7153"/>
      <c r="JUS15" s="7157"/>
      <c r="JUT15" s="7157"/>
      <c r="JUU15" s="7157"/>
      <c r="JUV15" s="7157"/>
      <c r="JUW15" s="7157"/>
      <c r="JUX15" s="7157"/>
      <c r="JUY15" s="7158"/>
      <c r="JUZ15" s="7158"/>
      <c r="JVA15" s="7158"/>
      <c r="JVB15" s="7158"/>
      <c r="JVC15" s="7158"/>
      <c r="JVD15" s="7159"/>
      <c r="JVE15" s="7152"/>
      <c r="JVF15" s="7153"/>
      <c r="JVG15" s="7153"/>
      <c r="JVH15" s="7153"/>
      <c r="JVI15" s="7157"/>
      <c r="JVJ15" s="7157"/>
      <c r="JVK15" s="7157"/>
      <c r="JVL15" s="7157"/>
      <c r="JVM15" s="7157"/>
      <c r="JVN15" s="7157"/>
      <c r="JVO15" s="7158"/>
      <c r="JVP15" s="7158"/>
      <c r="JVQ15" s="7158"/>
      <c r="JVR15" s="7158"/>
      <c r="JVS15" s="7158"/>
      <c r="JVT15" s="7159"/>
      <c r="JVU15" s="7152"/>
      <c r="JVV15" s="7153"/>
      <c r="JVW15" s="7153"/>
      <c r="JVX15" s="7153"/>
      <c r="JVY15" s="7157"/>
      <c r="JVZ15" s="7157"/>
      <c r="JWA15" s="7157"/>
      <c r="JWB15" s="7157"/>
      <c r="JWC15" s="7157"/>
      <c r="JWD15" s="7157"/>
      <c r="JWE15" s="7158"/>
      <c r="JWF15" s="7158"/>
      <c r="JWG15" s="7158"/>
      <c r="JWH15" s="7158"/>
      <c r="JWI15" s="7158"/>
      <c r="JWJ15" s="7159"/>
      <c r="JWK15" s="7152"/>
      <c r="JWL15" s="7153"/>
      <c r="JWM15" s="7153"/>
      <c r="JWN15" s="7153"/>
      <c r="JWO15" s="7157"/>
      <c r="JWP15" s="7157"/>
      <c r="JWQ15" s="7157"/>
      <c r="JWR15" s="7157"/>
      <c r="JWS15" s="7157"/>
      <c r="JWT15" s="7157"/>
      <c r="JWU15" s="7158"/>
      <c r="JWV15" s="7158"/>
      <c r="JWW15" s="7158"/>
      <c r="JWX15" s="7158"/>
      <c r="JWY15" s="7158"/>
      <c r="JWZ15" s="7159"/>
      <c r="JXA15" s="7152"/>
      <c r="JXB15" s="7153"/>
      <c r="JXC15" s="7153"/>
      <c r="JXD15" s="7153"/>
      <c r="JXE15" s="7157"/>
      <c r="JXF15" s="7157"/>
      <c r="JXG15" s="7157"/>
      <c r="JXH15" s="7157"/>
      <c r="JXI15" s="7157"/>
      <c r="JXJ15" s="7157"/>
      <c r="JXK15" s="7158"/>
      <c r="JXL15" s="7158"/>
      <c r="JXM15" s="7158"/>
      <c r="JXN15" s="7158"/>
      <c r="JXO15" s="7158"/>
      <c r="JXP15" s="7159"/>
      <c r="JXQ15" s="7152"/>
      <c r="JXR15" s="7153"/>
      <c r="JXS15" s="7153"/>
      <c r="JXT15" s="7153"/>
      <c r="JXU15" s="7157"/>
      <c r="JXV15" s="7157"/>
      <c r="JXW15" s="7157"/>
      <c r="JXX15" s="7157"/>
      <c r="JXY15" s="7157"/>
      <c r="JXZ15" s="7157"/>
      <c r="JYA15" s="7158"/>
      <c r="JYB15" s="7158"/>
      <c r="JYC15" s="7158"/>
      <c r="JYD15" s="7158"/>
      <c r="JYE15" s="7158"/>
      <c r="JYF15" s="7159"/>
      <c r="JYG15" s="7152"/>
      <c r="JYH15" s="7153"/>
      <c r="JYI15" s="7153"/>
      <c r="JYJ15" s="7153"/>
      <c r="JYK15" s="7157"/>
      <c r="JYL15" s="7157"/>
      <c r="JYM15" s="7157"/>
      <c r="JYN15" s="7157"/>
      <c r="JYO15" s="7157"/>
      <c r="JYP15" s="7157"/>
      <c r="JYQ15" s="7158"/>
      <c r="JYR15" s="7158"/>
      <c r="JYS15" s="7158"/>
      <c r="JYT15" s="7158"/>
      <c r="JYU15" s="7158"/>
      <c r="JYV15" s="7159"/>
      <c r="JYW15" s="7152"/>
      <c r="JYX15" s="7153"/>
      <c r="JYY15" s="7153"/>
      <c r="JYZ15" s="7153"/>
      <c r="JZA15" s="7157"/>
      <c r="JZB15" s="7157"/>
      <c r="JZC15" s="7157"/>
      <c r="JZD15" s="7157"/>
      <c r="JZE15" s="7157"/>
      <c r="JZF15" s="7157"/>
      <c r="JZG15" s="7158"/>
      <c r="JZH15" s="7158"/>
      <c r="JZI15" s="7158"/>
      <c r="JZJ15" s="7158"/>
      <c r="JZK15" s="7158"/>
      <c r="JZL15" s="7159"/>
      <c r="JZM15" s="7152"/>
      <c r="JZN15" s="7153"/>
      <c r="JZO15" s="7153"/>
      <c r="JZP15" s="7153"/>
      <c r="JZQ15" s="7157"/>
      <c r="JZR15" s="7157"/>
      <c r="JZS15" s="7157"/>
      <c r="JZT15" s="7157"/>
      <c r="JZU15" s="7157"/>
      <c r="JZV15" s="7157"/>
      <c r="JZW15" s="7158"/>
      <c r="JZX15" s="7158"/>
      <c r="JZY15" s="7158"/>
      <c r="JZZ15" s="7158"/>
      <c r="KAA15" s="7158"/>
      <c r="KAB15" s="7159"/>
      <c r="KAC15" s="7152"/>
      <c r="KAD15" s="7153"/>
      <c r="KAE15" s="7153"/>
      <c r="KAF15" s="7153"/>
      <c r="KAG15" s="7157"/>
      <c r="KAH15" s="7157"/>
      <c r="KAI15" s="7157"/>
      <c r="KAJ15" s="7157"/>
      <c r="KAK15" s="7157"/>
      <c r="KAL15" s="7157"/>
      <c r="KAM15" s="7158"/>
      <c r="KAN15" s="7158"/>
      <c r="KAO15" s="7158"/>
      <c r="KAP15" s="7158"/>
      <c r="KAQ15" s="7158"/>
      <c r="KAR15" s="7159"/>
      <c r="KAS15" s="7152"/>
      <c r="KAT15" s="7153"/>
      <c r="KAU15" s="7153"/>
      <c r="KAV15" s="7153"/>
      <c r="KAW15" s="7157"/>
      <c r="KAX15" s="7157"/>
      <c r="KAY15" s="7157"/>
      <c r="KAZ15" s="7157"/>
      <c r="KBA15" s="7157"/>
      <c r="KBB15" s="7157"/>
      <c r="KBC15" s="7158"/>
      <c r="KBD15" s="7158"/>
      <c r="KBE15" s="7158"/>
      <c r="KBF15" s="7158"/>
      <c r="KBG15" s="7158"/>
      <c r="KBH15" s="7159"/>
      <c r="KBI15" s="7152"/>
      <c r="KBJ15" s="7153"/>
      <c r="KBK15" s="7153"/>
      <c r="KBL15" s="7153"/>
      <c r="KBM15" s="7157"/>
      <c r="KBN15" s="7157"/>
      <c r="KBO15" s="7157"/>
      <c r="KBP15" s="7157"/>
      <c r="KBQ15" s="7157"/>
      <c r="KBR15" s="7157"/>
      <c r="KBS15" s="7158"/>
      <c r="KBT15" s="7158"/>
      <c r="KBU15" s="7158"/>
      <c r="KBV15" s="7158"/>
      <c r="KBW15" s="7158"/>
      <c r="KBX15" s="7159"/>
      <c r="KBY15" s="7152"/>
      <c r="KBZ15" s="7153"/>
      <c r="KCA15" s="7153"/>
      <c r="KCB15" s="7153"/>
      <c r="KCC15" s="7157"/>
      <c r="KCD15" s="7157"/>
      <c r="KCE15" s="7157"/>
      <c r="KCF15" s="7157"/>
      <c r="KCG15" s="7157"/>
      <c r="KCH15" s="7157"/>
      <c r="KCI15" s="7158"/>
      <c r="KCJ15" s="7158"/>
      <c r="KCK15" s="7158"/>
      <c r="KCL15" s="7158"/>
      <c r="KCM15" s="7158"/>
      <c r="KCN15" s="7159"/>
      <c r="KCO15" s="7152"/>
      <c r="KCP15" s="7153"/>
      <c r="KCQ15" s="7153"/>
      <c r="KCR15" s="7153"/>
      <c r="KCS15" s="7157"/>
      <c r="KCT15" s="7157"/>
      <c r="KCU15" s="7157"/>
      <c r="KCV15" s="7157"/>
      <c r="KCW15" s="7157"/>
      <c r="KCX15" s="7157"/>
      <c r="KCY15" s="7158"/>
      <c r="KCZ15" s="7158"/>
      <c r="KDA15" s="7158"/>
      <c r="KDB15" s="7158"/>
      <c r="KDC15" s="7158"/>
      <c r="KDD15" s="7159"/>
      <c r="KDE15" s="7152"/>
      <c r="KDF15" s="7153"/>
      <c r="KDG15" s="7153"/>
      <c r="KDH15" s="7153"/>
      <c r="KDI15" s="7157"/>
      <c r="KDJ15" s="7157"/>
      <c r="KDK15" s="7157"/>
      <c r="KDL15" s="7157"/>
      <c r="KDM15" s="7157"/>
      <c r="KDN15" s="7157"/>
      <c r="KDO15" s="7158"/>
      <c r="KDP15" s="7158"/>
      <c r="KDQ15" s="7158"/>
      <c r="KDR15" s="7158"/>
      <c r="KDS15" s="7158"/>
      <c r="KDT15" s="7159"/>
      <c r="KDU15" s="7152"/>
      <c r="KDV15" s="7153"/>
      <c r="KDW15" s="7153"/>
      <c r="KDX15" s="7153"/>
      <c r="KDY15" s="7157"/>
      <c r="KDZ15" s="7157"/>
      <c r="KEA15" s="7157"/>
      <c r="KEB15" s="7157"/>
      <c r="KEC15" s="7157"/>
      <c r="KED15" s="7157"/>
      <c r="KEE15" s="7158"/>
      <c r="KEF15" s="7158"/>
      <c r="KEG15" s="7158"/>
      <c r="KEH15" s="7158"/>
      <c r="KEI15" s="7158"/>
      <c r="KEJ15" s="7159"/>
      <c r="KEK15" s="7152"/>
      <c r="KEL15" s="7153"/>
      <c r="KEM15" s="7153"/>
      <c r="KEN15" s="7153"/>
      <c r="KEO15" s="7157"/>
      <c r="KEP15" s="7157"/>
      <c r="KEQ15" s="7157"/>
      <c r="KER15" s="7157"/>
      <c r="KES15" s="7157"/>
      <c r="KET15" s="7157"/>
      <c r="KEU15" s="7158"/>
      <c r="KEV15" s="7158"/>
      <c r="KEW15" s="7158"/>
      <c r="KEX15" s="7158"/>
      <c r="KEY15" s="7158"/>
      <c r="KEZ15" s="7159"/>
      <c r="KFA15" s="7152"/>
      <c r="KFB15" s="7153"/>
      <c r="KFC15" s="7153"/>
      <c r="KFD15" s="7153"/>
      <c r="KFE15" s="7157"/>
      <c r="KFF15" s="7157"/>
      <c r="KFG15" s="7157"/>
      <c r="KFH15" s="7157"/>
      <c r="KFI15" s="7157"/>
      <c r="KFJ15" s="7157"/>
      <c r="KFK15" s="7158"/>
      <c r="KFL15" s="7158"/>
      <c r="KFM15" s="7158"/>
      <c r="KFN15" s="7158"/>
      <c r="KFO15" s="7158"/>
      <c r="KFP15" s="7159"/>
      <c r="KFQ15" s="7152"/>
      <c r="KFR15" s="7153"/>
      <c r="KFS15" s="7153"/>
      <c r="KFT15" s="7153"/>
      <c r="KFU15" s="7157"/>
      <c r="KFV15" s="7157"/>
      <c r="KFW15" s="7157"/>
      <c r="KFX15" s="7157"/>
      <c r="KFY15" s="7157"/>
      <c r="KFZ15" s="7157"/>
      <c r="KGA15" s="7158"/>
      <c r="KGB15" s="7158"/>
      <c r="KGC15" s="7158"/>
      <c r="KGD15" s="7158"/>
      <c r="KGE15" s="7158"/>
      <c r="KGF15" s="7159"/>
      <c r="KGG15" s="7152"/>
      <c r="KGH15" s="7153"/>
      <c r="KGI15" s="7153"/>
      <c r="KGJ15" s="7153"/>
      <c r="KGK15" s="7157"/>
      <c r="KGL15" s="7157"/>
      <c r="KGM15" s="7157"/>
      <c r="KGN15" s="7157"/>
      <c r="KGO15" s="7157"/>
      <c r="KGP15" s="7157"/>
      <c r="KGQ15" s="7158"/>
      <c r="KGR15" s="7158"/>
      <c r="KGS15" s="7158"/>
      <c r="KGT15" s="7158"/>
      <c r="KGU15" s="7158"/>
      <c r="KGV15" s="7159"/>
      <c r="KGW15" s="7152"/>
      <c r="KGX15" s="7153"/>
      <c r="KGY15" s="7153"/>
      <c r="KGZ15" s="7153"/>
      <c r="KHA15" s="7157"/>
      <c r="KHB15" s="7157"/>
      <c r="KHC15" s="7157"/>
      <c r="KHD15" s="7157"/>
      <c r="KHE15" s="7157"/>
      <c r="KHF15" s="7157"/>
      <c r="KHG15" s="7158"/>
      <c r="KHH15" s="7158"/>
      <c r="KHI15" s="7158"/>
      <c r="KHJ15" s="7158"/>
      <c r="KHK15" s="7158"/>
      <c r="KHL15" s="7159"/>
      <c r="KHM15" s="7152"/>
      <c r="KHN15" s="7153"/>
      <c r="KHO15" s="7153"/>
      <c r="KHP15" s="7153"/>
      <c r="KHQ15" s="7157"/>
      <c r="KHR15" s="7157"/>
      <c r="KHS15" s="7157"/>
      <c r="KHT15" s="7157"/>
      <c r="KHU15" s="7157"/>
      <c r="KHV15" s="7157"/>
      <c r="KHW15" s="7158"/>
      <c r="KHX15" s="7158"/>
      <c r="KHY15" s="7158"/>
      <c r="KHZ15" s="7158"/>
      <c r="KIA15" s="7158"/>
      <c r="KIB15" s="7159"/>
      <c r="KIC15" s="7152"/>
      <c r="KID15" s="7153"/>
      <c r="KIE15" s="7153"/>
      <c r="KIF15" s="7153"/>
      <c r="KIG15" s="7157"/>
      <c r="KIH15" s="7157"/>
      <c r="KII15" s="7157"/>
      <c r="KIJ15" s="7157"/>
      <c r="KIK15" s="7157"/>
      <c r="KIL15" s="7157"/>
      <c r="KIM15" s="7158"/>
      <c r="KIN15" s="7158"/>
      <c r="KIO15" s="7158"/>
      <c r="KIP15" s="7158"/>
      <c r="KIQ15" s="7158"/>
      <c r="KIR15" s="7159"/>
      <c r="KIS15" s="7152"/>
      <c r="KIT15" s="7153"/>
      <c r="KIU15" s="7153"/>
      <c r="KIV15" s="7153"/>
      <c r="KIW15" s="7157"/>
      <c r="KIX15" s="7157"/>
      <c r="KIY15" s="7157"/>
      <c r="KIZ15" s="7157"/>
      <c r="KJA15" s="7157"/>
      <c r="KJB15" s="7157"/>
      <c r="KJC15" s="7158"/>
      <c r="KJD15" s="7158"/>
      <c r="KJE15" s="7158"/>
      <c r="KJF15" s="7158"/>
      <c r="KJG15" s="7158"/>
      <c r="KJH15" s="7159"/>
      <c r="KJI15" s="7152"/>
      <c r="KJJ15" s="7153"/>
      <c r="KJK15" s="7153"/>
      <c r="KJL15" s="7153"/>
      <c r="KJM15" s="7157"/>
      <c r="KJN15" s="7157"/>
      <c r="KJO15" s="7157"/>
      <c r="KJP15" s="7157"/>
      <c r="KJQ15" s="7157"/>
      <c r="KJR15" s="7157"/>
      <c r="KJS15" s="7158"/>
      <c r="KJT15" s="7158"/>
      <c r="KJU15" s="7158"/>
      <c r="KJV15" s="7158"/>
      <c r="KJW15" s="7158"/>
      <c r="KJX15" s="7159"/>
      <c r="KJY15" s="7152"/>
      <c r="KJZ15" s="7153"/>
      <c r="KKA15" s="7153"/>
      <c r="KKB15" s="7153"/>
      <c r="KKC15" s="7157"/>
      <c r="KKD15" s="7157"/>
      <c r="KKE15" s="7157"/>
      <c r="KKF15" s="7157"/>
      <c r="KKG15" s="7157"/>
      <c r="KKH15" s="7157"/>
      <c r="KKI15" s="7158"/>
      <c r="KKJ15" s="7158"/>
      <c r="KKK15" s="7158"/>
      <c r="KKL15" s="7158"/>
      <c r="KKM15" s="7158"/>
      <c r="KKN15" s="7159"/>
      <c r="KKO15" s="7152"/>
      <c r="KKP15" s="7153"/>
      <c r="KKQ15" s="7153"/>
      <c r="KKR15" s="7153"/>
      <c r="KKS15" s="7157"/>
      <c r="KKT15" s="7157"/>
      <c r="KKU15" s="7157"/>
      <c r="KKV15" s="7157"/>
      <c r="KKW15" s="7157"/>
      <c r="KKX15" s="7157"/>
      <c r="KKY15" s="7158"/>
      <c r="KKZ15" s="7158"/>
      <c r="KLA15" s="7158"/>
      <c r="KLB15" s="7158"/>
      <c r="KLC15" s="7158"/>
      <c r="KLD15" s="7159"/>
      <c r="KLE15" s="7152"/>
      <c r="KLF15" s="7153"/>
      <c r="KLG15" s="7153"/>
      <c r="KLH15" s="7153"/>
      <c r="KLI15" s="7157"/>
      <c r="KLJ15" s="7157"/>
      <c r="KLK15" s="7157"/>
      <c r="KLL15" s="7157"/>
      <c r="KLM15" s="7157"/>
      <c r="KLN15" s="7157"/>
      <c r="KLO15" s="7158"/>
      <c r="KLP15" s="7158"/>
      <c r="KLQ15" s="7158"/>
      <c r="KLR15" s="7158"/>
      <c r="KLS15" s="7158"/>
      <c r="KLT15" s="7159"/>
      <c r="KLU15" s="7152"/>
      <c r="KLV15" s="7153"/>
      <c r="KLW15" s="7153"/>
      <c r="KLX15" s="7153"/>
      <c r="KLY15" s="7157"/>
      <c r="KLZ15" s="7157"/>
      <c r="KMA15" s="7157"/>
      <c r="KMB15" s="7157"/>
      <c r="KMC15" s="7157"/>
      <c r="KMD15" s="7157"/>
      <c r="KME15" s="7158"/>
      <c r="KMF15" s="7158"/>
      <c r="KMG15" s="7158"/>
      <c r="KMH15" s="7158"/>
      <c r="KMI15" s="7158"/>
      <c r="KMJ15" s="7159"/>
      <c r="KMK15" s="7152"/>
      <c r="KML15" s="7153"/>
      <c r="KMM15" s="7153"/>
      <c r="KMN15" s="7153"/>
      <c r="KMO15" s="7157"/>
      <c r="KMP15" s="7157"/>
      <c r="KMQ15" s="7157"/>
      <c r="KMR15" s="7157"/>
      <c r="KMS15" s="7157"/>
      <c r="KMT15" s="7157"/>
      <c r="KMU15" s="7158"/>
      <c r="KMV15" s="7158"/>
      <c r="KMW15" s="7158"/>
      <c r="KMX15" s="7158"/>
      <c r="KMY15" s="7158"/>
      <c r="KMZ15" s="7159"/>
      <c r="KNA15" s="7152"/>
      <c r="KNB15" s="7153"/>
      <c r="KNC15" s="7153"/>
      <c r="KND15" s="7153"/>
      <c r="KNE15" s="7157"/>
      <c r="KNF15" s="7157"/>
      <c r="KNG15" s="7157"/>
      <c r="KNH15" s="7157"/>
      <c r="KNI15" s="7157"/>
      <c r="KNJ15" s="7157"/>
      <c r="KNK15" s="7158"/>
      <c r="KNL15" s="7158"/>
      <c r="KNM15" s="7158"/>
      <c r="KNN15" s="7158"/>
      <c r="KNO15" s="7158"/>
      <c r="KNP15" s="7159"/>
      <c r="KNQ15" s="7152"/>
      <c r="KNR15" s="7153"/>
      <c r="KNS15" s="7153"/>
      <c r="KNT15" s="7153"/>
      <c r="KNU15" s="7157"/>
      <c r="KNV15" s="7157"/>
      <c r="KNW15" s="7157"/>
      <c r="KNX15" s="7157"/>
      <c r="KNY15" s="7157"/>
      <c r="KNZ15" s="7157"/>
      <c r="KOA15" s="7158"/>
      <c r="KOB15" s="7158"/>
      <c r="KOC15" s="7158"/>
      <c r="KOD15" s="7158"/>
      <c r="KOE15" s="7158"/>
      <c r="KOF15" s="7159"/>
      <c r="KOG15" s="7152"/>
      <c r="KOH15" s="7153"/>
      <c r="KOI15" s="7153"/>
      <c r="KOJ15" s="7153"/>
      <c r="KOK15" s="7157"/>
      <c r="KOL15" s="7157"/>
      <c r="KOM15" s="7157"/>
      <c r="KON15" s="7157"/>
      <c r="KOO15" s="7157"/>
      <c r="KOP15" s="7157"/>
      <c r="KOQ15" s="7158"/>
      <c r="KOR15" s="7158"/>
      <c r="KOS15" s="7158"/>
      <c r="KOT15" s="7158"/>
      <c r="KOU15" s="7158"/>
      <c r="KOV15" s="7159"/>
      <c r="KOW15" s="7152"/>
      <c r="KOX15" s="7153"/>
      <c r="KOY15" s="7153"/>
      <c r="KOZ15" s="7153"/>
      <c r="KPA15" s="7157"/>
      <c r="KPB15" s="7157"/>
      <c r="KPC15" s="7157"/>
      <c r="KPD15" s="7157"/>
      <c r="KPE15" s="7157"/>
      <c r="KPF15" s="7157"/>
      <c r="KPG15" s="7158"/>
      <c r="KPH15" s="7158"/>
      <c r="KPI15" s="7158"/>
      <c r="KPJ15" s="7158"/>
      <c r="KPK15" s="7158"/>
      <c r="KPL15" s="7159"/>
      <c r="KPM15" s="7152"/>
      <c r="KPN15" s="7153"/>
      <c r="KPO15" s="7153"/>
      <c r="KPP15" s="7153"/>
      <c r="KPQ15" s="7157"/>
      <c r="KPR15" s="7157"/>
      <c r="KPS15" s="7157"/>
      <c r="KPT15" s="7157"/>
      <c r="KPU15" s="7157"/>
      <c r="KPV15" s="7157"/>
      <c r="KPW15" s="7158"/>
      <c r="KPX15" s="7158"/>
      <c r="KPY15" s="7158"/>
      <c r="KPZ15" s="7158"/>
      <c r="KQA15" s="7158"/>
      <c r="KQB15" s="7159"/>
      <c r="KQC15" s="7152"/>
      <c r="KQD15" s="7153"/>
      <c r="KQE15" s="7153"/>
      <c r="KQF15" s="7153"/>
      <c r="KQG15" s="7157"/>
      <c r="KQH15" s="7157"/>
      <c r="KQI15" s="7157"/>
      <c r="KQJ15" s="7157"/>
      <c r="KQK15" s="7157"/>
      <c r="KQL15" s="7157"/>
      <c r="KQM15" s="7158"/>
      <c r="KQN15" s="7158"/>
      <c r="KQO15" s="7158"/>
      <c r="KQP15" s="7158"/>
      <c r="KQQ15" s="7158"/>
      <c r="KQR15" s="7159"/>
      <c r="KQS15" s="7152"/>
      <c r="KQT15" s="7153"/>
      <c r="KQU15" s="7153"/>
      <c r="KQV15" s="7153"/>
      <c r="KQW15" s="7157"/>
      <c r="KQX15" s="7157"/>
      <c r="KQY15" s="7157"/>
      <c r="KQZ15" s="7157"/>
      <c r="KRA15" s="7157"/>
      <c r="KRB15" s="7157"/>
      <c r="KRC15" s="7158"/>
      <c r="KRD15" s="7158"/>
      <c r="KRE15" s="7158"/>
      <c r="KRF15" s="7158"/>
      <c r="KRG15" s="7158"/>
      <c r="KRH15" s="7159"/>
      <c r="KRI15" s="7152"/>
      <c r="KRJ15" s="7153"/>
      <c r="KRK15" s="7153"/>
      <c r="KRL15" s="7153"/>
      <c r="KRM15" s="7157"/>
      <c r="KRN15" s="7157"/>
      <c r="KRO15" s="7157"/>
      <c r="KRP15" s="7157"/>
      <c r="KRQ15" s="7157"/>
      <c r="KRR15" s="7157"/>
      <c r="KRS15" s="7158"/>
      <c r="KRT15" s="7158"/>
      <c r="KRU15" s="7158"/>
      <c r="KRV15" s="7158"/>
      <c r="KRW15" s="7158"/>
      <c r="KRX15" s="7159"/>
      <c r="KRY15" s="7152"/>
      <c r="KRZ15" s="7153"/>
      <c r="KSA15" s="7153"/>
      <c r="KSB15" s="7153"/>
      <c r="KSC15" s="7157"/>
      <c r="KSD15" s="7157"/>
      <c r="KSE15" s="7157"/>
      <c r="KSF15" s="7157"/>
      <c r="KSG15" s="7157"/>
      <c r="KSH15" s="7157"/>
      <c r="KSI15" s="7158"/>
      <c r="KSJ15" s="7158"/>
      <c r="KSK15" s="7158"/>
      <c r="KSL15" s="7158"/>
      <c r="KSM15" s="7158"/>
      <c r="KSN15" s="7159"/>
      <c r="KSO15" s="7152"/>
      <c r="KSP15" s="7153"/>
      <c r="KSQ15" s="7153"/>
      <c r="KSR15" s="7153"/>
      <c r="KSS15" s="7157"/>
      <c r="KST15" s="7157"/>
      <c r="KSU15" s="7157"/>
      <c r="KSV15" s="7157"/>
      <c r="KSW15" s="7157"/>
      <c r="KSX15" s="7157"/>
      <c r="KSY15" s="7158"/>
      <c r="KSZ15" s="7158"/>
      <c r="KTA15" s="7158"/>
      <c r="KTB15" s="7158"/>
      <c r="KTC15" s="7158"/>
      <c r="KTD15" s="7159"/>
      <c r="KTE15" s="7152"/>
      <c r="KTF15" s="7153"/>
      <c r="KTG15" s="7153"/>
      <c r="KTH15" s="7153"/>
      <c r="KTI15" s="7157"/>
      <c r="KTJ15" s="7157"/>
      <c r="KTK15" s="7157"/>
      <c r="KTL15" s="7157"/>
      <c r="KTM15" s="7157"/>
      <c r="KTN15" s="7157"/>
      <c r="KTO15" s="7158"/>
      <c r="KTP15" s="7158"/>
      <c r="KTQ15" s="7158"/>
      <c r="KTR15" s="7158"/>
      <c r="KTS15" s="7158"/>
      <c r="KTT15" s="7159"/>
      <c r="KTU15" s="7152"/>
      <c r="KTV15" s="7153"/>
      <c r="KTW15" s="7153"/>
      <c r="KTX15" s="7153"/>
      <c r="KTY15" s="7157"/>
      <c r="KTZ15" s="7157"/>
      <c r="KUA15" s="7157"/>
      <c r="KUB15" s="7157"/>
      <c r="KUC15" s="7157"/>
      <c r="KUD15" s="7157"/>
      <c r="KUE15" s="7158"/>
      <c r="KUF15" s="7158"/>
      <c r="KUG15" s="7158"/>
      <c r="KUH15" s="7158"/>
      <c r="KUI15" s="7158"/>
      <c r="KUJ15" s="7159"/>
      <c r="KUK15" s="7152"/>
      <c r="KUL15" s="7153"/>
      <c r="KUM15" s="7153"/>
      <c r="KUN15" s="7153"/>
      <c r="KUO15" s="7157"/>
      <c r="KUP15" s="7157"/>
      <c r="KUQ15" s="7157"/>
      <c r="KUR15" s="7157"/>
      <c r="KUS15" s="7157"/>
      <c r="KUT15" s="7157"/>
      <c r="KUU15" s="7158"/>
      <c r="KUV15" s="7158"/>
      <c r="KUW15" s="7158"/>
      <c r="KUX15" s="7158"/>
      <c r="KUY15" s="7158"/>
      <c r="KUZ15" s="7159"/>
      <c r="KVA15" s="7152"/>
      <c r="KVB15" s="7153"/>
      <c r="KVC15" s="7153"/>
      <c r="KVD15" s="7153"/>
      <c r="KVE15" s="7157"/>
      <c r="KVF15" s="7157"/>
      <c r="KVG15" s="7157"/>
      <c r="KVH15" s="7157"/>
      <c r="KVI15" s="7157"/>
      <c r="KVJ15" s="7157"/>
      <c r="KVK15" s="7158"/>
      <c r="KVL15" s="7158"/>
      <c r="KVM15" s="7158"/>
      <c r="KVN15" s="7158"/>
      <c r="KVO15" s="7158"/>
      <c r="KVP15" s="7159"/>
      <c r="KVQ15" s="7152"/>
      <c r="KVR15" s="7153"/>
      <c r="KVS15" s="7153"/>
      <c r="KVT15" s="7153"/>
      <c r="KVU15" s="7157"/>
      <c r="KVV15" s="7157"/>
      <c r="KVW15" s="7157"/>
      <c r="KVX15" s="7157"/>
      <c r="KVY15" s="7157"/>
      <c r="KVZ15" s="7157"/>
      <c r="KWA15" s="7158"/>
      <c r="KWB15" s="7158"/>
      <c r="KWC15" s="7158"/>
      <c r="KWD15" s="7158"/>
      <c r="KWE15" s="7158"/>
      <c r="KWF15" s="7159"/>
      <c r="KWG15" s="7152"/>
      <c r="KWH15" s="7153"/>
      <c r="KWI15" s="7153"/>
      <c r="KWJ15" s="7153"/>
      <c r="KWK15" s="7157"/>
      <c r="KWL15" s="7157"/>
      <c r="KWM15" s="7157"/>
      <c r="KWN15" s="7157"/>
      <c r="KWO15" s="7157"/>
      <c r="KWP15" s="7157"/>
      <c r="KWQ15" s="7158"/>
      <c r="KWR15" s="7158"/>
      <c r="KWS15" s="7158"/>
      <c r="KWT15" s="7158"/>
      <c r="KWU15" s="7158"/>
      <c r="KWV15" s="7159"/>
      <c r="KWW15" s="7152"/>
      <c r="KWX15" s="7153"/>
      <c r="KWY15" s="7153"/>
      <c r="KWZ15" s="7153"/>
      <c r="KXA15" s="7157"/>
      <c r="KXB15" s="7157"/>
      <c r="KXC15" s="7157"/>
      <c r="KXD15" s="7157"/>
      <c r="KXE15" s="7157"/>
      <c r="KXF15" s="7157"/>
      <c r="KXG15" s="7158"/>
      <c r="KXH15" s="7158"/>
      <c r="KXI15" s="7158"/>
      <c r="KXJ15" s="7158"/>
      <c r="KXK15" s="7158"/>
      <c r="KXL15" s="7159"/>
      <c r="KXM15" s="7152"/>
      <c r="KXN15" s="7153"/>
      <c r="KXO15" s="7153"/>
      <c r="KXP15" s="7153"/>
      <c r="KXQ15" s="7157"/>
      <c r="KXR15" s="7157"/>
      <c r="KXS15" s="7157"/>
      <c r="KXT15" s="7157"/>
      <c r="KXU15" s="7157"/>
      <c r="KXV15" s="7157"/>
      <c r="KXW15" s="7158"/>
      <c r="KXX15" s="7158"/>
      <c r="KXY15" s="7158"/>
      <c r="KXZ15" s="7158"/>
      <c r="KYA15" s="7158"/>
      <c r="KYB15" s="7159"/>
      <c r="KYC15" s="7152"/>
      <c r="KYD15" s="7153"/>
      <c r="KYE15" s="7153"/>
      <c r="KYF15" s="7153"/>
      <c r="KYG15" s="7157"/>
      <c r="KYH15" s="7157"/>
      <c r="KYI15" s="7157"/>
      <c r="KYJ15" s="7157"/>
      <c r="KYK15" s="7157"/>
      <c r="KYL15" s="7157"/>
      <c r="KYM15" s="7158"/>
      <c r="KYN15" s="7158"/>
      <c r="KYO15" s="7158"/>
      <c r="KYP15" s="7158"/>
      <c r="KYQ15" s="7158"/>
      <c r="KYR15" s="7159"/>
      <c r="KYS15" s="7152"/>
      <c r="KYT15" s="7153"/>
      <c r="KYU15" s="7153"/>
      <c r="KYV15" s="7153"/>
      <c r="KYW15" s="7157"/>
      <c r="KYX15" s="7157"/>
      <c r="KYY15" s="7157"/>
      <c r="KYZ15" s="7157"/>
      <c r="KZA15" s="7157"/>
      <c r="KZB15" s="7157"/>
      <c r="KZC15" s="7158"/>
      <c r="KZD15" s="7158"/>
      <c r="KZE15" s="7158"/>
      <c r="KZF15" s="7158"/>
      <c r="KZG15" s="7158"/>
      <c r="KZH15" s="7159"/>
      <c r="KZI15" s="7152"/>
      <c r="KZJ15" s="7153"/>
      <c r="KZK15" s="7153"/>
      <c r="KZL15" s="7153"/>
      <c r="KZM15" s="7157"/>
      <c r="KZN15" s="7157"/>
      <c r="KZO15" s="7157"/>
      <c r="KZP15" s="7157"/>
      <c r="KZQ15" s="7157"/>
      <c r="KZR15" s="7157"/>
      <c r="KZS15" s="7158"/>
      <c r="KZT15" s="7158"/>
      <c r="KZU15" s="7158"/>
      <c r="KZV15" s="7158"/>
      <c r="KZW15" s="7158"/>
      <c r="KZX15" s="7159"/>
      <c r="KZY15" s="7152"/>
      <c r="KZZ15" s="7153"/>
      <c r="LAA15" s="7153"/>
      <c r="LAB15" s="7153"/>
      <c r="LAC15" s="7157"/>
      <c r="LAD15" s="7157"/>
      <c r="LAE15" s="7157"/>
      <c r="LAF15" s="7157"/>
      <c r="LAG15" s="7157"/>
      <c r="LAH15" s="7157"/>
      <c r="LAI15" s="7158"/>
      <c r="LAJ15" s="7158"/>
      <c r="LAK15" s="7158"/>
      <c r="LAL15" s="7158"/>
      <c r="LAM15" s="7158"/>
      <c r="LAN15" s="7159"/>
      <c r="LAO15" s="7152"/>
      <c r="LAP15" s="7153"/>
      <c r="LAQ15" s="7153"/>
      <c r="LAR15" s="7153"/>
      <c r="LAS15" s="7157"/>
      <c r="LAT15" s="7157"/>
      <c r="LAU15" s="7157"/>
      <c r="LAV15" s="7157"/>
      <c r="LAW15" s="7157"/>
      <c r="LAX15" s="7157"/>
      <c r="LAY15" s="7158"/>
      <c r="LAZ15" s="7158"/>
      <c r="LBA15" s="7158"/>
      <c r="LBB15" s="7158"/>
      <c r="LBC15" s="7158"/>
      <c r="LBD15" s="7159"/>
      <c r="LBE15" s="7152"/>
      <c r="LBF15" s="7153"/>
      <c r="LBG15" s="7153"/>
      <c r="LBH15" s="7153"/>
      <c r="LBI15" s="7157"/>
      <c r="LBJ15" s="7157"/>
      <c r="LBK15" s="7157"/>
      <c r="LBL15" s="7157"/>
      <c r="LBM15" s="7157"/>
      <c r="LBN15" s="7157"/>
      <c r="LBO15" s="7158"/>
      <c r="LBP15" s="7158"/>
      <c r="LBQ15" s="7158"/>
      <c r="LBR15" s="7158"/>
      <c r="LBS15" s="7158"/>
      <c r="LBT15" s="7159"/>
      <c r="LBU15" s="7152"/>
      <c r="LBV15" s="7153"/>
      <c r="LBW15" s="7153"/>
      <c r="LBX15" s="7153"/>
      <c r="LBY15" s="7157"/>
      <c r="LBZ15" s="7157"/>
      <c r="LCA15" s="7157"/>
      <c r="LCB15" s="7157"/>
      <c r="LCC15" s="7157"/>
      <c r="LCD15" s="7157"/>
      <c r="LCE15" s="7158"/>
      <c r="LCF15" s="7158"/>
      <c r="LCG15" s="7158"/>
      <c r="LCH15" s="7158"/>
      <c r="LCI15" s="7158"/>
      <c r="LCJ15" s="7159"/>
      <c r="LCK15" s="7152"/>
      <c r="LCL15" s="7153"/>
      <c r="LCM15" s="7153"/>
      <c r="LCN15" s="7153"/>
      <c r="LCO15" s="7157"/>
      <c r="LCP15" s="7157"/>
      <c r="LCQ15" s="7157"/>
      <c r="LCR15" s="7157"/>
      <c r="LCS15" s="7157"/>
      <c r="LCT15" s="7157"/>
      <c r="LCU15" s="7158"/>
      <c r="LCV15" s="7158"/>
      <c r="LCW15" s="7158"/>
      <c r="LCX15" s="7158"/>
      <c r="LCY15" s="7158"/>
      <c r="LCZ15" s="7159"/>
      <c r="LDA15" s="7152"/>
      <c r="LDB15" s="7153"/>
      <c r="LDC15" s="7153"/>
      <c r="LDD15" s="7153"/>
      <c r="LDE15" s="7157"/>
      <c r="LDF15" s="7157"/>
      <c r="LDG15" s="7157"/>
      <c r="LDH15" s="7157"/>
      <c r="LDI15" s="7157"/>
      <c r="LDJ15" s="7157"/>
      <c r="LDK15" s="7158"/>
      <c r="LDL15" s="7158"/>
      <c r="LDM15" s="7158"/>
      <c r="LDN15" s="7158"/>
      <c r="LDO15" s="7158"/>
      <c r="LDP15" s="7159"/>
      <c r="LDQ15" s="7152"/>
      <c r="LDR15" s="7153"/>
      <c r="LDS15" s="7153"/>
      <c r="LDT15" s="7153"/>
      <c r="LDU15" s="7157"/>
      <c r="LDV15" s="7157"/>
      <c r="LDW15" s="7157"/>
      <c r="LDX15" s="7157"/>
      <c r="LDY15" s="7157"/>
      <c r="LDZ15" s="7157"/>
      <c r="LEA15" s="7158"/>
      <c r="LEB15" s="7158"/>
      <c r="LEC15" s="7158"/>
      <c r="LED15" s="7158"/>
      <c r="LEE15" s="7158"/>
      <c r="LEF15" s="7159"/>
      <c r="LEG15" s="7152"/>
      <c r="LEH15" s="7153"/>
      <c r="LEI15" s="7153"/>
      <c r="LEJ15" s="7153"/>
      <c r="LEK15" s="7157"/>
      <c r="LEL15" s="7157"/>
      <c r="LEM15" s="7157"/>
      <c r="LEN15" s="7157"/>
      <c r="LEO15" s="7157"/>
      <c r="LEP15" s="7157"/>
      <c r="LEQ15" s="7158"/>
      <c r="LER15" s="7158"/>
      <c r="LES15" s="7158"/>
      <c r="LET15" s="7158"/>
      <c r="LEU15" s="7158"/>
      <c r="LEV15" s="7159"/>
      <c r="LEW15" s="7152"/>
      <c r="LEX15" s="7153"/>
      <c r="LEY15" s="7153"/>
      <c r="LEZ15" s="7153"/>
      <c r="LFA15" s="7157"/>
      <c r="LFB15" s="7157"/>
      <c r="LFC15" s="7157"/>
      <c r="LFD15" s="7157"/>
      <c r="LFE15" s="7157"/>
      <c r="LFF15" s="7157"/>
      <c r="LFG15" s="7158"/>
      <c r="LFH15" s="7158"/>
      <c r="LFI15" s="7158"/>
      <c r="LFJ15" s="7158"/>
      <c r="LFK15" s="7158"/>
      <c r="LFL15" s="7159"/>
      <c r="LFM15" s="7152"/>
      <c r="LFN15" s="7153"/>
      <c r="LFO15" s="7153"/>
      <c r="LFP15" s="7153"/>
      <c r="LFQ15" s="7157"/>
      <c r="LFR15" s="7157"/>
      <c r="LFS15" s="7157"/>
      <c r="LFT15" s="7157"/>
      <c r="LFU15" s="7157"/>
      <c r="LFV15" s="7157"/>
      <c r="LFW15" s="7158"/>
      <c r="LFX15" s="7158"/>
      <c r="LFY15" s="7158"/>
      <c r="LFZ15" s="7158"/>
      <c r="LGA15" s="7158"/>
      <c r="LGB15" s="7159"/>
      <c r="LGC15" s="7152"/>
      <c r="LGD15" s="7153"/>
      <c r="LGE15" s="7153"/>
      <c r="LGF15" s="7153"/>
      <c r="LGG15" s="7157"/>
      <c r="LGH15" s="7157"/>
      <c r="LGI15" s="7157"/>
      <c r="LGJ15" s="7157"/>
      <c r="LGK15" s="7157"/>
      <c r="LGL15" s="7157"/>
      <c r="LGM15" s="7158"/>
      <c r="LGN15" s="7158"/>
      <c r="LGO15" s="7158"/>
      <c r="LGP15" s="7158"/>
      <c r="LGQ15" s="7158"/>
      <c r="LGR15" s="7159"/>
      <c r="LGS15" s="7152"/>
      <c r="LGT15" s="7153"/>
      <c r="LGU15" s="7153"/>
      <c r="LGV15" s="7153"/>
      <c r="LGW15" s="7157"/>
      <c r="LGX15" s="7157"/>
      <c r="LGY15" s="7157"/>
      <c r="LGZ15" s="7157"/>
      <c r="LHA15" s="7157"/>
      <c r="LHB15" s="7157"/>
      <c r="LHC15" s="7158"/>
      <c r="LHD15" s="7158"/>
      <c r="LHE15" s="7158"/>
      <c r="LHF15" s="7158"/>
      <c r="LHG15" s="7158"/>
      <c r="LHH15" s="7159"/>
      <c r="LHI15" s="7152"/>
      <c r="LHJ15" s="7153"/>
      <c r="LHK15" s="7153"/>
      <c r="LHL15" s="7153"/>
      <c r="LHM15" s="7157"/>
      <c r="LHN15" s="7157"/>
      <c r="LHO15" s="7157"/>
      <c r="LHP15" s="7157"/>
      <c r="LHQ15" s="7157"/>
      <c r="LHR15" s="7157"/>
      <c r="LHS15" s="7158"/>
      <c r="LHT15" s="7158"/>
      <c r="LHU15" s="7158"/>
      <c r="LHV15" s="7158"/>
      <c r="LHW15" s="7158"/>
      <c r="LHX15" s="7159"/>
      <c r="LHY15" s="7152"/>
      <c r="LHZ15" s="7153"/>
      <c r="LIA15" s="7153"/>
      <c r="LIB15" s="7153"/>
      <c r="LIC15" s="7157"/>
      <c r="LID15" s="7157"/>
      <c r="LIE15" s="7157"/>
      <c r="LIF15" s="7157"/>
      <c r="LIG15" s="7157"/>
      <c r="LIH15" s="7157"/>
      <c r="LII15" s="7158"/>
      <c r="LIJ15" s="7158"/>
      <c r="LIK15" s="7158"/>
      <c r="LIL15" s="7158"/>
      <c r="LIM15" s="7158"/>
      <c r="LIN15" s="7159"/>
      <c r="LIO15" s="7152"/>
      <c r="LIP15" s="7153"/>
      <c r="LIQ15" s="7153"/>
      <c r="LIR15" s="7153"/>
      <c r="LIS15" s="7157"/>
      <c r="LIT15" s="7157"/>
      <c r="LIU15" s="7157"/>
      <c r="LIV15" s="7157"/>
      <c r="LIW15" s="7157"/>
      <c r="LIX15" s="7157"/>
      <c r="LIY15" s="7158"/>
      <c r="LIZ15" s="7158"/>
      <c r="LJA15" s="7158"/>
      <c r="LJB15" s="7158"/>
      <c r="LJC15" s="7158"/>
      <c r="LJD15" s="7159"/>
      <c r="LJE15" s="7152"/>
      <c r="LJF15" s="7153"/>
      <c r="LJG15" s="7153"/>
      <c r="LJH15" s="7153"/>
      <c r="LJI15" s="7157"/>
      <c r="LJJ15" s="7157"/>
      <c r="LJK15" s="7157"/>
      <c r="LJL15" s="7157"/>
      <c r="LJM15" s="7157"/>
      <c r="LJN15" s="7157"/>
      <c r="LJO15" s="7158"/>
      <c r="LJP15" s="7158"/>
      <c r="LJQ15" s="7158"/>
      <c r="LJR15" s="7158"/>
      <c r="LJS15" s="7158"/>
      <c r="LJT15" s="7159"/>
      <c r="LJU15" s="7152"/>
      <c r="LJV15" s="7153"/>
      <c r="LJW15" s="7153"/>
      <c r="LJX15" s="7153"/>
      <c r="LJY15" s="7157"/>
      <c r="LJZ15" s="7157"/>
      <c r="LKA15" s="7157"/>
      <c r="LKB15" s="7157"/>
      <c r="LKC15" s="7157"/>
      <c r="LKD15" s="7157"/>
      <c r="LKE15" s="7158"/>
      <c r="LKF15" s="7158"/>
      <c r="LKG15" s="7158"/>
      <c r="LKH15" s="7158"/>
      <c r="LKI15" s="7158"/>
      <c r="LKJ15" s="7159"/>
      <c r="LKK15" s="7152"/>
      <c r="LKL15" s="7153"/>
      <c r="LKM15" s="7153"/>
      <c r="LKN15" s="7153"/>
      <c r="LKO15" s="7157"/>
      <c r="LKP15" s="7157"/>
      <c r="LKQ15" s="7157"/>
      <c r="LKR15" s="7157"/>
      <c r="LKS15" s="7157"/>
      <c r="LKT15" s="7157"/>
      <c r="LKU15" s="7158"/>
      <c r="LKV15" s="7158"/>
      <c r="LKW15" s="7158"/>
      <c r="LKX15" s="7158"/>
      <c r="LKY15" s="7158"/>
      <c r="LKZ15" s="7159"/>
      <c r="LLA15" s="7152"/>
      <c r="LLB15" s="7153"/>
      <c r="LLC15" s="7153"/>
      <c r="LLD15" s="7153"/>
      <c r="LLE15" s="7157"/>
      <c r="LLF15" s="7157"/>
      <c r="LLG15" s="7157"/>
      <c r="LLH15" s="7157"/>
      <c r="LLI15" s="7157"/>
      <c r="LLJ15" s="7157"/>
      <c r="LLK15" s="7158"/>
      <c r="LLL15" s="7158"/>
      <c r="LLM15" s="7158"/>
      <c r="LLN15" s="7158"/>
      <c r="LLO15" s="7158"/>
      <c r="LLP15" s="7159"/>
      <c r="LLQ15" s="7152"/>
      <c r="LLR15" s="7153"/>
      <c r="LLS15" s="7153"/>
      <c r="LLT15" s="7153"/>
      <c r="LLU15" s="7157"/>
      <c r="LLV15" s="7157"/>
      <c r="LLW15" s="7157"/>
      <c r="LLX15" s="7157"/>
      <c r="LLY15" s="7157"/>
      <c r="LLZ15" s="7157"/>
      <c r="LMA15" s="7158"/>
      <c r="LMB15" s="7158"/>
      <c r="LMC15" s="7158"/>
      <c r="LMD15" s="7158"/>
      <c r="LME15" s="7158"/>
      <c r="LMF15" s="7159"/>
      <c r="LMG15" s="7152"/>
      <c r="LMH15" s="7153"/>
      <c r="LMI15" s="7153"/>
      <c r="LMJ15" s="7153"/>
      <c r="LMK15" s="7157"/>
      <c r="LML15" s="7157"/>
      <c r="LMM15" s="7157"/>
      <c r="LMN15" s="7157"/>
      <c r="LMO15" s="7157"/>
      <c r="LMP15" s="7157"/>
      <c r="LMQ15" s="7158"/>
      <c r="LMR15" s="7158"/>
      <c r="LMS15" s="7158"/>
      <c r="LMT15" s="7158"/>
      <c r="LMU15" s="7158"/>
      <c r="LMV15" s="7159"/>
      <c r="LMW15" s="7152"/>
      <c r="LMX15" s="7153"/>
      <c r="LMY15" s="7153"/>
      <c r="LMZ15" s="7153"/>
      <c r="LNA15" s="7157"/>
      <c r="LNB15" s="7157"/>
      <c r="LNC15" s="7157"/>
      <c r="LND15" s="7157"/>
      <c r="LNE15" s="7157"/>
      <c r="LNF15" s="7157"/>
      <c r="LNG15" s="7158"/>
      <c r="LNH15" s="7158"/>
      <c r="LNI15" s="7158"/>
      <c r="LNJ15" s="7158"/>
      <c r="LNK15" s="7158"/>
      <c r="LNL15" s="7159"/>
      <c r="LNM15" s="7152"/>
      <c r="LNN15" s="7153"/>
      <c r="LNO15" s="7153"/>
      <c r="LNP15" s="7153"/>
      <c r="LNQ15" s="7157"/>
      <c r="LNR15" s="7157"/>
      <c r="LNS15" s="7157"/>
      <c r="LNT15" s="7157"/>
      <c r="LNU15" s="7157"/>
      <c r="LNV15" s="7157"/>
      <c r="LNW15" s="7158"/>
      <c r="LNX15" s="7158"/>
      <c r="LNY15" s="7158"/>
      <c r="LNZ15" s="7158"/>
      <c r="LOA15" s="7158"/>
      <c r="LOB15" s="7159"/>
      <c r="LOC15" s="7152"/>
      <c r="LOD15" s="7153"/>
      <c r="LOE15" s="7153"/>
      <c r="LOF15" s="7153"/>
      <c r="LOG15" s="7157"/>
      <c r="LOH15" s="7157"/>
      <c r="LOI15" s="7157"/>
      <c r="LOJ15" s="7157"/>
      <c r="LOK15" s="7157"/>
      <c r="LOL15" s="7157"/>
      <c r="LOM15" s="7158"/>
      <c r="LON15" s="7158"/>
      <c r="LOO15" s="7158"/>
      <c r="LOP15" s="7158"/>
      <c r="LOQ15" s="7158"/>
      <c r="LOR15" s="7159"/>
      <c r="LOS15" s="7152"/>
      <c r="LOT15" s="7153"/>
      <c r="LOU15" s="7153"/>
      <c r="LOV15" s="7153"/>
      <c r="LOW15" s="7157"/>
      <c r="LOX15" s="7157"/>
      <c r="LOY15" s="7157"/>
      <c r="LOZ15" s="7157"/>
      <c r="LPA15" s="7157"/>
      <c r="LPB15" s="7157"/>
      <c r="LPC15" s="7158"/>
      <c r="LPD15" s="7158"/>
      <c r="LPE15" s="7158"/>
      <c r="LPF15" s="7158"/>
      <c r="LPG15" s="7158"/>
      <c r="LPH15" s="7159"/>
      <c r="LPI15" s="7152"/>
      <c r="LPJ15" s="7153"/>
      <c r="LPK15" s="7153"/>
      <c r="LPL15" s="7153"/>
      <c r="LPM15" s="7157"/>
      <c r="LPN15" s="7157"/>
      <c r="LPO15" s="7157"/>
      <c r="LPP15" s="7157"/>
      <c r="LPQ15" s="7157"/>
      <c r="LPR15" s="7157"/>
      <c r="LPS15" s="7158"/>
      <c r="LPT15" s="7158"/>
      <c r="LPU15" s="7158"/>
      <c r="LPV15" s="7158"/>
      <c r="LPW15" s="7158"/>
      <c r="LPX15" s="7159"/>
      <c r="LPY15" s="7152"/>
      <c r="LPZ15" s="7153"/>
      <c r="LQA15" s="7153"/>
      <c r="LQB15" s="7153"/>
      <c r="LQC15" s="7157"/>
      <c r="LQD15" s="7157"/>
      <c r="LQE15" s="7157"/>
      <c r="LQF15" s="7157"/>
      <c r="LQG15" s="7157"/>
      <c r="LQH15" s="7157"/>
      <c r="LQI15" s="7158"/>
      <c r="LQJ15" s="7158"/>
      <c r="LQK15" s="7158"/>
      <c r="LQL15" s="7158"/>
      <c r="LQM15" s="7158"/>
      <c r="LQN15" s="7159"/>
      <c r="LQO15" s="7152"/>
      <c r="LQP15" s="7153"/>
      <c r="LQQ15" s="7153"/>
      <c r="LQR15" s="7153"/>
      <c r="LQS15" s="7157"/>
      <c r="LQT15" s="7157"/>
      <c r="LQU15" s="7157"/>
      <c r="LQV15" s="7157"/>
      <c r="LQW15" s="7157"/>
      <c r="LQX15" s="7157"/>
      <c r="LQY15" s="7158"/>
      <c r="LQZ15" s="7158"/>
      <c r="LRA15" s="7158"/>
      <c r="LRB15" s="7158"/>
      <c r="LRC15" s="7158"/>
      <c r="LRD15" s="7159"/>
      <c r="LRE15" s="7152"/>
      <c r="LRF15" s="7153"/>
      <c r="LRG15" s="7153"/>
      <c r="LRH15" s="7153"/>
      <c r="LRI15" s="7157"/>
      <c r="LRJ15" s="7157"/>
      <c r="LRK15" s="7157"/>
      <c r="LRL15" s="7157"/>
      <c r="LRM15" s="7157"/>
      <c r="LRN15" s="7157"/>
      <c r="LRO15" s="7158"/>
      <c r="LRP15" s="7158"/>
      <c r="LRQ15" s="7158"/>
      <c r="LRR15" s="7158"/>
      <c r="LRS15" s="7158"/>
      <c r="LRT15" s="7159"/>
      <c r="LRU15" s="7152"/>
      <c r="LRV15" s="7153"/>
      <c r="LRW15" s="7153"/>
      <c r="LRX15" s="7153"/>
      <c r="LRY15" s="7157"/>
      <c r="LRZ15" s="7157"/>
      <c r="LSA15" s="7157"/>
      <c r="LSB15" s="7157"/>
      <c r="LSC15" s="7157"/>
      <c r="LSD15" s="7157"/>
      <c r="LSE15" s="7158"/>
      <c r="LSF15" s="7158"/>
      <c r="LSG15" s="7158"/>
      <c r="LSH15" s="7158"/>
      <c r="LSI15" s="7158"/>
      <c r="LSJ15" s="7159"/>
      <c r="LSK15" s="7152"/>
      <c r="LSL15" s="7153"/>
      <c r="LSM15" s="7153"/>
      <c r="LSN15" s="7153"/>
      <c r="LSO15" s="7157"/>
      <c r="LSP15" s="7157"/>
      <c r="LSQ15" s="7157"/>
      <c r="LSR15" s="7157"/>
      <c r="LSS15" s="7157"/>
      <c r="LST15" s="7157"/>
      <c r="LSU15" s="7158"/>
      <c r="LSV15" s="7158"/>
      <c r="LSW15" s="7158"/>
      <c r="LSX15" s="7158"/>
      <c r="LSY15" s="7158"/>
      <c r="LSZ15" s="7159"/>
      <c r="LTA15" s="7152"/>
      <c r="LTB15" s="7153"/>
      <c r="LTC15" s="7153"/>
      <c r="LTD15" s="7153"/>
      <c r="LTE15" s="7157"/>
      <c r="LTF15" s="7157"/>
      <c r="LTG15" s="7157"/>
      <c r="LTH15" s="7157"/>
      <c r="LTI15" s="7157"/>
      <c r="LTJ15" s="7157"/>
      <c r="LTK15" s="7158"/>
      <c r="LTL15" s="7158"/>
      <c r="LTM15" s="7158"/>
      <c r="LTN15" s="7158"/>
      <c r="LTO15" s="7158"/>
      <c r="LTP15" s="7159"/>
      <c r="LTQ15" s="7152"/>
      <c r="LTR15" s="7153"/>
      <c r="LTS15" s="7153"/>
      <c r="LTT15" s="7153"/>
      <c r="LTU15" s="7157"/>
      <c r="LTV15" s="7157"/>
      <c r="LTW15" s="7157"/>
      <c r="LTX15" s="7157"/>
      <c r="LTY15" s="7157"/>
      <c r="LTZ15" s="7157"/>
      <c r="LUA15" s="7158"/>
      <c r="LUB15" s="7158"/>
      <c r="LUC15" s="7158"/>
      <c r="LUD15" s="7158"/>
      <c r="LUE15" s="7158"/>
      <c r="LUF15" s="7159"/>
      <c r="LUG15" s="7152"/>
      <c r="LUH15" s="7153"/>
      <c r="LUI15" s="7153"/>
      <c r="LUJ15" s="7153"/>
      <c r="LUK15" s="7157"/>
      <c r="LUL15" s="7157"/>
      <c r="LUM15" s="7157"/>
      <c r="LUN15" s="7157"/>
      <c r="LUO15" s="7157"/>
      <c r="LUP15" s="7157"/>
      <c r="LUQ15" s="7158"/>
      <c r="LUR15" s="7158"/>
      <c r="LUS15" s="7158"/>
      <c r="LUT15" s="7158"/>
      <c r="LUU15" s="7158"/>
      <c r="LUV15" s="7159"/>
      <c r="LUW15" s="7152"/>
      <c r="LUX15" s="7153"/>
      <c r="LUY15" s="7153"/>
      <c r="LUZ15" s="7153"/>
      <c r="LVA15" s="7157"/>
      <c r="LVB15" s="7157"/>
      <c r="LVC15" s="7157"/>
      <c r="LVD15" s="7157"/>
      <c r="LVE15" s="7157"/>
      <c r="LVF15" s="7157"/>
      <c r="LVG15" s="7158"/>
      <c r="LVH15" s="7158"/>
      <c r="LVI15" s="7158"/>
      <c r="LVJ15" s="7158"/>
      <c r="LVK15" s="7158"/>
      <c r="LVL15" s="7159"/>
      <c r="LVM15" s="7152"/>
      <c r="LVN15" s="7153"/>
      <c r="LVO15" s="7153"/>
      <c r="LVP15" s="7153"/>
      <c r="LVQ15" s="7157"/>
      <c r="LVR15" s="7157"/>
      <c r="LVS15" s="7157"/>
      <c r="LVT15" s="7157"/>
      <c r="LVU15" s="7157"/>
      <c r="LVV15" s="7157"/>
      <c r="LVW15" s="7158"/>
      <c r="LVX15" s="7158"/>
      <c r="LVY15" s="7158"/>
      <c r="LVZ15" s="7158"/>
      <c r="LWA15" s="7158"/>
      <c r="LWB15" s="7159"/>
      <c r="LWC15" s="7152"/>
      <c r="LWD15" s="7153"/>
      <c r="LWE15" s="7153"/>
      <c r="LWF15" s="7153"/>
      <c r="LWG15" s="7157"/>
      <c r="LWH15" s="7157"/>
      <c r="LWI15" s="7157"/>
      <c r="LWJ15" s="7157"/>
      <c r="LWK15" s="7157"/>
      <c r="LWL15" s="7157"/>
      <c r="LWM15" s="7158"/>
      <c r="LWN15" s="7158"/>
      <c r="LWO15" s="7158"/>
      <c r="LWP15" s="7158"/>
      <c r="LWQ15" s="7158"/>
      <c r="LWR15" s="7159"/>
      <c r="LWS15" s="7152"/>
      <c r="LWT15" s="7153"/>
      <c r="LWU15" s="7153"/>
      <c r="LWV15" s="7153"/>
      <c r="LWW15" s="7157"/>
      <c r="LWX15" s="7157"/>
      <c r="LWY15" s="7157"/>
      <c r="LWZ15" s="7157"/>
      <c r="LXA15" s="7157"/>
      <c r="LXB15" s="7157"/>
      <c r="LXC15" s="7158"/>
      <c r="LXD15" s="7158"/>
      <c r="LXE15" s="7158"/>
      <c r="LXF15" s="7158"/>
      <c r="LXG15" s="7158"/>
      <c r="LXH15" s="7159"/>
      <c r="LXI15" s="7152"/>
      <c r="LXJ15" s="7153"/>
      <c r="LXK15" s="7153"/>
      <c r="LXL15" s="7153"/>
      <c r="LXM15" s="7157"/>
      <c r="LXN15" s="7157"/>
      <c r="LXO15" s="7157"/>
      <c r="LXP15" s="7157"/>
      <c r="LXQ15" s="7157"/>
      <c r="LXR15" s="7157"/>
      <c r="LXS15" s="7158"/>
      <c r="LXT15" s="7158"/>
      <c r="LXU15" s="7158"/>
      <c r="LXV15" s="7158"/>
      <c r="LXW15" s="7158"/>
      <c r="LXX15" s="7159"/>
      <c r="LXY15" s="7152"/>
      <c r="LXZ15" s="7153"/>
      <c r="LYA15" s="7153"/>
      <c r="LYB15" s="7153"/>
      <c r="LYC15" s="7157"/>
      <c r="LYD15" s="7157"/>
      <c r="LYE15" s="7157"/>
      <c r="LYF15" s="7157"/>
      <c r="LYG15" s="7157"/>
      <c r="LYH15" s="7157"/>
      <c r="LYI15" s="7158"/>
      <c r="LYJ15" s="7158"/>
      <c r="LYK15" s="7158"/>
      <c r="LYL15" s="7158"/>
      <c r="LYM15" s="7158"/>
      <c r="LYN15" s="7159"/>
      <c r="LYO15" s="7152"/>
      <c r="LYP15" s="7153"/>
      <c r="LYQ15" s="7153"/>
      <c r="LYR15" s="7153"/>
      <c r="LYS15" s="7157"/>
      <c r="LYT15" s="7157"/>
      <c r="LYU15" s="7157"/>
      <c r="LYV15" s="7157"/>
      <c r="LYW15" s="7157"/>
      <c r="LYX15" s="7157"/>
      <c r="LYY15" s="7158"/>
      <c r="LYZ15" s="7158"/>
      <c r="LZA15" s="7158"/>
      <c r="LZB15" s="7158"/>
      <c r="LZC15" s="7158"/>
      <c r="LZD15" s="7159"/>
      <c r="LZE15" s="7152"/>
      <c r="LZF15" s="7153"/>
      <c r="LZG15" s="7153"/>
      <c r="LZH15" s="7153"/>
      <c r="LZI15" s="7157"/>
      <c r="LZJ15" s="7157"/>
      <c r="LZK15" s="7157"/>
      <c r="LZL15" s="7157"/>
      <c r="LZM15" s="7157"/>
      <c r="LZN15" s="7157"/>
      <c r="LZO15" s="7158"/>
      <c r="LZP15" s="7158"/>
      <c r="LZQ15" s="7158"/>
      <c r="LZR15" s="7158"/>
      <c r="LZS15" s="7158"/>
      <c r="LZT15" s="7159"/>
      <c r="LZU15" s="7152"/>
      <c r="LZV15" s="7153"/>
      <c r="LZW15" s="7153"/>
      <c r="LZX15" s="7153"/>
      <c r="LZY15" s="7157"/>
      <c r="LZZ15" s="7157"/>
      <c r="MAA15" s="7157"/>
      <c r="MAB15" s="7157"/>
      <c r="MAC15" s="7157"/>
      <c r="MAD15" s="7157"/>
      <c r="MAE15" s="7158"/>
      <c r="MAF15" s="7158"/>
      <c r="MAG15" s="7158"/>
      <c r="MAH15" s="7158"/>
      <c r="MAI15" s="7158"/>
      <c r="MAJ15" s="7159"/>
      <c r="MAK15" s="7152"/>
      <c r="MAL15" s="7153"/>
      <c r="MAM15" s="7153"/>
      <c r="MAN15" s="7153"/>
      <c r="MAO15" s="7157"/>
      <c r="MAP15" s="7157"/>
      <c r="MAQ15" s="7157"/>
      <c r="MAR15" s="7157"/>
      <c r="MAS15" s="7157"/>
      <c r="MAT15" s="7157"/>
      <c r="MAU15" s="7158"/>
      <c r="MAV15" s="7158"/>
      <c r="MAW15" s="7158"/>
      <c r="MAX15" s="7158"/>
      <c r="MAY15" s="7158"/>
      <c r="MAZ15" s="7159"/>
      <c r="MBA15" s="7152"/>
      <c r="MBB15" s="7153"/>
      <c r="MBC15" s="7153"/>
      <c r="MBD15" s="7153"/>
      <c r="MBE15" s="7157"/>
      <c r="MBF15" s="7157"/>
      <c r="MBG15" s="7157"/>
      <c r="MBH15" s="7157"/>
      <c r="MBI15" s="7157"/>
      <c r="MBJ15" s="7157"/>
      <c r="MBK15" s="7158"/>
      <c r="MBL15" s="7158"/>
      <c r="MBM15" s="7158"/>
      <c r="MBN15" s="7158"/>
      <c r="MBO15" s="7158"/>
      <c r="MBP15" s="7159"/>
      <c r="MBQ15" s="7152"/>
      <c r="MBR15" s="7153"/>
      <c r="MBS15" s="7153"/>
      <c r="MBT15" s="7153"/>
      <c r="MBU15" s="7157"/>
      <c r="MBV15" s="7157"/>
      <c r="MBW15" s="7157"/>
      <c r="MBX15" s="7157"/>
      <c r="MBY15" s="7157"/>
      <c r="MBZ15" s="7157"/>
      <c r="MCA15" s="7158"/>
      <c r="MCB15" s="7158"/>
      <c r="MCC15" s="7158"/>
      <c r="MCD15" s="7158"/>
      <c r="MCE15" s="7158"/>
      <c r="MCF15" s="7159"/>
      <c r="MCG15" s="7152"/>
      <c r="MCH15" s="7153"/>
      <c r="MCI15" s="7153"/>
      <c r="MCJ15" s="7153"/>
      <c r="MCK15" s="7157"/>
      <c r="MCL15" s="7157"/>
      <c r="MCM15" s="7157"/>
      <c r="MCN15" s="7157"/>
      <c r="MCO15" s="7157"/>
      <c r="MCP15" s="7157"/>
      <c r="MCQ15" s="7158"/>
      <c r="MCR15" s="7158"/>
      <c r="MCS15" s="7158"/>
      <c r="MCT15" s="7158"/>
      <c r="MCU15" s="7158"/>
      <c r="MCV15" s="7159"/>
      <c r="MCW15" s="7152"/>
      <c r="MCX15" s="7153"/>
      <c r="MCY15" s="7153"/>
      <c r="MCZ15" s="7153"/>
      <c r="MDA15" s="7157"/>
      <c r="MDB15" s="7157"/>
      <c r="MDC15" s="7157"/>
      <c r="MDD15" s="7157"/>
      <c r="MDE15" s="7157"/>
      <c r="MDF15" s="7157"/>
      <c r="MDG15" s="7158"/>
      <c r="MDH15" s="7158"/>
      <c r="MDI15" s="7158"/>
      <c r="MDJ15" s="7158"/>
      <c r="MDK15" s="7158"/>
      <c r="MDL15" s="7159"/>
      <c r="MDM15" s="7152"/>
      <c r="MDN15" s="7153"/>
      <c r="MDO15" s="7153"/>
      <c r="MDP15" s="7153"/>
      <c r="MDQ15" s="7157"/>
      <c r="MDR15" s="7157"/>
      <c r="MDS15" s="7157"/>
      <c r="MDT15" s="7157"/>
      <c r="MDU15" s="7157"/>
      <c r="MDV15" s="7157"/>
      <c r="MDW15" s="7158"/>
      <c r="MDX15" s="7158"/>
      <c r="MDY15" s="7158"/>
      <c r="MDZ15" s="7158"/>
      <c r="MEA15" s="7158"/>
      <c r="MEB15" s="7159"/>
      <c r="MEC15" s="7152"/>
      <c r="MED15" s="7153"/>
      <c r="MEE15" s="7153"/>
      <c r="MEF15" s="7153"/>
      <c r="MEG15" s="7157"/>
      <c r="MEH15" s="7157"/>
      <c r="MEI15" s="7157"/>
      <c r="MEJ15" s="7157"/>
      <c r="MEK15" s="7157"/>
      <c r="MEL15" s="7157"/>
      <c r="MEM15" s="7158"/>
      <c r="MEN15" s="7158"/>
      <c r="MEO15" s="7158"/>
      <c r="MEP15" s="7158"/>
      <c r="MEQ15" s="7158"/>
      <c r="MER15" s="7159"/>
      <c r="MES15" s="7152"/>
      <c r="MET15" s="7153"/>
      <c r="MEU15" s="7153"/>
      <c r="MEV15" s="7153"/>
      <c r="MEW15" s="7157"/>
      <c r="MEX15" s="7157"/>
      <c r="MEY15" s="7157"/>
      <c r="MEZ15" s="7157"/>
      <c r="MFA15" s="7157"/>
      <c r="MFB15" s="7157"/>
      <c r="MFC15" s="7158"/>
      <c r="MFD15" s="7158"/>
      <c r="MFE15" s="7158"/>
      <c r="MFF15" s="7158"/>
      <c r="MFG15" s="7158"/>
      <c r="MFH15" s="7159"/>
      <c r="MFI15" s="7152"/>
      <c r="MFJ15" s="7153"/>
      <c r="MFK15" s="7153"/>
      <c r="MFL15" s="7153"/>
      <c r="MFM15" s="7157"/>
      <c r="MFN15" s="7157"/>
      <c r="MFO15" s="7157"/>
      <c r="MFP15" s="7157"/>
      <c r="MFQ15" s="7157"/>
      <c r="MFR15" s="7157"/>
      <c r="MFS15" s="7158"/>
      <c r="MFT15" s="7158"/>
      <c r="MFU15" s="7158"/>
      <c r="MFV15" s="7158"/>
      <c r="MFW15" s="7158"/>
      <c r="MFX15" s="7159"/>
      <c r="MFY15" s="7152"/>
      <c r="MFZ15" s="7153"/>
      <c r="MGA15" s="7153"/>
      <c r="MGB15" s="7153"/>
      <c r="MGC15" s="7157"/>
      <c r="MGD15" s="7157"/>
      <c r="MGE15" s="7157"/>
      <c r="MGF15" s="7157"/>
      <c r="MGG15" s="7157"/>
      <c r="MGH15" s="7157"/>
      <c r="MGI15" s="7158"/>
      <c r="MGJ15" s="7158"/>
      <c r="MGK15" s="7158"/>
      <c r="MGL15" s="7158"/>
      <c r="MGM15" s="7158"/>
      <c r="MGN15" s="7159"/>
      <c r="MGO15" s="7152"/>
      <c r="MGP15" s="7153"/>
      <c r="MGQ15" s="7153"/>
      <c r="MGR15" s="7153"/>
      <c r="MGS15" s="7157"/>
      <c r="MGT15" s="7157"/>
      <c r="MGU15" s="7157"/>
      <c r="MGV15" s="7157"/>
      <c r="MGW15" s="7157"/>
      <c r="MGX15" s="7157"/>
      <c r="MGY15" s="7158"/>
      <c r="MGZ15" s="7158"/>
      <c r="MHA15" s="7158"/>
      <c r="MHB15" s="7158"/>
      <c r="MHC15" s="7158"/>
      <c r="MHD15" s="7159"/>
      <c r="MHE15" s="7152"/>
      <c r="MHF15" s="7153"/>
      <c r="MHG15" s="7153"/>
      <c r="MHH15" s="7153"/>
      <c r="MHI15" s="7157"/>
      <c r="MHJ15" s="7157"/>
      <c r="MHK15" s="7157"/>
      <c r="MHL15" s="7157"/>
      <c r="MHM15" s="7157"/>
      <c r="MHN15" s="7157"/>
      <c r="MHO15" s="7158"/>
      <c r="MHP15" s="7158"/>
      <c r="MHQ15" s="7158"/>
      <c r="MHR15" s="7158"/>
      <c r="MHS15" s="7158"/>
      <c r="MHT15" s="7159"/>
      <c r="MHU15" s="7152"/>
      <c r="MHV15" s="7153"/>
      <c r="MHW15" s="7153"/>
      <c r="MHX15" s="7153"/>
      <c r="MHY15" s="7157"/>
      <c r="MHZ15" s="7157"/>
      <c r="MIA15" s="7157"/>
      <c r="MIB15" s="7157"/>
      <c r="MIC15" s="7157"/>
      <c r="MID15" s="7157"/>
      <c r="MIE15" s="7158"/>
      <c r="MIF15" s="7158"/>
      <c r="MIG15" s="7158"/>
      <c r="MIH15" s="7158"/>
      <c r="MII15" s="7158"/>
      <c r="MIJ15" s="7159"/>
      <c r="MIK15" s="7152"/>
      <c r="MIL15" s="7153"/>
      <c r="MIM15" s="7153"/>
      <c r="MIN15" s="7153"/>
      <c r="MIO15" s="7157"/>
      <c r="MIP15" s="7157"/>
      <c r="MIQ15" s="7157"/>
      <c r="MIR15" s="7157"/>
      <c r="MIS15" s="7157"/>
      <c r="MIT15" s="7157"/>
      <c r="MIU15" s="7158"/>
      <c r="MIV15" s="7158"/>
      <c r="MIW15" s="7158"/>
      <c r="MIX15" s="7158"/>
      <c r="MIY15" s="7158"/>
      <c r="MIZ15" s="7159"/>
      <c r="MJA15" s="7152"/>
      <c r="MJB15" s="7153"/>
      <c r="MJC15" s="7153"/>
      <c r="MJD15" s="7153"/>
      <c r="MJE15" s="7157"/>
      <c r="MJF15" s="7157"/>
      <c r="MJG15" s="7157"/>
      <c r="MJH15" s="7157"/>
      <c r="MJI15" s="7157"/>
      <c r="MJJ15" s="7157"/>
      <c r="MJK15" s="7158"/>
      <c r="MJL15" s="7158"/>
      <c r="MJM15" s="7158"/>
      <c r="MJN15" s="7158"/>
      <c r="MJO15" s="7158"/>
      <c r="MJP15" s="7159"/>
      <c r="MJQ15" s="7152"/>
      <c r="MJR15" s="7153"/>
      <c r="MJS15" s="7153"/>
      <c r="MJT15" s="7153"/>
      <c r="MJU15" s="7157"/>
      <c r="MJV15" s="7157"/>
      <c r="MJW15" s="7157"/>
      <c r="MJX15" s="7157"/>
      <c r="MJY15" s="7157"/>
      <c r="MJZ15" s="7157"/>
      <c r="MKA15" s="7158"/>
      <c r="MKB15" s="7158"/>
      <c r="MKC15" s="7158"/>
      <c r="MKD15" s="7158"/>
      <c r="MKE15" s="7158"/>
      <c r="MKF15" s="7159"/>
      <c r="MKG15" s="7152"/>
      <c r="MKH15" s="7153"/>
      <c r="MKI15" s="7153"/>
      <c r="MKJ15" s="7153"/>
      <c r="MKK15" s="7157"/>
      <c r="MKL15" s="7157"/>
      <c r="MKM15" s="7157"/>
      <c r="MKN15" s="7157"/>
      <c r="MKO15" s="7157"/>
      <c r="MKP15" s="7157"/>
      <c r="MKQ15" s="7158"/>
      <c r="MKR15" s="7158"/>
      <c r="MKS15" s="7158"/>
      <c r="MKT15" s="7158"/>
      <c r="MKU15" s="7158"/>
      <c r="MKV15" s="7159"/>
      <c r="MKW15" s="7152"/>
      <c r="MKX15" s="7153"/>
      <c r="MKY15" s="7153"/>
      <c r="MKZ15" s="7153"/>
      <c r="MLA15" s="7157"/>
      <c r="MLB15" s="7157"/>
      <c r="MLC15" s="7157"/>
      <c r="MLD15" s="7157"/>
      <c r="MLE15" s="7157"/>
      <c r="MLF15" s="7157"/>
      <c r="MLG15" s="7158"/>
      <c r="MLH15" s="7158"/>
      <c r="MLI15" s="7158"/>
      <c r="MLJ15" s="7158"/>
      <c r="MLK15" s="7158"/>
      <c r="MLL15" s="7159"/>
      <c r="MLM15" s="7152"/>
      <c r="MLN15" s="7153"/>
      <c r="MLO15" s="7153"/>
      <c r="MLP15" s="7153"/>
      <c r="MLQ15" s="7157"/>
      <c r="MLR15" s="7157"/>
      <c r="MLS15" s="7157"/>
      <c r="MLT15" s="7157"/>
      <c r="MLU15" s="7157"/>
      <c r="MLV15" s="7157"/>
      <c r="MLW15" s="7158"/>
      <c r="MLX15" s="7158"/>
      <c r="MLY15" s="7158"/>
      <c r="MLZ15" s="7158"/>
      <c r="MMA15" s="7158"/>
      <c r="MMB15" s="7159"/>
      <c r="MMC15" s="7152"/>
      <c r="MMD15" s="7153"/>
      <c r="MME15" s="7153"/>
      <c r="MMF15" s="7153"/>
      <c r="MMG15" s="7157"/>
      <c r="MMH15" s="7157"/>
      <c r="MMI15" s="7157"/>
      <c r="MMJ15" s="7157"/>
      <c r="MMK15" s="7157"/>
      <c r="MML15" s="7157"/>
      <c r="MMM15" s="7158"/>
      <c r="MMN15" s="7158"/>
      <c r="MMO15" s="7158"/>
      <c r="MMP15" s="7158"/>
      <c r="MMQ15" s="7158"/>
      <c r="MMR15" s="7159"/>
      <c r="MMS15" s="7152"/>
      <c r="MMT15" s="7153"/>
      <c r="MMU15" s="7153"/>
      <c r="MMV15" s="7153"/>
      <c r="MMW15" s="7157"/>
      <c r="MMX15" s="7157"/>
      <c r="MMY15" s="7157"/>
      <c r="MMZ15" s="7157"/>
      <c r="MNA15" s="7157"/>
      <c r="MNB15" s="7157"/>
      <c r="MNC15" s="7158"/>
      <c r="MND15" s="7158"/>
      <c r="MNE15" s="7158"/>
      <c r="MNF15" s="7158"/>
      <c r="MNG15" s="7158"/>
      <c r="MNH15" s="7159"/>
      <c r="MNI15" s="7152"/>
      <c r="MNJ15" s="7153"/>
      <c r="MNK15" s="7153"/>
      <c r="MNL15" s="7153"/>
      <c r="MNM15" s="7157"/>
      <c r="MNN15" s="7157"/>
      <c r="MNO15" s="7157"/>
      <c r="MNP15" s="7157"/>
      <c r="MNQ15" s="7157"/>
      <c r="MNR15" s="7157"/>
      <c r="MNS15" s="7158"/>
      <c r="MNT15" s="7158"/>
      <c r="MNU15" s="7158"/>
      <c r="MNV15" s="7158"/>
      <c r="MNW15" s="7158"/>
      <c r="MNX15" s="7159"/>
      <c r="MNY15" s="7152"/>
      <c r="MNZ15" s="7153"/>
      <c r="MOA15" s="7153"/>
      <c r="MOB15" s="7153"/>
      <c r="MOC15" s="7157"/>
      <c r="MOD15" s="7157"/>
      <c r="MOE15" s="7157"/>
      <c r="MOF15" s="7157"/>
      <c r="MOG15" s="7157"/>
      <c r="MOH15" s="7157"/>
      <c r="MOI15" s="7158"/>
      <c r="MOJ15" s="7158"/>
      <c r="MOK15" s="7158"/>
      <c r="MOL15" s="7158"/>
      <c r="MOM15" s="7158"/>
      <c r="MON15" s="7159"/>
      <c r="MOO15" s="7152"/>
      <c r="MOP15" s="7153"/>
      <c r="MOQ15" s="7153"/>
      <c r="MOR15" s="7153"/>
      <c r="MOS15" s="7157"/>
      <c r="MOT15" s="7157"/>
      <c r="MOU15" s="7157"/>
      <c r="MOV15" s="7157"/>
      <c r="MOW15" s="7157"/>
      <c r="MOX15" s="7157"/>
      <c r="MOY15" s="7158"/>
      <c r="MOZ15" s="7158"/>
      <c r="MPA15" s="7158"/>
      <c r="MPB15" s="7158"/>
      <c r="MPC15" s="7158"/>
      <c r="MPD15" s="7159"/>
      <c r="MPE15" s="7152"/>
      <c r="MPF15" s="7153"/>
      <c r="MPG15" s="7153"/>
      <c r="MPH15" s="7153"/>
      <c r="MPI15" s="7157"/>
      <c r="MPJ15" s="7157"/>
      <c r="MPK15" s="7157"/>
      <c r="MPL15" s="7157"/>
      <c r="MPM15" s="7157"/>
      <c r="MPN15" s="7157"/>
      <c r="MPO15" s="7158"/>
      <c r="MPP15" s="7158"/>
      <c r="MPQ15" s="7158"/>
      <c r="MPR15" s="7158"/>
      <c r="MPS15" s="7158"/>
      <c r="MPT15" s="7159"/>
      <c r="MPU15" s="7152"/>
      <c r="MPV15" s="7153"/>
      <c r="MPW15" s="7153"/>
      <c r="MPX15" s="7153"/>
      <c r="MPY15" s="7157"/>
      <c r="MPZ15" s="7157"/>
      <c r="MQA15" s="7157"/>
      <c r="MQB15" s="7157"/>
      <c r="MQC15" s="7157"/>
      <c r="MQD15" s="7157"/>
      <c r="MQE15" s="7158"/>
      <c r="MQF15" s="7158"/>
      <c r="MQG15" s="7158"/>
      <c r="MQH15" s="7158"/>
      <c r="MQI15" s="7158"/>
      <c r="MQJ15" s="7159"/>
      <c r="MQK15" s="7152"/>
      <c r="MQL15" s="7153"/>
      <c r="MQM15" s="7153"/>
      <c r="MQN15" s="7153"/>
      <c r="MQO15" s="7157"/>
      <c r="MQP15" s="7157"/>
      <c r="MQQ15" s="7157"/>
      <c r="MQR15" s="7157"/>
      <c r="MQS15" s="7157"/>
      <c r="MQT15" s="7157"/>
      <c r="MQU15" s="7158"/>
      <c r="MQV15" s="7158"/>
      <c r="MQW15" s="7158"/>
      <c r="MQX15" s="7158"/>
      <c r="MQY15" s="7158"/>
      <c r="MQZ15" s="7159"/>
      <c r="MRA15" s="7152"/>
      <c r="MRB15" s="7153"/>
      <c r="MRC15" s="7153"/>
      <c r="MRD15" s="7153"/>
      <c r="MRE15" s="7157"/>
      <c r="MRF15" s="7157"/>
      <c r="MRG15" s="7157"/>
      <c r="MRH15" s="7157"/>
      <c r="MRI15" s="7157"/>
      <c r="MRJ15" s="7157"/>
      <c r="MRK15" s="7158"/>
      <c r="MRL15" s="7158"/>
      <c r="MRM15" s="7158"/>
      <c r="MRN15" s="7158"/>
      <c r="MRO15" s="7158"/>
      <c r="MRP15" s="7159"/>
      <c r="MRQ15" s="7152"/>
      <c r="MRR15" s="7153"/>
      <c r="MRS15" s="7153"/>
      <c r="MRT15" s="7153"/>
      <c r="MRU15" s="7157"/>
      <c r="MRV15" s="7157"/>
      <c r="MRW15" s="7157"/>
      <c r="MRX15" s="7157"/>
      <c r="MRY15" s="7157"/>
      <c r="MRZ15" s="7157"/>
      <c r="MSA15" s="7158"/>
      <c r="MSB15" s="7158"/>
      <c r="MSC15" s="7158"/>
      <c r="MSD15" s="7158"/>
      <c r="MSE15" s="7158"/>
      <c r="MSF15" s="7159"/>
      <c r="MSG15" s="7152"/>
      <c r="MSH15" s="7153"/>
      <c r="MSI15" s="7153"/>
      <c r="MSJ15" s="7153"/>
      <c r="MSK15" s="7157"/>
      <c r="MSL15" s="7157"/>
      <c r="MSM15" s="7157"/>
      <c r="MSN15" s="7157"/>
      <c r="MSO15" s="7157"/>
      <c r="MSP15" s="7157"/>
      <c r="MSQ15" s="7158"/>
      <c r="MSR15" s="7158"/>
      <c r="MSS15" s="7158"/>
      <c r="MST15" s="7158"/>
      <c r="MSU15" s="7158"/>
      <c r="MSV15" s="7159"/>
      <c r="MSW15" s="7152"/>
      <c r="MSX15" s="7153"/>
      <c r="MSY15" s="7153"/>
      <c r="MSZ15" s="7153"/>
      <c r="MTA15" s="7157"/>
      <c r="MTB15" s="7157"/>
      <c r="MTC15" s="7157"/>
      <c r="MTD15" s="7157"/>
      <c r="MTE15" s="7157"/>
      <c r="MTF15" s="7157"/>
      <c r="MTG15" s="7158"/>
      <c r="MTH15" s="7158"/>
      <c r="MTI15" s="7158"/>
      <c r="MTJ15" s="7158"/>
      <c r="MTK15" s="7158"/>
      <c r="MTL15" s="7159"/>
      <c r="MTM15" s="7152"/>
      <c r="MTN15" s="7153"/>
      <c r="MTO15" s="7153"/>
      <c r="MTP15" s="7153"/>
      <c r="MTQ15" s="7157"/>
      <c r="MTR15" s="7157"/>
      <c r="MTS15" s="7157"/>
      <c r="MTT15" s="7157"/>
      <c r="MTU15" s="7157"/>
      <c r="MTV15" s="7157"/>
      <c r="MTW15" s="7158"/>
      <c r="MTX15" s="7158"/>
      <c r="MTY15" s="7158"/>
      <c r="MTZ15" s="7158"/>
      <c r="MUA15" s="7158"/>
      <c r="MUB15" s="7159"/>
      <c r="MUC15" s="7152"/>
      <c r="MUD15" s="7153"/>
      <c r="MUE15" s="7153"/>
      <c r="MUF15" s="7153"/>
      <c r="MUG15" s="7157"/>
      <c r="MUH15" s="7157"/>
      <c r="MUI15" s="7157"/>
      <c r="MUJ15" s="7157"/>
      <c r="MUK15" s="7157"/>
      <c r="MUL15" s="7157"/>
      <c r="MUM15" s="7158"/>
      <c r="MUN15" s="7158"/>
      <c r="MUO15" s="7158"/>
      <c r="MUP15" s="7158"/>
      <c r="MUQ15" s="7158"/>
      <c r="MUR15" s="7159"/>
      <c r="MUS15" s="7152"/>
      <c r="MUT15" s="7153"/>
      <c r="MUU15" s="7153"/>
      <c r="MUV15" s="7153"/>
      <c r="MUW15" s="7157"/>
      <c r="MUX15" s="7157"/>
      <c r="MUY15" s="7157"/>
      <c r="MUZ15" s="7157"/>
      <c r="MVA15" s="7157"/>
      <c r="MVB15" s="7157"/>
      <c r="MVC15" s="7158"/>
      <c r="MVD15" s="7158"/>
      <c r="MVE15" s="7158"/>
      <c r="MVF15" s="7158"/>
      <c r="MVG15" s="7158"/>
      <c r="MVH15" s="7159"/>
      <c r="MVI15" s="7152"/>
      <c r="MVJ15" s="7153"/>
      <c r="MVK15" s="7153"/>
      <c r="MVL15" s="7153"/>
      <c r="MVM15" s="7157"/>
      <c r="MVN15" s="7157"/>
      <c r="MVO15" s="7157"/>
      <c r="MVP15" s="7157"/>
      <c r="MVQ15" s="7157"/>
      <c r="MVR15" s="7157"/>
      <c r="MVS15" s="7158"/>
      <c r="MVT15" s="7158"/>
      <c r="MVU15" s="7158"/>
      <c r="MVV15" s="7158"/>
      <c r="MVW15" s="7158"/>
      <c r="MVX15" s="7159"/>
      <c r="MVY15" s="7152"/>
      <c r="MVZ15" s="7153"/>
      <c r="MWA15" s="7153"/>
      <c r="MWB15" s="7153"/>
      <c r="MWC15" s="7157"/>
      <c r="MWD15" s="7157"/>
      <c r="MWE15" s="7157"/>
      <c r="MWF15" s="7157"/>
      <c r="MWG15" s="7157"/>
      <c r="MWH15" s="7157"/>
      <c r="MWI15" s="7158"/>
      <c r="MWJ15" s="7158"/>
      <c r="MWK15" s="7158"/>
      <c r="MWL15" s="7158"/>
      <c r="MWM15" s="7158"/>
      <c r="MWN15" s="7159"/>
      <c r="MWO15" s="7152"/>
      <c r="MWP15" s="7153"/>
      <c r="MWQ15" s="7153"/>
      <c r="MWR15" s="7153"/>
      <c r="MWS15" s="7157"/>
      <c r="MWT15" s="7157"/>
      <c r="MWU15" s="7157"/>
      <c r="MWV15" s="7157"/>
      <c r="MWW15" s="7157"/>
      <c r="MWX15" s="7157"/>
      <c r="MWY15" s="7158"/>
      <c r="MWZ15" s="7158"/>
      <c r="MXA15" s="7158"/>
      <c r="MXB15" s="7158"/>
      <c r="MXC15" s="7158"/>
      <c r="MXD15" s="7159"/>
      <c r="MXE15" s="7152"/>
      <c r="MXF15" s="7153"/>
      <c r="MXG15" s="7153"/>
      <c r="MXH15" s="7153"/>
      <c r="MXI15" s="7157"/>
      <c r="MXJ15" s="7157"/>
      <c r="MXK15" s="7157"/>
      <c r="MXL15" s="7157"/>
      <c r="MXM15" s="7157"/>
      <c r="MXN15" s="7157"/>
      <c r="MXO15" s="7158"/>
      <c r="MXP15" s="7158"/>
      <c r="MXQ15" s="7158"/>
      <c r="MXR15" s="7158"/>
      <c r="MXS15" s="7158"/>
      <c r="MXT15" s="7159"/>
      <c r="MXU15" s="7152"/>
      <c r="MXV15" s="7153"/>
      <c r="MXW15" s="7153"/>
      <c r="MXX15" s="7153"/>
      <c r="MXY15" s="7157"/>
      <c r="MXZ15" s="7157"/>
      <c r="MYA15" s="7157"/>
      <c r="MYB15" s="7157"/>
      <c r="MYC15" s="7157"/>
      <c r="MYD15" s="7157"/>
      <c r="MYE15" s="7158"/>
      <c r="MYF15" s="7158"/>
      <c r="MYG15" s="7158"/>
      <c r="MYH15" s="7158"/>
      <c r="MYI15" s="7158"/>
      <c r="MYJ15" s="7159"/>
      <c r="MYK15" s="7152"/>
      <c r="MYL15" s="7153"/>
      <c r="MYM15" s="7153"/>
      <c r="MYN15" s="7153"/>
      <c r="MYO15" s="7157"/>
      <c r="MYP15" s="7157"/>
      <c r="MYQ15" s="7157"/>
      <c r="MYR15" s="7157"/>
      <c r="MYS15" s="7157"/>
      <c r="MYT15" s="7157"/>
      <c r="MYU15" s="7158"/>
      <c r="MYV15" s="7158"/>
      <c r="MYW15" s="7158"/>
      <c r="MYX15" s="7158"/>
      <c r="MYY15" s="7158"/>
      <c r="MYZ15" s="7159"/>
      <c r="MZA15" s="7152"/>
      <c r="MZB15" s="7153"/>
      <c r="MZC15" s="7153"/>
      <c r="MZD15" s="7153"/>
      <c r="MZE15" s="7157"/>
      <c r="MZF15" s="7157"/>
      <c r="MZG15" s="7157"/>
      <c r="MZH15" s="7157"/>
      <c r="MZI15" s="7157"/>
      <c r="MZJ15" s="7157"/>
      <c r="MZK15" s="7158"/>
      <c r="MZL15" s="7158"/>
      <c r="MZM15" s="7158"/>
      <c r="MZN15" s="7158"/>
      <c r="MZO15" s="7158"/>
      <c r="MZP15" s="7159"/>
      <c r="MZQ15" s="7152"/>
      <c r="MZR15" s="7153"/>
      <c r="MZS15" s="7153"/>
      <c r="MZT15" s="7153"/>
      <c r="MZU15" s="7157"/>
      <c r="MZV15" s="7157"/>
      <c r="MZW15" s="7157"/>
      <c r="MZX15" s="7157"/>
      <c r="MZY15" s="7157"/>
      <c r="MZZ15" s="7157"/>
      <c r="NAA15" s="7158"/>
      <c r="NAB15" s="7158"/>
      <c r="NAC15" s="7158"/>
      <c r="NAD15" s="7158"/>
      <c r="NAE15" s="7158"/>
      <c r="NAF15" s="7159"/>
      <c r="NAG15" s="7152"/>
      <c r="NAH15" s="7153"/>
      <c r="NAI15" s="7153"/>
      <c r="NAJ15" s="7153"/>
      <c r="NAK15" s="7157"/>
      <c r="NAL15" s="7157"/>
      <c r="NAM15" s="7157"/>
      <c r="NAN15" s="7157"/>
      <c r="NAO15" s="7157"/>
      <c r="NAP15" s="7157"/>
      <c r="NAQ15" s="7158"/>
      <c r="NAR15" s="7158"/>
      <c r="NAS15" s="7158"/>
      <c r="NAT15" s="7158"/>
      <c r="NAU15" s="7158"/>
      <c r="NAV15" s="7159"/>
      <c r="NAW15" s="7152"/>
      <c r="NAX15" s="7153"/>
      <c r="NAY15" s="7153"/>
      <c r="NAZ15" s="7153"/>
      <c r="NBA15" s="7157"/>
      <c r="NBB15" s="7157"/>
      <c r="NBC15" s="7157"/>
      <c r="NBD15" s="7157"/>
      <c r="NBE15" s="7157"/>
      <c r="NBF15" s="7157"/>
      <c r="NBG15" s="7158"/>
      <c r="NBH15" s="7158"/>
      <c r="NBI15" s="7158"/>
      <c r="NBJ15" s="7158"/>
      <c r="NBK15" s="7158"/>
      <c r="NBL15" s="7159"/>
      <c r="NBM15" s="7152"/>
      <c r="NBN15" s="7153"/>
      <c r="NBO15" s="7153"/>
      <c r="NBP15" s="7153"/>
      <c r="NBQ15" s="7157"/>
      <c r="NBR15" s="7157"/>
      <c r="NBS15" s="7157"/>
      <c r="NBT15" s="7157"/>
      <c r="NBU15" s="7157"/>
      <c r="NBV15" s="7157"/>
      <c r="NBW15" s="7158"/>
      <c r="NBX15" s="7158"/>
      <c r="NBY15" s="7158"/>
      <c r="NBZ15" s="7158"/>
      <c r="NCA15" s="7158"/>
      <c r="NCB15" s="7159"/>
      <c r="NCC15" s="7152"/>
      <c r="NCD15" s="7153"/>
      <c r="NCE15" s="7153"/>
      <c r="NCF15" s="7153"/>
      <c r="NCG15" s="7157"/>
      <c r="NCH15" s="7157"/>
      <c r="NCI15" s="7157"/>
      <c r="NCJ15" s="7157"/>
      <c r="NCK15" s="7157"/>
      <c r="NCL15" s="7157"/>
      <c r="NCM15" s="7158"/>
      <c r="NCN15" s="7158"/>
      <c r="NCO15" s="7158"/>
      <c r="NCP15" s="7158"/>
      <c r="NCQ15" s="7158"/>
      <c r="NCR15" s="7159"/>
      <c r="NCS15" s="7152"/>
      <c r="NCT15" s="7153"/>
      <c r="NCU15" s="7153"/>
      <c r="NCV15" s="7153"/>
      <c r="NCW15" s="7157"/>
      <c r="NCX15" s="7157"/>
      <c r="NCY15" s="7157"/>
      <c r="NCZ15" s="7157"/>
      <c r="NDA15" s="7157"/>
      <c r="NDB15" s="7157"/>
      <c r="NDC15" s="7158"/>
      <c r="NDD15" s="7158"/>
      <c r="NDE15" s="7158"/>
      <c r="NDF15" s="7158"/>
      <c r="NDG15" s="7158"/>
      <c r="NDH15" s="7159"/>
      <c r="NDI15" s="7152"/>
      <c r="NDJ15" s="7153"/>
      <c r="NDK15" s="7153"/>
      <c r="NDL15" s="7153"/>
      <c r="NDM15" s="7157"/>
      <c r="NDN15" s="7157"/>
      <c r="NDO15" s="7157"/>
      <c r="NDP15" s="7157"/>
      <c r="NDQ15" s="7157"/>
      <c r="NDR15" s="7157"/>
      <c r="NDS15" s="7158"/>
      <c r="NDT15" s="7158"/>
      <c r="NDU15" s="7158"/>
      <c r="NDV15" s="7158"/>
      <c r="NDW15" s="7158"/>
      <c r="NDX15" s="7159"/>
      <c r="NDY15" s="7152"/>
      <c r="NDZ15" s="7153"/>
      <c r="NEA15" s="7153"/>
      <c r="NEB15" s="7153"/>
      <c r="NEC15" s="7157"/>
      <c r="NED15" s="7157"/>
      <c r="NEE15" s="7157"/>
      <c r="NEF15" s="7157"/>
      <c r="NEG15" s="7157"/>
      <c r="NEH15" s="7157"/>
      <c r="NEI15" s="7158"/>
      <c r="NEJ15" s="7158"/>
      <c r="NEK15" s="7158"/>
      <c r="NEL15" s="7158"/>
      <c r="NEM15" s="7158"/>
      <c r="NEN15" s="7159"/>
      <c r="NEO15" s="7152"/>
      <c r="NEP15" s="7153"/>
      <c r="NEQ15" s="7153"/>
      <c r="NER15" s="7153"/>
      <c r="NES15" s="7157"/>
      <c r="NET15" s="7157"/>
      <c r="NEU15" s="7157"/>
      <c r="NEV15" s="7157"/>
      <c r="NEW15" s="7157"/>
      <c r="NEX15" s="7157"/>
      <c r="NEY15" s="7158"/>
      <c r="NEZ15" s="7158"/>
      <c r="NFA15" s="7158"/>
      <c r="NFB15" s="7158"/>
      <c r="NFC15" s="7158"/>
      <c r="NFD15" s="7159"/>
      <c r="NFE15" s="7152"/>
      <c r="NFF15" s="7153"/>
      <c r="NFG15" s="7153"/>
      <c r="NFH15" s="7153"/>
      <c r="NFI15" s="7157"/>
      <c r="NFJ15" s="7157"/>
      <c r="NFK15" s="7157"/>
      <c r="NFL15" s="7157"/>
      <c r="NFM15" s="7157"/>
      <c r="NFN15" s="7157"/>
      <c r="NFO15" s="7158"/>
      <c r="NFP15" s="7158"/>
      <c r="NFQ15" s="7158"/>
      <c r="NFR15" s="7158"/>
      <c r="NFS15" s="7158"/>
      <c r="NFT15" s="7159"/>
      <c r="NFU15" s="7152"/>
      <c r="NFV15" s="7153"/>
      <c r="NFW15" s="7153"/>
      <c r="NFX15" s="7153"/>
      <c r="NFY15" s="7157"/>
      <c r="NFZ15" s="7157"/>
      <c r="NGA15" s="7157"/>
      <c r="NGB15" s="7157"/>
      <c r="NGC15" s="7157"/>
      <c r="NGD15" s="7157"/>
      <c r="NGE15" s="7158"/>
      <c r="NGF15" s="7158"/>
      <c r="NGG15" s="7158"/>
      <c r="NGH15" s="7158"/>
      <c r="NGI15" s="7158"/>
      <c r="NGJ15" s="7159"/>
      <c r="NGK15" s="7152"/>
      <c r="NGL15" s="7153"/>
      <c r="NGM15" s="7153"/>
      <c r="NGN15" s="7153"/>
      <c r="NGO15" s="7157"/>
      <c r="NGP15" s="7157"/>
      <c r="NGQ15" s="7157"/>
      <c r="NGR15" s="7157"/>
      <c r="NGS15" s="7157"/>
      <c r="NGT15" s="7157"/>
      <c r="NGU15" s="7158"/>
      <c r="NGV15" s="7158"/>
      <c r="NGW15" s="7158"/>
      <c r="NGX15" s="7158"/>
      <c r="NGY15" s="7158"/>
      <c r="NGZ15" s="7159"/>
      <c r="NHA15" s="7152"/>
      <c r="NHB15" s="7153"/>
      <c r="NHC15" s="7153"/>
      <c r="NHD15" s="7153"/>
      <c r="NHE15" s="7157"/>
      <c r="NHF15" s="7157"/>
      <c r="NHG15" s="7157"/>
      <c r="NHH15" s="7157"/>
      <c r="NHI15" s="7157"/>
      <c r="NHJ15" s="7157"/>
      <c r="NHK15" s="7158"/>
      <c r="NHL15" s="7158"/>
      <c r="NHM15" s="7158"/>
      <c r="NHN15" s="7158"/>
      <c r="NHO15" s="7158"/>
      <c r="NHP15" s="7159"/>
      <c r="NHQ15" s="7152"/>
      <c r="NHR15" s="7153"/>
      <c r="NHS15" s="7153"/>
      <c r="NHT15" s="7153"/>
      <c r="NHU15" s="7157"/>
      <c r="NHV15" s="7157"/>
      <c r="NHW15" s="7157"/>
      <c r="NHX15" s="7157"/>
      <c r="NHY15" s="7157"/>
      <c r="NHZ15" s="7157"/>
      <c r="NIA15" s="7158"/>
      <c r="NIB15" s="7158"/>
      <c r="NIC15" s="7158"/>
      <c r="NID15" s="7158"/>
      <c r="NIE15" s="7158"/>
      <c r="NIF15" s="7159"/>
      <c r="NIG15" s="7152"/>
      <c r="NIH15" s="7153"/>
      <c r="NII15" s="7153"/>
      <c r="NIJ15" s="7153"/>
      <c r="NIK15" s="7157"/>
      <c r="NIL15" s="7157"/>
      <c r="NIM15" s="7157"/>
      <c r="NIN15" s="7157"/>
      <c r="NIO15" s="7157"/>
      <c r="NIP15" s="7157"/>
      <c r="NIQ15" s="7158"/>
      <c r="NIR15" s="7158"/>
      <c r="NIS15" s="7158"/>
      <c r="NIT15" s="7158"/>
      <c r="NIU15" s="7158"/>
      <c r="NIV15" s="7159"/>
      <c r="NIW15" s="7152"/>
      <c r="NIX15" s="7153"/>
      <c r="NIY15" s="7153"/>
      <c r="NIZ15" s="7153"/>
      <c r="NJA15" s="7157"/>
      <c r="NJB15" s="7157"/>
      <c r="NJC15" s="7157"/>
      <c r="NJD15" s="7157"/>
      <c r="NJE15" s="7157"/>
      <c r="NJF15" s="7157"/>
      <c r="NJG15" s="7158"/>
      <c r="NJH15" s="7158"/>
      <c r="NJI15" s="7158"/>
      <c r="NJJ15" s="7158"/>
      <c r="NJK15" s="7158"/>
      <c r="NJL15" s="7159"/>
      <c r="NJM15" s="7152"/>
      <c r="NJN15" s="7153"/>
      <c r="NJO15" s="7153"/>
      <c r="NJP15" s="7153"/>
      <c r="NJQ15" s="7157"/>
      <c r="NJR15" s="7157"/>
      <c r="NJS15" s="7157"/>
      <c r="NJT15" s="7157"/>
      <c r="NJU15" s="7157"/>
      <c r="NJV15" s="7157"/>
      <c r="NJW15" s="7158"/>
      <c r="NJX15" s="7158"/>
      <c r="NJY15" s="7158"/>
      <c r="NJZ15" s="7158"/>
      <c r="NKA15" s="7158"/>
      <c r="NKB15" s="7159"/>
      <c r="NKC15" s="7152"/>
      <c r="NKD15" s="7153"/>
      <c r="NKE15" s="7153"/>
      <c r="NKF15" s="7153"/>
      <c r="NKG15" s="7157"/>
      <c r="NKH15" s="7157"/>
      <c r="NKI15" s="7157"/>
      <c r="NKJ15" s="7157"/>
      <c r="NKK15" s="7157"/>
      <c r="NKL15" s="7157"/>
      <c r="NKM15" s="7158"/>
      <c r="NKN15" s="7158"/>
      <c r="NKO15" s="7158"/>
      <c r="NKP15" s="7158"/>
      <c r="NKQ15" s="7158"/>
      <c r="NKR15" s="7159"/>
      <c r="NKS15" s="7152"/>
      <c r="NKT15" s="7153"/>
      <c r="NKU15" s="7153"/>
      <c r="NKV15" s="7153"/>
      <c r="NKW15" s="7157"/>
      <c r="NKX15" s="7157"/>
      <c r="NKY15" s="7157"/>
      <c r="NKZ15" s="7157"/>
      <c r="NLA15" s="7157"/>
      <c r="NLB15" s="7157"/>
      <c r="NLC15" s="7158"/>
      <c r="NLD15" s="7158"/>
      <c r="NLE15" s="7158"/>
      <c r="NLF15" s="7158"/>
      <c r="NLG15" s="7158"/>
      <c r="NLH15" s="7159"/>
      <c r="NLI15" s="7152"/>
      <c r="NLJ15" s="7153"/>
      <c r="NLK15" s="7153"/>
      <c r="NLL15" s="7153"/>
      <c r="NLM15" s="7157"/>
      <c r="NLN15" s="7157"/>
      <c r="NLO15" s="7157"/>
      <c r="NLP15" s="7157"/>
      <c r="NLQ15" s="7157"/>
      <c r="NLR15" s="7157"/>
      <c r="NLS15" s="7158"/>
      <c r="NLT15" s="7158"/>
      <c r="NLU15" s="7158"/>
      <c r="NLV15" s="7158"/>
      <c r="NLW15" s="7158"/>
      <c r="NLX15" s="7159"/>
      <c r="NLY15" s="7152"/>
      <c r="NLZ15" s="7153"/>
      <c r="NMA15" s="7153"/>
      <c r="NMB15" s="7153"/>
      <c r="NMC15" s="7157"/>
      <c r="NMD15" s="7157"/>
      <c r="NME15" s="7157"/>
      <c r="NMF15" s="7157"/>
      <c r="NMG15" s="7157"/>
      <c r="NMH15" s="7157"/>
      <c r="NMI15" s="7158"/>
      <c r="NMJ15" s="7158"/>
      <c r="NMK15" s="7158"/>
      <c r="NML15" s="7158"/>
      <c r="NMM15" s="7158"/>
      <c r="NMN15" s="7159"/>
      <c r="NMO15" s="7152"/>
      <c r="NMP15" s="7153"/>
      <c r="NMQ15" s="7153"/>
      <c r="NMR15" s="7153"/>
      <c r="NMS15" s="7157"/>
      <c r="NMT15" s="7157"/>
      <c r="NMU15" s="7157"/>
      <c r="NMV15" s="7157"/>
      <c r="NMW15" s="7157"/>
      <c r="NMX15" s="7157"/>
      <c r="NMY15" s="7158"/>
      <c r="NMZ15" s="7158"/>
      <c r="NNA15" s="7158"/>
      <c r="NNB15" s="7158"/>
      <c r="NNC15" s="7158"/>
      <c r="NND15" s="7159"/>
      <c r="NNE15" s="7152"/>
      <c r="NNF15" s="7153"/>
      <c r="NNG15" s="7153"/>
      <c r="NNH15" s="7153"/>
      <c r="NNI15" s="7157"/>
      <c r="NNJ15" s="7157"/>
      <c r="NNK15" s="7157"/>
      <c r="NNL15" s="7157"/>
      <c r="NNM15" s="7157"/>
      <c r="NNN15" s="7157"/>
      <c r="NNO15" s="7158"/>
      <c r="NNP15" s="7158"/>
      <c r="NNQ15" s="7158"/>
      <c r="NNR15" s="7158"/>
      <c r="NNS15" s="7158"/>
      <c r="NNT15" s="7159"/>
      <c r="NNU15" s="7152"/>
      <c r="NNV15" s="7153"/>
      <c r="NNW15" s="7153"/>
      <c r="NNX15" s="7153"/>
      <c r="NNY15" s="7157"/>
      <c r="NNZ15" s="7157"/>
      <c r="NOA15" s="7157"/>
      <c r="NOB15" s="7157"/>
      <c r="NOC15" s="7157"/>
      <c r="NOD15" s="7157"/>
      <c r="NOE15" s="7158"/>
      <c r="NOF15" s="7158"/>
      <c r="NOG15" s="7158"/>
      <c r="NOH15" s="7158"/>
      <c r="NOI15" s="7158"/>
      <c r="NOJ15" s="7159"/>
      <c r="NOK15" s="7152"/>
      <c r="NOL15" s="7153"/>
      <c r="NOM15" s="7153"/>
      <c r="NON15" s="7153"/>
      <c r="NOO15" s="7157"/>
      <c r="NOP15" s="7157"/>
      <c r="NOQ15" s="7157"/>
      <c r="NOR15" s="7157"/>
      <c r="NOS15" s="7157"/>
      <c r="NOT15" s="7157"/>
      <c r="NOU15" s="7158"/>
      <c r="NOV15" s="7158"/>
      <c r="NOW15" s="7158"/>
      <c r="NOX15" s="7158"/>
      <c r="NOY15" s="7158"/>
      <c r="NOZ15" s="7159"/>
      <c r="NPA15" s="7152"/>
      <c r="NPB15" s="7153"/>
      <c r="NPC15" s="7153"/>
      <c r="NPD15" s="7153"/>
      <c r="NPE15" s="7157"/>
      <c r="NPF15" s="7157"/>
      <c r="NPG15" s="7157"/>
      <c r="NPH15" s="7157"/>
      <c r="NPI15" s="7157"/>
      <c r="NPJ15" s="7157"/>
      <c r="NPK15" s="7158"/>
      <c r="NPL15" s="7158"/>
      <c r="NPM15" s="7158"/>
      <c r="NPN15" s="7158"/>
      <c r="NPO15" s="7158"/>
      <c r="NPP15" s="7159"/>
      <c r="NPQ15" s="7152"/>
      <c r="NPR15" s="7153"/>
      <c r="NPS15" s="7153"/>
      <c r="NPT15" s="7153"/>
      <c r="NPU15" s="7157"/>
      <c r="NPV15" s="7157"/>
      <c r="NPW15" s="7157"/>
      <c r="NPX15" s="7157"/>
      <c r="NPY15" s="7157"/>
      <c r="NPZ15" s="7157"/>
      <c r="NQA15" s="7158"/>
      <c r="NQB15" s="7158"/>
      <c r="NQC15" s="7158"/>
      <c r="NQD15" s="7158"/>
      <c r="NQE15" s="7158"/>
      <c r="NQF15" s="7159"/>
      <c r="NQG15" s="7152"/>
      <c r="NQH15" s="7153"/>
      <c r="NQI15" s="7153"/>
      <c r="NQJ15" s="7153"/>
      <c r="NQK15" s="7157"/>
      <c r="NQL15" s="7157"/>
      <c r="NQM15" s="7157"/>
      <c r="NQN15" s="7157"/>
      <c r="NQO15" s="7157"/>
      <c r="NQP15" s="7157"/>
      <c r="NQQ15" s="7158"/>
      <c r="NQR15" s="7158"/>
      <c r="NQS15" s="7158"/>
      <c r="NQT15" s="7158"/>
      <c r="NQU15" s="7158"/>
      <c r="NQV15" s="7159"/>
      <c r="NQW15" s="7152"/>
      <c r="NQX15" s="7153"/>
      <c r="NQY15" s="7153"/>
      <c r="NQZ15" s="7153"/>
      <c r="NRA15" s="7157"/>
      <c r="NRB15" s="7157"/>
      <c r="NRC15" s="7157"/>
      <c r="NRD15" s="7157"/>
      <c r="NRE15" s="7157"/>
      <c r="NRF15" s="7157"/>
      <c r="NRG15" s="7158"/>
      <c r="NRH15" s="7158"/>
      <c r="NRI15" s="7158"/>
      <c r="NRJ15" s="7158"/>
      <c r="NRK15" s="7158"/>
      <c r="NRL15" s="7159"/>
      <c r="NRM15" s="7152"/>
      <c r="NRN15" s="7153"/>
      <c r="NRO15" s="7153"/>
      <c r="NRP15" s="7153"/>
      <c r="NRQ15" s="7157"/>
      <c r="NRR15" s="7157"/>
      <c r="NRS15" s="7157"/>
      <c r="NRT15" s="7157"/>
      <c r="NRU15" s="7157"/>
      <c r="NRV15" s="7157"/>
      <c r="NRW15" s="7158"/>
      <c r="NRX15" s="7158"/>
      <c r="NRY15" s="7158"/>
      <c r="NRZ15" s="7158"/>
      <c r="NSA15" s="7158"/>
      <c r="NSB15" s="7159"/>
      <c r="NSC15" s="7152"/>
      <c r="NSD15" s="7153"/>
      <c r="NSE15" s="7153"/>
      <c r="NSF15" s="7153"/>
      <c r="NSG15" s="7157"/>
      <c r="NSH15" s="7157"/>
      <c r="NSI15" s="7157"/>
      <c r="NSJ15" s="7157"/>
      <c r="NSK15" s="7157"/>
      <c r="NSL15" s="7157"/>
      <c r="NSM15" s="7158"/>
      <c r="NSN15" s="7158"/>
      <c r="NSO15" s="7158"/>
      <c r="NSP15" s="7158"/>
      <c r="NSQ15" s="7158"/>
      <c r="NSR15" s="7159"/>
      <c r="NSS15" s="7152"/>
      <c r="NST15" s="7153"/>
      <c r="NSU15" s="7153"/>
      <c r="NSV15" s="7153"/>
      <c r="NSW15" s="7157"/>
      <c r="NSX15" s="7157"/>
      <c r="NSY15" s="7157"/>
      <c r="NSZ15" s="7157"/>
      <c r="NTA15" s="7157"/>
      <c r="NTB15" s="7157"/>
      <c r="NTC15" s="7158"/>
      <c r="NTD15" s="7158"/>
      <c r="NTE15" s="7158"/>
      <c r="NTF15" s="7158"/>
      <c r="NTG15" s="7158"/>
      <c r="NTH15" s="7159"/>
      <c r="NTI15" s="7152"/>
      <c r="NTJ15" s="7153"/>
      <c r="NTK15" s="7153"/>
      <c r="NTL15" s="7153"/>
      <c r="NTM15" s="7157"/>
      <c r="NTN15" s="7157"/>
      <c r="NTO15" s="7157"/>
      <c r="NTP15" s="7157"/>
      <c r="NTQ15" s="7157"/>
      <c r="NTR15" s="7157"/>
      <c r="NTS15" s="7158"/>
      <c r="NTT15" s="7158"/>
      <c r="NTU15" s="7158"/>
      <c r="NTV15" s="7158"/>
      <c r="NTW15" s="7158"/>
      <c r="NTX15" s="7159"/>
      <c r="NTY15" s="7152"/>
      <c r="NTZ15" s="7153"/>
      <c r="NUA15" s="7153"/>
      <c r="NUB15" s="7153"/>
      <c r="NUC15" s="7157"/>
      <c r="NUD15" s="7157"/>
      <c r="NUE15" s="7157"/>
      <c r="NUF15" s="7157"/>
      <c r="NUG15" s="7157"/>
      <c r="NUH15" s="7157"/>
      <c r="NUI15" s="7158"/>
      <c r="NUJ15" s="7158"/>
      <c r="NUK15" s="7158"/>
      <c r="NUL15" s="7158"/>
      <c r="NUM15" s="7158"/>
      <c r="NUN15" s="7159"/>
      <c r="NUO15" s="7152"/>
      <c r="NUP15" s="7153"/>
      <c r="NUQ15" s="7153"/>
      <c r="NUR15" s="7153"/>
      <c r="NUS15" s="7157"/>
      <c r="NUT15" s="7157"/>
      <c r="NUU15" s="7157"/>
      <c r="NUV15" s="7157"/>
      <c r="NUW15" s="7157"/>
      <c r="NUX15" s="7157"/>
      <c r="NUY15" s="7158"/>
      <c r="NUZ15" s="7158"/>
      <c r="NVA15" s="7158"/>
      <c r="NVB15" s="7158"/>
      <c r="NVC15" s="7158"/>
      <c r="NVD15" s="7159"/>
      <c r="NVE15" s="7152"/>
      <c r="NVF15" s="7153"/>
      <c r="NVG15" s="7153"/>
      <c r="NVH15" s="7153"/>
      <c r="NVI15" s="7157"/>
      <c r="NVJ15" s="7157"/>
      <c r="NVK15" s="7157"/>
      <c r="NVL15" s="7157"/>
      <c r="NVM15" s="7157"/>
      <c r="NVN15" s="7157"/>
      <c r="NVO15" s="7158"/>
      <c r="NVP15" s="7158"/>
      <c r="NVQ15" s="7158"/>
      <c r="NVR15" s="7158"/>
      <c r="NVS15" s="7158"/>
      <c r="NVT15" s="7159"/>
      <c r="NVU15" s="7152"/>
      <c r="NVV15" s="7153"/>
      <c r="NVW15" s="7153"/>
      <c r="NVX15" s="7153"/>
      <c r="NVY15" s="7157"/>
      <c r="NVZ15" s="7157"/>
      <c r="NWA15" s="7157"/>
      <c r="NWB15" s="7157"/>
      <c r="NWC15" s="7157"/>
      <c r="NWD15" s="7157"/>
      <c r="NWE15" s="7158"/>
      <c r="NWF15" s="7158"/>
      <c r="NWG15" s="7158"/>
      <c r="NWH15" s="7158"/>
      <c r="NWI15" s="7158"/>
      <c r="NWJ15" s="7159"/>
      <c r="NWK15" s="7152"/>
      <c r="NWL15" s="7153"/>
      <c r="NWM15" s="7153"/>
      <c r="NWN15" s="7153"/>
      <c r="NWO15" s="7157"/>
      <c r="NWP15" s="7157"/>
      <c r="NWQ15" s="7157"/>
      <c r="NWR15" s="7157"/>
      <c r="NWS15" s="7157"/>
      <c r="NWT15" s="7157"/>
      <c r="NWU15" s="7158"/>
      <c r="NWV15" s="7158"/>
      <c r="NWW15" s="7158"/>
      <c r="NWX15" s="7158"/>
      <c r="NWY15" s="7158"/>
      <c r="NWZ15" s="7159"/>
      <c r="NXA15" s="7152"/>
      <c r="NXB15" s="7153"/>
      <c r="NXC15" s="7153"/>
      <c r="NXD15" s="7153"/>
      <c r="NXE15" s="7157"/>
      <c r="NXF15" s="7157"/>
      <c r="NXG15" s="7157"/>
      <c r="NXH15" s="7157"/>
      <c r="NXI15" s="7157"/>
      <c r="NXJ15" s="7157"/>
      <c r="NXK15" s="7158"/>
      <c r="NXL15" s="7158"/>
      <c r="NXM15" s="7158"/>
      <c r="NXN15" s="7158"/>
      <c r="NXO15" s="7158"/>
      <c r="NXP15" s="7159"/>
      <c r="NXQ15" s="7152"/>
      <c r="NXR15" s="7153"/>
      <c r="NXS15" s="7153"/>
      <c r="NXT15" s="7153"/>
      <c r="NXU15" s="7157"/>
      <c r="NXV15" s="7157"/>
      <c r="NXW15" s="7157"/>
      <c r="NXX15" s="7157"/>
      <c r="NXY15" s="7157"/>
      <c r="NXZ15" s="7157"/>
      <c r="NYA15" s="7158"/>
      <c r="NYB15" s="7158"/>
      <c r="NYC15" s="7158"/>
      <c r="NYD15" s="7158"/>
      <c r="NYE15" s="7158"/>
      <c r="NYF15" s="7159"/>
      <c r="NYG15" s="7152"/>
      <c r="NYH15" s="7153"/>
      <c r="NYI15" s="7153"/>
      <c r="NYJ15" s="7153"/>
      <c r="NYK15" s="7157"/>
      <c r="NYL15" s="7157"/>
      <c r="NYM15" s="7157"/>
      <c r="NYN15" s="7157"/>
      <c r="NYO15" s="7157"/>
      <c r="NYP15" s="7157"/>
      <c r="NYQ15" s="7158"/>
      <c r="NYR15" s="7158"/>
      <c r="NYS15" s="7158"/>
      <c r="NYT15" s="7158"/>
      <c r="NYU15" s="7158"/>
      <c r="NYV15" s="7159"/>
      <c r="NYW15" s="7152"/>
      <c r="NYX15" s="7153"/>
      <c r="NYY15" s="7153"/>
      <c r="NYZ15" s="7153"/>
      <c r="NZA15" s="7157"/>
      <c r="NZB15" s="7157"/>
      <c r="NZC15" s="7157"/>
      <c r="NZD15" s="7157"/>
      <c r="NZE15" s="7157"/>
      <c r="NZF15" s="7157"/>
      <c r="NZG15" s="7158"/>
      <c r="NZH15" s="7158"/>
      <c r="NZI15" s="7158"/>
      <c r="NZJ15" s="7158"/>
      <c r="NZK15" s="7158"/>
      <c r="NZL15" s="7159"/>
      <c r="NZM15" s="7152"/>
      <c r="NZN15" s="7153"/>
      <c r="NZO15" s="7153"/>
      <c r="NZP15" s="7153"/>
      <c r="NZQ15" s="7157"/>
      <c r="NZR15" s="7157"/>
      <c r="NZS15" s="7157"/>
      <c r="NZT15" s="7157"/>
      <c r="NZU15" s="7157"/>
      <c r="NZV15" s="7157"/>
      <c r="NZW15" s="7158"/>
      <c r="NZX15" s="7158"/>
      <c r="NZY15" s="7158"/>
      <c r="NZZ15" s="7158"/>
      <c r="OAA15" s="7158"/>
      <c r="OAB15" s="7159"/>
      <c r="OAC15" s="7152"/>
      <c r="OAD15" s="7153"/>
      <c r="OAE15" s="7153"/>
      <c r="OAF15" s="7153"/>
      <c r="OAG15" s="7157"/>
      <c r="OAH15" s="7157"/>
      <c r="OAI15" s="7157"/>
      <c r="OAJ15" s="7157"/>
      <c r="OAK15" s="7157"/>
      <c r="OAL15" s="7157"/>
      <c r="OAM15" s="7158"/>
      <c r="OAN15" s="7158"/>
      <c r="OAO15" s="7158"/>
      <c r="OAP15" s="7158"/>
      <c r="OAQ15" s="7158"/>
      <c r="OAR15" s="7159"/>
      <c r="OAS15" s="7152"/>
      <c r="OAT15" s="7153"/>
      <c r="OAU15" s="7153"/>
      <c r="OAV15" s="7153"/>
      <c r="OAW15" s="7157"/>
      <c r="OAX15" s="7157"/>
      <c r="OAY15" s="7157"/>
      <c r="OAZ15" s="7157"/>
      <c r="OBA15" s="7157"/>
      <c r="OBB15" s="7157"/>
      <c r="OBC15" s="7158"/>
      <c r="OBD15" s="7158"/>
      <c r="OBE15" s="7158"/>
      <c r="OBF15" s="7158"/>
      <c r="OBG15" s="7158"/>
      <c r="OBH15" s="7159"/>
      <c r="OBI15" s="7152"/>
      <c r="OBJ15" s="7153"/>
      <c r="OBK15" s="7153"/>
      <c r="OBL15" s="7153"/>
      <c r="OBM15" s="7157"/>
      <c r="OBN15" s="7157"/>
      <c r="OBO15" s="7157"/>
      <c r="OBP15" s="7157"/>
      <c r="OBQ15" s="7157"/>
      <c r="OBR15" s="7157"/>
      <c r="OBS15" s="7158"/>
      <c r="OBT15" s="7158"/>
      <c r="OBU15" s="7158"/>
      <c r="OBV15" s="7158"/>
      <c r="OBW15" s="7158"/>
      <c r="OBX15" s="7159"/>
      <c r="OBY15" s="7152"/>
      <c r="OBZ15" s="7153"/>
      <c r="OCA15" s="7153"/>
      <c r="OCB15" s="7153"/>
      <c r="OCC15" s="7157"/>
      <c r="OCD15" s="7157"/>
      <c r="OCE15" s="7157"/>
      <c r="OCF15" s="7157"/>
      <c r="OCG15" s="7157"/>
      <c r="OCH15" s="7157"/>
      <c r="OCI15" s="7158"/>
      <c r="OCJ15" s="7158"/>
      <c r="OCK15" s="7158"/>
      <c r="OCL15" s="7158"/>
      <c r="OCM15" s="7158"/>
      <c r="OCN15" s="7159"/>
      <c r="OCO15" s="7152"/>
      <c r="OCP15" s="7153"/>
      <c r="OCQ15" s="7153"/>
      <c r="OCR15" s="7153"/>
      <c r="OCS15" s="7157"/>
      <c r="OCT15" s="7157"/>
      <c r="OCU15" s="7157"/>
      <c r="OCV15" s="7157"/>
      <c r="OCW15" s="7157"/>
      <c r="OCX15" s="7157"/>
      <c r="OCY15" s="7158"/>
      <c r="OCZ15" s="7158"/>
      <c r="ODA15" s="7158"/>
      <c r="ODB15" s="7158"/>
      <c r="ODC15" s="7158"/>
      <c r="ODD15" s="7159"/>
      <c r="ODE15" s="7152"/>
      <c r="ODF15" s="7153"/>
      <c r="ODG15" s="7153"/>
      <c r="ODH15" s="7153"/>
      <c r="ODI15" s="7157"/>
      <c r="ODJ15" s="7157"/>
      <c r="ODK15" s="7157"/>
      <c r="ODL15" s="7157"/>
      <c r="ODM15" s="7157"/>
      <c r="ODN15" s="7157"/>
      <c r="ODO15" s="7158"/>
      <c r="ODP15" s="7158"/>
      <c r="ODQ15" s="7158"/>
      <c r="ODR15" s="7158"/>
      <c r="ODS15" s="7158"/>
      <c r="ODT15" s="7159"/>
      <c r="ODU15" s="7152"/>
      <c r="ODV15" s="7153"/>
      <c r="ODW15" s="7153"/>
      <c r="ODX15" s="7153"/>
      <c r="ODY15" s="7157"/>
      <c r="ODZ15" s="7157"/>
      <c r="OEA15" s="7157"/>
      <c r="OEB15" s="7157"/>
      <c r="OEC15" s="7157"/>
      <c r="OED15" s="7157"/>
      <c r="OEE15" s="7158"/>
      <c r="OEF15" s="7158"/>
      <c r="OEG15" s="7158"/>
      <c r="OEH15" s="7158"/>
      <c r="OEI15" s="7158"/>
      <c r="OEJ15" s="7159"/>
      <c r="OEK15" s="7152"/>
      <c r="OEL15" s="7153"/>
      <c r="OEM15" s="7153"/>
      <c r="OEN15" s="7153"/>
      <c r="OEO15" s="7157"/>
      <c r="OEP15" s="7157"/>
      <c r="OEQ15" s="7157"/>
      <c r="OER15" s="7157"/>
      <c r="OES15" s="7157"/>
      <c r="OET15" s="7157"/>
      <c r="OEU15" s="7158"/>
      <c r="OEV15" s="7158"/>
      <c r="OEW15" s="7158"/>
      <c r="OEX15" s="7158"/>
      <c r="OEY15" s="7158"/>
      <c r="OEZ15" s="7159"/>
      <c r="OFA15" s="7152"/>
      <c r="OFB15" s="7153"/>
      <c r="OFC15" s="7153"/>
      <c r="OFD15" s="7153"/>
      <c r="OFE15" s="7157"/>
      <c r="OFF15" s="7157"/>
      <c r="OFG15" s="7157"/>
      <c r="OFH15" s="7157"/>
      <c r="OFI15" s="7157"/>
      <c r="OFJ15" s="7157"/>
      <c r="OFK15" s="7158"/>
      <c r="OFL15" s="7158"/>
      <c r="OFM15" s="7158"/>
      <c r="OFN15" s="7158"/>
      <c r="OFO15" s="7158"/>
      <c r="OFP15" s="7159"/>
      <c r="OFQ15" s="7152"/>
      <c r="OFR15" s="7153"/>
      <c r="OFS15" s="7153"/>
      <c r="OFT15" s="7153"/>
      <c r="OFU15" s="7157"/>
      <c r="OFV15" s="7157"/>
      <c r="OFW15" s="7157"/>
      <c r="OFX15" s="7157"/>
      <c r="OFY15" s="7157"/>
      <c r="OFZ15" s="7157"/>
      <c r="OGA15" s="7158"/>
      <c r="OGB15" s="7158"/>
      <c r="OGC15" s="7158"/>
      <c r="OGD15" s="7158"/>
      <c r="OGE15" s="7158"/>
      <c r="OGF15" s="7159"/>
      <c r="OGG15" s="7152"/>
      <c r="OGH15" s="7153"/>
      <c r="OGI15" s="7153"/>
      <c r="OGJ15" s="7153"/>
      <c r="OGK15" s="7157"/>
      <c r="OGL15" s="7157"/>
      <c r="OGM15" s="7157"/>
      <c r="OGN15" s="7157"/>
      <c r="OGO15" s="7157"/>
      <c r="OGP15" s="7157"/>
      <c r="OGQ15" s="7158"/>
      <c r="OGR15" s="7158"/>
      <c r="OGS15" s="7158"/>
      <c r="OGT15" s="7158"/>
      <c r="OGU15" s="7158"/>
      <c r="OGV15" s="7159"/>
      <c r="OGW15" s="7152"/>
      <c r="OGX15" s="7153"/>
      <c r="OGY15" s="7153"/>
      <c r="OGZ15" s="7153"/>
      <c r="OHA15" s="7157"/>
      <c r="OHB15" s="7157"/>
      <c r="OHC15" s="7157"/>
      <c r="OHD15" s="7157"/>
      <c r="OHE15" s="7157"/>
      <c r="OHF15" s="7157"/>
      <c r="OHG15" s="7158"/>
      <c r="OHH15" s="7158"/>
      <c r="OHI15" s="7158"/>
      <c r="OHJ15" s="7158"/>
      <c r="OHK15" s="7158"/>
      <c r="OHL15" s="7159"/>
      <c r="OHM15" s="7152"/>
      <c r="OHN15" s="7153"/>
      <c r="OHO15" s="7153"/>
      <c r="OHP15" s="7153"/>
      <c r="OHQ15" s="7157"/>
      <c r="OHR15" s="7157"/>
      <c r="OHS15" s="7157"/>
      <c r="OHT15" s="7157"/>
      <c r="OHU15" s="7157"/>
      <c r="OHV15" s="7157"/>
      <c r="OHW15" s="7158"/>
      <c r="OHX15" s="7158"/>
      <c r="OHY15" s="7158"/>
      <c r="OHZ15" s="7158"/>
      <c r="OIA15" s="7158"/>
      <c r="OIB15" s="7159"/>
      <c r="OIC15" s="7152"/>
      <c r="OID15" s="7153"/>
      <c r="OIE15" s="7153"/>
      <c r="OIF15" s="7153"/>
      <c r="OIG15" s="7157"/>
      <c r="OIH15" s="7157"/>
      <c r="OII15" s="7157"/>
      <c r="OIJ15" s="7157"/>
      <c r="OIK15" s="7157"/>
      <c r="OIL15" s="7157"/>
      <c r="OIM15" s="7158"/>
      <c r="OIN15" s="7158"/>
      <c r="OIO15" s="7158"/>
      <c r="OIP15" s="7158"/>
      <c r="OIQ15" s="7158"/>
      <c r="OIR15" s="7159"/>
      <c r="OIS15" s="7152"/>
      <c r="OIT15" s="7153"/>
      <c r="OIU15" s="7153"/>
      <c r="OIV15" s="7153"/>
      <c r="OIW15" s="7157"/>
      <c r="OIX15" s="7157"/>
      <c r="OIY15" s="7157"/>
      <c r="OIZ15" s="7157"/>
      <c r="OJA15" s="7157"/>
      <c r="OJB15" s="7157"/>
      <c r="OJC15" s="7158"/>
      <c r="OJD15" s="7158"/>
      <c r="OJE15" s="7158"/>
      <c r="OJF15" s="7158"/>
      <c r="OJG15" s="7158"/>
      <c r="OJH15" s="7159"/>
      <c r="OJI15" s="7152"/>
      <c r="OJJ15" s="7153"/>
      <c r="OJK15" s="7153"/>
      <c r="OJL15" s="7153"/>
      <c r="OJM15" s="7157"/>
      <c r="OJN15" s="7157"/>
      <c r="OJO15" s="7157"/>
      <c r="OJP15" s="7157"/>
      <c r="OJQ15" s="7157"/>
      <c r="OJR15" s="7157"/>
      <c r="OJS15" s="7158"/>
      <c r="OJT15" s="7158"/>
      <c r="OJU15" s="7158"/>
      <c r="OJV15" s="7158"/>
      <c r="OJW15" s="7158"/>
      <c r="OJX15" s="7159"/>
      <c r="OJY15" s="7152"/>
      <c r="OJZ15" s="7153"/>
      <c r="OKA15" s="7153"/>
      <c r="OKB15" s="7153"/>
      <c r="OKC15" s="7157"/>
      <c r="OKD15" s="7157"/>
      <c r="OKE15" s="7157"/>
      <c r="OKF15" s="7157"/>
      <c r="OKG15" s="7157"/>
      <c r="OKH15" s="7157"/>
      <c r="OKI15" s="7158"/>
      <c r="OKJ15" s="7158"/>
      <c r="OKK15" s="7158"/>
      <c r="OKL15" s="7158"/>
      <c r="OKM15" s="7158"/>
      <c r="OKN15" s="7159"/>
      <c r="OKO15" s="7152"/>
      <c r="OKP15" s="7153"/>
      <c r="OKQ15" s="7153"/>
      <c r="OKR15" s="7153"/>
      <c r="OKS15" s="7157"/>
      <c r="OKT15" s="7157"/>
      <c r="OKU15" s="7157"/>
      <c r="OKV15" s="7157"/>
      <c r="OKW15" s="7157"/>
      <c r="OKX15" s="7157"/>
      <c r="OKY15" s="7158"/>
      <c r="OKZ15" s="7158"/>
      <c r="OLA15" s="7158"/>
      <c r="OLB15" s="7158"/>
      <c r="OLC15" s="7158"/>
      <c r="OLD15" s="7159"/>
      <c r="OLE15" s="7152"/>
      <c r="OLF15" s="7153"/>
      <c r="OLG15" s="7153"/>
      <c r="OLH15" s="7153"/>
      <c r="OLI15" s="7157"/>
      <c r="OLJ15" s="7157"/>
      <c r="OLK15" s="7157"/>
      <c r="OLL15" s="7157"/>
      <c r="OLM15" s="7157"/>
      <c r="OLN15" s="7157"/>
      <c r="OLO15" s="7158"/>
      <c r="OLP15" s="7158"/>
      <c r="OLQ15" s="7158"/>
      <c r="OLR15" s="7158"/>
      <c r="OLS15" s="7158"/>
      <c r="OLT15" s="7159"/>
      <c r="OLU15" s="7152"/>
      <c r="OLV15" s="7153"/>
      <c r="OLW15" s="7153"/>
      <c r="OLX15" s="7153"/>
      <c r="OLY15" s="7157"/>
      <c r="OLZ15" s="7157"/>
      <c r="OMA15" s="7157"/>
      <c r="OMB15" s="7157"/>
      <c r="OMC15" s="7157"/>
      <c r="OMD15" s="7157"/>
      <c r="OME15" s="7158"/>
      <c r="OMF15" s="7158"/>
      <c r="OMG15" s="7158"/>
      <c r="OMH15" s="7158"/>
      <c r="OMI15" s="7158"/>
      <c r="OMJ15" s="7159"/>
      <c r="OMK15" s="7152"/>
      <c r="OML15" s="7153"/>
      <c r="OMM15" s="7153"/>
      <c r="OMN15" s="7153"/>
      <c r="OMO15" s="7157"/>
      <c r="OMP15" s="7157"/>
      <c r="OMQ15" s="7157"/>
      <c r="OMR15" s="7157"/>
      <c r="OMS15" s="7157"/>
      <c r="OMT15" s="7157"/>
      <c r="OMU15" s="7158"/>
      <c r="OMV15" s="7158"/>
      <c r="OMW15" s="7158"/>
      <c r="OMX15" s="7158"/>
      <c r="OMY15" s="7158"/>
      <c r="OMZ15" s="7159"/>
      <c r="ONA15" s="7152"/>
      <c r="ONB15" s="7153"/>
      <c r="ONC15" s="7153"/>
      <c r="OND15" s="7153"/>
      <c r="ONE15" s="7157"/>
      <c r="ONF15" s="7157"/>
      <c r="ONG15" s="7157"/>
      <c r="ONH15" s="7157"/>
      <c r="ONI15" s="7157"/>
      <c r="ONJ15" s="7157"/>
      <c r="ONK15" s="7158"/>
      <c r="ONL15" s="7158"/>
      <c r="ONM15" s="7158"/>
      <c r="ONN15" s="7158"/>
      <c r="ONO15" s="7158"/>
      <c r="ONP15" s="7159"/>
      <c r="ONQ15" s="7152"/>
      <c r="ONR15" s="7153"/>
      <c r="ONS15" s="7153"/>
      <c r="ONT15" s="7153"/>
      <c r="ONU15" s="7157"/>
      <c r="ONV15" s="7157"/>
      <c r="ONW15" s="7157"/>
      <c r="ONX15" s="7157"/>
      <c r="ONY15" s="7157"/>
      <c r="ONZ15" s="7157"/>
      <c r="OOA15" s="7158"/>
      <c r="OOB15" s="7158"/>
      <c r="OOC15" s="7158"/>
      <c r="OOD15" s="7158"/>
      <c r="OOE15" s="7158"/>
      <c r="OOF15" s="7159"/>
      <c r="OOG15" s="7152"/>
      <c r="OOH15" s="7153"/>
      <c r="OOI15" s="7153"/>
      <c r="OOJ15" s="7153"/>
      <c r="OOK15" s="7157"/>
      <c r="OOL15" s="7157"/>
      <c r="OOM15" s="7157"/>
      <c r="OON15" s="7157"/>
      <c r="OOO15" s="7157"/>
      <c r="OOP15" s="7157"/>
      <c r="OOQ15" s="7158"/>
      <c r="OOR15" s="7158"/>
      <c r="OOS15" s="7158"/>
      <c r="OOT15" s="7158"/>
      <c r="OOU15" s="7158"/>
      <c r="OOV15" s="7159"/>
      <c r="OOW15" s="7152"/>
      <c r="OOX15" s="7153"/>
      <c r="OOY15" s="7153"/>
      <c r="OOZ15" s="7153"/>
      <c r="OPA15" s="7157"/>
      <c r="OPB15" s="7157"/>
      <c r="OPC15" s="7157"/>
      <c r="OPD15" s="7157"/>
      <c r="OPE15" s="7157"/>
      <c r="OPF15" s="7157"/>
      <c r="OPG15" s="7158"/>
      <c r="OPH15" s="7158"/>
      <c r="OPI15" s="7158"/>
      <c r="OPJ15" s="7158"/>
      <c r="OPK15" s="7158"/>
      <c r="OPL15" s="7159"/>
      <c r="OPM15" s="7152"/>
      <c r="OPN15" s="7153"/>
      <c r="OPO15" s="7153"/>
      <c r="OPP15" s="7153"/>
      <c r="OPQ15" s="7157"/>
      <c r="OPR15" s="7157"/>
      <c r="OPS15" s="7157"/>
      <c r="OPT15" s="7157"/>
      <c r="OPU15" s="7157"/>
      <c r="OPV15" s="7157"/>
      <c r="OPW15" s="7158"/>
      <c r="OPX15" s="7158"/>
      <c r="OPY15" s="7158"/>
      <c r="OPZ15" s="7158"/>
      <c r="OQA15" s="7158"/>
      <c r="OQB15" s="7159"/>
      <c r="OQC15" s="7152"/>
      <c r="OQD15" s="7153"/>
      <c r="OQE15" s="7153"/>
      <c r="OQF15" s="7153"/>
      <c r="OQG15" s="7157"/>
      <c r="OQH15" s="7157"/>
      <c r="OQI15" s="7157"/>
      <c r="OQJ15" s="7157"/>
      <c r="OQK15" s="7157"/>
      <c r="OQL15" s="7157"/>
      <c r="OQM15" s="7158"/>
      <c r="OQN15" s="7158"/>
      <c r="OQO15" s="7158"/>
      <c r="OQP15" s="7158"/>
      <c r="OQQ15" s="7158"/>
      <c r="OQR15" s="7159"/>
      <c r="OQS15" s="7152"/>
      <c r="OQT15" s="7153"/>
      <c r="OQU15" s="7153"/>
      <c r="OQV15" s="7153"/>
      <c r="OQW15" s="7157"/>
      <c r="OQX15" s="7157"/>
      <c r="OQY15" s="7157"/>
      <c r="OQZ15" s="7157"/>
      <c r="ORA15" s="7157"/>
      <c r="ORB15" s="7157"/>
      <c r="ORC15" s="7158"/>
      <c r="ORD15" s="7158"/>
      <c r="ORE15" s="7158"/>
      <c r="ORF15" s="7158"/>
      <c r="ORG15" s="7158"/>
      <c r="ORH15" s="7159"/>
      <c r="ORI15" s="7152"/>
      <c r="ORJ15" s="7153"/>
      <c r="ORK15" s="7153"/>
      <c r="ORL15" s="7153"/>
      <c r="ORM15" s="7157"/>
      <c r="ORN15" s="7157"/>
      <c r="ORO15" s="7157"/>
      <c r="ORP15" s="7157"/>
      <c r="ORQ15" s="7157"/>
      <c r="ORR15" s="7157"/>
      <c r="ORS15" s="7158"/>
      <c r="ORT15" s="7158"/>
      <c r="ORU15" s="7158"/>
      <c r="ORV15" s="7158"/>
      <c r="ORW15" s="7158"/>
      <c r="ORX15" s="7159"/>
      <c r="ORY15" s="7152"/>
      <c r="ORZ15" s="7153"/>
      <c r="OSA15" s="7153"/>
      <c r="OSB15" s="7153"/>
      <c r="OSC15" s="7157"/>
      <c r="OSD15" s="7157"/>
      <c r="OSE15" s="7157"/>
      <c r="OSF15" s="7157"/>
      <c r="OSG15" s="7157"/>
      <c r="OSH15" s="7157"/>
      <c r="OSI15" s="7158"/>
      <c r="OSJ15" s="7158"/>
      <c r="OSK15" s="7158"/>
      <c r="OSL15" s="7158"/>
      <c r="OSM15" s="7158"/>
      <c r="OSN15" s="7159"/>
      <c r="OSO15" s="7152"/>
      <c r="OSP15" s="7153"/>
      <c r="OSQ15" s="7153"/>
      <c r="OSR15" s="7153"/>
      <c r="OSS15" s="7157"/>
      <c r="OST15" s="7157"/>
      <c r="OSU15" s="7157"/>
      <c r="OSV15" s="7157"/>
      <c r="OSW15" s="7157"/>
      <c r="OSX15" s="7157"/>
      <c r="OSY15" s="7158"/>
      <c r="OSZ15" s="7158"/>
      <c r="OTA15" s="7158"/>
      <c r="OTB15" s="7158"/>
      <c r="OTC15" s="7158"/>
      <c r="OTD15" s="7159"/>
      <c r="OTE15" s="7152"/>
      <c r="OTF15" s="7153"/>
      <c r="OTG15" s="7153"/>
      <c r="OTH15" s="7153"/>
      <c r="OTI15" s="7157"/>
      <c r="OTJ15" s="7157"/>
      <c r="OTK15" s="7157"/>
      <c r="OTL15" s="7157"/>
      <c r="OTM15" s="7157"/>
      <c r="OTN15" s="7157"/>
      <c r="OTO15" s="7158"/>
      <c r="OTP15" s="7158"/>
      <c r="OTQ15" s="7158"/>
      <c r="OTR15" s="7158"/>
      <c r="OTS15" s="7158"/>
      <c r="OTT15" s="7159"/>
      <c r="OTU15" s="7152"/>
      <c r="OTV15" s="7153"/>
      <c r="OTW15" s="7153"/>
      <c r="OTX15" s="7153"/>
      <c r="OTY15" s="7157"/>
      <c r="OTZ15" s="7157"/>
      <c r="OUA15" s="7157"/>
      <c r="OUB15" s="7157"/>
      <c r="OUC15" s="7157"/>
      <c r="OUD15" s="7157"/>
      <c r="OUE15" s="7158"/>
      <c r="OUF15" s="7158"/>
      <c r="OUG15" s="7158"/>
      <c r="OUH15" s="7158"/>
      <c r="OUI15" s="7158"/>
      <c r="OUJ15" s="7159"/>
      <c r="OUK15" s="7152"/>
      <c r="OUL15" s="7153"/>
      <c r="OUM15" s="7153"/>
      <c r="OUN15" s="7153"/>
      <c r="OUO15" s="7157"/>
      <c r="OUP15" s="7157"/>
      <c r="OUQ15" s="7157"/>
      <c r="OUR15" s="7157"/>
      <c r="OUS15" s="7157"/>
      <c r="OUT15" s="7157"/>
      <c r="OUU15" s="7158"/>
      <c r="OUV15" s="7158"/>
      <c r="OUW15" s="7158"/>
      <c r="OUX15" s="7158"/>
      <c r="OUY15" s="7158"/>
      <c r="OUZ15" s="7159"/>
      <c r="OVA15" s="7152"/>
      <c r="OVB15" s="7153"/>
      <c r="OVC15" s="7153"/>
      <c r="OVD15" s="7153"/>
      <c r="OVE15" s="7157"/>
      <c r="OVF15" s="7157"/>
      <c r="OVG15" s="7157"/>
      <c r="OVH15" s="7157"/>
      <c r="OVI15" s="7157"/>
      <c r="OVJ15" s="7157"/>
      <c r="OVK15" s="7158"/>
      <c r="OVL15" s="7158"/>
      <c r="OVM15" s="7158"/>
      <c r="OVN15" s="7158"/>
      <c r="OVO15" s="7158"/>
      <c r="OVP15" s="7159"/>
      <c r="OVQ15" s="7152"/>
      <c r="OVR15" s="7153"/>
      <c r="OVS15" s="7153"/>
      <c r="OVT15" s="7153"/>
      <c r="OVU15" s="7157"/>
      <c r="OVV15" s="7157"/>
      <c r="OVW15" s="7157"/>
      <c r="OVX15" s="7157"/>
      <c r="OVY15" s="7157"/>
      <c r="OVZ15" s="7157"/>
      <c r="OWA15" s="7158"/>
      <c r="OWB15" s="7158"/>
      <c r="OWC15" s="7158"/>
      <c r="OWD15" s="7158"/>
      <c r="OWE15" s="7158"/>
      <c r="OWF15" s="7159"/>
      <c r="OWG15" s="7152"/>
      <c r="OWH15" s="7153"/>
      <c r="OWI15" s="7153"/>
      <c r="OWJ15" s="7153"/>
      <c r="OWK15" s="7157"/>
      <c r="OWL15" s="7157"/>
      <c r="OWM15" s="7157"/>
      <c r="OWN15" s="7157"/>
      <c r="OWO15" s="7157"/>
      <c r="OWP15" s="7157"/>
      <c r="OWQ15" s="7158"/>
      <c r="OWR15" s="7158"/>
      <c r="OWS15" s="7158"/>
      <c r="OWT15" s="7158"/>
      <c r="OWU15" s="7158"/>
      <c r="OWV15" s="7159"/>
      <c r="OWW15" s="7152"/>
      <c r="OWX15" s="7153"/>
      <c r="OWY15" s="7153"/>
      <c r="OWZ15" s="7153"/>
      <c r="OXA15" s="7157"/>
      <c r="OXB15" s="7157"/>
      <c r="OXC15" s="7157"/>
      <c r="OXD15" s="7157"/>
      <c r="OXE15" s="7157"/>
      <c r="OXF15" s="7157"/>
      <c r="OXG15" s="7158"/>
      <c r="OXH15" s="7158"/>
      <c r="OXI15" s="7158"/>
      <c r="OXJ15" s="7158"/>
      <c r="OXK15" s="7158"/>
      <c r="OXL15" s="7159"/>
      <c r="OXM15" s="7152"/>
      <c r="OXN15" s="7153"/>
      <c r="OXO15" s="7153"/>
      <c r="OXP15" s="7153"/>
      <c r="OXQ15" s="7157"/>
      <c r="OXR15" s="7157"/>
      <c r="OXS15" s="7157"/>
      <c r="OXT15" s="7157"/>
      <c r="OXU15" s="7157"/>
      <c r="OXV15" s="7157"/>
      <c r="OXW15" s="7158"/>
      <c r="OXX15" s="7158"/>
      <c r="OXY15" s="7158"/>
      <c r="OXZ15" s="7158"/>
      <c r="OYA15" s="7158"/>
      <c r="OYB15" s="7159"/>
      <c r="OYC15" s="7152"/>
      <c r="OYD15" s="7153"/>
      <c r="OYE15" s="7153"/>
      <c r="OYF15" s="7153"/>
      <c r="OYG15" s="7157"/>
      <c r="OYH15" s="7157"/>
      <c r="OYI15" s="7157"/>
      <c r="OYJ15" s="7157"/>
      <c r="OYK15" s="7157"/>
      <c r="OYL15" s="7157"/>
      <c r="OYM15" s="7158"/>
      <c r="OYN15" s="7158"/>
      <c r="OYO15" s="7158"/>
      <c r="OYP15" s="7158"/>
      <c r="OYQ15" s="7158"/>
      <c r="OYR15" s="7159"/>
      <c r="OYS15" s="7152"/>
      <c r="OYT15" s="7153"/>
      <c r="OYU15" s="7153"/>
      <c r="OYV15" s="7153"/>
      <c r="OYW15" s="7157"/>
      <c r="OYX15" s="7157"/>
      <c r="OYY15" s="7157"/>
      <c r="OYZ15" s="7157"/>
      <c r="OZA15" s="7157"/>
      <c r="OZB15" s="7157"/>
      <c r="OZC15" s="7158"/>
      <c r="OZD15" s="7158"/>
      <c r="OZE15" s="7158"/>
      <c r="OZF15" s="7158"/>
      <c r="OZG15" s="7158"/>
      <c r="OZH15" s="7159"/>
      <c r="OZI15" s="7152"/>
      <c r="OZJ15" s="7153"/>
      <c r="OZK15" s="7153"/>
      <c r="OZL15" s="7153"/>
      <c r="OZM15" s="7157"/>
      <c r="OZN15" s="7157"/>
      <c r="OZO15" s="7157"/>
      <c r="OZP15" s="7157"/>
      <c r="OZQ15" s="7157"/>
      <c r="OZR15" s="7157"/>
      <c r="OZS15" s="7158"/>
      <c r="OZT15" s="7158"/>
      <c r="OZU15" s="7158"/>
      <c r="OZV15" s="7158"/>
      <c r="OZW15" s="7158"/>
      <c r="OZX15" s="7159"/>
      <c r="OZY15" s="7152"/>
      <c r="OZZ15" s="7153"/>
      <c r="PAA15" s="7153"/>
      <c r="PAB15" s="7153"/>
      <c r="PAC15" s="7157"/>
      <c r="PAD15" s="7157"/>
      <c r="PAE15" s="7157"/>
      <c r="PAF15" s="7157"/>
      <c r="PAG15" s="7157"/>
      <c r="PAH15" s="7157"/>
      <c r="PAI15" s="7158"/>
      <c r="PAJ15" s="7158"/>
      <c r="PAK15" s="7158"/>
      <c r="PAL15" s="7158"/>
      <c r="PAM15" s="7158"/>
      <c r="PAN15" s="7159"/>
      <c r="PAO15" s="7152"/>
      <c r="PAP15" s="7153"/>
      <c r="PAQ15" s="7153"/>
      <c r="PAR15" s="7153"/>
      <c r="PAS15" s="7157"/>
      <c r="PAT15" s="7157"/>
      <c r="PAU15" s="7157"/>
      <c r="PAV15" s="7157"/>
      <c r="PAW15" s="7157"/>
      <c r="PAX15" s="7157"/>
      <c r="PAY15" s="7158"/>
      <c r="PAZ15" s="7158"/>
      <c r="PBA15" s="7158"/>
      <c r="PBB15" s="7158"/>
      <c r="PBC15" s="7158"/>
      <c r="PBD15" s="7159"/>
      <c r="PBE15" s="7152"/>
      <c r="PBF15" s="7153"/>
      <c r="PBG15" s="7153"/>
      <c r="PBH15" s="7153"/>
      <c r="PBI15" s="7157"/>
      <c r="PBJ15" s="7157"/>
      <c r="PBK15" s="7157"/>
      <c r="PBL15" s="7157"/>
      <c r="PBM15" s="7157"/>
      <c r="PBN15" s="7157"/>
      <c r="PBO15" s="7158"/>
      <c r="PBP15" s="7158"/>
      <c r="PBQ15" s="7158"/>
      <c r="PBR15" s="7158"/>
      <c r="PBS15" s="7158"/>
      <c r="PBT15" s="7159"/>
      <c r="PBU15" s="7152"/>
      <c r="PBV15" s="7153"/>
      <c r="PBW15" s="7153"/>
      <c r="PBX15" s="7153"/>
      <c r="PBY15" s="7157"/>
      <c r="PBZ15" s="7157"/>
      <c r="PCA15" s="7157"/>
      <c r="PCB15" s="7157"/>
      <c r="PCC15" s="7157"/>
      <c r="PCD15" s="7157"/>
      <c r="PCE15" s="7158"/>
      <c r="PCF15" s="7158"/>
      <c r="PCG15" s="7158"/>
      <c r="PCH15" s="7158"/>
      <c r="PCI15" s="7158"/>
      <c r="PCJ15" s="7159"/>
      <c r="PCK15" s="7152"/>
      <c r="PCL15" s="7153"/>
      <c r="PCM15" s="7153"/>
      <c r="PCN15" s="7153"/>
      <c r="PCO15" s="7157"/>
      <c r="PCP15" s="7157"/>
      <c r="PCQ15" s="7157"/>
      <c r="PCR15" s="7157"/>
      <c r="PCS15" s="7157"/>
      <c r="PCT15" s="7157"/>
      <c r="PCU15" s="7158"/>
      <c r="PCV15" s="7158"/>
      <c r="PCW15" s="7158"/>
      <c r="PCX15" s="7158"/>
      <c r="PCY15" s="7158"/>
      <c r="PCZ15" s="7159"/>
      <c r="PDA15" s="7152"/>
      <c r="PDB15" s="7153"/>
      <c r="PDC15" s="7153"/>
      <c r="PDD15" s="7153"/>
      <c r="PDE15" s="7157"/>
      <c r="PDF15" s="7157"/>
      <c r="PDG15" s="7157"/>
      <c r="PDH15" s="7157"/>
      <c r="PDI15" s="7157"/>
      <c r="PDJ15" s="7157"/>
      <c r="PDK15" s="7158"/>
      <c r="PDL15" s="7158"/>
      <c r="PDM15" s="7158"/>
      <c r="PDN15" s="7158"/>
      <c r="PDO15" s="7158"/>
      <c r="PDP15" s="7159"/>
      <c r="PDQ15" s="7152"/>
      <c r="PDR15" s="7153"/>
      <c r="PDS15" s="7153"/>
      <c r="PDT15" s="7153"/>
      <c r="PDU15" s="7157"/>
      <c r="PDV15" s="7157"/>
      <c r="PDW15" s="7157"/>
      <c r="PDX15" s="7157"/>
      <c r="PDY15" s="7157"/>
      <c r="PDZ15" s="7157"/>
      <c r="PEA15" s="7158"/>
      <c r="PEB15" s="7158"/>
      <c r="PEC15" s="7158"/>
      <c r="PED15" s="7158"/>
      <c r="PEE15" s="7158"/>
      <c r="PEF15" s="7159"/>
      <c r="PEG15" s="7152"/>
      <c r="PEH15" s="7153"/>
      <c r="PEI15" s="7153"/>
      <c r="PEJ15" s="7153"/>
      <c r="PEK15" s="7157"/>
      <c r="PEL15" s="7157"/>
      <c r="PEM15" s="7157"/>
      <c r="PEN15" s="7157"/>
      <c r="PEO15" s="7157"/>
      <c r="PEP15" s="7157"/>
      <c r="PEQ15" s="7158"/>
      <c r="PER15" s="7158"/>
      <c r="PES15" s="7158"/>
      <c r="PET15" s="7158"/>
      <c r="PEU15" s="7158"/>
      <c r="PEV15" s="7159"/>
      <c r="PEW15" s="7152"/>
      <c r="PEX15" s="7153"/>
      <c r="PEY15" s="7153"/>
      <c r="PEZ15" s="7153"/>
      <c r="PFA15" s="7157"/>
      <c r="PFB15" s="7157"/>
      <c r="PFC15" s="7157"/>
      <c r="PFD15" s="7157"/>
      <c r="PFE15" s="7157"/>
      <c r="PFF15" s="7157"/>
      <c r="PFG15" s="7158"/>
      <c r="PFH15" s="7158"/>
      <c r="PFI15" s="7158"/>
      <c r="PFJ15" s="7158"/>
      <c r="PFK15" s="7158"/>
      <c r="PFL15" s="7159"/>
      <c r="PFM15" s="7152"/>
      <c r="PFN15" s="7153"/>
      <c r="PFO15" s="7153"/>
      <c r="PFP15" s="7153"/>
      <c r="PFQ15" s="7157"/>
      <c r="PFR15" s="7157"/>
      <c r="PFS15" s="7157"/>
      <c r="PFT15" s="7157"/>
      <c r="PFU15" s="7157"/>
      <c r="PFV15" s="7157"/>
      <c r="PFW15" s="7158"/>
      <c r="PFX15" s="7158"/>
      <c r="PFY15" s="7158"/>
      <c r="PFZ15" s="7158"/>
      <c r="PGA15" s="7158"/>
      <c r="PGB15" s="7159"/>
      <c r="PGC15" s="7152"/>
      <c r="PGD15" s="7153"/>
      <c r="PGE15" s="7153"/>
      <c r="PGF15" s="7153"/>
      <c r="PGG15" s="7157"/>
      <c r="PGH15" s="7157"/>
      <c r="PGI15" s="7157"/>
      <c r="PGJ15" s="7157"/>
      <c r="PGK15" s="7157"/>
      <c r="PGL15" s="7157"/>
      <c r="PGM15" s="7158"/>
      <c r="PGN15" s="7158"/>
      <c r="PGO15" s="7158"/>
      <c r="PGP15" s="7158"/>
      <c r="PGQ15" s="7158"/>
      <c r="PGR15" s="7159"/>
      <c r="PGS15" s="7152"/>
      <c r="PGT15" s="7153"/>
      <c r="PGU15" s="7153"/>
      <c r="PGV15" s="7153"/>
      <c r="PGW15" s="7157"/>
      <c r="PGX15" s="7157"/>
      <c r="PGY15" s="7157"/>
      <c r="PGZ15" s="7157"/>
      <c r="PHA15" s="7157"/>
      <c r="PHB15" s="7157"/>
      <c r="PHC15" s="7158"/>
      <c r="PHD15" s="7158"/>
      <c r="PHE15" s="7158"/>
      <c r="PHF15" s="7158"/>
      <c r="PHG15" s="7158"/>
      <c r="PHH15" s="7159"/>
      <c r="PHI15" s="7152"/>
      <c r="PHJ15" s="7153"/>
      <c r="PHK15" s="7153"/>
      <c r="PHL15" s="7153"/>
      <c r="PHM15" s="7157"/>
      <c r="PHN15" s="7157"/>
      <c r="PHO15" s="7157"/>
      <c r="PHP15" s="7157"/>
      <c r="PHQ15" s="7157"/>
      <c r="PHR15" s="7157"/>
      <c r="PHS15" s="7158"/>
      <c r="PHT15" s="7158"/>
      <c r="PHU15" s="7158"/>
      <c r="PHV15" s="7158"/>
      <c r="PHW15" s="7158"/>
      <c r="PHX15" s="7159"/>
      <c r="PHY15" s="7152"/>
      <c r="PHZ15" s="7153"/>
      <c r="PIA15" s="7153"/>
      <c r="PIB15" s="7153"/>
      <c r="PIC15" s="7157"/>
      <c r="PID15" s="7157"/>
      <c r="PIE15" s="7157"/>
      <c r="PIF15" s="7157"/>
      <c r="PIG15" s="7157"/>
      <c r="PIH15" s="7157"/>
      <c r="PII15" s="7158"/>
      <c r="PIJ15" s="7158"/>
      <c r="PIK15" s="7158"/>
      <c r="PIL15" s="7158"/>
      <c r="PIM15" s="7158"/>
      <c r="PIN15" s="7159"/>
      <c r="PIO15" s="7152"/>
      <c r="PIP15" s="7153"/>
      <c r="PIQ15" s="7153"/>
      <c r="PIR15" s="7153"/>
      <c r="PIS15" s="7157"/>
      <c r="PIT15" s="7157"/>
      <c r="PIU15" s="7157"/>
      <c r="PIV15" s="7157"/>
      <c r="PIW15" s="7157"/>
      <c r="PIX15" s="7157"/>
      <c r="PIY15" s="7158"/>
      <c r="PIZ15" s="7158"/>
      <c r="PJA15" s="7158"/>
      <c r="PJB15" s="7158"/>
      <c r="PJC15" s="7158"/>
      <c r="PJD15" s="7159"/>
      <c r="PJE15" s="7152"/>
      <c r="PJF15" s="7153"/>
      <c r="PJG15" s="7153"/>
      <c r="PJH15" s="7153"/>
      <c r="PJI15" s="7157"/>
      <c r="PJJ15" s="7157"/>
      <c r="PJK15" s="7157"/>
      <c r="PJL15" s="7157"/>
      <c r="PJM15" s="7157"/>
      <c r="PJN15" s="7157"/>
      <c r="PJO15" s="7158"/>
      <c r="PJP15" s="7158"/>
      <c r="PJQ15" s="7158"/>
      <c r="PJR15" s="7158"/>
      <c r="PJS15" s="7158"/>
      <c r="PJT15" s="7159"/>
      <c r="PJU15" s="7152"/>
      <c r="PJV15" s="7153"/>
      <c r="PJW15" s="7153"/>
      <c r="PJX15" s="7153"/>
      <c r="PJY15" s="7157"/>
      <c r="PJZ15" s="7157"/>
      <c r="PKA15" s="7157"/>
      <c r="PKB15" s="7157"/>
      <c r="PKC15" s="7157"/>
      <c r="PKD15" s="7157"/>
      <c r="PKE15" s="7158"/>
      <c r="PKF15" s="7158"/>
      <c r="PKG15" s="7158"/>
      <c r="PKH15" s="7158"/>
      <c r="PKI15" s="7158"/>
      <c r="PKJ15" s="7159"/>
      <c r="PKK15" s="7152"/>
      <c r="PKL15" s="7153"/>
      <c r="PKM15" s="7153"/>
      <c r="PKN15" s="7153"/>
      <c r="PKO15" s="7157"/>
      <c r="PKP15" s="7157"/>
      <c r="PKQ15" s="7157"/>
      <c r="PKR15" s="7157"/>
      <c r="PKS15" s="7157"/>
      <c r="PKT15" s="7157"/>
      <c r="PKU15" s="7158"/>
      <c r="PKV15" s="7158"/>
      <c r="PKW15" s="7158"/>
      <c r="PKX15" s="7158"/>
      <c r="PKY15" s="7158"/>
      <c r="PKZ15" s="7159"/>
      <c r="PLA15" s="7152"/>
      <c r="PLB15" s="7153"/>
      <c r="PLC15" s="7153"/>
      <c r="PLD15" s="7153"/>
      <c r="PLE15" s="7157"/>
      <c r="PLF15" s="7157"/>
      <c r="PLG15" s="7157"/>
      <c r="PLH15" s="7157"/>
      <c r="PLI15" s="7157"/>
      <c r="PLJ15" s="7157"/>
      <c r="PLK15" s="7158"/>
      <c r="PLL15" s="7158"/>
      <c r="PLM15" s="7158"/>
      <c r="PLN15" s="7158"/>
      <c r="PLO15" s="7158"/>
      <c r="PLP15" s="7159"/>
      <c r="PLQ15" s="7152"/>
      <c r="PLR15" s="7153"/>
      <c r="PLS15" s="7153"/>
      <c r="PLT15" s="7153"/>
      <c r="PLU15" s="7157"/>
      <c r="PLV15" s="7157"/>
      <c r="PLW15" s="7157"/>
      <c r="PLX15" s="7157"/>
      <c r="PLY15" s="7157"/>
      <c r="PLZ15" s="7157"/>
      <c r="PMA15" s="7158"/>
      <c r="PMB15" s="7158"/>
      <c r="PMC15" s="7158"/>
      <c r="PMD15" s="7158"/>
      <c r="PME15" s="7158"/>
      <c r="PMF15" s="7159"/>
      <c r="PMG15" s="7152"/>
      <c r="PMH15" s="7153"/>
      <c r="PMI15" s="7153"/>
      <c r="PMJ15" s="7153"/>
      <c r="PMK15" s="7157"/>
      <c r="PML15" s="7157"/>
      <c r="PMM15" s="7157"/>
      <c r="PMN15" s="7157"/>
      <c r="PMO15" s="7157"/>
      <c r="PMP15" s="7157"/>
      <c r="PMQ15" s="7158"/>
      <c r="PMR15" s="7158"/>
      <c r="PMS15" s="7158"/>
      <c r="PMT15" s="7158"/>
      <c r="PMU15" s="7158"/>
      <c r="PMV15" s="7159"/>
      <c r="PMW15" s="7152"/>
      <c r="PMX15" s="7153"/>
      <c r="PMY15" s="7153"/>
      <c r="PMZ15" s="7153"/>
      <c r="PNA15" s="7157"/>
      <c r="PNB15" s="7157"/>
      <c r="PNC15" s="7157"/>
      <c r="PND15" s="7157"/>
      <c r="PNE15" s="7157"/>
      <c r="PNF15" s="7157"/>
      <c r="PNG15" s="7158"/>
      <c r="PNH15" s="7158"/>
      <c r="PNI15" s="7158"/>
      <c r="PNJ15" s="7158"/>
      <c r="PNK15" s="7158"/>
      <c r="PNL15" s="7159"/>
      <c r="PNM15" s="7152"/>
      <c r="PNN15" s="7153"/>
      <c r="PNO15" s="7153"/>
      <c r="PNP15" s="7153"/>
      <c r="PNQ15" s="7157"/>
      <c r="PNR15" s="7157"/>
      <c r="PNS15" s="7157"/>
      <c r="PNT15" s="7157"/>
      <c r="PNU15" s="7157"/>
      <c r="PNV15" s="7157"/>
      <c r="PNW15" s="7158"/>
      <c r="PNX15" s="7158"/>
      <c r="PNY15" s="7158"/>
      <c r="PNZ15" s="7158"/>
      <c r="POA15" s="7158"/>
      <c r="POB15" s="7159"/>
      <c r="POC15" s="7152"/>
      <c r="POD15" s="7153"/>
      <c r="POE15" s="7153"/>
      <c r="POF15" s="7153"/>
      <c r="POG15" s="7157"/>
      <c r="POH15" s="7157"/>
      <c r="POI15" s="7157"/>
      <c r="POJ15" s="7157"/>
      <c r="POK15" s="7157"/>
      <c r="POL15" s="7157"/>
      <c r="POM15" s="7158"/>
      <c r="PON15" s="7158"/>
      <c r="POO15" s="7158"/>
      <c r="POP15" s="7158"/>
      <c r="POQ15" s="7158"/>
      <c r="POR15" s="7159"/>
      <c r="POS15" s="7152"/>
      <c r="POT15" s="7153"/>
      <c r="POU15" s="7153"/>
      <c r="POV15" s="7153"/>
      <c r="POW15" s="7157"/>
      <c r="POX15" s="7157"/>
      <c r="POY15" s="7157"/>
      <c r="POZ15" s="7157"/>
      <c r="PPA15" s="7157"/>
      <c r="PPB15" s="7157"/>
      <c r="PPC15" s="7158"/>
      <c r="PPD15" s="7158"/>
      <c r="PPE15" s="7158"/>
      <c r="PPF15" s="7158"/>
      <c r="PPG15" s="7158"/>
      <c r="PPH15" s="7159"/>
      <c r="PPI15" s="7152"/>
      <c r="PPJ15" s="7153"/>
      <c r="PPK15" s="7153"/>
      <c r="PPL15" s="7153"/>
      <c r="PPM15" s="7157"/>
      <c r="PPN15" s="7157"/>
      <c r="PPO15" s="7157"/>
      <c r="PPP15" s="7157"/>
      <c r="PPQ15" s="7157"/>
      <c r="PPR15" s="7157"/>
      <c r="PPS15" s="7158"/>
      <c r="PPT15" s="7158"/>
      <c r="PPU15" s="7158"/>
      <c r="PPV15" s="7158"/>
      <c r="PPW15" s="7158"/>
      <c r="PPX15" s="7159"/>
      <c r="PPY15" s="7152"/>
      <c r="PPZ15" s="7153"/>
      <c r="PQA15" s="7153"/>
      <c r="PQB15" s="7153"/>
      <c r="PQC15" s="7157"/>
      <c r="PQD15" s="7157"/>
      <c r="PQE15" s="7157"/>
      <c r="PQF15" s="7157"/>
      <c r="PQG15" s="7157"/>
      <c r="PQH15" s="7157"/>
      <c r="PQI15" s="7158"/>
      <c r="PQJ15" s="7158"/>
      <c r="PQK15" s="7158"/>
      <c r="PQL15" s="7158"/>
      <c r="PQM15" s="7158"/>
      <c r="PQN15" s="7159"/>
      <c r="PQO15" s="7152"/>
      <c r="PQP15" s="7153"/>
      <c r="PQQ15" s="7153"/>
      <c r="PQR15" s="7153"/>
      <c r="PQS15" s="7157"/>
      <c r="PQT15" s="7157"/>
      <c r="PQU15" s="7157"/>
      <c r="PQV15" s="7157"/>
      <c r="PQW15" s="7157"/>
      <c r="PQX15" s="7157"/>
      <c r="PQY15" s="7158"/>
      <c r="PQZ15" s="7158"/>
      <c r="PRA15" s="7158"/>
      <c r="PRB15" s="7158"/>
      <c r="PRC15" s="7158"/>
      <c r="PRD15" s="7159"/>
      <c r="PRE15" s="7152"/>
      <c r="PRF15" s="7153"/>
      <c r="PRG15" s="7153"/>
      <c r="PRH15" s="7153"/>
      <c r="PRI15" s="7157"/>
      <c r="PRJ15" s="7157"/>
      <c r="PRK15" s="7157"/>
      <c r="PRL15" s="7157"/>
      <c r="PRM15" s="7157"/>
      <c r="PRN15" s="7157"/>
      <c r="PRO15" s="7158"/>
      <c r="PRP15" s="7158"/>
      <c r="PRQ15" s="7158"/>
      <c r="PRR15" s="7158"/>
      <c r="PRS15" s="7158"/>
      <c r="PRT15" s="7159"/>
      <c r="PRU15" s="7152"/>
      <c r="PRV15" s="7153"/>
      <c r="PRW15" s="7153"/>
      <c r="PRX15" s="7153"/>
      <c r="PRY15" s="7157"/>
      <c r="PRZ15" s="7157"/>
      <c r="PSA15" s="7157"/>
      <c r="PSB15" s="7157"/>
      <c r="PSC15" s="7157"/>
      <c r="PSD15" s="7157"/>
      <c r="PSE15" s="7158"/>
      <c r="PSF15" s="7158"/>
      <c r="PSG15" s="7158"/>
      <c r="PSH15" s="7158"/>
      <c r="PSI15" s="7158"/>
      <c r="PSJ15" s="7159"/>
      <c r="PSK15" s="7152"/>
      <c r="PSL15" s="7153"/>
      <c r="PSM15" s="7153"/>
      <c r="PSN15" s="7153"/>
      <c r="PSO15" s="7157"/>
      <c r="PSP15" s="7157"/>
      <c r="PSQ15" s="7157"/>
      <c r="PSR15" s="7157"/>
      <c r="PSS15" s="7157"/>
      <c r="PST15" s="7157"/>
      <c r="PSU15" s="7158"/>
      <c r="PSV15" s="7158"/>
      <c r="PSW15" s="7158"/>
      <c r="PSX15" s="7158"/>
      <c r="PSY15" s="7158"/>
      <c r="PSZ15" s="7159"/>
      <c r="PTA15" s="7152"/>
      <c r="PTB15" s="7153"/>
      <c r="PTC15" s="7153"/>
      <c r="PTD15" s="7153"/>
      <c r="PTE15" s="7157"/>
      <c r="PTF15" s="7157"/>
      <c r="PTG15" s="7157"/>
      <c r="PTH15" s="7157"/>
      <c r="PTI15" s="7157"/>
      <c r="PTJ15" s="7157"/>
      <c r="PTK15" s="7158"/>
      <c r="PTL15" s="7158"/>
      <c r="PTM15" s="7158"/>
      <c r="PTN15" s="7158"/>
      <c r="PTO15" s="7158"/>
      <c r="PTP15" s="7159"/>
      <c r="PTQ15" s="7152"/>
      <c r="PTR15" s="7153"/>
      <c r="PTS15" s="7153"/>
      <c r="PTT15" s="7153"/>
      <c r="PTU15" s="7157"/>
      <c r="PTV15" s="7157"/>
      <c r="PTW15" s="7157"/>
      <c r="PTX15" s="7157"/>
      <c r="PTY15" s="7157"/>
      <c r="PTZ15" s="7157"/>
      <c r="PUA15" s="7158"/>
      <c r="PUB15" s="7158"/>
      <c r="PUC15" s="7158"/>
      <c r="PUD15" s="7158"/>
      <c r="PUE15" s="7158"/>
      <c r="PUF15" s="7159"/>
      <c r="PUG15" s="7152"/>
      <c r="PUH15" s="7153"/>
      <c r="PUI15" s="7153"/>
      <c r="PUJ15" s="7153"/>
      <c r="PUK15" s="7157"/>
      <c r="PUL15" s="7157"/>
      <c r="PUM15" s="7157"/>
      <c r="PUN15" s="7157"/>
      <c r="PUO15" s="7157"/>
      <c r="PUP15" s="7157"/>
      <c r="PUQ15" s="7158"/>
      <c r="PUR15" s="7158"/>
      <c r="PUS15" s="7158"/>
      <c r="PUT15" s="7158"/>
      <c r="PUU15" s="7158"/>
      <c r="PUV15" s="7159"/>
      <c r="PUW15" s="7152"/>
      <c r="PUX15" s="7153"/>
      <c r="PUY15" s="7153"/>
      <c r="PUZ15" s="7153"/>
      <c r="PVA15" s="7157"/>
      <c r="PVB15" s="7157"/>
      <c r="PVC15" s="7157"/>
      <c r="PVD15" s="7157"/>
      <c r="PVE15" s="7157"/>
      <c r="PVF15" s="7157"/>
      <c r="PVG15" s="7158"/>
      <c r="PVH15" s="7158"/>
      <c r="PVI15" s="7158"/>
      <c r="PVJ15" s="7158"/>
      <c r="PVK15" s="7158"/>
      <c r="PVL15" s="7159"/>
      <c r="PVM15" s="7152"/>
      <c r="PVN15" s="7153"/>
      <c r="PVO15" s="7153"/>
      <c r="PVP15" s="7153"/>
      <c r="PVQ15" s="7157"/>
      <c r="PVR15" s="7157"/>
      <c r="PVS15" s="7157"/>
      <c r="PVT15" s="7157"/>
      <c r="PVU15" s="7157"/>
      <c r="PVV15" s="7157"/>
      <c r="PVW15" s="7158"/>
      <c r="PVX15" s="7158"/>
      <c r="PVY15" s="7158"/>
      <c r="PVZ15" s="7158"/>
      <c r="PWA15" s="7158"/>
      <c r="PWB15" s="7159"/>
      <c r="PWC15" s="7152"/>
      <c r="PWD15" s="7153"/>
      <c r="PWE15" s="7153"/>
      <c r="PWF15" s="7153"/>
      <c r="PWG15" s="7157"/>
      <c r="PWH15" s="7157"/>
      <c r="PWI15" s="7157"/>
      <c r="PWJ15" s="7157"/>
      <c r="PWK15" s="7157"/>
      <c r="PWL15" s="7157"/>
      <c r="PWM15" s="7158"/>
      <c r="PWN15" s="7158"/>
      <c r="PWO15" s="7158"/>
      <c r="PWP15" s="7158"/>
      <c r="PWQ15" s="7158"/>
      <c r="PWR15" s="7159"/>
      <c r="PWS15" s="7152"/>
      <c r="PWT15" s="7153"/>
      <c r="PWU15" s="7153"/>
      <c r="PWV15" s="7153"/>
      <c r="PWW15" s="7157"/>
      <c r="PWX15" s="7157"/>
      <c r="PWY15" s="7157"/>
      <c r="PWZ15" s="7157"/>
      <c r="PXA15" s="7157"/>
      <c r="PXB15" s="7157"/>
      <c r="PXC15" s="7158"/>
      <c r="PXD15" s="7158"/>
      <c r="PXE15" s="7158"/>
      <c r="PXF15" s="7158"/>
      <c r="PXG15" s="7158"/>
      <c r="PXH15" s="7159"/>
      <c r="PXI15" s="7152"/>
      <c r="PXJ15" s="7153"/>
      <c r="PXK15" s="7153"/>
      <c r="PXL15" s="7153"/>
      <c r="PXM15" s="7157"/>
      <c r="PXN15" s="7157"/>
      <c r="PXO15" s="7157"/>
      <c r="PXP15" s="7157"/>
      <c r="PXQ15" s="7157"/>
      <c r="PXR15" s="7157"/>
      <c r="PXS15" s="7158"/>
      <c r="PXT15" s="7158"/>
      <c r="PXU15" s="7158"/>
      <c r="PXV15" s="7158"/>
      <c r="PXW15" s="7158"/>
      <c r="PXX15" s="7159"/>
      <c r="PXY15" s="7152"/>
      <c r="PXZ15" s="7153"/>
      <c r="PYA15" s="7153"/>
      <c r="PYB15" s="7153"/>
      <c r="PYC15" s="7157"/>
      <c r="PYD15" s="7157"/>
      <c r="PYE15" s="7157"/>
      <c r="PYF15" s="7157"/>
      <c r="PYG15" s="7157"/>
      <c r="PYH15" s="7157"/>
      <c r="PYI15" s="7158"/>
      <c r="PYJ15" s="7158"/>
      <c r="PYK15" s="7158"/>
      <c r="PYL15" s="7158"/>
      <c r="PYM15" s="7158"/>
      <c r="PYN15" s="7159"/>
      <c r="PYO15" s="7152"/>
      <c r="PYP15" s="7153"/>
      <c r="PYQ15" s="7153"/>
      <c r="PYR15" s="7153"/>
      <c r="PYS15" s="7157"/>
      <c r="PYT15" s="7157"/>
      <c r="PYU15" s="7157"/>
      <c r="PYV15" s="7157"/>
      <c r="PYW15" s="7157"/>
      <c r="PYX15" s="7157"/>
      <c r="PYY15" s="7158"/>
      <c r="PYZ15" s="7158"/>
      <c r="PZA15" s="7158"/>
      <c r="PZB15" s="7158"/>
      <c r="PZC15" s="7158"/>
      <c r="PZD15" s="7159"/>
      <c r="PZE15" s="7152"/>
      <c r="PZF15" s="7153"/>
      <c r="PZG15" s="7153"/>
      <c r="PZH15" s="7153"/>
      <c r="PZI15" s="7157"/>
      <c r="PZJ15" s="7157"/>
      <c r="PZK15" s="7157"/>
      <c r="PZL15" s="7157"/>
      <c r="PZM15" s="7157"/>
      <c r="PZN15" s="7157"/>
      <c r="PZO15" s="7158"/>
      <c r="PZP15" s="7158"/>
      <c r="PZQ15" s="7158"/>
      <c r="PZR15" s="7158"/>
      <c r="PZS15" s="7158"/>
      <c r="PZT15" s="7159"/>
      <c r="PZU15" s="7152"/>
      <c r="PZV15" s="7153"/>
      <c r="PZW15" s="7153"/>
      <c r="PZX15" s="7153"/>
      <c r="PZY15" s="7157"/>
      <c r="PZZ15" s="7157"/>
      <c r="QAA15" s="7157"/>
      <c r="QAB15" s="7157"/>
      <c r="QAC15" s="7157"/>
      <c r="QAD15" s="7157"/>
      <c r="QAE15" s="7158"/>
      <c r="QAF15" s="7158"/>
      <c r="QAG15" s="7158"/>
      <c r="QAH15" s="7158"/>
      <c r="QAI15" s="7158"/>
      <c r="QAJ15" s="7159"/>
      <c r="QAK15" s="7152"/>
      <c r="QAL15" s="7153"/>
      <c r="QAM15" s="7153"/>
      <c r="QAN15" s="7153"/>
      <c r="QAO15" s="7157"/>
      <c r="QAP15" s="7157"/>
      <c r="QAQ15" s="7157"/>
      <c r="QAR15" s="7157"/>
      <c r="QAS15" s="7157"/>
      <c r="QAT15" s="7157"/>
      <c r="QAU15" s="7158"/>
      <c r="QAV15" s="7158"/>
      <c r="QAW15" s="7158"/>
      <c r="QAX15" s="7158"/>
      <c r="QAY15" s="7158"/>
      <c r="QAZ15" s="7159"/>
      <c r="QBA15" s="7152"/>
      <c r="QBB15" s="7153"/>
      <c r="QBC15" s="7153"/>
      <c r="QBD15" s="7153"/>
      <c r="QBE15" s="7157"/>
      <c r="QBF15" s="7157"/>
      <c r="QBG15" s="7157"/>
      <c r="QBH15" s="7157"/>
      <c r="QBI15" s="7157"/>
      <c r="QBJ15" s="7157"/>
      <c r="QBK15" s="7158"/>
      <c r="QBL15" s="7158"/>
      <c r="QBM15" s="7158"/>
      <c r="QBN15" s="7158"/>
      <c r="QBO15" s="7158"/>
      <c r="QBP15" s="7159"/>
      <c r="QBQ15" s="7152"/>
      <c r="QBR15" s="7153"/>
      <c r="QBS15" s="7153"/>
      <c r="QBT15" s="7153"/>
      <c r="QBU15" s="7157"/>
      <c r="QBV15" s="7157"/>
      <c r="QBW15" s="7157"/>
      <c r="QBX15" s="7157"/>
      <c r="QBY15" s="7157"/>
      <c r="QBZ15" s="7157"/>
      <c r="QCA15" s="7158"/>
      <c r="QCB15" s="7158"/>
      <c r="QCC15" s="7158"/>
      <c r="QCD15" s="7158"/>
      <c r="QCE15" s="7158"/>
      <c r="QCF15" s="7159"/>
      <c r="QCG15" s="7152"/>
      <c r="QCH15" s="7153"/>
      <c r="QCI15" s="7153"/>
      <c r="QCJ15" s="7153"/>
      <c r="QCK15" s="7157"/>
      <c r="QCL15" s="7157"/>
      <c r="QCM15" s="7157"/>
      <c r="QCN15" s="7157"/>
      <c r="QCO15" s="7157"/>
      <c r="QCP15" s="7157"/>
      <c r="QCQ15" s="7158"/>
      <c r="QCR15" s="7158"/>
      <c r="QCS15" s="7158"/>
      <c r="QCT15" s="7158"/>
      <c r="QCU15" s="7158"/>
      <c r="QCV15" s="7159"/>
      <c r="QCW15" s="7152"/>
      <c r="QCX15" s="7153"/>
      <c r="QCY15" s="7153"/>
      <c r="QCZ15" s="7153"/>
      <c r="QDA15" s="7157"/>
      <c r="QDB15" s="7157"/>
      <c r="QDC15" s="7157"/>
      <c r="QDD15" s="7157"/>
      <c r="QDE15" s="7157"/>
      <c r="QDF15" s="7157"/>
      <c r="QDG15" s="7158"/>
      <c r="QDH15" s="7158"/>
      <c r="QDI15" s="7158"/>
      <c r="QDJ15" s="7158"/>
      <c r="QDK15" s="7158"/>
      <c r="QDL15" s="7159"/>
      <c r="QDM15" s="7152"/>
      <c r="QDN15" s="7153"/>
      <c r="QDO15" s="7153"/>
      <c r="QDP15" s="7153"/>
      <c r="QDQ15" s="7157"/>
      <c r="QDR15" s="7157"/>
      <c r="QDS15" s="7157"/>
      <c r="QDT15" s="7157"/>
      <c r="QDU15" s="7157"/>
      <c r="QDV15" s="7157"/>
      <c r="QDW15" s="7158"/>
      <c r="QDX15" s="7158"/>
      <c r="QDY15" s="7158"/>
      <c r="QDZ15" s="7158"/>
      <c r="QEA15" s="7158"/>
      <c r="QEB15" s="7159"/>
      <c r="QEC15" s="7152"/>
      <c r="QED15" s="7153"/>
      <c r="QEE15" s="7153"/>
      <c r="QEF15" s="7153"/>
      <c r="QEG15" s="7157"/>
      <c r="QEH15" s="7157"/>
      <c r="QEI15" s="7157"/>
      <c r="QEJ15" s="7157"/>
      <c r="QEK15" s="7157"/>
      <c r="QEL15" s="7157"/>
      <c r="QEM15" s="7158"/>
      <c r="QEN15" s="7158"/>
      <c r="QEO15" s="7158"/>
      <c r="QEP15" s="7158"/>
      <c r="QEQ15" s="7158"/>
      <c r="QER15" s="7159"/>
      <c r="QES15" s="7152"/>
      <c r="QET15" s="7153"/>
      <c r="QEU15" s="7153"/>
      <c r="QEV15" s="7153"/>
      <c r="QEW15" s="7157"/>
      <c r="QEX15" s="7157"/>
      <c r="QEY15" s="7157"/>
      <c r="QEZ15" s="7157"/>
      <c r="QFA15" s="7157"/>
      <c r="QFB15" s="7157"/>
      <c r="QFC15" s="7158"/>
      <c r="QFD15" s="7158"/>
      <c r="QFE15" s="7158"/>
      <c r="QFF15" s="7158"/>
      <c r="QFG15" s="7158"/>
      <c r="QFH15" s="7159"/>
      <c r="QFI15" s="7152"/>
      <c r="QFJ15" s="7153"/>
      <c r="QFK15" s="7153"/>
      <c r="QFL15" s="7153"/>
      <c r="QFM15" s="7157"/>
      <c r="QFN15" s="7157"/>
      <c r="QFO15" s="7157"/>
      <c r="QFP15" s="7157"/>
      <c r="QFQ15" s="7157"/>
      <c r="QFR15" s="7157"/>
      <c r="QFS15" s="7158"/>
      <c r="QFT15" s="7158"/>
      <c r="QFU15" s="7158"/>
      <c r="QFV15" s="7158"/>
      <c r="QFW15" s="7158"/>
      <c r="QFX15" s="7159"/>
      <c r="QFY15" s="7152"/>
      <c r="QFZ15" s="7153"/>
      <c r="QGA15" s="7153"/>
      <c r="QGB15" s="7153"/>
      <c r="QGC15" s="7157"/>
      <c r="QGD15" s="7157"/>
      <c r="QGE15" s="7157"/>
      <c r="QGF15" s="7157"/>
      <c r="QGG15" s="7157"/>
      <c r="QGH15" s="7157"/>
      <c r="QGI15" s="7158"/>
      <c r="QGJ15" s="7158"/>
      <c r="QGK15" s="7158"/>
      <c r="QGL15" s="7158"/>
      <c r="QGM15" s="7158"/>
      <c r="QGN15" s="7159"/>
      <c r="QGO15" s="7152"/>
      <c r="QGP15" s="7153"/>
      <c r="QGQ15" s="7153"/>
      <c r="QGR15" s="7153"/>
      <c r="QGS15" s="7157"/>
      <c r="QGT15" s="7157"/>
      <c r="QGU15" s="7157"/>
      <c r="QGV15" s="7157"/>
      <c r="QGW15" s="7157"/>
      <c r="QGX15" s="7157"/>
      <c r="QGY15" s="7158"/>
      <c r="QGZ15" s="7158"/>
      <c r="QHA15" s="7158"/>
      <c r="QHB15" s="7158"/>
      <c r="QHC15" s="7158"/>
      <c r="QHD15" s="7159"/>
      <c r="QHE15" s="7152"/>
      <c r="QHF15" s="7153"/>
      <c r="QHG15" s="7153"/>
      <c r="QHH15" s="7153"/>
      <c r="QHI15" s="7157"/>
      <c r="QHJ15" s="7157"/>
      <c r="QHK15" s="7157"/>
      <c r="QHL15" s="7157"/>
      <c r="QHM15" s="7157"/>
      <c r="QHN15" s="7157"/>
      <c r="QHO15" s="7158"/>
      <c r="QHP15" s="7158"/>
      <c r="QHQ15" s="7158"/>
      <c r="QHR15" s="7158"/>
      <c r="QHS15" s="7158"/>
      <c r="QHT15" s="7159"/>
      <c r="QHU15" s="7152"/>
      <c r="QHV15" s="7153"/>
      <c r="QHW15" s="7153"/>
      <c r="QHX15" s="7153"/>
      <c r="QHY15" s="7157"/>
      <c r="QHZ15" s="7157"/>
      <c r="QIA15" s="7157"/>
      <c r="QIB15" s="7157"/>
      <c r="QIC15" s="7157"/>
      <c r="QID15" s="7157"/>
      <c r="QIE15" s="7158"/>
      <c r="QIF15" s="7158"/>
      <c r="QIG15" s="7158"/>
      <c r="QIH15" s="7158"/>
      <c r="QII15" s="7158"/>
      <c r="QIJ15" s="7159"/>
      <c r="QIK15" s="7152"/>
      <c r="QIL15" s="7153"/>
      <c r="QIM15" s="7153"/>
      <c r="QIN15" s="7153"/>
      <c r="QIO15" s="7157"/>
      <c r="QIP15" s="7157"/>
      <c r="QIQ15" s="7157"/>
      <c r="QIR15" s="7157"/>
      <c r="QIS15" s="7157"/>
      <c r="QIT15" s="7157"/>
      <c r="QIU15" s="7158"/>
      <c r="QIV15" s="7158"/>
      <c r="QIW15" s="7158"/>
      <c r="QIX15" s="7158"/>
      <c r="QIY15" s="7158"/>
      <c r="QIZ15" s="7159"/>
      <c r="QJA15" s="7152"/>
      <c r="QJB15" s="7153"/>
      <c r="QJC15" s="7153"/>
      <c r="QJD15" s="7153"/>
      <c r="QJE15" s="7157"/>
      <c r="QJF15" s="7157"/>
      <c r="QJG15" s="7157"/>
      <c r="QJH15" s="7157"/>
      <c r="QJI15" s="7157"/>
      <c r="QJJ15" s="7157"/>
      <c r="QJK15" s="7158"/>
      <c r="QJL15" s="7158"/>
      <c r="QJM15" s="7158"/>
      <c r="QJN15" s="7158"/>
      <c r="QJO15" s="7158"/>
      <c r="QJP15" s="7159"/>
      <c r="QJQ15" s="7152"/>
      <c r="QJR15" s="7153"/>
      <c r="QJS15" s="7153"/>
      <c r="QJT15" s="7153"/>
      <c r="QJU15" s="7157"/>
      <c r="QJV15" s="7157"/>
      <c r="QJW15" s="7157"/>
      <c r="QJX15" s="7157"/>
      <c r="QJY15" s="7157"/>
      <c r="QJZ15" s="7157"/>
      <c r="QKA15" s="7158"/>
      <c r="QKB15" s="7158"/>
      <c r="QKC15" s="7158"/>
      <c r="QKD15" s="7158"/>
      <c r="QKE15" s="7158"/>
      <c r="QKF15" s="7159"/>
      <c r="QKG15" s="7152"/>
      <c r="QKH15" s="7153"/>
      <c r="QKI15" s="7153"/>
      <c r="QKJ15" s="7153"/>
      <c r="QKK15" s="7157"/>
      <c r="QKL15" s="7157"/>
      <c r="QKM15" s="7157"/>
      <c r="QKN15" s="7157"/>
      <c r="QKO15" s="7157"/>
      <c r="QKP15" s="7157"/>
      <c r="QKQ15" s="7158"/>
      <c r="QKR15" s="7158"/>
      <c r="QKS15" s="7158"/>
      <c r="QKT15" s="7158"/>
      <c r="QKU15" s="7158"/>
      <c r="QKV15" s="7159"/>
      <c r="QKW15" s="7152"/>
      <c r="QKX15" s="7153"/>
      <c r="QKY15" s="7153"/>
      <c r="QKZ15" s="7153"/>
      <c r="QLA15" s="7157"/>
      <c r="QLB15" s="7157"/>
      <c r="QLC15" s="7157"/>
      <c r="QLD15" s="7157"/>
      <c r="QLE15" s="7157"/>
      <c r="QLF15" s="7157"/>
      <c r="QLG15" s="7158"/>
      <c r="QLH15" s="7158"/>
      <c r="QLI15" s="7158"/>
      <c r="QLJ15" s="7158"/>
      <c r="QLK15" s="7158"/>
      <c r="QLL15" s="7159"/>
      <c r="QLM15" s="7152"/>
      <c r="QLN15" s="7153"/>
      <c r="QLO15" s="7153"/>
      <c r="QLP15" s="7153"/>
      <c r="QLQ15" s="7157"/>
      <c r="QLR15" s="7157"/>
      <c r="QLS15" s="7157"/>
      <c r="QLT15" s="7157"/>
      <c r="QLU15" s="7157"/>
      <c r="QLV15" s="7157"/>
      <c r="QLW15" s="7158"/>
      <c r="QLX15" s="7158"/>
      <c r="QLY15" s="7158"/>
      <c r="QLZ15" s="7158"/>
      <c r="QMA15" s="7158"/>
      <c r="QMB15" s="7159"/>
      <c r="QMC15" s="7152"/>
      <c r="QMD15" s="7153"/>
      <c r="QME15" s="7153"/>
      <c r="QMF15" s="7153"/>
      <c r="QMG15" s="7157"/>
      <c r="QMH15" s="7157"/>
      <c r="QMI15" s="7157"/>
      <c r="QMJ15" s="7157"/>
      <c r="QMK15" s="7157"/>
      <c r="QML15" s="7157"/>
      <c r="QMM15" s="7158"/>
      <c r="QMN15" s="7158"/>
      <c r="QMO15" s="7158"/>
      <c r="QMP15" s="7158"/>
      <c r="QMQ15" s="7158"/>
      <c r="QMR15" s="7159"/>
      <c r="QMS15" s="7152"/>
      <c r="QMT15" s="7153"/>
      <c r="QMU15" s="7153"/>
      <c r="QMV15" s="7153"/>
      <c r="QMW15" s="7157"/>
      <c r="QMX15" s="7157"/>
      <c r="QMY15" s="7157"/>
      <c r="QMZ15" s="7157"/>
      <c r="QNA15" s="7157"/>
      <c r="QNB15" s="7157"/>
      <c r="QNC15" s="7158"/>
      <c r="QND15" s="7158"/>
      <c r="QNE15" s="7158"/>
      <c r="QNF15" s="7158"/>
      <c r="QNG15" s="7158"/>
      <c r="QNH15" s="7159"/>
      <c r="QNI15" s="7152"/>
      <c r="QNJ15" s="7153"/>
      <c r="QNK15" s="7153"/>
      <c r="QNL15" s="7153"/>
      <c r="QNM15" s="7157"/>
      <c r="QNN15" s="7157"/>
      <c r="QNO15" s="7157"/>
      <c r="QNP15" s="7157"/>
      <c r="QNQ15" s="7157"/>
      <c r="QNR15" s="7157"/>
      <c r="QNS15" s="7158"/>
      <c r="QNT15" s="7158"/>
      <c r="QNU15" s="7158"/>
      <c r="QNV15" s="7158"/>
      <c r="QNW15" s="7158"/>
      <c r="QNX15" s="7159"/>
      <c r="QNY15" s="7152"/>
      <c r="QNZ15" s="7153"/>
      <c r="QOA15" s="7153"/>
      <c r="QOB15" s="7153"/>
      <c r="QOC15" s="7157"/>
      <c r="QOD15" s="7157"/>
      <c r="QOE15" s="7157"/>
      <c r="QOF15" s="7157"/>
      <c r="QOG15" s="7157"/>
      <c r="QOH15" s="7157"/>
      <c r="QOI15" s="7158"/>
      <c r="QOJ15" s="7158"/>
      <c r="QOK15" s="7158"/>
      <c r="QOL15" s="7158"/>
      <c r="QOM15" s="7158"/>
      <c r="QON15" s="7159"/>
      <c r="QOO15" s="7152"/>
      <c r="QOP15" s="7153"/>
      <c r="QOQ15" s="7153"/>
      <c r="QOR15" s="7153"/>
      <c r="QOS15" s="7157"/>
      <c r="QOT15" s="7157"/>
      <c r="QOU15" s="7157"/>
      <c r="QOV15" s="7157"/>
      <c r="QOW15" s="7157"/>
      <c r="QOX15" s="7157"/>
      <c r="QOY15" s="7158"/>
      <c r="QOZ15" s="7158"/>
      <c r="QPA15" s="7158"/>
      <c r="QPB15" s="7158"/>
      <c r="QPC15" s="7158"/>
      <c r="QPD15" s="7159"/>
      <c r="QPE15" s="7152"/>
      <c r="QPF15" s="7153"/>
      <c r="QPG15" s="7153"/>
      <c r="QPH15" s="7153"/>
      <c r="QPI15" s="7157"/>
      <c r="QPJ15" s="7157"/>
      <c r="QPK15" s="7157"/>
      <c r="QPL15" s="7157"/>
      <c r="QPM15" s="7157"/>
      <c r="QPN15" s="7157"/>
      <c r="QPO15" s="7158"/>
      <c r="QPP15" s="7158"/>
      <c r="QPQ15" s="7158"/>
      <c r="QPR15" s="7158"/>
      <c r="QPS15" s="7158"/>
      <c r="QPT15" s="7159"/>
      <c r="QPU15" s="7152"/>
      <c r="QPV15" s="7153"/>
      <c r="QPW15" s="7153"/>
      <c r="QPX15" s="7153"/>
      <c r="QPY15" s="7157"/>
      <c r="QPZ15" s="7157"/>
      <c r="QQA15" s="7157"/>
      <c r="QQB15" s="7157"/>
      <c r="QQC15" s="7157"/>
      <c r="QQD15" s="7157"/>
      <c r="QQE15" s="7158"/>
      <c r="QQF15" s="7158"/>
      <c r="QQG15" s="7158"/>
      <c r="QQH15" s="7158"/>
      <c r="QQI15" s="7158"/>
      <c r="QQJ15" s="7159"/>
      <c r="QQK15" s="7152"/>
      <c r="QQL15" s="7153"/>
      <c r="QQM15" s="7153"/>
      <c r="QQN15" s="7153"/>
      <c r="QQO15" s="7157"/>
      <c r="QQP15" s="7157"/>
      <c r="QQQ15" s="7157"/>
      <c r="QQR15" s="7157"/>
      <c r="QQS15" s="7157"/>
      <c r="QQT15" s="7157"/>
      <c r="QQU15" s="7158"/>
      <c r="QQV15" s="7158"/>
      <c r="QQW15" s="7158"/>
      <c r="QQX15" s="7158"/>
      <c r="QQY15" s="7158"/>
      <c r="QQZ15" s="7159"/>
      <c r="QRA15" s="7152"/>
      <c r="QRB15" s="7153"/>
      <c r="QRC15" s="7153"/>
      <c r="QRD15" s="7153"/>
      <c r="QRE15" s="7157"/>
      <c r="QRF15" s="7157"/>
      <c r="QRG15" s="7157"/>
      <c r="QRH15" s="7157"/>
      <c r="QRI15" s="7157"/>
      <c r="QRJ15" s="7157"/>
      <c r="QRK15" s="7158"/>
      <c r="QRL15" s="7158"/>
      <c r="QRM15" s="7158"/>
      <c r="QRN15" s="7158"/>
      <c r="QRO15" s="7158"/>
      <c r="QRP15" s="7159"/>
      <c r="QRQ15" s="7152"/>
      <c r="QRR15" s="7153"/>
      <c r="QRS15" s="7153"/>
      <c r="QRT15" s="7153"/>
      <c r="QRU15" s="7157"/>
      <c r="QRV15" s="7157"/>
      <c r="QRW15" s="7157"/>
      <c r="QRX15" s="7157"/>
      <c r="QRY15" s="7157"/>
      <c r="QRZ15" s="7157"/>
      <c r="QSA15" s="7158"/>
      <c r="QSB15" s="7158"/>
      <c r="QSC15" s="7158"/>
      <c r="QSD15" s="7158"/>
      <c r="QSE15" s="7158"/>
      <c r="QSF15" s="7159"/>
      <c r="QSG15" s="7152"/>
      <c r="QSH15" s="7153"/>
      <c r="QSI15" s="7153"/>
      <c r="QSJ15" s="7153"/>
      <c r="QSK15" s="7157"/>
      <c r="QSL15" s="7157"/>
      <c r="QSM15" s="7157"/>
      <c r="QSN15" s="7157"/>
      <c r="QSO15" s="7157"/>
      <c r="QSP15" s="7157"/>
      <c r="QSQ15" s="7158"/>
      <c r="QSR15" s="7158"/>
      <c r="QSS15" s="7158"/>
      <c r="QST15" s="7158"/>
      <c r="QSU15" s="7158"/>
      <c r="QSV15" s="7159"/>
      <c r="QSW15" s="7152"/>
      <c r="QSX15" s="7153"/>
      <c r="QSY15" s="7153"/>
      <c r="QSZ15" s="7153"/>
      <c r="QTA15" s="7157"/>
      <c r="QTB15" s="7157"/>
      <c r="QTC15" s="7157"/>
      <c r="QTD15" s="7157"/>
      <c r="QTE15" s="7157"/>
      <c r="QTF15" s="7157"/>
      <c r="QTG15" s="7158"/>
      <c r="QTH15" s="7158"/>
      <c r="QTI15" s="7158"/>
      <c r="QTJ15" s="7158"/>
      <c r="QTK15" s="7158"/>
      <c r="QTL15" s="7159"/>
      <c r="QTM15" s="7152"/>
      <c r="QTN15" s="7153"/>
      <c r="QTO15" s="7153"/>
      <c r="QTP15" s="7153"/>
      <c r="QTQ15" s="7157"/>
      <c r="QTR15" s="7157"/>
      <c r="QTS15" s="7157"/>
      <c r="QTT15" s="7157"/>
      <c r="QTU15" s="7157"/>
      <c r="QTV15" s="7157"/>
      <c r="QTW15" s="7158"/>
      <c r="QTX15" s="7158"/>
      <c r="QTY15" s="7158"/>
      <c r="QTZ15" s="7158"/>
      <c r="QUA15" s="7158"/>
      <c r="QUB15" s="7159"/>
      <c r="QUC15" s="7152"/>
      <c r="QUD15" s="7153"/>
      <c r="QUE15" s="7153"/>
      <c r="QUF15" s="7153"/>
      <c r="QUG15" s="7157"/>
      <c r="QUH15" s="7157"/>
      <c r="QUI15" s="7157"/>
      <c r="QUJ15" s="7157"/>
      <c r="QUK15" s="7157"/>
      <c r="QUL15" s="7157"/>
      <c r="QUM15" s="7158"/>
      <c r="QUN15" s="7158"/>
      <c r="QUO15" s="7158"/>
      <c r="QUP15" s="7158"/>
      <c r="QUQ15" s="7158"/>
      <c r="QUR15" s="7159"/>
      <c r="QUS15" s="7152"/>
      <c r="QUT15" s="7153"/>
      <c r="QUU15" s="7153"/>
      <c r="QUV15" s="7153"/>
      <c r="QUW15" s="7157"/>
      <c r="QUX15" s="7157"/>
      <c r="QUY15" s="7157"/>
      <c r="QUZ15" s="7157"/>
      <c r="QVA15" s="7157"/>
      <c r="QVB15" s="7157"/>
      <c r="QVC15" s="7158"/>
      <c r="QVD15" s="7158"/>
      <c r="QVE15" s="7158"/>
      <c r="QVF15" s="7158"/>
      <c r="QVG15" s="7158"/>
      <c r="QVH15" s="7159"/>
      <c r="QVI15" s="7152"/>
      <c r="QVJ15" s="7153"/>
      <c r="QVK15" s="7153"/>
      <c r="QVL15" s="7153"/>
      <c r="QVM15" s="7157"/>
      <c r="QVN15" s="7157"/>
      <c r="QVO15" s="7157"/>
      <c r="QVP15" s="7157"/>
      <c r="QVQ15" s="7157"/>
      <c r="QVR15" s="7157"/>
      <c r="QVS15" s="7158"/>
      <c r="QVT15" s="7158"/>
      <c r="QVU15" s="7158"/>
      <c r="QVV15" s="7158"/>
      <c r="QVW15" s="7158"/>
      <c r="QVX15" s="7159"/>
      <c r="QVY15" s="7152"/>
      <c r="QVZ15" s="7153"/>
      <c r="QWA15" s="7153"/>
      <c r="QWB15" s="7153"/>
      <c r="QWC15" s="7157"/>
      <c r="QWD15" s="7157"/>
      <c r="QWE15" s="7157"/>
      <c r="QWF15" s="7157"/>
      <c r="QWG15" s="7157"/>
      <c r="QWH15" s="7157"/>
      <c r="QWI15" s="7158"/>
      <c r="QWJ15" s="7158"/>
      <c r="QWK15" s="7158"/>
      <c r="QWL15" s="7158"/>
      <c r="QWM15" s="7158"/>
      <c r="QWN15" s="7159"/>
      <c r="QWO15" s="7152"/>
      <c r="QWP15" s="7153"/>
      <c r="QWQ15" s="7153"/>
      <c r="QWR15" s="7153"/>
      <c r="QWS15" s="7157"/>
      <c r="QWT15" s="7157"/>
      <c r="QWU15" s="7157"/>
      <c r="QWV15" s="7157"/>
      <c r="QWW15" s="7157"/>
      <c r="QWX15" s="7157"/>
      <c r="QWY15" s="7158"/>
      <c r="QWZ15" s="7158"/>
      <c r="QXA15" s="7158"/>
      <c r="QXB15" s="7158"/>
      <c r="QXC15" s="7158"/>
      <c r="QXD15" s="7159"/>
      <c r="QXE15" s="7152"/>
      <c r="QXF15" s="7153"/>
      <c r="QXG15" s="7153"/>
      <c r="QXH15" s="7153"/>
      <c r="QXI15" s="7157"/>
      <c r="QXJ15" s="7157"/>
      <c r="QXK15" s="7157"/>
      <c r="QXL15" s="7157"/>
      <c r="QXM15" s="7157"/>
      <c r="QXN15" s="7157"/>
      <c r="QXO15" s="7158"/>
      <c r="QXP15" s="7158"/>
      <c r="QXQ15" s="7158"/>
      <c r="QXR15" s="7158"/>
      <c r="QXS15" s="7158"/>
      <c r="QXT15" s="7159"/>
      <c r="QXU15" s="7152"/>
      <c r="QXV15" s="7153"/>
      <c r="QXW15" s="7153"/>
      <c r="QXX15" s="7153"/>
      <c r="QXY15" s="7157"/>
      <c r="QXZ15" s="7157"/>
      <c r="QYA15" s="7157"/>
      <c r="QYB15" s="7157"/>
      <c r="QYC15" s="7157"/>
      <c r="QYD15" s="7157"/>
      <c r="QYE15" s="7158"/>
      <c r="QYF15" s="7158"/>
      <c r="QYG15" s="7158"/>
      <c r="QYH15" s="7158"/>
      <c r="QYI15" s="7158"/>
      <c r="QYJ15" s="7159"/>
      <c r="QYK15" s="7152"/>
      <c r="QYL15" s="7153"/>
      <c r="QYM15" s="7153"/>
      <c r="QYN15" s="7153"/>
      <c r="QYO15" s="7157"/>
      <c r="QYP15" s="7157"/>
      <c r="QYQ15" s="7157"/>
      <c r="QYR15" s="7157"/>
      <c r="QYS15" s="7157"/>
      <c r="QYT15" s="7157"/>
      <c r="QYU15" s="7158"/>
      <c r="QYV15" s="7158"/>
      <c r="QYW15" s="7158"/>
      <c r="QYX15" s="7158"/>
      <c r="QYY15" s="7158"/>
      <c r="QYZ15" s="7159"/>
      <c r="QZA15" s="7152"/>
      <c r="QZB15" s="7153"/>
      <c r="QZC15" s="7153"/>
      <c r="QZD15" s="7153"/>
      <c r="QZE15" s="7157"/>
      <c r="QZF15" s="7157"/>
      <c r="QZG15" s="7157"/>
      <c r="QZH15" s="7157"/>
      <c r="QZI15" s="7157"/>
      <c r="QZJ15" s="7157"/>
      <c r="QZK15" s="7158"/>
      <c r="QZL15" s="7158"/>
      <c r="QZM15" s="7158"/>
      <c r="QZN15" s="7158"/>
      <c r="QZO15" s="7158"/>
      <c r="QZP15" s="7159"/>
      <c r="QZQ15" s="7152"/>
      <c r="QZR15" s="7153"/>
      <c r="QZS15" s="7153"/>
      <c r="QZT15" s="7153"/>
      <c r="QZU15" s="7157"/>
      <c r="QZV15" s="7157"/>
      <c r="QZW15" s="7157"/>
      <c r="QZX15" s="7157"/>
      <c r="QZY15" s="7157"/>
      <c r="QZZ15" s="7157"/>
      <c r="RAA15" s="7158"/>
      <c r="RAB15" s="7158"/>
      <c r="RAC15" s="7158"/>
      <c r="RAD15" s="7158"/>
      <c r="RAE15" s="7158"/>
      <c r="RAF15" s="7159"/>
      <c r="RAG15" s="7152"/>
      <c r="RAH15" s="7153"/>
      <c r="RAI15" s="7153"/>
      <c r="RAJ15" s="7153"/>
      <c r="RAK15" s="7157"/>
      <c r="RAL15" s="7157"/>
      <c r="RAM15" s="7157"/>
      <c r="RAN15" s="7157"/>
      <c r="RAO15" s="7157"/>
      <c r="RAP15" s="7157"/>
      <c r="RAQ15" s="7158"/>
      <c r="RAR15" s="7158"/>
      <c r="RAS15" s="7158"/>
      <c r="RAT15" s="7158"/>
      <c r="RAU15" s="7158"/>
      <c r="RAV15" s="7159"/>
      <c r="RAW15" s="7152"/>
      <c r="RAX15" s="7153"/>
      <c r="RAY15" s="7153"/>
      <c r="RAZ15" s="7153"/>
      <c r="RBA15" s="7157"/>
      <c r="RBB15" s="7157"/>
      <c r="RBC15" s="7157"/>
      <c r="RBD15" s="7157"/>
      <c r="RBE15" s="7157"/>
      <c r="RBF15" s="7157"/>
      <c r="RBG15" s="7158"/>
      <c r="RBH15" s="7158"/>
      <c r="RBI15" s="7158"/>
      <c r="RBJ15" s="7158"/>
      <c r="RBK15" s="7158"/>
      <c r="RBL15" s="7159"/>
      <c r="RBM15" s="7152"/>
      <c r="RBN15" s="7153"/>
      <c r="RBO15" s="7153"/>
      <c r="RBP15" s="7153"/>
      <c r="RBQ15" s="7157"/>
      <c r="RBR15" s="7157"/>
      <c r="RBS15" s="7157"/>
      <c r="RBT15" s="7157"/>
      <c r="RBU15" s="7157"/>
      <c r="RBV15" s="7157"/>
      <c r="RBW15" s="7158"/>
      <c r="RBX15" s="7158"/>
      <c r="RBY15" s="7158"/>
      <c r="RBZ15" s="7158"/>
      <c r="RCA15" s="7158"/>
      <c r="RCB15" s="7159"/>
      <c r="RCC15" s="7152"/>
      <c r="RCD15" s="7153"/>
      <c r="RCE15" s="7153"/>
      <c r="RCF15" s="7153"/>
      <c r="RCG15" s="7157"/>
      <c r="RCH15" s="7157"/>
      <c r="RCI15" s="7157"/>
      <c r="RCJ15" s="7157"/>
      <c r="RCK15" s="7157"/>
      <c r="RCL15" s="7157"/>
      <c r="RCM15" s="7158"/>
      <c r="RCN15" s="7158"/>
      <c r="RCO15" s="7158"/>
      <c r="RCP15" s="7158"/>
      <c r="RCQ15" s="7158"/>
      <c r="RCR15" s="7159"/>
      <c r="RCS15" s="7152"/>
      <c r="RCT15" s="7153"/>
      <c r="RCU15" s="7153"/>
      <c r="RCV15" s="7153"/>
      <c r="RCW15" s="7157"/>
      <c r="RCX15" s="7157"/>
      <c r="RCY15" s="7157"/>
      <c r="RCZ15" s="7157"/>
      <c r="RDA15" s="7157"/>
      <c r="RDB15" s="7157"/>
      <c r="RDC15" s="7158"/>
      <c r="RDD15" s="7158"/>
      <c r="RDE15" s="7158"/>
      <c r="RDF15" s="7158"/>
      <c r="RDG15" s="7158"/>
      <c r="RDH15" s="7159"/>
      <c r="RDI15" s="7152"/>
      <c r="RDJ15" s="7153"/>
      <c r="RDK15" s="7153"/>
      <c r="RDL15" s="7153"/>
      <c r="RDM15" s="7157"/>
      <c r="RDN15" s="7157"/>
      <c r="RDO15" s="7157"/>
      <c r="RDP15" s="7157"/>
      <c r="RDQ15" s="7157"/>
      <c r="RDR15" s="7157"/>
      <c r="RDS15" s="7158"/>
      <c r="RDT15" s="7158"/>
      <c r="RDU15" s="7158"/>
      <c r="RDV15" s="7158"/>
      <c r="RDW15" s="7158"/>
      <c r="RDX15" s="7159"/>
      <c r="RDY15" s="7152"/>
      <c r="RDZ15" s="7153"/>
      <c r="REA15" s="7153"/>
      <c r="REB15" s="7153"/>
      <c r="REC15" s="7157"/>
      <c r="RED15" s="7157"/>
      <c r="REE15" s="7157"/>
      <c r="REF15" s="7157"/>
      <c r="REG15" s="7157"/>
      <c r="REH15" s="7157"/>
      <c r="REI15" s="7158"/>
      <c r="REJ15" s="7158"/>
      <c r="REK15" s="7158"/>
      <c r="REL15" s="7158"/>
      <c r="REM15" s="7158"/>
      <c r="REN15" s="7159"/>
      <c r="REO15" s="7152"/>
      <c r="REP15" s="7153"/>
      <c r="REQ15" s="7153"/>
      <c r="RER15" s="7153"/>
      <c r="RES15" s="7157"/>
      <c r="RET15" s="7157"/>
      <c r="REU15" s="7157"/>
      <c r="REV15" s="7157"/>
      <c r="REW15" s="7157"/>
      <c r="REX15" s="7157"/>
      <c r="REY15" s="7158"/>
      <c r="REZ15" s="7158"/>
      <c r="RFA15" s="7158"/>
      <c r="RFB15" s="7158"/>
      <c r="RFC15" s="7158"/>
      <c r="RFD15" s="7159"/>
      <c r="RFE15" s="7152"/>
      <c r="RFF15" s="7153"/>
      <c r="RFG15" s="7153"/>
      <c r="RFH15" s="7153"/>
      <c r="RFI15" s="7157"/>
      <c r="RFJ15" s="7157"/>
      <c r="RFK15" s="7157"/>
      <c r="RFL15" s="7157"/>
      <c r="RFM15" s="7157"/>
      <c r="RFN15" s="7157"/>
      <c r="RFO15" s="7158"/>
      <c r="RFP15" s="7158"/>
      <c r="RFQ15" s="7158"/>
      <c r="RFR15" s="7158"/>
      <c r="RFS15" s="7158"/>
      <c r="RFT15" s="7159"/>
      <c r="RFU15" s="7152"/>
      <c r="RFV15" s="7153"/>
      <c r="RFW15" s="7153"/>
      <c r="RFX15" s="7153"/>
      <c r="RFY15" s="7157"/>
      <c r="RFZ15" s="7157"/>
      <c r="RGA15" s="7157"/>
      <c r="RGB15" s="7157"/>
      <c r="RGC15" s="7157"/>
      <c r="RGD15" s="7157"/>
      <c r="RGE15" s="7158"/>
      <c r="RGF15" s="7158"/>
      <c r="RGG15" s="7158"/>
      <c r="RGH15" s="7158"/>
      <c r="RGI15" s="7158"/>
      <c r="RGJ15" s="7159"/>
      <c r="RGK15" s="7152"/>
      <c r="RGL15" s="7153"/>
      <c r="RGM15" s="7153"/>
      <c r="RGN15" s="7153"/>
      <c r="RGO15" s="7157"/>
      <c r="RGP15" s="7157"/>
      <c r="RGQ15" s="7157"/>
      <c r="RGR15" s="7157"/>
      <c r="RGS15" s="7157"/>
      <c r="RGT15" s="7157"/>
      <c r="RGU15" s="7158"/>
      <c r="RGV15" s="7158"/>
      <c r="RGW15" s="7158"/>
      <c r="RGX15" s="7158"/>
      <c r="RGY15" s="7158"/>
      <c r="RGZ15" s="7159"/>
      <c r="RHA15" s="7152"/>
      <c r="RHB15" s="7153"/>
      <c r="RHC15" s="7153"/>
      <c r="RHD15" s="7153"/>
      <c r="RHE15" s="7157"/>
      <c r="RHF15" s="7157"/>
      <c r="RHG15" s="7157"/>
      <c r="RHH15" s="7157"/>
      <c r="RHI15" s="7157"/>
      <c r="RHJ15" s="7157"/>
      <c r="RHK15" s="7158"/>
      <c r="RHL15" s="7158"/>
      <c r="RHM15" s="7158"/>
      <c r="RHN15" s="7158"/>
      <c r="RHO15" s="7158"/>
      <c r="RHP15" s="7159"/>
      <c r="RHQ15" s="7152"/>
      <c r="RHR15" s="7153"/>
      <c r="RHS15" s="7153"/>
      <c r="RHT15" s="7153"/>
      <c r="RHU15" s="7157"/>
      <c r="RHV15" s="7157"/>
      <c r="RHW15" s="7157"/>
      <c r="RHX15" s="7157"/>
      <c r="RHY15" s="7157"/>
      <c r="RHZ15" s="7157"/>
      <c r="RIA15" s="7158"/>
      <c r="RIB15" s="7158"/>
      <c r="RIC15" s="7158"/>
      <c r="RID15" s="7158"/>
      <c r="RIE15" s="7158"/>
      <c r="RIF15" s="7159"/>
      <c r="RIG15" s="7152"/>
      <c r="RIH15" s="7153"/>
      <c r="RII15" s="7153"/>
      <c r="RIJ15" s="7153"/>
      <c r="RIK15" s="7157"/>
      <c r="RIL15" s="7157"/>
      <c r="RIM15" s="7157"/>
      <c r="RIN15" s="7157"/>
      <c r="RIO15" s="7157"/>
      <c r="RIP15" s="7157"/>
      <c r="RIQ15" s="7158"/>
      <c r="RIR15" s="7158"/>
      <c r="RIS15" s="7158"/>
      <c r="RIT15" s="7158"/>
      <c r="RIU15" s="7158"/>
      <c r="RIV15" s="7159"/>
      <c r="RIW15" s="7152"/>
      <c r="RIX15" s="7153"/>
      <c r="RIY15" s="7153"/>
      <c r="RIZ15" s="7153"/>
      <c r="RJA15" s="7157"/>
      <c r="RJB15" s="7157"/>
      <c r="RJC15" s="7157"/>
      <c r="RJD15" s="7157"/>
      <c r="RJE15" s="7157"/>
      <c r="RJF15" s="7157"/>
      <c r="RJG15" s="7158"/>
      <c r="RJH15" s="7158"/>
      <c r="RJI15" s="7158"/>
      <c r="RJJ15" s="7158"/>
      <c r="RJK15" s="7158"/>
      <c r="RJL15" s="7159"/>
      <c r="RJM15" s="7152"/>
      <c r="RJN15" s="7153"/>
      <c r="RJO15" s="7153"/>
      <c r="RJP15" s="7153"/>
      <c r="RJQ15" s="7157"/>
      <c r="RJR15" s="7157"/>
      <c r="RJS15" s="7157"/>
      <c r="RJT15" s="7157"/>
      <c r="RJU15" s="7157"/>
      <c r="RJV15" s="7157"/>
      <c r="RJW15" s="7158"/>
      <c r="RJX15" s="7158"/>
      <c r="RJY15" s="7158"/>
      <c r="RJZ15" s="7158"/>
      <c r="RKA15" s="7158"/>
      <c r="RKB15" s="7159"/>
      <c r="RKC15" s="7152"/>
      <c r="RKD15" s="7153"/>
      <c r="RKE15" s="7153"/>
      <c r="RKF15" s="7153"/>
      <c r="RKG15" s="7157"/>
      <c r="RKH15" s="7157"/>
      <c r="RKI15" s="7157"/>
      <c r="RKJ15" s="7157"/>
      <c r="RKK15" s="7157"/>
      <c r="RKL15" s="7157"/>
      <c r="RKM15" s="7158"/>
      <c r="RKN15" s="7158"/>
      <c r="RKO15" s="7158"/>
      <c r="RKP15" s="7158"/>
      <c r="RKQ15" s="7158"/>
      <c r="RKR15" s="7159"/>
      <c r="RKS15" s="7152"/>
      <c r="RKT15" s="7153"/>
      <c r="RKU15" s="7153"/>
      <c r="RKV15" s="7153"/>
      <c r="RKW15" s="7157"/>
      <c r="RKX15" s="7157"/>
      <c r="RKY15" s="7157"/>
      <c r="RKZ15" s="7157"/>
      <c r="RLA15" s="7157"/>
      <c r="RLB15" s="7157"/>
      <c r="RLC15" s="7158"/>
      <c r="RLD15" s="7158"/>
      <c r="RLE15" s="7158"/>
      <c r="RLF15" s="7158"/>
      <c r="RLG15" s="7158"/>
      <c r="RLH15" s="7159"/>
      <c r="RLI15" s="7152"/>
      <c r="RLJ15" s="7153"/>
      <c r="RLK15" s="7153"/>
      <c r="RLL15" s="7153"/>
      <c r="RLM15" s="7157"/>
      <c r="RLN15" s="7157"/>
      <c r="RLO15" s="7157"/>
      <c r="RLP15" s="7157"/>
      <c r="RLQ15" s="7157"/>
      <c r="RLR15" s="7157"/>
      <c r="RLS15" s="7158"/>
      <c r="RLT15" s="7158"/>
      <c r="RLU15" s="7158"/>
      <c r="RLV15" s="7158"/>
      <c r="RLW15" s="7158"/>
      <c r="RLX15" s="7159"/>
      <c r="RLY15" s="7152"/>
      <c r="RLZ15" s="7153"/>
      <c r="RMA15" s="7153"/>
      <c r="RMB15" s="7153"/>
      <c r="RMC15" s="7157"/>
      <c r="RMD15" s="7157"/>
      <c r="RME15" s="7157"/>
      <c r="RMF15" s="7157"/>
      <c r="RMG15" s="7157"/>
      <c r="RMH15" s="7157"/>
      <c r="RMI15" s="7158"/>
      <c r="RMJ15" s="7158"/>
      <c r="RMK15" s="7158"/>
      <c r="RML15" s="7158"/>
      <c r="RMM15" s="7158"/>
      <c r="RMN15" s="7159"/>
      <c r="RMO15" s="7152"/>
      <c r="RMP15" s="7153"/>
      <c r="RMQ15" s="7153"/>
      <c r="RMR15" s="7153"/>
      <c r="RMS15" s="7157"/>
      <c r="RMT15" s="7157"/>
      <c r="RMU15" s="7157"/>
      <c r="RMV15" s="7157"/>
      <c r="RMW15" s="7157"/>
      <c r="RMX15" s="7157"/>
      <c r="RMY15" s="7158"/>
      <c r="RMZ15" s="7158"/>
      <c r="RNA15" s="7158"/>
      <c r="RNB15" s="7158"/>
      <c r="RNC15" s="7158"/>
      <c r="RND15" s="7159"/>
      <c r="RNE15" s="7152"/>
      <c r="RNF15" s="7153"/>
      <c r="RNG15" s="7153"/>
      <c r="RNH15" s="7153"/>
      <c r="RNI15" s="7157"/>
      <c r="RNJ15" s="7157"/>
      <c r="RNK15" s="7157"/>
      <c r="RNL15" s="7157"/>
      <c r="RNM15" s="7157"/>
      <c r="RNN15" s="7157"/>
      <c r="RNO15" s="7158"/>
      <c r="RNP15" s="7158"/>
      <c r="RNQ15" s="7158"/>
      <c r="RNR15" s="7158"/>
      <c r="RNS15" s="7158"/>
      <c r="RNT15" s="7159"/>
      <c r="RNU15" s="7152"/>
      <c r="RNV15" s="7153"/>
      <c r="RNW15" s="7153"/>
      <c r="RNX15" s="7153"/>
      <c r="RNY15" s="7157"/>
      <c r="RNZ15" s="7157"/>
      <c r="ROA15" s="7157"/>
      <c r="ROB15" s="7157"/>
      <c r="ROC15" s="7157"/>
      <c r="ROD15" s="7157"/>
      <c r="ROE15" s="7158"/>
      <c r="ROF15" s="7158"/>
      <c r="ROG15" s="7158"/>
      <c r="ROH15" s="7158"/>
      <c r="ROI15" s="7158"/>
      <c r="ROJ15" s="7159"/>
      <c r="ROK15" s="7152"/>
      <c r="ROL15" s="7153"/>
      <c r="ROM15" s="7153"/>
      <c r="RON15" s="7153"/>
      <c r="ROO15" s="7157"/>
      <c r="ROP15" s="7157"/>
      <c r="ROQ15" s="7157"/>
      <c r="ROR15" s="7157"/>
      <c r="ROS15" s="7157"/>
      <c r="ROT15" s="7157"/>
      <c r="ROU15" s="7158"/>
      <c r="ROV15" s="7158"/>
      <c r="ROW15" s="7158"/>
      <c r="ROX15" s="7158"/>
      <c r="ROY15" s="7158"/>
      <c r="ROZ15" s="7159"/>
      <c r="RPA15" s="7152"/>
      <c r="RPB15" s="7153"/>
      <c r="RPC15" s="7153"/>
      <c r="RPD15" s="7153"/>
      <c r="RPE15" s="7157"/>
      <c r="RPF15" s="7157"/>
      <c r="RPG15" s="7157"/>
      <c r="RPH15" s="7157"/>
      <c r="RPI15" s="7157"/>
      <c r="RPJ15" s="7157"/>
      <c r="RPK15" s="7158"/>
      <c r="RPL15" s="7158"/>
      <c r="RPM15" s="7158"/>
      <c r="RPN15" s="7158"/>
      <c r="RPO15" s="7158"/>
      <c r="RPP15" s="7159"/>
      <c r="RPQ15" s="7152"/>
      <c r="RPR15" s="7153"/>
      <c r="RPS15" s="7153"/>
      <c r="RPT15" s="7153"/>
      <c r="RPU15" s="7157"/>
      <c r="RPV15" s="7157"/>
      <c r="RPW15" s="7157"/>
      <c r="RPX15" s="7157"/>
      <c r="RPY15" s="7157"/>
      <c r="RPZ15" s="7157"/>
      <c r="RQA15" s="7158"/>
      <c r="RQB15" s="7158"/>
      <c r="RQC15" s="7158"/>
      <c r="RQD15" s="7158"/>
      <c r="RQE15" s="7158"/>
      <c r="RQF15" s="7159"/>
      <c r="RQG15" s="7152"/>
      <c r="RQH15" s="7153"/>
      <c r="RQI15" s="7153"/>
      <c r="RQJ15" s="7153"/>
      <c r="RQK15" s="7157"/>
      <c r="RQL15" s="7157"/>
      <c r="RQM15" s="7157"/>
      <c r="RQN15" s="7157"/>
      <c r="RQO15" s="7157"/>
      <c r="RQP15" s="7157"/>
      <c r="RQQ15" s="7158"/>
      <c r="RQR15" s="7158"/>
      <c r="RQS15" s="7158"/>
      <c r="RQT15" s="7158"/>
      <c r="RQU15" s="7158"/>
      <c r="RQV15" s="7159"/>
      <c r="RQW15" s="7152"/>
      <c r="RQX15" s="7153"/>
      <c r="RQY15" s="7153"/>
      <c r="RQZ15" s="7153"/>
      <c r="RRA15" s="7157"/>
      <c r="RRB15" s="7157"/>
      <c r="RRC15" s="7157"/>
      <c r="RRD15" s="7157"/>
      <c r="RRE15" s="7157"/>
      <c r="RRF15" s="7157"/>
      <c r="RRG15" s="7158"/>
      <c r="RRH15" s="7158"/>
      <c r="RRI15" s="7158"/>
      <c r="RRJ15" s="7158"/>
      <c r="RRK15" s="7158"/>
      <c r="RRL15" s="7159"/>
      <c r="RRM15" s="7152"/>
      <c r="RRN15" s="7153"/>
      <c r="RRO15" s="7153"/>
      <c r="RRP15" s="7153"/>
      <c r="RRQ15" s="7157"/>
      <c r="RRR15" s="7157"/>
      <c r="RRS15" s="7157"/>
      <c r="RRT15" s="7157"/>
      <c r="RRU15" s="7157"/>
      <c r="RRV15" s="7157"/>
      <c r="RRW15" s="7158"/>
      <c r="RRX15" s="7158"/>
      <c r="RRY15" s="7158"/>
      <c r="RRZ15" s="7158"/>
      <c r="RSA15" s="7158"/>
      <c r="RSB15" s="7159"/>
      <c r="RSC15" s="7152"/>
      <c r="RSD15" s="7153"/>
      <c r="RSE15" s="7153"/>
      <c r="RSF15" s="7153"/>
      <c r="RSG15" s="7157"/>
      <c r="RSH15" s="7157"/>
      <c r="RSI15" s="7157"/>
      <c r="RSJ15" s="7157"/>
      <c r="RSK15" s="7157"/>
      <c r="RSL15" s="7157"/>
      <c r="RSM15" s="7158"/>
      <c r="RSN15" s="7158"/>
      <c r="RSO15" s="7158"/>
      <c r="RSP15" s="7158"/>
      <c r="RSQ15" s="7158"/>
      <c r="RSR15" s="7159"/>
      <c r="RSS15" s="7152"/>
      <c r="RST15" s="7153"/>
      <c r="RSU15" s="7153"/>
      <c r="RSV15" s="7153"/>
      <c r="RSW15" s="7157"/>
      <c r="RSX15" s="7157"/>
      <c r="RSY15" s="7157"/>
      <c r="RSZ15" s="7157"/>
      <c r="RTA15" s="7157"/>
      <c r="RTB15" s="7157"/>
      <c r="RTC15" s="7158"/>
      <c r="RTD15" s="7158"/>
      <c r="RTE15" s="7158"/>
      <c r="RTF15" s="7158"/>
      <c r="RTG15" s="7158"/>
      <c r="RTH15" s="7159"/>
      <c r="RTI15" s="7152"/>
      <c r="RTJ15" s="7153"/>
      <c r="RTK15" s="7153"/>
      <c r="RTL15" s="7153"/>
      <c r="RTM15" s="7157"/>
      <c r="RTN15" s="7157"/>
      <c r="RTO15" s="7157"/>
      <c r="RTP15" s="7157"/>
      <c r="RTQ15" s="7157"/>
      <c r="RTR15" s="7157"/>
      <c r="RTS15" s="7158"/>
      <c r="RTT15" s="7158"/>
      <c r="RTU15" s="7158"/>
      <c r="RTV15" s="7158"/>
      <c r="RTW15" s="7158"/>
      <c r="RTX15" s="7159"/>
      <c r="RTY15" s="7152"/>
      <c r="RTZ15" s="7153"/>
      <c r="RUA15" s="7153"/>
      <c r="RUB15" s="7153"/>
      <c r="RUC15" s="7157"/>
      <c r="RUD15" s="7157"/>
      <c r="RUE15" s="7157"/>
      <c r="RUF15" s="7157"/>
      <c r="RUG15" s="7157"/>
      <c r="RUH15" s="7157"/>
      <c r="RUI15" s="7158"/>
      <c r="RUJ15" s="7158"/>
      <c r="RUK15" s="7158"/>
      <c r="RUL15" s="7158"/>
      <c r="RUM15" s="7158"/>
      <c r="RUN15" s="7159"/>
      <c r="RUO15" s="7152"/>
      <c r="RUP15" s="7153"/>
      <c r="RUQ15" s="7153"/>
      <c r="RUR15" s="7153"/>
      <c r="RUS15" s="7157"/>
      <c r="RUT15" s="7157"/>
      <c r="RUU15" s="7157"/>
      <c r="RUV15" s="7157"/>
      <c r="RUW15" s="7157"/>
      <c r="RUX15" s="7157"/>
      <c r="RUY15" s="7158"/>
      <c r="RUZ15" s="7158"/>
      <c r="RVA15" s="7158"/>
      <c r="RVB15" s="7158"/>
      <c r="RVC15" s="7158"/>
      <c r="RVD15" s="7159"/>
      <c r="RVE15" s="7152"/>
      <c r="RVF15" s="7153"/>
      <c r="RVG15" s="7153"/>
      <c r="RVH15" s="7153"/>
      <c r="RVI15" s="7157"/>
      <c r="RVJ15" s="7157"/>
      <c r="RVK15" s="7157"/>
      <c r="RVL15" s="7157"/>
      <c r="RVM15" s="7157"/>
      <c r="RVN15" s="7157"/>
      <c r="RVO15" s="7158"/>
      <c r="RVP15" s="7158"/>
      <c r="RVQ15" s="7158"/>
      <c r="RVR15" s="7158"/>
      <c r="RVS15" s="7158"/>
      <c r="RVT15" s="7159"/>
      <c r="RVU15" s="7152"/>
      <c r="RVV15" s="7153"/>
      <c r="RVW15" s="7153"/>
      <c r="RVX15" s="7153"/>
      <c r="RVY15" s="7157"/>
      <c r="RVZ15" s="7157"/>
      <c r="RWA15" s="7157"/>
      <c r="RWB15" s="7157"/>
      <c r="RWC15" s="7157"/>
      <c r="RWD15" s="7157"/>
      <c r="RWE15" s="7158"/>
      <c r="RWF15" s="7158"/>
      <c r="RWG15" s="7158"/>
      <c r="RWH15" s="7158"/>
      <c r="RWI15" s="7158"/>
      <c r="RWJ15" s="7159"/>
      <c r="RWK15" s="7152"/>
      <c r="RWL15" s="7153"/>
      <c r="RWM15" s="7153"/>
      <c r="RWN15" s="7153"/>
      <c r="RWO15" s="7157"/>
      <c r="RWP15" s="7157"/>
      <c r="RWQ15" s="7157"/>
      <c r="RWR15" s="7157"/>
      <c r="RWS15" s="7157"/>
      <c r="RWT15" s="7157"/>
      <c r="RWU15" s="7158"/>
      <c r="RWV15" s="7158"/>
      <c r="RWW15" s="7158"/>
      <c r="RWX15" s="7158"/>
      <c r="RWY15" s="7158"/>
      <c r="RWZ15" s="7159"/>
      <c r="RXA15" s="7152"/>
      <c r="RXB15" s="7153"/>
      <c r="RXC15" s="7153"/>
      <c r="RXD15" s="7153"/>
      <c r="RXE15" s="7157"/>
      <c r="RXF15" s="7157"/>
      <c r="RXG15" s="7157"/>
      <c r="RXH15" s="7157"/>
      <c r="RXI15" s="7157"/>
      <c r="RXJ15" s="7157"/>
      <c r="RXK15" s="7158"/>
      <c r="RXL15" s="7158"/>
      <c r="RXM15" s="7158"/>
      <c r="RXN15" s="7158"/>
      <c r="RXO15" s="7158"/>
      <c r="RXP15" s="7159"/>
      <c r="RXQ15" s="7152"/>
      <c r="RXR15" s="7153"/>
      <c r="RXS15" s="7153"/>
      <c r="RXT15" s="7153"/>
      <c r="RXU15" s="7157"/>
      <c r="RXV15" s="7157"/>
      <c r="RXW15" s="7157"/>
      <c r="RXX15" s="7157"/>
      <c r="RXY15" s="7157"/>
      <c r="RXZ15" s="7157"/>
      <c r="RYA15" s="7158"/>
      <c r="RYB15" s="7158"/>
      <c r="RYC15" s="7158"/>
      <c r="RYD15" s="7158"/>
      <c r="RYE15" s="7158"/>
      <c r="RYF15" s="7159"/>
      <c r="RYG15" s="7152"/>
      <c r="RYH15" s="7153"/>
      <c r="RYI15" s="7153"/>
      <c r="RYJ15" s="7153"/>
      <c r="RYK15" s="7157"/>
      <c r="RYL15" s="7157"/>
      <c r="RYM15" s="7157"/>
      <c r="RYN15" s="7157"/>
      <c r="RYO15" s="7157"/>
      <c r="RYP15" s="7157"/>
      <c r="RYQ15" s="7158"/>
      <c r="RYR15" s="7158"/>
      <c r="RYS15" s="7158"/>
      <c r="RYT15" s="7158"/>
      <c r="RYU15" s="7158"/>
      <c r="RYV15" s="7159"/>
      <c r="RYW15" s="7152"/>
      <c r="RYX15" s="7153"/>
      <c r="RYY15" s="7153"/>
      <c r="RYZ15" s="7153"/>
      <c r="RZA15" s="7157"/>
      <c r="RZB15" s="7157"/>
      <c r="RZC15" s="7157"/>
      <c r="RZD15" s="7157"/>
      <c r="RZE15" s="7157"/>
      <c r="RZF15" s="7157"/>
      <c r="RZG15" s="7158"/>
      <c r="RZH15" s="7158"/>
      <c r="RZI15" s="7158"/>
      <c r="RZJ15" s="7158"/>
      <c r="RZK15" s="7158"/>
      <c r="RZL15" s="7159"/>
      <c r="RZM15" s="7152"/>
      <c r="RZN15" s="7153"/>
      <c r="RZO15" s="7153"/>
      <c r="RZP15" s="7153"/>
      <c r="RZQ15" s="7157"/>
      <c r="RZR15" s="7157"/>
      <c r="RZS15" s="7157"/>
      <c r="RZT15" s="7157"/>
      <c r="RZU15" s="7157"/>
      <c r="RZV15" s="7157"/>
      <c r="RZW15" s="7158"/>
      <c r="RZX15" s="7158"/>
      <c r="RZY15" s="7158"/>
      <c r="RZZ15" s="7158"/>
      <c r="SAA15" s="7158"/>
      <c r="SAB15" s="7159"/>
      <c r="SAC15" s="7152"/>
      <c r="SAD15" s="7153"/>
      <c r="SAE15" s="7153"/>
      <c r="SAF15" s="7153"/>
      <c r="SAG15" s="7157"/>
      <c r="SAH15" s="7157"/>
      <c r="SAI15" s="7157"/>
      <c r="SAJ15" s="7157"/>
      <c r="SAK15" s="7157"/>
      <c r="SAL15" s="7157"/>
      <c r="SAM15" s="7158"/>
      <c r="SAN15" s="7158"/>
      <c r="SAO15" s="7158"/>
      <c r="SAP15" s="7158"/>
      <c r="SAQ15" s="7158"/>
      <c r="SAR15" s="7159"/>
      <c r="SAS15" s="7152"/>
      <c r="SAT15" s="7153"/>
      <c r="SAU15" s="7153"/>
      <c r="SAV15" s="7153"/>
      <c r="SAW15" s="7157"/>
      <c r="SAX15" s="7157"/>
      <c r="SAY15" s="7157"/>
      <c r="SAZ15" s="7157"/>
      <c r="SBA15" s="7157"/>
      <c r="SBB15" s="7157"/>
      <c r="SBC15" s="7158"/>
      <c r="SBD15" s="7158"/>
      <c r="SBE15" s="7158"/>
      <c r="SBF15" s="7158"/>
      <c r="SBG15" s="7158"/>
      <c r="SBH15" s="7159"/>
      <c r="SBI15" s="7152"/>
      <c r="SBJ15" s="7153"/>
      <c r="SBK15" s="7153"/>
      <c r="SBL15" s="7153"/>
      <c r="SBM15" s="7157"/>
      <c r="SBN15" s="7157"/>
      <c r="SBO15" s="7157"/>
      <c r="SBP15" s="7157"/>
      <c r="SBQ15" s="7157"/>
      <c r="SBR15" s="7157"/>
      <c r="SBS15" s="7158"/>
      <c r="SBT15" s="7158"/>
      <c r="SBU15" s="7158"/>
      <c r="SBV15" s="7158"/>
      <c r="SBW15" s="7158"/>
      <c r="SBX15" s="7159"/>
      <c r="SBY15" s="7152"/>
      <c r="SBZ15" s="7153"/>
      <c r="SCA15" s="7153"/>
      <c r="SCB15" s="7153"/>
      <c r="SCC15" s="7157"/>
      <c r="SCD15" s="7157"/>
      <c r="SCE15" s="7157"/>
      <c r="SCF15" s="7157"/>
      <c r="SCG15" s="7157"/>
      <c r="SCH15" s="7157"/>
      <c r="SCI15" s="7158"/>
      <c r="SCJ15" s="7158"/>
      <c r="SCK15" s="7158"/>
      <c r="SCL15" s="7158"/>
      <c r="SCM15" s="7158"/>
      <c r="SCN15" s="7159"/>
      <c r="SCO15" s="7152"/>
      <c r="SCP15" s="7153"/>
      <c r="SCQ15" s="7153"/>
      <c r="SCR15" s="7153"/>
      <c r="SCS15" s="7157"/>
      <c r="SCT15" s="7157"/>
      <c r="SCU15" s="7157"/>
      <c r="SCV15" s="7157"/>
      <c r="SCW15" s="7157"/>
      <c r="SCX15" s="7157"/>
      <c r="SCY15" s="7158"/>
      <c r="SCZ15" s="7158"/>
      <c r="SDA15" s="7158"/>
      <c r="SDB15" s="7158"/>
      <c r="SDC15" s="7158"/>
      <c r="SDD15" s="7159"/>
      <c r="SDE15" s="7152"/>
      <c r="SDF15" s="7153"/>
      <c r="SDG15" s="7153"/>
      <c r="SDH15" s="7153"/>
      <c r="SDI15" s="7157"/>
      <c r="SDJ15" s="7157"/>
      <c r="SDK15" s="7157"/>
      <c r="SDL15" s="7157"/>
      <c r="SDM15" s="7157"/>
      <c r="SDN15" s="7157"/>
      <c r="SDO15" s="7158"/>
      <c r="SDP15" s="7158"/>
      <c r="SDQ15" s="7158"/>
      <c r="SDR15" s="7158"/>
      <c r="SDS15" s="7158"/>
      <c r="SDT15" s="7159"/>
      <c r="SDU15" s="7152"/>
      <c r="SDV15" s="7153"/>
      <c r="SDW15" s="7153"/>
      <c r="SDX15" s="7153"/>
      <c r="SDY15" s="7157"/>
      <c r="SDZ15" s="7157"/>
      <c r="SEA15" s="7157"/>
      <c r="SEB15" s="7157"/>
      <c r="SEC15" s="7157"/>
      <c r="SED15" s="7157"/>
      <c r="SEE15" s="7158"/>
      <c r="SEF15" s="7158"/>
      <c r="SEG15" s="7158"/>
      <c r="SEH15" s="7158"/>
      <c r="SEI15" s="7158"/>
      <c r="SEJ15" s="7159"/>
      <c r="SEK15" s="7152"/>
      <c r="SEL15" s="7153"/>
      <c r="SEM15" s="7153"/>
      <c r="SEN15" s="7153"/>
      <c r="SEO15" s="7157"/>
      <c r="SEP15" s="7157"/>
      <c r="SEQ15" s="7157"/>
      <c r="SER15" s="7157"/>
      <c r="SES15" s="7157"/>
      <c r="SET15" s="7157"/>
      <c r="SEU15" s="7158"/>
      <c r="SEV15" s="7158"/>
      <c r="SEW15" s="7158"/>
      <c r="SEX15" s="7158"/>
      <c r="SEY15" s="7158"/>
      <c r="SEZ15" s="7159"/>
      <c r="SFA15" s="7152"/>
      <c r="SFB15" s="7153"/>
      <c r="SFC15" s="7153"/>
      <c r="SFD15" s="7153"/>
      <c r="SFE15" s="7157"/>
      <c r="SFF15" s="7157"/>
      <c r="SFG15" s="7157"/>
      <c r="SFH15" s="7157"/>
      <c r="SFI15" s="7157"/>
      <c r="SFJ15" s="7157"/>
      <c r="SFK15" s="7158"/>
      <c r="SFL15" s="7158"/>
      <c r="SFM15" s="7158"/>
      <c r="SFN15" s="7158"/>
      <c r="SFO15" s="7158"/>
      <c r="SFP15" s="7159"/>
      <c r="SFQ15" s="7152"/>
      <c r="SFR15" s="7153"/>
      <c r="SFS15" s="7153"/>
      <c r="SFT15" s="7153"/>
      <c r="SFU15" s="7157"/>
      <c r="SFV15" s="7157"/>
      <c r="SFW15" s="7157"/>
      <c r="SFX15" s="7157"/>
      <c r="SFY15" s="7157"/>
      <c r="SFZ15" s="7157"/>
      <c r="SGA15" s="7158"/>
      <c r="SGB15" s="7158"/>
      <c r="SGC15" s="7158"/>
      <c r="SGD15" s="7158"/>
      <c r="SGE15" s="7158"/>
      <c r="SGF15" s="7159"/>
      <c r="SGG15" s="7152"/>
      <c r="SGH15" s="7153"/>
      <c r="SGI15" s="7153"/>
      <c r="SGJ15" s="7153"/>
      <c r="SGK15" s="7157"/>
      <c r="SGL15" s="7157"/>
      <c r="SGM15" s="7157"/>
      <c r="SGN15" s="7157"/>
      <c r="SGO15" s="7157"/>
      <c r="SGP15" s="7157"/>
      <c r="SGQ15" s="7158"/>
      <c r="SGR15" s="7158"/>
      <c r="SGS15" s="7158"/>
      <c r="SGT15" s="7158"/>
      <c r="SGU15" s="7158"/>
      <c r="SGV15" s="7159"/>
      <c r="SGW15" s="7152"/>
      <c r="SGX15" s="7153"/>
      <c r="SGY15" s="7153"/>
      <c r="SGZ15" s="7153"/>
      <c r="SHA15" s="7157"/>
      <c r="SHB15" s="7157"/>
      <c r="SHC15" s="7157"/>
      <c r="SHD15" s="7157"/>
      <c r="SHE15" s="7157"/>
      <c r="SHF15" s="7157"/>
      <c r="SHG15" s="7158"/>
      <c r="SHH15" s="7158"/>
      <c r="SHI15" s="7158"/>
      <c r="SHJ15" s="7158"/>
      <c r="SHK15" s="7158"/>
      <c r="SHL15" s="7159"/>
      <c r="SHM15" s="7152"/>
      <c r="SHN15" s="7153"/>
      <c r="SHO15" s="7153"/>
      <c r="SHP15" s="7153"/>
      <c r="SHQ15" s="7157"/>
      <c r="SHR15" s="7157"/>
      <c r="SHS15" s="7157"/>
      <c r="SHT15" s="7157"/>
      <c r="SHU15" s="7157"/>
      <c r="SHV15" s="7157"/>
      <c r="SHW15" s="7158"/>
      <c r="SHX15" s="7158"/>
      <c r="SHY15" s="7158"/>
      <c r="SHZ15" s="7158"/>
      <c r="SIA15" s="7158"/>
      <c r="SIB15" s="7159"/>
      <c r="SIC15" s="7152"/>
      <c r="SID15" s="7153"/>
      <c r="SIE15" s="7153"/>
      <c r="SIF15" s="7153"/>
      <c r="SIG15" s="7157"/>
      <c r="SIH15" s="7157"/>
      <c r="SII15" s="7157"/>
      <c r="SIJ15" s="7157"/>
      <c r="SIK15" s="7157"/>
      <c r="SIL15" s="7157"/>
      <c r="SIM15" s="7158"/>
      <c r="SIN15" s="7158"/>
      <c r="SIO15" s="7158"/>
      <c r="SIP15" s="7158"/>
      <c r="SIQ15" s="7158"/>
      <c r="SIR15" s="7159"/>
      <c r="SIS15" s="7152"/>
      <c r="SIT15" s="7153"/>
      <c r="SIU15" s="7153"/>
      <c r="SIV15" s="7153"/>
      <c r="SIW15" s="7157"/>
      <c r="SIX15" s="7157"/>
      <c r="SIY15" s="7157"/>
      <c r="SIZ15" s="7157"/>
      <c r="SJA15" s="7157"/>
      <c r="SJB15" s="7157"/>
      <c r="SJC15" s="7158"/>
      <c r="SJD15" s="7158"/>
      <c r="SJE15" s="7158"/>
      <c r="SJF15" s="7158"/>
      <c r="SJG15" s="7158"/>
      <c r="SJH15" s="7159"/>
      <c r="SJI15" s="7152"/>
      <c r="SJJ15" s="7153"/>
      <c r="SJK15" s="7153"/>
      <c r="SJL15" s="7153"/>
      <c r="SJM15" s="7157"/>
      <c r="SJN15" s="7157"/>
      <c r="SJO15" s="7157"/>
      <c r="SJP15" s="7157"/>
      <c r="SJQ15" s="7157"/>
      <c r="SJR15" s="7157"/>
      <c r="SJS15" s="7158"/>
      <c r="SJT15" s="7158"/>
      <c r="SJU15" s="7158"/>
      <c r="SJV15" s="7158"/>
      <c r="SJW15" s="7158"/>
      <c r="SJX15" s="7159"/>
      <c r="SJY15" s="7152"/>
      <c r="SJZ15" s="7153"/>
      <c r="SKA15" s="7153"/>
      <c r="SKB15" s="7153"/>
      <c r="SKC15" s="7157"/>
      <c r="SKD15" s="7157"/>
      <c r="SKE15" s="7157"/>
      <c r="SKF15" s="7157"/>
      <c r="SKG15" s="7157"/>
      <c r="SKH15" s="7157"/>
      <c r="SKI15" s="7158"/>
      <c r="SKJ15" s="7158"/>
      <c r="SKK15" s="7158"/>
      <c r="SKL15" s="7158"/>
      <c r="SKM15" s="7158"/>
      <c r="SKN15" s="7159"/>
      <c r="SKO15" s="7152"/>
      <c r="SKP15" s="7153"/>
      <c r="SKQ15" s="7153"/>
      <c r="SKR15" s="7153"/>
      <c r="SKS15" s="7157"/>
      <c r="SKT15" s="7157"/>
      <c r="SKU15" s="7157"/>
      <c r="SKV15" s="7157"/>
      <c r="SKW15" s="7157"/>
      <c r="SKX15" s="7157"/>
      <c r="SKY15" s="7158"/>
      <c r="SKZ15" s="7158"/>
      <c r="SLA15" s="7158"/>
      <c r="SLB15" s="7158"/>
      <c r="SLC15" s="7158"/>
      <c r="SLD15" s="7159"/>
      <c r="SLE15" s="7152"/>
      <c r="SLF15" s="7153"/>
      <c r="SLG15" s="7153"/>
      <c r="SLH15" s="7153"/>
      <c r="SLI15" s="7157"/>
      <c r="SLJ15" s="7157"/>
      <c r="SLK15" s="7157"/>
      <c r="SLL15" s="7157"/>
      <c r="SLM15" s="7157"/>
      <c r="SLN15" s="7157"/>
      <c r="SLO15" s="7158"/>
      <c r="SLP15" s="7158"/>
      <c r="SLQ15" s="7158"/>
      <c r="SLR15" s="7158"/>
      <c r="SLS15" s="7158"/>
      <c r="SLT15" s="7159"/>
      <c r="SLU15" s="7152"/>
      <c r="SLV15" s="7153"/>
      <c r="SLW15" s="7153"/>
      <c r="SLX15" s="7153"/>
      <c r="SLY15" s="7157"/>
      <c r="SLZ15" s="7157"/>
      <c r="SMA15" s="7157"/>
      <c r="SMB15" s="7157"/>
      <c r="SMC15" s="7157"/>
      <c r="SMD15" s="7157"/>
      <c r="SME15" s="7158"/>
      <c r="SMF15" s="7158"/>
      <c r="SMG15" s="7158"/>
      <c r="SMH15" s="7158"/>
      <c r="SMI15" s="7158"/>
      <c r="SMJ15" s="7159"/>
      <c r="SMK15" s="7152"/>
      <c r="SML15" s="7153"/>
      <c r="SMM15" s="7153"/>
      <c r="SMN15" s="7153"/>
      <c r="SMO15" s="7157"/>
      <c r="SMP15" s="7157"/>
      <c r="SMQ15" s="7157"/>
      <c r="SMR15" s="7157"/>
      <c r="SMS15" s="7157"/>
      <c r="SMT15" s="7157"/>
      <c r="SMU15" s="7158"/>
      <c r="SMV15" s="7158"/>
      <c r="SMW15" s="7158"/>
      <c r="SMX15" s="7158"/>
      <c r="SMY15" s="7158"/>
      <c r="SMZ15" s="7159"/>
      <c r="SNA15" s="7152"/>
      <c r="SNB15" s="7153"/>
      <c r="SNC15" s="7153"/>
      <c r="SND15" s="7153"/>
      <c r="SNE15" s="7157"/>
      <c r="SNF15" s="7157"/>
      <c r="SNG15" s="7157"/>
      <c r="SNH15" s="7157"/>
      <c r="SNI15" s="7157"/>
      <c r="SNJ15" s="7157"/>
      <c r="SNK15" s="7158"/>
      <c r="SNL15" s="7158"/>
      <c r="SNM15" s="7158"/>
      <c r="SNN15" s="7158"/>
      <c r="SNO15" s="7158"/>
      <c r="SNP15" s="7159"/>
      <c r="SNQ15" s="7152"/>
      <c r="SNR15" s="7153"/>
      <c r="SNS15" s="7153"/>
      <c r="SNT15" s="7153"/>
      <c r="SNU15" s="7157"/>
      <c r="SNV15" s="7157"/>
      <c r="SNW15" s="7157"/>
      <c r="SNX15" s="7157"/>
      <c r="SNY15" s="7157"/>
      <c r="SNZ15" s="7157"/>
      <c r="SOA15" s="7158"/>
      <c r="SOB15" s="7158"/>
      <c r="SOC15" s="7158"/>
      <c r="SOD15" s="7158"/>
      <c r="SOE15" s="7158"/>
      <c r="SOF15" s="7159"/>
      <c r="SOG15" s="7152"/>
      <c r="SOH15" s="7153"/>
      <c r="SOI15" s="7153"/>
      <c r="SOJ15" s="7153"/>
      <c r="SOK15" s="7157"/>
      <c r="SOL15" s="7157"/>
      <c r="SOM15" s="7157"/>
      <c r="SON15" s="7157"/>
      <c r="SOO15" s="7157"/>
      <c r="SOP15" s="7157"/>
      <c r="SOQ15" s="7158"/>
      <c r="SOR15" s="7158"/>
      <c r="SOS15" s="7158"/>
      <c r="SOT15" s="7158"/>
      <c r="SOU15" s="7158"/>
      <c r="SOV15" s="7159"/>
      <c r="SOW15" s="7152"/>
      <c r="SOX15" s="7153"/>
      <c r="SOY15" s="7153"/>
      <c r="SOZ15" s="7153"/>
      <c r="SPA15" s="7157"/>
      <c r="SPB15" s="7157"/>
      <c r="SPC15" s="7157"/>
      <c r="SPD15" s="7157"/>
      <c r="SPE15" s="7157"/>
      <c r="SPF15" s="7157"/>
      <c r="SPG15" s="7158"/>
      <c r="SPH15" s="7158"/>
      <c r="SPI15" s="7158"/>
      <c r="SPJ15" s="7158"/>
      <c r="SPK15" s="7158"/>
      <c r="SPL15" s="7159"/>
      <c r="SPM15" s="7152"/>
      <c r="SPN15" s="7153"/>
      <c r="SPO15" s="7153"/>
      <c r="SPP15" s="7153"/>
      <c r="SPQ15" s="7157"/>
      <c r="SPR15" s="7157"/>
      <c r="SPS15" s="7157"/>
      <c r="SPT15" s="7157"/>
      <c r="SPU15" s="7157"/>
      <c r="SPV15" s="7157"/>
      <c r="SPW15" s="7158"/>
      <c r="SPX15" s="7158"/>
      <c r="SPY15" s="7158"/>
      <c r="SPZ15" s="7158"/>
      <c r="SQA15" s="7158"/>
      <c r="SQB15" s="7159"/>
      <c r="SQC15" s="7152"/>
      <c r="SQD15" s="7153"/>
      <c r="SQE15" s="7153"/>
      <c r="SQF15" s="7153"/>
      <c r="SQG15" s="7157"/>
      <c r="SQH15" s="7157"/>
      <c r="SQI15" s="7157"/>
      <c r="SQJ15" s="7157"/>
      <c r="SQK15" s="7157"/>
      <c r="SQL15" s="7157"/>
      <c r="SQM15" s="7158"/>
      <c r="SQN15" s="7158"/>
      <c r="SQO15" s="7158"/>
      <c r="SQP15" s="7158"/>
      <c r="SQQ15" s="7158"/>
      <c r="SQR15" s="7159"/>
      <c r="SQS15" s="7152"/>
      <c r="SQT15" s="7153"/>
      <c r="SQU15" s="7153"/>
      <c r="SQV15" s="7153"/>
      <c r="SQW15" s="7157"/>
      <c r="SQX15" s="7157"/>
      <c r="SQY15" s="7157"/>
      <c r="SQZ15" s="7157"/>
      <c r="SRA15" s="7157"/>
      <c r="SRB15" s="7157"/>
      <c r="SRC15" s="7158"/>
      <c r="SRD15" s="7158"/>
      <c r="SRE15" s="7158"/>
      <c r="SRF15" s="7158"/>
      <c r="SRG15" s="7158"/>
      <c r="SRH15" s="7159"/>
      <c r="SRI15" s="7152"/>
      <c r="SRJ15" s="7153"/>
      <c r="SRK15" s="7153"/>
      <c r="SRL15" s="7153"/>
      <c r="SRM15" s="7157"/>
      <c r="SRN15" s="7157"/>
      <c r="SRO15" s="7157"/>
      <c r="SRP15" s="7157"/>
      <c r="SRQ15" s="7157"/>
      <c r="SRR15" s="7157"/>
      <c r="SRS15" s="7158"/>
      <c r="SRT15" s="7158"/>
      <c r="SRU15" s="7158"/>
      <c r="SRV15" s="7158"/>
      <c r="SRW15" s="7158"/>
      <c r="SRX15" s="7159"/>
      <c r="SRY15" s="7152"/>
      <c r="SRZ15" s="7153"/>
      <c r="SSA15" s="7153"/>
      <c r="SSB15" s="7153"/>
      <c r="SSC15" s="7157"/>
      <c r="SSD15" s="7157"/>
      <c r="SSE15" s="7157"/>
      <c r="SSF15" s="7157"/>
      <c r="SSG15" s="7157"/>
      <c r="SSH15" s="7157"/>
      <c r="SSI15" s="7158"/>
      <c r="SSJ15" s="7158"/>
      <c r="SSK15" s="7158"/>
      <c r="SSL15" s="7158"/>
      <c r="SSM15" s="7158"/>
      <c r="SSN15" s="7159"/>
      <c r="SSO15" s="7152"/>
      <c r="SSP15" s="7153"/>
      <c r="SSQ15" s="7153"/>
      <c r="SSR15" s="7153"/>
      <c r="SSS15" s="7157"/>
      <c r="SST15" s="7157"/>
      <c r="SSU15" s="7157"/>
      <c r="SSV15" s="7157"/>
      <c r="SSW15" s="7157"/>
      <c r="SSX15" s="7157"/>
      <c r="SSY15" s="7158"/>
      <c r="SSZ15" s="7158"/>
      <c r="STA15" s="7158"/>
      <c r="STB15" s="7158"/>
      <c r="STC15" s="7158"/>
      <c r="STD15" s="7159"/>
      <c r="STE15" s="7152"/>
      <c r="STF15" s="7153"/>
      <c r="STG15" s="7153"/>
      <c r="STH15" s="7153"/>
      <c r="STI15" s="7157"/>
      <c r="STJ15" s="7157"/>
      <c r="STK15" s="7157"/>
      <c r="STL15" s="7157"/>
      <c r="STM15" s="7157"/>
      <c r="STN15" s="7157"/>
      <c r="STO15" s="7158"/>
      <c r="STP15" s="7158"/>
      <c r="STQ15" s="7158"/>
      <c r="STR15" s="7158"/>
      <c r="STS15" s="7158"/>
      <c r="STT15" s="7159"/>
      <c r="STU15" s="7152"/>
      <c r="STV15" s="7153"/>
      <c r="STW15" s="7153"/>
      <c r="STX15" s="7153"/>
      <c r="STY15" s="7157"/>
      <c r="STZ15" s="7157"/>
      <c r="SUA15" s="7157"/>
      <c r="SUB15" s="7157"/>
      <c r="SUC15" s="7157"/>
      <c r="SUD15" s="7157"/>
      <c r="SUE15" s="7158"/>
      <c r="SUF15" s="7158"/>
      <c r="SUG15" s="7158"/>
      <c r="SUH15" s="7158"/>
      <c r="SUI15" s="7158"/>
      <c r="SUJ15" s="7159"/>
      <c r="SUK15" s="7152"/>
      <c r="SUL15" s="7153"/>
      <c r="SUM15" s="7153"/>
      <c r="SUN15" s="7153"/>
      <c r="SUO15" s="7157"/>
      <c r="SUP15" s="7157"/>
      <c r="SUQ15" s="7157"/>
      <c r="SUR15" s="7157"/>
      <c r="SUS15" s="7157"/>
      <c r="SUT15" s="7157"/>
      <c r="SUU15" s="7158"/>
      <c r="SUV15" s="7158"/>
      <c r="SUW15" s="7158"/>
      <c r="SUX15" s="7158"/>
      <c r="SUY15" s="7158"/>
      <c r="SUZ15" s="7159"/>
      <c r="SVA15" s="7152"/>
      <c r="SVB15" s="7153"/>
      <c r="SVC15" s="7153"/>
      <c r="SVD15" s="7153"/>
      <c r="SVE15" s="7157"/>
      <c r="SVF15" s="7157"/>
      <c r="SVG15" s="7157"/>
      <c r="SVH15" s="7157"/>
      <c r="SVI15" s="7157"/>
      <c r="SVJ15" s="7157"/>
      <c r="SVK15" s="7158"/>
      <c r="SVL15" s="7158"/>
      <c r="SVM15" s="7158"/>
      <c r="SVN15" s="7158"/>
      <c r="SVO15" s="7158"/>
      <c r="SVP15" s="7159"/>
      <c r="SVQ15" s="7152"/>
      <c r="SVR15" s="7153"/>
      <c r="SVS15" s="7153"/>
      <c r="SVT15" s="7153"/>
      <c r="SVU15" s="7157"/>
      <c r="SVV15" s="7157"/>
      <c r="SVW15" s="7157"/>
      <c r="SVX15" s="7157"/>
      <c r="SVY15" s="7157"/>
      <c r="SVZ15" s="7157"/>
      <c r="SWA15" s="7158"/>
      <c r="SWB15" s="7158"/>
      <c r="SWC15" s="7158"/>
      <c r="SWD15" s="7158"/>
      <c r="SWE15" s="7158"/>
      <c r="SWF15" s="7159"/>
      <c r="SWG15" s="7152"/>
      <c r="SWH15" s="7153"/>
      <c r="SWI15" s="7153"/>
      <c r="SWJ15" s="7153"/>
      <c r="SWK15" s="7157"/>
      <c r="SWL15" s="7157"/>
      <c r="SWM15" s="7157"/>
      <c r="SWN15" s="7157"/>
      <c r="SWO15" s="7157"/>
      <c r="SWP15" s="7157"/>
      <c r="SWQ15" s="7158"/>
      <c r="SWR15" s="7158"/>
      <c r="SWS15" s="7158"/>
      <c r="SWT15" s="7158"/>
      <c r="SWU15" s="7158"/>
      <c r="SWV15" s="7159"/>
      <c r="SWW15" s="7152"/>
      <c r="SWX15" s="7153"/>
      <c r="SWY15" s="7153"/>
      <c r="SWZ15" s="7153"/>
      <c r="SXA15" s="7157"/>
      <c r="SXB15" s="7157"/>
      <c r="SXC15" s="7157"/>
      <c r="SXD15" s="7157"/>
      <c r="SXE15" s="7157"/>
      <c r="SXF15" s="7157"/>
      <c r="SXG15" s="7158"/>
      <c r="SXH15" s="7158"/>
      <c r="SXI15" s="7158"/>
      <c r="SXJ15" s="7158"/>
      <c r="SXK15" s="7158"/>
      <c r="SXL15" s="7159"/>
      <c r="SXM15" s="7152"/>
      <c r="SXN15" s="7153"/>
      <c r="SXO15" s="7153"/>
      <c r="SXP15" s="7153"/>
      <c r="SXQ15" s="7157"/>
      <c r="SXR15" s="7157"/>
      <c r="SXS15" s="7157"/>
      <c r="SXT15" s="7157"/>
      <c r="SXU15" s="7157"/>
      <c r="SXV15" s="7157"/>
      <c r="SXW15" s="7158"/>
      <c r="SXX15" s="7158"/>
      <c r="SXY15" s="7158"/>
      <c r="SXZ15" s="7158"/>
      <c r="SYA15" s="7158"/>
      <c r="SYB15" s="7159"/>
      <c r="SYC15" s="7152"/>
      <c r="SYD15" s="7153"/>
      <c r="SYE15" s="7153"/>
      <c r="SYF15" s="7153"/>
      <c r="SYG15" s="7157"/>
      <c r="SYH15" s="7157"/>
      <c r="SYI15" s="7157"/>
      <c r="SYJ15" s="7157"/>
      <c r="SYK15" s="7157"/>
      <c r="SYL15" s="7157"/>
      <c r="SYM15" s="7158"/>
      <c r="SYN15" s="7158"/>
      <c r="SYO15" s="7158"/>
      <c r="SYP15" s="7158"/>
      <c r="SYQ15" s="7158"/>
      <c r="SYR15" s="7159"/>
      <c r="SYS15" s="7152"/>
      <c r="SYT15" s="7153"/>
      <c r="SYU15" s="7153"/>
      <c r="SYV15" s="7153"/>
      <c r="SYW15" s="7157"/>
      <c r="SYX15" s="7157"/>
      <c r="SYY15" s="7157"/>
      <c r="SYZ15" s="7157"/>
      <c r="SZA15" s="7157"/>
      <c r="SZB15" s="7157"/>
      <c r="SZC15" s="7158"/>
      <c r="SZD15" s="7158"/>
      <c r="SZE15" s="7158"/>
      <c r="SZF15" s="7158"/>
      <c r="SZG15" s="7158"/>
      <c r="SZH15" s="7159"/>
      <c r="SZI15" s="7152"/>
      <c r="SZJ15" s="7153"/>
      <c r="SZK15" s="7153"/>
      <c r="SZL15" s="7153"/>
      <c r="SZM15" s="7157"/>
      <c r="SZN15" s="7157"/>
      <c r="SZO15" s="7157"/>
      <c r="SZP15" s="7157"/>
      <c r="SZQ15" s="7157"/>
      <c r="SZR15" s="7157"/>
      <c r="SZS15" s="7158"/>
      <c r="SZT15" s="7158"/>
      <c r="SZU15" s="7158"/>
      <c r="SZV15" s="7158"/>
      <c r="SZW15" s="7158"/>
      <c r="SZX15" s="7159"/>
      <c r="SZY15" s="7152"/>
      <c r="SZZ15" s="7153"/>
      <c r="TAA15" s="7153"/>
      <c r="TAB15" s="7153"/>
      <c r="TAC15" s="7157"/>
      <c r="TAD15" s="7157"/>
      <c r="TAE15" s="7157"/>
      <c r="TAF15" s="7157"/>
      <c r="TAG15" s="7157"/>
      <c r="TAH15" s="7157"/>
      <c r="TAI15" s="7158"/>
      <c r="TAJ15" s="7158"/>
      <c r="TAK15" s="7158"/>
      <c r="TAL15" s="7158"/>
      <c r="TAM15" s="7158"/>
      <c r="TAN15" s="7159"/>
      <c r="TAO15" s="7152"/>
      <c r="TAP15" s="7153"/>
      <c r="TAQ15" s="7153"/>
      <c r="TAR15" s="7153"/>
      <c r="TAS15" s="7157"/>
      <c r="TAT15" s="7157"/>
      <c r="TAU15" s="7157"/>
      <c r="TAV15" s="7157"/>
      <c r="TAW15" s="7157"/>
      <c r="TAX15" s="7157"/>
      <c r="TAY15" s="7158"/>
      <c r="TAZ15" s="7158"/>
      <c r="TBA15" s="7158"/>
      <c r="TBB15" s="7158"/>
      <c r="TBC15" s="7158"/>
      <c r="TBD15" s="7159"/>
      <c r="TBE15" s="7152"/>
      <c r="TBF15" s="7153"/>
      <c r="TBG15" s="7153"/>
      <c r="TBH15" s="7153"/>
      <c r="TBI15" s="7157"/>
      <c r="TBJ15" s="7157"/>
      <c r="TBK15" s="7157"/>
      <c r="TBL15" s="7157"/>
      <c r="TBM15" s="7157"/>
      <c r="TBN15" s="7157"/>
      <c r="TBO15" s="7158"/>
      <c r="TBP15" s="7158"/>
      <c r="TBQ15" s="7158"/>
      <c r="TBR15" s="7158"/>
      <c r="TBS15" s="7158"/>
      <c r="TBT15" s="7159"/>
      <c r="TBU15" s="7152"/>
      <c r="TBV15" s="7153"/>
      <c r="TBW15" s="7153"/>
      <c r="TBX15" s="7153"/>
      <c r="TBY15" s="7157"/>
      <c r="TBZ15" s="7157"/>
      <c r="TCA15" s="7157"/>
      <c r="TCB15" s="7157"/>
      <c r="TCC15" s="7157"/>
      <c r="TCD15" s="7157"/>
      <c r="TCE15" s="7158"/>
      <c r="TCF15" s="7158"/>
      <c r="TCG15" s="7158"/>
      <c r="TCH15" s="7158"/>
      <c r="TCI15" s="7158"/>
      <c r="TCJ15" s="7159"/>
      <c r="TCK15" s="7152"/>
      <c r="TCL15" s="7153"/>
      <c r="TCM15" s="7153"/>
      <c r="TCN15" s="7153"/>
      <c r="TCO15" s="7157"/>
      <c r="TCP15" s="7157"/>
      <c r="TCQ15" s="7157"/>
      <c r="TCR15" s="7157"/>
      <c r="TCS15" s="7157"/>
      <c r="TCT15" s="7157"/>
      <c r="TCU15" s="7158"/>
      <c r="TCV15" s="7158"/>
      <c r="TCW15" s="7158"/>
      <c r="TCX15" s="7158"/>
      <c r="TCY15" s="7158"/>
      <c r="TCZ15" s="7159"/>
      <c r="TDA15" s="7152"/>
      <c r="TDB15" s="7153"/>
      <c r="TDC15" s="7153"/>
      <c r="TDD15" s="7153"/>
      <c r="TDE15" s="7157"/>
      <c r="TDF15" s="7157"/>
      <c r="TDG15" s="7157"/>
      <c r="TDH15" s="7157"/>
      <c r="TDI15" s="7157"/>
      <c r="TDJ15" s="7157"/>
      <c r="TDK15" s="7158"/>
      <c r="TDL15" s="7158"/>
      <c r="TDM15" s="7158"/>
      <c r="TDN15" s="7158"/>
      <c r="TDO15" s="7158"/>
      <c r="TDP15" s="7159"/>
      <c r="TDQ15" s="7152"/>
      <c r="TDR15" s="7153"/>
      <c r="TDS15" s="7153"/>
      <c r="TDT15" s="7153"/>
      <c r="TDU15" s="7157"/>
      <c r="TDV15" s="7157"/>
      <c r="TDW15" s="7157"/>
      <c r="TDX15" s="7157"/>
      <c r="TDY15" s="7157"/>
      <c r="TDZ15" s="7157"/>
      <c r="TEA15" s="7158"/>
      <c r="TEB15" s="7158"/>
      <c r="TEC15" s="7158"/>
      <c r="TED15" s="7158"/>
      <c r="TEE15" s="7158"/>
      <c r="TEF15" s="7159"/>
      <c r="TEG15" s="7152"/>
      <c r="TEH15" s="7153"/>
      <c r="TEI15" s="7153"/>
      <c r="TEJ15" s="7153"/>
      <c r="TEK15" s="7157"/>
      <c r="TEL15" s="7157"/>
      <c r="TEM15" s="7157"/>
      <c r="TEN15" s="7157"/>
      <c r="TEO15" s="7157"/>
      <c r="TEP15" s="7157"/>
      <c r="TEQ15" s="7158"/>
      <c r="TER15" s="7158"/>
      <c r="TES15" s="7158"/>
      <c r="TET15" s="7158"/>
      <c r="TEU15" s="7158"/>
      <c r="TEV15" s="7159"/>
      <c r="TEW15" s="7152"/>
      <c r="TEX15" s="7153"/>
      <c r="TEY15" s="7153"/>
      <c r="TEZ15" s="7153"/>
      <c r="TFA15" s="7157"/>
      <c r="TFB15" s="7157"/>
      <c r="TFC15" s="7157"/>
      <c r="TFD15" s="7157"/>
      <c r="TFE15" s="7157"/>
      <c r="TFF15" s="7157"/>
      <c r="TFG15" s="7158"/>
      <c r="TFH15" s="7158"/>
      <c r="TFI15" s="7158"/>
      <c r="TFJ15" s="7158"/>
      <c r="TFK15" s="7158"/>
      <c r="TFL15" s="7159"/>
      <c r="TFM15" s="7152"/>
      <c r="TFN15" s="7153"/>
      <c r="TFO15" s="7153"/>
      <c r="TFP15" s="7153"/>
      <c r="TFQ15" s="7157"/>
      <c r="TFR15" s="7157"/>
      <c r="TFS15" s="7157"/>
      <c r="TFT15" s="7157"/>
      <c r="TFU15" s="7157"/>
      <c r="TFV15" s="7157"/>
      <c r="TFW15" s="7158"/>
      <c r="TFX15" s="7158"/>
      <c r="TFY15" s="7158"/>
      <c r="TFZ15" s="7158"/>
      <c r="TGA15" s="7158"/>
      <c r="TGB15" s="7159"/>
      <c r="TGC15" s="7152"/>
      <c r="TGD15" s="7153"/>
      <c r="TGE15" s="7153"/>
      <c r="TGF15" s="7153"/>
      <c r="TGG15" s="7157"/>
      <c r="TGH15" s="7157"/>
      <c r="TGI15" s="7157"/>
      <c r="TGJ15" s="7157"/>
      <c r="TGK15" s="7157"/>
      <c r="TGL15" s="7157"/>
      <c r="TGM15" s="7158"/>
      <c r="TGN15" s="7158"/>
      <c r="TGO15" s="7158"/>
      <c r="TGP15" s="7158"/>
      <c r="TGQ15" s="7158"/>
      <c r="TGR15" s="7159"/>
      <c r="TGS15" s="7152"/>
      <c r="TGT15" s="7153"/>
      <c r="TGU15" s="7153"/>
      <c r="TGV15" s="7153"/>
      <c r="TGW15" s="7157"/>
      <c r="TGX15" s="7157"/>
      <c r="TGY15" s="7157"/>
      <c r="TGZ15" s="7157"/>
      <c r="THA15" s="7157"/>
      <c r="THB15" s="7157"/>
      <c r="THC15" s="7158"/>
      <c r="THD15" s="7158"/>
      <c r="THE15" s="7158"/>
      <c r="THF15" s="7158"/>
      <c r="THG15" s="7158"/>
      <c r="THH15" s="7159"/>
      <c r="THI15" s="7152"/>
      <c r="THJ15" s="7153"/>
      <c r="THK15" s="7153"/>
      <c r="THL15" s="7153"/>
      <c r="THM15" s="7157"/>
      <c r="THN15" s="7157"/>
      <c r="THO15" s="7157"/>
      <c r="THP15" s="7157"/>
      <c r="THQ15" s="7157"/>
      <c r="THR15" s="7157"/>
      <c r="THS15" s="7158"/>
      <c r="THT15" s="7158"/>
      <c r="THU15" s="7158"/>
      <c r="THV15" s="7158"/>
      <c r="THW15" s="7158"/>
      <c r="THX15" s="7159"/>
      <c r="THY15" s="7152"/>
      <c r="THZ15" s="7153"/>
      <c r="TIA15" s="7153"/>
      <c r="TIB15" s="7153"/>
      <c r="TIC15" s="7157"/>
      <c r="TID15" s="7157"/>
      <c r="TIE15" s="7157"/>
      <c r="TIF15" s="7157"/>
      <c r="TIG15" s="7157"/>
      <c r="TIH15" s="7157"/>
      <c r="TII15" s="7158"/>
      <c r="TIJ15" s="7158"/>
      <c r="TIK15" s="7158"/>
      <c r="TIL15" s="7158"/>
      <c r="TIM15" s="7158"/>
      <c r="TIN15" s="7159"/>
      <c r="TIO15" s="7152"/>
      <c r="TIP15" s="7153"/>
      <c r="TIQ15" s="7153"/>
      <c r="TIR15" s="7153"/>
      <c r="TIS15" s="7157"/>
      <c r="TIT15" s="7157"/>
      <c r="TIU15" s="7157"/>
      <c r="TIV15" s="7157"/>
      <c r="TIW15" s="7157"/>
      <c r="TIX15" s="7157"/>
      <c r="TIY15" s="7158"/>
      <c r="TIZ15" s="7158"/>
      <c r="TJA15" s="7158"/>
      <c r="TJB15" s="7158"/>
      <c r="TJC15" s="7158"/>
      <c r="TJD15" s="7159"/>
      <c r="TJE15" s="7152"/>
      <c r="TJF15" s="7153"/>
      <c r="TJG15" s="7153"/>
      <c r="TJH15" s="7153"/>
      <c r="TJI15" s="7157"/>
      <c r="TJJ15" s="7157"/>
      <c r="TJK15" s="7157"/>
      <c r="TJL15" s="7157"/>
      <c r="TJM15" s="7157"/>
      <c r="TJN15" s="7157"/>
      <c r="TJO15" s="7158"/>
      <c r="TJP15" s="7158"/>
      <c r="TJQ15" s="7158"/>
      <c r="TJR15" s="7158"/>
      <c r="TJS15" s="7158"/>
      <c r="TJT15" s="7159"/>
      <c r="TJU15" s="7152"/>
      <c r="TJV15" s="7153"/>
      <c r="TJW15" s="7153"/>
      <c r="TJX15" s="7153"/>
      <c r="TJY15" s="7157"/>
      <c r="TJZ15" s="7157"/>
      <c r="TKA15" s="7157"/>
      <c r="TKB15" s="7157"/>
      <c r="TKC15" s="7157"/>
      <c r="TKD15" s="7157"/>
      <c r="TKE15" s="7158"/>
      <c r="TKF15" s="7158"/>
      <c r="TKG15" s="7158"/>
      <c r="TKH15" s="7158"/>
      <c r="TKI15" s="7158"/>
      <c r="TKJ15" s="7159"/>
      <c r="TKK15" s="7152"/>
      <c r="TKL15" s="7153"/>
      <c r="TKM15" s="7153"/>
      <c r="TKN15" s="7153"/>
      <c r="TKO15" s="7157"/>
      <c r="TKP15" s="7157"/>
      <c r="TKQ15" s="7157"/>
      <c r="TKR15" s="7157"/>
      <c r="TKS15" s="7157"/>
      <c r="TKT15" s="7157"/>
      <c r="TKU15" s="7158"/>
      <c r="TKV15" s="7158"/>
      <c r="TKW15" s="7158"/>
      <c r="TKX15" s="7158"/>
      <c r="TKY15" s="7158"/>
      <c r="TKZ15" s="7159"/>
      <c r="TLA15" s="7152"/>
      <c r="TLB15" s="7153"/>
      <c r="TLC15" s="7153"/>
      <c r="TLD15" s="7153"/>
      <c r="TLE15" s="7157"/>
      <c r="TLF15" s="7157"/>
      <c r="TLG15" s="7157"/>
      <c r="TLH15" s="7157"/>
      <c r="TLI15" s="7157"/>
      <c r="TLJ15" s="7157"/>
      <c r="TLK15" s="7158"/>
      <c r="TLL15" s="7158"/>
      <c r="TLM15" s="7158"/>
      <c r="TLN15" s="7158"/>
      <c r="TLO15" s="7158"/>
      <c r="TLP15" s="7159"/>
      <c r="TLQ15" s="7152"/>
      <c r="TLR15" s="7153"/>
      <c r="TLS15" s="7153"/>
      <c r="TLT15" s="7153"/>
      <c r="TLU15" s="7157"/>
      <c r="TLV15" s="7157"/>
      <c r="TLW15" s="7157"/>
      <c r="TLX15" s="7157"/>
      <c r="TLY15" s="7157"/>
      <c r="TLZ15" s="7157"/>
      <c r="TMA15" s="7158"/>
      <c r="TMB15" s="7158"/>
      <c r="TMC15" s="7158"/>
      <c r="TMD15" s="7158"/>
      <c r="TME15" s="7158"/>
      <c r="TMF15" s="7159"/>
      <c r="TMG15" s="7152"/>
      <c r="TMH15" s="7153"/>
      <c r="TMI15" s="7153"/>
      <c r="TMJ15" s="7153"/>
      <c r="TMK15" s="7157"/>
      <c r="TML15" s="7157"/>
      <c r="TMM15" s="7157"/>
      <c r="TMN15" s="7157"/>
      <c r="TMO15" s="7157"/>
      <c r="TMP15" s="7157"/>
      <c r="TMQ15" s="7158"/>
      <c r="TMR15" s="7158"/>
      <c r="TMS15" s="7158"/>
      <c r="TMT15" s="7158"/>
      <c r="TMU15" s="7158"/>
      <c r="TMV15" s="7159"/>
      <c r="TMW15" s="7152"/>
      <c r="TMX15" s="7153"/>
      <c r="TMY15" s="7153"/>
      <c r="TMZ15" s="7153"/>
      <c r="TNA15" s="7157"/>
      <c r="TNB15" s="7157"/>
      <c r="TNC15" s="7157"/>
      <c r="TND15" s="7157"/>
      <c r="TNE15" s="7157"/>
      <c r="TNF15" s="7157"/>
      <c r="TNG15" s="7158"/>
      <c r="TNH15" s="7158"/>
      <c r="TNI15" s="7158"/>
      <c r="TNJ15" s="7158"/>
      <c r="TNK15" s="7158"/>
      <c r="TNL15" s="7159"/>
      <c r="TNM15" s="7152"/>
      <c r="TNN15" s="7153"/>
      <c r="TNO15" s="7153"/>
      <c r="TNP15" s="7153"/>
      <c r="TNQ15" s="7157"/>
      <c r="TNR15" s="7157"/>
      <c r="TNS15" s="7157"/>
      <c r="TNT15" s="7157"/>
      <c r="TNU15" s="7157"/>
      <c r="TNV15" s="7157"/>
      <c r="TNW15" s="7158"/>
      <c r="TNX15" s="7158"/>
      <c r="TNY15" s="7158"/>
      <c r="TNZ15" s="7158"/>
      <c r="TOA15" s="7158"/>
      <c r="TOB15" s="7159"/>
      <c r="TOC15" s="7152"/>
      <c r="TOD15" s="7153"/>
      <c r="TOE15" s="7153"/>
      <c r="TOF15" s="7153"/>
      <c r="TOG15" s="7157"/>
      <c r="TOH15" s="7157"/>
      <c r="TOI15" s="7157"/>
      <c r="TOJ15" s="7157"/>
      <c r="TOK15" s="7157"/>
      <c r="TOL15" s="7157"/>
      <c r="TOM15" s="7158"/>
      <c r="TON15" s="7158"/>
      <c r="TOO15" s="7158"/>
      <c r="TOP15" s="7158"/>
      <c r="TOQ15" s="7158"/>
      <c r="TOR15" s="7159"/>
      <c r="TOS15" s="7152"/>
      <c r="TOT15" s="7153"/>
      <c r="TOU15" s="7153"/>
      <c r="TOV15" s="7153"/>
      <c r="TOW15" s="7157"/>
      <c r="TOX15" s="7157"/>
      <c r="TOY15" s="7157"/>
      <c r="TOZ15" s="7157"/>
      <c r="TPA15" s="7157"/>
      <c r="TPB15" s="7157"/>
      <c r="TPC15" s="7158"/>
      <c r="TPD15" s="7158"/>
      <c r="TPE15" s="7158"/>
      <c r="TPF15" s="7158"/>
      <c r="TPG15" s="7158"/>
      <c r="TPH15" s="7159"/>
      <c r="TPI15" s="7152"/>
      <c r="TPJ15" s="7153"/>
      <c r="TPK15" s="7153"/>
      <c r="TPL15" s="7153"/>
      <c r="TPM15" s="7157"/>
      <c r="TPN15" s="7157"/>
      <c r="TPO15" s="7157"/>
      <c r="TPP15" s="7157"/>
      <c r="TPQ15" s="7157"/>
      <c r="TPR15" s="7157"/>
      <c r="TPS15" s="7158"/>
      <c r="TPT15" s="7158"/>
      <c r="TPU15" s="7158"/>
      <c r="TPV15" s="7158"/>
      <c r="TPW15" s="7158"/>
      <c r="TPX15" s="7159"/>
      <c r="TPY15" s="7152"/>
      <c r="TPZ15" s="7153"/>
      <c r="TQA15" s="7153"/>
      <c r="TQB15" s="7153"/>
      <c r="TQC15" s="7157"/>
      <c r="TQD15" s="7157"/>
      <c r="TQE15" s="7157"/>
      <c r="TQF15" s="7157"/>
      <c r="TQG15" s="7157"/>
      <c r="TQH15" s="7157"/>
      <c r="TQI15" s="7158"/>
      <c r="TQJ15" s="7158"/>
      <c r="TQK15" s="7158"/>
      <c r="TQL15" s="7158"/>
      <c r="TQM15" s="7158"/>
      <c r="TQN15" s="7159"/>
      <c r="TQO15" s="7152"/>
      <c r="TQP15" s="7153"/>
      <c r="TQQ15" s="7153"/>
      <c r="TQR15" s="7153"/>
      <c r="TQS15" s="7157"/>
      <c r="TQT15" s="7157"/>
      <c r="TQU15" s="7157"/>
      <c r="TQV15" s="7157"/>
      <c r="TQW15" s="7157"/>
      <c r="TQX15" s="7157"/>
      <c r="TQY15" s="7158"/>
      <c r="TQZ15" s="7158"/>
      <c r="TRA15" s="7158"/>
      <c r="TRB15" s="7158"/>
      <c r="TRC15" s="7158"/>
      <c r="TRD15" s="7159"/>
      <c r="TRE15" s="7152"/>
      <c r="TRF15" s="7153"/>
      <c r="TRG15" s="7153"/>
      <c r="TRH15" s="7153"/>
      <c r="TRI15" s="7157"/>
      <c r="TRJ15" s="7157"/>
      <c r="TRK15" s="7157"/>
      <c r="TRL15" s="7157"/>
      <c r="TRM15" s="7157"/>
      <c r="TRN15" s="7157"/>
      <c r="TRO15" s="7158"/>
      <c r="TRP15" s="7158"/>
      <c r="TRQ15" s="7158"/>
      <c r="TRR15" s="7158"/>
      <c r="TRS15" s="7158"/>
      <c r="TRT15" s="7159"/>
      <c r="TRU15" s="7152"/>
      <c r="TRV15" s="7153"/>
      <c r="TRW15" s="7153"/>
      <c r="TRX15" s="7153"/>
      <c r="TRY15" s="7157"/>
      <c r="TRZ15" s="7157"/>
      <c r="TSA15" s="7157"/>
      <c r="TSB15" s="7157"/>
      <c r="TSC15" s="7157"/>
      <c r="TSD15" s="7157"/>
      <c r="TSE15" s="7158"/>
      <c r="TSF15" s="7158"/>
      <c r="TSG15" s="7158"/>
      <c r="TSH15" s="7158"/>
      <c r="TSI15" s="7158"/>
      <c r="TSJ15" s="7159"/>
      <c r="TSK15" s="7152"/>
      <c r="TSL15" s="7153"/>
      <c r="TSM15" s="7153"/>
      <c r="TSN15" s="7153"/>
      <c r="TSO15" s="7157"/>
      <c r="TSP15" s="7157"/>
      <c r="TSQ15" s="7157"/>
      <c r="TSR15" s="7157"/>
      <c r="TSS15" s="7157"/>
      <c r="TST15" s="7157"/>
      <c r="TSU15" s="7158"/>
      <c r="TSV15" s="7158"/>
      <c r="TSW15" s="7158"/>
      <c r="TSX15" s="7158"/>
      <c r="TSY15" s="7158"/>
      <c r="TSZ15" s="7159"/>
      <c r="TTA15" s="7152"/>
      <c r="TTB15" s="7153"/>
      <c r="TTC15" s="7153"/>
      <c r="TTD15" s="7153"/>
      <c r="TTE15" s="7157"/>
      <c r="TTF15" s="7157"/>
      <c r="TTG15" s="7157"/>
      <c r="TTH15" s="7157"/>
      <c r="TTI15" s="7157"/>
      <c r="TTJ15" s="7157"/>
      <c r="TTK15" s="7158"/>
      <c r="TTL15" s="7158"/>
      <c r="TTM15" s="7158"/>
      <c r="TTN15" s="7158"/>
      <c r="TTO15" s="7158"/>
      <c r="TTP15" s="7159"/>
      <c r="TTQ15" s="7152"/>
      <c r="TTR15" s="7153"/>
      <c r="TTS15" s="7153"/>
      <c r="TTT15" s="7153"/>
      <c r="TTU15" s="7157"/>
      <c r="TTV15" s="7157"/>
      <c r="TTW15" s="7157"/>
      <c r="TTX15" s="7157"/>
      <c r="TTY15" s="7157"/>
      <c r="TTZ15" s="7157"/>
      <c r="TUA15" s="7158"/>
      <c r="TUB15" s="7158"/>
      <c r="TUC15" s="7158"/>
      <c r="TUD15" s="7158"/>
      <c r="TUE15" s="7158"/>
      <c r="TUF15" s="7159"/>
      <c r="TUG15" s="7152"/>
      <c r="TUH15" s="7153"/>
      <c r="TUI15" s="7153"/>
      <c r="TUJ15" s="7153"/>
      <c r="TUK15" s="7157"/>
      <c r="TUL15" s="7157"/>
      <c r="TUM15" s="7157"/>
      <c r="TUN15" s="7157"/>
      <c r="TUO15" s="7157"/>
      <c r="TUP15" s="7157"/>
      <c r="TUQ15" s="7158"/>
      <c r="TUR15" s="7158"/>
      <c r="TUS15" s="7158"/>
      <c r="TUT15" s="7158"/>
      <c r="TUU15" s="7158"/>
      <c r="TUV15" s="7159"/>
      <c r="TUW15" s="7152"/>
      <c r="TUX15" s="7153"/>
      <c r="TUY15" s="7153"/>
      <c r="TUZ15" s="7153"/>
      <c r="TVA15" s="7157"/>
      <c r="TVB15" s="7157"/>
      <c r="TVC15" s="7157"/>
      <c r="TVD15" s="7157"/>
      <c r="TVE15" s="7157"/>
      <c r="TVF15" s="7157"/>
      <c r="TVG15" s="7158"/>
      <c r="TVH15" s="7158"/>
      <c r="TVI15" s="7158"/>
      <c r="TVJ15" s="7158"/>
      <c r="TVK15" s="7158"/>
      <c r="TVL15" s="7159"/>
      <c r="TVM15" s="7152"/>
      <c r="TVN15" s="7153"/>
      <c r="TVO15" s="7153"/>
      <c r="TVP15" s="7153"/>
      <c r="TVQ15" s="7157"/>
      <c r="TVR15" s="7157"/>
      <c r="TVS15" s="7157"/>
      <c r="TVT15" s="7157"/>
      <c r="TVU15" s="7157"/>
      <c r="TVV15" s="7157"/>
      <c r="TVW15" s="7158"/>
      <c r="TVX15" s="7158"/>
      <c r="TVY15" s="7158"/>
      <c r="TVZ15" s="7158"/>
      <c r="TWA15" s="7158"/>
      <c r="TWB15" s="7159"/>
      <c r="TWC15" s="7152"/>
      <c r="TWD15" s="7153"/>
      <c r="TWE15" s="7153"/>
      <c r="TWF15" s="7153"/>
      <c r="TWG15" s="7157"/>
      <c r="TWH15" s="7157"/>
      <c r="TWI15" s="7157"/>
      <c r="TWJ15" s="7157"/>
      <c r="TWK15" s="7157"/>
      <c r="TWL15" s="7157"/>
      <c r="TWM15" s="7158"/>
      <c r="TWN15" s="7158"/>
      <c r="TWO15" s="7158"/>
      <c r="TWP15" s="7158"/>
      <c r="TWQ15" s="7158"/>
      <c r="TWR15" s="7159"/>
      <c r="TWS15" s="7152"/>
      <c r="TWT15" s="7153"/>
      <c r="TWU15" s="7153"/>
      <c r="TWV15" s="7153"/>
      <c r="TWW15" s="7157"/>
      <c r="TWX15" s="7157"/>
      <c r="TWY15" s="7157"/>
      <c r="TWZ15" s="7157"/>
      <c r="TXA15" s="7157"/>
      <c r="TXB15" s="7157"/>
      <c r="TXC15" s="7158"/>
      <c r="TXD15" s="7158"/>
      <c r="TXE15" s="7158"/>
      <c r="TXF15" s="7158"/>
      <c r="TXG15" s="7158"/>
      <c r="TXH15" s="7159"/>
      <c r="TXI15" s="7152"/>
      <c r="TXJ15" s="7153"/>
      <c r="TXK15" s="7153"/>
      <c r="TXL15" s="7153"/>
      <c r="TXM15" s="7157"/>
      <c r="TXN15" s="7157"/>
      <c r="TXO15" s="7157"/>
      <c r="TXP15" s="7157"/>
      <c r="TXQ15" s="7157"/>
      <c r="TXR15" s="7157"/>
      <c r="TXS15" s="7158"/>
      <c r="TXT15" s="7158"/>
      <c r="TXU15" s="7158"/>
      <c r="TXV15" s="7158"/>
      <c r="TXW15" s="7158"/>
      <c r="TXX15" s="7159"/>
      <c r="TXY15" s="7152"/>
      <c r="TXZ15" s="7153"/>
      <c r="TYA15" s="7153"/>
      <c r="TYB15" s="7153"/>
      <c r="TYC15" s="7157"/>
      <c r="TYD15" s="7157"/>
      <c r="TYE15" s="7157"/>
      <c r="TYF15" s="7157"/>
      <c r="TYG15" s="7157"/>
      <c r="TYH15" s="7157"/>
      <c r="TYI15" s="7158"/>
      <c r="TYJ15" s="7158"/>
      <c r="TYK15" s="7158"/>
      <c r="TYL15" s="7158"/>
      <c r="TYM15" s="7158"/>
      <c r="TYN15" s="7159"/>
      <c r="TYO15" s="7152"/>
      <c r="TYP15" s="7153"/>
      <c r="TYQ15" s="7153"/>
      <c r="TYR15" s="7153"/>
      <c r="TYS15" s="7157"/>
      <c r="TYT15" s="7157"/>
      <c r="TYU15" s="7157"/>
      <c r="TYV15" s="7157"/>
      <c r="TYW15" s="7157"/>
      <c r="TYX15" s="7157"/>
      <c r="TYY15" s="7158"/>
      <c r="TYZ15" s="7158"/>
      <c r="TZA15" s="7158"/>
      <c r="TZB15" s="7158"/>
      <c r="TZC15" s="7158"/>
      <c r="TZD15" s="7159"/>
      <c r="TZE15" s="7152"/>
      <c r="TZF15" s="7153"/>
      <c r="TZG15" s="7153"/>
      <c r="TZH15" s="7153"/>
      <c r="TZI15" s="7157"/>
      <c r="TZJ15" s="7157"/>
      <c r="TZK15" s="7157"/>
      <c r="TZL15" s="7157"/>
      <c r="TZM15" s="7157"/>
      <c r="TZN15" s="7157"/>
      <c r="TZO15" s="7158"/>
      <c r="TZP15" s="7158"/>
      <c r="TZQ15" s="7158"/>
      <c r="TZR15" s="7158"/>
      <c r="TZS15" s="7158"/>
      <c r="TZT15" s="7159"/>
      <c r="TZU15" s="7152"/>
      <c r="TZV15" s="7153"/>
      <c r="TZW15" s="7153"/>
      <c r="TZX15" s="7153"/>
      <c r="TZY15" s="7157"/>
      <c r="TZZ15" s="7157"/>
      <c r="UAA15" s="7157"/>
      <c r="UAB15" s="7157"/>
      <c r="UAC15" s="7157"/>
      <c r="UAD15" s="7157"/>
      <c r="UAE15" s="7158"/>
      <c r="UAF15" s="7158"/>
      <c r="UAG15" s="7158"/>
      <c r="UAH15" s="7158"/>
      <c r="UAI15" s="7158"/>
      <c r="UAJ15" s="7159"/>
      <c r="UAK15" s="7152"/>
      <c r="UAL15" s="7153"/>
      <c r="UAM15" s="7153"/>
      <c r="UAN15" s="7153"/>
      <c r="UAO15" s="7157"/>
      <c r="UAP15" s="7157"/>
      <c r="UAQ15" s="7157"/>
      <c r="UAR15" s="7157"/>
      <c r="UAS15" s="7157"/>
      <c r="UAT15" s="7157"/>
      <c r="UAU15" s="7158"/>
      <c r="UAV15" s="7158"/>
      <c r="UAW15" s="7158"/>
      <c r="UAX15" s="7158"/>
      <c r="UAY15" s="7158"/>
      <c r="UAZ15" s="7159"/>
      <c r="UBA15" s="7152"/>
      <c r="UBB15" s="7153"/>
      <c r="UBC15" s="7153"/>
      <c r="UBD15" s="7153"/>
      <c r="UBE15" s="7157"/>
      <c r="UBF15" s="7157"/>
      <c r="UBG15" s="7157"/>
      <c r="UBH15" s="7157"/>
      <c r="UBI15" s="7157"/>
      <c r="UBJ15" s="7157"/>
      <c r="UBK15" s="7158"/>
      <c r="UBL15" s="7158"/>
      <c r="UBM15" s="7158"/>
      <c r="UBN15" s="7158"/>
      <c r="UBO15" s="7158"/>
      <c r="UBP15" s="7159"/>
      <c r="UBQ15" s="7152"/>
      <c r="UBR15" s="7153"/>
      <c r="UBS15" s="7153"/>
      <c r="UBT15" s="7153"/>
      <c r="UBU15" s="7157"/>
      <c r="UBV15" s="7157"/>
      <c r="UBW15" s="7157"/>
      <c r="UBX15" s="7157"/>
      <c r="UBY15" s="7157"/>
      <c r="UBZ15" s="7157"/>
      <c r="UCA15" s="7158"/>
      <c r="UCB15" s="7158"/>
      <c r="UCC15" s="7158"/>
      <c r="UCD15" s="7158"/>
      <c r="UCE15" s="7158"/>
      <c r="UCF15" s="7159"/>
      <c r="UCG15" s="7152"/>
      <c r="UCH15" s="7153"/>
      <c r="UCI15" s="7153"/>
      <c r="UCJ15" s="7153"/>
      <c r="UCK15" s="7157"/>
      <c r="UCL15" s="7157"/>
      <c r="UCM15" s="7157"/>
      <c r="UCN15" s="7157"/>
      <c r="UCO15" s="7157"/>
      <c r="UCP15" s="7157"/>
      <c r="UCQ15" s="7158"/>
      <c r="UCR15" s="7158"/>
      <c r="UCS15" s="7158"/>
      <c r="UCT15" s="7158"/>
      <c r="UCU15" s="7158"/>
      <c r="UCV15" s="7159"/>
      <c r="UCW15" s="7152"/>
      <c r="UCX15" s="7153"/>
      <c r="UCY15" s="7153"/>
      <c r="UCZ15" s="7153"/>
      <c r="UDA15" s="7157"/>
      <c r="UDB15" s="7157"/>
      <c r="UDC15" s="7157"/>
      <c r="UDD15" s="7157"/>
      <c r="UDE15" s="7157"/>
      <c r="UDF15" s="7157"/>
      <c r="UDG15" s="7158"/>
      <c r="UDH15" s="7158"/>
      <c r="UDI15" s="7158"/>
      <c r="UDJ15" s="7158"/>
      <c r="UDK15" s="7158"/>
      <c r="UDL15" s="7159"/>
      <c r="UDM15" s="7152"/>
      <c r="UDN15" s="7153"/>
      <c r="UDO15" s="7153"/>
      <c r="UDP15" s="7153"/>
      <c r="UDQ15" s="7157"/>
      <c r="UDR15" s="7157"/>
      <c r="UDS15" s="7157"/>
      <c r="UDT15" s="7157"/>
      <c r="UDU15" s="7157"/>
      <c r="UDV15" s="7157"/>
      <c r="UDW15" s="7158"/>
      <c r="UDX15" s="7158"/>
      <c r="UDY15" s="7158"/>
      <c r="UDZ15" s="7158"/>
      <c r="UEA15" s="7158"/>
      <c r="UEB15" s="7159"/>
      <c r="UEC15" s="7152"/>
      <c r="UED15" s="7153"/>
      <c r="UEE15" s="7153"/>
      <c r="UEF15" s="7153"/>
      <c r="UEG15" s="7157"/>
      <c r="UEH15" s="7157"/>
      <c r="UEI15" s="7157"/>
      <c r="UEJ15" s="7157"/>
      <c r="UEK15" s="7157"/>
      <c r="UEL15" s="7157"/>
      <c r="UEM15" s="7158"/>
      <c r="UEN15" s="7158"/>
      <c r="UEO15" s="7158"/>
      <c r="UEP15" s="7158"/>
      <c r="UEQ15" s="7158"/>
      <c r="UER15" s="7159"/>
      <c r="UES15" s="7152"/>
      <c r="UET15" s="7153"/>
      <c r="UEU15" s="7153"/>
      <c r="UEV15" s="7153"/>
      <c r="UEW15" s="7157"/>
      <c r="UEX15" s="7157"/>
      <c r="UEY15" s="7157"/>
      <c r="UEZ15" s="7157"/>
      <c r="UFA15" s="7157"/>
      <c r="UFB15" s="7157"/>
      <c r="UFC15" s="7158"/>
      <c r="UFD15" s="7158"/>
      <c r="UFE15" s="7158"/>
      <c r="UFF15" s="7158"/>
      <c r="UFG15" s="7158"/>
      <c r="UFH15" s="7159"/>
      <c r="UFI15" s="7152"/>
      <c r="UFJ15" s="7153"/>
      <c r="UFK15" s="7153"/>
      <c r="UFL15" s="7153"/>
      <c r="UFM15" s="7157"/>
      <c r="UFN15" s="7157"/>
      <c r="UFO15" s="7157"/>
      <c r="UFP15" s="7157"/>
      <c r="UFQ15" s="7157"/>
      <c r="UFR15" s="7157"/>
      <c r="UFS15" s="7158"/>
      <c r="UFT15" s="7158"/>
      <c r="UFU15" s="7158"/>
      <c r="UFV15" s="7158"/>
      <c r="UFW15" s="7158"/>
      <c r="UFX15" s="7159"/>
      <c r="UFY15" s="7152"/>
      <c r="UFZ15" s="7153"/>
      <c r="UGA15" s="7153"/>
      <c r="UGB15" s="7153"/>
      <c r="UGC15" s="7157"/>
      <c r="UGD15" s="7157"/>
      <c r="UGE15" s="7157"/>
      <c r="UGF15" s="7157"/>
      <c r="UGG15" s="7157"/>
      <c r="UGH15" s="7157"/>
      <c r="UGI15" s="7158"/>
      <c r="UGJ15" s="7158"/>
      <c r="UGK15" s="7158"/>
      <c r="UGL15" s="7158"/>
      <c r="UGM15" s="7158"/>
      <c r="UGN15" s="7159"/>
      <c r="UGO15" s="7152"/>
      <c r="UGP15" s="7153"/>
      <c r="UGQ15" s="7153"/>
      <c r="UGR15" s="7153"/>
      <c r="UGS15" s="7157"/>
      <c r="UGT15" s="7157"/>
      <c r="UGU15" s="7157"/>
      <c r="UGV15" s="7157"/>
      <c r="UGW15" s="7157"/>
      <c r="UGX15" s="7157"/>
      <c r="UGY15" s="7158"/>
      <c r="UGZ15" s="7158"/>
      <c r="UHA15" s="7158"/>
      <c r="UHB15" s="7158"/>
      <c r="UHC15" s="7158"/>
      <c r="UHD15" s="7159"/>
      <c r="UHE15" s="7152"/>
      <c r="UHF15" s="7153"/>
      <c r="UHG15" s="7153"/>
      <c r="UHH15" s="7153"/>
      <c r="UHI15" s="7157"/>
      <c r="UHJ15" s="7157"/>
      <c r="UHK15" s="7157"/>
      <c r="UHL15" s="7157"/>
      <c r="UHM15" s="7157"/>
      <c r="UHN15" s="7157"/>
      <c r="UHO15" s="7158"/>
      <c r="UHP15" s="7158"/>
      <c r="UHQ15" s="7158"/>
      <c r="UHR15" s="7158"/>
      <c r="UHS15" s="7158"/>
      <c r="UHT15" s="7159"/>
      <c r="UHU15" s="7152"/>
      <c r="UHV15" s="7153"/>
      <c r="UHW15" s="7153"/>
      <c r="UHX15" s="7153"/>
      <c r="UHY15" s="7157"/>
      <c r="UHZ15" s="7157"/>
      <c r="UIA15" s="7157"/>
      <c r="UIB15" s="7157"/>
      <c r="UIC15" s="7157"/>
      <c r="UID15" s="7157"/>
      <c r="UIE15" s="7158"/>
      <c r="UIF15" s="7158"/>
      <c r="UIG15" s="7158"/>
      <c r="UIH15" s="7158"/>
      <c r="UII15" s="7158"/>
      <c r="UIJ15" s="7159"/>
      <c r="UIK15" s="7152"/>
      <c r="UIL15" s="7153"/>
      <c r="UIM15" s="7153"/>
      <c r="UIN15" s="7153"/>
      <c r="UIO15" s="7157"/>
      <c r="UIP15" s="7157"/>
      <c r="UIQ15" s="7157"/>
      <c r="UIR15" s="7157"/>
      <c r="UIS15" s="7157"/>
      <c r="UIT15" s="7157"/>
      <c r="UIU15" s="7158"/>
      <c r="UIV15" s="7158"/>
      <c r="UIW15" s="7158"/>
      <c r="UIX15" s="7158"/>
      <c r="UIY15" s="7158"/>
      <c r="UIZ15" s="7159"/>
      <c r="UJA15" s="7152"/>
      <c r="UJB15" s="7153"/>
      <c r="UJC15" s="7153"/>
      <c r="UJD15" s="7153"/>
      <c r="UJE15" s="7157"/>
      <c r="UJF15" s="7157"/>
      <c r="UJG15" s="7157"/>
      <c r="UJH15" s="7157"/>
      <c r="UJI15" s="7157"/>
      <c r="UJJ15" s="7157"/>
      <c r="UJK15" s="7158"/>
      <c r="UJL15" s="7158"/>
      <c r="UJM15" s="7158"/>
      <c r="UJN15" s="7158"/>
      <c r="UJO15" s="7158"/>
      <c r="UJP15" s="7159"/>
      <c r="UJQ15" s="7152"/>
      <c r="UJR15" s="7153"/>
      <c r="UJS15" s="7153"/>
      <c r="UJT15" s="7153"/>
      <c r="UJU15" s="7157"/>
      <c r="UJV15" s="7157"/>
      <c r="UJW15" s="7157"/>
      <c r="UJX15" s="7157"/>
      <c r="UJY15" s="7157"/>
      <c r="UJZ15" s="7157"/>
      <c r="UKA15" s="7158"/>
      <c r="UKB15" s="7158"/>
      <c r="UKC15" s="7158"/>
      <c r="UKD15" s="7158"/>
      <c r="UKE15" s="7158"/>
      <c r="UKF15" s="7159"/>
      <c r="UKG15" s="7152"/>
      <c r="UKH15" s="7153"/>
      <c r="UKI15" s="7153"/>
      <c r="UKJ15" s="7153"/>
      <c r="UKK15" s="7157"/>
      <c r="UKL15" s="7157"/>
      <c r="UKM15" s="7157"/>
      <c r="UKN15" s="7157"/>
      <c r="UKO15" s="7157"/>
      <c r="UKP15" s="7157"/>
      <c r="UKQ15" s="7158"/>
      <c r="UKR15" s="7158"/>
      <c r="UKS15" s="7158"/>
      <c r="UKT15" s="7158"/>
      <c r="UKU15" s="7158"/>
      <c r="UKV15" s="7159"/>
      <c r="UKW15" s="7152"/>
      <c r="UKX15" s="7153"/>
      <c r="UKY15" s="7153"/>
      <c r="UKZ15" s="7153"/>
      <c r="ULA15" s="7157"/>
      <c r="ULB15" s="7157"/>
      <c r="ULC15" s="7157"/>
      <c r="ULD15" s="7157"/>
      <c r="ULE15" s="7157"/>
      <c r="ULF15" s="7157"/>
      <c r="ULG15" s="7158"/>
      <c r="ULH15" s="7158"/>
      <c r="ULI15" s="7158"/>
      <c r="ULJ15" s="7158"/>
      <c r="ULK15" s="7158"/>
      <c r="ULL15" s="7159"/>
      <c r="ULM15" s="7152"/>
      <c r="ULN15" s="7153"/>
      <c r="ULO15" s="7153"/>
      <c r="ULP15" s="7153"/>
      <c r="ULQ15" s="7157"/>
      <c r="ULR15" s="7157"/>
      <c r="ULS15" s="7157"/>
      <c r="ULT15" s="7157"/>
      <c r="ULU15" s="7157"/>
      <c r="ULV15" s="7157"/>
      <c r="ULW15" s="7158"/>
      <c r="ULX15" s="7158"/>
      <c r="ULY15" s="7158"/>
      <c r="ULZ15" s="7158"/>
      <c r="UMA15" s="7158"/>
      <c r="UMB15" s="7159"/>
      <c r="UMC15" s="7152"/>
      <c r="UMD15" s="7153"/>
      <c r="UME15" s="7153"/>
      <c r="UMF15" s="7153"/>
      <c r="UMG15" s="7157"/>
      <c r="UMH15" s="7157"/>
      <c r="UMI15" s="7157"/>
      <c r="UMJ15" s="7157"/>
      <c r="UMK15" s="7157"/>
      <c r="UML15" s="7157"/>
      <c r="UMM15" s="7158"/>
      <c r="UMN15" s="7158"/>
      <c r="UMO15" s="7158"/>
      <c r="UMP15" s="7158"/>
      <c r="UMQ15" s="7158"/>
      <c r="UMR15" s="7159"/>
      <c r="UMS15" s="7152"/>
      <c r="UMT15" s="7153"/>
      <c r="UMU15" s="7153"/>
      <c r="UMV15" s="7153"/>
      <c r="UMW15" s="7157"/>
      <c r="UMX15" s="7157"/>
      <c r="UMY15" s="7157"/>
      <c r="UMZ15" s="7157"/>
      <c r="UNA15" s="7157"/>
      <c r="UNB15" s="7157"/>
      <c r="UNC15" s="7158"/>
      <c r="UND15" s="7158"/>
      <c r="UNE15" s="7158"/>
      <c r="UNF15" s="7158"/>
      <c r="UNG15" s="7158"/>
      <c r="UNH15" s="7159"/>
      <c r="UNI15" s="7152"/>
      <c r="UNJ15" s="7153"/>
      <c r="UNK15" s="7153"/>
      <c r="UNL15" s="7153"/>
      <c r="UNM15" s="7157"/>
      <c r="UNN15" s="7157"/>
      <c r="UNO15" s="7157"/>
      <c r="UNP15" s="7157"/>
      <c r="UNQ15" s="7157"/>
      <c r="UNR15" s="7157"/>
      <c r="UNS15" s="7158"/>
      <c r="UNT15" s="7158"/>
      <c r="UNU15" s="7158"/>
      <c r="UNV15" s="7158"/>
      <c r="UNW15" s="7158"/>
      <c r="UNX15" s="7159"/>
      <c r="UNY15" s="7152"/>
      <c r="UNZ15" s="7153"/>
      <c r="UOA15" s="7153"/>
      <c r="UOB15" s="7153"/>
      <c r="UOC15" s="7157"/>
      <c r="UOD15" s="7157"/>
      <c r="UOE15" s="7157"/>
      <c r="UOF15" s="7157"/>
      <c r="UOG15" s="7157"/>
      <c r="UOH15" s="7157"/>
      <c r="UOI15" s="7158"/>
      <c r="UOJ15" s="7158"/>
      <c r="UOK15" s="7158"/>
      <c r="UOL15" s="7158"/>
      <c r="UOM15" s="7158"/>
      <c r="UON15" s="7159"/>
      <c r="UOO15" s="7152"/>
      <c r="UOP15" s="7153"/>
      <c r="UOQ15" s="7153"/>
      <c r="UOR15" s="7153"/>
      <c r="UOS15" s="7157"/>
      <c r="UOT15" s="7157"/>
      <c r="UOU15" s="7157"/>
      <c r="UOV15" s="7157"/>
      <c r="UOW15" s="7157"/>
      <c r="UOX15" s="7157"/>
      <c r="UOY15" s="7158"/>
      <c r="UOZ15" s="7158"/>
      <c r="UPA15" s="7158"/>
      <c r="UPB15" s="7158"/>
      <c r="UPC15" s="7158"/>
      <c r="UPD15" s="7159"/>
      <c r="UPE15" s="7152"/>
      <c r="UPF15" s="7153"/>
      <c r="UPG15" s="7153"/>
      <c r="UPH15" s="7153"/>
      <c r="UPI15" s="7157"/>
      <c r="UPJ15" s="7157"/>
      <c r="UPK15" s="7157"/>
      <c r="UPL15" s="7157"/>
      <c r="UPM15" s="7157"/>
      <c r="UPN15" s="7157"/>
      <c r="UPO15" s="7158"/>
      <c r="UPP15" s="7158"/>
      <c r="UPQ15" s="7158"/>
      <c r="UPR15" s="7158"/>
      <c r="UPS15" s="7158"/>
      <c r="UPT15" s="7159"/>
      <c r="UPU15" s="7152"/>
      <c r="UPV15" s="7153"/>
      <c r="UPW15" s="7153"/>
      <c r="UPX15" s="7153"/>
      <c r="UPY15" s="7157"/>
      <c r="UPZ15" s="7157"/>
      <c r="UQA15" s="7157"/>
      <c r="UQB15" s="7157"/>
      <c r="UQC15" s="7157"/>
      <c r="UQD15" s="7157"/>
      <c r="UQE15" s="7158"/>
      <c r="UQF15" s="7158"/>
      <c r="UQG15" s="7158"/>
      <c r="UQH15" s="7158"/>
      <c r="UQI15" s="7158"/>
      <c r="UQJ15" s="7159"/>
      <c r="UQK15" s="7152"/>
      <c r="UQL15" s="7153"/>
      <c r="UQM15" s="7153"/>
      <c r="UQN15" s="7153"/>
      <c r="UQO15" s="7157"/>
      <c r="UQP15" s="7157"/>
      <c r="UQQ15" s="7157"/>
      <c r="UQR15" s="7157"/>
      <c r="UQS15" s="7157"/>
      <c r="UQT15" s="7157"/>
      <c r="UQU15" s="7158"/>
      <c r="UQV15" s="7158"/>
      <c r="UQW15" s="7158"/>
      <c r="UQX15" s="7158"/>
      <c r="UQY15" s="7158"/>
      <c r="UQZ15" s="7159"/>
      <c r="URA15" s="7152"/>
      <c r="URB15" s="7153"/>
      <c r="URC15" s="7153"/>
      <c r="URD15" s="7153"/>
      <c r="URE15" s="7157"/>
      <c r="URF15" s="7157"/>
      <c r="URG15" s="7157"/>
      <c r="URH15" s="7157"/>
      <c r="URI15" s="7157"/>
      <c r="URJ15" s="7157"/>
      <c r="URK15" s="7158"/>
      <c r="URL15" s="7158"/>
      <c r="URM15" s="7158"/>
      <c r="URN15" s="7158"/>
      <c r="URO15" s="7158"/>
      <c r="URP15" s="7159"/>
      <c r="URQ15" s="7152"/>
      <c r="URR15" s="7153"/>
      <c r="URS15" s="7153"/>
      <c r="URT15" s="7153"/>
      <c r="URU15" s="7157"/>
      <c r="URV15" s="7157"/>
      <c r="URW15" s="7157"/>
      <c r="URX15" s="7157"/>
      <c r="URY15" s="7157"/>
      <c r="URZ15" s="7157"/>
      <c r="USA15" s="7158"/>
      <c r="USB15" s="7158"/>
      <c r="USC15" s="7158"/>
      <c r="USD15" s="7158"/>
      <c r="USE15" s="7158"/>
      <c r="USF15" s="7159"/>
      <c r="USG15" s="7152"/>
      <c r="USH15" s="7153"/>
      <c r="USI15" s="7153"/>
      <c r="USJ15" s="7153"/>
      <c r="USK15" s="7157"/>
      <c r="USL15" s="7157"/>
      <c r="USM15" s="7157"/>
      <c r="USN15" s="7157"/>
      <c r="USO15" s="7157"/>
      <c r="USP15" s="7157"/>
      <c r="USQ15" s="7158"/>
      <c r="USR15" s="7158"/>
      <c r="USS15" s="7158"/>
      <c r="UST15" s="7158"/>
      <c r="USU15" s="7158"/>
      <c r="USV15" s="7159"/>
      <c r="USW15" s="7152"/>
      <c r="USX15" s="7153"/>
      <c r="USY15" s="7153"/>
      <c r="USZ15" s="7153"/>
      <c r="UTA15" s="7157"/>
      <c r="UTB15" s="7157"/>
      <c r="UTC15" s="7157"/>
      <c r="UTD15" s="7157"/>
      <c r="UTE15" s="7157"/>
      <c r="UTF15" s="7157"/>
      <c r="UTG15" s="7158"/>
      <c r="UTH15" s="7158"/>
      <c r="UTI15" s="7158"/>
      <c r="UTJ15" s="7158"/>
      <c r="UTK15" s="7158"/>
      <c r="UTL15" s="7159"/>
      <c r="UTM15" s="7152"/>
      <c r="UTN15" s="7153"/>
      <c r="UTO15" s="7153"/>
      <c r="UTP15" s="7153"/>
      <c r="UTQ15" s="7157"/>
      <c r="UTR15" s="7157"/>
      <c r="UTS15" s="7157"/>
      <c r="UTT15" s="7157"/>
      <c r="UTU15" s="7157"/>
      <c r="UTV15" s="7157"/>
      <c r="UTW15" s="7158"/>
      <c r="UTX15" s="7158"/>
      <c r="UTY15" s="7158"/>
      <c r="UTZ15" s="7158"/>
      <c r="UUA15" s="7158"/>
      <c r="UUB15" s="7159"/>
      <c r="UUC15" s="7152"/>
      <c r="UUD15" s="7153"/>
      <c r="UUE15" s="7153"/>
      <c r="UUF15" s="7153"/>
      <c r="UUG15" s="7157"/>
      <c r="UUH15" s="7157"/>
      <c r="UUI15" s="7157"/>
      <c r="UUJ15" s="7157"/>
      <c r="UUK15" s="7157"/>
      <c r="UUL15" s="7157"/>
      <c r="UUM15" s="7158"/>
      <c r="UUN15" s="7158"/>
      <c r="UUO15" s="7158"/>
      <c r="UUP15" s="7158"/>
      <c r="UUQ15" s="7158"/>
      <c r="UUR15" s="7159"/>
      <c r="UUS15" s="7152"/>
      <c r="UUT15" s="7153"/>
      <c r="UUU15" s="7153"/>
      <c r="UUV15" s="7153"/>
      <c r="UUW15" s="7157"/>
      <c r="UUX15" s="7157"/>
      <c r="UUY15" s="7157"/>
      <c r="UUZ15" s="7157"/>
      <c r="UVA15" s="7157"/>
      <c r="UVB15" s="7157"/>
      <c r="UVC15" s="7158"/>
      <c r="UVD15" s="7158"/>
      <c r="UVE15" s="7158"/>
      <c r="UVF15" s="7158"/>
      <c r="UVG15" s="7158"/>
      <c r="UVH15" s="7159"/>
      <c r="UVI15" s="7152"/>
      <c r="UVJ15" s="7153"/>
      <c r="UVK15" s="7153"/>
      <c r="UVL15" s="7153"/>
      <c r="UVM15" s="7157"/>
      <c r="UVN15" s="7157"/>
      <c r="UVO15" s="7157"/>
      <c r="UVP15" s="7157"/>
      <c r="UVQ15" s="7157"/>
      <c r="UVR15" s="7157"/>
      <c r="UVS15" s="7158"/>
      <c r="UVT15" s="7158"/>
      <c r="UVU15" s="7158"/>
      <c r="UVV15" s="7158"/>
      <c r="UVW15" s="7158"/>
      <c r="UVX15" s="7159"/>
      <c r="UVY15" s="7152"/>
      <c r="UVZ15" s="7153"/>
      <c r="UWA15" s="7153"/>
      <c r="UWB15" s="7153"/>
      <c r="UWC15" s="7157"/>
      <c r="UWD15" s="7157"/>
      <c r="UWE15" s="7157"/>
      <c r="UWF15" s="7157"/>
      <c r="UWG15" s="7157"/>
      <c r="UWH15" s="7157"/>
      <c r="UWI15" s="7158"/>
      <c r="UWJ15" s="7158"/>
      <c r="UWK15" s="7158"/>
      <c r="UWL15" s="7158"/>
      <c r="UWM15" s="7158"/>
      <c r="UWN15" s="7159"/>
      <c r="UWO15" s="7152"/>
      <c r="UWP15" s="7153"/>
      <c r="UWQ15" s="7153"/>
      <c r="UWR15" s="7153"/>
      <c r="UWS15" s="7157"/>
      <c r="UWT15" s="7157"/>
      <c r="UWU15" s="7157"/>
      <c r="UWV15" s="7157"/>
      <c r="UWW15" s="7157"/>
      <c r="UWX15" s="7157"/>
      <c r="UWY15" s="7158"/>
      <c r="UWZ15" s="7158"/>
      <c r="UXA15" s="7158"/>
      <c r="UXB15" s="7158"/>
      <c r="UXC15" s="7158"/>
      <c r="UXD15" s="7159"/>
      <c r="UXE15" s="7152"/>
      <c r="UXF15" s="7153"/>
      <c r="UXG15" s="7153"/>
      <c r="UXH15" s="7153"/>
      <c r="UXI15" s="7157"/>
      <c r="UXJ15" s="7157"/>
      <c r="UXK15" s="7157"/>
      <c r="UXL15" s="7157"/>
      <c r="UXM15" s="7157"/>
      <c r="UXN15" s="7157"/>
      <c r="UXO15" s="7158"/>
      <c r="UXP15" s="7158"/>
      <c r="UXQ15" s="7158"/>
      <c r="UXR15" s="7158"/>
      <c r="UXS15" s="7158"/>
      <c r="UXT15" s="7159"/>
      <c r="UXU15" s="7152"/>
      <c r="UXV15" s="7153"/>
      <c r="UXW15" s="7153"/>
      <c r="UXX15" s="7153"/>
      <c r="UXY15" s="7157"/>
      <c r="UXZ15" s="7157"/>
      <c r="UYA15" s="7157"/>
      <c r="UYB15" s="7157"/>
      <c r="UYC15" s="7157"/>
      <c r="UYD15" s="7157"/>
      <c r="UYE15" s="7158"/>
      <c r="UYF15" s="7158"/>
      <c r="UYG15" s="7158"/>
      <c r="UYH15" s="7158"/>
      <c r="UYI15" s="7158"/>
      <c r="UYJ15" s="7159"/>
      <c r="UYK15" s="7152"/>
      <c r="UYL15" s="7153"/>
      <c r="UYM15" s="7153"/>
      <c r="UYN15" s="7153"/>
      <c r="UYO15" s="7157"/>
      <c r="UYP15" s="7157"/>
      <c r="UYQ15" s="7157"/>
      <c r="UYR15" s="7157"/>
      <c r="UYS15" s="7157"/>
      <c r="UYT15" s="7157"/>
      <c r="UYU15" s="7158"/>
      <c r="UYV15" s="7158"/>
      <c r="UYW15" s="7158"/>
      <c r="UYX15" s="7158"/>
      <c r="UYY15" s="7158"/>
      <c r="UYZ15" s="7159"/>
      <c r="UZA15" s="7152"/>
      <c r="UZB15" s="7153"/>
      <c r="UZC15" s="7153"/>
      <c r="UZD15" s="7153"/>
      <c r="UZE15" s="7157"/>
      <c r="UZF15" s="7157"/>
      <c r="UZG15" s="7157"/>
      <c r="UZH15" s="7157"/>
      <c r="UZI15" s="7157"/>
      <c r="UZJ15" s="7157"/>
      <c r="UZK15" s="7158"/>
      <c r="UZL15" s="7158"/>
      <c r="UZM15" s="7158"/>
      <c r="UZN15" s="7158"/>
      <c r="UZO15" s="7158"/>
      <c r="UZP15" s="7159"/>
      <c r="UZQ15" s="7152"/>
      <c r="UZR15" s="7153"/>
      <c r="UZS15" s="7153"/>
      <c r="UZT15" s="7153"/>
      <c r="UZU15" s="7157"/>
      <c r="UZV15" s="7157"/>
      <c r="UZW15" s="7157"/>
      <c r="UZX15" s="7157"/>
      <c r="UZY15" s="7157"/>
      <c r="UZZ15" s="7157"/>
      <c r="VAA15" s="7158"/>
      <c r="VAB15" s="7158"/>
      <c r="VAC15" s="7158"/>
      <c r="VAD15" s="7158"/>
      <c r="VAE15" s="7158"/>
      <c r="VAF15" s="7159"/>
      <c r="VAG15" s="7152"/>
      <c r="VAH15" s="7153"/>
      <c r="VAI15" s="7153"/>
      <c r="VAJ15" s="7153"/>
      <c r="VAK15" s="7157"/>
      <c r="VAL15" s="7157"/>
      <c r="VAM15" s="7157"/>
      <c r="VAN15" s="7157"/>
      <c r="VAO15" s="7157"/>
      <c r="VAP15" s="7157"/>
      <c r="VAQ15" s="7158"/>
      <c r="VAR15" s="7158"/>
      <c r="VAS15" s="7158"/>
      <c r="VAT15" s="7158"/>
      <c r="VAU15" s="7158"/>
      <c r="VAV15" s="7159"/>
      <c r="VAW15" s="7152"/>
      <c r="VAX15" s="7153"/>
      <c r="VAY15" s="7153"/>
      <c r="VAZ15" s="7153"/>
      <c r="VBA15" s="7157"/>
      <c r="VBB15" s="7157"/>
      <c r="VBC15" s="7157"/>
      <c r="VBD15" s="7157"/>
      <c r="VBE15" s="7157"/>
      <c r="VBF15" s="7157"/>
      <c r="VBG15" s="7158"/>
      <c r="VBH15" s="7158"/>
      <c r="VBI15" s="7158"/>
      <c r="VBJ15" s="7158"/>
      <c r="VBK15" s="7158"/>
      <c r="VBL15" s="7159"/>
      <c r="VBM15" s="7152"/>
      <c r="VBN15" s="7153"/>
      <c r="VBO15" s="7153"/>
      <c r="VBP15" s="7153"/>
      <c r="VBQ15" s="7157"/>
      <c r="VBR15" s="7157"/>
      <c r="VBS15" s="7157"/>
      <c r="VBT15" s="7157"/>
      <c r="VBU15" s="7157"/>
      <c r="VBV15" s="7157"/>
      <c r="VBW15" s="7158"/>
      <c r="VBX15" s="7158"/>
      <c r="VBY15" s="7158"/>
      <c r="VBZ15" s="7158"/>
      <c r="VCA15" s="7158"/>
      <c r="VCB15" s="7159"/>
      <c r="VCC15" s="7152"/>
      <c r="VCD15" s="7153"/>
      <c r="VCE15" s="7153"/>
      <c r="VCF15" s="7153"/>
      <c r="VCG15" s="7157"/>
      <c r="VCH15" s="7157"/>
      <c r="VCI15" s="7157"/>
      <c r="VCJ15" s="7157"/>
      <c r="VCK15" s="7157"/>
      <c r="VCL15" s="7157"/>
      <c r="VCM15" s="7158"/>
      <c r="VCN15" s="7158"/>
      <c r="VCO15" s="7158"/>
      <c r="VCP15" s="7158"/>
      <c r="VCQ15" s="7158"/>
      <c r="VCR15" s="7159"/>
      <c r="VCS15" s="7152"/>
      <c r="VCT15" s="7153"/>
      <c r="VCU15" s="7153"/>
      <c r="VCV15" s="7153"/>
      <c r="VCW15" s="7157"/>
      <c r="VCX15" s="7157"/>
      <c r="VCY15" s="7157"/>
      <c r="VCZ15" s="7157"/>
      <c r="VDA15" s="7157"/>
      <c r="VDB15" s="7157"/>
      <c r="VDC15" s="7158"/>
      <c r="VDD15" s="7158"/>
      <c r="VDE15" s="7158"/>
      <c r="VDF15" s="7158"/>
      <c r="VDG15" s="7158"/>
      <c r="VDH15" s="7159"/>
      <c r="VDI15" s="7152"/>
      <c r="VDJ15" s="7153"/>
      <c r="VDK15" s="7153"/>
      <c r="VDL15" s="7153"/>
      <c r="VDM15" s="7157"/>
      <c r="VDN15" s="7157"/>
      <c r="VDO15" s="7157"/>
      <c r="VDP15" s="7157"/>
      <c r="VDQ15" s="7157"/>
      <c r="VDR15" s="7157"/>
      <c r="VDS15" s="7158"/>
      <c r="VDT15" s="7158"/>
      <c r="VDU15" s="7158"/>
      <c r="VDV15" s="7158"/>
      <c r="VDW15" s="7158"/>
      <c r="VDX15" s="7159"/>
      <c r="VDY15" s="7152"/>
      <c r="VDZ15" s="7153"/>
      <c r="VEA15" s="7153"/>
      <c r="VEB15" s="7153"/>
      <c r="VEC15" s="7157"/>
      <c r="VED15" s="7157"/>
      <c r="VEE15" s="7157"/>
      <c r="VEF15" s="7157"/>
      <c r="VEG15" s="7157"/>
      <c r="VEH15" s="7157"/>
      <c r="VEI15" s="7158"/>
      <c r="VEJ15" s="7158"/>
      <c r="VEK15" s="7158"/>
      <c r="VEL15" s="7158"/>
      <c r="VEM15" s="7158"/>
      <c r="VEN15" s="7159"/>
      <c r="VEO15" s="7152"/>
      <c r="VEP15" s="7153"/>
      <c r="VEQ15" s="7153"/>
      <c r="VER15" s="7153"/>
      <c r="VES15" s="7157"/>
      <c r="VET15" s="7157"/>
      <c r="VEU15" s="7157"/>
      <c r="VEV15" s="7157"/>
      <c r="VEW15" s="7157"/>
      <c r="VEX15" s="7157"/>
      <c r="VEY15" s="7158"/>
      <c r="VEZ15" s="7158"/>
      <c r="VFA15" s="7158"/>
      <c r="VFB15" s="7158"/>
      <c r="VFC15" s="7158"/>
      <c r="VFD15" s="7159"/>
      <c r="VFE15" s="7152"/>
      <c r="VFF15" s="7153"/>
      <c r="VFG15" s="7153"/>
      <c r="VFH15" s="7153"/>
      <c r="VFI15" s="7157"/>
      <c r="VFJ15" s="7157"/>
      <c r="VFK15" s="7157"/>
      <c r="VFL15" s="7157"/>
      <c r="VFM15" s="7157"/>
      <c r="VFN15" s="7157"/>
      <c r="VFO15" s="7158"/>
      <c r="VFP15" s="7158"/>
      <c r="VFQ15" s="7158"/>
      <c r="VFR15" s="7158"/>
      <c r="VFS15" s="7158"/>
      <c r="VFT15" s="7159"/>
      <c r="VFU15" s="7152"/>
      <c r="VFV15" s="7153"/>
      <c r="VFW15" s="7153"/>
      <c r="VFX15" s="7153"/>
      <c r="VFY15" s="7157"/>
      <c r="VFZ15" s="7157"/>
      <c r="VGA15" s="7157"/>
      <c r="VGB15" s="7157"/>
      <c r="VGC15" s="7157"/>
      <c r="VGD15" s="7157"/>
      <c r="VGE15" s="7158"/>
      <c r="VGF15" s="7158"/>
      <c r="VGG15" s="7158"/>
      <c r="VGH15" s="7158"/>
      <c r="VGI15" s="7158"/>
      <c r="VGJ15" s="7159"/>
      <c r="VGK15" s="7152"/>
      <c r="VGL15" s="7153"/>
      <c r="VGM15" s="7153"/>
      <c r="VGN15" s="7153"/>
      <c r="VGO15" s="7157"/>
      <c r="VGP15" s="7157"/>
      <c r="VGQ15" s="7157"/>
      <c r="VGR15" s="7157"/>
      <c r="VGS15" s="7157"/>
      <c r="VGT15" s="7157"/>
      <c r="VGU15" s="7158"/>
      <c r="VGV15" s="7158"/>
      <c r="VGW15" s="7158"/>
      <c r="VGX15" s="7158"/>
      <c r="VGY15" s="7158"/>
      <c r="VGZ15" s="7159"/>
      <c r="VHA15" s="7152"/>
      <c r="VHB15" s="7153"/>
      <c r="VHC15" s="7153"/>
      <c r="VHD15" s="7153"/>
      <c r="VHE15" s="7157"/>
      <c r="VHF15" s="7157"/>
      <c r="VHG15" s="7157"/>
      <c r="VHH15" s="7157"/>
      <c r="VHI15" s="7157"/>
      <c r="VHJ15" s="7157"/>
      <c r="VHK15" s="7158"/>
      <c r="VHL15" s="7158"/>
      <c r="VHM15" s="7158"/>
      <c r="VHN15" s="7158"/>
      <c r="VHO15" s="7158"/>
      <c r="VHP15" s="7159"/>
      <c r="VHQ15" s="7152"/>
      <c r="VHR15" s="7153"/>
      <c r="VHS15" s="7153"/>
      <c r="VHT15" s="7153"/>
      <c r="VHU15" s="7157"/>
      <c r="VHV15" s="7157"/>
      <c r="VHW15" s="7157"/>
      <c r="VHX15" s="7157"/>
      <c r="VHY15" s="7157"/>
      <c r="VHZ15" s="7157"/>
      <c r="VIA15" s="7158"/>
      <c r="VIB15" s="7158"/>
      <c r="VIC15" s="7158"/>
      <c r="VID15" s="7158"/>
      <c r="VIE15" s="7158"/>
      <c r="VIF15" s="7159"/>
      <c r="VIG15" s="7152"/>
      <c r="VIH15" s="7153"/>
      <c r="VII15" s="7153"/>
      <c r="VIJ15" s="7153"/>
      <c r="VIK15" s="7157"/>
      <c r="VIL15" s="7157"/>
      <c r="VIM15" s="7157"/>
      <c r="VIN15" s="7157"/>
      <c r="VIO15" s="7157"/>
      <c r="VIP15" s="7157"/>
      <c r="VIQ15" s="7158"/>
      <c r="VIR15" s="7158"/>
      <c r="VIS15" s="7158"/>
      <c r="VIT15" s="7158"/>
      <c r="VIU15" s="7158"/>
      <c r="VIV15" s="7159"/>
      <c r="VIW15" s="7152"/>
      <c r="VIX15" s="7153"/>
      <c r="VIY15" s="7153"/>
      <c r="VIZ15" s="7153"/>
      <c r="VJA15" s="7157"/>
      <c r="VJB15" s="7157"/>
      <c r="VJC15" s="7157"/>
      <c r="VJD15" s="7157"/>
      <c r="VJE15" s="7157"/>
      <c r="VJF15" s="7157"/>
      <c r="VJG15" s="7158"/>
      <c r="VJH15" s="7158"/>
      <c r="VJI15" s="7158"/>
      <c r="VJJ15" s="7158"/>
      <c r="VJK15" s="7158"/>
      <c r="VJL15" s="7159"/>
      <c r="VJM15" s="7152"/>
      <c r="VJN15" s="7153"/>
      <c r="VJO15" s="7153"/>
      <c r="VJP15" s="7153"/>
      <c r="VJQ15" s="7157"/>
      <c r="VJR15" s="7157"/>
      <c r="VJS15" s="7157"/>
      <c r="VJT15" s="7157"/>
      <c r="VJU15" s="7157"/>
      <c r="VJV15" s="7157"/>
      <c r="VJW15" s="7158"/>
      <c r="VJX15" s="7158"/>
      <c r="VJY15" s="7158"/>
      <c r="VJZ15" s="7158"/>
      <c r="VKA15" s="7158"/>
      <c r="VKB15" s="7159"/>
      <c r="VKC15" s="7152"/>
      <c r="VKD15" s="7153"/>
      <c r="VKE15" s="7153"/>
      <c r="VKF15" s="7153"/>
      <c r="VKG15" s="7157"/>
      <c r="VKH15" s="7157"/>
      <c r="VKI15" s="7157"/>
      <c r="VKJ15" s="7157"/>
      <c r="VKK15" s="7157"/>
      <c r="VKL15" s="7157"/>
      <c r="VKM15" s="7158"/>
      <c r="VKN15" s="7158"/>
      <c r="VKO15" s="7158"/>
      <c r="VKP15" s="7158"/>
      <c r="VKQ15" s="7158"/>
      <c r="VKR15" s="7159"/>
      <c r="VKS15" s="7152"/>
      <c r="VKT15" s="7153"/>
      <c r="VKU15" s="7153"/>
      <c r="VKV15" s="7153"/>
      <c r="VKW15" s="7157"/>
      <c r="VKX15" s="7157"/>
      <c r="VKY15" s="7157"/>
      <c r="VKZ15" s="7157"/>
      <c r="VLA15" s="7157"/>
      <c r="VLB15" s="7157"/>
      <c r="VLC15" s="7158"/>
      <c r="VLD15" s="7158"/>
      <c r="VLE15" s="7158"/>
      <c r="VLF15" s="7158"/>
      <c r="VLG15" s="7158"/>
      <c r="VLH15" s="7159"/>
      <c r="VLI15" s="7152"/>
      <c r="VLJ15" s="7153"/>
      <c r="VLK15" s="7153"/>
      <c r="VLL15" s="7153"/>
      <c r="VLM15" s="7157"/>
      <c r="VLN15" s="7157"/>
      <c r="VLO15" s="7157"/>
      <c r="VLP15" s="7157"/>
      <c r="VLQ15" s="7157"/>
      <c r="VLR15" s="7157"/>
      <c r="VLS15" s="7158"/>
      <c r="VLT15" s="7158"/>
      <c r="VLU15" s="7158"/>
      <c r="VLV15" s="7158"/>
      <c r="VLW15" s="7158"/>
      <c r="VLX15" s="7159"/>
      <c r="VLY15" s="7152"/>
      <c r="VLZ15" s="7153"/>
      <c r="VMA15" s="7153"/>
      <c r="VMB15" s="7153"/>
      <c r="VMC15" s="7157"/>
      <c r="VMD15" s="7157"/>
      <c r="VME15" s="7157"/>
      <c r="VMF15" s="7157"/>
      <c r="VMG15" s="7157"/>
      <c r="VMH15" s="7157"/>
      <c r="VMI15" s="7158"/>
      <c r="VMJ15" s="7158"/>
      <c r="VMK15" s="7158"/>
      <c r="VML15" s="7158"/>
      <c r="VMM15" s="7158"/>
      <c r="VMN15" s="7159"/>
      <c r="VMO15" s="7152"/>
      <c r="VMP15" s="7153"/>
      <c r="VMQ15" s="7153"/>
      <c r="VMR15" s="7153"/>
      <c r="VMS15" s="7157"/>
      <c r="VMT15" s="7157"/>
      <c r="VMU15" s="7157"/>
      <c r="VMV15" s="7157"/>
      <c r="VMW15" s="7157"/>
      <c r="VMX15" s="7157"/>
      <c r="VMY15" s="7158"/>
      <c r="VMZ15" s="7158"/>
      <c r="VNA15" s="7158"/>
      <c r="VNB15" s="7158"/>
      <c r="VNC15" s="7158"/>
      <c r="VND15" s="7159"/>
      <c r="VNE15" s="7152"/>
      <c r="VNF15" s="7153"/>
      <c r="VNG15" s="7153"/>
      <c r="VNH15" s="7153"/>
      <c r="VNI15" s="7157"/>
      <c r="VNJ15" s="7157"/>
      <c r="VNK15" s="7157"/>
      <c r="VNL15" s="7157"/>
      <c r="VNM15" s="7157"/>
      <c r="VNN15" s="7157"/>
      <c r="VNO15" s="7158"/>
      <c r="VNP15" s="7158"/>
      <c r="VNQ15" s="7158"/>
      <c r="VNR15" s="7158"/>
      <c r="VNS15" s="7158"/>
      <c r="VNT15" s="7159"/>
      <c r="VNU15" s="7152"/>
      <c r="VNV15" s="7153"/>
      <c r="VNW15" s="7153"/>
      <c r="VNX15" s="7153"/>
      <c r="VNY15" s="7157"/>
      <c r="VNZ15" s="7157"/>
      <c r="VOA15" s="7157"/>
      <c r="VOB15" s="7157"/>
      <c r="VOC15" s="7157"/>
      <c r="VOD15" s="7157"/>
      <c r="VOE15" s="7158"/>
      <c r="VOF15" s="7158"/>
      <c r="VOG15" s="7158"/>
      <c r="VOH15" s="7158"/>
      <c r="VOI15" s="7158"/>
      <c r="VOJ15" s="7159"/>
      <c r="VOK15" s="7152"/>
      <c r="VOL15" s="7153"/>
      <c r="VOM15" s="7153"/>
      <c r="VON15" s="7153"/>
      <c r="VOO15" s="7157"/>
      <c r="VOP15" s="7157"/>
      <c r="VOQ15" s="7157"/>
      <c r="VOR15" s="7157"/>
      <c r="VOS15" s="7157"/>
      <c r="VOT15" s="7157"/>
      <c r="VOU15" s="7158"/>
      <c r="VOV15" s="7158"/>
      <c r="VOW15" s="7158"/>
      <c r="VOX15" s="7158"/>
      <c r="VOY15" s="7158"/>
      <c r="VOZ15" s="7159"/>
      <c r="VPA15" s="7152"/>
      <c r="VPB15" s="7153"/>
      <c r="VPC15" s="7153"/>
      <c r="VPD15" s="7153"/>
      <c r="VPE15" s="7157"/>
      <c r="VPF15" s="7157"/>
      <c r="VPG15" s="7157"/>
      <c r="VPH15" s="7157"/>
      <c r="VPI15" s="7157"/>
      <c r="VPJ15" s="7157"/>
      <c r="VPK15" s="7158"/>
      <c r="VPL15" s="7158"/>
      <c r="VPM15" s="7158"/>
      <c r="VPN15" s="7158"/>
      <c r="VPO15" s="7158"/>
      <c r="VPP15" s="7159"/>
      <c r="VPQ15" s="7152"/>
      <c r="VPR15" s="7153"/>
      <c r="VPS15" s="7153"/>
      <c r="VPT15" s="7153"/>
      <c r="VPU15" s="7157"/>
      <c r="VPV15" s="7157"/>
      <c r="VPW15" s="7157"/>
      <c r="VPX15" s="7157"/>
      <c r="VPY15" s="7157"/>
      <c r="VPZ15" s="7157"/>
      <c r="VQA15" s="7158"/>
      <c r="VQB15" s="7158"/>
      <c r="VQC15" s="7158"/>
      <c r="VQD15" s="7158"/>
      <c r="VQE15" s="7158"/>
      <c r="VQF15" s="7159"/>
      <c r="VQG15" s="7152"/>
      <c r="VQH15" s="7153"/>
      <c r="VQI15" s="7153"/>
      <c r="VQJ15" s="7153"/>
      <c r="VQK15" s="7157"/>
      <c r="VQL15" s="7157"/>
      <c r="VQM15" s="7157"/>
      <c r="VQN15" s="7157"/>
      <c r="VQO15" s="7157"/>
      <c r="VQP15" s="7157"/>
      <c r="VQQ15" s="7158"/>
      <c r="VQR15" s="7158"/>
      <c r="VQS15" s="7158"/>
      <c r="VQT15" s="7158"/>
      <c r="VQU15" s="7158"/>
      <c r="VQV15" s="7159"/>
      <c r="VQW15" s="7152"/>
      <c r="VQX15" s="7153"/>
      <c r="VQY15" s="7153"/>
      <c r="VQZ15" s="7153"/>
      <c r="VRA15" s="7157"/>
      <c r="VRB15" s="7157"/>
      <c r="VRC15" s="7157"/>
      <c r="VRD15" s="7157"/>
      <c r="VRE15" s="7157"/>
      <c r="VRF15" s="7157"/>
      <c r="VRG15" s="7158"/>
      <c r="VRH15" s="7158"/>
      <c r="VRI15" s="7158"/>
      <c r="VRJ15" s="7158"/>
      <c r="VRK15" s="7158"/>
      <c r="VRL15" s="7159"/>
      <c r="VRM15" s="7152"/>
      <c r="VRN15" s="7153"/>
      <c r="VRO15" s="7153"/>
      <c r="VRP15" s="7153"/>
      <c r="VRQ15" s="7157"/>
      <c r="VRR15" s="7157"/>
      <c r="VRS15" s="7157"/>
      <c r="VRT15" s="7157"/>
      <c r="VRU15" s="7157"/>
      <c r="VRV15" s="7157"/>
      <c r="VRW15" s="7158"/>
      <c r="VRX15" s="7158"/>
      <c r="VRY15" s="7158"/>
      <c r="VRZ15" s="7158"/>
      <c r="VSA15" s="7158"/>
      <c r="VSB15" s="7159"/>
      <c r="VSC15" s="7152"/>
      <c r="VSD15" s="7153"/>
      <c r="VSE15" s="7153"/>
      <c r="VSF15" s="7153"/>
      <c r="VSG15" s="7157"/>
      <c r="VSH15" s="7157"/>
      <c r="VSI15" s="7157"/>
      <c r="VSJ15" s="7157"/>
      <c r="VSK15" s="7157"/>
      <c r="VSL15" s="7157"/>
      <c r="VSM15" s="7158"/>
      <c r="VSN15" s="7158"/>
      <c r="VSO15" s="7158"/>
      <c r="VSP15" s="7158"/>
      <c r="VSQ15" s="7158"/>
      <c r="VSR15" s="7159"/>
      <c r="VSS15" s="7152"/>
      <c r="VST15" s="7153"/>
      <c r="VSU15" s="7153"/>
      <c r="VSV15" s="7153"/>
      <c r="VSW15" s="7157"/>
      <c r="VSX15" s="7157"/>
      <c r="VSY15" s="7157"/>
      <c r="VSZ15" s="7157"/>
      <c r="VTA15" s="7157"/>
      <c r="VTB15" s="7157"/>
      <c r="VTC15" s="7158"/>
      <c r="VTD15" s="7158"/>
      <c r="VTE15" s="7158"/>
      <c r="VTF15" s="7158"/>
      <c r="VTG15" s="7158"/>
      <c r="VTH15" s="7159"/>
      <c r="VTI15" s="7152"/>
      <c r="VTJ15" s="7153"/>
      <c r="VTK15" s="7153"/>
      <c r="VTL15" s="7153"/>
      <c r="VTM15" s="7157"/>
      <c r="VTN15" s="7157"/>
      <c r="VTO15" s="7157"/>
      <c r="VTP15" s="7157"/>
      <c r="VTQ15" s="7157"/>
      <c r="VTR15" s="7157"/>
      <c r="VTS15" s="7158"/>
      <c r="VTT15" s="7158"/>
      <c r="VTU15" s="7158"/>
      <c r="VTV15" s="7158"/>
      <c r="VTW15" s="7158"/>
      <c r="VTX15" s="7159"/>
      <c r="VTY15" s="7152"/>
      <c r="VTZ15" s="7153"/>
      <c r="VUA15" s="7153"/>
      <c r="VUB15" s="7153"/>
      <c r="VUC15" s="7157"/>
      <c r="VUD15" s="7157"/>
      <c r="VUE15" s="7157"/>
      <c r="VUF15" s="7157"/>
      <c r="VUG15" s="7157"/>
      <c r="VUH15" s="7157"/>
      <c r="VUI15" s="7158"/>
      <c r="VUJ15" s="7158"/>
      <c r="VUK15" s="7158"/>
      <c r="VUL15" s="7158"/>
      <c r="VUM15" s="7158"/>
      <c r="VUN15" s="7159"/>
      <c r="VUO15" s="7152"/>
      <c r="VUP15" s="7153"/>
      <c r="VUQ15" s="7153"/>
      <c r="VUR15" s="7153"/>
      <c r="VUS15" s="7157"/>
      <c r="VUT15" s="7157"/>
      <c r="VUU15" s="7157"/>
      <c r="VUV15" s="7157"/>
      <c r="VUW15" s="7157"/>
      <c r="VUX15" s="7157"/>
      <c r="VUY15" s="7158"/>
      <c r="VUZ15" s="7158"/>
      <c r="VVA15" s="7158"/>
      <c r="VVB15" s="7158"/>
      <c r="VVC15" s="7158"/>
      <c r="VVD15" s="7159"/>
      <c r="VVE15" s="7152"/>
      <c r="VVF15" s="7153"/>
      <c r="VVG15" s="7153"/>
      <c r="VVH15" s="7153"/>
      <c r="VVI15" s="7157"/>
      <c r="VVJ15" s="7157"/>
      <c r="VVK15" s="7157"/>
      <c r="VVL15" s="7157"/>
      <c r="VVM15" s="7157"/>
      <c r="VVN15" s="7157"/>
      <c r="VVO15" s="7158"/>
      <c r="VVP15" s="7158"/>
      <c r="VVQ15" s="7158"/>
      <c r="VVR15" s="7158"/>
      <c r="VVS15" s="7158"/>
      <c r="VVT15" s="7159"/>
      <c r="VVU15" s="7152"/>
      <c r="VVV15" s="7153"/>
      <c r="VVW15" s="7153"/>
      <c r="VVX15" s="7153"/>
      <c r="VVY15" s="7157"/>
      <c r="VVZ15" s="7157"/>
      <c r="VWA15" s="7157"/>
      <c r="VWB15" s="7157"/>
      <c r="VWC15" s="7157"/>
      <c r="VWD15" s="7157"/>
      <c r="VWE15" s="7158"/>
      <c r="VWF15" s="7158"/>
      <c r="VWG15" s="7158"/>
      <c r="VWH15" s="7158"/>
      <c r="VWI15" s="7158"/>
      <c r="VWJ15" s="7159"/>
      <c r="VWK15" s="7152"/>
      <c r="VWL15" s="7153"/>
      <c r="VWM15" s="7153"/>
      <c r="VWN15" s="7153"/>
      <c r="VWO15" s="7157"/>
      <c r="VWP15" s="7157"/>
      <c r="VWQ15" s="7157"/>
      <c r="VWR15" s="7157"/>
      <c r="VWS15" s="7157"/>
      <c r="VWT15" s="7157"/>
      <c r="VWU15" s="7158"/>
      <c r="VWV15" s="7158"/>
      <c r="VWW15" s="7158"/>
      <c r="VWX15" s="7158"/>
      <c r="VWY15" s="7158"/>
      <c r="VWZ15" s="7159"/>
      <c r="VXA15" s="7152"/>
      <c r="VXB15" s="7153"/>
      <c r="VXC15" s="7153"/>
      <c r="VXD15" s="7153"/>
      <c r="VXE15" s="7157"/>
      <c r="VXF15" s="7157"/>
      <c r="VXG15" s="7157"/>
      <c r="VXH15" s="7157"/>
      <c r="VXI15" s="7157"/>
      <c r="VXJ15" s="7157"/>
      <c r="VXK15" s="7158"/>
      <c r="VXL15" s="7158"/>
      <c r="VXM15" s="7158"/>
      <c r="VXN15" s="7158"/>
      <c r="VXO15" s="7158"/>
      <c r="VXP15" s="7159"/>
      <c r="VXQ15" s="7152"/>
      <c r="VXR15" s="7153"/>
      <c r="VXS15" s="7153"/>
      <c r="VXT15" s="7153"/>
      <c r="VXU15" s="7157"/>
      <c r="VXV15" s="7157"/>
      <c r="VXW15" s="7157"/>
      <c r="VXX15" s="7157"/>
      <c r="VXY15" s="7157"/>
      <c r="VXZ15" s="7157"/>
      <c r="VYA15" s="7158"/>
      <c r="VYB15" s="7158"/>
      <c r="VYC15" s="7158"/>
      <c r="VYD15" s="7158"/>
      <c r="VYE15" s="7158"/>
      <c r="VYF15" s="7159"/>
      <c r="VYG15" s="7152"/>
      <c r="VYH15" s="7153"/>
      <c r="VYI15" s="7153"/>
      <c r="VYJ15" s="7153"/>
      <c r="VYK15" s="7157"/>
      <c r="VYL15" s="7157"/>
      <c r="VYM15" s="7157"/>
      <c r="VYN15" s="7157"/>
      <c r="VYO15" s="7157"/>
      <c r="VYP15" s="7157"/>
      <c r="VYQ15" s="7158"/>
      <c r="VYR15" s="7158"/>
      <c r="VYS15" s="7158"/>
      <c r="VYT15" s="7158"/>
      <c r="VYU15" s="7158"/>
      <c r="VYV15" s="7159"/>
      <c r="VYW15" s="7152"/>
      <c r="VYX15" s="7153"/>
      <c r="VYY15" s="7153"/>
      <c r="VYZ15" s="7153"/>
      <c r="VZA15" s="7157"/>
      <c r="VZB15" s="7157"/>
      <c r="VZC15" s="7157"/>
      <c r="VZD15" s="7157"/>
      <c r="VZE15" s="7157"/>
      <c r="VZF15" s="7157"/>
      <c r="VZG15" s="7158"/>
      <c r="VZH15" s="7158"/>
      <c r="VZI15" s="7158"/>
      <c r="VZJ15" s="7158"/>
      <c r="VZK15" s="7158"/>
      <c r="VZL15" s="7159"/>
      <c r="VZM15" s="7152"/>
      <c r="VZN15" s="7153"/>
      <c r="VZO15" s="7153"/>
      <c r="VZP15" s="7153"/>
      <c r="VZQ15" s="7157"/>
      <c r="VZR15" s="7157"/>
      <c r="VZS15" s="7157"/>
      <c r="VZT15" s="7157"/>
      <c r="VZU15" s="7157"/>
      <c r="VZV15" s="7157"/>
      <c r="VZW15" s="7158"/>
      <c r="VZX15" s="7158"/>
      <c r="VZY15" s="7158"/>
      <c r="VZZ15" s="7158"/>
      <c r="WAA15" s="7158"/>
      <c r="WAB15" s="7159"/>
      <c r="WAC15" s="7152"/>
      <c r="WAD15" s="7153"/>
      <c r="WAE15" s="7153"/>
      <c r="WAF15" s="7153"/>
      <c r="WAG15" s="7157"/>
      <c r="WAH15" s="7157"/>
      <c r="WAI15" s="7157"/>
      <c r="WAJ15" s="7157"/>
      <c r="WAK15" s="7157"/>
      <c r="WAL15" s="7157"/>
      <c r="WAM15" s="7158"/>
      <c r="WAN15" s="7158"/>
      <c r="WAO15" s="7158"/>
      <c r="WAP15" s="7158"/>
      <c r="WAQ15" s="7158"/>
      <c r="WAR15" s="7159"/>
      <c r="WAS15" s="7152"/>
      <c r="WAT15" s="7153"/>
      <c r="WAU15" s="7153"/>
      <c r="WAV15" s="7153"/>
      <c r="WAW15" s="7157"/>
      <c r="WAX15" s="7157"/>
      <c r="WAY15" s="7157"/>
      <c r="WAZ15" s="7157"/>
      <c r="WBA15" s="7157"/>
      <c r="WBB15" s="7157"/>
      <c r="WBC15" s="7158"/>
      <c r="WBD15" s="7158"/>
      <c r="WBE15" s="7158"/>
      <c r="WBF15" s="7158"/>
      <c r="WBG15" s="7158"/>
      <c r="WBH15" s="7159"/>
      <c r="WBI15" s="7152"/>
      <c r="WBJ15" s="7153"/>
      <c r="WBK15" s="7153"/>
      <c r="WBL15" s="7153"/>
      <c r="WBM15" s="7157"/>
      <c r="WBN15" s="7157"/>
      <c r="WBO15" s="7157"/>
      <c r="WBP15" s="7157"/>
      <c r="WBQ15" s="7157"/>
      <c r="WBR15" s="7157"/>
      <c r="WBS15" s="7158"/>
      <c r="WBT15" s="7158"/>
      <c r="WBU15" s="7158"/>
      <c r="WBV15" s="7158"/>
      <c r="WBW15" s="7158"/>
      <c r="WBX15" s="7159"/>
      <c r="WBY15" s="7152"/>
      <c r="WBZ15" s="7153"/>
      <c r="WCA15" s="7153"/>
      <c r="WCB15" s="7153"/>
      <c r="WCC15" s="7157"/>
      <c r="WCD15" s="7157"/>
      <c r="WCE15" s="7157"/>
      <c r="WCF15" s="7157"/>
      <c r="WCG15" s="7157"/>
      <c r="WCH15" s="7157"/>
      <c r="WCI15" s="7158"/>
      <c r="WCJ15" s="7158"/>
      <c r="WCK15" s="7158"/>
      <c r="WCL15" s="7158"/>
      <c r="WCM15" s="7158"/>
      <c r="WCN15" s="7159"/>
      <c r="WCO15" s="7152"/>
      <c r="WCP15" s="7153"/>
      <c r="WCQ15" s="7153"/>
      <c r="WCR15" s="7153"/>
      <c r="WCS15" s="7157"/>
      <c r="WCT15" s="7157"/>
      <c r="WCU15" s="7157"/>
      <c r="WCV15" s="7157"/>
      <c r="WCW15" s="7157"/>
      <c r="WCX15" s="7157"/>
      <c r="WCY15" s="7158"/>
      <c r="WCZ15" s="7158"/>
      <c r="WDA15" s="7158"/>
      <c r="WDB15" s="7158"/>
      <c r="WDC15" s="7158"/>
      <c r="WDD15" s="7159"/>
      <c r="WDE15" s="7152"/>
      <c r="WDF15" s="7153"/>
      <c r="WDG15" s="7153"/>
      <c r="WDH15" s="7153"/>
      <c r="WDI15" s="7157"/>
      <c r="WDJ15" s="7157"/>
      <c r="WDK15" s="7157"/>
      <c r="WDL15" s="7157"/>
      <c r="WDM15" s="7157"/>
      <c r="WDN15" s="7157"/>
      <c r="WDO15" s="7158"/>
      <c r="WDP15" s="7158"/>
      <c r="WDQ15" s="7158"/>
      <c r="WDR15" s="7158"/>
      <c r="WDS15" s="7158"/>
      <c r="WDT15" s="7159"/>
      <c r="WDU15" s="7152"/>
      <c r="WDV15" s="7153"/>
      <c r="WDW15" s="7153"/>
      <c r="WDX15" s="7153"/>
      <c r="WDY15" s="7157"/>
      <c r="WDZ15" s="7157"/>
      <c r="WEA15" s="7157"/>
      <c r="WEB15" s="7157"/>
      <c r="WEC15" s="7157"/>
      <c r="WED15" s="7157"/>
      <c r="WEE15" s="7158"/>
      <c r="WEF15" s="7158"/>
      <c r="WEG15" s="7158"/>
      <c r="WEH15" s="7158"/>
      <c r="WEI15" s="7158"/>
      <c r="WEJ15" s="7159"/>
      <c r="WEK15" s="7152"/>
      <c r="WEL15" s="7153"/>
      <c r="WEM15" s="7153"/>
      <c r="WEN15" s="7153"/>
      <c r="WEO15" s="7157"/>
      <c r="WEP15" s="7157"/>
      <c r="WEQ15" s="7157"/>
      <c r="WER15" s="7157"/>
      <c r="WES15" s="7157"/>
      <c r="WET15" s="7157"/>
      <c r="WEU15" s="7158"/>
      <c r="WEV15" s="7158"/>
      <c r="WEW15" s="7158"/>
      <c r="WEX15" s="7158"/>
      <c r="WEY15" s="7158"/>
      <c r="WEZ15" s="7159"/>
      <c r="WFA15" s="7152"/>
      <c r="WFB15" s="7153"/>
      <c r="WFC15" s="7153"/>
      <c r="WFD15" s="7153"/>
      <c r="WFE15" s="7157"/>
      <c r="WFF15" s="7157"/>
      <c r="WFG15" s="7157"/>
      <c r="WFH15" s="7157"/>
      <c r="WFI15" s="7157"/>
      <c r="WFJ15" s="7157"/>
      <c r="WFK15" s="7158"/>
      <c r="WFL15" s="7158"/>
      <c r="WFM15" s="7158"/>
      <c r="WFN15" s="7158"/>
      <c r="WFO15" s="7158"/>
      <c r="WFP15" s="7159"/>
      <c r="WFQ15" s="7152"/>
      <c r="WFR15" s="7153"/>
      <c r="WFS15" s="7153"/>
      <c r="WFT15" s="7153"/>
      <c r="WFU15" s="7157"/>
      <c r="WFV15" s="7157"/>
      <c r="WFW15" s="7157"/>
      <c r="WFX15" s="7157"/>
      <c r="WFY15" s="7157"/>
      <c r="WFZ15" s="7157"/>
      <c r="WGA15" s="7158"/>
      <c r="WGB15" s="7158"/>
      <c r="WGC15" s="7158"/>
      <c r="WGD15" s="7158"/>
      <c r="WGE15" s="7158"/>
      <c r="WGF15" s="7159"/>
      <c r="WGG15" s="7152"/>
      <c r="WGH15" s="7153"/>
      <c r="WGI15" s="7153"/>
      <c r="WGJ15" s="7153"/>
      <c r="WGK15" s="7157"/>
      <c r="WGL15" s="7157"/>
      <c r="WGM15" s="7157"/>
      <c r="WGN15" s="7157"/>
      <c r="WGO15" s="7157"/>
      <c r="WGP15" s="7157"/>
      <c r="WGQ15" s="7158"/>
      <c r="WGR15" s="7158"/>
      <c r="WGS15" s="7158"/>
      <c r="WGT15" s="7158"/>
      <c r="WGU15" s="7158"/>
      <c r="WGV15" s="7159"/>
      <c r="WGW15" s="7152"/>
      <c r="WGX15" s="7153"/>
      <c r="WGY15" s="7153"/>
      <c r="WGZ15" s="7153"/>
      <c r="WHA15" s="7157"/>
      <c r="WHB15" s="7157"/>
      <c r="WHC15" s="7157"/>
      <c r="WHD15" s="7157"/>
      <c r="WHE15" s="7157"/>
      <c r="WHF15" s="7157"/>
      <c r="WHG15" s="7158"/>
      <c r="WHH15" s="7158"/>
      <c r="WHI15" s="7158"/>
      <c r="WHJ15" s="7158"/>
      <c r="WHK15" s="7158"/>
      <c r="WHL15" s="7159"/>
      <c r="WHM15" s="7152"/>
      <c r="WHN15" s="7153"/>
      <c r="WHO15" s="7153"/>
      <c r="WHP15" s="7153"/>
      <c r="WHQ15" s="7157"/>
      <c r="WHR15" s="7157"/>
      <c r="WHS15" s="7157"/>
      <c r="WHT15" s="7157"/>
      <c r="WHU15" s="7157"/>
      <c r="WHV15" s="7157"/>
      <c r="WHW15" s="7158"/>
      <c r="WHX15" s="7158"/>
      <c r="WHY15" s="7158"/>
      <c r="WHZ15" s="7158"/>
      <c r="WIA15" s="7158"/>
      <c r="WIB15" s="7159"/>
      <c r="WIC15" s="7152"/>
      <c r="WID15" s="7153"/>
      <c r="WIE15" s="7153"/>
      <c r="WIF15" s="7153"/>
      <c r="WIG15" s="7157"/>
      <c r="WIH15" s="7157"/>
      <c r="WII15" s="7157"/>
      <c r="WIJ15" s="7157"/>
      <c r="WIK15" s="7157"/>
      <c r="WIL15" s="7157"/>
      <c r="WIM15" s="7158"/>
      <c r="WIN15" s="7158"/>
      <c r="WIO15" s="7158"/>
      <c r="WIP15" s="7158"/>
      <c r="WIQ15" s="7158"/>
      <c r="WIR15" s="7159"/>
      <c r="WIS15" s="7152"/>
      <c r="WIT15" s="7153"/>
      <c r="WIU15" s="7153"/>
      <c r="WIV15" s="7153"/>
      <c r="WIW15" s="7157"/>
      <c r="WIX15" s="7157"/>
      <c r="WIY15" s="7157"/>
      <c r="WIZ15" s="7157"/>
      <c r="WJA15" s="7157"/>
      <c r="WJB15" s="7157"/>
      <c r="WJC15" s="7158"/>
      <c r="WJD15" s="7158"/>
      <c r="WJE15" s="7158"/>
      <c r="WJF15" s="7158"/>
      <c r="WJG15" s="7158"/>
      <c r="WJH15" s="7159"/>
      <c r="WJI15" s="7152"/>
      <c r="WJJ15" s="7153"/>
      <c r="WJK15" s="7153"/>
      <c r="WJL15" s="7153"/>
      <c r="WJM15" s="7157"/>
      <c r="WJN15" s="7157"/>
      <c r="WJO15" s="7157"/>
      <c r="WJP15" s="7157"/>
      <c r="WJQ15" s="7157"/>
      <c r="WJR15" s="7157"/>
      <c r="WJS15" s="7158"/>
      <c r="WJT15" s="7158"/>
      <c r="WJU15" s="7158"/>
      <c r="WJV15" s="7158"/>
      <c r="WJW15" s="7158"/>
      <c r="WJX15" s="7159"/>
      <c r="WJY15" s="7152"/>
      <c r="WJZ15" s="7153"/>
      <c r="WKA15" s="7153"/>
      <c r="WKB15" s="7153"/>
      <c r="WKC15" s="7157"/>
      <c r="WKD15" s="7157"/>
      <c r="WKE15" s="7157"/>
      <c r="WKF15" s="7157"/>
      <c r="WKG15" s="7157"/>
      <c r="WKH15" s="7157"/>
      <c r="WKI15" s="7158"/>
      <c r="WKJ15" s="7158"/>
      <c r="WKK15" s="7158"/>
      <c r="WKL15" s="7158"/>
      <c r="WKM15" s="7158"/>
      <c r="WKN15" s="7159"/>
      <c r="WKO15" s="7152"/>
      <c r="WKP15" s="7153"/>
      <c r="WKQ15" s="7153"/>
      <c r="WKR15" s="7153"/>
      <c r="WKS15" s="7157"/>
      <c r="WKT15" s="7157"/>
      <c r="WKU15" s="7157"/>
      <c r="WKV15" s="7157"/>
      <c r="WKW15" s="7157"/>
      <c r="WKX15" s="7157"/>
      <c r="WKY15" s="7158"/>
      <c r="WKZ15" s="7158"/>
      <c r="WLA15" s="7158"/>
      <c r="WLB15" s="7158"/>
      <c r="WLC15" s="7158"/>
      <c r="WLD15" s="7159"/>
      <c r="WLE15" s="7152"/>
      <c r="WLF15" s="7153"/>
      <c r="WLG15" s="7153"/>
      <c r="WLH15" s="7153"/>
      <c r="WLI15" s="7157"/>
      <c r="WLJ15" s="7157"/>
      <c r="WLK15" s="7157"/>
      <c r="WLL15" s="7157"/>
      <c r="WLM15" s="7157"/>
      <c r="WLN15" s="7157"/>
      <c r="WLO15" s="7158"/>
      <c r="WLP15" s="7158"/>
      <c r="WLQ15" s="7158"/>
      <c r="WLR15" s="7158"/>
      <c r="WLS15" s="7158"/>
      <c r="WLT15" s="7159"/>
      <c r="WLU15" s="7152"/>
      <c r="WLV15" s="7153"/>
      <c r="WLW15" s="7153"/>
      <c r="WLX15" s="7153"/>
      <c r="WLY15" s="7157"/>
      <c r="WLZ15" s="7157"/>
      <c r="WMA15" s="7157"/>
      <c r="WMB15" s="7157"/>
      <c r="WMC15" s="7157"/>
      <c r="WMD15" s="7157"/>
      <c r="WME15" s="7158"/>
      <c r="WMF15" s="7158"/>
      <c r="WMG15" s="7158"/>
      <c r="WMH15" s="7158"/>
      <c r="WMI15" s="7158"/>
      <c r="WMJ15" s="7159"/>
      <c r="WMK15" s="7152"/>
      <c r="WML15" s="7153"/>
      <c r="WMM15" s="7153"/>
      <c r="WMN15" s="7153"/>
      <c r="WMO15" s="7157"/>
      <c r="WMP15" s="7157"/>
      <c r="WMQ15" s="7157"/>
      <c r="WMR15" s="7157"/>
      <c r="WMS15" s="7157"/>
      <c r="WMT15" s="7157"/>
      <c r="WMU15" s="7158"/>
      <c r="WMV15" s="7158"/>
      <c r="WMW15" s="7158"/>
      <c r="WMX15" s="7158"/>
      <c r="WMY15" s="7158"/>
      <c r="WMZ15" s="7159"/>
      <c r="WNA15" s="7152"/>
      <c r="WNB15" s="7153"/>
      <c r="WNC15" s="7153"/>
      <c r="WND15" s="7153"/>
      <c r="WNE15" s="7157"/>
      <c r="WNF15" s="7157"/>
      <c r="WNG15" s="7157"/>
      <c r="WNH15" s="7157"/>
      <c r="WNI15" s="7157"/>
      <c r="WNJ15" s="7157"/>
      <c r="WNK15" s="7158"/>
      <c r="WNL15" s="7158"/>
      <c r="WNM15" s="7158"/>
      <c r="WNN15" s="7158"/>
      <c r="WNO15" s="7158"/>
      <c r="WNP15" s="7159"/>
      <c r="WNQ15" s="7152"/>
      <c r="WNR15" s="7153"/>
      <c r="WNS15" s="7153"/>
      <c r="WNT15" s="7153"/>
      <c r="WNU15" s="7157"/>
      <c r="WNV15" s="7157"/>
      <c r="WNW15" s="7157"/>
      <c r="WNX15" s="7157"/>
      <c r="WNY15" s="7157"/>
      <c r="WNZ15" s="7157"/>
      <c r="WOA15" s="7158"/>
      <c r="WOB15" s="7158"/>
      <c r="WOC15" s="7158"/>
      <c r="WOD15" s="7158"/>
      <c r="WOE15" s="7158"/>
      <c r="WOF15" s="7159"/>
      <c r="WOG15" s="7152"/>
      <c r="WOH15" s="7153"/>
      <c r="WOI15" s="7153"/>
      <c r="WOJ15" s="7153"/>
      <c r="WOK15" s="7157"/>
      <c r="WOL15" s="7157"/>
      <c r="WOM15" s="7157"/>
      <c r="WON15" s="7157"/>
      <c r="WOO15" s="7157"/>
      <c r="WOP15" s="7157"/>
      <c r="WOQ15" s="7158"/>
      <c r="WOR15" s="7158"/>
      <c r="WOS15" s="7158"/>
      <c r="WOT15" s="7158"/>
      <c r="WOU15" s="7158"/>
      <c r="WOV15" s="7159"/>
      <c r="WOW15" s="7152"/>
      <c r="WOX15" s="7153"/>
      <c r="WOY15" s="7153"/>
      <c r="WOZ15" s="7153"/>
      <c r="WPA15" s="7157"/>
      <c r="WPB15" s="7157"/>
      <c r="WPC15" s="7157"/>
      <c r="WPD15" s="7157"/>
      <c r="WPE15" s="7157"/>
      <c r="WPF15" s="7157"/>
      <c r="WPG15" s="7158"/>
      <c r="WPH15" s="7158"/>
      <c r="WPI15" s="7158"/>
      <c r="WPJ15" s="7158"/>
      <c r="WPK15" s="7158"/>
      <c r="WPL15" s="7159"/>
      <c r="WPM15" s="7152"/>
      <c r="WPN15" s="7153"/>
      <c r="WPO15" s="7153"/>
      <c r="WPP15" s="7153"/>
      <c r="WPQ15" s="7157"/>
      <c r="WPR15" s="7157"/>
      <c r="WPS15" s="7157"/>
      <c r="WPT15" s="7157"/>
      <c r="WPU15" s="7157"/>
      <c r="WPV15" s="7157"/>
      <c r="WPW15" s="7158"/>
      <c r="WPX15" s="7158"/>
      <c r="WPY15" s="7158"/>
      <c r="WPZ15" s="7158"/>
      <c r="WQA15" s="7158"/>
      <c r="WQB15" s="7159"/>
      <c r="WQC15" s="7152"/>
      <c r="WQD15" s="7153"/>
      <c r="WQE15" s="7153"/>
      <c r="WQF15" s="7153"/>
      <c r="WQG15" s="7157"/>
      <c r="WQH15" s="7157"/>
      <c r="WQI15" s="7157"/>
      <c r="WQJ15" s="7157"/>
      <c r="WQK15" s="7157"/>
      <c r="WQL15" s="7157"/>
      <c r="WQM15" s="7158"/>
      <c r="WQN15" s="7158"/>
      <c r="WQO15" s="7158"/>
      <c r="WQP15" s="7158"/>
      <c r="WQQ15" s="7158"/>
      <c r="WQR15" s="7159"/>
      <c r="WQS15" s="7152"/>
      <c r="WQT15" s="7153"/>
      <c r="WQU15" s="7153"/>
      <c r="WQV15" s="7153"/>
      <c r="WQW15" s="7157"/>
      <c r="WQX15" s="7157"/>
      <c r="WQY15" s="7157"/>
      <c r="WQZ15" s="7157"/>
      <c r="WRA15" s="7157"/>
      <c r="WRB15" s="7157"/>
      <c r="WRC15" s="7158"/>
      <c r="WRD15" s="7158"/>
      <c r="WRE15" s="7158"/>
      <c r="WRF15" s="7158"/>
      <c r="WRG15" s="7158"/>
      <c r="WRH15" s="7159"/>
      <c r="WRI15" s="7152"/>
      <c r="WRJ15" s="7153"/>
      <c r="WRK15" s="7153"/>
      <c r="WRL15" s="7153"/>
      <c r="WRM15" s="7157"/>
      <c r="WRN15" s="7157"/>
      <c r="WRO15" s="7157"/>
      <c r="WRP15" s="7157"/>
      <c r="WRQ15" s="7157"/>
      <c r="WRR15" s="7157"/>
      <c r="WRS15" s="7158"/>
      <c r="WRT15" s="7158"/>
      <c r="WRU15" s="7158"/>
      <c r="WRV15" s="7158"/>
      <c r="WRW15" s="7158"/>
      <c r="WRX15" s="7159"/>
      <c r="WRY15" s="7152"/>
      <c r="WRZ15" s="7153"/>
      <c r="WSA15" s="7153"/>
      <c r="WSB15" s="7153"/>
      <c r="WSC15" s="7157"/>
      <c r="WSD15" s="7157"/>
      <c r="WSE15" s="7157"/>
      <c r="WSF15" s="7157"/>
      <c r="WSG15" s="7157"/>
      <c r="WSH15" s="7157"/>
      <c r="WSI15" s="7158"/>
      <c r="WSJ15" s="7158"/>
      <c r="WSK15" s="7158"/>
      <c r="WSL15" s="7158"/>
      <c r="WSM15" s="7158"/>
      <c r="WSN15" s="7159"/>
      <c r="WSO15" s="7152"/>
      <c r="WSP15" s="7153"/>
      <c r="WSQ15" s="7153"/>
      <c r="WSR15" s="7153"/>
      <c r="WSS15" s="7157"/>
      <c r="WST15" s="7157"/>
      <c r="WSU15" s="7157"/>
      <c r="WSV15" s="7157"/>
      <c r="WSW15" s="7157"/>
      <c r="WSX15" s="7157"/>
      <c r="WSY15" s="7158"/>
      <c r="WSZ15" s="7158"/>
      <c r="WTA15" s="7158"/>
      <c r="WTB15" s="7158"/>
      <c r="WTC15" s="7158"/>
      <c r="WTD15" s="7159"/>
      <c r="WTE15" s="7152"/>
      <c r="WTF15" s="7153"/>
      <c r="WTG15" s="7153"/>
      <c r="WTH15" s="7153"/>
      <c r="WTI15" s="7157"/>
      <c r="WTJ15" s="7157"/>
      <c r="WTK15" s="7157"/>
      <c r="WTL15" s="7157"/>
      <c r="WTM15" s="7157"/>
      <c r="WTN15" s="7157"/>
      <c r="WTO15" s="7158"/>
      <c r="WTP15" s="7158"/>
      <c r="WTQ15" s="7158"/>
      <c r="WTR15" s="7158"/>
      <c r="WTS15" s="7158"/>
      <c r="WTT15" s="7159"/>
      <c r="WTU15" s="7152"/>
      <c r="WTV15" s="7153"/>
      <c r="WTW15" s="7153"/>
      <c r="WTX15" s="7153"/>
      <c r="WTY15" s="7157"/>
      <c r="WTZ15" s="7157"/>
      <c r="WUA15" s="7157"/>
      <c r="WUB15" s="7157"/>
      <c r="WUC15" s="7157"/>
      <c r="WUD15" s="7157"/>
      <c r="WUE15" s="7158"/>
      <c r="WUF15" s="7158"/>
      <c r="WUG15" s="7158"/>
      <c r="WUH15" s="7158"/>
      <c r="WUI15" s="7158"/>
      <c r="WUJ15" s="7159"/>
      <c r="WUK15" s="7152"/>
      <c r="WUL15" s="7153"/>
      <c r="WUM15" s="7153"/>
      <c r="WUN15" s="7153"/>
      <c r="WUO15" s="7157"/>
      <c r="WUP15" s="7157"/>
      <c r="WUQ15" s="7157"/>
      <c r="WUR15" s="7157"/>
      <c r="WUS15" s="7157"/>
      <c r="WUT15" s="7157"/>
      <c r="WUU15" s="7158"/>
      <c r="WUV15" s="7158"/>
      <c r="WUW15" s="7158"/>
      <c r="WUX15" s="7158"/>
      <c r="WUY15" s="7158"/>
      <c r="WUZ15" s="7159"/>
      <c r="WVA15" s="7152"/>
      <c r="WVB15" s="7153"/>
      <c r="WVC15" s="7153"/>
      <c r="WVD15" s="7153"/>
      <c r="WVE15" s="7157"/>
      <c r="WVF15" s="7157"/>
      <c r="WVG15" s="7157"/>
      <c r="WVH15" s="7157"/>
      <c r="WVI15" s="7157"/>
      <c r="WVJ15" s="7157"/>
      <c r="WVK15" s="7158"/>
      <c r="WVL15" s="7158"/>
      <c r="WVM15" s="7158"/>
      <c r="WVN15" s="7158"/>
      <c r="WVO15" s="7158"/>
      <c r="WVP15" s="7159"/>
      <c r="WVQ15" s="7152"/>
      <c r="WVR15" s="7153"/>
      <c r="WVS15" s="7153"/>
      <c r="WVT15" s="7153"/>
      <c r="WVU15" s="7157"/>
      <c r="WVV15" s="7157"/>
      <c r="WVW15" s="7157"/>
      <c r="WVX15" s="7157"/>
      <c r="WVY15" s="7157"/>
      <c r="WVZ15" s="7157"/>
      <c r="WWA15" s="7158"/>
      <c r="WWB15" s="7158"/>
      <c r="WWC15" s="7158"/>
      <c r="WWD15" s="7158"/>
      <c r="WWE15" s="7158"/>
      <c r="WWF15" s="7159"/>
      <c r="WWG15" s="7152"/>
      <c r="WWH15" s="7153"/>
      <c r="WWI15" s="7153"/>
      <c r="WWJ15" s="7153"/>
      <c r="WWK15" s="7157"/>
      <c r="WWL15" s="7157"/>
      <c r="WWM15" s="7157"/>
      <c r="WWN15" s="7157"/>
      <c r="WWO15" s="7157"/>
      <c r="WWP15" s="7157"/>
      <c r="WWQ15" s="7158"/>
      <c r="WWR15" s="7158"/>
      <c r="WWS15" s="7158"/>
      <c r="WWT15" s="7158"/>
      <c r="WWU15" s="7158"/>
      <c r="WWV15" s="7159"/>
      <c r="WWW15" s="7152"/>
      <c r="WWX15" s="7153"/>
      <c r="WWY15" s="7153"/>
      <c r="WWZ15" s="7153"/>
      <c r="WXA15" s="7157"/>
      <c r="WXB15" s="7157"/>
      <c r="WXC15" s="7157"/>
      <c r="WXD15" s="7157"/>
      <c r="WXE15" s="7157"/>
      <c r="WXF15" s="7157"/>
      <c r="WXG15" s="7158"/>
      <c r="WXH15" s="7158"/>
      <c r="WXI15" s="7158"/>
      <c r="WXJ15" s="7158"/>
      <c r="WXK15" s="7158"/>
      <c r="WXL15" s="7159"/>
      <c r="WXM15" s="7152"/>
      <c r="WXN15" s="7153"/>
      <c r="WXO15" s="7153"/>
      <c r="WXP15" s="7153"/>
      <c r="WXQ15" s="7157"/>
      <c r="WXR15" s="7157"/>
      <c r="WXS15" s="7157"/>
      <c r="WXT15" s="7157"/>
      <c r="WXU15" s="7157"/>
      <c r="WXV15" s="7157"/>
      <c r="WXW15" s="7158"/>
      <c r="WXX15" s="7158"/>
      <c r="WXY15" s="7158"/>
      <c r="WXZ15" s="7158"/>
      <c r="WYA15" s="7158"/>
      <c r="WYB15" s="7159"/>
      <c r="WYC15" s="7152"/>
      <c r="WYD15" s="7153"/>
      <c r="WYE15" s="7153"/>
      <c r="WYF15" s="7153"/>
      <c r="WYG15" s="7157"/>
      <c r="WYH15" s="7157"/>
      <c r="WYI15" s="7157"/>
      <c r="WYJ15" s="7157"/>
      <c r="WYK15" s="7157"/>
      <c r="WYL15" s="7157"/>
      <c r="WYM15" s="7158"/>
      <c r="WYN15" s="7158"/>
      <c r="WYO15" s="7158"/>
      <c r="WYP15" s="7158"/>
      <c r="WYQ15" s="7158"/>
      <c r="WYR15" s="7159"/>
      <c r="WYS15" s="7152"/>
      <c r="WYT15" s="7153"/>
      <c r="WYU15" s="7153"/>
      <c r="WYV15" s="7153"/>
      <c r="WYW15" s="7157"/>
      <c r="WYX15" s="7157"/>
      <c r="WYY15" s="7157"/>
      <c r="WYZ15" s="7157"/>
      <c r="WZA15" s="7157"/>
      <c r="WZB15" s="7157"/>
      <c r="WZC15" s="7158"/>
      <c r="WZD15" s="7158"/>
      <c r="WZE15" s="7158"/>
      <c r="WZF15" s="7158"/>
      <c r="WZG15" s="7158"/>
      <c r="WZH15" s="7159"/>
      <c r="WZI15" s="7152"/>
      <c r="WZJ15" s="7153"/>
      <c r="WZK15" s="7153"/>
      <c r="WZL15" s="7153"/>
      <c r="WZM15" s="7157"/>
      <c r="WZN15" s="7157"/>
      <c r="WZO15" s="7157"/>
      <c r="WZP15" s="7157"/>
      <c r="WZQ15" s="7157"/>
      <c r="WZR15" s="7157"/>
      <c r="WZS15" s="7158"/>
      <c r="WZT15" s="7158"/>
      <c r="WZU15" s="7158"/>
      <c r="WZV15" s="7158"/>
      <c r="WZW15" s="7158"/>
      <c r="WZX15" s="7159"/>
      <c r="WZY15" s="7152"/>
      <c r="WZZ15" s="7153"/>
      <c r="XAA15" s="7153"/>
      <c r="XAB15" s="7153"/>
      <c r="XAC15" s="7157"/>
      <c r="XAD15" s="7157"/>
      <c r="XAE15" s="7157"/>
      <c r="XAF15" s="7157"/>
      <c r="XAG15" s="7157"/>
      <c r="XAH15" s="7157"/>
      <c r="XAI15" s="7158"/>
      <c r="XAJ15" s="7158"/>
      <c r="XAK15" s="7158"/>
      <c r="XAL15" s="7158"/>
      <c r="XAM15" s="7158"/>
      <c r="XAN15" s="7159"/>
      <c r="XAO15" s="7152"/>
      <c r="XAP15" s="7153"/>
      <c r="XAQ15" s="7153"/>
      <c r="XAR15" s="7153"/>
      <c r="XAS15" s="7157"/>
      <c r="XAT15" s="7157"/>
      <c r="XAU15" s="7157"/>
      <c r="XAV15" s="7157"/>
      <c r="XAW15" s="7157"/>
      <c r="XAX15" s="7157"/>
      <c r="XAY15" s="7158"/>
      <c r="XAZ15" s="7158"/>
      <c r="XBA15" s="7158"/>
      <c r="XBB15" s="7158"/>
      <c r="XBC15" s="7158"/>
      <c r="XBD15" s="7159"/>
      <c r="XBE15" s="7152"/>
      <c r="XBF15" s="7153"/>
      <c r="XBG15" s="7153"/>
      <c r="XBH15" s="7153"/>
      <c r="XBI15" s="7157"/>
      <c r="XBJ15" s="7157"/>
      <c r="XBK15" s="7157"/>
      <c r="XBL15" s="7157"/>
      <c r="XBM15" s="7157"/>
      <c r="XBN15" s="7157"/>
      <c r="XBO15" s="7158"/>
      <c r="XBP15" s="7158"/>
      <c r="XBQ15" s="7158"/>
      <c r="XBR15" s="7158"/>
      <c r="XBS15" s="7158"/>
      <c r="XBT15" s="7159"/>
    </row>
    <row r="16" spans="1:16296" ht="4.5" customHeight="1" x14ac:dyDescent="0.35">
      <c r="A16" s="1381"/>
      <c r="B16" s="1382"/>
      <c r="C16" s="1382"/>
      <c r="D16" s="1383"/>
      <c r="E16" s="1341"/>
      <c r="F16" s="1342"/>
      <c r="G16" s="7170"/>
      <c r="H16" s="7171"/>
      <c r="I16" s="1336"/>
      <c r="J16" s="1336"/>
      <c r="K16" s="1346"/>
      <c r="L16" s="1347"/>
      <c r="M16" s="1347"/>
      <c r="N16" s="1347"/>
      <c r="O16" s="1347"/>
      <c r="P16" s="1348"/>
      <c r="Q16" s="1349"/>
      <c r="R16" s="1350"/>
      <c r="S16" s="1344"/>
      <c r="T16" s="1344"/>
      <c r="U16" s="1344"/>
      <c r="V16" s="1344"/>
      <c r="W16" s="1344"/>
      <c r="X16" s="1344"/>
      <c r="Y16" s="1351"/>
      <c r="Z16" s="1352"/>
      <c r="AA16" s="1352"/>
      <c r="AB16" s="1352"/>
      <c r="AC16" s="1353"/>
      <c r="AD16" s="1353"/>
      <c r="AE16" s="1343"/>
      <c r="AF16" s="1343"/>
      <c r="AG16" s="1343"/>
      <c r="AH16" s="1343"/>
      <c r="AI16" s="1344"/>
      <c r="AJ16" s="1344"/>
      <c r="AK16" s="1344"/>
      <c r="AL16" s="1344"/>
      <c r="AM16" s="1344"/>
      <c r="AN16" s="1344"/>
      <c r="AO16" s="1345"/>
      <c r="AP16" s="1340"/>
      <c r="AQ16" s="1340"/>
      <c r="AR16" s="1340"/>
      <c r="AS16" s="1341"/>
      <c r="AT16" s="1342"/>
      <c r="AU16" s="1336"/>
      <c r="AV16" s="1336"/>
      <c r="AW16" s="1336"/>
      <c r="AX16" s="1336"/>
      <c r="AY16" s="1337"/>
      <c r="AZ16" s="1337"/>
      <c r="BA16" s="1337"/>
      <c r="BB16" s="1337"/>
      <c r="BC16" s="1337"/>
      <c r="BD16" s="1338"/>
      <c r="BE16" s="1339"/>
      <c r="BF16" s="1340"/>
      <c r="BG16" s="1340"/>
      <c r="BH16" s="1340"/>
      <c r="BI16" s="1341"/>
      <c r="BJ16" s="1342"/>
      <c r="BK16" s="1336"/>
      <c r="BL16" s="1336"/>
      <c r="BM16" s="1336"/>
      <c r="BN16" s="1336"/>
      <c r="BO16" s="1337"/>
      <c r="BP16" s="1337"/>
      <c r="BQ16" s="1337"/>
      <c r="BR16" s="1337"/>
      <c r="BS16" s="1337"/>
      <c r="BT16" s="1338"/>
      <c r="BU16" s="1339"/>
      <c r="BV16" s="1340"/>
      <c r="BW16" s="1340"/>
      <c r="BX16" s="1340"/>
      <c r="BY16" s="1341"/>
      <c r="BZ16" s="1342"/>
      <c r="CA16" s="1336"/>
      <c r="CB16" s="1336"/>
      <c r="CC16" s="1336"/>
      <c r="CD16" s="1336"/>
      <c r="CE16" s="1337"/>
      <c r="CF16" s="1337"/>
      <c r="CG16" s="1337"/>
      <c r="CH16" s="1337"/>
      <c r="CI16" s="1337"/>
      <c r="CJ16" s="1338"/>
      <c r="CK16" s="1339"/>
      <c r="CL16" s="1340"/>
      <c r="CM16" s="1340"/>
      <c r="CN16" s="1340"/>
      <c r="CO16" s="1341"/>
      <c r="CP16" s="1342"/>
      <c r="CQ16" s="1336"/>
      <c r="CR16" s="1336"/>
      <c r="CS16" s="1336"/>
      <c r="CT16" s="1336"/>
      <c r="CU16" s="1337"/>
      <c r="CV16" s="1337"/>
      <c r="CW16" s="1337"/>
      <c r="CX16" s="1337"/>
      <c r="CY16" s="1337"/>
      <c r="CZ16" s="1338"/>
      <c r="DA16" s="1339"/>
      <c r="DB16" s="1340"/>
      <c r="DC16" s="1340"/>
      <c r="DD16" s="1340"/>
      <c r="DE16" s="1341"/>
      <c r="DF16" s="1342"/>
      <c r="DG16" s="1336"/>
      <c r="DH16" s="1336"/>
      <c r="DI16" s="1336"/>
      <c r="DJ16" s="1336"/>
      <c r="DK16" s="1337"/>
      <c r="DL16" s="1337"/>
      <c r="DM16" s="1337"/>
      <c r="DN16" s="1337"/>
      <c r="DO16" s="1337"/>
      <c r="DP16" s="1338"/>
      <c r="DQ16" s="1339"/>
      <c r="DR16" s="1340"/>
      <c r="DS16" s="1340"/>
      <c r="DT16" s="1340"/>
      <c r="DU16" s="1341"/>
      <c r="DV16" s="1342"/>
      <c r="DW16" s="1336"/>
      <c r="DX16" s="1336"/>
      <c r="DY16" s="1336"/>
      <c r="DZ16" s="1336"/>
      <c r="EA16" s="1337"/>
      <c r="EB16" s="1337"/>
      <c r="EC16" s="1337"/>
      <c r="ED16" s="1337"/>
      <c r="EE16" s="1337"/>
      <c r="EF16" s="1338"/>
      <c r="EG16" s="1339"/>
      <c r="EH16" s="1340"/>
      <c r="EI16" s="1340"/>
      <c r="EJ16" s="1340"/>
      <c r="EK16" s="1341"/>
      <c r="EL16" s="1342"/>
      <c r="EM16" s="1336"/>
      <c r="EN16" s="1336"/>
      <c r="EO16" s="1336"/>
      <c r="EP16" s="1336"/>
      <c r="EQ16" s="1337"/>
      <c r="ER16" s="1337"/>
      <c r="ES16" s="1337"/>
      <c r="ET16" s="1337"/>
      <c r="EU16" s="1337"/>
      <c r="EV16" s="1338"/>
      <c r="EW16" s="1339"/>
      <c r="EX16" s="1340"/>
      <c r="EY16" s="1340"/>
      <c r="EZ16" s="1340"/>
      <c r="FA16" s="1341"/>
      <c r="FB16" s="1342"/>
      <c r="FC16" s="1336"/>
      <c r="FD16" s="1336"/>
      <c r="FE16" s="1336"/>
      <c r="FF16" s="1336"/>
      <c r="FG16" s="1337"/>
      <c r="FH16" s="1337"/>
      <c r="FI16" s="1337"/>
      <c r="FJ16" s="1337"/>
      <c r="FK16" s="1337"/>
      <c r="FL16" s="1338"/>
      <c r="FM16" s="1339"/>
      <c r="FN16" s="1340"/>
      <c r="FO16" s="1340"/>
      <c r="FP16" s="1340"/>
      <c r="FQ16" s="1341"/>
      <c r="FR16" s="1342"/>
      <c r="FS16" s="1336"/>
      <c r="FT16" s="1336"/>
      <c r="FU16" s="1336"/>
      <c r="FV16" s="1336"/>
      <c r="FW16" s="1337"/>
      <c r="FX16" s="1337"/>
      <c r="FY16" s="1337"/>
      <c r="FZ16" s="1337"/>
      <c r="GA16" s="1337"/>
      <c r="GB16" s="1338"/>
      <c r="GC16" s="1339"/>
      <c r="GD16" s="1340"/>
      <c r="GE16" s="1340"/>
      <c r="GF16" s="1340"/>
      <c r="GG16" s="1341"/>
      <c r="GH16" s="1342"/>
      <c r="GI16" s="1336"/>
      <c r="GJ16" s="1336"/>
      <c r="GK16" s="1336"/>
      <c r="GL16" s="1336"/>
      <c r="GM16" s="1337"/>
      <c r="GN16" s="1337"/>
      <c r="GO16" s="1337"/>
      <c r="GP16" s="1337"/>
      <c r="GQ16" s="1337"/>
      <c r="GR16" s="1338"/>
      <c r="GS16" s="1339"/>
      <c r="GT16" s="1340"/>
      <c r="GU16" s="1340"/>
      <c r="GV16" s="1340"/>
      <c r="GW16" s="1341"/>
      <c r="GX16" s="1342"/>
      <c r="GY16" s="1336"/>
      <c r="GZ16" s="1336"/>
      <c r="HA16" s="1336"/>
      <c r="HB16" s="1336"/>
      <c r="HC16" s="1337"/>
      <c r="HD16" s="1337"/>
      <c r="HE16" s="1337"/>
      <c r="HF16" s="1337"/>
      <c r="HG16" s="1337"/>
      <c r="HH16" s="1338"/>
      <c r="HI16" s="1339"/>
      <c r="HJ16" s="1340"/>
      <c r="HK16" s="1340"/>
      <c r="HL16" s="1340"/>
      <c r="HM16" s="1341"/>
      <c r="HN16" s="1342"/>
      <c r="HO16" s="1336"/>
      <c r="HP16" s="1336"/>
      <c r="HQ16" s="1336"/>
      <c r="HR16" s="1336"/>
      <c r="HS16" s="1337"/>
      <c r="HT16" s="1337"/>
      <c r="HU16" s="1337"/>
      <c r="HV16" s="1337"/>
      <c r="HW16" s="1337"/>
      <c r="HX16" s="1338"/>
      <c r="HY16" s="1339"/>
      <c r="HZ16" s="1340"/>
      <c r="IA16" s="1340"/>
      <c r="IB16" s="1340"/>
      <c r="IC16" s="1341"/>
      <c r="ID16" s="1342"/>
      <c r="IE16" s="1336"/>
      <c r="IF16" s="1336"/>
      <c r="IG16" s="1336"/>
      <c r="IH16" s="1336"/>
      <c r="II16" s="1337"/>
      <c r="IJ16" s="1337"/>
      <c r="IK16" s="1337"/>
      <c r="IL16" s="1337"/>
      <c r="IM16" s="1337"/>
      <c r="IN16" s="1338"/>
      <c r="IO16" s="1339"/>
      <c r="IP16" s="1340"/>
      <c r="IQ16" s="1340"/>
      <c r="IR16" s="1340"/>
      <c r="IS16" s="1341"/>
      <c r="IT16" s="1342"/>
      <c r="IU16" s="1336"/>
      <c r="IV16" s="1336"/>
      <c r="IW16" s="1336"/>
      <c r="IX16" s="1336"/>
      <c r="IY16" s="1337"/>
      <c r="IZ16" s="1337"/>
      <c r="JA16" s="1337"/>
      <c r="JB16" s="1337"/>
      <c r="JC16" s="1337"/>
      <c r="JD16" s="1338"/>
      <c r="JE16" s="1339"/>
      <c r="JF16" s="1340"/>
      <c r="JG16" s="1340"/>
      <c r="JH16" s="1340"/>
      <c r="JI16" s="1341"/>
      <c r="JJ16" s="1342"/>
      <c r="JK16" s="1336"/>
      <c r="JL16" s="1336"/>
      <c r="JM16" s="1336"/>
      <c r="JN16" s="1336"/>
      <c r="JO16" s="1337"/>
      <c r="JP16" s="1337"/>
      <c r="JQ16" s="1337"/>
      <c r="JR16" s="1337"/>
      <c r="JS16" s="1337"/>
      <c r="JT16" s="1338"/>
      <c r="JU16" s="1339"/>
      <c r="JV16" s="1340"/>
      <c r="JW16" s="1340"/>
      <c r="JX16" s="1340"/>
      <c r="JY16" s="1341"/>
      <c r="JZ16" s="1342"/>
      <c r="KA16" s="1336"/>
      <c r="KB16" s="1336"/>
      <c r="KC16" s="1336"/>
      <c r="KD16" s="1336"/>
      <c r="KE16" s="1337"/>
      <c r="KF16" s="1337"/>
      <c r="KG16" s="1337"/>
      <c r="KH16" s="1337"/>
      <c r="KI16" s="1337"/>
      <c r="KJ16" s="1338"/>
      <c r="KK16" s="1339"/>
      <c r="KL16" s="1340"/>
      <c r="KM16" s="1340"/>
      <c r="KN16" s="1340"/>
      <c r="KO16" s="1341"/>
      <c r="KP16" s="1342"/>
      <c r="KQ16" s="1336"/>
      <c r="KR16" s="1336"/>
      <c r="KS16" s="1336"/>
      <c r="KT16" s="1336"/>
      <c r="KU16" s="1337"/>
      <c r="KV16" s="1337"/>
      <c r="KW16" s="1337"/>
      <c r="KX16" s="1337"/>
      <c r="KY16" s="1337"/>
      <c r="KZ16" s="1338"/>
      <c r="LA16" s="1339"/>
      <c r="LB16" s="1340"/>
      <c r="LC16" s="1340"/>
      <c r="LD16" s="1340"/>
      <c r="LE16" s="1341"/>
      <c r="LF16" s="1342"/>
      <c r="LG16" s="1336"/>
      <c r="LH16" s="1336"/>
      <c r="LI16" s="1336"/>
      <c r="LJ16" s="1336"/>
      <c r="LK16" s="1337"/>
      <c r="LL16" s="1337"/>
      <c r="LM16" s="1337"/>
      <c r="LN16" s="1337"/>
      <c r="LO16" s="1337"/>
      <c r="LP16" s="1338"/>
      <c r="LQ16" s="1339"/>
      <c r="LR16" s="1340"/>
      <c r="LS16" s="1340"/>
      <c r="LT16" s="1340"/>
      <c r="LU16" s="1341"/>
      <c r="LV16" s="1342"/>
      <c r="LW16" s="1336"/>
      <c r="LX16" s="1336"/>
      <c r="LY16" s="1336"/>
      <c r="LZ16" s="1336"/>
      <c r="MA16" s="1337"/>
      <c r="MB16" s="1337"/>
      <c r="MC16" s="1337"/>
      <c r="MD16" s="1337"/>
      <c r="ME16" s="1337"/>
      <c r="MF16" s="1338"/>
      <c r="MG16" s="1339"/>
      <c r="MH16" s="1340"/>
      <c r="MI16" s="1340"/>
      <c r="MJ16" s="1340"/>
      <c r="MK16" s="1341"/>
      <c r="ML16" s="1342"/>
      <c r="MM16" s="1336"/>
      <c r="MN16" s="1336"/>
      <c r="MO16" s="1336"/>
      <c r="MP16" s="1336"/>
      <c r="MQ16" s="1337"/>
      <c r="MR16" s="1337"/>
      <c r="MS16" s="1337"/>
      <c r="MT16" s="1337"/>
      <c r="MU16" s="1337"/>
      <c r="MV16" s="1338"/>
      <c r="MW16" s="1339"/>
      <c r="MX16" s="1340"/>
      <c r="MY16" s="1340"/>
      <c r="MZ16" s="1340"/>
      <c r="NA16" s="1341"/>
      <c r="NB16" s="1342"/>
      <c r="NC16" s="1336"/>
      <c r="ND16" s="1336"/>
      <c r="NE16" s="1336"/>
      <c r="NF16" s="1336"/>
      <c r="NG16" s="1337"/>
      <c r="NH16" s="1337"/>
      <c r="NI16" s="1337"/>
      <c r="NJ16" s="1337"/>
      <c r="NK16" s="1337"/>
      <c r="NL16" s="1338"/>
      <c r="NM16" s="1339"/>
      <c r="NN16" s="1340"/>
      <c r="NO16" s="1340"/>
      <c r="NP16" s="1340"/>
      <c r="NQ16" s="1341"/>
      <c r="NR16" s="1342"/>
      <c r="NS16" s="1336"/>
      <c r="NT16" s="1336"/>
      <c r="NU16" s="1336"/>
      <c r="NV16" s="1336"/>
      <c r="NW16" s="1337"/>
      <c r="NX16" s="1337"/>
      <c r="NY16" s="1337"/>
      <c r="NZ16" s="1337"/>
      <c r="OA16" s="1337"/>
      <c r="OB16" s="1338"/>
      <c r="OC16" s="1339"/>
      <c r="OD16" s="1340"/>
      <c r="OE16" s="1340"/>
      <c r="OF16" s="1340"/>
      <c r="OG16" s="1341"/>
      <c r="OH16" s="1342"/>
      <c r="OI16" s="1336"/>
      <c r="OJ16" s="1336"/>
      <c r="OK16" s="1336"/>
      <c r="OL16" s="1336"/>
      <c r="OM16" s="1337"/>
      <c r="ON16" s="1337"/>
      <c r="OO16" s="1337"/>
      <c r="OP16" s="1337"/>
      <c r="OQ16" s="1337"/>
      <c r="OR16" s="1338"/>
      <c r="OS16" s="1339"/>
      <c r="OT16" s="1340"/>
      <c r="OU16" s="1340"/>
      <c r="OV16" s="1340"/>
      <c r="OW16" s="1341"/>
      <c r="OX16" s="1342"/>
      <c r="OY16" s="1336"/>
      <c r="OZ16" s="1336"/>
      <c r="PA16" s="1336"/>
      <c r="PB16" s="1336"/>
      <c r="PC16" s="1337"/>
      <c r="PD16" s="1337"/>
      <c r="PE16" s="1337"/>
      <c r="PF16" s="1337"/>
      <c r="PG16" s="1337"/>
      <c r="PH16" s="1338"/>
      <c r="PI16" s="1339"/>
      <c r="PJ16" s="1340"/>
      <c r="PK16" s="1340"/>
      <c r="PL16" s="1340"/>
      <c r="PM16" s="1341"/>
      <c r="PN16" s="1342"/>
      <c r="PO16" s="1336"/>
      <c r="PP16" s="1336"/>
      <c r="PQ16" s="1336"/>
      <c r="PR16" s="1336"/>
      <c r="PS16" s="1337"/>
      <c r="PT16" s="1337"/>
      <c r="PU16" s="1337"/>
      <c r="PV16" s="1337"/>
      <c r="PW16" s="1337"/>
      <c r="PX16" s="1338"/>
      <c r="PY16" s="1339"/>
      <c r="PZ16" s="1340"/>
      <c r="QA16" s="1340"/>
      <c r="QB16" s="1340"/>
      <c r="QC16" s="1341"/>
      <c r="QD16" s="1342"/>
      <c r="QE16" s="1336"/>
      <c r="QF16" s="1336"/>
      <c r="QG16" s="1336"/>
      <c r="QH16" s="1336"/>
      <c r="QI16" s="1337"/>
      <c r="QJ16" s="1337"/>
      <c r="QK16" s="1337"/>
      <c r="QL16" s="1337"/>
      <c r="QM16" s="1337"/>
      <c r="QN16" s="1338"/>
      <c r="QO16" s="1339"/>
      <c r="QP16" s="1340"/>
      <c r="QQ16" s="1340"/>
      <c r="QR16" s="1340"/>
      <c r="QS16" s="1341"/>
      <c r="QT16" s="1342"/>
      <c r="QU16" s="1336"/>
      <c r="QV16" s="1336"/>
      <c r="QW16" s="1336"/>
      <c r="QX16" s="1336"/>
      <c r="QY16" s="1337"/>
      <c r="QZ16" s="1337"/>
      <c r="RA16" s="1337"/>
      <c r="RB16" s="1337"/>
      <c r="RC16" s="1337"/>
      <c r="RD16" s="1338"/>
      <c r="RE16" s="1339"/>
      <c r="RF16" s="1340"/>
      <c r="RG16" s="1340"/>
      <c r="RH16" s="1340"/>
      <c r="RI16" s="1341"/>
      <c r="RJ16" s="1342"/>
      <c r="RK16" s="1336"/>
      <c r="RL16" s="1336"/>
      <c r="RM16" s="1336"/>
      <c r="RN16" s="1336"/>
      <c r="RO16" s="1337"/>
      <c r="RP16" s="1337"/>
      <c r="RQ16" s="1337"/>
      <c r="RR16" s="1337"/>
      <c r="RS16" s="1337"/>
      <c r="RT16" s="1338"/>
      <c r="RU16" s="1339"/>
      <c r="RV16" s="1340"/>
      <c r="RW16" s="1340"/>
      <c r="RX16" s="1340"/>
      <c r="RY16" s="1341"/>
      <c r="RZ16" s="1342"/>
      <c r="SA16" s="1336"/>
      <c r="SB16" s="1336"/>
      <c r="SC16" s="1336"/>
      <c r="SD16" s="1336"/>
      <c r="SE16" s="1337"/>
      <c r="SF16" s="1337"/>
      <c r="SG16" s="1337"/>
      <c r="SH16" s="1337"/>
      <c r="SI16" s="1337"/>
      <c r="SJ16" s="1338"/>
      <c r="SK16" s="1339"/>
      <c r="SL16" s="1340"/>
      <c r="SM16" s="1340"/>
      <c r="SN16" s="1340"/>
      <c r="SO16" s="1341"/>
      <c r="SP16" s="1342"/>
      <c r="SQ16" s="1336"/>
      <c r="SR16" s="1336"/>
      <c r="SS16" s="1336"/>
      <c r="ST16" s="1336"/>
      <c r="SU16" s="1337"/>
      <c r="SV16" s="1337"/>
      <c r="SW16" s="1337"/>
      <c r="SX16" s="1337"/>
      <c r="SY16" s="1337"/>
      <c r="SZ16" s="1338"/>
      <c r="TA16" s="1339"/>
      <c r="TB16" s="1340"/>
      <c r="TC16" s="1340"/>
      <c r="TD16" s="1340"/>
      <c r="TE16" s="1341"/>
      <c r="TF16" s="1342"/>
      <c r="TG16" s="1336"/>
      <c r="TH16" s="1336"/>
      <c r="TI16" s="1336"/>
      <c r="TJ16" s="1336"/>
      <c r="TK16" s="1337"/>
      <c r="TL16" s="1337"/>
      <c r="TM16" s="1337"/>
      <c r="TN16" s="1337"/>
      <c r="TO16" s="1337"/>
      <c r="TP16" s="1338"/>
      <c r="TQ16" s="1339"/>
      <c r="TR16" s="1340"/>
      <c r="TS16" s="1340"/>
      <c r="TT16" s="1340"/>
      <c r="TU16" s="1341"/>
      <c r="TV16" s="1342"/>
      <c r="TW16" s="1336"/>
      <c r="TX16" s="1336"/>
      <c r="TY16" s="1336"/>
      <c r="TZ16" s="1336"/>
      <c r="UA16" s="1337"/>
      <c r="UB16" s="1337"/>
      <c r="UC16" s="1337"/>
      <c r="UD16" s="1337"/>
      <c r="UE16" s="1337"/>
      <c r="UF16" s="1338"/>
      <c r="UG16" s="1339"/>
      <c r="UH16" s="1340"/>
      <c r="UI16" s="1340"/>
      <c r="UJ16" s="1340"/>
      <c r="UK16" s="1341"/>
      <c r="UL16" s="1342"/>
      <c r="UM16" s="1336"/>
      <c r="UN16" s="1336"/>
      <c r="UO16" s="1336"/>
      <c r="UP16" s="1336"/>
      <c r="UQ16" s="1337"/>
      <c r="UR16" s="1337"/>
      <c r="US16" s="1337"/>
      <c r="UT16" s="1337"/>
      <c r="UU16" s="1337"/>
      <c r="UV16" s="1338"/>
      <c r="UW16" s="1339"/>
      <c r="UX16" s="1340"/>
      <c r="UY16" s="1340"/>
      <c r="UZ16" s="1340"/>
      <c r="VA16" s="1341"/>
      <c r="VB16" s="1342"/>
      <c r="VC16" s="1336"/>
      <c r="VD16" s="1336"/>
      <c r="VE16" s="1336"/>
      <c r="VF16" s="1336"/>
      <c r="VG16" s="1337"/>
      <c r="VH16" s="1337"/>
      <c r="VI16" s="1337"/>
      <c r="VJ16" s="1337"/>
      <c r="VK16" s="1337"/>
      <c r="VL16" s="1338"/>
      <c r="VM16" s="1339"/>
      <c r="VN16" s="1340"/>
      <c r="VO16" s="1340"/>
      <c r="VP16" s="1340"/>
      <c r="VQ16" s="1341"/>
      <c r="VR16" s="1342"/>
      <c r="VS16" s="1336"/>
      <c r="VT16" s="1336"/>
      <c r="VU16" s="1336"/>
      <c r="VV16" s="1336"/>
      <c r="VW16" s="1337"/>
      <c r="VX16" s="1337"/>
      <c r="VY16" s="1337"/>
      <c r="VZ16" s="1337"/>
      <c r="WA16" s="1337"/>
      <c r="WB16" s="1338"/>
      <c r="WC16" s="1339"/>
      <c r="WD16" s="1340"/>
      <c r="WE16" s="1340"/>
      <c r="WF16" s="1340"/>
      <c r="WG16" s="1341"/>
      <c r="WH16" s="1342"/>
      <c r="WI16" s="1336"/>
      <c r="WJ16" s="1336"/>
      <c r="WK16" s="1336"/>
      <c r="WL16" s="1336"/>
      <c r="WM16" s="1337"/>
      <c r="WN16" s="1337"/>
      <c r="WO16" s="1337"/>
      <c r="WP16" s="1337"/>
      <c r="WQ16" s="1337"/>
      <c r="WR16" s="1338"/>
      <c r="WS16" s="1339"/>
      <c r="WT16" s="1340"/>
      <c r="WU16" s="1340"/>
      <c r="WV16" s="1340"/>
      <c r="WW16" s="1341"/>
      <c r="WX16" s="1342"/>
      <c r="WY16" s="1336"/>
      <c r="WZ16" s="1336"/>
      <c r="XA16" s="1336"/>
      <c r="XB16" s="1336"/>
      <c r="XC16" s="1337"/>
      <c r="XD16" s="1337"/>
      <c r="XE16" s="1337"/>
      <c r="XF16" s="1337"/>
      <c r="XG16" s="1337"/>
      <c r="XH16" s="1338"/>
      <c r="XI16" s="1339"/>
      <c r="XJ16" s="1340"/>
      <c r="XK16" s="1340"/>
      <c r="XL16" s="1340"/>
      <c r="XM16" s="1341"/>
      <c r="XN16" s="1342"/>
      <c r="XO16" s="1336"/>
      <c r="XP16" s="1336"/>
      <c r="XQ16" s="1336"/>
      <c r="XR16" s="1336"/>
      <c r="XS16" s="1337"/>
      <c r="XT16" s="1337"/>
      <c r="XU16" s="1337"/>
      <c r="XV16" s="1337"/>
      <c r="XW16" s="1337"/>
      <c r="XX16" s="1338"/>
      <c r="XY16" s="1339"/>
      <c r="XZ16" s="1340"/>
      <c r="YA16" s="1340"/>
      <c r="YB16" s="1340"/>
      <c r="YC16" s="1341"/>
      <c r="YD16" s="1342"/>
      <c r="YE16" s="1336"/>
      <c r="YF16" s="1336"/>
      <c r="YG16" s="1336"/>
      <c r="YH16" s="1336"/>
      <c r="YI16" s="1337"/>
      <c r="YJ16" s="1337"/>
      <c r="YK16" s="1337"/>
      <c r="YL16" s="1337"/>
      <c r="YM16" s="1337"/>
      <c r="YN16" s="1338"/>
      <c r="YO16" s="1339"/>
      <c r="YP16" s="1340"/>
      <c r="YQ16" s="1340"/>
      <c r="YR16" s="1340"/>
      <c r="YS16" s="1341"/>
      <c r="YT16" s="1342"/>
      <c r="YU16" s="1336"/>
      <c r="YV16" s="1336"/>
      <c r="YW16" s="1336"/>
      <c r="YX16" s="1336"/>
      <c r="YY16" s="1337"/>
      <c r="YZ16" s="1337"/>
      <c r="ZA16" s="1337"/>
      <c r="ZB16" s="1337"/>
      <c r="ZC16" s="1337"/>
      <c r="ZD16" s="1338"/>
      <c r="ZE16" s="1339"/>
      <c r="ZF16" s="1340"/>
      <c r="ZG16" s="1340"/>
      <c r="ZH16" s="1340"/>
      <c r="ZI16" s="1341"/>
      <c r="ZJ16" s="1342"/>
      <c r="ZK16" s="1336"/>
      <c r="ZL16" s="1336"/>
      <c r="ZM16" s="1336"/>
      <c r="ZN16" s="1336"/>
      <c r="ZO16" s="1337"/>
      <c r="ZP16" s="1337"/>
      <c r="ZQ16" s="1337"/>
      <c r="ZR16" s="1337"/>
      <c r="ZS16" s="1337"/>
      <c r="ZT16" s="1338"/>
      <c r="ZU16" s="1339"/>
      <c r="ZV16" s="1340"/>
      <c r="ZW16" s="1340"/>
      <c r="ZX16" s="1340"/>
      <c r="ZY16" s="1341"/>
      <c r="ZZ16" s="1342"/>
      <c r="AAA16" s="1336"/>
      <c r="AAB16" s="1336"/>
      <c r="AAC16" s="1336"/>
      <c r="AAD16" s="1336"/>
      <c r="AAE16" s="1337"/>
      <c r="AAF16" s="1337"/>
      <c r="AAG16" s="1337"/>
      <c r="AAH16" s="1337"/>
      <c r="AAI16" s="1337"/>
      <c r="AAJ16" s="1338"/>
      <c r="AAK16" s="1339"/>
      <c r="AAL16" s="1340"/>
      <c r="AAM16" s="1340"/>
      <c r="AAN16" s="1340"/>
      <c r="AAO16" s="1341"/>
      <c r="AAP16" s="1342"/>
      <c r="AAQ16" s="1336"/>
      <c r="AAR16" s="1336"/>
      <c r="AAS16" s="1336"/>
      <c r="AAT16" s="1336"/>
      <c r="AAU16" s="1337"/>
      <c r="AAV16" s="1337"/>
      <c r="AAW16" s="1337"/>
      <c r="AAX16" s="1337"/>
      <c r="AAY16" s="1337"/>
      <c r="AAZ16" s="1338"/>
      <c r="ABA16" s="1339"/>
      <c r="ABB16" s="1340"/>
      <c r="ABC16" s="1340"/>
      <c r="ABD16" s="1340"/>
      <c r="ABE16" s="1341"/>
      <c r="ABF16" s="1342"/>
      <c r="ABG16" s="1336"/>
      <c r="ABH16" s="1336"/>
      <c r="ABI16" s="1336"/>
      <c r="ABJ16" s="1336"/>
      <c r="ABK16" s="1337"/>
      <c r="ABL16" s="1337"/>
      <c r="ABM16" s="1337"/>
      <c r="ABN16" s="1337"/>
      <c r="ABO16" s="1337"/>
      <c r="ABP16" s="1338"/>
      <c r="ABQ16" s="1339"/>
      <c r="ABR16" s="1340"/>
      <c r="ABS16" s="1340"/>
      <c r="ABT16" s="1340"/>
      <c r="ABU16" s="1341"/>
      <c r="ABV16" s="1342"/>
      <c r="ABW16" s="1336"/>
      <c r="ABX16" s="1336"/>
      <c r="ABY16" s="1336"/>
      <c r="ABZ16" s="1336"/>
      <c r="ACA16" s="1337"/>
      <c r="ACB16" s="1337"/>
      <c r="ACC16" s="1337"/>
      <c r="ACD16" s="1337"/>
      <c r="ACE16" s="1337"/>
      <c r="ACF16" s="1338"/>
      <c r="ACG16" s="1339"/>
      <c r="ACH16" s="1340"/>
      <c r="ACI16" s="1340"/>
      <c r="ACJ16" s="1340"/>
      <c r="ACK16" s="1341"/>
      <c r="ACL16" s="1342"/>
      <c r="ACM16" s="1336"/>
      <c r="ACN16" s="1336"/>
      <c r="ACO16" s="1336"/>
      <c r="ACP16" s="1336"/>
      <c r="ACQ16" s="1337"/>
      <c r="ACR16" s="1337"/>
      <c r="ACS16" s="1337"/>
      <c r="ACT16" s="1337"/>
      <c r="ACU16" s="1337"/>
      <c r="ACV16" s="1338"/>
      <c r="ACW16" s="1339"/>
      <c r="ACX16" s="1340"/>
      <c r="ACY16" s="1340"/>
      <c r="ACZ16" s="1340"/>
      <c r="ADA16" s="1341"/>
      <c r="ADB16" s="1342"/>
      <c r="ADC16" s="1336"/>
      <c r="ADD16" s="1336"/>
      <c r="ADE16" s="1336"/>
      <c r="ADF16" s="1336"/>
      <c r="ADG16" s="1337"/>
      <c r="ADH16" s="1337"/>
      <c r="ADI16" s="1337"/>
      <c r="ADJ16" s="1337"/>
      <c r="ADK16" s="1337"/>
      <c r="ADL16" s="1338"/>
      <c r="ADM16" s="1339"/>
      <c r="ADN16" s="1340"/>
      <c r="ADO16" s="1340"/>
      <c r="ADP16" s="1340"/>
      <c r="ADQ16" s="1341"/>
      <c r="ADR16" s="1342"/>
      <c r="ADS16" s="1336"/>
      <c r="ADT16" s="1336"/>
      <c r="ADU16" s="1336"/>
      <c r="ADV16" s="1336"/>
      <c r="ADW16" s="1337"/>
      <c r="ADX16" s="1337"/>
      <c r="ADY16" s="1337"/>
      <c r="ADZ16" s="1337"/>
      <c r="AEA16" s="1337"/>
      <c r="AEB16" s="1338"/>
      <c r="AEC16" s="1339"/>
      <c r="AED16" s="1340"/>
      <c r="AEE16" s="1340"/>
      <c r="AEF16" s="1340"/>
      <c r="AEG16" s="1341"/>
      <c r="AEH16" s="1342"/>
      <c r="AEI16" s="1336"/>
      <c r="AEJ16" s="1336"/>
      <c r="AEK16" s="1336"/>
      <c r="AEL16" s="1336"/>
      <c r="AEM16" s="1337"/>
      <c r="AEN16" s="1337"/>
      <c r="AEO16" s="1337"/>
      <c r="AEP16" s="1337"/>
      <c r="AEQ16" s="1337"/>
      <c r="AER16" s="1338"/>
      <c r="AES16" s="1339"/>
      <c r="AET16" s="1340"/>
      <c r="AEU16" s="1340"/>
      <c r="AEV16" s="1340"/>
      <c r="AEW16" s="1341"/>
      <c r="AEX16" s="1342"/>
      <c r="AEY16" s="1336"/>
      <c r="AEZ16" s="1336"/>
      <c r="AFA16" s="1336"/>
      <c r="AFB16" s="1336"/>
      <c r="AFC16" s="1337"/>
      <c r="AFD16" s="1337"/>
      <c r="AFE16" s="1337"/>
      <c r="AFF16" s="1337"/>
      <c r="AFG16" s="1337"/>
      <c r="AFH16" s="1338"/>
      <c r="AFI16" s="1339"/>
      <c r="AFJ16" s="1340"/>
      <c r="AFK16" s="1340"/>
      <c r="AFL16" s="1340"/>
      <c r="AFM16" s="1341"/>
      <c r="AFN16" s="1342"/>
      <c r="AFO16" s="1336"/>
      <c r="AFP16" s="1336"/>
      <c r="AFQ16" s="1336"/>
      <c r="AFR16" s="1336"/>
      <c r="AFS16" s="1337"/>
      <c r="AFT16" s="1337"/>
      <c r="AFU16" s="1337"/>
      <c r="AFV16" s="1337"/>
      <c r="AFW16" s="1337"/>
      <c r="AFX16" s="1338"/>
      <c r="AFY16" s="1339"/>
      <c r="AFZ16" s="1340"/>
      <c r="AGA16" s="1340"/>
      <c r="AGB16" s="1340"/>
      <c r="AGC16" s="1341"/>
      <c r="AGD16" s="1342"/>
      <c r="AGE16" s="1336"/>
      <c r="AGF16" s="1336"/>
      <c r="AGG16" s="1336"/>
      <c r="AGH16" s="1336"/>
      <c r="AGI16" s="1337"/>
      <c r="AGJ16" s="1337"/>
      <c r="AGK16" s="1337"/>
      <c r="AGL16" s="1337"/>
      <c r="AGM16" s="1337"/>
      <c r="AGN16" s="1338"/>
      <c r="AGO16" s="1339"/>
      <c r="AGP16" s="1340"/>
      <c r="AGQ16" s="1340"/>
      <c r="AGR16" s="1340"/>
      <c r="AGS16" s="1341"/>
      <c r="AGT16" s="1342"/>
      <c r="AGU16" s="1336"/>
      <c r="AGV16" s="1336"/>
      <c r="AGW16" s="1336"/>
      <c r="AGX16" s="1336"/>
      <c r="AGY16" s="1337"/>
      <c r="AGZ16" s="1337"/>
      <c r="AHA16" s="1337"/>
      <c r="AHB16" s="1337"/>
      <c r="AHC16" s="1337"/>
      <c r="AHD16" s="1338"/>
      <c r="AHE16" s="1339"/>
      <c r="AHF16" s="1340"/>
      <c r="AHG16" s="1340"/>
      <c r="AHH16" s="1340"/>
      <c r="AHI16" s="1341"/>
      <c r="AHJ16" s="1342"/>
      <c r="AHK16" s="1336"/>
      <c r="AHL16" s="1336"/>
      <c r="AHM16" s="1336"/>
      <c r="AHN16" s="1336"/>
      <c r="AHO16" s="1337"/>
      <c r="AHP16" s="1337"/>
      <c r="AHQ16" s="1337"/>
      <c r="AHR16" s="1337"/>
      <c r="AHS16" s="1337"/>
      <c r="AHT16" s="1338"/>
      <c r="AHU16" s="1339"/>
      <c r="AHV16" s="1340"/>
      <c r="AHW16" s="1340"/>
      <c r="AHX16" s="1340"/>
      <c r="AHY16" s="1341"/>
      <c r="AHZ16" s="1342"/>
      <c r="AIA16" s="1336"/>
      <c r="AIB16" s="1336"/>
      <c r="AIC16" s="1336"/>
      <c r="AID16" s="1336"/>
      <c r="AIE16" s="1337"/>
      <c r="AIF16" s="1337"/>
      <c r="AIG16" s="1337"/>
      <c r="AIH16" s="1337"/>
      <c r="AII16" s="1337"/>
      <c r="AIJ16" s="1338"/>
      <c r="AIK16" s="1339"/>
      <c r="AIL16" s="1340"/>
      <c r="AIM16" s="1340"/>
      <c r="AIN16" s="1340"/>
      <c r="AIO16" s="1341"/>
      <c r="AIP16" s="1342"/>
      <c r="AIQ16" s="1336"/>
      <c r="AIR16" s="1336"/>
      <c r="AIS16" s="1336"/>
      <c r="AIT16" s="1336"/>
      <c r="AIU16" s="1337"/>
      <c r="AIV16" s="1337"/>
      <c r="AIW16" s="1337"/>
      <c r="AIX16" s="1337"/>
      <c r="AIY16" s="1337"/>
      <c r="AIZ16" s="1338"/>
      <c r="AJA16" s="1339"/>
      <c r="AJB16" s="1340"/>
      <c r="AJC16" s="1340"/>
      <c r="AJD16" s="1340"/>
      <c r="AJE16" s="1341"/>
      <c r="AJF16" s="1342"/>
      <c r="AJG16" s="1336"/>
      <c r="AJH16" s="1336"/>
      <c r="AJI16" s="1336"/>
      <c r="AJJ16" s="1336"/>
      <c r="AJK16" s="1337"/>
      <c r="AJL16" s="1337"/>
      <c r="AJM16" s="1337"/>
      <c r="AJN16" s="1337"/>
      <c r="AJO16" s="1337"/>
      <c r="AJP16" s="1338"/>
      <c r="AJQ16" s="1339"/>
      <c r="AJR16" s="1340"/>
      <c r="AJS16" s="1340"/>
      <c r="AJT16" s="1340"/>
      <c r="AJU16" s="1341"/>
      <c r="AJV16" s="1342"/>
      <c r="AJW16" s="1336"/>
      <c r="AJX16" s="1336"/>
      <c r="AJY16" s="1336"/>
      <c r="AJZ16" s="1336"/>
      <c r="AKA16" s="1337"/>
      <c r="AKB16" s="1337"/>
      <c r="AKC16" s="1337"/>
      <c r="AKD16" s="1337"/>
      <c r="AKE16" s="1337"/>
      <c r="AKF16" s="1338"/>
      <c r="AKG16" s="1339"/>
      <c r="AKH16" s="1340"/>
      <c r="AKI16" s="1340"/>
      <c r="AKJ16" s="1340"/>
      <c r="AKK16" s="1341"/>
      <c r="AKL16" s="1342"/>
      <c r="AKM16" s="1336"/>
      <c r="AKN16" s="1336"/>
      <c r="AKO16" s="1336"/>
      <c r="AKP16" s="1336"/>
      <c r="AKQ16" s="1337"/>
      <c r="AKR16" s="1337"/>
      <c r="AKS16" s="1337"/>
      <c r="AKT16" s="1337"/>
      <c r="AKU16" s="1337"/>
      <c r="AKV16" s="1338"/>
      <c r="AKW16" s="1339"/>
      <c r="AKX16" s="1340"/>
      <c r="AKY16" s="1340"/>
      <c r="AKZ16" s="1340"/>
      <c r="ALA16" s="1341"/>
      <c r="ALB16" s="1342"/>
      <c r="ALC16" s="1336"/>
      <c r="ALD16" s="1336"/>
      <c r="ALE16" s="1336"/>
      <c r="ALF16" s="1336"/>
      <c r="ALG16" s="1337"/>
      <c r="ALH16" s="1337"/>
      <c r="ALI16" s="1337"/>
      <c r="ALJ16" s="1337"/>
      <c r="ALK16" s="1337"/>
      <c r="ALL16" s="1338"/>
      <c r="ALM16" s="1339"/>
      <c r="ALN16" s="1340"/>
      <c r="ALO16" s="1340"/>
      <c r="ALP16" s="1340"/>
      <c r="ALQ16" s="1341"/>
      <c r="ALR16" s="1342"/>
      <c r="ALS16" s="1336"/>
      <c r="ALT16" s="1336"/>
      <c r="ALU16" s="1336"/>
      <c r="ALV16" s="1336"/>
      <c r="ALW16" s="1337"/>
      <c r="ALX16" s="1337"/>
      <c r="ALY16" s="1337"/>
      <c r="ALZ16" s="1337"/>
      <c r="AMA16" s="1337"/>
      <c r="AMB16" s="1338"/>
      <c r="AMC16" s="1339"/>
      <c r="AMD16" s="1340"/>
      <c r="AME16" s="1340"/>
      <c r="AMF16" s="1340"/>
      <c r="AMG16" s="1341"/>
      <c r="AMH16" s="1342"/>
      <c r="AMI16" s="1336"/>
      <c r="AMJ16" s="1336"/>
      <c r="AMK16" s="1336"/>
      <c r="AML16" s="1336"/>
      <c r="AMM16" s="1337"/>
      <c r="AMN16" s="1337"/>
      <c r="AMO16" s="1337"/>
      <c r="AMP16" s="1337"/>
      <c r="AMQ16" s="1337"/>
      <c r="AMR16" s="1338"/>
      <c r="AMS16" s="1339"/>
      <c r="AMT16" s="1340"/>
      <c r="AMU16" s="1340"/>
      <c r="AMV16" s="1340"/>
      <c r="AMW16" s="1341"/>
      <c r="AMX16" s="1342"/>
      <c r="AMY16" s="1336"/>
      <c r="AMZ16" s="1336"/>
      <c r="ANA16" s="1336"/>
      <c r="ANB16" s="1336"/>
      <c r="ANC16" s="1337"/>
      <c r="AND16" s="1337"/>
      <c r="ANE16" s="1337"/>
      <c r="ANF16" s="1337"/>
      <c r="ANG16" s="1337"/>
      <c r="ANH16" s="1338"/>
      <c r="ANI16" s="1339"/>
      <c r="ANJ16" s="1340"/>
      <c r="ANK16" s="1340"/>
      <c r="ANL16" s="1340"/>
      <c r="ANM16" s="1341"/>
      <c r="ANN16" s="1342"/>
      <c r="ANO16" s="1336"/>
      <c r="ANP16" s="1336"/>
      <c r="ANQ16" s="1336"/>
      <c r="ANR16" s="1336"/>
      <c r="ANS16" s="1337"/>
      <c r="ANT16" s="1337"/>
      <c r="ANU16" s="1337"/>
      <c r="ANV16" s="1337"/>
      <c r="ANW16" s="1337"/>
      <c r="ANX16" s="1338"/>
      <c r="ANY16" s="1339"/>
      <c r="ANZ16" s="1340"/>
      <c r="AOA16" s="1340"/>
      <c r="AOB16" s="1340"/>
      <c r="AOC16" s="1341"/>
      <c r="AOD16" s="1342"/>
      <c r="AOE16" s="1336"/>
      <c r="AOF16" s="1336"/>
      <c r="AOG16" s="1336"/>
      <c r="AOH16" s="1336"/>
      <c r="AOI16" s="1337"/>
      <c r="AOJ16" s="1337"/>
      <c r="AOK16" s="1337"/>
      <c r="AOL16" s="1337"/>
      <c r="AOM16" s="1337"/>
      <c r="AON16" s="1338"/>
      <c r="AOO16" s="1339"/>
      <c r="AOP16" s="1340"/>
      <c r="AOQ16" s="1340"/>
      <c r="AOR16" s="1340"/>
      <c r="AOS16" s="1341"/>
      <c r="AOT16" s="1342"/>
      <c r="AOU16" s="1336"/>
      <c r="AOV16" s="1336"/>
      <c r="AOW16" s="1336"/>
      <c r="AOX16" s="1336"/>
      <c r="AOY16" s="1337"/>
      <c r="AOZ16" s="1337"/>
      <c r="APA16" s="1337"/>
      <c r="APB16" s="1337"/>
      <c r="APC16" s="1337"/>
      <c r="APD16" s="1338"/>
      <c r="APE16" s="1339"/>
      <c r="APF16" s="1340"/>
      <c r="APG16" s="1340"/>
      <c r="APH16" s="1340"/>
      <c r="API16" s="1341"/>
      <c r="APJ16" s="1342"/>
      <c r="APK16" s="1336"/>
      <c r="APL16" s="1336"/>
      <c r="APM16" s="1336"/>
      <c r="APN16" s="1336"/>
      <c r="APO16" s="1337"/>
      <c r="APP16" s="1337"/>
      <c r="APQ16" s="1337"/>
      <c r="APR16" s="1337"/>
      <c r="APS16" s="1337"/>
      <c r="APT16" s="1338"/>
      <c r="APU16" s="1339"/>
      <c r="APV16" s="1340"/>
      <c r="APW16" s="1340"/>
      <c r="APX16" s="1340"/>
      <c r="APY16" s="1341"/>
      <c r="APZ16" s="1342"/>
      <c r="AQA16" s="1336"/>
      <c r="AQB16" s="1336"/>
      <c r="AQC16" s="1336"/>
      <c r="AQD16" s="1336"/>
      <c r="AQE16" s="1337"/>
      <c r="AQF16" s="1337"/>
      <c r="AQG16" s="1337"/>
      <c r="AQH16" s="1337"/>
      <c r="AQI16" s="1337"/>
      <c r="AQJ16" s="1338"/>
      <c r="AQK16" s="1339"/>
      <c r="AQL16" s="1340"/>
      <c r="AQM16" s="1340"/>
      <c r="AQN16" s="1340"/>
      <c r="AQO16" s="1341"/>
      <c r="AQP16" s="1342"/>
      <c r="AQQ16" s="1336"/>
      <c r="AQR16" s="1336"/>
      <c r="AQS16" s="1336"/>
      <c r="AQT16" s="1336"/>
      <c r="AQU16" s="1337"/>
      <c r="AQV16" s="1337"/>
      <c r="AQW16" s="1337"/>
      <c r="AQX16" s="1337"/>
      <c r="AQY16" s="1337"/>
      <c r="AQZ16" s="1338"/>
      <c r="ARA16" s="1339"/>
      <c r="ARB16" s="1340"/>
      <c r="ARC16" s="1340"/>
      <c r="ARD16" s="1340"/>
      <c r="ARE16" s="1341"/>
      <c r="ARF16" s="1342"/>
      <c r="ARG16" s="1336"/>
      <c r="ARH16" s="1336"/>
      <c r="ARI16" s="1336"/>
      <c r="ARJ16" s="1336"/>
      <c r="ARK16" s="1337"/>
      <c r="ARL16" s="1337"/>
      <c r="ARM16" s="1337"/>
      <c r="ARN16" s="1337"/>
      <c r="ARO16" s="1337"/>
      <c r="ARP16" s="1338"/>
      <c r="ARQ16" s="1339"/>
      <c r="ARR16" s="1340"/>
      <c r="ARS16" s="1340"/>
      <c r="ART16" s="1340"/>
      <c r="ARU16" s="1341"/>
      <c r="ARV16" s="1342"/>
      <c r="ARW16" s="1336"/>
      <c r="ARX16" s="1336"/>
      <c r="ARY16" s="1336"/>
      <c r="ARZ16" s="1336"/>
      <c r="ASA16" s="1337"/>
      <c r="ASB16" s="1337"/>
      <c r="ASC16" s="1337"/>
      <c r="ASD16" s="1337"/>
      <c r="ASE16" s="1337"/>
      <c r="ASF16" s="1338"/>
      <c r="ASG16" s="1339"/>
      <c r="ASH16" s="1340"/>
      <c r="ASI16" s="1340"/>
      <c r="ASJ16" s="1340"/>
      <c r="ASK16" s="1341"/>
      <c r="ASL16" s="1342"/>
      <c r="ASM16" s="1336"/>
      <c r="ASN16" s="1336"/>
      <c r="ASO16" s="1336"/>
      <c r="ASP16" s="1336"/>
      <c r="ASQ16" s="1337"/>
      <c r="ASR16" s="1337"/>
      <c r="ASS16" s="1337"/>
      <c r="AST16" s="1337"/>
      <c r="ASU16" s="1337"/>
      <c r="ASV16" s="1338"/>
      <c r="ASW16" s="1339"/>
      <c r="ASX16" s="1340"/>
      <c r="ASY16" s="1340"/>
      <c r="ASZ16" s="1340"/>
      <c r="ATA16" s="1341"/>
      <c r="ATB16" s="1342"/>
      <c r="ATC16" s="1336"/>
      <c r="ATD16" s="1336"/>
      <c r="ATE16" s="1336"/>
      <c r="ATF16" s="1336"/>
      <c r="ATG16" s="1337"/>
      <c r="ATH16" s="1337"/>
      <c r="ATI16" s="1337"/>
      <c r="ATJ16" s="1337"/>
      <c r="ATK16" s="1337"/>
      <c r="ATL16" s="1338"/>
      <c r="ATM16" s="1339"/>
      <c r="ATN16" s="1340"/>
      <c r="ATO16" s="1340"/>
      <c r="ATP16" s="1340"/>
      <c r="ATQ16" s="1341"/>
      <c r="ATR16" s="1342"/>
      <c r="ATS16" s="1336"/>
      <c r="ATT16" s="1336"/>
      <c r="ATU16" s="1336"/>
      <c r="ATV16" s="1336"/>
      <c r="ATW16" s="1337"/>
      <c r="ATX16" s="1337"/>
      <c r="ATY16" s="1337"/>
      <c r="ATZ16" s="1337"/>
      <c r="AUA16" s="1337"/>
      <c r="AUB16" s="1338"/>
      <c r="AUC16" s="1339"/>
      <c r="AUD16" s="1340"/>
      <c r="AUE16" s="1340"/>
      <c r="AUF16" s="1340"/>
      <c r="AUG16" s="1341"/>
      <c r="AUH16" s="1342"/>
      <c r="AUI16" s="1336"/>
      <c r="AUJ16" s="1336"/>
      <c r="AUK16" s="1336"/>
      <c r="AUL16" s="1336"/>
      <c r="AUM16" s="1337"/>
      <c r="AUN16" s="1337"/>
      <c r="AUO16" s="1337"/>
      <c r="AUP16" s="1337"/>
      <c r="AUQ16" s="1337"/>
      <c r="AUR16" s="1338"/>
      <c r="AUS16" s="1339"/>
      <c r="AUT16" s="1340"/>
      <c r="AUU16" s="1340"/>
      <c r="AUV16" s="1340"/>
      <c r="AUW16" s="1341"/>
      <c r="AUX16" s="1342"/>
      <c r="AUY16" s="1336"/>
      <c r="AUZ16" s="1336"/>
      <c r="AVA16" s="1336"/>
      <c r="AVB16" s="1336"/>
      <c r="AVC16" s="1337"/>
      <c r="AVD16" s="1337"/>
      <c r="AVE16" s="1337"/>
      <c r="AVF16" s="1337"/>
      <c r="AVG16" s="1337"/>
      <c r="AVH16" s="1338"/>
      <c r="AVI16" s="1339"/>
      <c r="AVJ16" s="1340"/>
      <c r="AVK16" s="1340"/>
      <c r="AVL16" s="1340"/>
      <c r="AVM16" s="1341"/>
      <c r="AVN16" s="1342"/>
      <c r="AVO16" s="1336"/>
      <c r="AVP16" s="1336"/>
      <c r="AVQ16" s="1336"/>
      <c r="AVR16" s="1336"/>
      <c r="AVS16" s="1337"/>
      <c r="AVT16" s="1337"/>
      <c r="AVU16" s="1337"/>
      <c r="AVV16" s="1337"/>
      <c r="AVW16" s="1337"/>
      <c r="AVX16" s="1338"/>
      <c r="AVY16" s="1339"/>
      <c r="AVZ16" s="1340"/>
      <c r="AWA16" s="1340"/>
      <c r="AWB16" s="1340"/>
      <c r="AWC16" s="1341"/>
      <c r="AWD16" s="1342"/>
      <c r="AWE16" s="1336"/>
      <c r="AWF16" s="1336"/>
      <c r="AWG16" s="1336"/>
      <c r="AWH16" s="1336"/>
      <c r="AWI16" s="1337"/>
      <c r="AWJ16" s="1337"/>
      <c r="AWK16" s="1337"/>
      <c r="AWL16" s="1337"/>
      <c r="AWM16" s="1337"/>
      <c r="AWN16" s="1338"/>
      <c r="AWO16" s="1339"/>
      <c r="AWP16" s="1340"/>
      <c r="AWQ16" s="1340"/>
      <c r="AWR16" s="1340"/>
      <c r="AWS16" s="1341"/>
      <c r="AWT16" s="1342"/>
      <c r="AWU16" s="1336"/>
      <c r="AWV16" s="1336"/>
      <c r="AWW16" s="1336"/>
      <c r="AWX16" s="1336"/>
      <c r="AWY16" s="1337"/>
      <c r="AWZ16" s="1337"/>
      <c r="AXA16" s="1337"/>
      <c r="AXB16" s="1337"/>
      <c r="AXC16" s="1337"/>
      <c r="AXD16" s="1338"/>
      <c r="AXE16" s="1339"/>
      <c r="AXF16" s="1340"/>
      <c r="AXG16" s="1340"/>
      <c r="AXH16" s="1340"/>
      <c r="AXI16" s="1341"/>
      <c r="AXJ16" s="1342"/>
      <c r="AXK16" s="1336"/>
      <c r="AXL16" s="1336"/>
      <c r="AXM16" s="1336"/>
      <c r="AXN16" s="1336"/>
      <c r="AXO16" s="1337"/>
      <c r="AXP16" s="1337"/>
      <c r="AXQ16" s="1337"/>
      <c r="AXR16" s="1337"/>
      <c r="AXS16" s="1337"/>
      <c r="AXT16" s="1338"/>
      <c r="AXU16" s="1339"/>
      <c r="AXV16" s="1340"/>
      <c r="AXW16" s="1340"/>
      <c r="AXX16" s="1340"/>
      <c r="AXY16" s="1341"/>
      <c r="AXZ16" s="1342"/>
      <c r="AYA16" s="1336"/>
      <c r="AYB16" s="1336"/>
      <c r="AYC16" s="1336"/>
      <c r="AYD16" s="1336"/>
      <c r="AYE16" s="1337"/>
      <c r="AYF16" s="1337"/>
      <c r="AYG16" s="1337"/>
      <c r="AYH16" s="1337"/>
      <c r="AYI16" s="1337"/>
      <c r="AYJ16" s="1338"/>
      <c r="AYK16" s="1339"/>
      <c r="AYL16" s="1340"/>
      <c r="AYM16" s="1340"/>
      <c r="AYN16" s="1340"/>
      <c r="AYO16" s="1341"/>
      <c r="AYP16" s="1342"/>
      <c r="AYQ16" s="1336"/>
      <c r="AYR16" s="1336"/>
      <c r="AYS16" s="1336"/>
      <c r="AYT16" s="1336"/>
      <c r="AYU16" s="1337"/>
      <c r="AYV16" s="1337"/>
      <c r="AYW16" s="1337"/>
      <c r="AYX16" s="1337"/>
      <c r="AYY16" s="1337"/>
      <c r="AYZ16" s="1338"/>
      <c r="AZA16" s="1339"/>
      <c r="AZB16" s="1340"/>
      <c r="AZC16" s="1340"/>
      <c r="AZD16" s="1340"/>
      <c r="AZE16" s="1341"/>
      <c r="AZF16" s="1342"/>
      <c r="AZG16" s="1336"/>
      <c r="AZH16" s="1336"/>
      <c r="AZI16" s="1336"/>
      <c r="AZJ16" s="1336"/>
      <c r="AZK16" s="1337"/>
      <c r="AZL16" s="1337"/>
      <c r="AZM16" s="1337"/>
      <c r="AZN16" s="1337"/>
      <c r="AZO16" s="1337"/>
      <c r="AZP16" s="1338"/>
      <c r="AZQ16" s="1339"/>
      <c r="AZR16" s="1340"/>
      <c r="AZS16" s="1340"/>
      <c r="AZT16" s="1340"/>
      <c r="AZU16" s="1341"/>
      <c r="AZV16" s="1342"/>
      <c r="AZW16" s="1336"/>
      <c r="AZX16" s="1336"/>
      <c r="AZY16" s="1336"/>
      <c r="AZZ16" s="1336"/>
      <c r="BAA16" s="1337"/>
      <c r="BAB16" s="1337"/>
      <c r="BAC16" s="1337"/>
      <c r="BAD16" s="1337"/>
      <c r="BAE16" s="1337"/>
      <c r="BAF16" s="1338"/>
      <c r="BAG16" s="1339"/>
      <c r="BAH16" s="1340"/>
      <c r="BAI16" s="1340"/>
      <c r="BAJ16" s="1340"/>
      <c r="BAK16" s="1341"/>
      <c r="BAL16" s="1342"/>
      <c r="BAM16" s="1336"/>
      <c r="BAN16" s="1336"/>
      <c r="BAO16" s="1336"/>
      <c r="BAP16" s="1336"/>
      <c r="BAQ16" s="1337"/>
      <c r="BAR16" s="1337"/>
      <c r="BAS16" s="1337"/>
      <c r="BAT16" s="1337"/>
      <c r="BAU16" s="1337"/>
      <c r="BAV16" s="1338"/>
      <c r="BAW16" s="1339"/>
      <c r="BAX16" s="1340"/>
      <c r="BAY16" s="1340"/>
      <c r="BAZ16" s="1340"/>
      <c r="BBA16" s="1341"/>
      <c r="BBB16" s="1342"/>
      <c r="BBC16" s="1336"/>
      <c r="BBD16" s="1336"/>
      <c r="BBE16" s="1336"/>
      <c r="BBF16" s="1336"/>
      <c r="BBG16" s="1337"/>
      <c r="BBH16" s="1337"/>
      <c r="BBI16" s="1337"/>
      <c r="BBJ16" s="1337"/>
      <c r="BBK16" s="1337"/>
      <c r="BBL16" s="1338"/>
      <c r="BBM16" s="1339"/>
      <c r="BBN16" s="1340"/>
      <c r="BBO16" s="1340"/>
      <c r="BBP16" s="1340"/>
      <c r="BBQ16" s="1341"/>
      <c r="BBR16" s="1342"/>
      <c r="BBS16" s="1336"/>
      <c r="BBT16" s="1336"/>
      <c r="BBU16" s="1336"/>
      <c r="BBV16" s="1336"/>
      <c r="BBW16" s="1337"/>
      <c r="BBX16" s="1337"/>
      <c r="BBY16" s="1337"/>
      <c r="BBZ16" s="1337"/>
      <c r="BCA16" s="1337"/>
      <c r="BCB16" s="1338"/>
      <c r="BCC16" s="1339"/>
      <c r="BCD16" s="1340"/>
      <c r="BCE16" s="1340"/>
      <c r="BCF16" s="1340"/>
      <c r="BCG16" s="1341"/>
      <c r="BCH16" s="1342"/>
      <c r="BCI16" s="1336"/>
      <c r="BCJ16" s="1336"/>
      <c r="BCK16" s="1336"/>
      <c r="BCL16" s="1336"/>
      <c r="BCM16" s="1337"/>
      <c r="BCN16" s="1337"/>
      <c r="BCO16" s="1337"/>
      <c r="BCP16" s="1337"/>
      <c r="BCQ16" s="1337"/>
      <c r="BCR16" s="1338"/>
      <c r="BCS16" s="1339"/>
      <c r="BCT16" s="1340"/>
      <c r="BCU16" s="1340"/>
      <c r="BCV16" s="1340"/>
      <c r="BCW16" s="1341"/>
      <c r="BCX16" s="1342"/>
      <c r="BCY16" s="1336"/>
      <c r="BCZ16" s="1336"/>
      <c r="BDA16" s="1336"/>
      <c r="BDB16" s="1336"/>
      <c r="BDC16" s="1337"/>
      <c r="BDD16" s="1337"/>
      <c r="BDE16" s="1337"/>
      <c r="BDF16" s="1337"/>
      <c r="BDG16" s="1337"/>
      <c r="BDH16" s="1338"/>
      <c r="BDI16" s="1339"/>
      <c r="BDJ16" s="1340"/>
      <c r="BDK16" s="1340"/>
      <c r="BDL16" s="1340"/>
      <c r="BDM16" s="1341"/>
      <c r="BDN16" s="1342"/>
      <c r="BDO16" s="1336"/>
      <c r="BDP16" s="1336"/>
      <c r="BDQ16" s="1336"/>
      <c r="BDR16" s="1336"/>
      <c r="BDS16" s="1337"/>
      <c r="BDT16" s="1337"/>
      <c r="BDU16" s="1337"/>
      <c r="BDV16" s="1337"/>
      <c r="BDW16" s="1337"/>
      <c r="BDX16" s="1338"/>
      <c r="BDY16" s="1339"/>
      <c r="BDZ16" s="1340"/>
      <c r="BEA16" s="1340"/>
      <c r="BEB16" s="1340"/>
      <c r="BEC16" s="1341"/>
      <c r="BED16" s="1342"/>
      <c r="BEE16" s="1336"/>
      <c r="BEF16" s="1336"/>
      <c r="BEG16" s="1336"/>
      <c r="BEH16" s="1336"/>
      <c r="BEI16" s="1337"/>
      <c r="BEJ16" s="1337"/>
      <c r="BEK16" s="1337"/>
      <c r="BEL16" s="1337"/>
      <c r="BEM16" s="1337"/>
      <c r="BEN16" s="1338"/>
      <c r="BEO16" s="1339"/>
      <c r="BEP16" s="1340"/>
      <c r="BEQ16" s="1340"/>
      <c r="BER16" s="1340"/>
      <c r="BES16" s="1341"/>
      <c r="BET16" s="1342"/>
      <c r="BEU16" s="1336"/>
      <c r="BEV16" s="1336"/>
      <c r="BEW16" s="1336"/>
      <c r="BEX16" s="1336"/>
      <c r="BEY16" s="1337"/>
      <c r="BEZ16" s="1337"/>
      <c r="BFA16" s="1337"/>
      <c r="BFB16" s="1337"/>
      <c r="BFC16" s="1337"/>
      <c r="BFD16" s="1338"/>
      <c r="BFE16" s="1339"/>
      <c r="BFF16" s="1340"/>
      <c r="BFG16" s="1340"/>
      <c r="BFH16" s="1340"/>
      <c r="BFI16" s="1341"/>
      <c r="BFJ16" s="1342"/>
      <c r="BFK16" s="1336"/>
      <c r="BFL16" s="1336"/>
      <c r="BFM16" s="1336"/>
      <c r="BFN16" s="1336"/>
      <c r="BFO16" s="1337"/>
      <c r="BFP16" s="1337"/>
      <c r="BFQ16" s="1337"/>
      <c r="BFR16" s="1337"/>
      <c r="BFS16" s="1337"/>
      <c r="BFT16" s="1338"/>
      <c r="BFU16" s="1339"/>
      <c r="BFV16" s="1340"/>
      <c r="BFW16" s="1340"/>
      <c r="BFX16" s="1340"/>
      <c r="BFY16" s="1341"/>
      <c r="BFZ16" s="1342"/>
      <c r="BGA16" s="1336"/>
      <c r="BGB16" s="1336"/>
      <c r="BGC16" s="1336"/>
      <c r="BGD16" s="1336"/>
      <c r="BGE16" s="1337"/>
      <c r="BGF16" s="1337"/>
      <c r="BGG16" s="1337"/>
      <c r="BGH16" s="1337"/>
      <c r="BGI16" s="1337"/>
      <c r="BGJ16" s="1338"/>
      <c r="BGK16" s="1339"/>
      <c r="BGL16" s="1340"/>
      <c r="BGM16" s="1340"/>
      <c r="BGN16" s="1340"/>
      <c r="BGO16" s="1341"/>
      <c r="BGP16" s="1342"/>
      <c r="BGQ16" s="1336"/>
      <c r="BGR16" s="1336"/>
      <c r="BGS16" s="1336"/>
      <c r="BGT16" s="1336"/>
      <c r="BGU16" s="1337"/>
      <c r="BGV16" s="1337"/>
      <c r="BGW16" s="1337"/>
      <c r="BGX16" s="1337"/>
      <c r="BGY16" s="1337"/>
      <c r="BGZ16" s="1338"/>
      <c r="BHA16" s="1339"/>
      <c r="BHB16" s="1340"/>
      <c r="BHC16" s="1340"/>
      <c r="BHD16" s="1340"/>
      <c r="BHE16" s="1341"/>
      <c r="BHF16" s="1342"/>
      <c r="BHG16" s="1336"/>
      <c r="BHH16" s="1336"/>
      <c r="BHI16" s="1336"/>
      <c r="BHJ16" s="1336"/>
      <c r="BHK16" s="1337"/>
      <c r="BHL16" s="1337"/>
      <c r="BHM16" s="1337"/>
      <c r="BHN16" s="1337"/>
      <c r="BHO16" s="1337"/>
      <c r="BHP16" s="1338"/>
      <c r="BHQ16" s="1339"/>
      <c r="BHR16" s="1340"/>
      <c r="BHS16" s="1340"/>
      <c r="BHT16" s="1340"/>
      <c r="BHU16" s="1341"/>
      <c r="BHV16" s="1342"/>
      <c r="BHW16" s="1336"/>
      <c r="BHX16" s="1336"/>
      <c r="BHY16" s="1336"/>
      <c r="BHZ16" s="1336"/>
      <c r="BIA16" s="1337"/>
      <c r="BIB16" s="1337"/>
      <c r="BIC16" s="1337"/>
      <c r="BID16" s="1337"/>
      <c r="BIE16" s="1337"/>
      <c r="BIF16" s="1338"/>
      <c r="BIG16" s="1339"/>
      <c r="BIH16" s="1340"/>
      <c r="BII16" s="1340"/>
      <c r="BIJ16" s="1340"/>
      <c r="BIK16" s="1341"/>
      <c r="BIL16" s="1342"/>
      <c r="BIM16" s="1336"/>
      <c r="BIN16" s="1336"/>
      <c r="BIO16" s="1336"/>
      <c r="BIP16" s="1336"/>
      <c r="BIQ16" s="1337"/>
      <c r="BIR16" s="1337"/>
      <c r="BIS16" s="1337"/>
      <c r="BIT16" s="1337"/>
      <c r="BIU16" s="1337"/>
      <c r="BIV16" s="1338"/>
      <c r="BIW16" s="1339"/>
      <c r="BIX16" s="1340"/>
      <c r="BIY16" s="1340"/>
      <c r="BIZ16" s="1340"/>
      <c r="BJA16" s="1341"/>
      <c r="BJB16" s="1342"/>
      <c r="BJC16" s="1336"/>
      <c r="BJD16" s="1336"/>
      <c r="BJE16" s="1336"/>
      <c r="BJF16" s="1336"/>
      <c r="BJG16" s="1337"/>
      <c r="BJH16" s="1337"/>
      <c r="BJI16" s="1337"/>
      <c r="BJJ16" s="1337"/>
      <c r="BJK16" s="1337"/>
      <c r="BJL16" s="1338"/>
      <c r="BJM16" s="1339"/>
      <c r="BJN16" s="1340"/>
      <c r="BJO16" s="1340"/>
      <c r="BJP16" s="1340"/>
      <c r="BJQ16" s="1341"/>
      <c r="BJR16" s="1342"/>
      <c r="BJS16" s="1336"/>
      <c r="BJT16" s="1336"/>
      <c r="BJU16" s="1336"/>
      <c r="BJV16" s="1336"/>
      <c r="BJW16" s="1337"/>
      <c r="BJX16" s="1337"/>
      <c r="BJY16" s="1337"/>
      <c r="BJZ16" s="1337"/>
      <c r="BKA16" s="1337"/>
      <c r="BKB16" s="1338"/>
      <c r="BKC16" s="1339"/>
      <c r="BKD16" s="1340"/>
      <c r="BKE16" s="1340"/>
      <c r="BKF16" s="1340"/>
      <c r="BKG16" s="1341"/>
      <c r="BKH16" s="1342"/>
      <c r="BKI16" s="1336"/>
      <c r="BKJ16" s="1336"/>
      <c r="BKK16" s="1336"/>
      <c r="BKL16" s="1336"/>
      <c r="BKM16" s="1337"/>
      <c r="BKN16" s="1337"/>
      <c r="BKO16" s="1337"/>
      <c r="BKP16" s="1337"/>
      <c r="BKQ16" s="1337"/>
      <c r="BKR16" s="1338"/>
      <c r="BKS16" s="1339"/>
      <c r="BKT16" s="1340"/>
      <c r="BKU16" s="1340"/>
      <c r="BKV16" s="1340"/>
      <c r="BKW16" s="1341"/>
      <c r="BKX16" s="1342"/>
      <c r="BKY16" s="1336"/>
      <c r="BKZ16" s="1336"/>
      <c r="BLA16" s="1336"/>
      <c r="BLB16" s="1336"/>
      <c r="BLC16" s="1337"/>
      <c r="BLD16" s="1337"/>
      <c r="BLE16" s="1337"/>
      <c r="BLF16" s="1337"/>
      <c r="BLG16" s="1337"/>
      <c r="BLH16" s="1338"/>
      <c r="BLI16" s="1339"/>
      <c r="BLJ16" s="1340"/>
      <c r="BLK16" s="1340"/>
      <c r="BLL16" s="1340"/>
      <c r="BLM16" s="1341"/>
      <c r="BLN16" s="1342"/>
      <c r="BLO16" s="1336"/>
      <c r="BLP16" s="1336"/>
      <c r="BLQ16" s="1336"/>
      <c r="BLR16" s="1336"/>
      <c r="BLS16" s="1337"/>
      <c r="BLT16" s="1337"/>
      <c r="BLU16" s="1337"/>
      <c r="BLV16" s="1337"/>
      <c r="BLW16" s="1337"/>
      <c r="BLX16" s="1338"/>
      <c r="BLY16" s="1339"/>
      <c r="BLZ16" s="1340"/>
      <c r="BMA16" s="1340"/>
      <c r="BMB16" s="1340"/>
      <c r="BMC16" s="1341"/>
      <c r="BMD16" s="1342"/>
      <c r="BME16" s="1336"/>
      <c r="BMF16" s="1336"/>
      <c r="BMG16" s="1336"/>
      <c r="BMH16" s="1336"/>
      <c r="BMI16" s="1337"/>
      <c r="BMJ16" s="1337"/>
      <c r="BMK16" s="1337"/>
      <c r="BML16" s="1337"/>
      <c r="BMM16" s="1337"/>
      <c r="BMN16" s="1338"/>
      <c r="BMO16" s="1339"/>
      <c r="BMP16" s="1340"/>
      <c r="BMQ16" s="1340"/>
      <c r="BMR16" s="1340"/>
      <c r="BMS16" s="1341"/>
      <c r="BMT16" s="1342"/>
      <c r="BMU16" s="1336"/>
      <c r="BMV16" s="1336"/>
      <c r="BMW16" s="1336"/>
      <c r="BMX16" s="1336"/>
      <c r="BMY16" s="1337"/>
      <c r="BMZ16" s="1337"/>
      <c r="BNA16" s="1337"/>
      <c r="BNB16" s="1337"/>
      <c r="BNC16" s="1337"/>
      <c r="BND16" s="1338"/>
      <c r="BNE16" s="1339"/>
      <c r="BNF16" s="1340"/>
      <c r="BNG16" s="1340"/>
      <c r="BNH16" s="1340"/>
      <c r="BNI16" s="1341"/>
      <c r="BNJ16" s="1342"/>
      <c r="BNK16" s="1336"/>
      <c r="BNL16" s="1336"/>
      <c r="BNM16" s="1336"/>
      <c r="BNN16" s="1336"/>
      <c r="BNO16" s="1337"/>
      <c r="BNP16" s="1337"/>
      <c r="BNQ16" s="1337"/>
      <c r="BNR16" s="1337"/>
      <c r="BNS16" s="1337"/>
      <c r="BNT16" s="1338"/>
      <c r="BNU16" s="1339"/>
      <c r="BNV16" s="1340"/>
      <c r="BNW16" s="1340"/>
      <c r="BNX16" s="1340"/>
      <c r="BNY16" s="1341"/>
      <c r="BNZ16" s="1342"/>
      <c r="BOA16" s="1336"/>
      <c r="BOB16" s="1336"/>
      <c r="BOC16" s="1336"/>
      <c r="BOD16" s="1336"/>
      <c r="BOE16" s="1337"/>
      <c r="BOF16" s="1337"/>
      <c r="BOG16" s="1337"/>
      <c r="BOH16" s="1337"/>
      <c r="BOI16" s="1337"/>
      <c r="BOJ16" s="1338"/>
      <c r="BOK16" s="1339"/>
      <c r="BOL16" s="1340"/>
      <c r="BOM16" s="1340"/>
      <c r="BON16" s="1340"/>
      <c r="BOO16" s="1341"/>
      <c r="BOP16" s="1342"/>
      <c r="BOQ16" s="1336"/>
      <c r="BOR16" s="1336"/>
      <c r="BOS16" s="1336"/>
      <c r="BOT16" s="1336"/>
      <c r="BOU16" s="1337"/>
      <c r="BOV16" s="1337"/>
      <c r="BOW16" s="1337"/>
      <c r="BOX16" s="1337"/>
      <c r="BOY16" s="1337"/>
      <c r="BOZ16" s="1338"/>
      <c r="BPA16" s="1339"/>
      <c r="BPB16" s="1340"/>
      <c r="BPC16" s="1340"/>
      <c r="BPD16" s="1340"/>
      <c r="BPE16" s="1341"/>
      <c r="BPF16" s="1342"/>
      <c r="BPG16" s="1336"/>
      <c r="BPH16" s="1336"/>
      <c r="BPI16" s="1336"/>
      <c r="BPJ16" s="1336"/>
      <c r="BPK16" s="1337"/>
      <c r="BPL16" s="1337"/>
      <c r="BPM16" s="1337"/>
      <c r="BPN16" s="1337"/>
      <c r="BPO16" s="1337"/>
      <c r="BPP16" s="1338"/>
      <c r="BPQ16" s="1339"/>
      <c r="BPR16" s="1340"/>
      <c r="BPS16" s="1340"/>
      <c r="BPT16" s="1340"/>
      <c r="BPU16" s="1341"/>
      <c r="BPV16" s="1342"/>
      <c r="BPW16" s="1336"/>
      <c r="BPX16" s="1336"/>
      <c r="BPY16" s="1336"/>
      <c r="BPZ16" s="1336"/>
      <c r="BQA16" s="1337"/>
      <c r="BQB16" s="1337"/>
      <c r="BQC16" s="1337"/>
      <c r="BQD16" s="1337"/>
      <c r="BQE16" s="1337"/>
      <c r="BQF16" s="1338"/>
      <c r="BQG16" s="1339"/>
      <c r="BQH16" s="1340"/>
      <c r="BQI16" s="1340"/>
      <c r="BQJ16" s="1340"/>
      <c r="BQK16" s="1341"/>
      <c r="BQL16" s="1342"/>
      <c r="BQM16" s="1336"/>
      <c r="BQN16" s="1336"/>
      <c r="BQO16" s="1336"/>
      <c r="BQP16" s="1336"/>
      <c r="BQQ16" s="1337"/>
      <c r="BQR16" s="1337"/>
      <c r="BQS16" s="1337"/>
      <c r="BQT16" s="1337"/>
      <c r="BQU16" s="1337"/>
      <c r="BQV16" s="1338"/>
      <c r="BQW16" s="1339"/>
      <c r="BQX16" s="1340"/>
      <c r="BQY16" s="1340"/>
      <c r="BQZ16" s="1340"/>
      <c r="BRA16" s="1341"/>
      <c r="BRB16" s="1342"/>
      <c r="BRC16" s="1336"/>
      <c r="BRD16" s="1336"/>
      <c r="BRE16" s="1336"/>
      <c r="BRF16" s="1336"/>
      <c r="BRG16" s="1337"/>
      <c r="BRH16" s="1337"/>
      <c r="BRI16" s="1337"/>
      <c r="BRJ16" s="1337"/>
      <c r="BRK16" s="1337"/>
      <c r="BRL16" s="1338"/>
      <c r="BRM16" s="1339"/>
      <c r="BRN16" s="1340"/>
      <c r="BRO16" s="1340"/>
      <c r="BRP16" s="1340"/>
      <c r="BRQ16" s="1341"/>
      <c r="BRR16" s="1342"/>
      <c r="BRS16" s="1336"/>
      <c r="BRT16" s="1336"/>
      <c r="BRU16" s="1336"/>
      <c r="BRV16" s="1336"/>
      <c r="BRW16" s="1337"/>
      <c r="BRX16" s="1337"/>
      <c r="BRY16" s="1337"/>
      <c r="BRZ16" s="1337"/>
      <c r="BSA16" s="1337"/>
      <c r="BSB16" s="1338"/>
      <c r="BSC16" s="1339"/>
      <c r="BSD16" s="1340"/>
      <c r="BSE16" s="1340"/>
      <c r="BSF16" s="1340"/>
      <c r="BSG16" s="1341"/>
      <c r="BSH16" s="1342"/>
      <c r="BSI16" s="1336"/>
      <c r="BSJ16" s="1336"/>
      <c r="BSK16" s="1336"/>
      <c r="BSL16" s="1336"/>
      <c r="BSM16" s="1337"/>
      <c r="BSN16" s="1337"/>
      <c r="BSO16" s="1337"/>
      <c r="BSP16" s="1337"/>
      <c r="BSQ16" s="1337"/>
      <c r="BSR16" s="1338"/>
      <c r="BSS16" s="1339"/>
      <c r="BST16" s="1340"/>
      <c r="BSU16" s="1340"/>
      <c r="BSV16" s="1340"/>
      <c r="BSW16" s="1341"/>
      <c r="BSX16" s="1342"/>
      <c r="BSY16" s="1336"/>
      <c r="BSZ16" s="1336"/>
      <c r="BTA16" s="1336"/>
      <c r="BTB16" s="1336"/>
      <c r="BTC16" s="1337"/>
      <c r="BTD16" s="1337"/>
      <c r="BTE16" s="1337"/>
      <c r="BTF16" s="1337"/>
      <c r="BTG16" s="1337"/>
      <c r="BTH16" s="1338"/>
      <c r="BTI16" s="1339"/>
      <c r="BTJ16" s="1340"/>
      <c r="BTK16" s="1340"/>
      <c r="BTL16" s="1340"/>
      <c r="BTM16" s="1341"/>
      <c r="BTN16" s="1342"/>
      <c r="BTO16" s="1336"/>
      <c r="BTP16" s="1336"/>
      <c r="BTQ16" s="1336"/>
      <c r="BTR16" s="1336"/>
      <c r="BTS16" s="1337"/>
      <c r="BTT16" s="1337"/>
      <c r="BTU16" s="1337"/>
      <c r="BTV16" s="1337"/>
      <c r="BTW16" s="1337"/>
      <c r="BTX16" s="1338"/>
      <c r="BTY16" s="1339"/>
      <c r="BTZ16" s="1340"/>
      <c r="BUA16" s="1340"/>
      <c r="BUB16" s="1340"/>
      <c r="BUC16" s="1341"/>
      <c r="BUD16" s="1342"/>
      <c r="BUE16" s="1336"/>
      <c r="BUF16" s="1336"/>
      <c r="BUG16" s="1336"/>
      <c r="BUH16" s="1336"/>
      <c r="BUI16" s="1337"/>
      <c r="BUJ16" s="1337"/>
      <c r="BUK16" s="1337"/>
      <c r="BUL16" s="1337"/>
      <c r="BUM16" s="1337"/>
      <c r="BUN16" s="1338"/>
      <c r="BUO16" s="1339"/>
      <c r="BUP16" s="1340"/>
      <c r="BUQ16" s="1340"/>
      <c r="BUR16" s="1340"/>
      <c r="BUS16" s="1341"/>
      <c r="BUT16" s="1342"/>
      <c r="BUU16" s="1336"/>
      <c r="BUV16" s="1336"/>
      <c r="BUW16" s="1336"/>
      <c r="BUX16" s="1336"/>
      <c r="BUY16" s="1337"/>
      <c r="BUZ16" s="1337"/>
      <c r="BVA16" s="1337"/>
      <c r="BVB16" s="1337"/>
      <c r="BVC16" s="1337"/>
      <c r="BVD16" s="1338"/>
      <c r="BVE16" s="1339"/>
      <c r="BVF16" s="1340"/>
      <c r="BVG16" s="1340"/>
      <c r="BVH16" s="1340"/>
      <c r="BVI16" s="1341"/>
      <c r="BVJ16" s="1342"/>
      <c r="BVK16" s="1336"/>
      <c r="BVL16" s="1336"/>
      <c r="BVM16" s="1336"/>
      <c r="BVN16" s="1336"/>
      <c r="BVO16" s="1337"/>
      <c r="BVP16" s="1337"/>
      <c r="BVQ16" s="1337"/>
      <c r="BVR16" s="1337"/>
      <c r="BVS16" s="1337"/>
      <c r="BVT16" s="1338"/>
      <c r="BVU16" s="1339"/>
      <c r="BVV16" s="1340"/>
      <c r="BVW16" s="1340"/>
      <c r="BVX16" s="1340"/>
      <c r="BVY16" s="1341"/>
      <c r="BVZ16" s="1342"/>
      <c r="BWA16" s="1336"/>
      <c r="BWB16" s="1336"/>
      <c r="BWC16" s="1336"/>
      <c r="BWD16" s="1336"/>
      <c r="BWE16" s="1337"/>
      <c r="BWF16" s="1337"/>
      <c r="BWG16" s="1337"/>
      <c r="BWH16" s="1337"/>
      <c r="BWI16" s="1337"/>
      <c r="BWJ16" s="1338"/>
      <c r="BWK16" s="1339"/>
      <c r="BWL16" s="1340"/>
      <c r="BWM16" s="1340"/>
      <c r="BWN16" s="1340"/>
      <c r="BWO16" s="1341"/>
      <c r="BWP16" s="1342"/>
      <c r="BWQ16" s="1336"/>
      <c r="BWR16" s="1336"/>
      <c r="BWS16" s="1336"/>
      <c r="BWT16" s="1336"/>
      <c r="BWU16" s="1337"/>
      <c r="BWV16" s="1337"/>
      <c r="BWW16" s="1337"/>
      <c r="BWX16" s="1337"/>
      <c r="BWY16" s="1337"/>
      <c r="BWZ16" s="1338"/>
      <c r="BXA16" s="1339"/>
      <c r="BXB16" s="1340"/>
      <c r="BXC16" s="1340"/>
      <c r="BXD16" s="1340"/>
      <c r="BXE16" s="1341"/>
      <c r="BXF16" s="1342"/>
      <c r="BXG16" s="1336"/>
      <c r="BXH16" s="1336"/>
      <c r="BXI16" s="1336"/>
      <c r="BXJ16" s="1336"/>
      <c r="BXK16" s="1337"/>
      <c r="BXL16" s="1337"/>
      <c r="BXM16" s="1337"/>
      <c r="BXN16" s="1337"/>
      <c r="BXO16" s="1337"/>
      <c r="BXP16" s="1338"/>
      <c r="BXQ16" s="1339"/>
      <c r="BXR16" s="1340"/>
      <c r="BXS16" s="1340"/>
      <c r="BXT16" s="1340"/>
      <c r="BXU16" s="1341"/>
      <c r="BXV16" s="1342"/>
      <c r="BXW16" s="1336"/>
      <c r="BXX16" s="1336"/>
      <c r="BXY16" s="1336"/>
      <c r="BXZ16" s="1336"/>
      <c r="BYA16" s="1337"/>
      <c r="BYB16" s="1337"/>
      <c r="BYC16" s="1337"/>
      <c r="BYD16" s="1337"/>
      <c r="BYE16" s="1337"/>
      <c r="BYF16" s="1338"/>
      <c r="BYG16" s="1339"/>
      <c r="BYH16" s="1340"/>
      <c r="BYI16" s="1340"/>
      <c r="BYJ16" s="1340"/>
      <c r="BYK16" s="1341"/>
      <c r="BYL16" s="1342"/>
      <c r="BYM16" s="1336"/>
      <c r="BYN16" s="1336"/>
      <c r="BYO16" s="1336"/>
      <c r="BYP16" s="1336"/>
      <c r="BYQ16" s="1337"/>
      <c r="BYR16" s="1337"/>
      <c r="BYS16" s="1337"/>
      <c r="BYT16" s="1337"/>
      <c r="BYU16" s="1337"/>
      <c r="BYV16" s="1338"/>
      <c r="BYW16" s="1339"/>
      <c r="BYX16" s="1340"/>
      <c r="BYY16" s="1340"/>
      <c r="BYZ16" s="1340"/>
      <c r="BZA16" s="1341"/>
      <c r="BZB16" s="1342"/>
      <c r="BZC16" s="1336"/>
      <c r="BZD16" s="1336"/>
      <c r="BZE16" s="1336"/>
      <c r="BZF16" s="1336"/>
      <c r="BZG16" s="1337"/>
      <c r="BZH16" s="1337"/>
      <c r="BZI16" s="1337"/>
      <c r="BZJ16" s="1337"/>
      <c r="BZK16" s="1337"/>
      <c r="BZL16" s="1338"/>
      <c r="BZM16" s="1339"/>
      <c r="BZN16" s="1340"/>
      <c r="BZO16" s="1340"/>
      <c r="BZP16" s="1340"/>
      <c r="BZQ16" s="1341"/>
      <c r="BZR16" s="1342"/>
      <c r="BZS16" s="1336"/>
      <c r="BZT16" s="1336"/>
      <c r="BZU16" s="1336"/>
      <c r="BZV16" s="1336"/>
      <c r="BZW16" s="1337"/>
      <c r="BZX16" s="1337"/>
      <c r="BZY16" s="1337"/>
      <c r="BZZ16" s="1337"/>
      <c r="CAA16" s="1337"/>
      <c r="CAB16" s="1338"/>
      <c r="CAC16" s="1339"/>
      <c r="CAD16" s="1340"/>
      <c r="CAE16" s="1340"/>
      <c r="CAF16" s="1340"/>
      <c r="CAG16" s="1341"/>
      <c r="CAH16" s="1342"/>
      <c r="CAI16" s="1336"/>
      <c r="CAJ16" s="1336"/>
      <c r="CAK16" s="1336"/>
      <c r="CAL16" s="1336"/>
      <c r="CAM16" s="1337"/>
      <c r="CAN16" s="1337"/>
      <c r="CAO16" s="1337"/>
      <c r="CAP16" s="1337"/>
      <c r="CAQ16" s="1337"/>
      <c r="CAR16" s="1338"/>
      <c r="CAS16" s="1339"/>
      <c r="CAT16" s="1340"/>
      <c r="CAU16" s="1340"/>
      <c r="CAV16" s="1340"/>
      <c r="CAW16" s="1341"/>
      <c r="CAX16" s="1342"/>
      <c r="CAY16" s="1336"/>
      <c r="CAZ16" s="1336"/>
      <c r="CBA16" s="1336"/>
      <c r="CBB16" s="1336"/>
      <c r="CBC16" s="1337"/>
      <c r="CBD16" s="1337"/>
      <c r="CBE16" s="1337"/>
      <c r="CBF16" s="1337"/>
      <c r="CBG16" s="1337"/>
      <c r="CBH16" s="1338"/>
      <c r="CBI16" s="1339"/>
      <c r="CBJ16" s="1340"/>
      <c r="CBK16" s="1340"/>
      <c r="CBL16" s="1340"/>
      <c r="CBM16" s="1341"/>
      <c r="CBN16" s="1342"/>
      <c r="CBO16" s="1336"/>
      <c r="CBP16" s="1336"/>
      <c r="CBQ16" s="1336"/>
      <c r="CBR16" s="1336"/>
      <c r="CBS16" s="1337"/>
      <c r="CBT16" s="1337"/>
      <c r="CBU16" s="1337"/>
      <c r="CBV16" s="1337"/>
      <c r="CBW16" s="1337"/>
      <c r="CBX16" s="1338"/>
      <c r="CBY16" s="1339"/>
      <c r="CBZ16" s="1340"/>
      <c r="CCA16" s="1340"/>
      <c r="CCB16" s="1340"/>
      <c r="CCC16" s="1341"/>
      <c r="CCD16" s="1342"/>
      <c r="CCE16" s="1336"/>
      <c r="CCF16" s="1336"/>
      <c r="CCG16" s="1336"/>
      <c r="CCH16" s="1336"/>
      <c r="CCI16" s="1337"/>
      <c r="CCJ16" s="1337"/>
      <c r="CCK16" s="1337"/>
      <c r="CCL16" s="1337"/>
      <c r="CCM16" s="1337"/>
      <c r="CCN16" s="1338"/>
      <c r="CCO16" s="1339"/>
      <c r="CCP16" s="1340"/>
      <c r="CCQ16" s="1340"/>
      <c r="CCR16" s="1340"/>
      <c r="CCS16" s="1341"/>
      <c r="CCT16" s="1342"/>
      <c r="CCU16" s="1336"/>
      <c r="CCV16" s="1336"/>
      <c r="CCW16" s="1336"/>
      <c r="CCX16" s="1336"/>
      <c r="CCY16" s="1337"/>
      <c r="CCZ16" s="1337"/>
      <c r="CDA16" s="1337"/>
      <c r="CDB16" s="1337"/>
      <c r="CDC16" s="1337"/>
      <c r="CDD16" s="1338"/>
      <c r="CDE16" s="1339"/>
      <c r="CDF16" s="1340"/>
      <c r="CDG16" s="1340"/>
      <c r="CDH16" s="1340"/>
      <c r="CDI16" s="1341"/>
      <c r="CDJ16" s="1342"/>
      <c r="CDK16" s="1336"/>
      <c r="CDL16" s="1336"/>
      <c r="CDM16" s="1336"/>
      <c r="CDN16" s="1336"/>
      <c r="CDO16" s="1337"/>
      <c r="CDP16" s="1337"/>
      <c r="CDQ16" s="1337"/>
      <c r="CDR16" s="1337"/>
      <c r="CDS16" s="1337"/>
      <c r="CDT16" s="1338"/>
      <c r="CDU16" s="1339"/>
      <c r="CDV16" s="1340"/>
      <c r="CDW16" s="1340"/>
      <c r="CDX16" s="1340"/>
      <c r="CDY16" s="1341"/>
      <c r="CDZ16" s="1342"/>
      <c r="CEA16" s="1336"/>
      <c r="CEB16" s="1336"/>
      <c r="CEC16" s="1336"/>
      <c r="CED16" s="1336"/>
      <c r="CEE16" s="1337"/>
      <c r="CEF16" s="1337"/>
      <c r="CEG16" s="1337"/>
      <c r="CEH16" s="1337"/>
      <c r="CEI16" s="1337"/>
      <c r="CEJ16" s="1338"/>
      <c r="CEK16" s="1339"/>
      <c r="CEL16" s="1340"/>
      <c r="CEM16" s="1340"/>
      <c r="CEN16" s="1340"/>
      <c r="CEO16" s="1341"/>
      <c r="CEP16" s="1342"/>
      <c r="CEQ16" s="1336"/>
      <c r="CER16" s="1336"/>
      <c r="CES16" s="1336"/>
      <c r="CET16" s="1336"/>
      <c r="CEU16" s="1337"/>
      <c r="CEV16" s="1337"/>
      <c r="CEW16" s="1337"/>
      <c r="CEX16" s="1337"/>
      <c r="CEY16" s="1337"/>
      <c r="CEZ16" s="1338"/>
      <c r="CFA16" s="1339"/>
      <c r="CFB16" s="1340"/>
      <c r="CFC16" s="1340"/>
      <c r="CFD16" s="1340"/>
      <c r="CFE16" s="1341"/>
      <c r="CFF16" s="1342"/>
      <c r="CFG16" s="1336"/>
      <c r="CFH16" s="1336"/>
      <c r="CFI16" s="1336"/>
      <c r="CFJ16" s="1336"/>
      <c r="CFK16" s="1337"/>
      <c r="CFL16" s="1337"/>
      <c r="CFM16" s="1337"/>
      <c r="CFN16" s="1337"/>
      <c r="CFO16" s="1337"/>
      <c r="CFP16" s="1338"/>
      <c r="CFQ16" s="1339"/>
      <c r="CFR16" s="1340"/>
      <c r="CFS16" s="1340"/>
      <c r="CFT16" s="1340"/>
      <c r="CFU16" s="1341"/>
      <c r="CFV16" s="1342"/>
      <c r="CFW16" s="1336"/>
      <c r="CFX16" s="1336"/>
      <c r="CFY16" s="1336"/>
      <c r="CFZ16" s="1336"/>
      <c r="CGA16" s="1337"/>
      <c r="CGB16" s="1337"/>
      <c r="CGC16" s="1337"/>
      <c r="CGD16" s="1337"/>
      <c r="CGE16" s="1337"/>
      <c r="CGF16" s="1338"/>
      <c r="CGG16" s="1339"/>
      <c r="CGH16" s="1340"/>
      <c r="CGI16" s="1340"/>
      <c r="CGJ16" s="1340"/>
      <c r="CGK16" s="1341"/>
      <c r="CGL16" s="1342"/>
      <c r="CGM16" s="1336"/>
      <c r="CGN16" s="1336"/>
      <c r="CGO16" s="1336"/>
      <c r="CGP16" s="1336"/>
      <c r="CGQ16" s="1337"/>
      <c r="CGR16" s="1337"/>
      <c r="CGS16" s="1337"/>
      <c r="CGT16" s="1337"/>
      <c r="CGU16" s="1337"/>
      <c r="CGV16" s="1338"/>
      <c r="CGW16" s="1339"/>
      <c r="CGX16" s="1340"/>
      <c r="CGY16" s="1340"/>
      <c r="CGZ16" s="1340"/>
      <c r="CHA16" s="1341"/>
      <c r="CHB16" s="1342"/>
      <c r="CHC16" s="1336"/>
      <c r="CHD16" s="1336"/>
      <c r="CHE16" s="1336"/>
      <c r="CHF16" s="1336"/>
      <c r="CHG16" s="1337"/>
      <c r="CHH16" s="1337"/>
      <c r="CHI16" s="1337"/>
      <c r="CHJ16" s="1337"/>
      <c r="CHK16" s="1337"/>
      <c r="CHL16" s="1338"/>
      <c r="CHM16" s="1339"/>
      <c r="CHN16" s="1340"/>
      <c r="CHO16" s="1340"/>
      <c r="CHP16" s="1340"/>
      <c r="CHQ16" s="1341"/>
      <c r="CHR16" s="1342"/>
      <c r="CHS16" s="1336"/>
      <c r="CHT16" s="1336"/>
      <c r="CHU16" s="1336"/>
      <c r="CHV16" s="1336"/>
      <c r="CHW16" s="1337"/>
      <c r="CHX16" s="1337"/>
      <c r="CHY16" s="1337"/>
      <c r="CHZ16" s="1337"/>
      <c r="CIA16" s="1337"/>
      <c r="CIB16" s="1338"/>
      <c r="CIC16" s="1339"/>
      <c r="CID16" s="1340"/>
      <c r="CIE16" s="1340"/>
      <c r="CIF16" s="1340"/>
      <c r="CIG16" s="1341"/>
      <c r="CIH16" s="1342"/>
      <c r="CII16" s="1336"/>
      <c r="CIJ16" s="1336"/>
      <c r="CIK16" s="1336"/>
      <c r="CIL16" s="1336"/>
      <c r="CIM16" s="1337"/>
      <c r="CIN16" s="1337"/>
      <c r="CIO16" s="1337"/>
      <c r="CIP16" s="1337"/>
      <c r="CIQ16" s="1337"/>
      <c r="CIR16" s="1338"/>
      <c r="CIS16" s="1339"/>
      <c r="CIT16" s="1340"/>
      <c r="CIU16" s="1340"/>
      <c r="CIV16" s="1340"/>
      <c r="CIW16" s="1341"/>
      <c r="CIX16" s="1342"/>
      <c r="CIY16" s="1336"/>
      <c r="CIZ16" s="1336"/>
      <c r="CJA16" s="1336"/>
      <c r="CJB16" s="1336"/>
      <c r="CJC16" s="1337"/>
      <c r="CJD16" s="1337"/>
      <c r="CJE16" s="1337"/>
      <c r="CJF16" s="1337"/>
      <c r="CJG16" s="1337"/>
      <c r="CJH16" s="1338"/>
      <c r="CJI16" s="1339"/>
      <c r="CJJ16" s="1340"/>
      <c r="CJK16" s="1340"/>
      <c r="CJL16" s="1340"/>
      <c r="CJM16" s="1341"/>
      <c r="CJN16" s="1342"/>
      <c r="CJO16" s="1336"/>
      <c r="CJP16" s="1336"/>
      <c r="CJQ16" s="1336"/>
      <c r="CJR16" s="1336"/>
      <c r="CJS16" s="1337"/>
      <c r="CJT16" s="1337"/>
      <c r="CJU16" s="1337"/>
      <c r="CJV16" s="1337"/>
      <c r="CJW16" s="1337"/>
      <c r="CJX16" s="1338"/>
      <c r="CJY16" s="1339"/>
      <c r="CJZ16" s="1340"/>
      <c r="CKA16" s="1340"/>
      <c r="CKB16" s="1340"/>
      <c r="CKC16" s="1341"/>
      <c r="CKD16" s="1342"/>
      <c r="CKE16" s="1336"/>
      <c r="CKF16" s="1336"/>
      <c r="CKG16" s="1336"/>
      <c r="CKH16" s="1336"/>
      <c r="CKI16" s="1337"/>
      <c r="CKJ16" s="1337"/>
      <c r="CKK16" s="1337"/>
      <c r="CKL16" s="1337"/>
      <c r="CKM16" s="1337"/>
      <c r="CKN16" s="1338"/>
      <c r="CKO16" s="1339"/>
      <c r="CKP16" s="1340"/>
      <c r="CKQ16" s="1340"/>
      <c r="CKR16" s="1340"/>
      <c r="CKS16" s="1341"/>
      <c r="CKT16" s="1342"/>
      <c r="CKU16" s="1336"/>
      <c r="CKV16" s="1336"/>
      <c r="CKW16" s="1336"/>
      <c r="CKX16" s="1336"/>
      <c r="CKY16" s="1337"/>
      <c r="CKZ16" s="1337"/>
      <c r="CLA16" s="1337"/>
      <c r="CLB16" s="1337"/>
      <c r="CLC16" s="1337"/>
      <c r="CLD16" s="1338"/>
      <c r="CLE16" s="1339"/>
      <c r="CLF16" s="1340"/>
      <c r="CLG16" s="1340"/>
      <c r="CLH16" s="1340"/>
      <c r="CLI16" s="1341"/>
      <c r="CLJ16" s="1342"/>
      <c r="CLK16" s="1336"/>
      <c r="CLL16" s="1336"/>
      <c r="CLM16" s="1336"/>
      <c r="CLN16" s="1336"/>
      <c r="CLO16" s="1337"/>
      <c r="CLP16" s="1337"/>
      <c r="CLQ16" s="1337"/>
      <c r="CLR16" s="1337"/>
      <c r="CLS16" s="1337"/>
      <c r="CLT16" s="1338"/>
      <c r="CLU16" s="1339"/>
      <c r="CLV16" s="1340"/>
      <c r="CLW16" s="1340"/>
      <c r="CLX16" s="1340"/>
      <c r="CLY16" s="1341"/>
      <c r="CLZ16" s="1342"/>
      <c r="CMA16" s="1336"/>
      <c r="CMB16" s="1336"/>
      <c r="CMC16" s="1336"/>
      <c r="CMD16" s="1336"/>
      <c r="CME16" s="1337"/>
      <c r="CMF16" s="1337"/>
      <c r="CMG16" s="1337"/>
      <c r="CMH16" s="1337"/>
      <c r="CMI16" s="1337"/>
      <c r="CMJ16" s="1338"/>
      <c r="CMK16" s="1339"/>
      <c r="CML16" s="1340"/>
      <c r="CMM16" s="1340"/>
      <c r="CMN16" s="1340"/>
      <c r="CMO16" s="1341"/>
      <c r="CMP16" s="1342"/>
      <c r="CMQ16" s="1336"/>
      <c r="CMR16" s="1336"/>
      <c r="CMS16" s="1336"/>
      <c r="CMT16" s="1336"/>
      <c r="CMU16" s="1337"/>
      <c r="CMV16" s="1337"/>
      <c r="CMW16" s="1337"/>
      <c r="CMX16" s="1337"/>
      <c r="CMY16" s="1337"/>
      <c r="CMZ16" s="1338"/>
      <c r="CNA16" s="1339"/>
      <c r="CNB16" s="1340"/>
      <c r="CNC16" s="1340"/>
      <c r="CND16" s="1340"/>
      <c r="CNE16" s="1341"/>
      <c r="CNF16" s="1342"/>
      <c r="CNG16" s="1336"/>
      <c r="CNH16" s="1336"/>
      <c r="CNI16" s="1336"/>
      <c r="CNJ16" s="1336"/>
      <c r="CNK16" s="1337"/>
      <c r="CNL16" s="1337"/>
      <c r="CNM16" s="1337"/>
      <c r="CNN16" s="1337"/>
      <c r="CNO16" s="1337"/>
      <c r="CNP16" s="1338"/>
      <c r="CNQ16" s="1339"/>
      <c r="CNR16" s="1340"/>
      <c r="CNS16" s="1340"/>
      <c r="CNT16" s="1340"/>
      <c r="CNU16" s="1341"/>
      <c r="CNV16" s="1342"/>
      <c r="CNW16" s="1336"/>
      <c r="CNX16" s="1336"/>
      <c r="CNY16" s="1336"/>
      <c r="CNZ16" s="1336"/>
      <c r="COA16" s="1337"/>
      <c r="COB16" s="1337"/>
      <c r="COC16" s="1337"/>
      <c r="COD16" s="1337"/>
      <c r="COE16" s="1337"/>
      <c r="COF16" s="1338"/>
      <c r="COG16" s="1339"/>
      <c r="COH16" s="1340"/>
      <c r="COI16" s="1340"/>
      <c r="COJ16" s="1340"/>
      <c r="COK16" s="1341"/>
      <c r="COL16" s="1342"/>
      <c r="COM16" s="1336"/>
      <c r="CON16" s="1336"/>
      <c r="COO16" s="1336"/>
      <c r="COP16" s="1336"/>
      <c r="COQ16" s="1337"/>
      <c r="COR16" s="1337"/>
      <c r="COS16" s="1337"/>
      <c r="COT16" s="1337"/>
      <c r="COU16" s="1337"/>
      <c r="COV16" s="1338"/>
      <c r="COW16" s="1339"/>
      <c r="COX16" s="1340"/>
      <c r="COY16" s="1340"/>
      <c r="COZ16" s="1340"/>
      <c r="CPA16" s="1341"/>
      <c r="CPB16" s="1342"/>
      <c r="CPC16" s="1336"/>
      <c r="CPD16" s="1336"/>
      <c r="CPE16" s="1336"/>
      <c r="CPF16" s="1336"/>
      <c r="CPG16" s="1337"/>
      <c r="CPH16" s="1337"/>
      <c r="CPI16" s="1337"/>
      <c r="CPJ16" s="1337"/>
      <c r="CPK16" s="1337"/>
      <c r="CPL16" s="1338"/>
      <c r="CPM16" s="1339"/>
      <c r="CPN16" s="1340"/>
      <c r="CPO16" s="1340"/>
      <c r="CPP16" s="1340"/>
      <c r="CPQ16" s="1341"/>
      <c r="CPR16" s="1342"/>
      <c r="CPS16" s="1336"/>
      <c r="CPT16" s="1336"/>
      <c r="CPU16" s="1336"/>
      <c r="CPV16" s="1336"/>
      <c r="CPW16" s="1337"/>
      <c r="CPX16" s="1337"/>
      <c r="CPY16" s="1337"/>
      <c r="CPZ16" s="1337"/>
      <c r="CQA16" s="1337"/>
      <c r="CQB16" s="1338"/>
      <c r="CQC16" s="1339"/>
      <c r="CQD16" s="1340"/>
      <c r="CQE16" s="1340"/>
      <c r="CQF16" s="1340"/>
      <c r="CQG16" s="1341"/>
      <c r="CQH16" s="1342"/>
      <c r="CQI16" s="1336"/>
      <c r="CQJ16" s="1336"/>
      <c r="CQK16" s="1336"/>
      <c r="CQL16" s="1336"/>
      <c r="CQM16" s="1337"/>
      <c r="CQN16" s="1337"/>
      <c r="CQO16" s="1337"/>
      <c r="CQP16" s="1337"/>
      <c r="CQQ16" s="1337"/>
      <c r="CQR16" s="1338"/>
      <c r="CQS16" s="1339"/>
      <c r="CQT16" s="1340"/>
      <c r="CQU16" s="1340"/>
      <c r="CQV16" s="1340"/>
      <c r="CQW16" s="1341"/>
      <c r="CQX16" s="1342"/>
      <c r="CQY16" s="1336"/>
      <c r="CQZ16" s="1336"/>
      <c r="CRA16" s="1336"/>
      <c r="CRB16" s="1336"/>
      <c r="CRC16" s="1337"/>
      <c r="CRD16" s="1337"/>
      <c r="CRE16" s="1337"/>
      <c r="CRF16" s="1337"/>
      <c r="CRG16" s="1337"/>
      <c r="CRH16" s="1338"/>
      <c r="CRI16" s="1339"/>
      <c r="CRJ16" s="1340"/>
      <c r="CRK16" s="1340"/>
      <c r="CRL16" s="1340"/>
      <c r="CRM16" s="1341"/>
      <c r="CRN16" s="1342"/>
      <c r="CRO16" s="1336"/>
      <c r="CRP16" s="1336"/>
      <c r="CRQ16" s="1336"/>
      <c r="CRR16" s="1336"/>
      <c r="CRS16" s="1337"/>
      <c r="CRT16" s="1337"/>
      <c r="CRU16" s="1337"/>
      <c r="CRV16" s="1337"/>
      <c r="CRW16" s="1337"/>
      <c r="CRX16" s="1338"/>
      <c r="CRY16" s="1339"/>
      <c r="CRZ16" s="1340"/>
      <c r="CSA16" s="1340"/>
      <c r="CSB16" s="1340"/>
      <c r="CSC16" s="1341"/>
      <c r="CSD16" s="1342"/>
      <c r="CSE16" s="1336"/>
      <c r="CSF16" s="1336"/>
      <c r="CSG16" s="1336"/>
      <c r="CSH16" s="1336"/>
      <c r="CSI16" s="1337"/>
      <c r="CSJ16" s="1337"/>
      <c r="CSK16" s="1337"/>
      <c r="CSL16" s="1337"/>
      <c r="CSM16" s="1337"/>
      <c r="CSN16" s="1338"/>
      <c r="CSO16" s="1339"/>
      <c r="CSP16" s="1340"/>
      <c r="CSQ16" s="1340"/>
      <c r="CSR16" s="1340"/>
      <c r="CSS16" s="1341"/>
      <c r="CST16" s="1342"/>
      <c r="CSU16" s="1336"/>
      <c r="CSV16" s="1336"/>
      <c r="CSW16" s="1336"/>
      <c r="CSX16" s="1336"/>
      <c r="CSY16" s="1337"/>
      <c r="CSZ16" s="1337"/>
      <c r="CTA16" s="1337"/>
      <c r="CTB16" s="1337"/>
      <c r="CTC16" s="1337"/>
      <c r="CTD16" s="1338"/>
      <c r="CTE16" s="1339"/>
      <c r="CTF16" s="1340"/>
      <c r="CTG16" s="1340"/>
      <c r="CTH16" s="1340"/>
      <c r="CTI16" s="1341"/>
      <c r="CTJ16" s="1342"/>
      <c r="CTK16" s="1336"/>
      <c r="CTL16" s="1336"/>
      <c r="CTM16" s="1336"/>
      <c r="CTN16" s="1336"/>
      <c r="CTO16" s="1337"/>
      <c r="CTP16" s="1337"/>
      <c r="CTQ16" s="1337"/>
      <c r="CTR16" s="1337"/>
      <c r="CTS16" s="1337"/>
      <c r="CTT16" s="1338"/>
      <c r="CTU16" s="1339"/>
      <c r="CTV16" s="1340"/>
      <c r="CTW16" s="1340"/>
      <c r="CTX16" s="1340"/>
      <c r="CTY16" s="1341"/>
      <c r="CTZ16" s="1342"/>
      <c r="CUA16" s="1336"/>
      <c r="CUB16" s="1336"/>
      <c r="CUC16" s="1336"/>
      <c r="CUD16" s="1336"/>
      <c r="CUE16" s="1337"/>
      <c r="CUF16" s="1337"/>
      <c r="CUG16" s="1337"/>
      <c r="CUH16" s="1337"/>
      <c r="CUI16" s="1337"/>
      <c r="CUJ16" s="1338"/>
      <c r="CUK16" s="1339"/>
      <c r="CUL16" s="1340"/>
      <c r="CUM16" s="1340"/>
      <c r="CUN16" s="1340"/>
      <c r="CUO16" s="1341"/>
      <c r="CUP16" s="1342"/>
      <c r="CUQ16" s="1336"/>
      <c r="CUR16" s="1336"/>
      <c r="CUS16" s="1336"/>
      <c r="CUT16" s="1336"/>
      <c r="CUU16" s="1337"/>
      <c r="CUV16" s="1337"/>
      <c r="CUW16" s="1337"/>
      <c r="CUX16" s="1337"/>
      <c r="CUY16" s="1337"/>
      <c r="CUZ16" s="1338"/>
      <c r="CVA16" s="1339"/>
      <c r="CVB16" s="1340"/>
      <c r="CVC16" s="1340"/>
      <c r="CVD16" s="1340"/>
      <c r="CVE16" s="1341"/>
      <c r="CVF16" s="1342"/>
      <c r="CVG16" s="1336"/>
      <c r="CVH16" s="1336"/>
      <c r="CVI16" s="1336"/>
      <c r="CVJ16" s="1336"/>
      <c r="CVK16" s="1337"/>
      <c r="CVL16" s="1337"/>
      <c r="CVM16" s="1337"/>
      <c r="CVN16" s="1337"/>
      <c r="CVO16" s="1337"/>
      <c r="CVP16" s="1338"/>
      <c r="CVQ16" s="1339"/>
      <c r="CVR16" s="1340"/>
      <c r="CVS16" s="1340"/>
      <c r="CVT16" s="1340"/>
      <c r="CVU16" s="1341"/>
      <c r="CVV16" s="1342"/>
      <c r="CVW16" s="1336"/>
      <c r="CVX16" s="1336"/>
      <c r="CVY16" s="1336"/>
      <c r="CVZ16" s="1336"/>
      <c r="CWA16" s="1337"/>
      <c r="CWB16" s="1337"/>
      <c r="CWC16" s="1337"/>
      <c r="CWD16" s="1337"/>
      <c r="CWE16" s="1337"/>
      <c r="CWF16" s="1338"/>
      <c r="CWG16" s="1339"/>
      <c r="CWH16" s="1340"/>
      <c r="CWI16" s="1340"/>
      <c r="CWJ16" s="1340"/>
      <c r="CWK16" s="1341"/>
      <c r="CWL16" s="1342"/>
      <c r="CWM16" s="1336"/>
      <c r="CWN16" s="1336"/>
      <c r="CWO16" s="1336"/>
      <c r="CWP16" s="1336"/>
      <c r="CWQ16" s="1337"/>
      <c r="CWR16" s="1337"/>
      <c r="CWS16" s="1337"/>
      <c r="CWT16" s="1337"/>
      <c r="CWU16" s="1337"/>
      <c r="CWV16" s="1338"/>
      <c r="CWW16" s="1339"/>
      <c r="CWX16" s="1340"/>
      <c r="CWY16" s="1340"/>
      <c r="CWZ16" s="1340"/>
      <c r="CXA16" s="1341"/>
      <c r="CXB16" s="1342"/>
      <c r="CXC16" s="1336"/>
      <c r="CXD16" s="1336"/>
      <c r="CXE16" s="1336"/>
      <c r="CXF16" s="1336"/>
      <c r="CXG16" s="1337"/>
      <c r="CXH16" s="1337"/>
      <c r="CXI16" s="1337"/>
      <c r="CXJ16" s="1337"/>
      <c r="CXK16" s="1337"/>
      <c r="CXL16" s="1338"/>
      <c r="CXM16" s="1339"/>
      <c r="CXN16" s="1340"/>
      <c r="CXO16" s="1340"/>
      <c r="CXP16" s="1340"/>
      <c r="CXQ16" s="1341"/>
      <c r="CXR16" s="1342"/>
      <c r="CXS16" s="1336"/>
      <c r="CXT16" s="1336"/>
      <c r="CXU16" s="1336"/>
      <c r="CXV16" s="1336"/>
      <c r="CXW16" s="1337"/>
      <c r="CXX16" s="1337"/>
      <c r="CXY16" s="1337"/>
      <c r="CXZ16" s="1337"/>
      <c r="CYA16" s="1337"/>
      <c r="CYB16" s="1338"/>
      <c r="CYC16" s="1339"/>
      <c r="CYD16" s="1340"/>
      <c r="CYE16" s="1340"/>
      <c r="CYF16" s="1340"/>
      <c r="CYG16" s="1341"/>
      <c r="CYH16" s="1342"/>
      <c r="CYI16" s="1336"/>
      <c r="CYJ16" s="1336"/>
      <c r="CYK16" s="1336"/>
      <c r="CYL16" s="1336"/>
      <c r="CYM16" s="1337"/>
      <c r="CYN16" s="1337"/>
      <c r="CYO16" s="1337"/>
      <c r="CYP16" s="1337"/>
      <c r="CYQ16" s="1337"/>
      <c r="CYR16" s="1338"/>
      <c r="CYS16" s="1339"/>
      <c r="CYT16" s="1340"/>
      <c r="CYU16" s="1340"/>
      <c r="CYV16" s="1340"/>
      <c r="CYW16" s="1341"/>
      <c r="CYX16" s="1342"/>
      <c r="CYY16" s="1336"/>
      <c r="CYZ16" s="1336"/>
      <c r="CZA16" s="1336"/>
      <c r="CZB16" s="1336"/>
      <c r="CZC16" s="1337"/>
      <c r="CZD16" s="1337"/>
      <c r="CZE16" s="1337"/>
      <c r="CZF16" s="1337"/>
      <c r="CZG16" s="1337"/>
      <c r="CZH16" s="1338"/>
      <c r="CZI16" s="1339"/>
      <c r="CZJ16" s="1340"/>
      <c r="CZK16" s="1340"/>
      <c r="CZL16" s="1340"/>
      <c r="CZM16" s="1341"/>
      <c r="CZN16" s="1342"/>
      <c r="CZO16" s="1336"/>
      <c r="CZP16" s="1336"/>
      <c r="CZQ16" s="1336"/>
      <c r="CZR16" s="1336"/>
      <c r="CZS16" s="1337"/>
      <c r="CZT16" s="1337"/>
      <c r="CZU16" s="1337"/>
      <c r="CZV16" s="1337"/>
      <c r="CZW16" s="1337"/>
      <c r="CZX16" s="1338"/>
      <c r="CZY16" s="1339"/>
      <c r="CZZ16" s="1340"/>
      <c r="DAA16" s="1340"/>
      <c r="DAB16" s="1340"/>
      <c r="DAC16" s="1341"/>
      <c r="DAD16" s="1342"/>
      <c r="DAE16" s="1336"/>
      <c r="DAF16" s="1336"/>
      <c r="DAG16" s="1336"/>
      <c r="DAH16" s="1336"/>
      <c r="DAI16" s="1337"/>
      <c r="DAJ16" s="1337"/>
      <c r="DAK16" s="1337"/>
      <c r="DAL16" s="1337"/>
      <c r="DAM16" s="1337"/>
      <c r="DAN16" s="1338"/>
      <c r="DAO16" s="1339"/>
      <c r="DAP16" s="1340"/>
      <c r="DAQ16" s="1340"/>
      <c r="DAR16" s="1340"/>
      <c r="DAS16" s="1341"/>
      <c r="DAT16" s="1342"/>
      <c r="DAU16" s="1336"/>
      <c r="DAV16" s="1336"/>
      <c r="DAW16" s="1336"/>
      <c r="DAX16" s="1336"/>
      <c r="DAY16" s="1337"/>
      <c r="DAZ16" s="1337"/>
      <c r="DBA16" s="1337"/>
      <c r="DBB16" s="1337"/>
      <c r="DBC16" s="1337"/>
      <c r="DBD16" s="1338"/>
      <c r="DBE16" s="1339"/>
      <c r="DBF16" s="1340"/>
      <c r="DBG16" s="1340"/>
      <c r="DBH16" s="1340"/>
      <c r="DBI16" s="1341"/>
      <c r="DBJ16" s="1342"/>
      <c r="DBK16" s="1336"/>
      <c r="DBL16" s="1336"/>
      <c r="DBM16" s="1336"/>
      <c r="DBN16" s="1336"/>
      <c r="DBO16" s="1337"/>
      <c r="DBP16" s="1337"/>
      <c r="DBQ16" s="1337"/>
      <c r="DBR16" s="1337"/>
      <c r="DBS16" s="1337"/>
      <c r="DBT16" s="1338"/>
      <c r="DBU16" s="1339"/>
      <c r="DBV16" s="1340"/>
      <c r="DBW16" s="1340"/>
      <c r="DBX16" s="1340"/>
      <c r="DBY16" s="1341"/>
      <c r="DBZ16" s="1342"/>
      <c r="DCA16" s="1336"/>
      <c r="DCB16" s="1336"/>
      <c r="DCC16" s="1336"/>
      <c r="DCD16" s="1336"/>
      <c r="DCE16" s="1337"/>
      <c r="DCF16" s="1337"/>
      <c r="DCG16" s="1337"/>
      <c r="DCH16" s="1337"/>
      <c r="DCI16" s="1337"/>
      <c r="DCJ16" s="1338"/>
      <c r="DCK16" s="1339"/>
      <c r="DCL16" s="1340"/>
      <c r="DCM16" s="1340"/>
      <c r="DCN16" s="1340"/>
      <c r="DCO16" s="1341"/>
      <c r="DCP16" s="1342"/>
      <c r="DCQ16" s="1336"/>
      <c r="DCR16" s="1336"/>
      <c r="DCS16" s="1336"/>
      <c r="DCT16" s="1336"/>
      <c r="DCU16" s="1337"/>
      <c r="DCV16" s="1337"/>
      <c r="DCW16" s="1337"/>
      <c r="DCX16" s="1337"/>
      <c r="DCY16" s="1337"/>
      <c r="DCZ16" s="1338"/>
      <c r="DDA16" s="1339"/>
      <c r="DDB16" s="1340"/>
      <c r="DDC16" s="1340"/>
      <c r="DDD16" s="1340"/>
      <c r="DDE16" s="1341"/>
      <c r="DDF16" s="1342"/>
      <c r="DDG16" s="1336"/>
      <c r="DDH16" s="1336"/>
      <c r="DDI16" s="1336"/>
      <c r="DDJ16" s="1336"/>
      <c r="DDK16" s="1337"/>
      <c r="DDL16" s="1337"/>
      <c r="DDM16" s="1337"/>
      <c r="DDN16" s="1337"/>
      <c r="DDO16" s="1337"/>
      <c r="DDP16" s="1338"/>
      <c r="DDQ16" s="1339"/>
      <c r="DDR16" s="1340"/>
      <c r="DDS16" s="1340"/>
      <c r="DDT16" s="1340"/>
      <c r="DDU16" s="1341"/>
      <c r="DDV16" s="1342"/>
      <c r="DDW16" s="1336"/>
      <c r="DDX16" s="1336"/>
      <c r="DDY16" s="1336"/>
      <c r="DDZ16" s="1336"/>
      <c r="DEA16" s="1337"/>
      <c r="DEB16" s="1337"/>
      <c r="DEC16" s="1337"/>
      <c r="DED16" s="1337"/>
      <c r="DEE16" s="1337"/>
      <c r="DEF16" s="1338"/>
      <c r="DEG16" s="1339"/>
      <c r="DEH16" s="1340"/>
      <c r="DEI16" s="1340"/>
      <c r="DEJ16" s="1340"/>
      <c r="DEK16" s="1341"/>
      <c r="DEL16" s="1342"/>
      <c r="DEM16" s="1336"/>
      <c r="DEN16" s="1336"/>
      <c r="DEO16" s="1336"/>
      <c r="DEP16" s="1336"/>
      <c r="DEQ16" s="1337"/>
      <c r="DER16" s="1337"/>
      <c r="DES16" s="1337"/>
      <c r="DET16" s="1337"/>
      <c r="DEU16" s="1337"/>
      <c r="DEV16" s="1338"/>
      <c r="DEW16" s="1339"/>
      <c r="DEX16" s="1340"/>
      <c r="DEY16" s="1340"/>
      <c r="DEZ16" s="1340"/>
      <c r="DFA16" s="1341"/>
      <c r="DFB16" s="1342"/>
      <c r="DFC16" s="1336"/>
      <c r="DFD16" s="1336"/>
      <c r="DFE16" s="1336"/>
      <c r="DFF16" s="1336"/>
      <c r="DFG16" s="1337"/>
      <c r="DFH16" s="1337"/>
      <c r="DFI16" s="1337"/>
      <c r="DFJ16" s="1337"/>
      <c r="DFK16" s="1337"/>
      <c r="DFL16" s="1338"/>
      <c r="DFM16" s="1339"/>
      <c r="DFN16" s="1340"/>
      <c r="DFO16" s="1340"/>
      <c r="DFP16" s="1340"/>
      <c r="DFQ16" s="1341"/>
      <c r="DFR16" s="1342"/>
      <c r="DFS16" s="1336"/>
      <c r="DFT16" s="1336"/>
      <c r="DFU16" s="1336"/>
      <c r="DFV16" s="1336"/>
      <c r="DFW16" s="1337"/>
      <c r="DFX16" s="1337"/>
      <c r="DFY16" s="1337"/>
      <c r="DFZ16" s="1337"/>
      <c r="DGA16" s="1337"/>
      <c r="DGB16" s="1338"/>
      <c r="DGC16" s="1339"/>
      <c r="DGD16" s="1340"/>
      <c r="DGE16" s="1340"/>
      <c r="DGF16" s="1340"/>
      <c r="DGG16" s="1341"/>
      <c r="DGH16" s="1342"/>
      <c r="DGI16" s="1336"/>
      <c r="DGJ16" s="1336"/>
      <c r="DGK16" s="1336"/>
      <c r="DGL16" s="1336"/>
      <c r="DGM16" s="1337"/>
      <c r="DGN16" s="1337"/>
      <c r="DGO16" s="1337"/>
      <c r="DGP16" s="1337"/>
      <c r="DGQ16" s="1337"/>
      <c r="DGR16" s="1338"/>
      <c r="DGS16" s="1339"/>
      <c r="DGT16" s="1340"/>
      <c r="DGU16" s="1340"/>
      <c r="DGV16" s="1340"/>
      <c r="DGW16" s="1341"/>
      <c r="DGX16" s="1342"/>
      <c r="DGY16" s="1336"/>
      <c r="DGZ16" s="1336"/>
      <c r="DHA16" s="1336"/>
      <c r="DHB16" s="1336"/>
      <c r="DHC16" s="1337"/>
      <c r="DHD16" s="1337"/>
      <c r="DHE16" s="1337"/>
      <c r="DHF16" s="1337"/>
      <c r="DHG16" s="1337"/>
      <c r="DHH16" s="1338"/>
      <c r="DHI16" s="1339"/>
      <c r="DHJ16" s="1340"/>
      <c r="DHK16" s="1340"/>
      <c r="DHL16" s="1340"/>
      <c r="DHM16" s="1341"/>
      <c r="DHN16" s="1342"/>
      <c r="DHO16" s="1336"/>
      <c r="DHP16" s="1336"/>
      <c r="DHQ16" s="1336"/>
      <c r="DHR16" s="1336"/>
      <c r="DHS16" s="1337"/>
      <c r="DHT16" s="1337"/>
      <c r="DHU16" s="1337"/>
      <c r="DHV16" s="1337"/>
      <c r="DHW16" s="1337"/>
      <c r="DHX16" s="1338"/>
      <c r="DHY16" s="1339"/>
      <c r="DHZ16" s="1340"/>
      <c r="DIA16" s="1340"/>
      <c r="DIB16" s="1340"/>
      <c r="DIC16" s="1341"/>
      <c r="DID16" s="1342"/>
      <c r="DIE16" s="1336"/>
      <c r="DIF16" s="1336"/>
      <c r="DIG16" s="1336"/>
      <c r="DIH16" s="1336"/>
      <c r="DII16" s="1337"/>
      <c r="DIJ16" s="1337"/>
      <c r="DIK16" s="1337"/>
      <c r="DIL16" s="1337"/>
      <c r="DIM16" s="1337"/>
      <c r="DIN16" s="1338"/>
      <c r="DIO16" s="1339"/>
      <c r="DIP16" s="1340"/>
      <c r="DIQ16" s="1340"/>
      <c r="DIR16" s="1340"/>
      <c r="DIS16" s="1341"/>
      <c r="DIT16" s="1342"/>
      <c r="DIU16" s="1336"/>
      <c r="DIV16" s="1336"/>
      <c r="DIW16" s="1336"/>
      <c r="DIX16" s="1336"/>
      <c r="DIY16" s="1337"/>
      <c r="DIZ16" s="1337"/>
      <c r="DJA16" s="1337"/>
      <c r="DJB16" s="1337"/>
      <c r="DJC16" s="1337"/>
      <c r="DJD16" s="1338"/>
      <c r="DJE16" s="1339"/>
      <c r="DJF16" s="1340"/>
      <c r="DJG16" s="1340"/>
      <c r="DJH16" s="1340"/>
      <c r="DJI16" s="1341"/>
      <c r="DJJ16" s="1342"/>
      <c r="DJK16" s="1336"/>
      <c r="DJL16" s="1336"/>
      <c r="DJM16" s="1336"/>
      <c r="DJN16" s="1336"/>
      <c r="DJO16" s="1337"/>
      <c r="DJP16" s="1337"/>
      <c r="DJQ16" s="1337"/>
      <c r="DJR16" s="1337"/>
      <c r="DJS16" s="1337"/>
      <c r="DJT16" s="1338"/>
      <c r="DJU16" s="1339"/>
      <c r="DJV16" s="1340"/>
      <c r="DJW16" s="1340"/>
      <c r="DJX16" s="1340"/>
      <c r="DJY16" s="1341"/>
      <c r="DJZ16" s="1342"/>
      <c r="DKA16" s="1336"/>
      <c r="DKB16" s="1336"/>
      <c r="DKC16" s="1336"/>
      <c r="DKD16" s="1336"/>
      <c r="DKE16" s="1337"/>
      <c r="DKF16" s="1337"/>
      <c r="DKG16" s="1337"/>
      <c r="DKH16" s="1337"/>
      <c r="DKI16" s="1337"/>
      <c r="DKJ16" s="1338"/>
      <c r="DKK16" s="1339"/>
      <c r="DKL16" s="1340"/>
      <c r="DKM16" s="1340"/>
      <c r="DKN16" s="1340"/>
      <c r="DKO16" s="1341"/>
      <c r="DKP16" s="1342"/>
      <c r="DKQ16" s="1336"/>
      <c r="DKR16" s="1336"/>
      <c r="DKS16" s="1336"/>
      <c r="DKT16" s="1336"/>
      <c r="DKU16" s="1337"/>
      <c r="DKV16" s="1337"/>
      <c r="DKW16" s="1337"/>
      <c r="DKX16" s="1337"/>
      <c r="DKY16" s="1337"/>
      <c r="DKZ16" s="1338"/>
      <c r="DLA16" s="1339"/>
      <c r="DLB16" s="1340"/>
      <c r="DLC16" s="1340"/>
      <c r="DLD16" s="1340"/>
      <c r="DLE16" s="1341"/>
      <c r="DLF16" s="1342"/>
      <c r="DLG16" s="1336"/>
      <c r="DLH16" s="1336"/>
      <c r="DLI16" s="1336"/>
      <c r="DLJ16" s="1336"/>
      <c r="DLK16" s="1337"/>
      <c r="DLL16" s="1337"/>
      <c r="DLM16" s="1337"/>
      <c r="DLN16" s="1337"/>
      <c r="DLO16" s="1337"/>
      <c r="DLP16" s="1338"/>
      <c r="DLQ16" s="1339"/>
      <c r="DLR16" s="1340"/>
      <c r="DLS16" s="1340"/>
      <c r="DLT16" s="1340"/>
      <c r="DLU16" s="1341"/>
      <c r="DLV16" s="1342"/>
      <c r="DLW16" s="1336"/>
      <c r="DLX16" s="1336"/>
      <c r="DLY16" s="1336"/>
      <c r="DLZ16" s="1336"/>
      <c r="DMA16" s="1337"/>
      <c r="DMB16" s="1337"/>
      <c r="DMC16" s="1337"/>
      <c r="DMD16" s="1337"/>
      <c r="DME16" s="1337"/>
      <c r="DMF16" s="1338"/>
      <c r="DMG16" s="1339"/>
      <c r="DMH16" s="1340"/>
      <c r="DMI16" s="1340"/>
      <c r="DMJ16" s="1340"/>
      <c r="DMK16" s="1341"/>
      <c r="DML16" s="1342"/>
      <c r="DMM16" s="1336"/>
      <c r="DMN16" s="1336"/>
      <c r="DMO16" s="1336"/>
      <c r="DMP16" s="1336"/>
      <c r="DMQ16" s="1337"/>
      <c r="DMR16" s="1337"/>
      <c r="DMS16" s="1337"/>
      <c r="DMT16" s="1337"/>
      <c r="DMU16" s="1337"/>
      <c r="DMV16" s="1338"/>
      <c r="DMW16" s="1339"/>
      <c r="DMX16" s="1340"/>
      <c r="DMY16" s="1340"/>
      <c r="DMZ16" s="1340"/>
      <c r="DNA16" s="1341"/>
      <c r="DNB16" s="1342"/>
      <c r="DNC16" s="1336"/>
      <c r="DND16" s="1336"/>
      <c r="DNE16" s="1336"/>
      <c r="DNF16" s="1336"/>
      <c r="DNG16" s="1337"/>
      <c r="DNH16" s="1337"/>
      <c r="DNI16" s="1337"/>
      <c r="DNJ16" s="1337"/>
      <c r="DNK16" s="1337"/>
      <c r="DNL16" s="1338"/>
      <c r="DNM16" s="1339"/>
      <c r="DNN16" s="1340"/>
      <c r="DNO16" s="1340"/>
      <c r="DNP16" s="1340"/>
      <c r="DNQ16" s="1341"/>
      <c r="DNR16" s="1342"/>
      <c r="DNS16" s="1336"/>
      <c r="DNT16" s="1336"/>
      <c r="DNU16" s="1336"/>
      <c r="DNV16" s="1336"/>
      <c r="DNW16" s="1337"/>
      <c r="DNX16" s="1337"/>
      <c r="DNY16" s="1337"/>
      <c r="DNZ16" s="1337"/>
      <c r="DOA16" s="1337"/>
      <c r="DOB16" s="1338"/>
      <c r="DOC16" s="1339"/>
      <c r="DOD16" s="1340"/>
      <c r="DOE16" s="1340"/>
      <c r="DOF16" s="1340"/>
      <c r="DOG16" s="1341"/>
      <c r="DOH16" s="1342"/>
      <c r="DOI16" s="1336"/>
      <c r="DOJ16" s="1336"/>
      <c r="DOK16" s="1336"/>
      <c r="DOL16" s="1336"/>
      <c r="DOM16" s="1337"/>
      <c r="DON16" s="1337"/>
      <c r="DOO16" s="1337"/>
      <c r="DOP16" s="1337"/>
      <c r="DOQ16" s="1337"/>
      <c r="DOR16" s="1338"/>
      <c r="DOS16" s="1339"/>
      <c r="DOT16" s="1340"/>
      <c r="DOU16" s="1340"/>
      <c r="DOV16" s="1340"/>
      <c r="DOW16" s="1341"/>
      <c r="DOX16" s="1342"/>
      <c r="DOY16" s="1336"/>
      <c r="DOZ16" s="1336"/>
      <c r="DPA16" s="1336"/>
      <c r="DPB16" s="1336"/>
      <c r="DPC16" s="1337"/>
      <c r="DPD16" s="1337"/>
      <c r="DPE16" s="1337"/>
      <c r="DPF16" s="1337"/>
      <c r="DPG16" s="1337"/>
      <c r="DPH16" s="1338"/>
      <c r="DPI16" s="1339"/>
      <c r="DPJ16" s="1340"/>
      <c r="DPK16" s="1340"/>
      <c r="DPL16" s="1340"/>
      <c r="DPM16" s="1341"/>
      <c r="DPN16" s="1342"/>
      <c r="DPO16" s="1336"/>
      <c r="DPP16" s="1336"/>
      <c r="DPQ16" s="1336"/>
      <c r="DPR16" s="1336"/>
      <c r="DPS16" s="1337"/>
      <c r="DPT16" s="1337"/>
      <c r="DPU16" s="1337"/>
      <c r="DPV16" s="1337"/>
      <c r="DPW16" s="1337"/>
      <c r="DPX16" s="1338"/>
      <c r="DPY16" s="1339"/>
      <c r="DPZ16" s="1340"/>
      <c r="DQA16" s="1340"/>
      <c r="DQB16" s="1340"/>
      <c r="DQC16" s="1341"/>
      <c r="DQD16" s="1342"/>
      <c r="DQE16" s="1336"/>
      <c r="DQF16" s="1336"/>
      <c r="DQG16" s="1336"/>
      <c r="DQH16" s="1336"/>
      <c r="DQI16" s="1337"/>
      <c r="DQJ16" s="1337"/>
      <c r="DQK16" s="1337"/>
      <c r="DQL16" s="1337"/>
      <c r="DQM16" s="1337"/>
      <c r="DQN16" s="1338"/>
      <c r="DQO16" s="1339"/>
      <c r="DQP16" s="1340"/>
      <c r="DQQ16" s="1340"/>
      <c r="DQR16" s="1340"/>
      <c r="DQS16" s="1341"/>
      <c r="DQT16" s="1342"/>
      <c r="DQU16" s="1336"/>
      <c r="DQV16" s="1336"/>
      <c r="DQW16" s="1336"/>
      <c r="DQX16" s="1336"/>
      <c r="DQY16" s="1337"/>
      <c r="DQZ16" s="1337"/>
      <c r="DRA16" s="1337"/>
      <c r="DRB16" s="1337"/>
      <c r="DRC16" s="1337"/>
      <c r="DRD16" s="1338"/>
      <c r="DRE16" s="1339"/>
      <c r="DRF16" s="1340"/>
      <c r="DRG16" s="1340"/>
      <c r="DRH16" s="1340"/>
      <c r="DRI16" s="1341"/>
      <c r="DRJ16" s="1342"/>
      <c r="DRK16" s="1336"/>
      <c r="DRL16" s="1336"/>
      <c r="DRM16" s="1336"/>
      <c r="DRN16" s="1336"/>
      <c r="DRO16" s="1337"/>
      <c r="DRP16" s="1337"/>
      <c r="DRQ16" s="1337"/>
      <c r="DRR16" s="1337"/>
      <c r="DRS16" s="1337"/>
      <c r="DRT16" s="1338"/>
      <c r="DRU16" s="1339"/>
      <c r="DRV16" s="1340"/>
      <c r="DRW16" s="1340"/>
      <c r="DRX16" s="1340"/>
      <c r="DRY16" s="1341"/>
      <c r="DRZ16" s="1342"/>
      <c r="DSA16" s="1336"/>
      <c r="DSB16" s="1336"/>
      <c r="DSC16" s="1336"/>
      <c r="DSD16" s="1336"/>
      <c r="DSE16" s="1337"/>
      <c r="DSF16" s="1337"/>
      <c r="DSG16" s="1337"/>
      <c r="DSH16" s="1337"/>
      <c r="DSI16" s="1337"/>
      <c r="DSJ16" s="1338"/>
      <c r="DSK16" s="1339"/>
      <c r="DSL16" s="1340"/>
      <c r="DSM16" s="1340"/>
      <c r="DSN16" s="1340"/>
      <c r="DSO16" s="1341"/>
      <c r="DSP16" s="1342"/>
      <c r="DSQ16" s="1336"/>
      <c r="DSR16" s="1336"/>
      <c r="DSS16" s="1336"/>
      <c r="DST16" s="1336"/>
      <c r="DSU16" s="1337"/>
      <c r="DSV16" s="1337"/>
      <c r="DSW16" s="1337"/>
      <c r="DSX16" s="1337"/>
      <c r="DSY16" s="1337"/>
      <c r="DSZ16" s="1338"/>
      <c r="DTA16" s="1339"/>
      <c r="DTB16" s="1340"/>
      <c r="DTC16" s="1340"/>
      <c r="DTD16" s="1340"/>
      <c r="DTE16" s="1341"/>
      <c r="DTF16" s="1342"/>
      <c r="DTG16" s="1336"/>
      <c r="DTH16" s="1336"/>
      <c r="DTI16" s="1336"/>
      <c r="DTJ16" s="1336"/>
      <c r="DTK16" s="1337"/>
      <c r="DTL16" s="1337"/>
      <c r="DTM16" s="1337"/>
      <c r="DTN16" s="1337"/>
      <c r="DTO16" s="1337"/>
      <c r="DTP16" s="1338"/>
      <c r="DTQ16" s="1339"/>
      <c r="DTR16" s="1340"/>
      <c r="DTS16" s="1340"/>
      <c r="DTT16" s="1340"/>
      <c r="DTU16" s="1341"/>
      <c r="DTV16" s="1342"/>
      <c r="DTW16" s="1336"/>
      <c r="DTX16" s="1336"/>
      <c r="DTY16" s="1336"/>
      <c r="DTZ16" s="1336"/>
      <c r="DUA16" s="1337"/>
      <c r="DUB16" s="1337"/>
      <c r="DUC16" s="1337"/>
      <c r="DUD16" s="1337"/>
      <c r="DUE16" s="1337"/>
      <c r="DUF16" s="1338"/>
      <c r="DUG16" s="1339"/>
      <c r="DUH16" s="1340"/>
      <c r="DUI16" s="1340"/>
      <c r="DUJ16" s="1340"/>
      <c r="DUK16" s="1341"/>
      <c r="DUL16" s="1342"/>
      <c r="DUM16" s="1336"/>
      <c r="DUN16" s="1336"/>
      <c r="DUO16" s="1336"/>
      <c r="DUP16" s="1336"/>
      <c r="DUQ16" s="1337"/>
      <c r="DUR16" s="1337"/>
      <c r="DUS16" s="1337"/>
      <c r="DUT16" s="1337"/>
      <c r="DUU16" s="1337"/>
      <c r="DUV16" s="1338"/>
      <c r="DUW16" s="1339"/>
      <c r="DUX16" s="1340"/>
      <c r="DUY16" s="1340"/>
      <c r="DUZ16" s="1340"/>
      <c r="DVA16" s="1341"/>
      <c r="DVB16" s="1342"/>
      <c r="DVC16" s="1336"/>
      <c r="DVD16" s="1336"/>
      <c r="DVE16" s="1336"/>
      <c r="DVF16" s="1336"/>
      <c r="DVG16" s="1337"/>
      <c r="DVH16" s="1337"/>
      <c r="DVI16" s="1337"/>
      <c r="DVJ16" s="1337"/>
      <c r="DVK16" s="1337"/>
      <c r="DVL16" s="1338"/>
      <c r="DVM16" s="1339"/>
      <c r="DVN16" s="1340"/>
      <c r="DVO16" s="1340"/>
      <c r="DVP16" s="1340"/>
      <c r="DVQ16" s="1341"/>
      <c r="DVR16" s="1342"/>
      <c r="DVS16" s="1336"/>
      <c r="DVT16" s="1336"/>
      <c r="DVU16" s="1336"/>
      <c r="DVV16" s="1336"/>
      <c r="DVW16" s="1337"/>
      <c r="DVX16" s="1337"/>
      <c r="DVY16" s="1337"/>
      <c r="DVZ16" s="1337"/>
      <c r="DWA16" s="1337"/>
      <c r="DWB16" s="1338"/>
      <c r="DWC16" s="1339"/>
      <c r="DWD16" s="1340"/>
      <c r="DWE16" s="1340"/>
      <c r="DWF16" s="1340"/>
      <c r="DWG16" s="1341"/>
      <c r="DWH16" s="1342"/>
      <c r="DWI16" s="1336"/>
      <c r="DWJ16" s="1336"/>
      <c r="DWK16" s="1336"/>
      <c r="DWL16" s="1336"/>
      <c r="DWM16" s="1337"/>
      <c r="DWN16" s="1337"/>
      <c r="DWO16" s="1337"/>
      <c r="DWP16" s="1337"/>
      <c r="DWQ16" s="1337"/>
      <c r="DWR16" s="1338"/>
      <c r="DWS16" s="1339"/>
      <c r="DWT16" s="1340"/>
      <c r="DWU16" s="1340"/>
      <c r="DWV16" s="1340"/>
      <c r="DWW16" s="1341"/>
      <c r="DWX16" s="1342"/>
      <c r="DWY16" s="1336"/>
      <c r="DWZ16" s="1336"/>
      <c r="DXA16" s="1336"/>
      <c r="DXB16" s="1336"/>
      <c r="DXC16" s="1337"/>
      <c r="DXD16" s="1337"/>
      <c r="DXE16" s="1337"/>
      <c r="DXF16" s="1337"/>
      <c r="DXG16" s="1337"/>
      <c r="DXH16" s="1338"/>
      <c r="DXI16" s="1339"/>
      <c r="DXJ16" s="1340"/>
      <c r="DXK16" s="1340"/>
      <c r="DXL16" s="1340"/>
      <c r="DXM16" s="1341"/>
      <c r="DXN16" s="1342"/>
      <c r="DXO16" s="1336"/>
      <c r="DXP16" s="1336"/>
      <c r="DXQ16" s="1336"/>
      <c r="DXR16" s="1336"/>
      <c r="DXS16" s="1337"/>
      <c r="DXT16" s="1337"/>
      <c r="DXU16" s="1337"/>
      <c r="DXV16" s="1337"/>
      <c r="DXW16" s="1337"/>
      <c r="DXX16" s="1338"/>
      <c r="DXY16" s="1339"/>
      <c r="DXZ16" s="1340"/>
      <c r="DYA16" s="1340"/>
      <c r="DYB16" s="1340"/>
      <c r="DYC16" s="1341"/>
      <c r="DYD16" s="1342"/>
      <c r="DYE16" s="1336"/>
      <c r="DYF16" s="1336"/>
      <c r="DYG16" s="1336"/>
      <c r="DYH16" s="1336"/>
      <c r="DYI16" s="1337"/>
      <c r="DYJ16" s="1337"/>
      <c r="DYK16" s="1337"/>
      <c r="DYL16" s="1337"/>
      <c r="DYM16" s="1337"/>
      <c r="DYN16" s="1338"/>
      <c r="DYO16" s="1339"/>
      <c r="DYP16" s="1340"/>
      <c r="DYQ16" s="1340"/>
      <c r="DYR16" s="1340"/>
      <c r="DYS16" s="1341"/>
      <c r="DYT16" s="1342"/>
      <c r="DYU16" s="1336"/>
      <c r="DYV16" s="1336"/>
      <c r="DYW16" s="1336"/>
      <c r="DYX16" s="1336"/>
      <c r="DYY16" s="1337"/>
      <c r="DYZ16" s="1337"/>
      <c r="DZA16" s="1337"/>
      <c r="DZB16" s="1337"/>
      <c r="DZC16" s="1337"/>
      <c r="DZD16" s="1338"/>
      <c r="DZE16" s="1339"/>
      <c r="DZF16" s="1340"/>
      <c r="DZG16" s="1340"/>
      <c r="DZH16" s="1340"/>
      <c r="DZI16" s="1341"/>
      <c r="DZJ16" s="1342"/>
      <c r="DZK16" s="1336"/>
      <c r="DZL16" s="1336"/>
      <c r="DZM16" s="1336"/>
      <c r="DZN16" s="1336"/>
      <c r="DZO16" s="1337"/>
      <c r="DZP16" s="1337"/>
      <c r="DZQ16" s="1337"/>
      <c r="DZR16" s="1337"/>
      <c r="DZS16" s="1337"/>
      <c r="DZT16" s="1338"/>
      <c r="DZU16" s="1339"/>
      <c r="DZV16" s="1340"/>
      <c r="DZW16" s="1340"/>
      <c r="DZX16" s="1340"/>
      <c r="DZY16" s="1341"/>
      <c r="DZZ16" s="1342"/>
      <c r="EAA16" s="1336"/>
      <c r="EAB16" s="1336"/>
      <c r="EAC16" s="1336"/>
      <c r="EAD16" s="1336"/>
      <c r="EAE16" s="1337"/>
      <c r="EAF16" s="1337"/>
      <c r="EAG16" s="1337"/>
      <c r="EAH16" s="1337"/>
      <c r="EAI16" s="1337"/>
      <c r="EAJ16" s="1338"/>
      <c r="EAK16" s="1339"/>
      <c r="EAL16" s="1340"/>
      <c r="EAM16" s="1340"/>
      <c r="EAN16" s="1340"/>
      <c r="EAO16" s="1341"/>
      <c r="EAP16" s="1342"/>
      <c r="EAQ16" s="1336"/>
      <c r="EAR16" s="1336"/>
      <c r="EAS16" s="1336"/>
      <c r="EAT16" s="1336"/>
      <c r="EAU16" s="1337"/>
      <c r="EAV16" s="1337"/>
      <c r="EAW16" s="1337"/>
      <c r="EAX16" s="1337"/>
      <c r="EAY16" s="1337"/>
      <c r="EAZ16" s="1338"/>
      <c r="EBA16" s="1339"/>
      <c r="EBB16" s="1340"/>
      <c r="EBC16" s="1340"/>
      <c r="EBD16" s="1340"/>
      <c r="EBE16" s="1341"/>
      <c r="EBF16" s="1342"/>
      <c r="EBG16" s="1336"/>
      <c r="EBH16" s="1336"/>
      <c r="EBI16" s="1336"/>
      <c r="EBJ16" s="1336"/>
      <c r="EBK16" s="1337"/>
      <c r="EBL16" s="1337"/>
      <c r="EBM16" s="1337"/>
      <c r="EBN16" s="1337"/>
      <c r="EBO16" s="1337"/>
      <c r="EBP16" s="1338"/>
      <c r="EBQ16" s="1339"/>
      <c r="EBR16" s="1340"/>
      <c r="EBS16" s="1340"/>
      <c r="EBT16" s="1340"/>
      <c r="EBU16" s="1341"/>
      <c r="EBV16" s="1342"/>
      <c r="EBW16" s="1336"/>
      <c r="EBX16" s="1336"/>
      <c r="EBY16" s="1336"/>
      <c r="EBZ16" s="1336"/>
      <c r="ECA16" s="1337"/>
      <c r="ECB16" s="1337"/>
      <c r="ECC16" s="1337"/>
      <c r="ECD16" s="1337"/>
      <c r="ECE16" s="1337"/>
      <c r="ECF16" s="1338"/>
      <c r="ECG16" s="1339"/>
      <c r="ECH16" s="1340"/>
      <c r="ECI16" s="1340"/>
      <c r="ECJ16" s="1340"/>
      <c r="ECK16" s="1341"/>
      <c r="ECL16" s="1342"/>
      <c r="ECM16" s="1336"/>
      <c r="ECN16" s="1336"/>
      <c r="ECO16" s="1336"/>
      <c r="ECP16" s="1336"/>
      <c r="ECQ16" s="1337"/>
      <c r="ECR16" s="1337"/>
      <c r="ECS16" s="1337"/>
      <c r="ECT16" s="1337"/>
      <c r="ECU16" s="1337"/>
      <c r="ECV16" s="1338"/>
      <c r="ECW16" s="1339"/>
      <c r="ECX16" s="1340"/>
      <c r="ECY16" s="1340"/>
      <c r="ECZ16" s="1340"/>
      <c r="EDA16" s="1341"/>
      <c r="EDB16" s="1342"/>
      <c r="EDC16" s="1336"/>
      <c r="EDD16" s="1336"/>
      <c r="EDE16" s="1336"/>
      <c r="EDF16" s="1336"/>
      <c r="EDG16" s="1337"/>
      <c r="EDH16" s="1337"/>
      <c r="EDI16" s="1337"/>
      <c r="EDJ16" s="1337"/>
      <c r="EDK16" s="1337"/>
      <c r="EDL16" s="1338"/>
      <c r="EDM16" s="1339"/>
      <c r="EDN16" s="1340"/>
      <c r="EDO16" s="1340"/>
      <c r="EDP16" s="1340"/>
      <c r="EDQ16" s="1341"/>
      <c r="EDR16" s="1342"/>
      <c r="EDS16" s="1336"/>
      <c r="EDT16" s="1336"/>
      <c r="EDU16" s="1336"/>
      <c r="EDV16" s="1336"/>
      <c r="EDW16" s="1337"/>
      <c r="EDX16" s="1337"/>
      <c r="EDY16" s="1337"/>
      <c r="EDZ16" s="1337"/>
      <c r="EEA16" s="1337"/>
      <c r="EEB16" s="1338"/>
      <c r="EEC16" s="1339"/>
      <c r="EED16" s="1340"/>
      <c r="EEE16" s="1340"/>
      <c r="EEF16" s="1340"/>
      <c r="EEG16" s="1341"/>
      <c r="EEH16" s="1342"/>
      <c r="EEI16" s="1336"/>
      <c r="EEJ16" s="1336"/>
      <c r="EEK16" s="1336"/>
      <c r="EEL16" s="1336"/>
      <c r="EEM16" s="1337"/>
      <c r="EEN16" s="1337"/>
      <c r="EEO16" s="1337"/>
      <c r="EEP16" s="1337"/>
      <c r="EEQ16" s="1337"/>
      <c r="EER16" s="1338"/>
      <c r="EES16" s="1339"/>
      <c r="EET16" s="1340"/>
      <c r="EEU16" s="1340"/>
      <c r="EEV16" s="1340"/>
      <c r="EEW16" s="1341"/>
      <c r="EEX16" s="1342"/>
      <c r="EEY16" s="1336"/>
      <c r="EEZ16" s="1336"/>
      <c r="EFA16" s="1336"/>
      <c r="EFB16" s="1336"/>
      <c r="EFC16" s="1337"/>
      <c r="EFD16" s="1337"/>
      <c r="EFE16" s="1337"/>
      <c r="EFF16" s="1337"/>
      <c r="EFG16" s="1337"/>
      <c r="EFH16" s="1338"/>
      <c r="EFI16" s="1339"/>
      <c r="EFJ16" s="1340"/>
      <c r="EFK16" s="1340"/>
      <c r="EFL16" s="1340"/>
      <c r="EFM16" s="1341"/>
      <c r="EFN16" s="1342"/>
      <c r="EFO16" s="1336"/>
      <c r="EFP16" s="1336"/>
      <c r="EFQ16" s="1336"/>
      <c r="EFR16" s="1336"/>
      <c r="EFS16" s="1337"/>
      <c r="EFT16" s="1337"/>
      <c r="EFU16" s="1337"/>
      <c r="EFV16" s="1337"/>
      <c r="EFW16" s="1337"/>
      <c r="EFX16" s="1338"/>
      <c r="EFY16" s="1339"/>
      <c r="EFZ16" s="1340"/>
      <c r="EGA16" s="1340"/>
      <c r="EGB16" s="1340"/>
      <c r="EGC16" s="1341"/>
      <c r="EGD16" s="1342"/>
      <c r="EGE16" s="1336"/>
      <c r="EGF16" s="1336"/>
      <c r="EGG16" s="1336"/>
      <c r="EGH16" s="1336"/>
      <c r="EGI16" s="1337"/>
      <c r="EGJ16" s="1337"/>
      <c r="EGK16" s="1337"/>
      <c r="EGL16" s="1337"/>
      <c r="EGM16" s="1337"/>
      <c r="EGN16" s="1338"/>
      <c r="EGO16" s="1339"/>
      <c r="EGP16" s="1340"/>
      <c r="EGQ16" s="1340"/>
      <c r="EGR16" s="1340"/>
      <c r="EGS16" s="1341"/>
      <c r="EGT16" s="1342"/>
      <c r="EGU16" s="1336"/>
      <c r="EGV16" s="1336"/>
      <c r="EGW16" s="1336"/>
      <c r="EGX16" s="1336"/>
      <c r="EGY16" s="1337"/>
      <c r="EGZ16" s="1337"/>
      <c r="EHA16" s="1337"/>
      <c r="EHB16" s="1337"/>
      <c r="EHC16" s="1337"/>
      <c r="EHD16" s="1338"/>
      <c r="EHE16" s="1339"/>
      <c r="EHF16" s="1340"/>
      <c r="EHG16" s="1340"/>
      <c r="EHH16" s="1340"/>
      <c r="EHI16" s="1341"/>
      <c r="EHJ16" s="1342"/>
      <c r="EHK16" s="1336"/>
      <c r="EHL16" s="1336"/>
      <c r="EHM16" s="1336"/>
      <c r="EHN16" s="1336"/>
      <c r="EHO16" s="1337"/>
      <c r="EHP16" s="1337"/>
      <c r="EHQ16" s="1337"/>
      <c r="EHR16" s="1337"/>
      <c r="EHS16" s="1337"/>
      <c r="EHT16" s="1338"/>
      <c r="EHU16" s="1339"/>
      <c r="EHV16" s="1340"/>
      <c r="EHW16" s="1340"/>
      <c r="EHX16" s="1340"/>
      <c r="EHY16" s="1341"/>
      <c r="EHZ16" s="1342"/>
      <c r="EIA16" s="1336"/>
      <c r="EIB16" s="1336"/>
      <c r="EIC16" s="1336"/>
      <c r="EID16" s="1336"/>
      <c r="EIE16" s="1337"/>
      <c r="EIF16" s="1337"/>
      <c r="EIG16" s="1337"/>
      <c r="EIH16" s="1337"/>
      <c r="EII16" s="1337"/>
      <c r="EIJ16" s="1338"/>
      <c r="EIK16" s="1339"/>
      <c r="EIL16" s="1340"/>
      <c r="EIM16" s="1340"/>
      <c r="EIN16" s="1340"/>
      <c r="EIO16" s="1341"/>
      <c r="EIP16" s="1342"/>
      <c r="EIQ16" s="1336"/>
      <c r="EIR16" s="1336"/>
      <c r="EIS16" s="1336"/>
      <c r="EIT16" s="1336"/>
      <c r="EIU16" s="1337"/>
      <c r="EIV16" s="1337"/>
      <c r="EIW16" s="1337"/>
      <c r="EIX16" s="1337"/>
      <c r="EIY16" s="1337"/>
      <c r="EIZ16" s="1338"/>
      <c r="EJA16" s="1339"/>
      <c r="EJB16" s="1340"/>
      <c r="EJC16" s="1340"/>
      <c r="EJD16" s="1340"/>
      <c r="EJE16" s="1341"/>
      <c r="EJF16" s="1342"/>
      <c r="EJG16" s="1336"/>
      <c r="EJH16" s="1336"/>
      <c r="EJI16" s="1336"/>
      <c r="EJJ16" s="1336"/>
      <c r="EJK16" s="1337"/>
      <c r="EJL16" s="1337"/>
      <c r="EJM16" s="1337"/>
      <c r="EJN16" s="1337"/>
      <c r="EJO16" s="1337"/>
      <c r="EJP16" s="1338"/>
      <c r="EJQ16" s="1339"/>
      <c r="EJR16" s="1340"/>
      <c r="EJS16" s="1340"/>
      <c r="EJT16" s="1340"/>
      <c r="EJU16" s="1341"/>
      <c r="EJV16" s="1342"/>
      <c r="EJW16" s="1336"/>
      <c r="EJX16" s="1336"/>
      <c r="EJY16" s="1336"/>
      <c r="EJZ16" s="1336"/>
      <c r="EKA16" s="1337"/>
      <c r="EKB16" s="1337"/>
      <c r="EKC16" s="1337"/>
      <c r="EKD16" s="1337"/>
      <c r="EKE16" s="1337"/>
      <c r="EKF16" s="1338"/>
      <c r="EKG16" s="1339"/>
      <c r="EKH16" s="1340"/>
      <c r="EKI16" s="1340"/>
      <c r="EKJ16" s="1340"/>
      <c r="EKK16" s="1341"/>
      <c r="EKL16" s="1342"/>
      <c r="EKM16" s="1336"/>
      <c r="EKN16" s="1336"/>
      <c r="EKO16" s="1336"/>
      <c r="EKP16" s="1336"/>
      <c r="EKQ16" s="1337"/>
      <c r="EKR16" s="1337"/>
      <c r="EKS16" s="1337"/>
      <c r="EKT16" s="1337"/>
      <c r="EKU16" s="1337"/>
      <c r="EKV16" s="1338"/>
      <c r="EKW16" s="1339"/>
      <c r="EKX16" s="1340"/>
      <c r="EKY16" s="1340"/>
      <c r="EKZ16" s="1340"/>
      <c r="ELA16" s="1341"/>
      <c r="ELB16" s="1342"/>
      <c r="ELC16" s="1336"/>
      <c r="ELD16" s="1336"/>
      <c r="ELE16" s="1336"/>
      <c r="ELF16" s="1336"/>
      <c r="ELG16" s="1337"/>
      <c r="ELH16" s="1337"/>
      <c r="ELI16" s="1337"/>
      <c r="ELJ16" s="1337"/>
      <c r="ELK16" s="1337"/>
      <c r="ELL16" s="1338"/>
      <c r="ELM16" s="1339"/>
      <c r="ELN16" s="1340"/>
      <c r="ELO16" s="1340"/>
      <c r="ELP16" s="1340"/>
      <c r="ELQ16" s="1341"/>
      <c r="ELR16" s="1342"/>
      <c r="ELS16" s="1336"/>
      <c r="ELT16" s="1336"/>
      <c r="ELU16" s="1336"/>
      <c r="ELV16" s="1336"/>
      <c r="ELW16" s="1337"/>
      <c r="ELX16" s="1337"/>
      <c r="ELY16" s="1337"/>
      <c r="ELZ16" s="1337"/>
      <c r="EMA16" s="1337"/>
      <c r="EMB16" s="1338"/>
      <c r="EMC16" s="1339"/>
      <c r="EMD16" s="1340"/>
      <c r="EME16" s="1340"/>
      <c r="EMF16" s="1340"/>
      <c r="EMG16" s="1341"/>
      <c r="EMH16" s="1342"/>
      <c r="EMI16" s="1336"/>
      <c r="EMJ16" s="1336"/>
      <c r="EMK16" s="1336"/>
      <c r="EML16" s="1336"/>
      <c r="EMM16" s="1337"/>
      <c r="EMN16" s="1337"/>
      <c r="EMO16" s="1337"/>
      <c r="EMP16" s="1337"/>
      <c r="EMQ16" s="1337"/>
      <c r="EMR16" s="1338"/>
      <c r="EMS16" s="1339"/>
      <c r="EMT16" s="1340"/>
      <c r="EMU16" s="1340"/>
      <c r="EMV16" s="1340"/>
      <c r="EMW16" s="1341"/>
      <c r="EMX16" s="1342"/>
      <c r="EMY16" s="1336"/>
      <c r="EMZ16" s="1336"/>
      <c r="ENA16" s="1336"/>
      <c r="ENB16" s="1336"/>
      <c r="ENC16" s="1337"/>
      <c r="END16" s="1337"/>
      <c r="ENE16" s="1337"/>
      <c r="ENF16" s="1337"/>
      <c r="ENG16" s="1337"/>
      <c r="ENH16" s="1338"/>
      <c r="ENI16" s="1339"/>
      <c r="ENJ16" s="1340"/>
      <c r="ENK16" s="1340"/>
      <c r="ENL16" s="1340"/>
      <c r="ENM16" s="1341"/>
      <c r="ENN16" s="1342"/>
      <c r="ENO16" s="1336"/>
      <c r="ENP16" s="1336"/>
      <c r="ENQ16" s="1336"/>
      <c r="ENR16" s="1336"/>
      <c r="ENS16" s="1337"/>
      <c r="ENT16" s="1337"/>
      <c r="ENU16" s="1337"/>
      <c r="ENV16" s="1337"/>
      <c r="ENW16" s="1337"/>
      <c r="ENX16" s="1338"/>
      <c r="ENY16" s="1339"/>
      <c r="ENZ16" s="1340"/>
      <c r="EOA16" s="1340"/>
      <c r="EOB16" s="1340"/>
      <c r="EOC16" s="1341"/>
      <c r="EOD16" s="1342"/>
      <c r="EOE16" s="1336"/>
      <c r="EOF16" s="1336"/>
      <c r="EOG16" s="1336"/>
      <c r="EOH16" s="1336"/>
      <c r="EOI16" s="1337"/>
      <c r="EOJ16" s="1337"/>
      <c r="EOK16" s="1337"/>
      <c r="EOL16" s="1337"/>
      <c r="EOM16" s="1337"/>
      <c r="EON16" s="1338"/>
      <c r="EOO16" s="1339"/>
      <c r="EOP16" s="1340"/>
      <c r="EOQ16" s="1340"/>
      <c r="EOR16" s="1340"/>
      <c r="EOS16" s="1341"/>
      <c r="EOT16" s="1342"/>
      <c r="EOU16" s="1336"/>
      <c r="EOV16" s="1336"/>
      <c r="EOW16" s="1336"/>
      <c r="EOX16" s="1336"/>
      <c r="EOY16" s="1337"/>
      <c r="EOZ16" s="1337"/>
      <c r="EPA16" s="1337"/>
      <c r="EPB16" s="1337"/>
      <c r="EPC16" s="1337"/>
      <c r="EPD16" s="1338"/>
      <c r="EPE16" s="1339"/>
      <c r="EPF16" s="1340"/>
      <c r="EPG16" s="1340"/>
      <c r="EPH16" s="1340"/>
      <c r="EPI16" s="1341"/>
      <c r="EPJ16" s="1342"/>
      <c r="EPK16" s="1336"/>
      <c r="EPL16" s="1336"/>
      <c r="EPM16" s="1336"/>
      <c r="EPN16" s="1336"/>
      <c r="EPO16" s="1337"/>
      <c r="EPP16" s="1337"/>
      <c r="EPQ16" s="1337"/>
      <c r="EPR16" s="1337"/>
      <c r="EPS16" s="1337"/>
      <c r="EPT16" s="1338"/>
      <c r="EPU16" s="1339"/>
      <c r="EPV16" s="1340"/>
      <c r="EPW16" s="1340"/>
      <c r="EPX16" s="1340"/>
      <c r="EPY16" s="1341"/>
      <c r="EPZ16" s="1342"/>
      <c r="EQA16" s="1336"/>
      <c r="EQB16" s="1336"/>
      <c r="EQC16" s="1336"/>
      <c r="EQD16" s="1336"/>
      <c r="EQE16" s="1337"/>
      <c r="EQF16" s="1337"/>
      <c r="EQG16" s="1337"/>
      <c r="EQH16" s="1337"/>
      <c r="EQI16" s="1337"/>
      <c r="EQJ16" s="1338"/>
      <c r="EQK16" s="1339"/>
      <c r="EQL16" s="1340"/>
      <c r="EQM16" s="1340"/>
      <c r="EQN16" s="1340"/>
      <c r="EQO16" s="1341"/>
      <c r="EQP16" s="1342"/>
      <c r="EQQ16" s="1336"/>
      <c r="EQR16" s="1336"/>
      <c r="EQS16" s="1336"/>
      <c r="EQT16" s="1336"/>
      <c r="EQU16" s="1337"/>
      <c r="EQV16" s="1337"/>
      <c r="EQW16" s="1337"/>
      <c r="EQX16" s="1337"/>
      <c r="EQY16" s="1337"/>
      <c r="EQZ16" s="1338"/>
      <c r="ERA16" s="1339"/>
      <c r="ERB16" s="1340"/>
      <c r="ERC16" s="1340"/>
      <c r="ERD16" s="1340"/>
      <c r="ERE16" s="1341"/>
      <c r="ERF16" s="1342"/>
      <c r="ERG16" s="1336"/>
      <c r="ERH16" s="1336"/>
      <c r="ERI16" s="1336"/>
      <c r="ERJ16" s="1336"/>
      <c r="ERK16" s="1337"/>
      <c r="ERL16" s="1337"/>
      <c r="ERM16" s="1337"/>
      <c r="ERN16" s="1337"/>
      <c r="ERO16" s="1337"/>
      <c r="ERP16" s="1338"/>
      <c r="ERQ16" s="1339"/>
      <c r="ERR16" s="1340"/>
      <c r="ERS16" s="1340"/>
      <c r="ERT16" s="1340"/>
      <c r="ERU16" s="1341"/>
      <c r="ERV16" s="1342"/>
      <c r="ERW16" s="1336"/>
      <c r="ERX16" s="1336"/>
      <c r="ERY16" s="1336"/>
      <c r="ERZ16" s="1336"/>
      <c r="ESA16" s="1337"/>
      <c r="ESB16" s="1337"/>
      <c r="ESC16" s="1337"/>
      <c r="ESD16" s="1337"/>
      <c r="ESE16" s="1337"/>
      <c r="ESF16" s="1338"/>
      <c r="ESG16" s="1339"/>
      <c r="ESH16" s="1340"/>
      <c r="ESI16" s="1340"/>
      <c r="ESJ16" s="1340"/>
      <c r="ESK16" s="1341"/>
      <c r="ESL16" s="1342"/>
      <c r="ESM16" s="1336"/>
      <c r="ESN16" s="1336"/>
      <c r="ESO16" s="1336"/>
      <c r="ESP16" s="1336"/>
      <c r="ESQ16" s="1337"/>
      <c r="ESR16" s="1337"/>
      <c r="ESS16" s="1337"/>
      <c r="EST16" s="1337"/>
      <c r="ESU16" s="1337"/>
      <c r="ESV16" s="1338"/>
      <c r="ESW16" s="1339"/>
      <c r="ESX16" s="1340"/>
      <c r="ESY16" s="1340"/>
      <c r="ESZ16" s="1340"/>
      <c r="ETA16" s="1341"/>
      <c r="ETB16" s="1342"/>
      <c r="ETC16" s="1336"/>
      <c r="ETD16" s="1336"/>
      <c r="ETE16" s="1336"/>
      <c r="ETF16" s="1336"/>
      <c r="ETG16" s="1337"/>
      <c r="ETH16" s="1337"/>
      <c r="ETI16" s="1337"/>
      <c r="ETJ16" s="1337"/>
      <c r="ETK16" s="1337"/>
      <c r="ETL16" s="1338"/>
      <c r="ETM16" s="1339"/>
      <c r="ETN16" s="1340"/>
      <c r="ETO16" s="1340"/>
      <c r="ETP16" s="1340"/>
      <c r="ETQ16" s="1341"/>
      <c r="ETR16" s="1342"/>
      <c r="ETS16" s="1336"/>
      <c r="ETT16" s="1336"/>
      <c r="ETU16" s="1336"/>
      <c r="ETV16" s="1336"/>
      <c r="ETW16" s="1337"/>
      <c r="ETX16" s="1337"/>
      <c r="ETY16" s="1337"/>
      <c r="ETZ16" s="1337"/>
      <c r="EUA16" s="1337"/>
      <c r="EUB16" s="1338"/>
      <c r="EUC16" s="1339"/>
      <c r="EUD16" s="1340"/>
      <c r="EUE16" s="1340"/>
      <c r="EUF16" s="1340"/>
      <c r="EUG16" s="1341"/>
      <c r="EUH16" s="1342"/>
      <c r="EUI16" s="1336"/>
      <c r="EUJ16" s="1336"/>
      <c r="EUK16" s="1336"/>
      <c r="EUL16" s="1336"/>
      <c r="EUM16" s="1337"/>
      <c r="EUN16" s="1337"/>
      <c r="EUO16" s="1337"/>
      <c r="EUP16" s="1337"/>
      <c r="EUQ16" s="1337"/>
      <c r="EUR16" s="1338"/>
      <c r="EUS16" s="1339"/>
      <c r="EUT16" s="1340"/>
      <c r="EUU16" s="1340"/>
      <c r="EUV16" s="1340"/>
      <c r="EUW16" s="1341"/>
      <c r="EUX16" s="1342"/>
      <c r="EUY16" s="1336"/>
      <c r="EUZ16" s="1336"/>
      <c r="EVA16" s="1336"/>
      <c r="EVB16" s="1336"/>
      <c r="EVC16" s="1337"/>
      <c r="EVD16" s="1337"/>
      <c r="EVE16" s="1337"/>
      <c r="EVF16" s="1337"/>
      <c r="EVG16" s="1337"/>
      <c r="EVH16" s="1338"/>
      <c r="EVI16" s="1339"/>
      <c r="EVJ16" s="1340"/>
      <c r="EVK16" s="1340"/>
      <c r="EVL16" s="1340"/>
      <c r="EVM16" s="1341"/>
      <c r="EVN16" s="1342"/>
      <c r="EVO16" s="1336"/>
      <c r="EVP16" s="1336"/>
      <c r="EVQ16" s="1336"/>
      <c r="EVR16" s="1336"/>
      <c r="EVS16" s="1337"/>
      <c r="EVT16" s="1337"/>
      <c r="EVU16" s="1337"/>
      <c r="EVV16" s="1337"/>
      <c r="EVW16" s="1337"/>
      <c r="EVX16" s="1338"/>
      <c r="EVY16" s="1339"/>
      <c r="EVZ16" s="1340"/>
      <c r="EWA16" s="1340"/>
      <c r="EWB16" s="1340"/>
      <c r="EWC16" s="1341"/>
      <c r="EWD16" s="1342"/>
      <c r="EWE16" s="1336"/>
      <c r="EWF16" s="1336"/>
      <c r="EWG16" s="1336"/>
      <c r="EWH16" s="1336"/>
      <c r="EWI16" s="1337"/>
      <c r="EWJ16" s="1337"/>
      <c r="EWK16" s="1337"/>
      <c r="EWL16" s="1337"/>
      <c r="EWM16" s="1337"/>
      <c r="EWN16" s="1338"/>
      <c r="EWO16" s="1339"/>
      <c r="EWP16" s="1340"/>
      <c r="EWQ16" s="1340"/>
      <c r="EWR16" s="1340"/>
      <c r="EWS16" s="1341"/>
      <c r="EWT16" s="1342"/>
      <c r="EWU16" s="1336"/>
      <c r="EWV16" s="1336"/>
      <c r="EWW16" s="1336"/>
      <c r="EWX16" s="1336"/>
      <c r="EWY16" s="1337"/>
      <c r="EWZ16" s="1337"/>
      <c r="EXA16" s="1337"/>
      <c r="EXB16" s="1337"/>
      <c r="EXC16" s="1337"/>
      <c r="EXD16" s="1338"/>
      <c r="EXE16" s="1339"/>
      <c r="EXF16" s="1340"/>
      <c r="EXG16" s="1340"/>
      <c r="EXH16" s="1340"/>
      <c r="EXI16" s="1341"/>
      <c r="EXJ16" s="1342"/>
      <c r="EXK16" s="1336"/>
      <c r="EXL16" s="1336"/>
      <c r="EXM16" s="1336"/>
      <c r="EXN16" s="1336"/>
      <c r="EXO16" s="1337"/>
      <c r="EXP16" s="1337"/>
      <c r="EXQ16" s="1337"/>
      <c r="EXR16" s="1337"/>
      <c r="EXS16" s="1337"/>
      <c r="EXT16" s="1338"/>
      <c r="EXU16" s="1339"/>
      <c r="EXV16" s="1340"/>
      <c r="EXW16" s="1340"/>
      <c r="EXX16" s="1340"/>
      <c r="EXY16" s="1341"/>
      <c r="EXZ16" s="1342"/>
      <c r="EYA16" s="1336"/>
      <c r="EYB16" s="1336"/>
      <c r="EYC16" s="1336"/>
      <c r="EYD16" s="1336"/>
      <c r="EYE16" s="1337"/>
      <c r="EYF16" s="1337"/>
      <c r="EYG16" s="1337"/>
      <c r="EYH16" s="1337"/>
      <c r="EYI16" s="1337"/>
      <c r="EYJ16" s="1338"/>
      <c r="EYK16" s="1339"/>
      <c r="EYL16" s="1340"/>
      <c r="EYM16" s="1340"/>
      <c r="EYN16" s="1340"/>
      <c r="EYO16" s="1341"/>
      <c r="EYP16" s="1342"/>
      <c r="EYQ16" s="1336"/>
      <c r="EYR16" s="1336"/>
      <c r="EYS16" s="1336"/>
      <c r="EYT16" s="1336"/>
      <c r="EYU16" s="1337"/>
      <c r="EYV16" s="1337"/>
      <c r="EYW16" s="1337"/>
      <c r="EYX16" s="1337"/>
      <c r="EYY16" s="1337"/>
      <c r="EYZ16" s="1338"/>
      <c r="EZA16" s="1339"/>
      <c r="EZB16" s="1340"/>
      <c r="EZC16" s="1340"/>
      <c r="EZD16" s="1340"/>
      <c r="EZE16" s="1341"/>
      <c r="EZF16" s="1342"/>
      <c r="EZG16" s="1336"/>
      <c r="EZH16" s="1336"/>
      <c r="EZI16" s="1336"/>
      <c r="EZJ16" s="1336"/>
      <c r="EZK16" s="1337"/>
      <c r="EZL16" s="1337"/>
      <c r="EZM16" s="1337"/>
      <c r="EZN16" s="1337"/>
      <c r="EZO16" s="1337"/>
      <c r="EZP16" s="1338"/>
      <c r="EZQ16" s="1339"/>
      <c r="EZR16" s="1340"/>
      <c r="EZS16" s="1340"/>
      <c r="EZT16" s="1340"/>
      <c r="EZU16" s="1341"/>
      <c r="EZV16" s="1342"/>
      <c r="EZW16" s="1336"/>
      <c r="EZX16" s="1336"/>
      <c r="EZY16" s="1336"/>
      <c r="EZZ16" s="1336"/>
      <c r="FAA16" s="1337"/>
      <c r="FAB16" s="1337"/>
      <c r="FAC16" s="1337"/>
      <c r="FAD16" s="1337"/>
      <c r="FAE16" s="1337"/>
      <c r="FAF16" s="1338"/>
      <c r="FAG16" s="1339"/>
      <c r="FAH16" s="1340"/>
      <c r="FAI16" s="1340"/>
      <c r="FAJ16" s="1340"/>
      <c r="FAK16" s="1341"/>
      <c r="FAL16" s="1342"/>
      <c r="FAM16" s="1336"/>
      <c r="FAN16" s="1336"/>
      <c r="FAO16" s="1336"/>
      <c r="FAP16" s="1336"/>
      <c r="FAQ16" s="1337"/>
      <c r="FAR16" s="1337"/>
      <c r="FAS16" s="1337"/>
      <c r="FAT16" s="1337"/>
      <c r="FAU16" s="1337"/>
      <c r="FAV16" s="1338"/>
      <c r="FAW16" s="1339"/>
      <c r="FAX16" s="1340"/>
      <c r="FAY16" s="1340"/>
      <c r="FAZ16" s="1340"/>
      <c r="FBA16" s="1341"/>
      <c r="FBB16" s="1342"/>
      <c r="FBC16" s="1336"/>
      <c r="FBD16" s="1336"/>
      <c r="FBE16" s="1336"/>
      <c r="FBF16" s="1336"/>
      <c r="FBG16" s="1337"/>
      <c r="FBH16" s="1337"/>
      <c r="FBI16" s="1337"/>
      <c r="FBJ16" s="1337"/>
      <c r="FBK16" s="1337"/>
      <c r="FBL16" s="1338"/>
      <c r="FBM16" s="1339"/>
      <c r="FBN16" s="1340"/>
      <c r="FBO16" s="1340"/>
      <c r="FBP16" s="1340"/>
      <c r="FBQ16" s="1341"/>
      <c r="FBR16" s="1342"/>
      <c r="FBS16" s="1336"/>
      <c r="FBT16" s="1336"/>
      <c r="FBU16" s="1336"/>
      <c r="FBV16" s="1336"/>
      <c r="FBW16" s="1337"/>
      <c r="FBX16" s="1337"/>
      <c r="FBY16" s="1337"/>
      <c r="FBZ16" s="1337"/>
      <c r="FCA16" s="1337"/>
      <c r="FCB16" s="1338"/>
      <c r="FCC16" s="1339"/>
      <c r="FCD16" s="1340"/>
      <c r="FCE16" s="1340"/>
      <c r="FCF16" s="1340"/>
      <c r="FCG16" s="1341"/>
      <c r="FCH16" s="1342"/>
      <c r="FCI16" s="1336"/>
      <c r="FCJ16" s="1336"/>
      <c r="FCK16" s="1336"/>
      <c r="FCL16" s="1336"/>
      <c r="FCM16" s="1337"/>
      <c r="FCN16" s="1337"/>
      <c r="FCO16" s="1337"/>
      <c r="FCP16" s="1337"/>
      <c r="FCQ16" s="1337"/>
      <c r="FCR16" s="1338"/>
      <c r="FCS16" s="1339"/>
      <c r="FCT16" s="1340"/>
      <c r="FCU16" s="1340"/>
      <c r="FCV16" s="1340"/>
      <c r="FCW16" s="1341"/>
      <c r="FCX16" s="1342"/>
      <c r="FCY16" s="1336"/>
      <c r="FCZ16" s="1336"/>
      <c r="FDA16" s="1336"/>
      <c r="FDB16" s="1336"/>
      <c r="FDC16" s="1337"/>
      <c r="FDD16" s="1337"/>
      <c r="FDE16" s="1337"/>
      <c r="FDF16" s="1337"/>
      <c r="FDG16" s="1337"/>
      <c r="FDH16" s="1338"/>
      <c r="FDI16" s="1339"/>
      <c r="FDJ16" s="1340"/>
      <c r="FDK16" s="1340"/>
      <c r="FDL16" s="1340"/>
      <c r="FDM16" s="1341"/>
      <c r="FDN16" s="1342"/>
      <c r="FDO16" s="1336"/>
      <c r="FDP16" s="1336"/>
      <c r="FDQ16" s="1336"/>
      <c r="FDR16" s="1336"/>
      <c r="FDS16" s="1337"/>
      <c r="FDT16" s="1337"/>
      <c r="FDU16" s="1337"/>
      <c r="FDV16" s="1337"/>
      <c r="FDW16" s="1337"/>
      <c r="FDX16" s="1338"/>
      <c r="FDY16" s="1339"/>
      <c r="FDZ16" s="1340"/>
      <c r="FEA16" s="1340"/>
      <c r="FEB16" s="1340"/>
      <c r="FEC16" s="1341"/>
      <c r="FED16" s="1342"/>
      <c r="FEE16" s="1336"/>
      <c r="FEF16" s="1336"/>
      <c r="FEG16" s="1336"/>
      <c r="FEH16" s="1336"/>
      <c r="FEI16" s="1337"/>
      <c r="FEJ16" s="1337"/>
      <c r="FEK16" s="1337"/>
      <c r="FEL16" s="1337"/>
      <c r="FEM16" s="1337"/>
      <c r="FEN16" s="1338"/>
      <c r="FEO16" s="1339"/>
      <c r="FEP16" s="1340"/>
      <c r="FEQ16" s="1340"/>
      <c r="FER16" s="1340"/>
      <c r="FES16" s="1341"/>
      <c r="FET16" s="1342"/>
      <c r="FEU16" s="1336"/>
      <c r="FEV16" s="1336"/>
      <c r="FEW16" s="1336"/>
      <c r="FEX16" s="1336"/>
      <c r="FEY16" s="1337"/>
      <c r="FEZ16" s="1337"/>
      <c r="FFA16" s="1337"/>
      <c r="FFB16" s="1337"/>
      <c r="FFC16" s="1337"/>
      <c r="FFD16" s="1338"/>
      <c r="FFE16" s="1339"/>
      <c r="FFF16" s="1340"/>
      <c r="FFG16" s="1340"/>
      <c r="FFH16" s="1340"/>
      <c r="FFI16" s="1341"/>
      <c r="FFJ16" s="1342"/>
      <c r="FFK16" s="1336"/>
      <c r="FFL16" s="1336"/>
      <c r="FFM16" s="1336"/>
      <c r="FFN16" s="1336"/>
      <c r="FFO16" s="1337"/>
      <c r="FFP16" s="1337"/>
      <c r="FFQ16" s="1337"/>
      <c r="FFR16" s="1337"/>
      <c r="FFS16" s="1337"/>
      <c r="FFT16" s="1338"/>
      <c r="FFU16" s="1339"/>
      <c r="FFV16" s="1340"/>
      <c r="FFW16" s="1340"/>
      <c r="FFX16" s="1340"/>
      <c r="FFY16" s="1341"/>
      <c r="FFZ16" s="1342"/>
      <c r="FGA16" s="1336"/>
      <c r="FGB16" s="1336"/>
      <c r="FGC16" s="1336"/>
      <c r="FGD16" s="1336"/>
      <c r="FGE16" s="1337"/>
      <c r="FGF16" s="1337"/>
      <c r="FGG16" s="1337"/>
      <c r="FGH16" s="1337"/>
      <c r="FGI16" s="1337"/>
      <c r="FGJ16" s="1338"/>
      <c r="FGK16" s="1339"/>
      <c r="FGL16" s="1340"/>
      <c r="FGM16" s="1340"/>
      <c r="FGN16" s="1340"/>
      <c r="FGO16" s="1341"/>
      <c r="FGP16" s="1342"/>
      <c r="FGQ16" s="1336"/>
      <c r="FGR16" s="1336"/>
      <c r="FGS16" s="1336"/>
      <c r="FGT16" s="1336"/>
      <c r="FGU16" s="1337"/>
      <c r="FGV16" s="1337"/>
      <c r="FGW16" s="1337"/>
      <c r="FGX16" s="1337"/>
      <c r="FGY16" s="1337"/>
      <c r="FGZ16" s="1338"/>
      <c r="FHA16" s="1339"/>
      <c r="FHB16" s="1340"/>
      <c r="FHC16" s="1340"/>
      <c r="FHD16" s="1340"/>
      <c r="FHE16" s="1341"/>
      <c r="FHF16" s="1342"/>
      <c r="FHG16" s="1336"/>
      <c r="FHH16" s="1336"/>
      <c r="FHI16" s="1336"/>
      <c r="FHJ16" s="1336"/>
      <c r="FHK16" s="1337"/>
      <c r="FHL16" s="1337"/>
      <c r="FHM16" s="1337"/>
      <c r="FHN16" s="1337"/>
      <c r="FHO16" s="1337"/>
      <c r="FHP16" s="1338"/>
      <c r="FHQ16" s="1339"/>
      <c r="FHR16" s="1340"/>
      <c r="FHS16" s="1340"/>
      <c r="FHT16" s="1340"/>
      <c r="FHU16" s="1341"/>
      <c r="FHV16" s="1342"/>
      <c r="FHW16" s="1336"/>
      <c r="FHX16" s="1336"/>
      <c r="FHY16" s="1336"/>
      <c r="FHZ16" s="1336"/>
      <c r="FIA16" s="1337"/>
      <c r="FIB16" s="1337"/>
      <c r="FIC16" s="1337"/>
      <c r="FID16" s="1337"/>
      <c r="FIE16" s="1337"/>
      <c r="FIF16" s="1338"/>
      <c r="FIG16" s="1339"/>
      <c r="FIH16" s="1340"/>
      <c r="FII16" s="1340"/>
      <c r="FIJ16" s="1340"/>
      <c r="FIK16" s="1341"/>
      <c r="FIL16" s="1342"/>
      <c r="FIM16" s="1336"/>
      <c r="FIN16" s="1336"/>
      <c r="FIO16" s="1336"/>
      <c r="FIP16" s="1336"/>
      <c r="FIQ16" s="1337"/>
      <c r="FIR16" s="1337"/>
      <c r="FIS16" s="1337"/>
      <c r="FIT16" s="1337"/>
      <c r="FIU16" s="1337"/>
      <c r="FIV16" s="1338"/>
      <c r="FIW16" s="1339"/>
      <c r="FIX16" s="1340"/>
      <c r="FIY16" s="1340"/>
      <c r="FIZ16" s="1340"/>
      <c r="FJA16" s="1341"/>
      <c r="FJB16" s="1342"/>
      <c r="FJC16" s="1336"/>
      <c r="FJD16" s="1336"/>
      <c r="FJE16" s="1336"/>
      <c r="FJF16" s="1336"/>
      <c r="FJG16" s="1337"/>
      <c r="FJH16" s="1337"/>
      <c r="FJI16" s="1337"/>
      <c r="FJJ16" s="1337"/>
      <c r="FJK16" s="1337"/>
      <c r="FJL16" s="1338"/>
      <c r="FJM16" s="1339"/>
      <c r="FJN16" s="1340"/>
      <c r="FJO16" s="1340"/>
      <c r="FJP16" s="1340"/>
      <c r="FJQ16" s="1341"/>
      <c r="FJR16" s="1342"/>
      <c r="FJS16" s="1336"/>
      <c r="FJT16" s="1336"/>
      <c r="FJU16" s="1336"/>
      <c r="FJV16" s="1336"/>
      <c r="FJW16" s="1337"/>
      <c r="FJX16" s="1337"/>
      <c r="FJY16" s="1337"/>
      <c r="FJZ16" s="1337"/>
      <c r="FKA16" s="1337"/>
      <c r="FKB16" s="1338"/>
      <c r="FKC16" s="1339"/>
      <c r="FKD16" s="1340"/>
      <c r="FKE16" s="1340"/>
      <c r="FKF16" s="1340"/>
      <c r="FKG16" s="1341"/>
      <c r="FKH16" s="1342"/>
      <c r="FKI16" s="1336"/>
      <c r="FKJ16" s="1336"/>
      <c r="FKK16" s="1336"/>
      <c r="FKL16" s="1336"/>
      <c r="FKM16" s="1337"/>
      <c r="FKN16" s="1337"/>
      <c r="FKO16" s="1337"/>
      <c r="FKP16" s="1337"/>
      <c r="FKQ16" s="1337"/>
      <c r="FKR16" s="1338"/>
      <c r="FKS16" s="1339"/>
      <c r="FKT16" s="1340"/>
      <c r="FKU16" s="1340"/>
      <c r="FKV16" s="1340"/>
      <c r="FKW16" s="1341"/>
      <c r="FKX16" s="1342"/>
      <c r="FKY16" s="1336"/>
      <c r="FKZ16" s="1336"/>
      <c r="FLA16" s="1336"/>
      <c r="FLB16" s="1336"/>
      <c r="FLC16" s="1337"/>
      <c r="FLD16" s="1337"/>
      <c r="FLE16" s="1337"/>
      <c r="FLF16" s="1337"/>
      <c r="FLG16" s="1337"/>
      <c r="FLH16" s="1338"/>
      <c r="FLI16" s="1339"/>
      <c r="FLJ16" s="1340"/>
      <c r="FLK16" s="1340"/>
      <c r="FLL16" s="1340"/>
      <c r="FLM16" s="1341"/>
      <c r="FLN16" s="1342"/>
      <c r="FLO16" s="1336"/>
      <c r="FLP16" s="1336"/>
      <c r="FLQ16" s="1336"/>
      <c r="FLR16" s="1336"/>
      <c r="FLS16" s="1337"/>
      <c r="FLT16" s="1337"/>
      <c r="FLU16" s="1337"/>
      <c r="FLV16" s="1337"/>
      <c r="FLW16" s="1337"/>
      <c r="FLX16" s="1338"/>
      <c r="FLY16" s="1339"/>
      <c r="FLZ16" s="1340"/>
      <c r="FMA16" s="1340"/>
      <c r="FMB16" s="1340"/>
      <c r="FMC16" s="1341"/>
      <c r="FMD16" s="1342"/>
      <c r="FME16" s="1336"/>
      <c r="FMF16" s="1336"/>
      <c r="FMG16" s="1336"/>
      <c r="FMH16" s="1336"/>
      <c r="FMI16" s="1337"/>
      <c r="FMJ16" s="1337"/>
      <c r="FMK16" s="1337"/>
      <c r="FML16" s="1337"/>
      <c r="FMM16" s="1337"/>
      <c r="FMN16" s="1338"/>
      <c r="FMO16" s="1339"/>
      <c r="FMP16" s="1340"/>
      <c r="FMQ16" s="1340"/>
      <c r="FMR16" s="1340"/>
      <c r="FMS16" s="1341"/>
      <c r="FMT16" s="1342"/>
      <c r="FMU16" s="1336"/>
      <c r="FMV16" s="1336"/>
      <c r="FMW16" s="1336"/>
      <c r="FMX16" s="1336"/>
      <c r="FMY16" s="1337"/>
      <c r="FMZ16" s="1337"/>
      <c r="FNA16" s="1337"/>
      <c r="FNB16" s="1337"/>
      <c r="FNC16" s="1337"/>
      <c r="FND16" s="1338"/>
      <c r="FNE16" s="1339"/>
      <c r="FNF16" s="1340"/>
      <c r="FNG16" s="1340"/>
      <c r="FNH16" s="1340"/>
      <c r="FNI16" s="1341"/>
      <c r="FNJ16" s="1342"/>
      <c r="FNK16" s="1336"/>
      <c r="FNL16" s="1336"/>
      <c r="FNM16" s="1336"/>
      <c r="FNN16" s="1336"/>
      <c r="FNO16" s="1337"/>
      <c r="FNP16" s="1337"/>
      <c r="FNQ16" s="1337"/>
      <c r="FNR16" s="1337"/>
      <c r="FNS16" s="1337"/>
      <c r="FNT16" s="1338"/>
      <c r="FNU16" s="1339"/>
      <c r="FNV16" s="1340"/>
      <c r="FNW16" s="1340"/>
      <c r="FNX16" s="1340"/>
      <c r="FNY16" s="1341"/>
      <c r="FNZ16" s="1342"/>
      <c r="FOA16" s="1336"/>
      <c r="FOB16" s="1336"/>
      <c r="FOC16" s="1336"/>
      <c r="FOD16" s="1336"/>
      <c r="FOE16" s="1337"/>
      <c r="FOF16" s="1337"/>
      <c r="FOG16" s="1337"/>
      <c r="FOH16" s="1337"/>
      <c r="FOI16" s="1337"/>
      <c r="FOJ16" s="1338"/>
      <c r="FOK16" s="1339"/>
      <c r="FOL16" s="1340"/>
      <c r="FOM16" s="1340"/>
      <c r="FON16" s="1340"/>
      <c r="FOO16" s="1341"/>
      <c r="FOP16" s="1342"/>
      <c r="FOQ16" s="1336"/>
      <c r="FOR16" s="1336"/>
      <c r="FOS16" s="1336"/>
      <c r="FOT16" s="1336"/>
      <c r="FOU16" s="1337"/>
      <c r="FOV16" s="1337"/>
      <c r="FOW16" s="1337"/>
      <c r="FOX16" s="1337"/>
      <c r="FOY16" s="1337"/>
      <c r="FOZ16" s="1338"/>
      <c r="FPA16" s="1339"/>
      <c r="FPB16" s="1340"/>
      <c r="FPC16" s="1340"/>
      <c r="FPD16" s="1340"/>
      <c r="FPE16" s="1341"/>
      <c r="FPF16" s="1342"/>
      <c r="FPG16" s="1336"/>
      <c r="FPH16" s="1336"/>
      <c r="FPI16" s="1336"/>
      <c r="FPJ16" s="1336"/>
      <c r="FPK16" s="1337"/>
      <c r="FPL16" s="1337"/>
      <c r="FPM16" s="1337"/>
      <c r="FPN16" s="1337"/>
      <c r="FPO16" s="1337"/>
      <c r="FPP16" s="1338"/>
      <c r="FPQ16" s="1339"/>
      <c r="FPR16" s="1340"/>
      <c r="FPS16" s="1340"/>
      <c r="FPT16" s="1340"/>
      <c r="FPU16" s="1341"/>
      <c r="FPV16" s="1342"/>
      <c r="FPW16" s="1336"/>
      <c r="FPX16" s="1336"/>
      <c r="FPY16" s="1336"/>
      <c r="FPZ16" s="1336"/>
      <c r="FQA16" s="1337"/>
      <c r="FQB16" s="1337"/>
      <c r="FQC16" s="1337"/>
      <c r="FQD16" s="1337"/>
      <c r="FQE16" s="1337"/>
      <c r="FQF16" s="1338"/>
      <c r="FQG16" s="1339"/>
      <c r="FQH16" s="1340"/>
      <c r="FQI16" s="1340"/>
      <c r="FQJ16" s="1340"/>
      <c r="FQK16" s="1341"/>
      <c r="FQL16" s="1342"/>
      <c r="FQM16" s="1336"/>
      <c r="FQN16" s="1336"/>
      <c r="FQO16" s="1336"/>
      <c r="FQP16" s="1336"/>
      <c r="FQQ16" s="1337"/>
      <c r="FQR16" s="1337"/>
      <c r="FQS16" s="1337"/>
      <c r="FQT16" s="1337"/>
      <c r="FQU16" s="1337"/>
      <c r="FQV16" s="1338"/>
      <c r="FQW16" s="1339"/>
      <c r="FQX16" s="1340"/>
      <c r="FQY16" s="1340"/>
      <c r="FQZ16" s="1340"/>
      <c r="FRA16" s="1341"/>
      <c r="FRB16" s="1342"/>
      <c r="FRC16" s="1336"/>
      <c r="FRD16" s="1336"/>
      <c r="FRE16" s="1336"/>
      <c r="FRF16" s="1336"/>
      <c r="FRG16" s="1337"/>
      <c r="FRH16" s="1337"/>
      <c r="FRI16" s="1337"/>
      <c r="FRJ16" s="1337"/>
      <c r="FRK16" s="1337"/>
      <c r="FRL16" s="1338"/>
      <c r="FRM16" s="1339"/>
      <c r="FRN16" s="1340"/>
      <c r="FRO16" s="1340"/>
      <c r="FRP16" s="1340"/>
      <c r="FRQ16" s="1341"/>
      <c r="FRR16" s="1342"/>
      <c r="FRS16" s="1336"/>
      <c r="FRT16" s="1336"/>
      <c r="FRU16" s="1336"/>
      <c r="FRV16" s="1336"/>
      <c r="FRW16" s="1337"/>
      <c r="FRX16" s="1337"/>
      <c r="FRY16" s="1337"/>
      <c r="FRZ16" s="1337"/>
      <c r="FSA16" s="1337"/>
      <c r="FSB16" s="1338"/>
      <c r="FSC16" s="1339"/>
      <c r="FSD16" s="1340"/>
      <c r="FSE16" s="1340"/>
      <c r="FSF16" s="1340"/>
      <c r="FSG16" s="1341"/>
      <c r="FSH16" s="1342"/>
      <c r="FSI16" s="1336"/>
      <c r="FSJ16" s="1336"/>
      <c r="FSK16" s="1336"/>
      <c r="FSL16" s="1336"/>
      <c r="FSM16" s="1337"/>
      <c r="FSN16" s="1337"/>
      <c r="FSO16" s="1337"/>
      <c r="FSP16" s="1337"/>
      <c r="FSQ16" s="1337"/>
      <c r="FSR16" s="1338"/>
      <c r="FSS16" s="1339"/>
      <c r="FST16" s="1340"/>
      <c r="FSU16" s="1340"/>
      <c r="FSV16" s="1340"/>
      <c r="FSW16" s="1341"/>
      <c r="FSX16" s="1342"/>
      <c r="FSY16" s="1336"/>
      <c r="FSZ16" s="1336"/>
      <c r="FTA16" s="1336"/>
      <c r="FTB16" s="1336"/>
      <c r="FTC16" s="1337"/>
      <c r="FTD16" s="1337"/>
      <c r="FTE16" s="1337"/>
      <c r="FTF16" s="1337"/>
      <c r="FTG16" s="1337"/>
      <c r="FTH16" s="1338"/>
      <c r="FTI16" s="1339"/>
      <c r="FTJ16" s="1340"/>
      <c r="FTK16" s="1340"/>
      <c r="FTL16" s="1340"/>
      <c r="FTM16" s="1341"/>
      <c r="FTN16" s="1342"/>
      <c r="FTO16" s="1336"/>
      <c r="FTP16" s="1336"/>
      <c r="FTQ16" s="1336"/>
      <c r="FTR16" s="1336"/>
      <c r="FTS16" s="1337"/>
      <c r="FTT16" s="1337"/>
      <c r="FTU16" s="1337"/>
      <c r="FTV16" s="1337"/>
      <c r="FTW16" s="1337"/>
      <c r="FTX16" s="1338"/>
      <c r="FTY16" s="1339"/>
      <c r="FTZ16" s="1340"/>
      <c r="FUA16" s="1340"/>
      <c r="FUB16" s="1340"/>
      <c r="FUC16" s="1341"/>
      <c r="FUD16" s="1342"/>
      <c r="FUE16" s="1336"/>
      <c r="FUF16" s="1336"/>
      <c r="FUG16" s="1336"/>
      <c r="FUH16" s="1336"/>
      <c r="FUI16" s="1337"/>
      <c r="FUJ16" s="1337"/>
      <c r="FUK16" s="1337"/>
      <c r="FUL16" s="1337"/>
      <c r="FUM16" s="1337"/>
      <c r="FUN16" s="1338"/>
      <c r="FUO16" s="1339"/>
      <c r="FUP16" s="1340"/>
      <c r="FUQ16" s="1340"/>
      <c r="FUR16" s="1340"/>
      <c r="FUS16" s="1341"/>
      <c r="FUT16" s="1342"/>
      <c r="FUU16" s="1336"/>
      <c r="FUV16" s="1336"/>
      <c r="FUW16" s="1336"/>
      <c r="FUX16" s="1336"/>
      <c r="FUY16" s="1337"/>
      <c r="FUZ16" s="1337"/>
      <c r="FVA16" s="1337"/>
      <c r="FVB16" s="1337"/>
      <c r="FVC16" s="1337"/>
      <c r="FVD16" s="1338"/>
      <c r="FVE16" s="1339"/>
      <c r="FVF16" s="1340"/>
      <c r="FVG16" s="1340"/>
      <c r="FVH16" s="1340"/>
      <c r="FVI16" s="1341"/>
      <c r="FVJ16" s="1342"/>
      <c r="FVK16" s="1336"/>
      <c r="FVL16" s="1336"/>
      <c r="FVM16" s="1336"/>
      <c r="FVN16" s="1336"/>
      <c r="FVO16" s="1337"/>
      <c r="FVP16" s="1337"/>
      <c r="FVQ16" s="1337"/>
      <c r="FVR16" s="1337"/>
      <c r="FVS16" s="1337"/>
      <c r="FVT16" s="1338"/>
      <c r="FVU16" s="1339"/>
      <c r="FVV16" s="1340"/>
      <c r="FVW16" s="1340"/>
      <c r="FVX16" s="1340"/>
      <c r="FVY16" s="1341"/>
      <c r="FVZ16" s="1342"/>
      <c r="FWA16" s="1336"/>
      <c r="FWB16" s="1336"/>
      <c r="FWC16" s="1336"/>
      <c r="FWD16" s="1336"/>
      <c r="FWE16" s="1337"/>
      <c r="FWF16" s="1337"/>
      <c r="FWG16" s="1337"/>
      <c r="FWH16" s="1337"/>
      <c r="FWI16" s="1337"/>
      <c r="FWJ16" s="1338"/>
      <c r="FWK16" s="1339"/>
      <c r="FWL16" s="1340"/>
      <c r="FWM16" s="1340"/>
      <c r="FWN16" s="1340"/>
      <c r="FWO16" s="1341"/>
      <c r="FWP16" s="1342"/>
      <c r="FWQ16" s="1336"/>
      <c r="FWR16" s="1336"/>
      <c r="FWS16" s="1336"/>
      <c r="FWT16" s="1336"/>
      <c r="FWU16" s="1337"/>
      <c r="FWV16" s="1337"/>
      <c r="FWW16" s="1337"/>
      <c r="FWX16" s="1337"/>
      <c r="FWY16" s="1337"/>
      <c r="FWZ16" s="1338"/>
      <c r="FXA16" s="1339"/>
      <c r="FXB16" s="1340"/>
      <c r="FXC16" s="1340"/>
      <c r="FXD16" s="1340"/>
      <c r="FXE16" s="1341"/>
      <c r="FXF16" s="1342"/>
      <c r="FXG16" s="1336"/>
      <c r="FXH16" s="1336"/>
      <c r="FXI16" s="1336"/>
      <c r="FXJ16" s="1336"/>
      <c r="FXK16" s="1337"/>
      <c r="FXL16" s="1337"/>
      <c r="FXM16" s="1337"/>
      <c r="FXN16" s="1337"/>
      <c r="FXO16" s="1337"/>
      <c r="FXP16" s="1338"/>
      <c r="FXQ16" s="1339"/>
      <c r="FXR16" s="1340"/>
      <c r="FXS16" s="1340"/>
      <c r="FXT16" s="1340"/>
      <c r="FXU16" s="1341"/>
      <c r="FXV16" s="1342"/>
      <c r="FXW16" s="1336"/>
      <c r="FXX16" s="1336"/>
      <c r="FXY16" s="1336"/>
      <c r="FXZ16" s="1336"/>
      <c r="FYA16" s="1337"/>
      <c r="FYB16" s="1337"/>
      <c r="FYC16" s="1337"/>
      <c r="FYD16" s="1337"/>
      <c r="FYE16" s="1337"/>
      <c r="FYF16" s="1338"/>
      <c r="FYG16" s="1339"/>
      <c r="FYH16" s="1340"/>
      <c r="FYI16" s="1340"/>
      <c r="FYJ16" s="1340"/>
      <c r="FYK16" s="1341"/>
      <c r="FYL16" s="1342"/>
      <c r="FYM16" s="1336"/>
      <c r="FYN16" s="1336"/>
      <c r="FYO16" s="1336"/>
      <c r="FYP16" s="1336"/>
      <c r="FYQ16" s="1337"/>
      <c r="FYR16" s="1337"/>
      <c r="FYS16" s="1337"/>
      <c r="FYT16" s="1337"/>
      <c r="FYU16" s="1337"/>
      <c r="FYV16" s="1338"/>
      <c r="FYW16" s="1339"/>
      <c r="FYX16" s="1340"/>
      <c r="FYY16" s="1340"/>
      <c r="FYZ16" s="1340"/>
      <c r="FZA16" s="1341"/>
      <c r="FZB16" s="1342"/>
      <c r="FZC16" s="1336"/>
      <c r="FZD16" s="1336"/>
      <c r="FZE16" s="1336"/>
      <c r="FZF16" s="1336"/>
      <c r="FZG16" s="1337"/>
      <c r="FZH16" s="1337"/>
      <c r="FZI16" s="1337"/>
      <c r="FZJ16" s="1337"/>
      <c r="FZK16" s="1337"/>
      <c r="FZL16" s="1338"/>
      <c r="FZM16" s="1339"/>
      <c r="FZN16" s="1340"/>
      <c r="FZO16" s="1340"/>
      <c r="FZP16" s="1340"/>
      <c r="FZQ16" s="1341"/>
      <c r="FZR16" s="1342"/>
      <c r="FZS16" s="1336"/>
      <c r="FZT16" s="1336"/>
      <c r="FZU16" s="1336"/>
      <c r="FZV16" s="1336"/>
      <c r="FZW16" s="1337"/>
      <c r="FZX16" s="1337"/>
      <c r="FZY16" s="1337"/>
      <c r="FZZ16" s="1337"/>
      <c r="GAA16" s="1337"/>
      <c r="GAB16" s="1338"/>
      <c r="GAC16" s="1339"/>
      <c r="GAD16" s="1340"/>
      <c r="GAE16" s="1340"/>
      <c r="GAF16" s="1340"/>
      <c r="GAG16" s="1341"/>
      <c r="GAH16" s="1342"/>
      <c r="GAI16" s="1336"/>
      <c r="GAJ16" s="1336"/>
      <c r="GAK16" s="1336"/>
      <c r="GAL16" s="1336"/>
      <c r="GAM16" s="1337"/>
      <c r="GAN16" s="1337"/>
      <c r="GAO16" s="1337"/>
      <c r="GAP16" s="1337"/>
      <c r="GAQ16" s="1337"/>
      <c r="GAR16" s="1338"/>
      <c r="GAS16" s="1339"/>
      <c r="GAT16" s="1340"/>
      <c r="GAU16" s="1340"/>
      <c r="GAV16" s="1340"/>
      <c r="GAW16" s="1341"/>
      <c r="GAX16" s="1342"/>
      <c r="GAY16" s="1336"/>
      <c r="GAZ16" s="1336"/>
      <c r="GBA16" s="1336"/>
      <c r="GBB16" s="1336"/>
      <c r="GBC16" s="1337"/>
      <c r="GBD16" s="1337"/>
      <c r="GBE16" s="1337"/>
      <c r="GBF16" s="1337"/>
      <c r="GBG16" s="1337"/>
      <c r="GBH16" s="1338"/>
      <c r="GBI16" s="1339"/>
      <c r="GBJ16" s="1340"/>
      <c r="GBK16" s="1340"/>
      <c r="GBL16" s="1340"/>
      <c r="GBM16" s="1341"/>
      <c r="GBN16" s="1342"/>
      <c r="GBO16" s="1336"/>
      <c r="GBP16" s="1336"/>
      <c r="GBQ16" s="1336"/>
      <c r="GBR16" s="1336"/>
      <c r="GBS16" s="1337"/>
      <c r="GBT16" s="1337"/>
      <c r="GBU16" s="1337"/>
      <c r="GBV16" s="1337"/>
      <c r="GBW16" s="1337"/>
      <c r="GBX16" s="1338"/>
      <c r="GBY16" s="1339"/>
      <c r="GBZ16" s="1340"/>
      <c r="GCA16" s="1340"/>
      <c r="GCB16" s="1340"/>
      <c r="GCC16" s="1341"/>
      <c r="GCD16" s="1342"/>
      <c r="GCE16" s="1336"/>
      <c r="GCF16" s="1336"/>
      <c r="GCG16" s="1336"/>
      <c r="GCH16" s="1336"/>
      <c r="GCI16" s="1337"/>
      <c r="GCJ16" s="1337"/>
      <c r="GCK16" s="1337"/>
      <c r="GCL16" s="1337"/>
      <c r="GCM16" s="1337"/>
      <c r="GCN16" s="1338"/>
      <c r="GCO16" s="1339"/>
      <c r="GCP16" s="1340"/>
      <c r="GCQ16" s="1340"/>
      <c r="GCR16" s="1340"/>
      <c r="GCS16" s="1341"/>
      <c r="GCT16" s="1342"/>
      <c r="GCU16" s="1336"/>
      <c r="GCV16" s="1336"/>
      <c r="GCW16" s="1336"/>
      <c r="GCX16" s="1336"/>
      <c r="GCY16" s="1337"/>
      <c r="GCZ16" s="1337"/>
      <c r="GDA16" s="1337"/>
      <c r="GDB16" s="1337"/>
      <c r="GDC16" s="1337"/>
      <c r="GDD16" s="1338"/>
      <c r="GDE16" s="1339"/>
      <c r="GDF16" s="1340"/>
      <c r="GDG16" s="1340"/>
      <c r="GDH16" s="1340"/>
      <c r="GDI16" s="1341"/>
      <c r="GDJ16" s="1342"/>
      <c r="GDK16" s="1336"/>
      <c r="GDL16" s="1336"/>
      <c r="GDM16" s="1336"/>
      <c r="GDN16" s="1336"/>
      <c r="GDO16" s="1337"/>
      <c r="GDP16" s="1337"/>
      <c r="GDQ16" s="1337"/>
      <c r="GDR16" s="1337"/>
      <c r="GDS16" s="1337"/>
      <c r="GDT16" s="1338"/>
      <c r="GDU16" s="1339"/>
      <c r="GDV16" s="1340"/>
      <c r="GDW16" s="1340"/>
      <c r="GDX16" s="1340"/>
      <c r="GDY16" s="1341"/>
      <c r="GDZ16" s="1342"/>
      <c r="GEA16" s="1336"/>
      <c r="GEB16" s="1336"/>
      <c r="GEC16" s="1336"/>
      <c r="GED16" s="1336"/>
      <c r="GEE16" s="1337"/>
      <c r="GEF16" s="1337"/>
      <c r="GEG16" s="1337"/>
      <c r="GEH16" s="1337"/>
      <c r="GEI16" s="1337"/>
      <c r="GEJ16" s="1338"/>
      <c r="GEK16" s="1339"/>
      <c r="GEL16" s="1340"/>
      <c r="GEM16" s="1340"/>
      <c r="GEN16" s="1340"/>
      <c r="GEO16" s="1341"/>
      <c r="GEP16" s="1342"/>
      <c r="GEQ16" s="1336"/>
      <c r="GER16" s="1336"/>
      <c r="GES16" s="1336"/>
      <c r="GET16" s="1336"/>
      <c r="GEU16" s="1337"/>
      <c r="GEV16" s="1337"/>
      <c r="GEW16" s="1337"/>
      <c r="GEX16" s="1337"/>
      <c r="GEY16" s="1337"/>
      <c r="GEZ16" s="1338"/>
      <c r="GFA16" s="1339"/>
      <c r="GFB16" s="1340"/>
      <c r="GFC16" s="1340"/>
      <c r="GFD16" s="1340"/>
      <c r="GFE16" s="1341"/>
      <c r="GFF16" s="1342"/>
      <c r="GFG16" s="1336"/>
      <c r="GFH16" s="1336"/>
      <c r="GFI16" s="1336"/>
      <c r="GFJ16" s="1336"/>
      <c r="GFK16" s="1337"/>
      <c r="GFL16" s="1337"/>
      <c r="GFM16" s="1337"/>
      <c r="GFN16" s="1337"/>
      <c r="GFO16" s="1337"/>
      <c r="GFP16" s="1338"/>
      <c r="GFQ16" s="1339"/>
      <c r="GFR16" s="1340"/>
      <c r="GFS16" s="1340"/>
      <c r="GFT16" s="1340"/>
      <c r="GFU16" s="1341"/>
      <c r="GFV16" s="1342"/>
      <c r="GFW16" s="1336"/>
      <c r="GFX16" s="1336"/>
      <c r="GFY16" s="1336"/>
      <c r="GFZ16" s="1336"/>
      <c r="GGA16" s="1337"/>
      <c r="GGB16" s="1337"/>
      <c r="GGC16" s="1337"/>
      <c r="GGD16" s="1337"/>
      <c r="GGE16" s="1337"/>
      <c r="GGF16" s="1338"/>
      <c r="GGG16" s="1339"/>
      <c r="GGH16" s="1340"/>
      <c r="GGI16" s="1340"/>
      <c r="GGJ16" s="1340"/>
      <c r="GGK16" s="1341"/>
      <c r="GGL16" s="1342"/>
      <c r="GGM16" s="1336"/>
      <c r="GGN16" s="1336"/>
      <c r="GGO16" s="1336"/>
      <c r="GGP16" s="1336"/>
      <c r="GGQ16" s="1337"/>
      <c r="GGR16" s="1337"/>
      <c r="GGS16" s="1337"/>
      <c r="GGT16" s="1337"/>
      <c r="GGU16" s="1337"/>
      <c r="GGV16" s="1338"/>
      <c r="GGW16" s="1339"/>
      <c r="GGX16" s="1340"/>
      <c r="GGY16" s="1340"/>
      <c r="GGZ16" s="1340"/>
      <c r="GHA16" s="1341"/>
      <c r="GHB16" s="1342"/>
      <c r="GHC16" s="1336"/>
      <c r="GHD16" s="1336"/>
      <c r="GHE16" s="1336"/>
      <c r="GHF16" s="1336"/>
      <c r="GHG16" s="1337"/>
      <c r="GHH16" s="1337"/>
      <c r="GHI16" s="1337"/>
      <c r="GHJ16" s="1337"/>
      <c r="GHK16" s="1337"/>
      <c r="GHL16" s="1338"/>
      <c r="GHM16" s="1339"/>
      <c r="GHN16" s="1340"/>
      <c r="GHO16" s="1340"/>
      <c r="GHP16" s="1340"/>
      <c r="GHQ16" s="1341"/>
      <c r="GHR16" s="1342"/>
      <c r="GHS16" s="1336"/>
      <c r="GHT16" s="1336"/>
      <c r="GHU16" s="1336"/>
      <c r="GHV16" s="1336"/>
      <c r="GHW16" s="1337"/>
      <c r="GHX16" s="1337"/>
      <c r="GHY16" s="1337"/>
      <c r="GHZ16" s="1337"/>
      <c r="GIA16" s="1337"/>
      <c r="GIB16" s="1338"/>
      <c r="GIC16" s="1339"/>
      <c r="GID16" s="1340"/>
      <c r="GIE16" s="1340"/>
      <c r="GIF16" s="1340"/>
      <c r="GIG16" s="1341"/>
      <c r="GIH16" s="1342"/>
      <c r="GII16" s="1336"/>
      <c r="GIJ16" s="1336"/>
      <c r="GIK16" s="1336"/>
      <c r="GIL16" s="1336"/>
      <c r="GIM16" s="1337"/>
      <c r="GIN16" s="1337"/>
      <c r="GIO16" s="1337"/>
      <c r="GIP16" s="1337"/>
      <c r="GIQ16" s="1337"/>
      <c r="GIR16" s="1338"/>
      <c r="GIS16" s="1339"/>
      <c r="GIT16" s="1340"/>
      <c r="GIU16" s="1340"/>
      <c r="GIV16" s="1340"/>
      <c r="GIW16" s="1341"/>
      <c r="GIX16" s="1342"/>
      <c r="GIY16" s="1336"/>
      <c r="GIZ16" s="1336"/>
      <c r="GJA16" s="1336"/>
      <c r="GJB16" s="1336"/>
      <c r="GJC16" s="1337"/>
      <c r="GJD16" s="1337"/>
      <c r="GJE16" s="1337"/>
      <c r="GJF16" s="1337"/>
      <c r="GJG16" s="1337"/>
      <c r="GJH16" s="1338"/>
      <c r="GJI16" s="1339"/>
      <c r="GJJ16" s="1340"/>
      <c r="GJK16" s="1340"/>
      <c r="GJL16" s="1340"/>
      <c r="GJM16" s="1341"/>
      <c r="GJN16" s="1342"/>
      <c r="GJO16" s="1336"/>
      <c r="GJP16" s="1336"/>
      <c r="GJQ16" s="1336"/>
      <c r="GJR16" s="1336"/>
      <c r="GJS16" s="1337"/>
      <c r="GJT16" s="1337"/>
      <c r="GJU16" s="1337"/>
      <c r="GJV16" s="1337"/>
      <c r="GJW16" s="1337"/>
      <c r="GJX16" s="1338"/>
      <c r="GJY16" s="1339"/>
      <c r="GJZ16" s="1340"/>
      <c r="GKA16" s="1340"/>
      <c r="GKB16" s="1340"/>
      <c r="GKC16" s="1341"/>
      <c r="GKD16" s="1342"/>
      <c r="GKE16" s="1336"/>
      <c r="GKF16" s="1336"/>
      <c r="GKG16" s="1336"/>
      <c r="GKH16" s="1336"/>
      <c r="GKI16" s="1337"/>
      <c r="GKJ16" s="1337"/>
      <c r="GKK16" s="1337"/>
      <c r="GKL16" s="1337"/>
      <c r="GKM16" s="1337"/>
      <c r="GKN16" s="1338"/>
      <c r="GKO16" s="1339"/>
      <c r="GKP16" s="1340"/>
      <c r="GKQ16" s="1340"/>
      <c r="GKR16" s="1340"/>
      <c r="GKS16" s="1341"/>
      <c r="GKT16" s="1342"/>
      <c r="GKU16" s="1336"/>
      <c r="GKV16" s="1336"/>
      <c r="GKW16" s="1336"/>
      <c r="GKX16" s="1336"/>
      <c r="GKY16" s="1337"/>
      <c r="GKZ16" s="1337"/>
      <c r="GLA16" s="1337"/>
      <c r="GLB16" s="1337"/>
      <c r="GLC16" s="1337"/>
      <c r="GLD16" s="1338"/>
      <c r="GLE16" s="1339"/>
      <c r="GLF16" s="1340"/>
      <c r="GLG16" s="1340"/>
      <c r="GLH16" s="1340"/>
      <c r="GLI16" s="1341"/>
      <c r="GLJ16" s="1342"/>
      <c r="GLK16" s="1336"/>
      <c r="GLL16" s="1336"/>
      <c r="GLM16" s="1336"/>
      <c r="GLN16" s="1336"/>
      <c r="GLO16" s="1337"/>
      <c r="GLP16" s="1337"/>
      <c r="GLQ16" s="1337"/>
      <c r="GLR16" s="1337"/>
      <c r="GLS16" s="1337"/>
      <c r="GLT16" s="1338"/>
      <c r="GLU16" s="1339"/>
      <c r="GLV16" s="1340"/>
      <c r="GLW16" s="1340"/>
      <c r="GLX16" s="1340"/>
      <c r="GLY16" s="1341"/>
      <c r="GLZ16" s="1342"/>
      <c r="GMA16" s="1336"/>
      <c r="GMB16" s="1336"/>
      <c r="GMC16" s="1336"/>
      <c r="GMD16" s="1336"/>
      <c r="GME16" s="1337"/>
      <c r="GMF16" s="1337"/>
      <c r="GMG16" s="1337"/>
      <c r="GMH16" s="1337"/>
      <c r="GMI16" s="1337"/>
      <c r="GMJ16" s="1338"/>
      <c r="GMK16" s="1339"/>
      <c r="GML16" s="1340"/>
      <c r="GMM16" s="1340"/>
      <c r="GMN16" s="1340"/>
      <c r="GMO16" s="1341"/>
      <c r="GMP16" s="1342"/>
      <c r="GMQ16" s="1336"/>
      <c r="GMR16" s="1336"/>
      <c r="GMS16" s="1336"/>
      <c r="GMT16" s="1336"/>
      <c r="GMU16" s="1337"/>
      <c r="GMV16" s="1337"/>
      <c r="GMW16" s="1337"/>
      <c r="GMX16" s="1337"/>
      <c r="GMY16" s="1337"/>
      <c r="GMZ16" s="1338"/>
      <c r="GNA16" s="1339"/>
      <c r="GNB16" s="1340"/>
      <c r="GNC16" s="1340"/>
      <c r="GND16" s="1340"/>
      <c r="GNE16" s="1341"/>
      <c r="GNF16" s="1342"/>
      <c r="GNG16" s="1336"/>
      <c r="GNH16" s="1336"/>
      <c r="GNI16" s="1336"/>
      <c r="GNJ16" s="1336"/>
      <c r="GNK16" s="1337"/>
      <c r="GNL16" s="1337"/>
      <c r="GNM16" s="1337"/>
      <c r="GNN16" s="1337"/>
      <c r="GNO16" s="1337"/>
      <c r="GNP16" s="1338"/>
      <c r="GNQ16" s="1339"/>
      <c r="GNR16" s="1340"/>
      <c r="GNS16" s="1340"/>
      <c r="GNT16" s="1340"/>
      <c r="GNU16" s="1341"/>
      <c r="GNV16" s="1342"/>
      <c r="GNW16" s="1336"/>
      <c r="GNX16" s="1336"/>
      <c r="GNY16" s="1336"/>
      <c r="GNZ16" s="1336"/>
      <c r="GOA16" s="1337"/>
      <c r="GOB16" s="1337"/>
      <c r="GOC16" s="1337"/>
      <c r="GOD16" s="1337"/>
      <c r="GOE16" s="1337"/>
      <c r="GOF16" s="1338"/>
      <c r="GOG16" s="1339"/>
      <c r="GOH16" s="1340"/>
      <c r="GOI16" s="1340"/>
      <c r="GOJ16" s="1340"/>
      <c r="GOK16" s="1341"/>
      <c r="GOL16" s="1342"/>
      <c r="GOM16" s="1336"/>
      <c r="GON16" s="1336"/>
      <c r="GOO16" s="1336"/>
      <c r="GOP16" s="1336"/>
      <c r="GOQ16" s="1337"/>
      <c r="GOR16" s="1337"/>
      <c r="GOS16" s="1337"/>
      <c r="GOT16" s="1337"/>
      <c r="GOU16" s="1337"/>
      <c r="GOV16" s="1338"/>
      <c r="GOW16" s="1339"/>
      <c r="GOX16" s="1340"/>
      <c r="GOY16" s="1340"/>
      <c r="GOZ16" s="1340"/>
      <c r="GPA16" s="1341"/>
      <c r="GPB16" s="1342"/>
      <c r="GPC16" s="1336"/>
      <c r="GPD16" s="1336"/>
      <c r="GPE16" s="1336"/>
      <c r="GPF16" s="1336"/>
      <c r="GPG16" s="1337"/>
      <c r="GPH16" s="1337"/>
      <c r="GPI16" s="1337"/>
      <c r="GPJ16" s="1337"/>
      <c r="GPK16" s="1337"/>
      <c r="GPL16" s="1338"/>
      <c r="GPM16" s="1339"/>
      <c r="GPN16" s="1340"/>
      <c r="GPO16" s="1340"/>
      <c r="GPP16" s="1340"/>
      <c r="GPQ16" s="1341"/>
      <c r="GPR16" s="1342"/>
      <c r="GPS16" s="1336"/>
      <c r="GPT16" s="1336"/>
      <c r="GPU16" s="1336"/>
      <c r="GPV16" s="1336"/>
      <c r="GPW16" s="1337"/>
      <c r="GPX16" s="1337"/>
      <c r="GPY16" s="1337"/>
      <c r="GPZ16" s="1337"/>
      <c r="GQA16" s="1337"/>
      <c r="GQB16" s="1338"/>
      <c r="GQC16" s="1339"/>
      <c r="GQD16" s="1340"/>
      <c r="GQE16" s="1340"/>
      <c r="GQF16" s="1340"/>
      <c r="GQG16" s="1341"/>
      <c r="GQH16" s="1342"/>
      <c r="GQI16" s="1336"/>
      <c r="GQJ16" s="1336"/>
      <c r="GQK16" s="1336"/>
      <c r="GQL16" s="1336"/>
      <c r="GQM16" s="1337"/>
      <c r="GQN16" s="1337"/>
      <c r="GQO16" s="1337"/>
      <c r="GQP16" s="1337"/>
      <c r="GQQ16" s="1337"/>
      <c r="GQR16" s="1338"/>
      <c r="GQS16" s="1339"/>
      <c r="GQT16" s="1340"/>
      <c r="GQU16" s="1340"/>
      <c r="GQV16" s="1340"/>
      <c r="GQW16" s="1341"/>
      <c r="GQX16" s="1342"/>
      <c r="GQY16" s="1336"/>
      <c r="GQZ16" s="1336"/>
      <c r="GRA16" s="1336"/>
      <c r="GRB16" s="1336"/>
      <c r="GRC16" s="1337"/>
      <c r="GRD16" s="1337"/>
      <c r="GRE16" s="1337"/>
      <c r="GRF16" s="1337"/>
      <c r="GRG16" s="1337"/>
      <c r="GRH16" s="1338"/>
      <c r="GRI16" s="1339"/>
      <c r="GRJ16" s="1340"/>
      <c r="GRK16" s="1340"/>
      <c r="GRL16" s="1340"/>
      <c r="GRM16" s="1341"/>
      <c r="GRN16" s="1342"/>
      <c r="GRO16" s="1336"/>
      <c r="GRP16" s="1336"/>
      <c r="GRQ16" s="1336"/>
      <c r="GRR16" s="1336"/>
      <c r="GRS16" s="1337"/>
      <c r="GRT16" s="1337"/>
      <c r="GRU16" s="1337"/>
      <c r="GRV16" s="1337"/>
      <c r="GRW16" s="1337"/>
      <c r="GRX16" s="1338"/>
      <c r="GRY16" s="1339"/>
      <c r="GRZ16" s="1340"/>
      <c r="GSA16" s="1340"/>
      <c r="GSB16" s="1340"/>
      <c r="GSC16" s="1341"/>
      <c r="GSD16" s="1342"/>
      <c r="GSE16" s="1336"/>
      <c r="GSF16" s="1336"/>
      <c r="GSG16" s="1336"/>
      <c r="GSH16" s="1336"/>
      <c r="GSI16" s="1337"/>
      <c r="GSJ16" s="1337"/>
      <c r="GSK16" s="1337"/>
      <c r="GSL16" s="1337"/>
      <c r="GSM16" s="1337"/>
      <c r="GSN16" s="1338"/>
      <c r="GSO16" s="1339"/>
      <c r="GSP16" s="1340"/>
      <c r="GSQ16" s="1340"/>
      <c r="GSR16" s="1340"/>
      <c r="GSS16" s="1341"/>
      <c r="GST16" s="1342"/>
      <c r="GSU16" s="1336"/>
      <c r="GSV16" s="1336"/>
      <c r="GSW16" s="1336"/>
      <c r="GSX16" s="1336"/>
      <c r="GSY16" s="1337"/>
      <c r="GSZ16" s="1337"/>
      <c r="GTA16" s="1337"/>
      <c r="GTB16" s="1337"/>
      <c r="GTC16" s="1337"/>
      <c r="GTD16" s="1338"/>
      <c r="GTE16" s="1339"/>
      <c r="GTF16" s="1340"/>
      <c r="GTG16" s="1340"/>
      <c r="GTH16" s="1340"/>
      <c r="GTI16" s="1341"/>
      <c r="GTJ16" s="1342"/>
      <c r="GTK16" s="1336"/>
      <c r="GTL16" s="1336"/>
      <c r="GTM16" s="1336"/>
      <c r="GTN16" s="1336"/>
      <c r="GTO16" s="1337"/>
      <c r="GTP16" s="1337"/>
      <c r="GTQ16" s="1337"/>
      <c r="GTR16" s="1337"/>
      <c r="GTS16" s="1337"/>
      <c r="GTT16" s="1338"/>
      <c r="GTU16" s="1339"/>
      <c r="GTV16" s="1340"/>
      <c r="GTW16" s="1340"/>
      <c r="GTX16" s="1340"/>
      <c r="GTY16" s="1341"/>
      <c r="GTZ16" s="1342"/>
      <c r="GUA16" s="1336"/>
      <c r="GUB16" s="1336"/>
      <c r="GUC16" s="1336"/>
      <c r="GUD16" s="1336"/>
      <c r="GUE16" s="1337"/>
      <c r="GUF16" s="1337"/>
      <c r="GUG16" s="1337"/>
      <c r="GUH16" s="1337"/>
      <c r="GUI16" s="1337"/>
      <c r="GUJ16" s="1338"/>
      <c r="GUK16" s="1339"/>
      <c r="GUL16" s="1340"/>
      <c r="GUM16" s="1340"/>
      <c r="GUN16" s="1340"/>
      <c r="GUO16" s="1341"/>
      <c r="GUP16" s="1342"/>
      <c r="GUQ16" s="1336"/>
      <c r="GUR16" s="1336"/>
      <c r="GUS16" s="1336"/>
      <c r="GUT16" s="1336"/>
      <c r="GUU16" s="1337"/>
      <c r="GUV16" s="1337"/>
      <c r="GUW16" s="1337"/>
      <c r="GUX16" s="1337"/>
      <c r="GUY16" s="1337"/>
      <c r="GUZ16" s="1338"/>
      <c r="GVA16" s="1339"/>
      <c r="GVB16" s="1340"/>
      <c r="GVC16" s="1340"/>
      <c r="GVD16" s="1340"/>
      <c r="GVE16" s="1341"/>
      <c r="GVF16" s="1342"/>
      <c r="GVG16" s="1336"/>
      <c r="GVH16" s="1336"/>
      <c r="GVI16" s="1336"/>
      <c r="GVJ16" s="1336"/>
      <c r="GVK16" s="1337"/>
      <c r="GVL16" s="1337"/>
      <c r="GVM16" s="1337"/>
      <c r="GVN16" s="1337"/>
      <c r="GVO16" s="1337"/>
      <c r="GVP16" s="1338"/>
      <c r="GVQ16" s="1339"/>
      <c r="GVR16" s="1340"/>
      <c r="GVS16" s="1340"/>
      <c r="GVT16" s="1340"/>
      <c r="GVU16" s="1341"/>
      <c r="GVV16" s="1342"/>
      <c r="GVW16" s="1336"/>
      <c r="GVX16" s="1336"/>
      <c r="GVY16" s="1336"/>
      <c r="GVZ16" s="1336"/>
      <c r="GWA16" s="1337"/>
      <c r="GWB16" s="1337"/>
      <c r="GWC16" s="1337"/>
      <c r="GWD16" s="1337"/>
      <c r="GWE16" s="1337"/>
      <c r="GWF16" s="1338"/>
      <c r="GWG16" s="1339"/>
      <c r="GWH16" s="1340"/>
      <c r="GWI16" s="1340"/>
      <c r="GWJ16" s="1340"/>
      <c r="GWK16" s="1341"/>
      <c r="GWL16" s="1342"/>
      <c r="GWM16" s="1336"/>
      <c r="GWN16" s="1336"/>
      <c r="GWO16" s="1336"/>
      <c r="GWP16" s="1336"/>
      <c r="GWQ16" s="1337"/>
      <c r="GWR16" s="1337"/>
      <c r="GWS16" s="1337"/>
      <c r="GWT16" s="1337"/>
      <c r="GWU16" s="1337"/>
      <c r="GWV16" s="1338"/>
      <c r="GWW16" s="1339"/>
      <c r="GWX16" s="1340"/>
      <c r="GWY16" s="1340"/>
      <c r="GWZ16" s="1340"/>
      <c r="GXA16" s="1341"/>
      <c r="GXB16" s="1342"/>
      <c r="GXC16" s="1336"/>
      <c r="GXD16" s="1336"/>
      <c r="GXE16" s="1336"/>
      <c r="GXF16" s="1336"/>
      <c r="GXG16" s="1337"/>
      <c r="GXH16" s="1337"/>
      <c r="GXI16" s="1337"/>
      <c r="GXJ16" s="1337"/>
      <c r="GXK16" s="1337"/>
      <c r="GXL16" s="1338"/>
      <c r="GXM16" s="1339"/>
      <c r="GXN16" s="1340"/>
      <c r="GXO16" s="1340"/>
      <c r="GXP16" s="1340"/>
      <c r="GXQ16" s="1341"/>
      <c r="GXR16" s="1342"/>
      <c r="GXS16" s="1336"/>
      <c r="GXT16" s="1336"/>
      <c r="GXU16" s="1336"/>
      <c r="GXV16" s="1336"/>
      <c r="GXW16" s="1337"/>
      <c r="GXX16" s="1337"/>
      <c r="GXY16" s="1337"/>
      <c r="GXZ16" s="1337"/>
      <c r="GYA16" s="1337"/>
      <c r="GYB16" s="1338"/>
      <c r="GYC16" s="1339"/>
      <c r="GYD16" s="1340"/>
      <c r="GYE16" s="1340"/>
      <c r="GYF16" s="1340"/>
      <c r="GYG16" s="1341"/>
      <c r="GYH16" s="1342"/>
      <c r="GYI16" s="1336"/>
      <c r="GYJ16" s="1336"/>
      <c r="GYK16" s="1336"/>
      <c r="GYL16" s="1336"/>
      <c r="GYM16" s="1337"/>
      <c r="GYN16" s="1337"/>
      <c r="GYO16" s="1337"/>
      <c r="GYP16" s="1337"/>
      <c r="GYQ16" s="1337"/>
      <c r="GYR16" s="1338"/>
      <c r="GYS16" s="1339"/>
      <c r="GYT16" s="1340"/>
      <c r="GYU16" s="1340"/>
      <c r="GYV16" s="1340"/>
      <c r="GYW16" s="1341"/>
      <c r="GYX16" s="1342"/>
      <c r="GYY16" s="1336"/>
      <c r="GYZ16" s="1336"/>
      <c r="GZA16" s="1336"/>
      <c r="GZB16" s="1336"/>
      <c r="GZC16" s="1337"/>
      <c r="GZD16" s="1337"/>
      <c r="GZE16" s="1337"/>
      <c r="GZF16" s="1337"/>
      <c r="GZG16" s="1337"/>
      <c r="GZH16" s="1338"/>
      <c r="GZI16" s="1339"/>
      <c r="GZJ16" s="1340"/>
      <c r="GZK16" s="1340"/>
      <c r="GZL16" s="1340"/>
      <c r="GZM16" s="1341"/>
      <c r="GZN16" s="1342"/>
      <c r="GZO16" s="1336"/>
      <c r="GZP16" s="1336"/>
      <c r="GZQ16" s="1336"/>
      <c r="GZR16" s="1336"/>
      <c r="GZS16" s="1337"/>
      <c r="GZT16" s="1337"/>
      <c r="GZU16" s="1337"/>
      <c r="GZV16" s="1337"/>
      <c r="GZW16" s="1337"/>
      <c r="GZX16" s="1338"/>
      <c r="GZY16" s="1339"/>
      <c r="GZZ16" s="1340"/>
      <c r="HAA16" s="1340"/>
      <c r="HAB16" s="1340"/>
      <c r="HAC16" s="1341"/>
      <c r="HAD16" s="1342"/>
      <c r="HAE16" s="1336"/>
      <c r="HAF16" s="1336"/>
      <c r="HAG16" s="1336"/>
      <c r="HAH16" s="1336"/>
      <c r="HAI16" s="1337"/>
      <c r="HAJ16" s="1337"/>
      <c r="HAK16" s="1337"/>
      <c r="HAL16" s="1337"/>
      <c r="HAM16" s="1337"/>
      <c r="HAN16" s="1338"/>
      <c r="HAO16" s="1339"/>
      <c r="HAP16" s="1340"/>
      <c r="HAQ16" s="1340"/>
      <c r="HAR16" s="1340"/>
      <c r="HAS16" s="1341"/>
      <c r="HAT16" s="1342"/>
      <c r="HAU16" s="1336"/>
      <c r="HAV16" s="1336"/>
      <c r="HAW16" s="1336"/>
      <c r="HAX16" s="1336"/>
      <c r="HAY16" s="1337"/>
      <c r="HAZ16" s="1337"/>
      <c r="HBA16" s="1337"/>
      <c r="HBB16" s="1337"/>
      <c r="HBC16" s="1337"/>
      <c r="HBD16" s="1338"/>
      <c r="HBE16" s="1339"/>
      <c r="HBF16" s="1340"/>
      <c r="HBG16" s="1340"/>
      <c r="HBH16" s="1340"/>
      <c r="HBI16" s="1341"/>
      <c r="HBJ16" s="1342"/>
      <c r="HBK16" s="1336"/>
      <c r="HBL16" s="1336"/>
      <c r="HBM16" s="1336"/>
      <c r="HBN16" s="1336"/>
      <c r="HBO16" s="1337"/>
      <c r="HBP16" s="1337"/>
      <c r="HBQ16" s="1337"/>
      <c r="HBR16" s="1337"/>
      <c r="HBS16" s="1337"/>
      <c r="HBT16" s="1338"/>
      <c r="HBU16" s="1339"/>
      <c r="HBV16" s="1340"/>
      <c r="HBW16" s="1340"/>
      <c r="HBX16" s="1340"/>
      <c r="HBY16" s="1341"/>
      <c r="HBZ16" s="1342"/>
      <c r="HCA16" s="1336"/>
      <c r="HCB16" s="1336"/>
      <c r="HCC16" s="1336"/>
      <c r="HCD16" s="1336"/>
      <c r="HCE16" s="1337"/>
      <c r="HCF16" s="1337"/>
      <c r="HCG16" s="1337"/>
      <c r="HCH16" s="1337"/>
      <c r="HCI16" s="1337"/>
      <c r="HCJ16" s="1338"/>
      <c r="HCK16" s="1339"/>
      <c r="HCL16" s="1340"/>
      <c r="HCM16" s="1340"/>
      <c r="HCN16" s="1340"/>
      <c r="HCO16" s="1341"/>
      <c r="HCP16" s="1342"/>
      <c r="HCQ16" s="1336"/>
      <c r="HCR16" s="1336"/>
      <c r="HCS16" s="1336"/>
      <c r="HCT16" s="1336"/>
      <c r="HCU16" s="1337"/>
      <c r="HCV16" s="1337"/>
      <c r="HCW16" s="1337"/>
      <c r="HCX16" s="1337"/>
      <c r="HCY16" s="1337"/>
      <c r="HCZ16" s="1338"/>
      <c r="HDA16" s="1339"/>
      <c r="HDB16" s="1340"/>
      <c r="HDC16" s="1340"/>
      <c r="HDD16" s="1340"/>
      <c r="HDE16" s="1341"/>
      <c r="HDF16" s="1342"/>
      <c r="HDG16" s="1336"/>
      <c r="HDH16" s="1336"/>
      <c r="HDI16" s="1336"/>
      <c r="HDJ16" s="1336"/>
      <c r="HDK16" s="1337"/>
      <c r="HDL16" s="1337"/>
      <c r="HDM16" s="1337"/>
      <c r="HDN16" s="1337"/>
      <c r="HDO16" s="1337"/>
      <c r="HDP16" s="1338"/>
      <c r="HDQ16" s="1339"/>
      <c r="HDR16" s="1340"/>
      <c r="HDS16" s="1340"/>
      <c r="HDT16" s="1340"/>
      <c r="HDU16" s="1341"/>
      <c r="HDV16" s="1342"/>
      <c r="HDW16" s="1336"/>
      <c r="HDX16" s="1336"/>
      <c r="HDY16" s="1336"/>
      <c r="HDZ16" s="1336"/>
      <c r="HEA16" s="1337"/>
      <c r="HEB16" s="1337"/>
      <c r="HEC16" s="1337"/>
      <c r="HED16" s="1337"/>
      <c r="HEE16" s="1337"/>
      <c r="HEF16" s="1338"/>
      <c r="HEG16" s="1339"/>
      <c r="HEH16" s="1340"/>
      <c r="HEI16" s="1340"/>
      <c r="HEJ16" s="1340"/>
      <c r="HEK16" s="1341"/>
      <c r="HEL16" s="1342"/>
      <c r="HEM16" s="1336"/>
      <c r="HEN16" s="1336"/>
      <c r="HEO16" s="1336"/>
      <c r="HEP16" s="1336"/>
      <c r="HEQ16" s="1337"/>
      <c r="HER16" s="1337"/>
      <c r="HES16" s="1337"/>
      <c r="HET16" s="1337"/>
      <c r="HEU16" s="1337"/>
      <c r="HEV16" s="1338"/>
      <c r="HEW16" s="1339"/>
      <c r="HEX16" s="1340"/>
      <c r="HEY16" s="1340"/>
      <c r="HEZ16" s="1340"/>
      <c r="HFA16" s="1341"/>
      <c r="HFB16" s="1342"/>
      <c r="HFC16" s="1336"/>
      <c r="HFD16" s="1336"/>
      <c r="HFE16" s="1336"/>
      <c r="HFF16" s="1336"/>
      <c r="HFG16" s="1337"/>
      <c r="HFH16" s="1337"/>
      <c r="HFI16" s="1337"/>
      <c r="HFJ16" s="1337"/>
      <c r="HFK16" s="1337"/>
      <c r="HFL16" s="1338"/>
      <c r="HFM16" s="1339"/>
      <c r="HFN16" s="1340"/>
      <c r="HFO16" s="1340"/>
      <c r="HFP16" s="1340"/>
      <c r="HFQ16" s="1341"/>
      <c r="HFR16" s="1342"/>
      <c r="HFS16" s="1336"/>
      <c r="HFT16" s="1336"/>
      <c r="HFU16" s="1336"/>
      <c r="HFV16" s="1336"/>
      <c r="HFW16" s="1337"/>
      <c r="HFX16" s="1337"/>
      <c r="HFY16" s="1337"/>
      <c r="HFZ16" s="1337"/>
      <c r="HGA16" s="1337"/>
      <c r="HGB16" s="1338"/>
      <c r="HGC16" s="1339"/>
      <c r="HGD16" s="1340"/>
      <c r="HGE16" s="1340"/>
      <c r="HGF16" s="1340"/>
      <c r="HGG16" s="1341"/>
      <c r="HGH16" s="1342"/>
      <c r="HGI16" s="1336"/>
      <c r="HGJ16" s="1336"/>
      <c r="HGK16" s="1336"/>
      <c r="HGL16" s="1336"/>
      <c r="HGM16" s="1337"/>
      <c r="HGN16" s="1337"/>
      <c r="HGO16" s="1337"/>
      <c r="HGP16" s="1337"/>
      <c r="HGQ16" s="1337"/>
      <c r="HGR16" s="1338"/>
      <c r="HGS16" s="1339"/>
      <c r="HGT16" s="1340"/>
      <c r="HGU16" s="1340"/>
      <c r="HGV16" s="1340"/>
      <c r="HGW16" s="1341"/>
      <c r="HGX16" s="1342"/>
      <c r="HGY16" s="1336"/>
      <c r="HGZ16" s="1336"/>
      <c r="HHA16" s="1336"/>
      <c r="HHB16" s="1336"/>
      <c r="HHC16" s="1337"/>
      <c r="HHD16" s="1337"/>
      <c r="HHE16" s="1337"/>
      <c r="HHF16" s="1337"/>
      <c r="HHG16" s="1337"/>
      <c r="HHH16" s="1338"/>
      <c r="HHI16" s="1339"/>
      <c r="HHJ16" s="1340"/>
      <c r="HHK16" s="1340"/>
      <c r="HHL16" s="1340"/>
      <c r="HHM16" s="1341"/>
      <c r="HHN16" s="1342"/>
      <c r="HHO16" s="1336"/>
      <c r="HHP16" s="1336"/>
      <c r="HHQ16" s="1336"/>
      <c r="HHR16" s="1336"/>
      <c r="HHS16" s="1337"/>
      <c r="HHT16" s="1337"/>
      <c r="HHU16" s="1337"/>
      <c r="HHV16" s="1337"/>
      <c r="HHW16" s="1337"/>
      <c r="HHX16" s="1338"/>
      <c r="HHY16" s="1339"/>
      <c r="HHZ16" s="1340"/>
      <c r="HIA16" s="1340"/>
      <c r="HIB16" s="1340"/>
      <c r="HIC16" s="1341"/>
      <c r="HID16" s="1342"/>
      <c r="HIE16" s="1336"/>
      <c r="HIF16" s="1336"/>
      <c r="HIG16" s="1336"/>
      <c r="HIH16" s="1336"/>
      <c r="HII16" s="1337"/>
      <c r="HIJ16" s="1337"/>
      <c r="HIK16" s="1337"/>
      <c r="HIL16" s="1337"/>
      <c r="HIM16" s="1337"/>
      <c r="HIN16" s="1338"/>
      <c r="HIO16" s="1339"/>
      <c r="HIP16" s="1340"/>
      <c r="HIQ16" s="1340"/>
      <c r="HIR16" s="1340"/>
      <c r="HIS16" s="1341"/>
      <c r="HIT16" s="1342"/>
      <c r="HIU16" s="1336"/>
      <c r="HIV16" s="1336"/>
      <c r="HIW16" s="1336"/>
      <c r="HIX16" s="1336"/>
      <c r="HIY16" s="1337"/>
      <c r="HIZ16" s="1337"/>
      <c r="HJA16" s="1337"/>
      <c r="HJB16" s="1337"/>
      <c r="HJC16" s="1337"/>
      <c r="HJD16" s="1338"/>
      <c r="HJE16" s="1339"/>
      <c r="HJF16" s="1340"/>
      <c r="HJG16" s="1340"/>
      <c r="HJH16" s="1340"/>
      <c r="HJI16" s="1341"/>
      <c r="HJJ16" s="1342"/>
      <c r="HJK16" s="1336"/>
      <c r="HJL16" s="1336"/>
      <c r="HJM16" s="1336"/>
      <c r="HJN16" s="1336"/>
      <c r="HJO16" s="1337"/>
      <c r="HJP16" s="1337"/>
      <c r="HJQ16" s="1337"/>
      <c r="HJR16" s="1337"/>
      <c r="HJS16" s="1337"/>
      <c r="HJT16" s="1338"/>
      <c r="HJU16" s="1339"/>
      <c r="HJV16" s="1340"/>
      <c r="HJW16" s="1340"/>
      <c r="HJX16" s="1340"/>
      <c r="HJY16" s="1341"/>
      <c r="HJZ16" s="1342"/>
      <c r="HKA16" s="1336"/>
      <c r="HKB16" s="1336"/>
      <c r="HKC16" s="1336"/>
      <c r="HKD16" s="1336"/>
      <c r="HKE16" s="1337"/>
      <c r="HKF16" s="1337"/>
      <c r="HKG16" s="1337"/>
      <c r="HKH16" s="1337"/>
      <c r="HKI16" s="1337"/>
      <c r="HKJ16" s="1338"/>
      <c r="HKK16" s="1339"/>
      <c r="HKL16" s="1340"/>
      <c r="HKM16" s="1340"/>
      <c r="HKN16" s="1340"/>
      <c r="HKO16" s="1341"/>
      <c r="HKP16" s="1342"/>
      <c r="HKQ16" s="1336"/>
      <c r="HKR16" s="1336"/>
      <c r="HKS16" s="1336"/>
      <c r="HKT16" s="1336"/>
      <c r="HKU16" s="1337"/>
      <c r="HKV16" s="1337"/>
      <c r="HKW16" s="1337"/>
      <c r="HKX16" s="1337"/>
      <c r="HKY16" s="1337"/>
      <c r="HKZ16" s="1338"/>
      <c r="HLA16" s="1339"/>
      <c r="HLB16" s="1340"/>
      <c r="HLC16" s="1340"/>
      <c r="HLD16" s="1340"/>
      <c r="HLE16" s="1341"/>
      <c r="HLF16" s="1342"/>
      <c r="HLG16" s="1336"/>
      <c r="HLH16" s="1336"/>
      <c r="HLI16" s="1336"/>
      <c r="HLJ16" s="1336"/>
      <c r="HLK16" s="1337"/>
      <c r="HLL16" s="1337"/>
      <c r="HLM16" s="1337"/>
      <c r="HLN16" s="1337"/>
      <c r="HLO16" s="1337"/>
      <c r="HLP16" s="1338"/>
      <c r="HLQ16" s="1339"/>
      <c r="HLR16" s="1340"/>
      <c r="HLS16" s="1340"/>
      <c r="HLT16" s="1340"/>
      <c r="HLU16" s="1341"/>
      <c r="HLV16" s="1342"/>
      <c r="HLW16" s="1336"/>
      <c r="HLX16" s="1336"/>
      <c r="HLY16" s="1336"/>
      <c r="HLZ16" s="1336"/>
      <c r="HMA16" s="1337"/>
      <c r="HMB16" s="1337"/>
      <c r="HMC16" s="1337"/>
      <c r="HMD16" s="1337"/>
      <c r="HME16" s="1337"/>
      <c r="HMF16" s="1338"/>
      <c r="HMG16" s="1339"/>
      <c r="HMH16" s="1340"/>
      <c r="HMI16" s="1340"/>
      <c r="HMJ16" s="1340"/>
      <c r="HMK16" s="1341"/>
      <c r="HML16" s="1342"/>
      <c r="HMM16" s="1336"/>
      <c r="HMN16" s="1336"/>
      <c r="HMO16" s="1336"/>
      <c r="HMP16" s="1336"/>
      <c r="HMQ16" s="1337"/>
      <c r="HMR16" s="1337"/>
      <c r="HMS16" s="1337"/>
      <c r="HMT16" s="1337"/>
      <c r="HMU16" s="1337"/>
      <c r="HMV16" s="1338"/>
      <c r="HMW16" s="1339"/>
      <c r="HMX16" s="1340"/>
      <c r="HMY16" s="1340"/>
      <c r="HMZ16" s="1340"/>
      <c r="HNA16" s="1341"/>
      <c r="HNB16" s="1342"/>
      <c r="HNC16" s="1336"/>
      <c r="HND16" s="1336"/>
      <c r="HNE16" s="1336"/>
      <c r="HNF16" s="1336"/>
      <c r="HNG16" s="1337"/>
      <c r="HNH16" s="1337"/>
      <c r="HNI16" s="1337"/>
      <c r="HNJ16" s="1337"/>
      <c r="HNK16" s="1337"/>
      <c r="HNL16" s="1338"/>
      <c r="HNM16" s="1339"/>
      <c r="HNN16" s="1340"/>
      <c r="HNO16" s="1340"/>
      <c r="HNP16" s="1340"/>
      <c r="HNQ16" s="1341"/>
      <c r="HNR16" s="1342"/>
      <c r="HNS16" s="1336"/>
      <c r="HNT16" s="1336"/>
      <c r="HNU16" s="1336"/>
      <c r="HNV16" s="1336"/>
      <c r="HNW16" s="1337"/>
      <c r="HNX16" s="1337"/>
      <c r="HNY16" s="1337"/>
      <c r="HNZ16" s="1337"/>
      <c r="HOA16" s="1337"/>
      <c r="HOB16" s="1338"/>
      <c r="HOC16" s="1339"/>
      <c r="HOD16" s="1340"/>
      <c r="HOE16" s="1340"/>
      <c r="HOF16" s="1340"/>
      <c r="HOG16" s="1341"/>
      <c r="HOH16" s="1342"/>
      <c r="HOI16" s="1336"/>
      <c r="HOJ16" s="1336"/>
      <c r="HOK16" s="1336"/>
      <c r="HOL16" s="1336"/>
      <c r="HOM16" s="1337"/>
      <c r="HON16" s="1337"/>
      <c r="HOO16" s="1337"/>
      <c r="HOP16" s="1337"/>
      <c r="HOQ16" s="1337"/>
      <c r="HOR16" s="1338"/>
      <c r="HOS16" s="1339"/>
      <c r="HOT16" s="1340"/>
      <c r="HOU16" s="1340"/>
      <c r="HOV16" s="1340"/>
      <c r="HOW16" s="1341"/>
      <c r="HOX16" s="1342"/>
      <c r="HOY16" s="1336"/>
      <c r="HOZ16" s="1336"/>
      <c r="HPA16" s="1336"/>
      <c r="HPB16" s="1336"/>
      <c r="HPC16" s="1337"/>
      <c r="HPD16" s="1337"/>
      <c r="HPE16" s="1337"/>
      <c r="HPF16" s="1337"/>
      <c r="HPG16" s="1337"/>
      <c r="HPH16" s="1338"/>
      <c r="HPI16" s="1339"/>
      <c r="HPJ16" s="1340"/>
      <c r="HPK16" s="1340"/>
      <c r="HPL16" s="1340"/>
      <c r="HPM16" s="1341"/>
      <c r="HPN16" s="1342"/>
      <c r="HPO16" s="1336"/>
      <c r="HPP16" s="1336"/>
      <c r="HPQ16" s="1336"/>
      <c r="HPR16" s="1336"/>
      <c r="HPS16" s="1337"/>
      <c r="HPT16" s="1337"/>
      <c r="HPU16" s="1337"/>
      <c r="HPV16" s="1337"/>
      <c r="HPW16" s="1337"/>
      <c r="HPX16" s="1338"/>
      <c r="HPY16" s="1339"/>
      <c r="HPZ16" s="1340"/>
      <c r="HQA16" s="1340"/>
      <c r="HQB16" s="1340"/>
      <c r="HQC16" s="1341"/>
      <c r="HQD16" s="1342"/>
      <c r="HQE16" s="1336"/>
      <c r="HQF16" s="1336"/>
      <c r="HQG16" s="1336"/>
      <c r="HQH16" s="1336"/>
      <c r="HQI16" s="1337"/>
      <c r="HQJ16" s="1337"/>
      <c r="HQK16" s="1337"/>
      <c r="HQL16" s="1337"/>
      <c r="HQM16" s="1337"/>
      <c r="HQN16" s="1338"/>
      <c r="HQO16" s="1339"/>
      <c r="HQP16" s="1340"/>
      <c r="HQQ16" s="1340"/>
      <c r="HQR16" s="1340"/>
      <c r="HQS16" s="1341"/>
      <c r="HQT16" s="1342"/>
      <c r="HQU16" s="1336"/>
      <c r="HQV16" s="1336"/>
      <c r="HQW16" s="1336"/>
      <c r="HQX16" s="1336"/>
      <c r="HQY16" s="1337"/>
      <c r="HQZ16" s="1337"/>
      <c r="HRA16" s="1337"/>
      <c r="HRB16" s="1337"/>
      <c r="HRC16" s="1337"/>
      <c r="HRD16" s="1338"/>
      <c r="HRE16" s="1339"/>
      <c r="HRF16" s="1340"/>
      <c r="HRG16" s="1340"/>
      <c r="HRH16" s="1340"/>
      <c r="HRI16" s="1341"/>
      <c r="HRJ16" s="1342"/>
      <c r="HRK16" s="1336"/>
      <c r="HRL16" s="1336"/>
      <c r="HRM16" s="1336"/>
      <c r="HRN16" s="1336"/>
      <c r="HRO16" s="1337"/>
      <c r="HRP16" s="1337"/>
      <c r="HRQ16" s="1337"/>
      <c r="HRR16" s="1337"/>
      <c r="HRS16" s="1337"/>
      <c r="HRT16" s="1338"/>
      <c r="HRU16" s="1339"/>
      <c r="HRV16" s="1340"/>
      <c r="HRW16" s="1340"/>
      <c r="HRX16" s="1340"/>
      <c r="HRY16" s="1341"/>
      <c r="HRZ16" s="1342"/>
      <c r="HSA16" s="1336"/>
      <c r="HSB16" s="1336"/>
      <c r="HSC16" s="1336"/>
      <c r="HSD16" s="1336"/>
      <c r="HSE16" s="1337"/>
      <c r="HSF16" s="1337"/>
      <c r="HSG16" s="1337"/>
      <c r="HSH16" s="1337"/>
      <c r="HSI16" s="1337"/>
      <c r="HSJ16" s="1338"/>
      <c r="HSK16" s="1339"/>
      <c r="HSL16" s="1340"/>
      <c r="HSM16" s="1340"/>
      <c r="HSN16" s="1340"/>
      <c r="HSO16" s="1341"/>
      <c r="HSP16" s="1342"/>
      <c r="HSQ16" s="1336"/>
      <c r="HSR16" s="1336"/>
      <c r="HSS16" s="1336"/>
      <c r="HST16" s="1336"/>
      <c r="HSU16" s="1337"/>
      <c r="HSV16" s="1337"/>
      <c r="HSW16" s="1337"/>
      <c r="HSX16" s="1337"/>
      <c r="HSY16" s="1337"/>
      <c r="HSZ16" s="1338"/>
      <c r="HTA16" s="1339"/>
      <c r="HTB16" s="1340"/>
      <c r="HTC16" s="1340"/>
      <c r="HTD16" s="1340"/>
      <c r="HTE16" s="1341"/>
      <c r="HTF16" s="1342"/>
      <c r="HTG16" s="1336"/>
      <c r="HTH16" s="1336"/>
      <c r="HTI16" s="1336"/>
      <c r="HTJ16" s="1336"/>
      <c r="HTK16" s="1337"/>
      <c r="HTL16" s="1337"/>
      <c r="HTM16" s="1337"/>
      <c r="HTN16" s="1337"/>
      <c r="HTO16" s="1337"/>
      <c r="HTP16" s="1338"/>
      <c r="HTQ16" s="1339"/>
      <c r="HTR16" s="1340"/>
      <c r="HTS16" s="1340"/>
      <c r="HTT16" s="1340"/>
      <c r="HTU16" s="1341"/>
      <c r="HTV16" s="1342"/>
      <c r="HTW16" s="1336"/>
      <c r="HTX16" s="1336"/>
      <c r="HTY16" s="1336"/>
      <c r="HTZ16" s="1336"/>
      <c r="HUA16" s="1337"/>
      <c r="HUB16" s="1337"/>
      <c r="HUC16" s="1337"/>
      <c r="HUD16" s="1337"/>
      <c r="HUE16" s="1337"/>
      <c r="HUF16" s="1338"/>
      <c r="HUG16" s="1339"/>
      <c r="HUH16" s="1340"/>
      <c r="HUI16" s="1340"/>
      <c r="HUJ16" s="1340"/>
      <c r="HUK16" s="1341"/>
      <c r="HUL16" s="1342"/>
      <c r="HUM16" s="1336"/>
      <c r="HUN16" s="1336"/>
      <c r="HUO16" s="1336"/>
      <c r="HUP16" s="1336"/>
      <c r="HUQ16" s="1337"/>
      <c r="HUR16" s="1337"/>
      <c r="HUS16" s="1337"/>
      <c r="HUT16" s="1337"/>
      <c r="HUU16" s="1337"/>
      <c r="HUV16" s="1338"/>
      <c r="HUW16" s="1339"/>
      <c r="HUX16" s="1340"/>
      <c r="HUY16" s="1340"/>
      <c r="HUZ16" s="1340"/>
      <c r="HVA16" s="1341"/>
      <c r="HVB16" s="1342"/>
      <c r="HVC16" s="1336"/>
      <c r="HVD16" s="1336"/>
      <c r="HVE16" s="1336"/>
      <c r="HVF16" s="1336"/>
      <c r="HVG16" s="1337"/>
      <c r="HVH16" s="1337"/>
      <c r="HVI16" s="1337"/>
      <c r="HVJ16" s="1337"/>
      <c r="HVK16" s="1337"/>
      <c r="HVL16" s="1338"/>
      <c r="HVM16" s="1339"/>
      <c r="HVN16" s="1340"/>
      <c r="HVO16" s="1340"/>
      <c r="HVP16" s="1340"/>
      <c r="HVQ16" s="1341"/>
      <c r="HVR16" s="1342"/>
      <c r="HVS16" s="1336"/>
      <c r="HVT16" s="1336"/>
      <c r="HVU16" s="1336"/>
      <c r="HVV16" s="1336"/>
      <c r="HVW16" s="1337"/>
      <c r="HVX16" s="1337"/>
      <c r="HVY16" s="1337"/>
      <c r="HVZ16" s="1337"/>
      <c r="HWA16" s="1337"/>
      <c r="HWB16" s="1338"/>
      <c r="HWC16" s="1339"/>
      <c r="HWD16" s="1340"/>
      <c r="HWE16" s="1340"/>
      <c r="HWF16" s="1340"/>
      <c r="HWG16" s="1341"/>
      <c r="HWH16" s="1342"/>
      <c r="HWI16" s="1336"/>
      <c r="HWJ16" s="1336"/>
      <c r="HWK16" s="1336"/>
      <c r="HWL16" s="1336"/>
      <c r="HWM16" s="1337"/>
      <c r="HWN16" s="1337"/>
      <c r="HWO16" s="1337"/>
      <c r="HWP16" s="1337"/>
      <c r="HWQ16" s="1337"/>
      <c r="HWR16" s="1338"/>
      <c r="HWS16" s="1339"/>
      <c r="HWT16" s="1340"/>
      <c r="HWU16" s="1340"/>
      <c r="HWV16" s="1340"/>
      <c r="HWW16" s="1341"/>
      <c r="HWX16" s="1342"/>
      <c r="HWY16" s="1336"/>
      <c r="HWZ16" s="1336"/>
      <c r="HXA16" s="1336"/>
      <c r="HXB16" s="1336"/>
      <c r="HXC16" s="1337"/>
      <c r="HXD16" s="1337"/>
      <c r="HXE16" s="1337"/>
      <c r="HXF16" s="1337"/>
      <c r="HXG16" s="1337"/>
      <c r="HXH16" s="1338"/>
      <c r="HXI16" s="1339"/>
      <c r="HXJ16" s="1340"/>
      <c r="HXK16" s="1340"/>
      <c r="HXL16" s="1340"/>
      <c r="HXM16" s="1341"/>
      <c r="HXN16" s="1342"/>
      <c r="HXO16" s="1336"/>
      <c r="HXP16" s="1336"/>
      <c r="HXQ16" s="1336"/>
      <c r="HXR16" s="1336"/>
      <c r="HXS16" s="1337"/>
      <c r="HXT16" s="1337"/>
      <c r="HXU16" s="1337"/>
      <c r="HXV16" s="1337"/>
      <c r="HXW16" s="1337"/>
      <c r="HXX16" s="1338"/>
      <c r="HXY16" s="1339"/>
      <c r="HXZ16" s="1340"/>
      <c r="HYA16" s="1340"/>
      <c r="HYB16" s="1340"/>
      <c r="HYC16" s="1341"/>
      <c r="HYD16" s="1342"/>
      <c r="HYE16" s="1336"/>
      <c r="HYF16" s="1336"/>
      <c r="HYG16" s="1336"/>
      <c r="HYH16" s="1336"/>
      <c r="HYI16" s="1337"/>
      <c r="HYJ16" s="1337"/>
      <c r="HYK16" s="1337"/>
      <c r="HYL16" s="1337"/>
      <c r="HYM16" s="1337"/>
      <c r="HYN16" s="1338"/>
      <c r="HYO16" s="1339"/>
      <c r="HYP16" s="1340"/>
      <c r="HYQ16" s="1340"/>
      <c r="HYR16" s="1340"/>
      <c r="HYS16" s="1341"/>
      <c r="HYT16" s="1342"/>
      <c r="HYU16" s="1336"/>
      <c r="HYV16" s="1336"/>
      <c r="HYW16" s="1336"/>
      <c r="HYX16" s="1336"/>
      <c r="HYY16" s="1337"/>
      <c r="HYZ16" s="1337"/>
      <c r="HZA16" s="1337"/>
      <c r="HZB16" s="1337"/>
      <c r="HZC16" s="1337"/>
      <c r="HZD16" s="1338"/>
      <c r="HZE16" s="1339"/>
      <c r="HZF16" s="1340"/>
      <c r="HZG16" s="1340"/>
      <c r="HZH16" s="1340"/>
      <c r="HZI16" s="1341"/>
      <c r="HZJ16" s="1342"/>
      <c r="HZK16" s="1336"/>
      <c r="HZL16" s="1336"/>
      <c r="HZM16" s="1336"/>
      <c r="HZN16" s="1336"/>
      <c r="HZO16" s="1337"/>
      <c r="HZP16" s="1337"/>
      <c r="HZQ16" s="1337"/>
      <c r="HZR16" s="1337"/>
      <c r="HZS16" s="1337"/>
      <c r="HZT16" s="1338"/>
      <c r="HZU16" s="1339"/>
      <c r="HZV16" s="1340"/>
      <c r="HZW16" s="1340"/>
      <c r="HZX16" s="1340"/>
      <c r="HZY16" s="1341"/>
      <c r="HZZ16" s="1342"/>
      <c r="IAA16" s="1336"/>
      <c r="IAB16" s="1336"/>
      <c r="IAC16" s="1336"/>
      <c r="IAD16" s="1336"/>
      <c r="IAE16" s="1337"/>
      <c r="IAF16" s="1337"/>
      <c r="IAG16" s="1337"/>
      <c r="IAH16" s="1337"/>
      <c r="IAI16" s="1337"/>
      <c r="IAJ16" s="1338"/>
      <c r="IAK16" s="1339"/>
      <c r="IAL16" s="1340"/>
      <c r="IAM16" s="1340"/>
      <c r="IAN16" s="1340"/>
      <c r="IAO16" s="1341"/>
      <c r="IAP16" s="1342"/>
      <c r="IAQ16" s="1336"/>
      <c r="IAR16" s="1336"/>
      <c r="IAS16" s="1336"/>
      <c r="IAT16" s="1336"/>
      <c r="IAU16" s="1337"/>
      <c r="IAV16" s="1337"/>
      <c r="IAW16" s="1337"/>
      <c r="IAX16" s="1337"/>
      <c r="IAY16" s="1337"/>
      <c r="IAZ16" s="1338"/>
      <c r="IBA16" s="1339"/>
      <c r="IBB16" s="1340"/>
      <c r="IBC16" s="1340"/>
      <c r="IBD16" s="1340"/>
      <c r="IBE16" s="1341"/>
      <c r="IBF16" s="1342"/>
      <c r="IBG16" s="1336"/>
      <c r="IBH16" s="1336"/>
      <c r="IBI16" s="1336"/>
      <c r="IBJ16" s="1336"/>
      <c r="IBK16" s="1337"/>
      <c r="IBL16" s="1337"/>
      <c r="IBM16" s="1337"/>
      <c r="IBN16" s="1337"/>
      <c r="IBO16" s="1337"/>
      <c r="IBP16" s="1338"/>
      <c r="IBQ16" s="1339"/>
      <c r="IBR16" s="1340"/>
      <c r="IBS16" s="1340"/>
      <c r="IBT16" s="1340"/>
      <c r="IBU16" s="1341"/>
      <c r="IBV16" s="1342"/>
      <c r="IBW16" s="1336"/>
      <c r="IBX16" s="1336"/>
      <c r="IBY16" s="1336"/>
      <c r="IBZ16" s="1336"/>
      <c r="ICA16" s="1337"/>
      <c r="ICB16" s="1337"/>
      <c r="ICC16" s="1337"/>
      <c r="ICD16" s="1337"/>
      <c r="ICE16" s="1337"/>
      <c r="ICF16" s="1338"/>
      <c r="ICG16" s="1339"/>
      <c r="ICH16" s="1340"/>
      <c r="ICI16" s="1340"/>
      <c r="ICJ16" s="1340"/>
      <c r="ICK16" s="1341"/>
      <c r="ICL16" s="1342"/>
      <c r="ICM16" s="1336"/>
      <c r="ICN16" s="1336"/>
      <c r="ICO16" s="1336"/>
      <c r="ICP16" s="1336"/>
      <c r="ICQ16" s="1337"/>
      <c r="ICR16" s="1337"/>
      <c r="ICS16" s="1337"/>
      <c r="ICT16" s="1337"/>
      <c r="ICU16" s="1337"/>
      <c r="ICV16" s="1338"/>
      <c r="ICW16" s="1339"/>
      <c r="ICX16" s="1340"/>
      <c r="ICY16" s="1340"/>
      <c r="ICZ16" s="1340"/>
      <c r="IDA16" s="1341"/>
      <c r="IDB16" s="1342"/>
      <c r="IDC16" s="1336"/>
      <c r="IDD16" s="1336"/>
      <c r="IDE16" s="1336"/>
      <c r="IDF16" s="1336"/>
      <c r="IDG16" s="1337"/>
      <c r="IDH16" s="1337"/>
      <c r="IDI16" s="1337"/>
      <c r="IDJ16" s="1337"/>
      <c r="IDK16" s="1337"/>
      <c r="IDL16" s="1338"/>
      <c r="IDM16" s="1339"/>
      <c r="IDN16" s="1340"/>
      <c r="IDO16" s="1340"/>
      <c r="IDP16" s="1340"/>
      <c r="IDQ16" s="1341"/>
      <c r="IDR16" s="1342"/>
      <c r="IDS16" s="1336"/>
      <c r="IDT16" s="1336"/>
      <c r="IDU16" s="1336"/>
      <c r="IDV16" s="1336"/>
      <c r="IDW16" s="1337"/>
      <c r="IDX16" s="1337"/>
      <c r="IDY16" s="1337"/>
      <c r="IDZ16" s="1337"/>
      <c r="IEA16" s="1337"/>
      <c r="IEB16" s="1338"/>
      <c r="IEC16" s="1339"/>
      <c r="IED16" s="1340"/>
      <c r="IEE16" s="1340"/>
      <c r="IEF16" s="1340"/>
      <c r="IEG16" s="1341"/>
      <c r="IEH16" s="1342"/>
      <c r="IEI16" s="1336"/>
      <c r="IEJ16" s="1336"/>
      <c r="IEK16" s="1336"/>
      <c r="IEL16" s="1336"/>
      <c r="IEM16" s="1337"/>
      <c r="IEN16" s="1337"/>
      <c r="IEO16" s="1337"/>
      <c r="IEP16" s="1337"/>
      <c r="IEQ16" s="1337"/>
      <c r="IER16" s="1338"/>
      <c r="IES16" s="1339"/>
      <c r="IET16" s="1340"/>
      <c r="IEU16" s="1340"/>
      <c r="IEV16" s="1340"/>
      <c r="IEW16" s="1341"/>
      <c r="IEX16" s="1342"/>
      <c r="IEY16" s="1336"/>
      <c r="IEZ16" s="1336"/>
      <c r="IFA16" s="1336"/>
      <c r="IFB16" s="1336"/>
      <c r="IFC16" s="1337"/>
      <c r="IFD16" s="1337"/>
      <c r="IFE16" s="1337"/>
      <c r="IFF16" s="1337"/>
      <c r="IFG16" s="1337"/>
      <c r="IFH16" s="1338"/>
      <c r="IFI16" s="1339"/>
      <c r="IFJ16" s="1340"/>
      <c r="IFK16" s="1340"/>
      <c r="IFL16" s="1340"/>
      <c r="IFM16" s="1341"/>
      <c r="IFN16" s="1342"/>
      <c r="IFO16" s="1336"/>
      <c r="IFP16" s="1336"/>
      <c r="IFQ16" s="1336"/>
      <c r="IFR16" s="1336"/>
      <c r="IFS16" s="1337"/>
      <c r="IFT16" s="1337"/>
      <c r="IFU16" s="1337"/>
      <c r="IFV16" s="1337"/>
      <c r="IFW16" s="1337"/>
      <c r="IFX16" s="1338"/>
      <c r="IFY16" s="1339"/>
      <c r="IFZ16" s="1340"/>
      <c r="IGA16" s="1340"/>
      <c r="IGB16" s="1340"/>
      <c r="IGC16" s="1341"/>
      <c r="IGD16" s="1342"/>
      <c r="IGE16" s="1336"/>
      <c r="IGF16" s="1336"/>
      <c r="IGG16" s="1336"/>
      <c r="IGH16" s="1336"/>
      <c r="IGI16" s="1337"/>
      <c r="IGJ16" s="1337"/>
      <c r="IGK16" s="1337"/>
      <c r="IGL16" s="1337"/>
      <c r="IGM16" s="1337"/>
      <c r="IGN16" s="1338"/>
      <c r="IGO16" s="1339"/>
      <c r="IGP16" s="1340"/>
      <c r="IGQ16" s="1340"/>
      <c r="IGR16" s="1340"/>
      <c r="IGS16" s="1341"/>
      <c r="IGT16" s="1342"/>
      <c r="IGU16" s="1336"/>
      <c r="IGV16" s="1336"/>
      <c r="IGW16" s="1336"/>
      <c r="IGX16" s="1336"/>
      <c r="IGY16" s="1337"/>
      <c r="IGZ16" s="1337"/>
      <c r="IHA16" s="1337"/>
      <c r="IHB16" s="1337"/>
      <c r="IHC16" s="1337"/>
      <c r="IHD16" s="1338"/>
      <c r="IHE16" s="1339"/>
      <c r="IHF16" s="1340"/>
      <c r="IHG16" s="1340"/>
      <c r="IHH16" s="1340"/>
      <c r="IHI16" s="1341"/>
      <c r="IHJ16" s="1342"/>
      <c r="IHK16" s="1336"/>
      <c r="IHL16" s="1336"/>
      <c r="IHM16" s="1336"/>
      <c r="IHN16" s="1336"/>
      <c r="IHO16" s="1337"/>
      <c r="IHP16" s="1337"/>
      <c r="IHQ16" s="1337"/>
      <c r="IHR16" s="1337"/>
      <c r="IHS16" s="1337"/>
      <c r="IHT16" s="1338"/>
      <c r="IHU16" s="1339"/>
      <c r="IHV16" s="1340"/>
      <c r="IHW16" s="1340"/>
      <c r="IHX16" s="1340"/>
      <c r="IHY16" s="1341"/>
      <c r="IHZ16" s="1342"/>
      <c r="IIA16" s="1336"/>
      <c r="IIB16" s="1336"/>
      <c r="IIC16" s="1336"/>
      <c r="IID16" s="1336"/>
      <c r="IIE16" s="1337"/>
      <c r="IIF16" s="1337"/>
      <c r="IIG16" s="1337"/>
      <c r="IIH16" s="1337"/>
      <c r="III16" s="1337"/>
      <c r="IIJ16" s="1338"/>
      <c r="IIK16" s="1339"/>
      <c r="IIL16" s="1340"/>
      <c r="IIM16" s="1340"/>
      <c r="IIN16" s="1340"/>
      <c r="IIO16" s="1341"/>
      <c r="IIP16" s="1342"/>
      <c r="IIQ16" s="1336"/>
      <c r="IIR16" s="1336"/>
      <c r="IIS16" s="1336"/>
      <c r="IIT16" s="1336"/>
      <c r="IIU16" s="1337"/>
      <c r="IIV16" s="1337"/>
      <c r="IIW16" s="1337"/>
      <c r="IIX16" s="1337"/>
      <c r="IIY16" s="1337"/>
      <c r="IIZ16" s="1338"/>
      <c r="IJA16" s="1339"/>
      <c r="IJB16" s="1340"/>
      <c r="IJC16" s="1340"/>
      <c r="IJD16" s="1340"/>
      <c r="IJE16" s="1341"/>
      <c r="IJF16" s="1342"/>
      <c r="IJG16" s="1336"/>
      <c r="IJH16" s="1336"/>
      <c r="IJI16" s="1336"/>
      <c r="IJJ16" s="1336"/>
      <c r="IJK16" s="1337"/>
      <c r="IJL16" s="1337"/>
      <c r="IJM16" s="1337"/>
      <c r="IJN16" s="1337"/>
      <c r="IJO16" s="1337"/>
      <c r="IJP16" s="1338"/>
      <c r="IJQ16" s="1339"/>
      <c r="IJR16" s="1340"/>
      <c r="IJS16" s="1340"/>
      <c r="IJT16" s="1340"/>
      <c r="IJU16" s="1341"/>
      <c r="IJV16" s="1342"/>
      <c r="IJW16" s="1336"/>
      <c r="IJX16" s="1336"/>
      <c r="IJY16" s="1336"/>
      <c r="IJZ16" s="1336"/>
      <c r="IKA16" s="1337"/>
      <c r="IKB16" s="1337"/>
      <c r="IKC16" s="1337"/>
      <c r="IKD16" s="1337"/>
      <c r="IKE16" s="1337"/>
      <c r="IKF16" s="1338"/>
      <c r="IKG16" s="1339"/>
      <c r="IKH16" s="1340"/>
      <c r="IKI16" s="1340"/>
      <c r="IKJ16" s="1340"/>
      <c r="IKK16" s="1341"/>
      <c r="IKL16" s="1342"/>
      <c r="IKM16" s="1336"/>
      <c r="IKN16" s="1336"/>
      <c r="IKO16" s="1336"/>
      <c r="IKP16" s="1336"/>
      <c r="IKQ16" s="1337"/>
      <c r="IKR16" s="1337"/>
      <c r="IKS16" s="1337"/>
      <c r="IKT16" s="1337"/>
      <c r="IKU16" s="1337"/>
      <c r="IKV16" s="1338"/>
      <c r="IKW16" s="1339"/>
      <c r="IKX16" s="1340"/>
      <c r="IKY16" s="1340"/>
      <c r="IKZ16" s="1340"/>
      <c r="ILA16" s="1341"/>
      <c r="ILB16" s="1342"/>
      <c r="ILC16" s="1336"/>
      <c r="ILD16" s="1336"/>
      <c r="ILE16" s="1336"/>
      <c r="ILF16" s="1336"/>
      <c r="ILG16" s="1337"/>
      <c r="ILH16" s="1337"/>
      <c r="ILI16" s="1337"/>
      <c r="ILJ16" s="1337"/>
      <c r="ILK16" s="1337"/>
      <c r="ILL16" s="1338"/>
      <c r="ILM16" s="1339"/>
      <c r="ILN16" s="1340"/>
      <c r="ILO16" s="1340"/>
      <c r="ILP16" s="1340"/>
      <c r="ILQ16" s="1341"/>
      <c r="ILR16" s="1342"/>
      <c r="ILS16" s="1336"/>
      <c r="ILT16" s="1336"/>
      <c r="ILU16" s="1336"/>
      <c r="ILV16" s="1336"/>
      <c r="ILW16" s="1337"/>
      <c r="ILX16" s="1337"/>
      <c r="ILY16" s="1337"/>
      <c r="ILZ16" s="1337"/>
      <c r="IMA16" s="1337"/>
      <c r="IMB16" s="1338"/>
      <c r="IMC16" s="1339"/>
      <c r="IMD16" s="1340"/>
      <c r="IME16" s="1340"/>
      <c r="IMF16" s="1340"/>
      <c r="IMG16" s="1341"/>
      <c r="IMH16" s="1342"/>
      <c r="IMI16" s="1336"/>
      <c r="IMJ16" s="1336"/>
      <c r="IMK16" s="1336"/>
      <c r="IML16" s="1336"/>
      <c r="IMM16" s="1337"/>
      <c r="IMN16" s="1337"/>
      <c r="IMO16" s="1337"/>
      <c r="IMP16" s="1337"/>
      <c r="IMQ16" s="1337"/>
      <c r="IMR16" s="1338"/>
      <c r="IMS16" s="1339"/>
      <c r="IMT16" s="1340"/>
      <c r="IMU16" s="1340"/>
      <c r="IMV16" s="1340"/>
      <c r="IMW16" s="1341"/>
      <c r="IMX16" s="1342"/>
      <c r="IMY16" s="1336"/>
      <c r="IMZ16" s="1336"/>
      <c r="INA16" s="1336"/>
      <c r="INB16" s="1336"/>
      <c r="INC16" s="1337"/>
      <c r="IND16" s="1337"/>
      <c r="INE16" s="1337"/>
      <c r="INF16" s="1337"/>
      <c r="ING16" s="1337"/>
      <c r="INH16" s="1338"/>
      <c r="INI16" s="1339"/>
      <c r="INJ16" s="1340"/>
      <c r="INK16" s="1340"/>
      <c r="INL16" s="1340"/>
      <c r="INM16" s="1341"/>
      <c r="INN16" s="1342"/>
      <c r="INO16" s="1336"/>
      <c r="INP16" s="1336"/>
      <c r="INQ16" s="1336"/>
      <c r="INR16" s="1336"/>
      <c r="INS16" s="1337"/>
      <c r="INT16" s="1337"/>
      <c r="INU16" s="1337"/>
      <c r="INV16" s="1337"/>
      <c r="INW16" s="1337"/>
      <c r="INX16" s="1338"/>
      <c r="INY16" s="1339"/>
      <c r="INZ16" s="1340"/>
      <c r="IOA16" s="1340"/>
      <c r="IOB16" s="1340"/>
      <c r="IOC16" s="1341"/>
      <c r="IOD16" s="1342"/>
      <c r="IOE16" s="1336"/>
      <c r="IOF16" s="1336"/>
      <c r="IOG16" s="1336"/>
      <c r="IOH16" s="1336"/>
      <c r="IOI16" s="1337"/>
      <c r="IOJ16" s="1337"/>
      <c r="IOK16" s="1337"/>
      <c r="IOL16" s="1337"/>
      <c r="IOM16" s="1337"/>
      <c r="ION16" s="1338"/>
      <c r="IOO16" s="1339"/>
      <c r="IOP16" s="1340"/>
      <c r="IOQ16" s="1340"/>
      <c r="IOR16" s="1340"/>
      <c r="IOS16" s="1341"/>
      <c r="IOT16" s="1342"/>
      <c r="IOU16" s="1336"/>
      <c r="IOV16" s="1336"/>
      <c r="IOW16" s="1336"/>
      <c r="IOX16" s="1336"/>
      <c r="IOY16" s="1337"/>
      <c r="IOZ16" s="1337"/>
      <c r="IPA16" s="1337"/>
      <c r="IPB16" s="1337"/>
      <c r="IPC16" s="1337"/>
      <c r="IPD16" s="1338"/>
      <c r="IPE16" s="1339"/>
      <c r="IPF16" s="1340"/>
      <c r="IPG16" s="1340"/>
      <c r="IPH16" s="1340"/>
      <c r="IPI16" s="1341"/>
      <c r="IPJ16" s="1342"/>
      <c r="IPK16" s="1336"/>
      <c r="IPL16" s="1336"/>
      <c r="IPM16" s="1336"/>
      <c r="IPN16" s="1336"/>
      <c r="IPO16" s="1337"/>
      <c r="IPP16" s="1337"/>
      <c r="IPQ16" s="1337"/>
      <c r="IPR16" s="1337"/>
      <c r="IPS16" s="1337"/>
      <c r="IPT16" s="1338"/>
      <c r="IPU16" s="1339"/>
      <c r="IPV16" s="1340"/>
      <c r="IPW16" s="1340"/>
      <c r="IPX16" s="1340"/>
      <c r="IPY16" s="1341"/>
      <c r="IPZ16" s="1342"/>
      <c r="IQA16" s="1336"/>
      <c r="IQB16" s="1336"/>
      <c r="IQC16" s="1336"/>
      <c r="IQD16" s="1336"/>
      <c r="IQE16" s="1337"/>
      <c r="IQF16" s="1337"/>
      <c r="IQG16" s="1337"/>
      <c r="IQH16" s="1337"/>
      <c r="IQI16" s="1337"/>
      <c r="IQJ16" s="1338"/>
      <c r="IQK16" s="1339"/>
      <c r="IQL16" s="1340"/>
      <c r="IQM16" s="1340"/>
      <c r="IQN16" s="1340"/>
      <c r="IQO16" s="1341"/>
      <c r="IQP16" s="1342"/>
      <c r="IQQ16" s="1336"/>
      <c r="IQR16" s="1336"/>
      <c r="IQS16" s="1336"/>
      <c r="IQT16" s="1336"/>
      <c r="IQU16" s="1337"/>
      <c r="IQV16" s="1337"/>
      <c r="IQW16" s="1337"/>
      <c r="IQX16" s="1337"/>
      <c r="IQY16" s="1337"/>
      <c r="IQZ16" s="1338"/>
      <c r="IRA16" s="1339"/>
      <c r="IRB16" s="1340"/>
      <c r="IRC16" s="1340"/>
      <c r="IRD16" s="1340"/>
      <c r="IRE16" s="1341"/>
      <c r="IRF16" s="1342"/>
      <c r="IRG16" s="1336"/>
      <c r="IRH16" s="1336"/>
      <c r="IRI16" s="1336"/>
      <c r="IRJ16" s="1336"/>
      <c r="IRK16" s="1337"/>
      <c r="IRL16" s="1337"/>
      <c r="IRM16" s="1337"/>
      <c r="IRN16" s="1337"/>
      <c r="IRO16" s="1337"/>
      <c r="IRP16" s="1338"/>
      <c r="IRQ16" s="1339"/>
      <c r="IRR16" s="1340"/>
      <c r="IRS16" s="1340"/>
      <c r="IRT16" s="1340"/>
      <c r="IRU16" s="1341"/>
      <c r="IRV16" s="1342"/>
      <c r="IRW16" s="1336"/>
      <c r="IRX16" s="1336"/>
      <c r="IRY16" s="1336"/>
      <c r="IRZ16" s="1336"/>
      <c r="ISA16" s="1337"/>
      <c r="ISB16" s="1337"/>
      <c r="ISC16" s="1337"/>
      <c r="ISD16" s="1337"/>
      <c r="ISE16" s="1337"/>
      <c r="ISF16" s="1338"/>
      <c r="ISG16" s="1339"/>
      <c r="ISH16" s="1340"/>
      <c r="ISI16" s="1340"/>
      <c r="ISJ16" s="1340"/>
      <c r="ISK16" s="1341"/>
      <c r="ISL16" s="1342"/>
      <c r="ISM16" s="1336"/>
      <c r="ISN16" s="1336"/>
      <c r="ISO16" s="1336"/>
      <c r="ISP16" s="1336"/>
      <c r="ISQ16" s="1337"/>
      <c r="ISR16" s="1337"/>
      <c r="ISS16" s="1337"/>
      <c r="IST16" s="1337"/>
      <c r="ISU16" s="1337"/>
      <c r="ISV16" s="1338"/>
      <c r="ISW16" s="1339"/>
      <c r="ISX16" s="1340"/>
      <c r="ISY16" s="1340"/>
      <c r="ISZ16" s="1340"/>
      <c r="ITA16" s="1341"/>
      <c r="ITB16" s="1342"/>
      <c r="ITC16" s="1336"/>
      <c r="ITD16" s="1336"/>
      <c r="ITE16" s="1336"/>
      <c r="ITF16" s="1336"/>
      <c r="ITG16" s="1337"/>
      <c r="ITH16" s="1337"/>
      <c r="ITI16" s="1337"/>
      <c r="ITJ16" s="1337"/>
      <c r="ITK16" s="1337"/>
      <c r="ITL16" s="1338"/>
      <c r="ITM16" s="1339"/>
      <c r="ITN16" s="1340"/>
      <c r="ITO16" s="1340"/>
      <c r="ITP16" s="1340"/>
      <c r="ITQ16" s="1341"/>
      <c r="ITR16" s="1342"/>
      <c r="ITS16" s="1336"/>
      <c r="ITT16" s="1336"/>
      <c r="ITU16" s="1336"/>
      <c r="ITV16" s="1336"/>
      <c r="ITW16" s="1337"/>
      <c r="ITX16" s="1337"/>
      <c r="ITY16" s="1337"/>
      <c r="ITZ16" s="1337"/>
      <c r="IUA16" s="1337"/>
      <c r="IUB16" s="1338"/>
      <c r="IUC16" s="1339"/>
      <c r="IUD16" s="1340"/>
      <c r="IUE16" s="1340"/>
      <c r="IUF16" s="1340"/>
      <c r="IUG16" s="1341"/>
      <c r="IUH16" s="1342"/>
      <c r="IUI16" s="1336"/>
      <c r="IUJ16" s="1336"/>
      <c r="IUK16" s="1336"/>
      <c r="IUL16" s="1336"/>
      <c r="IUM16" s="1337"/>
      <c r="IUN16" s="1337"/>
      <c r="IUO16" s="1337"/>
      <c r="IUP16" s="1337"/>
      <c r="IUQ16" s="1337"/>
      <c r="IUR16" s="1338"/>
      <c r="IUS16" s="1339"/>
      <c r="IUT16" s="1340"/>
      <c r="IUU16" s="1340"/>
      <c r="IUV16" s="1340"/>
      <c r="IUW16" s="1341"/>
      <c r="IUX16" s="1342"/>
      <c r="IUY16" s="1336"/>
      <c r="IUZ16" s="1336"/>
      <c r="IVA16" s="1336"/>
      <c r="IVB16" s="1336"/>
      <c r="IVC16" s="1337"/>
      <c r="IVD16" s="1337"/>
      <c r="IVE16" s="1337"/>
      <c r="IVF16" s="1337"/>
      <c r="IVG16" s="1337"/>
      <c r="IVH16" s="1338"/>
      <c r="IVI16" s="1339"/>
      <c r="IVJ16" s="1340"/>
      <c r="IVK16" s="1340"/>
      <c r="IVL16" s="1340"/>
      <c r="IVM16" s="1341"/>
      <c r="IVN16" s="1342"/>
      <c r="IVO16" s="1336"/>
      <c r="IVP16" s="1336"/>
      <c r="IVQ16" s="1336"/>
      <c r="IVR16" s="1336"/>
      <c r="IVS16" s="1337"/>
      <c r="IVT16" s="1337"/>
      <c r="IVU16" s="1337"/>
      <c r="IVV16" s="1337"/>
      <c r="IVW16" s="1337"/>
      <c r="IVX16" s="1338"/>
      <c r="IVY16" s="1339"/>
      <c r="IVZ16" s="1340"/>
      <c r="IWA16" s="1340"/>
      <c r="IWB16" s="1340"/>
      <c r="IWC16" s="1341"/>
      <c r="IWD16" s="1342"/>
      <c r="IWE16" s="1336"/>
      <c r="IWF16" s="1336"/>
      <c r="IWG16" s="1336"/>
      <c r="IWH16" s="1336"/>
      <c r="IWI16" s="1337"/>
      <c r="IWJ16" s="1337"/>
      <c r="IWK16" s="1337"/>
      <c r="IWL16" s="1337"/>
      <c r="IWM16" s="1337"/>
      <c r="IWN16" s="1338"/>
      <c r="IWO16" s="1339"/>
      <c r="IWP16" s="1340"/>
      <c r="IWQ16" s="1340"/>
      <c r="IWR16" s="1340"/>
      <c r="IWS16" s="1341"/>
      <c r="IWT16" s="1342"/>
      <c r="IWU16" s="1336"/>
      <c r="IWV16" s="1336"/>
      <c r="IWW16" s="1336"/>
      <c r="IWX16" s="1336"/>
      <c r="IWY16" s="1337"/>
      <c r="IWZ16" s="1337"/>
      <c r="IXA16" s="1337"/>
      <c r="IXB16" s="1337"/>
      <c r="IXC16" s="1337"/>
      <c r="IXD16" s="1338"/>
      <c r="IXE16" s="1339"/>
      <c r="IXF16" s="1340"/>
      <c r="IXG16" s="1340"/>
      <c r="IXH16" s="1340"/>
      <c r="IXI16" s="1341"/>
      <c r="IXJ16" s="1342"/>
      <c r="IXK16" s="1336"/>
      <c r="IXL16" s="1336"/>
      <c r="IXM16" s="1336"/>
      <c r="IXN16" s="1336"/>
      <c r="IXO16" s="1337"/>
      <c r="IXP16" s="1337"/>
      <c r="IXQ16" s="1337"/>
      <c r="IXR16" s="1337"/>
      <c r="IXS16" s="1337"/>
      <c r="IXT16" s="1338"/>
      <c r="IXU16" s="1339"/>
      <c r="IXV16" s="1340"/>
      <c r="IXW16" s="1340"/>
      <c r="IXX16" s="1340"/>
      <c r="IXY16" s="1341"/>
      <c r="IXZ16" s="1342"/>
      <c r="IYA16" s="1336"/>
      <c r="IYB16" s="1336"/>
      <c r="IYC16" s="1336"/>
      <c r="IYD16" s="1336"/>
      <c r="IYE16" s="1337"/>
      <c r="IYF16" s="1337"/>
      <c r="IYG16" s="1337"/>
      <c r="IYH16" s="1337"/>
      <c r="IYI16" s="1337"/>
      <c r="IYJ16" s="1338"/>
      <c r="IYK16" s="1339"/>
      <c r="IYL16" s="1340"/>
      <c r="IYM16" s="1340"/>
      <c r="IYN16" s="1340"/>
      <c r="IYO16" s="1341"/>
      <c r="IYP16" s="1342"/>
      <c r="IYQ16" s="1336"/>
      <c r="IYR16" s="1336"/>
      <c r="IYS16" s="1336"/>
      <c r="IYT16" s="1336"/>
      <c r="IYU16" s="1337"/>
      <c r="IYV16" s="1337"/>
      <c r="IYW16" s="1337"/>
      <c r="IYX16" s="1337"/>
      <c r="IYY16" s="1337"/>
      <c r="IYZ16" s="1338"/>
      <c r="IZA16" s="1339"/>
      <c r="IZB16" s="1340"/>
      <c r="IZC16" s="1340"/>
      <c r="IZD16" s="1340"/>
      <c r="IZE16" s="1341"/>
      <c r="IZF16" s="1342"/>
      <c r="IZG16" s="1336"/>
      <c r="IZH16" s="1336"/>
      <c r="IZI16" s="1336"/>
      <c r="IZJ16" s="1336"/>
      <c r="IZK16" s="1337"/>
      <c r="IZL16" s="1337"/>
      <c r="IZM16" s="1337"/>
      <c r="IZN16" s="1337"/>
      <c r="IZO16" s="1337"/>
      <c r="IZP16" s="1338"/>
      <c r="IZQ16" s="1339"/>
      <c r="IZR16" s="1340"/>
      <c r="IZS16" s="1340"/>
      <c r="IZT16" s="1340"/>
      <c r="IZU16" s="1341"/>
      <c r="IZV16" s="1342"/>
      <c r="IZW16" s="1336"/>
      <c r="IZX16" s="1336"/>
      <c r="IZY16" s="1336"/>
      <c r="IZZ16" s="1336"/>
      <c r="JAA16" s="1337"/>
      <c r="JAB16" s="1337"/>
      <c r="JAC16" s="1337"/>
      <c r="JAD16" s="1337"/>
      <c r="JAE16" s="1337"/>
      <c r="JAF16" s="1338"/>
      <c r="JAG16" s="1339"/>
      <c r="JAH16" s="1340"/>
      <c r="JAI16" s="1340"/>
      <c r="JAJ16" s="1340"/>
      <c r="JAK16" s="1341"/>
      <c r="JAL16" s="1342"/>
      <c r="JAM16" s="1336"/>
      <c r="JAN16" s="1336"/>
      <c r="JAO16" s="1336"/>
      <c r="JAP16" s="1336"/>
      <c r="JAQ16" s="1337"/>
      <c r="JAR16" s="1337"/>
      <c r="JAS16" s="1337"/>
      <c r="JAT16" s="1337"/>
      <c r="JAU16" s="1337"/>
      <c r="JAV16" s="1338"/>
      <c r="JAW16" s="1339"/>
      <c r="JAX16" s="1340"/>
      <c r="JAY16" s="1340"/>
      <c r="JAZ16" s="1340"/>
      <c r="JBA16" s="1341"/>
      <c r="JBB16" s="1342"/>
      <c r="JBC16" s="1336"/>
      <c r="JBD16" s="1336"/>
      <c r="JBE16" s="1336"/>
      <c r="JBF16" s="1336"/>
      <c r="JBG16" s="1337"/>
      <c r="JBH16" s="1337"/>
      <c r="JBI16" s="1337"/>
      <c r="JBJ16" s="1337"/>
      <c r="JBK16" s="1337"/>
      <c r="JBL16" s="1338"/>
      <c r="JBM16" s="1339"/>
      <c r="JBN16" s="1340"/>
      <c r="JBO16" s="1340"/>
      <c r="JBP16" s="1340"/>
      <c r="JBQ16" s="1341"/>
      <c r="JBR16" s="1342"/>
      <c r="JBS16" s="1336"/>
      <c r="JBT16" s="1336"/>
      <c r="JBU16" s="1336"/>
      <c r="JBV16" s="1336"/>
      <c r="JBW16" s="1337"/>
      <c r="JBX16" s="1337"/>
      <c r="JBY16" s="1337"/>
      <c r="JBZ16" s="1337"/>
      <c r="JCA16" s="1337"/>
      <c r="JCB16" s="1338"/>
      <c r="JCC16" s="1339"/>
      <c r="JCD16" s="1340"/>
      <c r="JCE16" s="1340"/>
      <c r="JCF16" s="1340"/>
      <c r="JCG16" s="1341"/>
      <c r="JCH16" s="1342"/>
      <c r="JCI16" s="1336"/>
      <c r="JCJ16" s="1336"/>
      <c r="JCK16" s="1336"/>
      <c r="JCL16" s="1336"/>
      <c r="JCM16" s="1337"/>
      <c r="JCN16" s="1337"/>
      <c r="JCO16" s="1337"/>
      <c r="JCP16" s="1337"/>
      <c r="JCQ16" s="1337"/>
      <c r="JCR16" s="1338"/>
      <c r="JCS16" s="1339"/>
      <c r="JCT16" s="1340"/>
      <c r="JCU16" s="1340"/>
      <c r="JCV16" s="1340"/>
      <c r="JCW16" s="1341"/>
      <c r="JCX16" s="1342"/>
      <c r="JCY16" s="1336"/>
      <c r="JCZ16" s="1336"/>
      <c r="JDA16" s="1336"/>
      <c r="JDB16" s="1336"/>
      <c r="JDC16" s="1337"/>
      <c r="JDD16" s="1337"/>
      <c r="JDE16" s="1337"/>
      <c r="JDF16" s="1337"/>
      <c r="JDG16" s="1337"/>
      <c r="JDH16" s="1338"/>
      <c r="JDI16" s="1339"/>
      <c r="JDJ16" s="1340"/>
      <c r="JDK16" s="1340"/>
      <c r="JDL16" s="1340"/>
      <c r="JDM16" s="1341"/>
      <c r="JDN16" s="1342"/>
      <c r="JDO16" s="1336"/>
      <c r="JDP16" s="1336"/>
      <c r="JDQ16" s="1336"/>
      <c r="JDR16" s="1336"/>
      <c r="JDS16" s="1337"/>
      <c r="JDT16" s="1337"/>
      <c r="JDU16" s="1337"/>
      <c r="JDV16" s="1337"/>
      <c r="JDW16" s="1337"/>
      <c r="JDX16" s="1338"/>
      <c r="JDY16" s="1339"/>
      <c r="JDZ16" s="1340"/>
      <c r="JEA16" s="1340"/>
      <c r="JEB16" s="1340"/>
      <c r="JEC16" s="1341"/>
      <c r="JED16" s="1342"/>
      <c r="JEE16" s="1336"/>
      <c r="JEF16" s="1336"/>
      <c r="JEG16" s="1336"/>
      <c r="JEH16" s="1336"/>
      <c r="JEI16" s="1337"/>
      <c r="JEJ16" s="1337"/>
      <c r="JEK16" s="1337"/>
      <c r="JEL16" s="1337"/>
      <c r="JEM16" s="1337"/>
      <c r="JEN16" s="1338"/>
      <c r="JEO16" s="1339"/>
      <c r="JEP16" s="1340"/>
      <c r="JEQ16" s="1340"/>
      <c r="JER16" s="1340"/>
      <c r="JES16" s="1341"/>
      <c r="JET16" s="1342"/>
      <c r="JEU16" s="1336"/>
      <c r="JEV16" s="1336"/>
      <c r="JEW16" s="1336"/>
      <c r="JEX16" s="1336"/>
      <c r="JEY16" s="1337"/>
      <c r="JEZ16" s="1337"/>
      <c r="JFA16" s="1337"/>
      <c r="JFB16" s="1337"/>
      <c r="JFC16" s="1337"/>
      <c r="JFD16" s="1338"/>
      <c r="JFE16" s="1339"/>
      <c r="JFF16" s="1340"/>
      <c r="JFG16" s="1340"/>
      <c r="JFH16" s="1340"/>
      <c r="JFI16" s="1341"/>
      <c r="JFJ16" s="1342"/>
      <c r="JFK16" s="1336"/>
      <c r="JFL16" s="1336"/>
      <c r="JFM16" s="1336"/>
      <c r="JFN16" s="1336"/>
      <c r="JFO16" s="1337"/>
      <c r="JFP16" s="1337"/>
      <c r="JFQ16" s="1337"/>
      <c r="JFR16" s="1337"/>
      <c r="JFS16" s="1337"/>
      <c r="JFT16" s="1338"/>
      <c r="JFU16" s="1339"/>
      <c r="JFV16" s="1340"/>
      <c r="JFW16" s="1340"/>
      <c r="JFX16" s="1340"/>
      <c r="JFY16" s="1341"/>
      <c r="JFZ16" s="1342"/>
      <c r="JGA16" s="1336"/>
      <c r="JGB16" s="1336"/>
      <c r="JGC16" s="1336"/>
      <c r="JGD16" s="1336"/>
      <c r="JGE16" s="1337"/>
      <c r="JGF16" s="1337"/>
      <c r="JGG16" s="1337"/>
      <c r="JGH16" s="1337"/>
      <c r="JGI16" s="1337"/>
      <c r="JGJ16" s="1338"/>
      <c r="JGK16" s="1339"/>
      <c r="JGL16" s="1340"/>
      <c r="JGM16" s="1340"/>
      <c r="JGN16" s="1340"/>
      <c r="JGO16" s="1341"/>
      <c r="JGP16" s="1342"/>
      <c r="JGQ16" s="1336"/>
      <c r="JGR16" s="1336"/>
      <c r="JGS16" s="1336"/>
      <c r="JGT16" s="1336"/>
      <c r="JGU16" s="1337"/>
      <c r="JGV16" s="1337"/>
      <c r="JGW16" s="1337"/>
      <c r="JGX16" s="1337"/>
      <c r="JGY16" s="1337"/>
      <c r="JGZ16" s="1338"/>
      <c r="JHA16" s="1339"/>
      <c r="JHB16" s="1340"/>
      <c r="JHC16" s="1340"/>
      <c r="JHD16" s="1340"/>
      <c r="JHE16" s="1341"/>
      <c r="JHF16" s="1342"/>
      <c r="JHG16" s="1336"/>
      <c r="JHH16" s="1336"/>
      <c r="JHI16" s="1336"/>
      <c r="JHJ16" s="1336"/>
      <c r="JHK16" s="1337"/>
      <c r="JHL16" s="1337"/>
      <c r="JHM16" s="1337"/>
      <c r="JHN16" s="1337"/>
      <c r="JHO16" s="1337"/>
      <c r="JHP16" s="1338"/>
      <c r="JHQ16" s="1339"/>
      <c r="JHR16" s="1340"/>
      <c r="JHS16" s="1340"/>
      <c r="JHT16" s="1340"/>
      <c r="JHU16" s="1341"/>
      <c r="JHV16" s="1342"/>
      <c r="JHW16" s="1336"/>
      <c r="JHX16" s="1336"/>
      <c r="JHY16" s="1336"/>
      <c r="JHZ16" s="1336"/>
      <c r="JIA16" s="1337"/>
      <c r="JIB16" s="1337"/>
      <c r="JIC16" s="1337"/>
      <c r="JID16" s="1337"/>
      <c r="JIE16" s="1337"/>
      <c r="JIF16" s="1338"/>
      <c r="JIG16" s="1339"/>
      <c r="JIH16" s="1340"/>
      <c r="JII16" s="1340"/>
      <c r="JIJ16" s="1340"/>
      <c r="JIK16" s="1341"/>
      <c r="JIL16" s="1342"/>
      <c r="JIM16" s="1336"/>
      <c r="JIN16" s="1336"/>
      <c r="JIO16" s="1336"/>
      <c r="JIP16" s="1336"/>
      <c r="JIQ16" s="1337"/>
      <c r="JIR16" s="1337"/>
      <c r="JIS16" s="1337"/>
      <c r="JIT16" s="1337"/>
      <c r="JIU16" s="1337"/>
      <c r="JIV16" s="1338"/>
      <c r="JIW16" s="1339"/>
      <c r="JIX16" s="1340"/>
      <c r="JIY16" s="1340"/>
      <c r="JIZ16" s="1340"/>
      <c r="JJA16" s="1341"/>
      <c r="JJB16" s="1342"/>
      <c r="JJC16" s="1336"/>
      <c r="JJD16" s="1336"/>
      <c r="JJE16" s="1336"/>
      <c r="JJF16" s="1336"/>
      <c r="JJG16" s="1337"/>
      <c r="JJH16" s="1337"/>
      <c r="JJI16" s="1337"/>
      <c r="JJJ16" s="1337"/>
      <c r="JJK16" s="1337"/>
      <c r="JJL16" s="1338"/>
      <c r="JJM16" s="1339"/>
      <c r="JJN16" s="1340"/>
      <c r="JJO16" s="1340"/>
      <c r="JJP16" s="1340"/>
      <c r="JJQ16" s="1341"/>
      <c r="JJR16" s="1342"/>
      <c r="JJS16" s="1336"/>
      <c r="JJT16" s="1336"/>
      <c r="JJU16" s="1336"/>
      <c r="JJV16" s="1336"/>
      <c r="JJW16" s="1337"/>
      <c r="JJX16" s="1337"/>
      <c r="JJY16" s="1337"/>
      <c r="JJZ16" s="1337"/>
      <c r="JKA16" s="1337"/>
      <c r="JKB16" s="1338"/>
      <c r="JKC16" s="1339"/>
      <c r="JKD16" s="1340"/>
      <c r="JKE16" s="1340"/>
      <c r="JKF16" s="1340"/>
      <c r="JKG16" s="1341"/>
      <c r="JKH16" s="1342"/>
      <c r="JKI16" s="1336"/>
      <c r="JKJ16" s="1336"/>
      <c r="JKK16" s="1336"/>
      <c r="JKL16" s="1336"/>
      <c r="JKM16" s="1337"/>
      <c r="JKN16" s="1337"/>
      <c r="JKO16" s="1337"/>
      <c r="JKP16" s="1337"/>
      <c r="JKQ16" s="1337"/>
      <c r="JKR16" s="1338"/>
      <c r="JKS16" s="1339"/>
      <c r="JKT16" s="1340"/>
      <c r="JKU16" s="1340"/>
      <c r="JKV16" s="1340"/>
      <c r="JKW16" s="1341"/>
      <c r="JKX16" s="1342"/>
      <c r="JKY16" s="1336"/>
      <c r="JKZ16" s="1336"/>
      <c r="JLA16" s="1336"/>
      <c r="JLB16" s="1336"/>
      <c r="JLC16" s="1337"/>
      <c r="JLD16" s="1337"/>
      <c r="JLE16" s="1337"/>
      <c r="JLF16" s="1337"/>
      <c r="JLG16" s="1337"/>
      <c r="JLH16" s="1338"/>
      <c r="JLI16" s="1339"/>
      <c r="JLJ16" s="1340"/>
      <c r="JLK16" s="1340"/>
      <c r="JLL16" s="1340"/>
      <c r="JLM16" s="1341"/>
      <c r="JLN16" s="1342"/>
      <c r="JLO16" s="1336"/>
      <c r="JLP16" s="1336"/>
      <c r="JLQ16" s="1336"/>
      <c r="JLR16" s="1336"/>
      <c r="JLS16" s="1337"/>
      <c r="JLT16" s="1337"/>
      <c r="JLU16" s="1337"/>
      <c r="JLV16" s="1337"/>
      <c r="JLW16" s="1337"/>
      <c r="JLX16" s="1338"/>
      <c r="JLY16" s="1339"/>
      <c r="JLZ16" s="1340"/>
      <c r="JMA16" s="1340"/>
      <c r="JMB16" s="1340"/>
      <c r="JMC16" s="1341"/>
      <c r="JMD16" s="1342"/>
      <c r="JME16" s="1336"/>
      <c r="JMF16" s="1336"/>
      <c r="JMG16" s="1336"/>
      <c r="JMH16" s="1336"/>
      <c r="JMI16" s="1337"/>
      <c r="JMJ16" s="1337"/>
      <c r="JMK16" s="1337"/>
      <c r="JML16" s="1337"/>
      <c r="JMM16" s="1337"/>
      <c r="JMN16" s="1338"/>
      <c r="JMO16" s="1339"/>
      <c r="JMP16" s="1340"/>
      <c r="JMQ16" s="1340"/>
      <c r="JMR16" s="1340"/>
      <c r="JMS16" s="1341"/>
      <c r="JMT16" s="1342"/>
      <c r="JMU16" s="1336"/>
      <c r="JMV16" s="1336"/>
      <c r="JMW16" s="1336"/>
      <c r="JMX16" s="1336"/>
      <c r="JMY16" s="1337"/>
      <c r="JMZ16" s="1337"/>
      <c r="JNA16" s="1337"/>
      <c r="JNB16" s="1337"/>
      <c r="JNC16" s="1337"/>
      <c r="JND16" s="1338"/>
      <c r="JNE16" s="1339"/>
      <c r="JNF16" s="1340"/>
      <c r="JNG16" s="1340"/>
      <c r="JNH16" s="1340"/>
      <c r="JNI16" s="1341"/>
      <c r="JNJ16" s="1342"/>
      <c r="JNK16" s="1336"/>
      <c r="JNL16" s="1336"/>
      <c r="JNM16" s="1336"/>
      <c r="JNN16" s="1336"/>
      <c r="JNO16" s="1337"/>
      <c r="JNP16" s="1337"/>
      <c r="JNQ16" s="1337"/>
      <c r="JNR16" s="1337"/>
      <c r="JNS16" s="1337"/>
      <c r="JNT16" s="1338"/>
      <c r="JNU16" s="1339"/>
      <c r="JNV16" s="1340"/>
      <c r="JNW16" s="1340"/>
      <c r="JNX16" s="1340"/>
      <c r="JNY16" s="1341"/>
      <c r="JNZ16" s="1342"/>
      <c r="JOA16" s="1336"/>
      <c r="JOB16" s="1336"/>
      <c r="JOC16" s="1336"/>
      <c r="JOD16" s="1336"/>
      <c r="JOE16" s="1337"/>
      <c r="JOF16" s="1337"/>
      <c r="JOG16" s="1337"/>
      <c r="JOH16" s="1337"/>
      <c r="JOI16" s="1337"/>
      <c r="JOJ16" s="1338"/>
      <c r="JOK16" s="1339"/>
      <c r="JOL16" s="1340"/>
      <c r="JOM16" s="1340"/>
      <c r="JON16" s="1340"/>
      <c r="JOO16" s="1341"/>
      <c r="JOP16" s="1342"/>
      <c r="JOQ16" s="1336"/>
      <c r="JOR16" s="1336"/>
      <c r="JOS16" s="1336"/>
      <c r="JOT16" s="1336"/>
      <c r="JOU16" s="1337"/>
      <c r="JOV16" s="1337"/>
      <c r="JOW16" s="1337"/>
      <c r="JOX16" s="1337"/>
      <c r="JOY16" s="1337"/>
      <c r="JOZ16" s="1338"/>
      <c r="JPA16" s="1339"/>
      <c r="JPB16" s="1340"/>
      <c r="JPC16" s="1340"/>
      <c r="JPD16" s="1340"/>
      <c r="JPE16" s="1341"/>
      <c r="JPF16" s="1342"/>
      <c r="JPG16" s="1336"/>
      <c r="JPH16" s="1336"/>
      <c r="JPI16" s="1336"/>
      <c r="JPJ16" s="1336"/>
      <c r="JPK16" s="1337"/>
      <c r="JPL16" s="1337"/>
      <c r="JPM16" s="1337"/>
      <c r="JPN16" s="1337"/>
      <c r="JPO16" s="1337"/>
      <c r="JPP16" s="1338"/>
      <c r="JPQ16" s="1339"/>
      <c r="JPR16" s="1340"/>
      <c r="JPS16" s="1340"/>
      <c r="JPT16" s="1340"/>
      <c r="JPU16" s="1341"/>
      <c r="JPV16" s="1342"/>
      <c r="JPW16" s="1336"/>
      <c r="JPX16" s="1336"/>
      <c r="JPY16" s="1336"/>
      <c r="JPZ16" s="1336"/>
      <c r="JQA16" s="1337"/>
      <c r="JQB16" s="1337"/>
      <c r="JQC16" s="1337"/>
      <c r="JQD16" s="1337"/>
      <c r="JQE16" s="1337"/>
      <c r="JQF16" s="1338"/>
      <c r="JQG16" s="1339"/>
      <c r="JQH16" s="1340"/>
      <c r="JQI16" s="1340"/>
      <c r="JQJ16" s="1340"/>
      <c r="JQK16" s="1341"/>
      <c r="JQL16" s="1342"/>
      <c r="JQM16" s="1336"/>
      <c r="JQN16" s="1336"/>
      <c r="JQO16" s="1336"/>
      <c r="JQP16" s="1336"/>
      <c r="JQQ16" s="1337"/>
      <c r="JQR16" s="1337"/>
      <c r="JQS16" s="1337"/>
      <c r="JQT16" s="1337"/>
      <c r="JQU16" s="1337"/>
      <c r="JQV16" s="1338"/>
      <c r="JQW16" s="1339"/>
      <c r="JQX16" s="1340"/>
      <c r="JQY16" s="1340"/>
      <c r="JQZ16" s="1340"/>
      <c r="JRA16" s="1341"/>
      <c r="JRB16" s="1342"/>
      <c r="JRC16" s="1336"/>
      <c r="JRD16" s="1336"/>
      <c r="JRE16" s="1336"/>
      <c r="JRF16" s="1336"/>
      <c r="JRG16" s="1337"/>
      <c r="JRH16" s="1337"/>
      <c r="JRI16" s="1337"/>
      <c r="JRJ16" s="1337"/>
      <c r="JRK16" s="1337"/>
      <c r="JRL16" s="1338"/>
      <c r="JRM16" s="1339"/>
      <c r="JRN16" s="1340"/>
      <c r="JRO16" s="1340"/>
      <c r="JRP16" s="1340"/>
      <c r="JRQ16" s="1341"/>
      <c r="JRR16" s="1342"/>
      <c r="JRS16" s="1336"/>
      <c r="JRT16" s="1336"/>
      <c r="JRU16" s="1336"/>
      <c r="JRV16" s="1336"/>
      <c r="JRW16" s="1337"/>
      <c r="JRX16" s="1337"/>
      <c r="JRY16" s="1337"/>
      <c r="JRZ16" s="1337"/>
      <c r="JSA16" s="1337"/>
      <c r="JSB16" s="1338"/>
      <c r="JSC16" s="1339"/>
      <c r="JSD16" s="1340"/>
      <c r="JSE16" s="1340"/>
      <c r="JSF16" s="1340"/>
      <c r="JSG16" s="1341"/>
      <c r="JSH16" s="1342"/>
      <c r="JSI16" s="1336"/>
      <c r="JSJ16" s="1336"/>
      <c r="JSK16" s="1336"/>
      <c r="JSL16" s="1336"/>
      <c r="JSM16" s="1337"/>
      <c r="JSN16" s="1337"/>
      <c r="JSO16" s="1337"/>
      <c r="JSP16" s="1337"/>
      <c r="JSQ16" s="1337"/>
      <c r="JSR16" s="1338"/>
      <c r="JSS16" s="1339"/>
      <c r="JST16" s="1340"/>
      <c r="JSU16" s="1340"/>
      <c r="JSV16" s="1340"/>
      <c r="JSW16" s="1341"/>
      <c r="JSX16" s="1342"/>
      <c r="JSY16" s="1336"/>
      <c r="JSZ16" s="1336"/>
      <c r="JTA16" s="1336"/>
      <c r="JTB16" s="1336"/>
      <c r="JTC16" s="1337"/>
      <c r="JTD16" s="1337"/>
      <c r="JTE16" s="1337"/>
      <c r="JTF16" s="1337"/>
      <c r="JTG16" s="1337"/>
      <c r="JTH16" s="1338"/>
      <c r="JTI16" s="1339"/>
      <c r="JTJ16" s="1340"/>
      <c r="JTK16" s="1340"/>
      <c r="JTL16" s="1340"/>
      <c r="JTM16" s="1341"/>
      <c r="JTN16" s="1342"/>
      <c r="JTO16" s="1336"/>
      <c r="JTP16" s="1336"/>
      <c r="JTQ16" s="1336"/>
      <c r="JTR16" s="1336"/>
      <c r="JTS16" s="1337"/>
      <c r="JTT16" s="1337"/>
      <c r="JTU16" s="1337"/>
      <c r="JTV16" s="1337"/>
      <c r="JTW16" s="1337"/>
      <c r="JTX16" s="1338"/>
      <c r="JTY16" s="1339"/>
      <c r="JTZ16" s="1340"/>
      <c r="JUA16" s="1340"/>
      <c r="JUB16" s="1340"/>
      <c r="JUC16" s="1341"/>
      <c r="JUD16" s="1342"/>
      <c r="JUE16" s="1336"/>
      <c r="JUF16" s="1336"/>
      <c r="JUG16" s="1336"/>
      <c r="JUH16" s="1336"/>
      <c r="JUI16" s="1337"/>
      <c r="JUJ16" s="1337"/>
      <c r="JUK16" s="1337"/>
      <c r="JUL16" s="1337"/>
      <c r="JUM16" s="1337"/>
      <c r="JUN16" s="1338"/>
      <c r="JUO16" s="1339"/>
      <c r="JUP16" s="1340"/>
      <c r="JUQ16" s="1340"/>
      <c r="JUR16" s="1340"/>
      <c r="JUS16" s="1341"/>
      <c r="JUT16" s="1342"/>
      <c r="JUU16" s="1336"/>
      <c r="JUV16" s="1336"/>
      <c r="JUW16" s="1336"/>
      <c r="JUX16" s="1336"/>
      <c r="JUY16" s="1337"/>
      <c r="JUZ16" s="1337"/>
      <c r="JVA16" s="1337"/>
      <c r="JVB16" s="1337"/>
      <c r="JVC16" s="1337"/>
      <c r="JVD16" s="1338"/>
      <c r="JVE16" s="1339"/>
      <c r="JVF16" s="1340"/>
      <c r="JVG16" s="1340"/>
      <c r="JVH16" s="1340"/>
      <c r="JVI16" s="1341"/>
      <c r="JVJ16" s="1342"/>
      <c r="JVK16" s="1336"/>
      <c r="JVL16" s="1336"/>
      <c r="JVM16" s="1336"/>
      <c r="JVN16" s="1336"/>
      <c r="JVO16" s="1337"/>
      <c r="JVP16" s="1337"/>
      <c r="JVQ16" s="1337"/>
      <c r="JVR16" s="1337"/>
      <c r="JVS16" s="1337"/>
      <c r="JVT16" s="1338"/>
      <c r="JVU16" s="1339"/>
      <c r="JVV16" s="1340"/>
      <c r="JVW16" s="1340"/>
      <c r="JVX16" s="1340"/>
      <c r="JVY16" s="1341"/>
      <c r="JVZ16" s="1342"/>
      <c r="JWA16" s="1336"/>
      <c r="JWB16" s="1336"/>
      <c r="JWC16" s="1336"/>
      <c r="JWD16" s="1336"/>
      <c r="JWE16" s="1337"/>
      <c r="JWF16" s="1337"/>
      <c r="JWG16" s="1337"/>
      <c r="JWH16" s="1337"/>
      <c r="JWI16" s="1337"/>
      <c r="JWJ16" s="1338"/>
      <c r="JWK16" s="1339"/>
      <c r="JWL16" s="1340"/>
      <c r="JWM16" s="1340"/>
      <c r="JWN16" s="1340"/>
      <c r="JWO16" s="1341"/>
      <c r="JWP16" s="1342"/>
      <c r="JWQ16" s="1336"/>
      <c r="JWR16" s="1336"/>
      <c r="JWS16" s="1336"/>
      <c r="JWT16" s="1336"/>
      <c r="JWU16" s="1337"/>
      <c r="JWV16" s="1337"/>
      <c r="JWW16" s="1337"/>
      <c r="JWX16" s="1337"/>
      <c r="JWY16" s="1337"/>
      <c r="JWZ16" s="1338"/>
      <c r="JXA16" s="1339"/>
      <c r="JXB16" s="1340"/>
      <c r="JXC16" s="1340"/>
      <c r="JXD16" s="1340"/>
      <c r="JXE16" s="1341"/>
      <c r="JXF16" s="1342"/>
      <c r="JXG16" s="1336"/>
      <c r="JXH16" s="1336"/>
      <c r="JXI16" s="1336"/>
      <c r="JXJ16" s="1336"/>
      <c r="JXK16" s="1337"/>
      <c r="JXL16" s="1337"/>
      <c r="JXM16" s="1337"/>
      <c r="JXN16" s="1337"/>
      <c r="JXO16" s="1337"/>
      <c r="JXP16" s="1338"/>
      <c r="JXQ16" s="1339"/>
      <c r="JXR16" s="1340"/>
      <c r="JXS16" s="1340"/>
      <c r="JXT16" s="1340"/>
      <c r="JXU16" s="1341"/>
      <c r="JXV16" s="1342"/>
      <c r="JXW16" s="1336"/>
      <c r="JXX16" s="1336"/>
      <c r="JXY16" s="1336"/>
      <c r="JXZ16" s="1336"/>
      <c r="JYA16" s="1337"/>
      <c r="JYB16" s="1337"/>
      <c r="JYC16" s="1337"/>
      <c r="JYD16" s="1337"/>
      <c r="JYE16" s="1337"/>
      <c r="JYF16" s="1338"/>
      <c r="JYG16" s="1339"/>
      <c r="JYH16" s="1340"/>
      <c r="JYI16" s="1340"/>
      <c r="JYJ16" s="1340"/>
      <c r="JYK16" s="1341"/>
      <c r="JYL16" s="1342"/>
      <c r="JYM16" s="1336"/>
      <c r="JYN16" s="1336"/>
      <c r="JYO16" s="1336"/>
      <c r="JYP16" s="1336"/>
      <c r="JYQ16" s="1337"/>
      <c r="JYR16" s="1337"/>
      <c r="JYS16" s="1337"/>
      <c r="JYT16" s="1337"/>
      <c r="JYU16" s="1337"/>
      <c r="JYV16" s="1338"/>
      <c r="JYW16" s="1339"/>
      <c r="JYX16" s="1340"/>
      <c r="JYY16" s="1340"/>
      <c r="JYZ16" s="1340"/>
      <c r="JZA16" s="1341"/>
      <c r="JZB16" s="1342"/>
      <c r="JZC16" s="1336"/>
      <c r="JZD16" s="1336"/>
      <c r="JZE16" s="1336"/>
      <c r="JZF16" s="1336"/>
      <c r="JZG16" s="1337"/>
      <c r="JZH16" s="1337"/>
      <c r="JZI16" s="1337"/>
      <c r="JZJ16" s="1337"/>
      <c r="JZK16" s="1337"/>
      <c r="JZL16" s="1338"/>
      <c r="JZM16" s="1339"/>
      <c r="JZN16" s="1340"/>
      <c r="JZO16" s="1340"/>
      <c r="JZP16" s="1340"/>
      <c r="JZQ16" s="1341"/>
      <c r="JZR16" s="1342"/>
      <c r="JZS16" s="1336"/>
      <c r="JZT16" s="1336"/>
      <c r="JZU16" s="1336"/>
      <c r="JZV16" s="1336"/>
      <c r="JZW16" s="1337"/>
      <c r="JZX16" s="1337"/>
      <c r="JZY16" s="1337"/>
      <c r="JZZ16" s="1337"/>
      <c r="KAA16" s="1337"/>
      <c r="KAB16" s="1338"/>
      <c r="KAC16" s="1339"/>
      <c r="KAD16" s="1340"/>
      <c r="KAE16" s="1340"/>
      <c r="KAF16" s="1340"/>
      <c r="KAG16" s="1341"/>
      <c r="KAH16" s="1342"/>
      <c r="KAI16" s="1336"/>
      <c r="KAJ16" s="1336"/>
      <c r="KAK16" s="1336"/>
      <c r="KAL16" s="1336"/>
      <c r="KAM16" s="1337"/>
      <c r="KAN16" s="1337"/>
      <c r="KAO16" s="1337"/>
      <c r="KAP16" s="1337"/>
      <c r="KAQ16" s="1337"/>
      <c r="KAR16" s="1338"/>
      <c r="KAS16" s="1339"/>
      <c r="KAT16" s="1340"/>
      <c r="KAU16" s="1340"/>
      <c r="KAV16" s="1340"/>
      <c r="KAW16" s="1341"/>
      <c r="KAX16" s="1342"/>
      <c r="KAY16" s="1336"/>
      <c r="KAZ16" s="1336"/>
      <c r="KBA16" s="1336"/>
      <c r="KBB16" s="1336"/>
      <c r="KBC16" s="1337"/>
      <c r="KBD16" s="1337"/>
      <c r="KBE16" s="1337"/>
      <c r="KBF16" s="1337"/>
      <c r="KBG16" s="1337"/>
      <c r="KBH16" s="1338"/>
      <c r="KBI16" s="1339"/>
      <c r="KBJ16" s="1340"/>
      <c r="KBK16" s="1340"/>
      <c r="KBL16" s="1340"/>
      <c r="KBM16" s="1341"/>
      <c r="KBN16" s="1342"/>
      <c r="KBO16" s="1336"/>
      <c r="KBP16" s="1336"/>
      <c r="KBQ16" s="1336"/>
      <c r="KBR16" s="1336"/>
      <c r="KBS16" s="1337"/>
      <c r="KBT16" s="1337"/>
      <c r="KBU16" s="1337"/>
      <c r="KBV16" s="1337"/>
      <c r="KBW16" s="1337"/>
      <c r="KBX16" s="1338"/>
      <c r="KBY16" s="1339"/>
      <c r="KBZ16" s="1340"/>
      <c r="KCA16" s="1340"/>
      <c r="KCB16" s="1340"/>
      <c r="KCC16" s="1341"/>
      <c r="KCD16" s="1342"/>
      <c r="KCE16" s="1336"/>
      <c r="KCF16" s="1336"/>
      <c r="KCG16" s="1336"/>
      <c r="KCH16" s="1336"/>
      <c r="KCI16" s="1337"/>
      <c r="KCJ16" s="1337"/>
      <c r="KCK16" s="1337"/>
      <c r="KCL16" s="1337"/>
      <c r="KCM16" s="1337"/>
      <c r="KCN16" s="1338"/>
      <c r="KCO16" s="1339"/>
      <c r="KCP16" s="1340"/>
      <c r="KCQ16" s="1340"/>
      <c r="KCR16" s="1340"/>
      <c r="KCS16" s="1341"/>
      <c r="KCT16" s="1342"/>
      <c r="KCU16" s="1336"/>
      <c r="KCV16" s="1336"/>
      <c r="KCW16" s="1336"/>
      <c r="KCX16" s="1336"/>
      <c r="KCY16" s="1337"/>
      <c r="KCZ16" s="1337"/>
      <c r="KDA16" s="1337"/>
      <c r="KDB16" s="1337"/>
      <c r="KDC16" s="1337"/>
      <c r="KDD16" s="1338"/>
      <c r="KDE16" s="1339"/>
      <c r="KDF16" s="1340"/>
      <c r="KDG16" s="1340"/>
      <c r="KDH16" s="1340"/>
      <c r="KDI16" s="1341"/>
      <c r="KDJ16" s="1342"/>
      <c r="KDK16" s="1336"/>
      <c r="KDL16" s="1336"/>
      <c r="KDM16" s="1336"/>
      <c r="KDN16" s="1336"/>
      <c r="KDO16" s="1337"/>
      <c r="KDP16" s="1337"/>
      <c r="KDQ16" s="1337"/>
      <c r="KDR16" s="1337"/>
      <c r="KDS16" s="1337"/>
      <c r="KDT16" s="1338"/>
      <c r="KDU16" s="1339"/>
      <c r="KDV16" s="1340"/>
      <c r="KDW16" s="1340"/>
      <c r="KDX16" s="1340"/>
      <c r="KDY16" s="1341"/>
      <c r="KDZ16" s="1342"/>
      <c r="KEA16" s="1336"/>
      <c r="KEB16" s="1336"/>
      <c r="KEC16" s="1336"/>
      <c r="KED16" s="1336"/>
      <c r="KEE16" s="1337"/>
      <c r="KEF16" s="1337"/>
      <c r="KEG16" s="1337"/>
      <c r="KEH16" s="1337"/>
      <c r="KEI16" s="1337"/>
      <c r="KEJ16" s="1338"/>
      <c r="KEK16" s="1339"/>
      <c r="KEL16" s="1340"/>
      <c r="KEM16" s="1340"/>
      <c r="KEN16" s="1340"/>
      <c r="KEO16" s="1341"/>
      <c r="KEP16" s="1342"/>
      <c r="KEQ16" s="1336"/>
      <c r="KER16" s="1336"/>
      <c r="KES16" s="1336"/>
      <c r="KET16" s="1336"/>
      <c r="KEU16" s="1337"/>
      <c r="KEV16" s="1337"/>
      <c r="KEW16" s="1337"/>
      <c r="KEX16" s="1337"/>
      <c r="KEY16" s="1337"/>
      <c r="KEZ16" s="1338"/>
      <c r="KFA16" s="1339"/>
      <c r="KFB16" s="1340"/>
      <c r="KFC16" s="1340"/>
      <c r="KFD16" s="1340"/>
      <c r="KFE16" s="1341"/>
      <c r="KFF16" s="1342"/>
      <c r="KFG16" s="1336"/>
      <c r="KFH16" s="1336"/>
      <c r="KFI16" s="1336"/>
      <c r="KFJ16" s="1336"/>
      <c r="KFK16" s="1337"/>
      <c r="KFL16" s="1337"/>
      <c r="KFM16" s="1337"/>
      <c r="KFN16" s="1337"/>
      <c r="KFO16" s="1337"/>
      <c r="KFP16" s="1338"/>
      <c r="KFQ16" s="1339"/>
      <c r="KFR16" s="1340"/>
      <c r="KFS16" s="1340"/>
      <c r="KFT16" s="1340"/>
      <c r="KFU16" s="1341"/>
      <c r="KFV16" s="1342"/>
      <c r="KFW16" s="1336"/>
      <c r="KFX16" s="1336"/>
      <c r="KFY16" s="1336"/>
      <c r="KFZ16" s="1336"/>
      <c r="KGA16" s="1337"/>
      <c r="KGB16" s="1337"/>
      <c r="KGC16" s="1337"/>
      <c r="KGD16" s="1337"/>
      <c r="KGE16" s="1337"/>
      <c r="KGF16" s="1338"/>
      <c r="KGG16" s="1339"/>
      <c r="KGH16" s="1340"/>
      <c r="KGI16" s="1340"/>
      <c r="KGJ16" s="1340"/>
      <c r="KGK16" s="1341"/>
      <c r="KGL16" s="1342"/>
      <c r="KGM16" s="1336"/>
      <c r="KGN16" s="1336"/>
      <c r="KGO16" s="1336"/>
      <c r="KGP16" s="1336"/>
      <c r="KGQ16" s="1337"/>
      <c r="KGR16" s="1337"/>
      <c r="KGS16" s="1337"/>
      <c r="KGT16" s="1337"/>
      <c r="KGU16" s="1337"/>
      <c r="KGV16" s="1338"/>
      <c r="KGW16" s="1339"/>
      <c r="KGX16" s="1340"/>
      <c r="KGY16" s="1340"/>
      <c r="KGZ16" s="1340"/>
      <c r="KHA16" s="1341"/>
      <c r="KHB16" s="1342"/>
      <c r="KHC16" s="1336"/>
      <c r="KHD16" s="1336"/>
      <c r="KHE16" s="1336"/>
      <c r="KHF16" s="1336"/>
      <c r="KHG16" s="1337"/>
      <c r="KHH16" s="1337"/>
      <c r="KHI16" s="1337"/>
      <c r="KHJ16" s="1337"/>
      <c r="KHK16" s="1337"/>
      <c r="KHL16" s="1338"/>
      <c r="KHM16" s="1339"/>
      <c r="KHN16" s="1340"/>
      <c r="KHO16" s="1340"/>
      <c r="KHP16" s="1340"/>
      <c r="KHQ16" s="1341"/>
      <c r="KHR16" s="1342"/>
      <c r="KHS16" s="1336"/>
      <c r="KHT16" s="1336"/>
      <c r="KHU16" s="1336"/>
      <c r="KHV16" s="1336"/>
      <c r="KHW16" s="1337"/>
      <c r="KHX16" s="1337"/>
      <c r="KHY16" s="1337"/>
      <c r="KHZ16" s="1337"/>
      <c r="KIA16" s="1337"/>
      <c r="KIB16" s="1338"/>
      <c r="KIC16" s="1339"/>
      <c r="KID16" s="1340"/>
      <c r="KIE16" s="1340"/>
      <c r="KIF16" s="1340"/>
      <c r="KIG16" s="1341"/>
      <c r="KIH16" s="1342"/>
      <c r="KII16" s="1336"/>
      <c r="KIJ16" s="1336"/>
      <c r="KIK16" s="1336"/>
      <c r="KIL16" s="1336"/>
      <c r="KIM16" s="1337"/>
      <c r="KIN16" s="1337"/>
      <c r="KIO16" s="1337"/>
      <c r="KIP16" s="1337"/>
      <c r="KIQ16" s="1337"/>
      <c r="KIR16" s="1338"/>
      <c r="KIS16" s="1339"/>
      <c r="KIT16" s="1340"/>
      <c r="KIU16" s="1340"/>
      <c r="KIV16" s="1340"/>
      <c r="KIW16" s="1341"/>
      <c r="KIX16" s="1342"/>
      <c r="KIY16" s="1336"/>
      <c r="KIZ16" s="1336"/>
      <c r="KJA16" s="1336"/>
      <c r="KJB16" s="1336"/>
      <c r="KJC16" s="1337"/>
      <c r="KJD16" s="1337"/>
      <c r="KJE16" s="1337"/>
      <c r="KJF16" s="1337"/>
      <c r="KJG16" s="1337"/>
      <c r="KJH16" s="1338"/>
      <c r="KJI16" s="1339"/>
      <c r="KJJ16" s="1340"/>
      <c r="KJK16" s="1340"/>
      <c r="KJL16" s="1340"/>
      <c r="KJM16" s="1341"/>
      <c r="KJN16" s="1342"/>
      <c r="KJO16" s="1336"/>
      <c r="KJP16" s="1336"/>
      <c r="KJQ16" s="1336"/>
      <c r="KJR16" s="1336"/>
      <c r="KJS16" s="1337"/>
      <c r="KJT16" s="1337"/>
      <c r="KJU16" s="1337"/>
      <c r="KJV16" s="1337"/>
      <c r="KJW16" s="1337"/>
      <c r="KJX16" s="1338"/>
      <c r="KJY16" s="1339"/>
      <c r="KJZ16" s="1340"/>
      <c r="KKA16" s="1340"/>
      <c r="KKB16" s="1340"/>
      <c r="KKC16" s="1341"/>
      <c r="KKD16" s="1342"/>
      <c r="KKE16" s="1336"/>
      <c r="KKF16" s="1336"/>
      <c r="KKG16" s="1336"/>
      <c r="KKH16" s="1336"/>
      <c r="KKI16" s="1337"/>
      <c r="KKJ16" s="1337"/>
      <c r="KKK16" s="1337"/>
      <c r="KKL16" s="1337"/>
      <c r="KKM16" s="1337"/>
      <c r="KKN16" s="1338"/>
      <c r="KKO16" s="1339"/>
      <c r="KKP16" s="1340"/>
      <c r="KKQ16" s="1340"/>
      <c r="KKR16" s="1340"/>
      <c r="KKS16" s="1341"/>
      <c r="KKT16" s="1342"/>
      <c r="KKU16" s="1336"/>
      <c r="KKV16" s="1336"/>
      <c r="KKW16" s="1336"/>
      <c r="KKX16" s="1336"/>
      <c r="KKY16" s="1337"/>
      <c r="KKZ16" s="1337"/>
      <c r="KLA16" s="1337"/>
      <c r="KLB16" s="1337"/>
      <c r="KLC16" s="1337"/>
      <c r="KLD16" s="1338"/>
      <c r="KLE16" s="1339"/>
      <c r="KLF16" s="1340"/>
      <c r="KLG16" s="1340"/>
      <c r="KLH16" s="1340"/>
      <c r="KLI16" s="1341"/>
      <c r="KLJ16" s="1342"/>
      <c r="KLK16" s="1336"/>
      <c r="KLL16" s="1336"/>
      <c r="KLM16" s="1336"/>
      <c r="KLN16" s="1336"/>
      <c r="KLO16" s="1337"/>
      <c r="KLP16" s="1337"/>
      <c r="KLQ16" s="1337"/>
      <c r="KLR16" s="1337"/>
      <c r="KLS16" s="1337"/>
      <c r="KLT16" s="1338"/>
      <c r="KLU16" s="1339"/>
      <c r="KLV16" s="1340"/>
      <c r="KLW16" s="1340"/>
      <c r="KLX16" s="1340"/>
      <c r="KLY16" s="1341"/>
      <c r="KLZ16" s="1342"/>
      <c r="KMA16" s="1336"/>
      <c r="KMB16" s="1336"/>
      <c r="KMC16" s="1336"/>
      <c r="KMD16" s="1336"/>
      <c r="KME16" s="1337"/>
      <c r="KMF16" s="1337"/>
      <c r="KMG16" s="1337"/>
      <c r="KMH16" s="1337"/>
      <c r="KMI16" s="1337"/>
      <c r="KMJ16" s="1338"/>
      <c r="KMK16" s="1339"/>
      <c r="KML16" s="1340"/>
      <c r="KMM16" s="1340"/>
      <c r="KMN16" s="1340"/>
      <c r="KMO16" s="1341"/>
      <c r="KMP16" s="1342"/>
      <c r="KMQ16" s="1336"/>
      <c r="KMR16" s="1336"/>
      <c r="KMS16" s="1336"/>
      <c r="KMT16" s="1336"/>
      <c r="KMU16" s="1337"/>
      <c r="KMV16" s="1337"/>
      <c r="KMW16" s="1337"/>
      <c r="KMX16" s="1337"/>
      <c r="KMY16" s="1337"/>
      <c r="KMZ16" s="1338"/>
      <c r="KNA16" s="1339"/>
      <c r="KNB16" s="1340"/>
      <c r="KNC16" s="1340"/>
      <c r="KND16" s="1340"/>
      <c r="KNE16" s="1341"/>
      <c r="KNF16" s="1342"/>
      <c r="KNG16" s="1336"/>
      <c r="KNH16" s="1336"/>
      <c r="KNI16" s="1336"/>
      <c r="KNJ16" s="1336"/>
      <c r="KNK16" s="1337"/>
      <c r="KNL16" s="1337"/>
      <c r="KNM16" s="1337"/>
      <c r="KNN16" s="1337"/>
      <c r="KNO16" s="1337"/>
      <c r="KNP16" s="1338"/>
      <c r="KNQ16" s="1339"/>
      <c r="KNR16" s="1340"/>
      <c r="KNS16" s="1340"/>
      <c r="KNT16" s="1340"/>
      <c r="KNU16" s="1341"/>
      <c r="KNV16" s="1342"/>
      <c r="KNW16" s="1336"/>
      <c r="KNX16" s="1336"/>
      <c r="KNY16" s="1336"/>
      <c r="KNZ16" s="1336"/>
      <c r="KOA16" s="1337"/>
      <c r="KOB16" s="1337"/>
      <c r="KOC16" s="1337"/>
      <c r="KOD16" s="1337"/>
      <c r="KOE16" s="1337"/>
      <c r="KOF16" s="1338"/>
      <c r="KOG16" s="1339"/>
      <c r="KOH16" s="1340"/>
      <c r="KOI16" s="1340"/>
      <c r="KOJ16" s="1340"/>
      <c r="KOK16" s="1341"/>
      <c r="KOL16" s="1342"/>
      <c r="KOM16" s="1336"/>
      <c r="KON16" s="1336"/>
      <c r="KOO16" s="1336"/>
      <c r="KOP16" s="1336"/>
      <c r="KOQ16" s="1337"/>
      <c r="KOR16" s="1337"/>
      <c r="KOS16" s="1337"/>
      <c r="KOT16" s="1337"/>
      <c r="KOU16" s="1337"/>
      <c r="KOV16" s="1338"/>
      <c r="KOW16" s="1339"/>
      <c r="KOX16" s="1340"/>
      <c r="KOY16" s="1340"/>
      <c r="KOZ16" s="1340"/>
      <c r="KPA16" s="1341"/>
      <c r="KPB16" s="1342"/>
      <c r="KPC16" s="1336"/>
      <c r="KPD16" s="1336"/>
      <c r="KPE16" s="1336"/>
      <c r="KPF16" s="1336"/>
      <c r="KPG16" s="1337"/>
      <c r="KPH16" s="1337"/>
      <c r="KPI16" s="1337"/>
      <c r="KPJ16" s="1337"/>
      <c r="KPK16" s="1337"/>
      <c r="KPL16" s="1338"/>
      <c r="KPM16" s="1339"/>
      <c r="KPN16" s="1340"/>
      <c r="KPO16" s="1340"/>
      <c r="KPP16" s="1340"/>
      <c r="KPQ16" s="1341"/>
      <c r="KPR16" s="1342"/>
      <c r="KPS16" s="1336"/>
      <c r="KPT16" s="1336"/>
      <c r="KPU16" s="1336"/>
      <c r="KPV16" s="1336"/>
      <c r="KPW16" s="1337"/>
      <c r="KPX16" s="1337"/>
      <c r="KPY16" s="1337"/>
      <c r="KPZ16" s="1337"/>
      <c r="KQA16" s="1337"/>
      <c r="KQB16" s="1338"/>
      <c r="KQC16" s="1339"/>
      <c r="KQD16" s="1340"/>
      <c r="KQE16" s="1340"/>
      <c r="KQF16" s="1340"/>
      <c r="KQG16" s="1341"/>
      <c r="KQH16" s="1342"/>
      <c r="KQI16" s="1336"/>
      <c r="KQJ16" s="1336"/>
      <c r="KQK16" s="1336"/>
      <c r="KQL16" s="1336"/>
      <c r="KQM16" s="1337"/>
      <c r="KQN16" s="1337"/>
      <c r="KQO16" s="1337"/>
      <c r="KQP16" s="1337"/>
      <c r="KQQ16" s="1337"/>
      <c r="KQR16" s="1338"/>
      <c r="KQS16" s="1339"/>
      <c r="KQT16" s="1340"/>
      <c r="KQU16" s="1340"/>
      <c r="KQV16" s="1340"/>
      <c r="KQW16" s="1341"/>
      <c r="KQX16" s="1342"/>
      <c r="KQY16" s="1336"/>
      <c r="KQZ16" s="1336"/>
      <c r="KRA16" s="1336"/>
      <c r="KRB16" s="1336"/>
      <c r="KRC16" s="1337"/>
      <c r="KRD16" s="1337"/>
      <c r="KRE16" s="1337"/>
      <c r="KRF16" s="1337"/>
      <c r="KRG16" s="1337"/>
      <c r="KRH16" s="1338"/>
      <c r="KRI16" s="1339"/>
      <c r="KRJ16" s="1340"/>
      <c r="KRK16" s="1340"/>
      <c r="KRL16" s="1340"/>
      <c r="KRM16" s="1341"/>
      <c r="KRN16" s="1342"/>
      <c r="KRO16" s="1336"/>
      <c r="KRP16" s="1336"/>
      <c r="KRQ16" s="1336"/>
      <c r="KRR16" s="1336"/>
      <c r="KRS16" s="1337"/>
      <c r="KRT16" s="1337"/>
      <c r="KRU16" s="1337"/>
      <c r="KRV16" s="1337"/>
      <c r="KRW16" s="1337"/>
      <c r="KRX16" s="1338"/>
      <c r="KRY16" s="1339"/>
      <c r="KRZ16" s="1340"/>
      <c r="KSA16" s="1340"/>
      <c r="KSB16" s="1340"/>
      <c r="KSC16" s="1341"/>
      <c r="KSD16" s="1342"/>
      <c r="KSE16" s="1336"/>
      <c r="KSF16" s="1336"/>
      <c r="KSG16" s="1336"/>
      <c r="KSH16" s="1336"/>
      <c r="KSI16" s="1337"/>
      <c r="KSJ16" s="1337"/>
      <c r="KSK16" s="1337"/>
      <c r="KSL16" s="1337"/>
      <c r="KSM16" s="1337"/>
      <c r="KSN16" s="1338"/>
      <c r="KSO16" s="1339"/>
      <c r="KSP16" s="1340"/>
      <c r="KSQ16" s="1340"/>
      <c r="KSR16" s="1340"/>
      <c r="KSS16" s="1341"/>
      <c r="KST16" s="1342"/>
      <c r="KSU16" s="1336"/>
      <c r="KSV16" s="1336"/>
      <c r="KSW16" s="1336"/>
      <c r="KSX16" s="1336"/>
      <c r="KSY16" s="1337"/>
      <c r="KSZ16" s="1337"/>
      <c r="KTA16" s="1337"/>
      <c r="KTB16" s="1337"/>
      <c r="KTC16" s="1337"/>
      <c r="KTD16" s="1338"/>
      <c r="KTE16" s="1339"/>
      <c r="KTF16" s="1340"/>
      <c r="KTG16" s="1340"/>
      <c r="KTH16" s="1340"/>
      <c r="KTI16" s="1341"/>
      <c r="KTJ16" s="1342"/>
      <c r="KTK16" s="1336"/>
      <c r="KTL16" s="1336"/>
      <c r="KTM16" s="1336"/>
      <c r="KTN16" s="1336"/>
      <c r="KTO16" s="1337"/>
      <c r="KTP16" s="1337"/>
      <c r="KTQ16" s="1337"/>
      <c r="KTR16" s="1337"/>
      <c r="KTS16" s="1337"/>
      <c r="KTT16" s="1338"/>
      <c r="KTU16" s="1339"/>
      <c r="KTV16" s="1340"/>
      <c r="KTW16" s="1340"/>
      <c r="KTX16" s="1340"/>
      <c r="KTY16" s="1341"/>
      <c r="KTZ16" s="1342"/>
      <c r="KUA16" s="1336"/>
      <c r="KUB16" s="1336"/>
      <c r="KUC16" s="1336"/>
      <c r="KUD16" s="1336"/>
      <c r="KUE16" s="1337"/>
      <c r="KUF16" s="1337"/>
      <c r="KUG16" s="1337"/>
      <c r="KUH16" s="1337"/>
      <c r="KUI16" s="1337"/>
      <c r="KUJ16" s="1338"/>
      <c r="KUK16" s="1339"/>
      <c r="KUL16" s="1340"/>
      <c r="KUM16" s="1340"/>
      <c r="KUN16" s="1340"/>
      <c r="KUO16" s="1341"/>
      <c r="KUP16" s="1342"/>
      <c r="KUQ16" s="1336"/>
      <c r="KUR16" s="1336"/>
      <c r="KUS16" s="1336"/>
      <c r="KUT16" s="1336"/>
      <c r="KUU16" s="1337"/>
      <c r="KUV16" s="1337"/>
      <c r="KUW16" s="1337"/>
      <c r="KUX16" s="1337"/>
      <c r="KUY16" s="1337"/>
      <c r="KUZ16" s="1338"/>
      <c r="KVA16" s="1339"/>
      <c r="KVB16" s="1340"/>
      <c r="KVC16" s="1340"/>
      <c r="KVD16" s="1340"/>
      <c r="KVE16" s="1341"/>
      <c r="KVF16" s="1342"/>
      <c r="KVG16" s="1336"/>
      <c r="KVH16" s="1336"/>
      <c r="KVI16" s="1336"/>
      <c r="KVJ16" s="1336"/>
      <c r="KVK16" s="1337"/>
      <c r="KVL16" s="1337"/>
      <c r="KVM16" s="1337"/>
      <c r="KVN16" s="1337"/>
      <c r="KVO16" s="1337"/>
      <c r="KVP16" s="1338"/>
      <c r="KVQ16" s="1339"/>
      <c r="KVR16" s="1340"/>
      <c r="KVS16" s="1340"/>
      <c r="KVT16" s="1340"/>
      <c r="KVU16" s="1341"/>
      <c r="KVV16" s="1342"/>
      <c r="KVW16" s="1336"/>
      <c r="KVX16" s="1336"/>
      <c r="KVY16" s="1336"/>
      <c r="KVZ16" s="1336"/>
      <c r="KWA16" s="1337"/>
      <c r="KWB16" s="1337"/>
      <c r="KWC16" s="1337"/>
      <c r="KWD16" s="1337"/>
      <c r="KWE16" s="1337"/>
      <c r="KWF16" s="1338"/>
      <c r="KWG16" s="1339"/>
      <c r="KWH16" s="1340"/>
      <c r="KWI16" s="1340"/>
      <c r="KWJ16" s="1340"/>
      <c r="KWK16" s="1341"/>
      <c r="KWL16" s="1342"/>
      <c r="KWM16" s="1336"/>
      <c r="KWN16" s="1336"/>
      <c r="KWO16" s="1336"/>
      <c r="KWP16" s="1336"/>
      <c r="KWQ16" s="1337"/>
      <c r="KWR16" s="1337"/>
      <c r="KWS16" s="1337"/>
      <c r="KWT16" s="1337"/>
      <c r="KWU16" s="1337"/>
      <c r="KWV16" s="1338"/>
      <c r="KWW16" s="1339"/>
      <c r="KWX16" s="1340"/>
      <c r="KWY16" s="1340"/>
      <c r="KWZ16" s="1340"/>
      <c r="KXA16" s="1341"/>
      <c r="KXB16" s="1342"/>
      <c r="KXC16" s="1336"/>
      <c r="KXD16" s="1336"/>
      <c r="KXE16" s="1336"/>
      <c r="KXF16" s="1336"/>
      <c r="KXG16" s="1337"/>
      <c r="KXH16" s="1337"/>
      <c r="KXI16" s="1337"/>
      <c r="KXJ16" s="1337"/>
      <c r="KXK16" s="1337"/>
      <c r="KXL16" s="1338"/>
      <c r="KXM16" s="1339"/>
      <c r="KXN16" s="1340"/>
      <c r="KXO16" s="1340"/>
      <c r="KXP16" s="1340"/>
      <c r="KXQ16" s="1341"/>
      <c r="KXR16" s="1342"/>
      <c r="KXS16" s="1336"/>
      <c r="KXT16" s="1336"/>
      <c r="KXU16" s="1336"/>
      <c r="KXV16" s="1336"/>
      <c r="KXW16" s="1337"/>
      <c r="KXX16" s="1337"/>
      <c r="KXY16" s="1337"/>
      <c r="KXZ16" s="1337"/>
      <c r="KYA16" s="1337"/>
      <c r="KYB16" s="1338"/>
      <c r="KYC16" s="1339"/>
      <c r="KYD16" s="1340"/>
      <c r="KYE16" s="1340"/>
      <c r="KYF16" s="1340"/>
      <c r="KYG16" s="1341"/>
      <c r="KYH16" s="1342"/>
      <c r="KYI16" s="1336"/>
      <c r="KYJ16" s="1336"/>
      <c r="KYK16" s="1336"/>
      <c r="KYL16" s="1336"/>
      <c r="KYM16" s="1337"/>
      <c r="KYN16" s="1337"/>
      <c r="KYO16" s="1337"/>
      <c r="KYP16" s="1337"/>
      <c r="KYQ16" s="1337"/>
      <c r="KYR16" s="1338"/>
      <c r="KYS16" s="1339"/>
      <c r="KYT16" s="1340"/>
      <c r="KYU16" s="1340"/>
      <c r="KYV16" s="1340"/>
      <c r="KYW16" s="1341"/>
      <c r="KYX16" s="1342"/>
      <c r="KYY16" s="1336"/>
      <c r="KYZ16" s="1336"/>
      <c r="KZA16" s="1336"/>
      <c r="KZB16" s="1336"/>
      <c r="KZC16" s="1337"/>
      <c r="KZD16" s="1337"/>
      <c r="KZE16" s="1337"/>
      <c r="KZF16" s="1337"/>
      <c r="KZG16" s="1337"/>
      <c r="KZH16" s="1338"/>
      <c r="KZI16" s="1339"/>
      <c r="KZJ16" s="1340"/>
      <c r="KZK16" s="1340"/>
      <c r="KZL16" s="1340"/>
      <c r="KZM16" s="1341"/>
      <c r="KZN16" s="1342"/>
      <c r="KZO16" s="1336"/>
      <c r="KZP16" s="1336"/>
      <c r="KZQ16" s="1336"/>
      <c r="KZR16" s="1336"/>
      <c r="KZS16" s="1337"/>
      <c r="KZT16" s="1337"/>
      <c r="KZU16" s="1337"/>
      <c r="KZV16" s="1337"/>
      <c r="KZW16" s="1337"/>
      <c r="KZX16" s="1338"/>
      <c r="KZY16" s="1339"/>
      <c r="KZZ16" s="1340"/>
      <c r="LAA16" s="1340"/>
      <c r="LAB16" s="1340"/>
      <c r="LAC16" s="1341"/>
      <c r="LAD16" s="1342"/>
      <c r="LAE16" s="1336"/>
      <c r="LAF16" s="1336"/>
      <c r="LAG16" s="1336"/>
      <c r="LAH16" s="1336"/>
      <c r="LAI16" s="1337"/>
      <c r="LAJ16" s="1337"/>
      <c r="LAK16" s="1337"/>
      <c r="LAL16" s="1337"/>
      <c r="LAM16" s="1337"/>
      <c r="LAN16" s="1338"/>
      <c r="LAO16" s="1339"/>
      <c r="LAP16" s="1340"/>
      <c r="LAQ16" s="1340"/>
      <c r="LAR16" s="1340"/>
      <c r="LAS16" s="1341"/>
      <c r="LAT16" s="1342"/>
      <c r="LAU16" s="1336"/>
      <c r="LAV16" s="1336"/>
      <c r="LAW16" s="1336"/>
      <c r="LAX16" s="1336"/>
      <c r="LAY16" s="1337"/>
      <c r="LAZ16" s="1337"/>
      <c r="LBA16" s="1337"/>
      <c r="LBB16" s="1337"/>
      <c r="LBC16" s="1337"/>
      <c r="LBD16" s="1338"/>
      <c r="LBE16" s="1339"/>
      <c r="LBF16" s="1340"/>
      <c r="LBG16" s="1340"/>
      <c r="LBH16" s="1340"/>
      <c r="LBI16" s="1341"/>
      <c r="LBJ16" s="1342"/>
      <c r="LBK16" s="1336"/>
      <c r="LBL16" s="1336"/>
      <c r="LBM16" s="1336"/>
      <c r="LBN16" s="1336"/>
      <c r="LBO16" s="1337"/>
      <c r="LBP16" s="1337"/>
      <c r="LBQ16" s="1337"/>
      <c r="LBR16" s="1337"/>
      <c r="LBS16" s="1337"/>
      <c r="LBT16" s="1338"/>
      <c r="LBU16" s="1339"/>
      <c r="LBV16" s="1340"/>
      <c r="LBW16" s="1340"/>
      <c r="LBX16" s="1340"/>
      <c r="LBY16" s="1341"/>
      <c r="LBZ16" s="1342"/>
      <c r="LCA16" s="1336"/>
      <c r="LCB16" s="1336"/>
      <c r="LCC16" s="1336"/>
      <c r="LCD16" s="1336"/>
      <c r="LCE16" s="1337"/>
      <c r="LCF16" s="1337"/>
      <c r="LCG16" s="1337"/>
      <c r="LCH16" s="1337"/>
      <c r="LCI16" s="1337"/>
      <c r="LCJ16" s="1338"/>
      <c r="LCK16" s="1339"/>
      <c r="LCL16" s="1340"/>
      <c r="LCM16" s="1340"/>
      <c r="LCN16" s="1340"/>
      <c r="LCO16" s="1341"/>
      <c r="LCP16" s="1342"/>
      <c r="LCQ16" s="1336"/>
      <c r="LCR16" s="1336"/>
      <c r="LCS16" s="1336"/>
      <c r="LCT16" s="1336"/>
      <c r="LCU16" s="1337"/>
      <c r="LCV16" s="1337"/>
      <c r="LCW16" s="1337"/>
      <c r="LCX16" s="1337"/>
      <c r="LCY16" s="1337"/>
      <c r="LCZ16" s="1338"/>
      <c r="LDA16" s="1339"/>
      <c r="LDB16" s="1340"/>
      <c r="LDC16" s="1340"/>
      <c r="LDD16" s="1340"/>
      <c r="LDE16" s="1341"/>
      <c r="LDF16" s="1342"/>
      <c r="LDG16" s="1336"/>
      <c r="LDH16" s="1336"/>
      <c r="LDI16" s="1336"/>
      <c r="LDJ16" s="1336"/>
      <c r="LDK16" s="1337"/>
      <c r="LDL16" s="1337"/>
      <c r="LDM16" s="1337"/>
      <c r="LDN16" s="1337"/>
      <c r="LDO16" s="1337"/>
      <c r="LDP16" s="1338"/>
      <c r="LDQ16" s="1339"/>
      <c r="LDR16" s="1340"/>
      <c r="LDS16" s="1340"/>
      <c r="LDT16" s="1340"/>
      <c r="LDU16" s="1341"/>
      <c r="LDV16" s="1342"/>
      <c r="LDW16" s="1336"/>
      <c r="LDX16" s="1336"/>
      <c r="LDY16" s="1336"/>
      <c r="LDZ16" s="1336"/>
      <c r="LEA16" s="1337"/>
      <c r="LEB16" s="1337"/>
      <c r="LEC16" s="1337"/>
      <c r="LED16" s="1337"/>
      <c r="LEE16" s="1337"/>
      <c r="LEF16" s="1338"/>
      <c r="LEG16" s="1339"/>
      <c r="LEH16" s="1340"/>
      <c r="LEI16" s="1340"/>
      <c r="LEJ16" s="1340"/>
      <c r="LEK16" s="1341"/>
      <c r="LEL16" s="1342"/>
      <c r="LEM16" s="1336"/>
      <c r="LEN16" s="1336"/>
      <c r="LEO16" s="1336"/>
      <c r="LEP16" s="1336"/>
      <c r="LEQ16" s="1337"/>
      <c r="LER16" s="1337"/>
      <c r="LES16" s="1337"/>
      <c r="LET16" s="1337"/>
      <c r="LEU16" s="1337"/>
      <c r="LEV16" s="1338"/>
      <c r="LEW16" s="1339"/>
      <c r="LEX16" s="1340"/>
      <c r="LEY16" s="1340"/>
      <c r="LEZ16" s="1340"/>
      <c r="LFA16" s="1341"/>
      <c r="LFB16" s="1342"/>
      <c r="LFC16" s="1336"/>
      <c r="LFD16" s="1336"/>
      <c r="LFE16" s="1336"/>
      <c r="LFF16" s="1336"/>
      <c r="LFG16" s="1337"/>
      <c r="LFH16" s="1337"/>
      <c r="LFI16" s="1337"/>
      <c r="LFJ16" s="1337"/>
      <c r="LFK16" s="1337"/>
      <c r="LFL16" s="1338"/>
      <c r="LFM16" s="1339"/>
      <c r="LFN16" s="1340"/>
      <c r="LFO16" s="1340"/>
      <c r="LFP16" s="1340"/>
      <c r="LFQ16" s="1341"/>
      <c r="LFR16" s="1342"/>
      <c r="LFS16" s="1336"/>
      <c r="LFT16" s="1336"/>
      <c r="LFU16" s="1336"/>
      <c r="LFV16" s="1336"/>
      <c r="LFW16" s="1337"/>
      <c r="LFX16" s="1337"/>
      <c r="LFY16" s="1337"/>
      <c r="LFZ16" s="1337"/>
      <c r="LGA16" s="1337"/>
      <c r="LGB16" s="1338"/>
      <c r="LGC16" s="1339"/>
      <c r="LGD16" s="1340"/>
      <c r="LGE16" s="1340"/>
      <c r="LGF16" s="1340"/>
      <c r="LGG16" s="1341"/>
      <c r="LGH16" s="1342"/>
      <c r="LGI16" s="1336"/>
      <c r="LGJ16" s="1336"/>
      <c r="LGK16" s="1336"/>
      <c r="LGL16" s="1336"/>
      <c r="LGM16" s="1337"/>
      <c r="LGN16" s="1337"/>
      <c r="LGO16" s="1337"/>
      <c r="LGP16" s="1337"/>
      <c r="LGQ16" s="1337"/>
      <c r="LGR16" s="1338"/>
      <c r="LGS16" s="1339"/>
      <c r="LGT16" s="1340"/>
      <c r="LGU16" s="1340"/>
      <c r="LGV16" s="1340"/>
      <c r="LGW16" s="1341"/>
      <c r="LGX16" s="1342"/>
      <c r="LGY16" s="1336"/>
      <c r="LGZ16" s="1336"/>
      <c r="LHA16" s="1336"/>
      <c r="LHB16" s="1336"/>
      <c r="LHC16" s="1337"/>
      <c r="LHD16" s="1337"/>
      <c r="LHE16" s="1337"/>
      <c r="LHF16" s="1337"/>
      <c r="LHG16" s="1337"/>
      <c r="LHH16" s="1338"/>
      <c r="LHI16" s="1339"/>
      <c r="LHJ16" s="1340"/>
      <c r="LHK16" s="1340"/>
      <c r="LHL16" s="1340"/>
      <c r="LHM16" s="1341"/>
      <c r="LHN16" s="1342"/>
      <c r="LHO16" s="1336"/>
      <c r="LHP16" s="1336"/>
      <c r="LHQ16" s="1336"/>
      <c r="LHR16" s="1336"/>
      <c r="LHS16" s="1337"/>
      <c r="LHT16" s="1337"/>
      <c r="LHU16" s="1337"/>
      <c r="LHV16" s="1337"/>
      <c r="LHW16" s="1337"/>
      <c r="LHX16" s="1338"/>
      <c r="LHY16" s="1339"/>
      <c r="LHZ16" s="1340"/>
      <c r="LIA16" s="1340"/>
      <c r="LIB16" s="1340"/>
      <c r="LIC16" s="1341"/>
      <c r="LID16" s="1342"/>
      <c r="LIE16" s="1336"/>
      <c r="LIF16" s="1336"/>
      <c r="LIG16" s="1336"/>
      <c r="LIH16" s="1336"/>
      <c r="LII16" s="1337"/>
      <c r="LIJ16" s="1337"/>
      <c r="LIK16" s="1337"/>
      <c r="LIL16" s="1337"/>
      <c r="LIM16" s="1337"/>
      <c r="LIN16" s="1338"/>
      <c r="LIO16" s="1339"/>
      <c r="LIP16" s="1340"/>
      <c r="LIQ16" s="1340"/>
      <c r="LIR16" s="1340"/>
      <c r="LIS16" s="1341"/>
      <c r="LIT16" s="1342"/>
      <c r="LIU16" s="1336"/>
      <c r="LIV16" s="1336"/>
      <c r="LIW16" s="1336"/>
      <c r="LIX16" s="1336"/>
      <c r="LIY16" s="1337"/>
      <c r="LIZ16" s="1337"/>
      <c r="LJA16" s="1337"/>
      <c r="LJB16" s="1337"/>
      <c r="LJC16" s="1337"/>
      <c r="LJD16" s="1338"/>
      <c r="LJE16" s="1339"/>
      <c r="LJF16" s="1340"/>
      <c r="LJG16" s="1340"/>
      <c r="LJH16" s="1340"/>
      <c r="LJI16" s="1341"/>
      <c r="LJJ16" s="1342"/>
      <c r="LJK16" s="1336"/>
      <c r="LJL16" s="1336"/>
      <c r="LJM16" s="1336"/>
      <c r="LJN16" s="1336"/>
      <c r="LJO16" s="1337"/>
      <c r="LJP16" s="1337"/>
      <c r="LJQ16" s="1337"/>
      <c r="LJR16" s="1337"/>
      <c r="LJS16" s="1337"/>
      <c r="LJT16" s="1338"/>
      <c r="LJU16" s="1339"/>
      <c r="LJV16" s="1340"/>
      <c r="LJW16" s="1340"/>
      <c r="LJX16" s="1340"/>
      <c r="LJY16" s="1341"/>
      <c r="LJZ16" s="1342"/>
      <c r="LKA16" s="1336"/>
      <c r="LKB16" s="1336"/>
      <c r="LKC16" s="1336"/>
      <c r="LKD16" s="1336"/>
      <c r="LKE16" s="1337"/>
      <c r="LKF16" s="1337"/>
      <c r="LKG16" s="1337"/>
      <c r="LKH16" s="1337"/>
      <c r="LKI16" s="1337"/>
      <c r="LKJ16" s="1338"/>
      <c r="LKK16" s="1339"/>
      <c r="LKL16" s="1340"/>
      <c r="LKM16" s="1340"/>
      <c r="LKN16" s="1340"/>
      <c r="LKO16" s="1341"/>
      <c r="LKP16" s="1342"/>
      <c r="LKQ16" s="1336"/>
      <c r="LKR16" s="1336"/>
      <c r="LKS16" s="1336"/>
      <c r="LKT16" s="1336"/>
      <c r="LKU16" s="1337"/>
      <c r="LKV16" s="1337"/>
      <c r="LKW16" s="1337"/>
      <c r="LKX16" s="1337"/>
      <c r="LKY16" s="1337"/>
      <c r="LKZ16" s="1338"/>
      <c r="LLA16" s="1339"/>
      <c r="LLB16" s="1340"/>
      <c r="LLC16" s="1340"/>
      <c r="LLD16" s="1340"/>
      <c r="LLE16" s="1341"/>
      <c r="LLF16" s="1342"/>
      <c r="LLG16" s="1336"/>
      <c r="LLH16" s="1336"/>
      <c r="LLI16" s="1336"/>
      <c r="LLJ16" s="1336"/>
      <c r="LLK16" s="1337"/>
      <c r="LLL16" s="1337"/>
      <c r="LLM16" s="1337"/>
      <c r="LLN16" s="1337"/>
      <c r="LLO16" s="1337"/>
      <c r="LLP16" s="1338"/>
      <c r="LLQ16" s="1339"/>
      <c r="LLR16" s="1340"/>
      <c r="LLS16" s="1340"/>
      <c r="LLT16" s="1340"/>
      <c r="LLU16" s="1341"/>
      <c r="LLV16" s="1342"/>
      <c r="LLW16" s="1336"/>
      <c r="LLX16" s="1336"/>
      <c r="LLY16" s="1336"/>
      <c r="LLZ16" s="1336"/>
      <c r="LMA16" s="1337"/>
      <c r="LMB16" s="1337"/>
      <c r="LMC16" s="1337"/>
      <c r="LMD16" s="1337"/>
      <c r="LME16" s="1337"/>
      <c r="LMF16" s="1338"/>
      <c r="LMG16" s="1339"/>
      <c r="LMH16" s="1340"/>
      <c r="LMI16" s="1340"/>
      <c r="LMJ16" s="1340"/>
      <c r="LMK16" s="1341"/>
      <c r="LML16" s="1342"/>
      <c r="LMM16" s="1336"/>
      <c r="LMN16" s="1336"/>
      <c r="LMO16" s="1336"/>
      <c r="LMP16" s="1336"/>
      <c r="LMQ16" s="1337"/>
      <c r="LMR16" s="1337"/>
      <c r="LMS16" s="1337"/>
      <c r="LMT16" s="1337"/>
      <c r="LMU16" s="1337"/>
      <c r="LMV16" s="1338"/>
      <c r="LMW16" s="1339"/>
      <c r="LMX16" s="1340"/>
      <c r="LMY16" s="1340"/>
      <c r="LMZ16" s="1340"/>
      <c r="LNA16" s="1341"/>
      <c r="LNB16" s="1342"/>
      <c r="LNC16" s="1336"/>
      <c r="LND16" s="1336"/>
      <c r="LNE16" s="1336"/>
      <c r="LNF16" s="1336"/>
      <c r="LNG16" s="1337"/>
      <c r="LNH16" s="1337"/>
      <c r="LNI16" s="1337"/>
      <c r="LNJ16" s="1337"/>
      <c r="LNK16" s="1337"/>
      <c r="LNL16" s="1338"/>
      <c r="LNM16" s="1339"/>
      <c r="LNN16" s="1340"/>
      <c r="LNO16" s="1340"/>
      <c r="LNP16" s="1340"/>
      <c r="LNQ16" s="1341"/>
      <c r="LNR16" s="1342"/>
      <c r="LNS16" s="1336"/>
      <c r="LNT16" s="1336"/>
      <c r="LNU16" s="1336"/>
      <c r="LNV16" s="1336"/>
      <c r="LNW16" s="1337"/>
      <c r="LNX16" s="1337"/>
      <c r="LNY16" s="1337"/>
      <c r="LNZ16" s="1337"/>
      <c r="LOA16" s="1337"/>
      <c r="LOB16" s="1338"/>
      <c r="LOC16" s="1339"/>
      <c r="LOD16" s="1340"/>
      <c r="LOE16" s="1340"/>
      <c r="LOF16" s="1340"/>
      <c r="LOG16" s="1341"/>
      <c r="LOH16" s="1342"/>
      <c r="LOI16" s="1336"/>
      <c r="LOJ16" s="1336"/>
      <c r="LOK16" s="1336"/>
      <c r="LOL16" s="1336"/>
      <c r="LOM16" s="1337"/>
      <c r="LON16" s="1337"/>
      <c r="LOO16" s="1337"/>
      <c r="LOP16" s="1337"/>
      <c r="LOQ16" s="1337"/>
      <c r="LOR16" s="1338"/>
      <c r="LOS16" s="1339"/>
      <c r="LOT16" s="1340"/>
      <c r="LOU16" s="1340"/>
      <c r="LOV16" s="1340"/>
      <c r="LOW16" s="1341"/>
      <c r="LOX16" s="1342"/>
      <c r="LOY16" s="1336"/>
      <c r="LOZ16" s="1336"/>
      <c r="LPA16" s="1336"/>
      <c r="LPB16" s="1336"/>
      <c r="LPC16" s="1337"/>
      <c r="LPD16" s="1337"/>
      <c r="LPE16" s="1337"/>
      <c r="LPF16" s="1337"/>
      <c r="LPG16" s="1337"/>
      <c r="LPH16" s="1338"/>
      <c r="LPI16" s="1339"/>
      <c r="LPJ16" s="1340"/>
      <c r="LPK16" s="1340"/>
      <c r="LPL16" s="1340"/>
      <c r="LPM16" s="1341"/>
      <c r="LPN16" s="1342"/>
      <c r="LPO16" s="1336"/>
      <c r="LPP16" s="1336"/>
      <c r="LPQ16" s="1336"/>
      <c r="LPR16" s="1336"/>
      <c r="LPS16" s="1337"/>
      <c r="LPT16" s="1337"/>
      <c r="LPU16" s="1337"/>
      <c r="LPV16" s="1337"/>
      <c r="LPW16" s="1337"/>
      <c r="LPX16" s="1338"/>
      <c r="LPY16" s="1339"/>
      <c r="LPZ16" s="1340"/>
      <c r="LQA16" s="1340"/>
      <c r="LQB16" s="1340"/>
      <c r="LQC16" s="1341"/>
      <c r="LQD16" s="1342"/>
      <c r="LQE16" s="1336"/>
      <c r="LQF16" s="1336"/>
      <c r="LQG16" s="1336"/>
      <c r="LQH16" s="1336"/>
      <c r="LQI16" s="1337"/>
      <c r="LQJ16" s="1337"/>
      <c r="LQK16" s="1337"/>
      <c r="LQL16" s="1337"/>
      <c r="LQM16" s="1337"/>
      <c r="LQN16" s="1338"/>
      <c r="LQO16" s="1339"/>
      <c r="LQP16" s="1340"/>
      <c r="LQQ16" s="1340"/>
      <c r="LQR16" s="1340"/>
      <c r="LQS16" s="1341"/>
      <c r="LQT16" s="1342"/>
      <c r="LQU16" s="1336"/>
      <c r="LQV16" s="1336"/>
      <c r="LQW16" s="1336"/>
      <c r="LQX16" s="1336"/>
      <c r="LQY16" s="1337"/>
      <c r="LQZ16" s="1337"/>
      <c r="LRA16" s="1337"/>
      <c r="LRB16" s="1337"/>
      <c r="LRC16" s="1337"/>
      <c r="LRD16" s="1338"/>
      <c r="LRE16" s="1339"/>
      <c r="LRF16" s="1340"/>
      <c r="LRG16" s="1340"/>
      <c r="LRH16" s="1340"/>
      <c r="LRI16" s="1341"/>
      <c r="LRJ16" s="1342"/>
      <c r="LRK16" s="1336"/>
      <c r="LRL16" s="1336"/>
      <c r="LRM16" s="1336"/>
      <c r="LRN16" s="1336"/>
      <c r="LRO16" s="1337"/>
      <c r="LRP16" s="1337"/>
      <c r="LRQ16" s="1337"/>
      <c r="LRR16" s="1337"/>
      <c r="LRS16" s="1337"/>
      <c r="LRT16" s="1338"/>
      <c r="LRU16" s="1339"/>
      <c r="LRV16" s="1340"/>
      <c r="LRW16" s="1340"/>
      <c r="LRX16" s="1340"/>
      <c r="LRY16" s="1341"/>
      <c r="LRZ16" s="1342"/>
      <c r="LSA16" s="1336"/>
      <c r="LSB16" s="1336"/>
      <c r="LSC16" s="1336"/>
      <c r="LSD16" s="1336"/>
      <c r="LSE16" s="1337"/>
      <c r="LSF16" s="1337"/>
      <c r="LSG16" s="1337"/>
      <c r="LSH16" s="1337"/>
      <c r="LSI16" s="1337"/>
      <c r="LSJ16" s="1338"/>
      <c r="LSK16" s="1339"/>
      <c r="LSL16" s="1340"/>
      <c r="LSM16" s="1340"/>
      <c r="LSN16" s="1340"/>
      <c r="LSO16" s="1341"/>
      <c r="LSP16" s="1342"/>
      <c r="LSQ16" s="1336"/>
      <c r="LSR16" s="1336"/>
      <c r="LSS16" s="1336"/>
      <c r="LST16" s="1336"/>
      <c r="LSU16" s="1337"/>
      <c r="LSV16" s="1337"/>
      <c r="LSW16" s="1337"/>
      <c r="LSX16" s="1337"/>
      <c r="LSY16" s="1337"/>
      <c r="LSZ16" s="1338"/>
      <c r="LTA16" s="1339"/>
      <c r="LTB16" s="1340"/>
      <c r="LTC16" s="1340"/>
      <c r="LTD16" s="1340"/>
      <c r="LTE16" s="1341"/>
      <c r="LTF16" s="1342"/>
      <c r="LTG16" s="1336"/>
      <c r="LTH16" s="1336"/>
      <c r="LTI16" s="1336"/>
      <c r="LTJ16" s="1336"/>
      <c r="LTK16" s="1337"/>
      <c r="LTL16" s="1337"/>
      <c r="LTM16" s="1337"/>
      <c r="LTN16" s="1337"/>
      <c r="LTO16" s="1337"/>
      <c r="LTP16" s="1338"/>
      <c r="LTQ16" s="1339"/>
      <c r="LTR16" s="1340"/>
      <c r="LTS16" s="1340"/>
      <c r="LTT16" s="1340"/>
      <c r="LTU16" s="1341"/>
      <c r="LTV16" s="1342"/>
      <c r="LTW16" s="1336"/>
      <c r="LTX16" s="1336"/>
      <c r="LTY16" s="1336"/>
      <c r="LTZ16" s="1336"/>
      <c r="LUA16" s="1337"/>
      <c r="LUB16" s="1337"/>
      <c r="LUC16" s="1337"/>
      <c r="LUD16" s="1337"/>
      <c r="LUE16" s="1337"/>
      <c r="LUF16" s="1338"/>
      <c r="LUG16" s="1339"/>
      <c r="LUH16" s="1340"/>
      <c r="LUI16" s="1340"/>
      <c r="LUJ16" s="1340"/>
      <c r="LUK16" s="1341"/>
      <c r="LUL16" s="1342"/>
      <c r="LUM16" s="1336"/>
      <c r="LUN16" s="1336"/>
      <c r="LUO16" s="1336"/>
      <c r="LUP16" s="1336"/>
      <c r="LUQ16" s="1337"/>
      <c r="LUR16" s="1337"/>
      <c r="LUS16" s="1337"/>
      <c r="LUT16" s="1337"/>
      <c r="LUU16" s="1337"/>
      <c r="LUV16" s="1338"/>
      <c r="LUW16" s="1339"/>
      <c r="LUX16" s="1340"/>
      <c r="LUY16" s="1340"/>
      <c r="LUZ16" s="1340"/>
      <c r="LVA16" s="1341"/>
      <c r="LVB16" s="1342"/>
      <c r="LVC16" s="1336"/>
      <c r="LVD16" s="1336"/>
      <c r="LVE16" s="1336"/>
      <c r="LVF16" s="1336"/>
      <c r="LVG16" s="1337"/>
      <c r="LVH16" s="1337"/>
      <c r="LVI16" s="1337"/>
      <c r="LVJ16" s="1337"/>
      <c r="LVK16" s="1337"/>
      <c r="LVL16" s="1338"/>
      <c r="LVM16" s="1339"/>
      <c r="LVN16" s="1340"/>
      <c r="LVO16" s="1340"/>
      <c r="LVP16" s="1340"/>
      <c r="LVQ16" s="1341"/>
      <c r="LVR16" s="1342"/>
      <c r="LVS16" s="1336"/>
      <c r="LVT16" s="1336"/>
      <c r="LVU16" s="1336"/>
      <c r="LVV16" s="1336"/>
      <c r="LVW16" s="1337"/>
      <c r="LVX16" s="1337"/>
      <c r="LVY16" s="1337"/>
      <c r="LVZ16" s="1337"/>
      <c r="LWA16" s="1337"/>
      <c r="LWB16" s="1338"/>
      <c r="LWC16" s="1339"/>
      <c r="LWD16" s="1340"/>
      <c r="LWE16" s="1340"/>
      <c r="LWF16" s="1340"/>
      <c r="LWG16" s="1341"/>
      <c r="LWH16" s="1342"/>
      <c r="LWI16" s="1336"/>
      <c r="LWJ16" s="1336"/>
      <c r="LWK16" s="1336"/>
      <c r="LWL16" s="1336"/>
      <c r="LWM16" s="1337"/>
      <c r="LWN16" s="1337"/>
      <c r="LWO16" s="1337"/>
      <c r="LWP16" s="1337"/>
      <c r="LWQ16" s="1337"/>
      <c r="LWR16" s="1338"/>
      <c r="LWS16" s="1339"/>
      <c r="LWT16" s="1340"/>
      <c r="LWU16" s="1340"/>
      <c r="LWV16" s="1340"/>
      <c r="LWW16" s="1341"/>
      <c r="LWX16" s="1342"/>
      <c r="LWY16" s="1336"/>
      <c r="LWZ16" s="1336"/>
      <c r="LXA16" s="1336"/>
      <c r="LXB16" s="1336"/>
      <c r="LXC16" s="1337"/>
      <c r="LXD16" s="1337"/>
      <c r="LXE16" s="1337"/>
      <c r="LXF16" s="1337"/>
      <c r="LXG16" s="1337"/>
      <c r="LXH16" s="1338"/>
      <c r="LXI16" s="1339"/>
      <c r="LXJ16" s="1340"/>
      <c r="LXK16" s="1340"/>
      <c r="LXL16" s="1340"/>
      <c r="LXM16" s="1341"/>
      <c r="LXN16" s="1342"/>
      <c r="LXO16" s="1336"/>
      <c r="LXP16" s="1336"/>
      <c r="LXQ16" s="1336"/>
      <c r="LXR16" s="1336"/>
      <c r="LXS16" s="1337"/>
      <c r="LXT16" s="1337"/>
      <c r="LXU16" s="1337"/>
      <c r="LXV16" s="1337"/>
      <c r="LXW16" s="1337"/>
      <c r="LXX16" s="1338"/>
      <c r="LXY16" s="1339"/>
      <c r="LXZ16" s="1340"/>
      <c r="LYA16" s="1340"/>
      <c r="LYB16" s="1340"/>
      <c r="LYC16" s="1341"/>
      <c r="LYD16" s="1342"/>
      <c r="LYE16" s="1336"/>
      <c r="LYF16" s="1336"/>
      <c r="LYG16" s="1336"/>
      <c r="LYH16" s="1336"/>
      <c r="LYI16" s="1337"/>
      <c r="LYJ16" s="1337"/>
      <c r="LYK16" s="1337"/>
      <c r="LYL16" s="1337"/>
      <c r="LYM16" s="1337"/>
      <c r="LYN16" s="1338"/>
      <c r="LYO16" s="1339"/>
      <c r="LYP16" s="1340"/>
      <c r="LYQ16" s="1340"/>
      <c r="LYR16" s="1340"/>
      <c r="LYS16" s="1341"/>
      <c r="LYT16" s="1342"/>
      <c r="LYU16" s="1336"/>
      <c r="LYV16" s="1336"/>
      <c r="LYW16" s="1336"/>
      <c r="LYX16" s="1336"/>
      <c r="LYY16" s="1337"/>
      <c r="LYZ16" s="1337"/>
      <c r="LZA16" s="1337"/>
      <c r="LZB16" s="1337"/>
      <c r="LZC16" s="1337"/>
      <c r="LZD16" s="1338"/>
      <c r="LZE16" s="1339"/>
      <c r="LZF16" s="1340"/>
      <c r="LZG16" s="1340"/>
      <c r="LZH16" s="1340"/>
      <c r="LZI16" s="1341"/>
      <c r="LZJ16" s="1342"/>
      <c r="LZK16" s="1336"/>
      <c r="LZL16" s="1336"/>
      <c r="LZM16" s="1336"/>
      <c r="LZN16" s="1336"/>
      <c r="LZO16" s="1337"/>
      <c r="LZP16" s="1337"/>
      <c r="LZQ16" s="1337"/>
      <c r="LZR16" s="1337"/>
      <c r="LZS16" s="1337"/>
      <c r="LZT16" s="1338"/>
      <c r="LZU16" s="1339"/>
      <c r="LZV16" s="1340"/>
      <c r="LZW16" s="1340"/>
      <c r="LZX16" s="1340"/>
      <c r="LZY16" s="1341"/>
      <c r="LZZ16" s="1342"/>
      <c r="MAA16" s="1336"/>
      <c r="MAB16" s="1336"/>
      <c r="MAC16" s="1336"/>
      <c r="MAD16" s="1336"/>
      <c r="MAE16" s="1337"/>
      <c r="MAF16" s="1337"/>
      <c r="MAG16" s="1337"/>
      <c r="MAH16" s="1337"/>
      <c r="MAI16" s="1337"/>
      <c r="MAJ16" s="1338"/>
      <c r="MAK16" s="1339"/>
      <c r="MAL16" s="1340"/>
      <c r="MAM16" s="1340"/>
      <c r="MAN16" s="1340"/>
      <c r="MAO16" s="1341"/>
      <c r="MAP16" s="1342"/>
      <c r="MAQ16" s="1336"/>
      <c r="MAR16" s="1336"/>
      <c r="MAS16" s="1336"/>
      <c r="MAT16" s="1336"/>
      <c r="MAU16" s="1337"/>
      <c r="MAV16" s="1337"/>
      <c r="MAW16" s="1337"/>
      <c r="MAX16" s="1337"/>
      <c r="MAY16" s="1337"/>
      <c r="MAZ16" s="1338"/>
      <c r="MBA16" s="1339"/>
      <c r="MBB16" s="1340"/>
      <c r="MBC16" s="1340"/>
      <c r="MBD16" s="1340"/>
      <c r="MBE16" s="1341"/>
      <c r="MBF16" s="1342"/>
      <c r="MBG16" s="1336"/>
      <c r="MBH16" s="1336"/>
      <c r="MBI16" s="1336"/>
      <c r="MBJ16" s="1336"/>
      <c r="MBK16" s="1337"/>
      <c r="MBL16" s="1337"/>
      <c r="MBM16" s="1337"/>
      <c r="MBN16" s="1337"/>
      <c r="MBO16" s="1337"/>
      <c r="MBP16" s="1338"/>
      <c r="MBQ16" s="1339"/>
      <c r="MBR16" s="1340"/>
      <c r="MBS16" s="1340"/>
      <c r="MBT16" s="1340"/>
      <c r="MBU16" s="1341"/>
      <c r="MBV16" s="1342"/>
      <c r="MBW16" s="1336"/>
      <c r="MBX16" s="1336"/>
      <c r="MBY16" s="1336"/>
      <c r="MBZ16" s="1336"/>
      <c r="MCA16" s="1337"/>
      <c r="MCB16" s="1337"/>
      <c r="MCC16" s="1337"/>
      <c r="MCD16" s="1337"/>
      <c r="MCE16" s="1337"/>
      <c r="MCF16" s="1338"/>
      <c r="MCG16" s="1339"/>
      <c r="MCH16" s="1340"/>
      <c r="MCI16" s="1340"/>
      <c r="MCJ16" s="1340"/>
      <c r="MCK16" s="1341"/>
      <c r="MCL16" s="1342"/>
      <c r="MCM16" s="1336"/>
      <c r="MCN16" s="1336"/>
      <c r="MCO16" s="1336"/>
      <c r="MCP16" s="1336"/>
      <c r="MCQ16" s="1337"/>
      <c r="MCR16" s="1337"/>
      <c r="MCS16" s="1337"/>
      <c r="MCT16" s="1337"/>
      <c r="MCU16" s="1337"/>
      <c r="MCV16" s="1338"/>
      <c r="MCW16" s="1339"/>
      <c r="MCX16" s="1340"/>
      <c r="MCY16" s="1340"/>
      <c r="MCZ16" s="1340"/>
      <c r="MDA16" s="1341"/>
      <c r="MDB16" s="1342"/>
      <c r="MDC16" s="1336"/>
      <c r="MDD16" s="1336"/>
      <c r="MDE16" s="1336"/>
      <c r="MDF16" s="1336"/>
      <c r="MDG16" s="1337"/>
      <c r="MDH16" s="1337"/>
      <c r="MDI16" s="1337"/>
      <c r="MDJ16" s="1337"/>
      <c r="MDK16" s="1337"/>
      <c r="MDL16" s="1338"/>
      <c r="MDM16" s="1339"/>
      <c r="MDN16" s="1340"/>
      <c r="MDO16" s="1340"/>
      <c r="MDP16" s="1340"/>
      <c r="MDQ16" s="1341"/>
      <c r="MDR16" s="1342"/>
      <c r="MDS16" s="1336"/>
      <c r="MDT16" s="1336"/>
      <c r="MDU16" s="1336"/>
      <c r="MDV16" s="1336"/>
      <c r="MDW16" s="1337"/>
      <c r="MDX16" s="1337"/>
      <c r="MDY16" s="1337"/>
      <c r="MDZ16" s="1337"/>
      <c r="MEA16" s="1337"/>
      <c r="MEB16" s="1338"/>
      <c r="MEC16" s="1339"/>
      <c r="MED16" s="1340"/>
      <c r="MEE16" s="1340"/>
      <c r="MEF16" s="1340"/>
      <c r="MEG16" s="1341"/>
      <c r="MEH16" s="1342"/>
      <c r="MEI16" s="1336"/>
      <c r="MEJ16" s="1336"/>
      <c r="MEK16" s="1336"/>
      <c r="MEL16" s="1336"/>
      <c r="MEM16" s="1337"/>
      <c r="MEN16" s="1337"/>
      <c r="MEO16" s="1337"/>
      <c r="MEP16" s="1337"/>
      <c r="MEQ16" s="1337"/>
      <c r="MER16" s="1338"/>
      <c r="MES16" s="1339"/>
      <c r="MET16" s="1340"/>
      <c r="MEU16" s="1340"/>
      <c r="MEV16" s="1340"/>
      <c r="MEW16" s="1341"/>
      <c r="MEX16" s="1342"/>
      <c r="MEY16" s="1336"/>
      <c r="MEZ16" s="1336"/>
      <c r="MFA16" s="1336"/>
      <c r="MFB16" s="1336"/>
      <c r="MFC16" s="1337"/>
      <c r="MFD16" s="1337"/>
      <c r="MFE16" s="1337"/>
      <c r="MFF16" s="1337"/>
      <c r="MFG16" s="1337"/>
      <c r="MFH16" s="1338"/>
      <c r="MFI16" s="1339"/>
      <c r="MFJ16" s="1340"/>
      <c r="MFK16" s="1340"/>
      <c r="MFL16" s="1340"/>
      <c r="MFM16" s="1341"/>
      <c r="MFN16" s="1342"/>
      <c r="MFO16" s="1336"/>
      <c r="MFP16" s="1336"/>
      <c r="MFQ16" s="1336"/>
      <c r="MFR16" s="1336"/>
      <c r="MFS16" s="1337"/>
      <c r="MFT16" s="1337"/>
      <c r="MFU16" s="1337"/>
      <c r="MFV16" s="1337"/>
      <c r="MFW16" s="1337"/>
      <c r="MFX16" s="1338"/>
      <c r="MFY16" s="1339"/>
      <c r="MFZ16" s="1340"/>
      <c r="MGA16" s="1340"/>
      <c r="MGB16" s="1340"/>
      <c r="MGC16" s="1341"/>
      <c r="MGD16" s="1342"/>
      <c r="MGE16" s="1336"/>
      <c r="MGF16" s="1336"/>
      <c r="MGG16" s="1336"/>
      <c r="MGH16" s="1336"/>
      <c r="MGI16" s="1337"/>
      <c r="MGJ16" s="1337"/>
      <c r="MGK16" s="1337"/>
      <c r="MGL16" s="1337"/>
      <c r="MGM16" s="1337"/>
      <c r="MGN16" s="1338"/>
      <c r="MGO16" s="1339"/>
      <c r="MGP16" s="1340"/>
      <c r="MGQ16" s="1340"/>
      <c r="MGR16" s="1340"/>
      <c r="MGS16" s="1341"/>
      <c r="MGT16" s="1342"/>
      <c r="MGU16" s="1336"/>
      <c r="MGV16" s="1336"/>
      <c r="MGW16" s="1336"/>
      <c r="MGX16" s="1336"/>
      <c r="MGY16" s="1337"/>
      <c r="MGZ16" s="1337"/>
      <c r="MHA16" s="1337"/>
      <c r="MHB16" s="1337"/>
      <c r="MHC16" s="1337"/>
      <c r="MHD16" s="1338"/>
      <c r="MHE16" s="1339"/>
      <c r="MHF16" s="1340"/>
      <c r="MHG16" s="1340"/>
      <c r="MHH16" s="1340"/>
      <c r="MHI16" s="1341"/>
      <c r="MHJ16" s="1342"/>
      <c r="MHK16" s="1336"/>
      <c r="MHL16" s="1336"/>
      <c r="MHM16" s="1336"/>
      <c r="MHN16" s="1336"/>
      <c r="MHO16" s="1337"/>
      <c r="MHP16" s="1337"/>
      <c r="MHQ16" s="1337"/>
      <c r="MHR16" s="1337"/>
      <c r="MHS16" s="1337"/>
      <c r="MHT16" s="1338"/>
      <c r="MHU16" s="1339"/>
      <c r="MHV16" s="1340"/>
      <c r="MHW16" s="1340"/>
      <c r="MHX16" s="1340"/>
      <c r="MHY16" s="1341"/>
      <c r="MHZ16" s="1342"/>
      <c r="MIA16" s="1336"/>
      <c r="MIB16" s="1336"/>
      <c r="MIC16" s="1336"/>
      <c r="MID16" s="1336"/>
      <c r="MIE16" s="1337"/>
      <c r="MIF16" s="1337"/>
      <c r="MIG16" s="1337"/>
      <c r="MIH16" s="1337"/>
      <c r="MII16" s="1337"/>
      <c r="MIJ16" s="1338"/>
      <c r="MIK16" s="1339"/>
      <c r="MIL16" s="1340"/>
      <c r="MIM16" s="1340"/>
      <c r="MIN16" s="1340"/>
      <c r="MIO16" s="1341"/>
      <c r="MIP16" s="1342"/>
      <c r="MIQ16" s="1336"/>
      <c r="MIR16" s="1336"/>
      <c r="MIS16" s="1336"/>
      <c r="MIT16" s="1336"/>
      <c r="MIU16" s="1337"/>
      <c r="MIV16" s="1337"/>
      <c r="MIW16" s="1337"/>
      <c r="MIX16" s="1337"/>
      <c r="MIY16" s="1337"/>
      <c r="MIZ16" s="1338"/>
      <c r="MJA16" s="1339"/>
      <c r="MJB16" s="1340"/>
      <c r="MJC16" s="1340"/>
      <c r="MJD16" s="1340"/>
      <c r="MJE16" s="1341"/>
      <c r="MJF16" s="1342"/>
      <c r="MJG16" s="1336"/>
      <c r="MJH16" s="1336"/>
      <c r="MJI16" s="1336"/>
      <c r="MJJ16" s="1336"/>
      <c r="MJK16" s="1337"/>
      <c r="MJL16" s="1337"/>
      <c r="MJM16" s="1337"/>
      <c r="MJN16" s="1337"/>
      <c r="MJO16" s="1337"/>
      <c r="MJP16" s="1338"/>
      <c r="MJQ16" s="1339"/>
      <c r="MJR16" s="1340"/>
      <c r="MJS16" s="1340"/>
      <c r="MJT16" s="1340"/>
      <c r="MJU16" s="1341"/>
      <c r="MJV16" s="1342"/>
      <c r="MJW16" s="1336"/>
      <c r="MJX16" s="1336"/>
      <c r="MJY16" s="1336"/>
      <c r="MJZ16" s="1336"/>
      <c r="MKA16" s="1337"/>
      <c r="MKB16" s="1337"/>
      <c r="MKC16" s="1337"/>
      <c r="MKD16" s="1337"/>
      <c r="MKE16" s="1337"/>
      <c r="MKF16" s="1338"/>
      <c r="MKG16" s="1339"/>
      <c r="MKH16" s="1340"/>
      <c r="MKI16" s="1340"/>
      <c r="MKJ16" s="1340"/>
      <c r="MKK16" s="1341"/>
      <c r="MKL16" s="1342"/>
      <c r="MKM16" s="1336"/>
      <c r="MKN16" s="1336"/>
      <c r="MKO16" s="1336"/>
      <c r="MKP16" s="1336"/>
      <c r="MKQ16" s="1337"/>
      <c r="MKR16" s="1337"/>
      <c r="MKS16" s="1337"/>
      <c r="MKT16" s="1337"/>
      <c r="MKU16" s="1337"/>
      <c r="MKV16" s="1338"/>
      <c r="MKW16" s="1339"/>
      <c r="MKX16" s="1340"/>
      <c r="MKY16" s="1340"/>
      <c r="MKZ16" s="1340"/>
      <c r="MLA16" s="1341"/>
      <c r="MLB16" s="1342"/>
      <c r="MLC16" s="1336"/>
      <c r="MLD16" s="1336"/>
      <c r="MLE16" s="1336"/>
      <c r="MLF16" s="1336"/>
      <c r="MLG16" s="1337"/>
      <c r="MLH16" s="1337"/>
      <c r="MLI16" s="1337"/>
      <c r="MLJ16" s="1337"/>
      <c r="MLK16" s="1337"/>
      <c r="MLL16" s="1338"/>
      <c r="MLM16" s="1339"/>
      <c r="MLN16" s="1340"/>
      <c r="MLO16" s="1340"/>
      <c r="MLP16" s="1340"/>
      <c r="MLQ16" s="1341"/>
      <c r="MLR16" s="1342"/>
      <c r="MLS16" s="1336"/>
      <c r="MLT16" s="1336"/>
      <c r="MLU16" s="1336"/>
      <c r="MLV16" s="1336"/>
      <c r="MLW16" s="1337"/>
      <c r="MLX16" s="1337"/>
      <c r="MLY16" s="1337"/>
      <c r="MLZ16" s="1337"/>
      <c r="MMA16" s="1337"/>
      <c r="MMB16" s="1338"/>
      <c r="MMC16" s="1339"/>
      <c r="MMD16" s="1340"/>
      <c r="MME16" s="1340"/>
      <c r="MMF16" s="1340"/>
      <c r="MMG16" s="1341"/>
      <c r="MMH16" s="1342"/>
      <c r="MMI16" s="1336"/>
      <c r="MMJ16" s="1336"/>
      <c r="MMK16" s="1336"/>
      <c r="MML16" s="1336"/>
      <c r="MMM16" s="1337"/>
      <c r="MMN16" s="1337"/>
      <c r="MMO16" s="1337"/>
      <c r="MMP16" s="1337"/>
      <c r="MMQ16" s="1337"/>
      <c r="MMR16" s="1338"/>
      <c r="MMS16" s="1339"/>
      <c r="MMT16" s="1340"/>
      <c r="MMU16" s="1340"/>
      <c r="MMV16" s="1340"/>
      <c r="MMW16" s="1341"/>
      <c r="MMX16" s="1342"/>
      <c r="MMY16" s="1336"/>
      <c r="MMZ16" s="1336"/>
      <c r="MNA16" s="1336"/>
      <c r="MNB16" s="1336"/>
      <c r="MNC16" s="1337"/>
      <c r="MND16" s="1337"/>
      <c r="MNE16" s="1337"/>
      <c r="MNF16" s="1337"/>
      <c r="MNG16" s="1337"/>
      <c r="MNH16" s="1338"/>
      <c r="MNI16" s="1339"/>
      <c r="MNJ16" s="1340"/>
      <c r="MNK16" s="1340"/>
      <c r="MNL16" s="1340"/>
      <c r="MNM16" s="1341"/>
      <c r="MNN16" s="1342"/>
      <c r="MNO16" s="1336"/>
      <c r="MNP16" s="1336"/>
      <c r="MNQ16" s="1336"/>
      <c r="MNR16" s="1336"/>
      <c r="MNS16" s="1337"/>
      <c r="MNT16" s="1337"/>
      <c r="MNU16" s="1337"/>
      <c r="MNV16" s="1337"/>
      <c r="MNW16" s="1337"/>
      <c r="MNX16" s="1338"/>
      <c r="MNY16" s="1339"/>
      <c r="MNZ16" s="1340"/>
      <c r="MOA16" s="1340"/>
      <c r="MOB16" s="1340"/>
      <c r="MOC16" s="1341"/>
      <c r="MOD16" s="1342"/>
      <c r="MOE16" s="1336"/>
      <c r="MOF16" s="1336"/>
      <c r="MOG16" s="1336"/>
      <c r="MOH16" s="1336"/>
      <c r="MOI16" s="1337"/>
      <c r="MOJ16" s="1337"/>
      <c r="MOK16" s="1337"/>
      <c r="MOL16" s="1337"/>
      <c r="MOM16" s="1337"/>
      <c r="MON16" s="1338"/>
      <c r="MOO16" s="1339"/>
      <c r="MOP16" s="1340"/>
      <c r="MOQ16" s="1340"/>
      <c r="MOR16" s="1340"/>
      <c r="MOS16" s="1341"/>
      <c r="MOT16" s="1342"/>
      <c r="MOU16" s="1336"/>
      <c r="MOV16" s="1336"/>
      <c r="MOW16" s="1336"/>
      <c r="MOX16" s="1336"/>
      <c r="MOY16" s="1337"/>
      <c r="MOZ16" s="1337"/>
      <c r="MPA16" s="1337"/>
      <c r="MPB16" s="1337"/>
      <c r="MPC16" s="1337"/>
      <c r="MPD16" s="1338"/>
      <c r="MPE16" s="1339"/>
      <c r="MPF16" s="1340"/>
      <c r="MPG16" s="1340"/>
      <c r="MPH16" s="1340"/>
      <c r="MPI16" s="1341"/>
      <c r="MPJ16" s="1342"/>
      <c r="MPK16" s="1336"/>
      <c r="MPL16" s="1336"/>
      <c r="MPM16" s="1336"/>
      <c r="MPN16" s="1336"/>
      <c r="MPO16" s="1337"/>
      <c r="MPP16" s="1337"/>
      <c r="MPQ16" s="1337"/>
      <c r="MPR16" s="1337"/>
      <c r="MPS16" s="1337"/>
      <c r="MPT16" s="1338"/>
      <c r="MPU16" s="1339"/>
      <c r="MPV16" s="1340"/>
      <c r="MPW16" s="1340"/>
      <c r="MPX16" s="1340"/>
      <c r="MPY16" s="1341"/>
      <c r="MPZ16" s="1342"/>
      <c r="MQA16" s="1336"/>
      <c r="MQB16" s="1336"/>
      <c r="MQC16" s="1336"/>
      <c r="MQD16" s="1336"/>
      <c r="MQE16" s="1337"/>
      <c r="MQF16" s="1337"/>
      <c r="MQG16" s="1337"/>
      <c r="MQH16" s="1337"/>
      <c r="MQI16" s="1337"/>
      <c r="MQJ16" s="1338"/>
      <c r="MQK16" s="1339"/>
      <c r="MQL16" s="1340"/>
      <c r="MQM16" s="1340"/>
      <c r="MQN16" s="1340"/>
      <c r="MQO16" s="1341"/>
      <c r="MQP16" s="1342"/>
      <c r="MQQ16" s="1336"/>
      <c r="MQR16" s="1336"/>
      <c r="MQS16" s="1336"/>
      <c r="MQT16" s="1336"/>
      <c r="MQU16" s="1337"/>
      <c r="MQV16" s="1337"/>
      <c r="MQW16" s="1337"/>
      <c r="MQX16" s="1337"/>
      <c r="MQY16" s="1337"/>
      <c r="MQZ16" s="1338"/>
      <c r="MRA16" s="1339"/>
      <c r="MRB16" s="1340"/>
      <c r="MRC16" s="1340"/>
      <c r="MRD16" s="1340"/>
      <c r="MRE16" s="1341"/>
      <c r="MRF16" s="1342"/>
      <c r="MRG16" s="1336"/>
      <c r="MRH16" s="1336"/>
      <c r="MRI16" s="1336"/>
      <c r="MRJ16" s="1336"/>
      <c r="MRK16" s="1337"/>
      <c r="MRL16" s="1337"/>
      <c r="MRM16" s="1337"/>
      <c r="MRN16" s="1337"/>
      <c r="MRO16" s="1337"/>
      <c r="MRP16" s="1338"/>
      <c r="MRQ16" s="1339"/>
      <c r="MRR16" s="1340"/>
      <c r="MRS16" s="1340"/>
      <c r="MRT16" s="1340"/>
      <c r="MRU16" s="1341"/>
      <c r="MRV16" s="1342"/>
      <c r="MRW16" s="1336"/>
      <c r="MRX16" s="1336"/>
      <c r="MRY16" s="1336"/>
      <c r="MRZ16" s="1336"/>
      <c r="MSA16" s="1337"/>
      <c r="MSB16" s="1337"/>
      <c r="MSC16" s="1337"/>
      <c r="MSD16" s="1337"/>
      <c r="MSE16" s="1337"/>
      <c r="MSF16" s="1338"/>
      <c r="MSG16" s="1339"/>
      <c r="MSH16" s="1340"/>
      <c r="MSI16" s="1340"/>
      <c r="MSJ16" s="1340"/>
      <c r="MSK16" s="1341"/>
      <c r="MSL16" s="1342"/>
      <c r="MSM16" s="1336"/>
      <c r="MSN16" s="1336"/>
      <c r="MSO16" s="1336"/>
      <c r="MSP16" s="1336"/>
      <c r="MSQ16" s="1337"/>
      <c r="MSR16" s="1337"/>
      <c r="MSS16" s="1337"/>
      <c r="MST16" s="1337"/>
      <c r="MSU16" s="1337"/>
      <c r="MSV16" s="1338"/>
      <c r="MSW16" s="1339"/>
      <c r="MSX16" s="1340"/>
      <c r="MSY16" s="1340"/>
      <c r="MSZ16" s="1340"/>
      <c r="MTA16" s="1341"/>
      <c r="MTB16" s="1342"/>
      <c r="MTC16" s="1336"/>
      <c r="MTD16" s="1336"/>
      <c r="MTE16" s="1336"/>
      <c r="MTF16" s="1336"/>
      <c r="MTG16" s="1337"/>
      <c r="MTH16" s="1337"/>
      <c r="MTI16" s="1337"/>
      <c r="MTJ16" s="1337"/>
      <c r="MTK16" s="1337"/>
      <c r="MTL16" s="1338"/>
      <c r="MTM16" s="1339"/>
      <c r="MTN16" s="1340"/>
      <c r="MTO16" s="1340"/>
      <c r="MTP16" s="1340"/>
      <c r="MTQ16" s="1341"/>
      <c r="MTR16" s="1342"/>
      <c r="MTS16" s="1336"/>
      <c r="MTT16" s="1336"/>
      <c r="MTU16" s="1336"/>
      <c r="MTV16" s="1336"/>
      <c r="MTW16" s="1337"/>
      <c r="MTX16" s="1337"/>
      <c r="MTY16" s="1337"/>
      <c r="MTZ16" s="1337"/>
      <c r="MUA16" s="1337"/>
      <c r="MUB16" s="1338"/>
      <c r="MUC16" s="1339"/>
      <c r="MUD16" s="1340"/>
      <c r="MUE16" s="1340"/>
      <c r="MUF16" s="1340"/>
      <c r="MUG16" s="1341"/>
      <c r="MUH16" s="1342"/>
      <c r="MUI16" s="1336"/>
      <c r="MUJ16" s="1336"/>
      <c r="MUK16" s="1336"/>
      <c r="MUL16" s="1336"/>
      <c r="MUM16" s="1337"/>
      <c r="MUN16" s="1337"/>
      <c r="MUO16" s="1337"/>
      <c r="MUP16" s="1337"/>
      <c r="MUQ16" s="1337"/>
      <c r="MUR16" s="1338"/>
      <c r="MUS16" s="1339"/>
      <c r="MUT16" s="1340"/>
      <c r="MUU16" s="1340"/>
      <c r="MUV16" s="1340"/>
      <c r="MUW16" s="1341"/>
      <c r="MUX16" s="1342"/>
      <c r="MUY16" s="1336"/>
      <c r="MUZ16" s="1336"/>
      <c r="MVA16" s="1336"/>
      <c r="MVB16" s="1336"/>
      <c r="MVC16" s="1337"/>
      <c r="MVD16" s="1337"/>
      <c r="MVE16" s="1337"/>
      <c r="MVF16" s="1337"/>
      <c r="MVG16" s="1337"/>
      <c r="MVH16" s="1338"/>
      <c r="MVI16" s="1339"/>
      <c r="MVJ16" s="1340"/>
      <c r="MVK16" s="1340"/>
      <c r="MVL16" s="1340"/>
      <c r="MVM16" s="1341"/>
      <c r="MVN16" s="1342"/>
      <c r="MVO16" s="1336"/>
      <c r="MVP16" s="1336"/>
      <c r="MVQ16" s="1336"/>
      <c r="MVR16" s="1336"/>
      <c r="MVS16" s="1337"/>
      <c r="MVT16" s="1337"/>
      <c r="MVU16" s="1337"/>
      <c r="MVV16" s="1337"/>
      <c r="MVW16" s="1337"/>
      <c r="MVX16" s="1338"/>
      <c r="MVY16" s="1339"/>
      <c r="MVZ16" s="1340"/>
      <c r="MWA16" s="1340"/>
      <c r="MWB16" s="1340"/>
      <c r="MWC16" s="1341"/>
      <c r="MWD16" s="1342"/>
      <c r="MWE16" s="1336"/>
      <c r="MWF16" s="1336"/>
      <c r="MWG16" s="1336"/>
      <c r="MWH16" s="1336"/>
      <c r="MWI16" s="1337"/>
      <c r="MWJ16" s="1337"/>
      <c r="MWK16" s="1337"/>
      <c r="MWL16" s="1337"/>
      <c r="MWM16" s="1337"/>
      <c r="MWN16" s="1338"/>
      <c r="MWO16" s="1339"/>
      <c r="MWP16" s="1340"/>
      <c r="MWQ16" s="1340"/>
      <c r="MWR16" s="1340"/>
      <c r="MWS16" s="1341"/>
      <c r="MWT16" s="1342"/>
      <c r="MWU16" s="1336"/>
      <c r="MWV16" s="1336"/>
      <c r="MWW16" s="1336"/>
      <c r="MWX16" s="1336"/>
      <c r="MWY16" s="1337"/>
      <c r="MWZ16" s="1337"/>
      <c r="MXA16" s="1337"/>
      <c r="MXB16" s="1337"/>
      <c r="MXC16" s="1337"/>
      <c r="MXD16" s="1338"/>
      <c r="MXE16" s="1339"/>
      <c r="MXF16" s="1340"/>
      <c r="MXG16" s="1340"/>
      <c r="MXH16" s="1340"/>
      <c r="MXI16" s="1341"/>
      <c r="MXJ16" s="1342"/>
      <c r="MXK16" s="1336"/>
      <c r="MXL16" s="1336"/>
      <c r="MXM16" s="1336"/>
      <c r="MXN16" s="1336"/>
      <c r="MXO16" s="1337"/>
      <c r="MXP16" s="1337"/>
      <c r="MXQ16" s="1337"/>
      <c r="MXR16" s="1337"/>
      <c r="MXS16" s="1337"/>
      <c r="MXT16" s="1338"/>
      <c r="MXU16" s="1339"/>
      <c r="MXV16" s="1340"/>
      <c r="MXW16" s="1340"/>
      <c r="MXX16" s="1340"/>
      <c r="MXY16" s="1341"/>
      <c r="MXZ16" s="1342"/>
      <c r="MYA16" s="1336"/>
      <c r="MYB16" s="1336"/>
      <c r="MYC16" s="1336"/>
      <c r="MYD16" s="1336"/>
      <c r="MYE16" s="1337"/>
      <c r="MYF16" s="1337"/>
      <c r="MYG16" s="1337"/>
      <c r="MYH16" s="1337"/>
      <c r="MYI16" s="1337"/>
      <c r="MYJ16" s="1338"/>
      <c r="MYK16" s="1339"/>
      <c r="MYL16" s="1340"/>
      <c r="MYM16" s="1340"/>
      <c r="MYN16" s="1340"/>
      <c r="MYO16" s="1341"/>
      <c r="MYP16" s="1342"/>
      <c r="MYQ16" s="1336"/>
      <c r="MYR16" s="1336"/>
      <c r="MYS16" s="1336"/>
      <c r="MYT16" s="1336"/>
      <c r="MYU16" s="1337"/>
      <c r="MYV16" s="1337"/>
      <c r="MYW16" s="1337"/>
      <c r="MYX16" s="1337"/>
      <c r="MYY16" s="1337"/>
      <c r="MYZ16" s="1338"/>
      <c r="MZA16" s="1339"/>
      <c r="MZB16" s="1340"/>
      <c r="MZC16" s="1340"/>
      <c r="MZD16" s="1340"/>
      <c r="MZE16" s="1341"/>
      <c r="MZF16" s="1342"/>
      <c r="MZG16" s="1336"/>
      <c r="MZH16" s="1336"/>
      <c r="MZI16" s="1336"/>
      <c r="MZJ16" s="1336"/>
      <c r="MZK16" s="1337"/>
      <c r="MZL16" s="1337"/>
      <c r="MZM16" s="1337"/>
      <c r="MZN16" s="1337"/>
      <c r="MZO16" s="1337"/>
      <c r="MZP16" s="1338"/>
      <c r="MZQ16" s="1339"/>
      <c r="MZR16" s="1340"/>
      <c r="MZS16" s="1340"/>
      <c r="MZT16" s="1340"/>
      <c r="MZU16" s="1341"/>
      <c r="MZV16" s="1342"/>
      <c r="MZW16" s="1336"/>
      <c r="MZX16" s="1336"/>
      <c r="MZY16" s="1336"/>
      <c r="MZZ16" s="1336"/>
      <c r="NAA16" s="1337"/>
      <c r="NAB16" s="1337"/>
      <c r="NAC16" s="1337"/>
      <c r="NAD16" s="1337"/>
      <c r="NAE16" s="1337"/>
      <c r="NAF16" s="1338"/>
      <c r="NAG16" s="1339"/>
      <c r="NAH16" s="1340"/>
      <c r="NAI16" s="1340"/>
      <c r="NAJ16" s="1340"/>
      <c r="NAK16" s="1341"/>
      <c r="NAL16" s="1342"/>
      <c r="NAM16" s="1336"/>
      <c r="NAN16" s="1336"/>
      <c r="NAO16" s="1336"/>
      <c r="NAP16" s="1336"/>
      <c r="NAQ16" s="1337"/>
      <c r="NAR16" s="1337"/>
      <c r="NAS16" s="1337"/>
      <c r="NAT16" s="1337"/>
      <c r="NAU16" s="1337"/>
      <c r="NAV16" s="1338"/>
      <c r="NAW16" s="1339"/>
      <c r="NAX16" s="1340"/>
      <c r="NAY16" s="1340"/>
      <c r="NAZ16" s="1340"/>
      <c r="NBA16" s="1341"/>
      <c r="NBB16" s="1342"/>
      <c r="NBC16" s="1336"/>
      <c r="NBD16" s="1336"/>
      <c r="NBE16" s="1336"/>
      <c r="NBF16" s="1336"/>
      <c r="NBG16" s="1337"/>
      <c r="NBH16" s="1337"/>
      <c r="NBI16" s="1337"/>
      <c r="NBJ16" s="1337"/>
      <c r="NBK16" s="1337"/>
      <c r="NBL16" s="1338"/>
      <c r="NBM16" s="1339"/>
      <c r="NBN16" s="1340"/>
      <c r="NBO16" s="1340"/>
      <c r="NBP16" s="1340"/>
      <c r="NBQ16" s="1341"/>
      <c r="NBR16" s="1342"/>
      <c r="NBS16" s="1336"/>
      <c r="NBT16" s="1336"/>
      <c r="NBU16" s="1336"/>
      <c r="NBV16" s="1336"/>
      <c r="NBW16" s="1337"/>
      <c r="NBX16" s="1337"/>
      <c r="NBY16" s="1337"/>
      <c r="NBZ16" s="1337"/>
      <c r="NCA16" s="1337"/>
      <c r="NCB16" s="1338"/>
      <c r="NCC16" s="1339"/>
      <c r="NCD16" s="1340"/>
      <c r="NCE16" s="1340"/>
      <c r="NCF16" s="1340"/>
      <c r="NCG16" s="1341"/>
      <c r="NCH16" s="1342"/>
      <c r="NCI16" s="1336"/>
      <c r="NCJ16" s="1336"/>
      <c r="NCK16" s="1336"/>
      <c r="NCL16" s="1336"/>
      <c r="NCM16" s="1337"/>
      <c r="NCN16" s="1337"/>
      <c r="NCO16" s="1337"/>
      <c r="NCP16" s="1337"/>
      <c r="NCQ16" s="1337"/>
      <c r="NCR16" s="1338"/>
      <c r="NCS16" s="1339"/>
      <c r="NCT16" s="1340"/>
      <c r="NCU16" s="1340"/>
      <c r="NCV16" s="1340"/>
      <c r="NCW16" s="1341"/>
      <c r="NCX16" s="1342"/>
      <c r="NCY16" s="1336"/>
      <c r="NCZ16" s="1336"/>
      <c r="NDA16" s="1336"/>
      <c r="NDB16" s="1336"/>
      <c r="NDC16" s="1337"/>
      <c r="NDD16" s="1337"/>
      <c r="NDE16" s="1337"/>
      <c r="NDF16" s="1337"/>
      <c r="NDG16" s="1337"/>
      <c r="NDH16" s="1338"/>
      <c r="NDI16" s="1339"/>
      <c r="NDJ16" s="1340"/>
      <c r="NDK16" s="1340"/>
      <c r="NDL16" s="1340"/>
      <c r="NDM16" s="1341"/>
      <c r="NDN16" s="1342"/>
      <c r="NDO16" s="1336"/>
      <c r="NDP16" s="1336"/>
      <c r="NDQ16" s="1336"/>
      <c r="NDR16" s="1336"/>
      <c r="NDS16" s="1337"/>
      <c r="NDT16" s="1337"/>
      <c r="NDU16" s="1337"/>
      <c r="NDV16" s="1337"/>
      <c r="NDW16" s="1337"/>
      <c r="NDX16" s="1338"/>
      <c r="NDY16" s="1339"/>
      <c r="NDZ16" s="1340"/>
      <c r="NEA16" s="1340"/>
      <c r="NEB16" s="1340"/>
      <c r="NEC16" s="1341"/>
      <c r="NED16" s="1342"/>
      <c r="NEE16" s="1336"/>
      <c r="NEF16" s="1336"/>
      <c r="NEG16" s="1336"/>
      <c r="NEH16" s="1336"/>
      <c r="NEI16" s="1337"/>
      <c r="NEJ16" s="1337"/>
      <c r="NEK16" s="1337"/>
      <c r="NEL16" s="1337"/>
      <c r="NEM16" s="1337"/>
      <c r="NEN16" s="1338"/>
      <c r="NEO16" s="1339"/>
      <c r="NEP16" s="1340"/>
      <c r="NEQ16" s="1340"/>
      <c r="NER16" s="1340"/>
      <c r="NES16" s="1341"/>
      <c r="NET16" s="1342"/>
      <c r="NEU16" s="1336"/>
      <c r="NEV16" s="1336"/>
      <c r="NEW16" s="1336"/>
      <c r="NEX16" s="1336"/>
      <c r="NEY16" s="1337"/>
      <c r="NEZ16" s="1337"/>
      <c r="NFA16" s="1337"/>
      <c r="NFB16" s="1337"/>
      <c r="NFC16" s="1337"/>
      <c r="NFD16" s="1338"/>
      <c r="NFE16" s="1339"/>
      <c r="NFF16" s="1340"/>
      <c r="NFG16" s="1340"/>
      <c r="NFH16" s="1340"/>
      <c r="NFI16" s="1341"/>
      <c r="NFJ16" s="1342"/>
      <c r="NFK16" s="1336"/>
      <c r="NFL16" s="1336"/>
      <c r="NFM16" s="1336"/>
      <c r="NFN16" s="1336"/>
      <c r="NFO16" s="1337"/>
      <c r="NFP16" s="1337"/>
      <c r="NFQ16" s="1337"/>
      <c r="NFR16" s="1337"/>
      <c r="NFS16" s="1337"/>
      <c r="NFT16" s="1338"/>
      <c r="NFU16" s="1339"/>
      <c r="NFV16" s="1340"/>
      <c r="NFW16" s="1340"/>
      <c r="NFX16" s="1340"/>
      <c r="NFY16" s="1341"/>
      <c r="NFZ16" s="1342"/>
      <c r="NGA16" s="1336"/>
      <c r="NGB16" s="1336"/>
      <c r="NGC16" s="1336"/>
      <c r="NGD16" s="1336"/>
      <c r="NGE16" s="1337"/>
      <c r="NGF16" s="1337"/>
      <c r="NGG16" s="1337"/>
      <c r="NGH16" s="1337"/>
      <c r="NGI16" s="1337"/>
      <c r="NGJ16" s="1338"/>
      <c r="NGK16" s="1339"/>
      <c r="NGL16" s="1340"/>
      <c r="NGM16" s="1340"/>
      <c r="NGN16" s="1340"/>
      <c r="NGO16" s="1341"/>
      <c r="NGP16" s="1342"/>
      <c r="NGQ16" s="1336"/>
      <c r="NGR16" s="1336"/>
      <c r="NGS16" s="1336"/>
      <c r="NGT16" s="1336"/>
      <c r="NGU16" s="1337"/>
      <c r="NGV16" s="1337"/>
      <c r="NGW16" s="1337"/>
      <c r="NGX16" s="1337"/>
      <c r="NGY16" s="1337"/>
      <c r="NGZ16" s="1338"/>
      <c r="NHA16" s="1339"/>
      <c r="NHB16" s="1340"/>
      <c r="NHC16" s="1340"/>
      <c r="NHD16" s="1340"/>
      <c r="NHE16" s="1341"/>
      <c r="NHF16" s="1342"/>
      <c r="NHG16" s="1336"/>
      <c r="NHH16" s="1336"/>
      <c r="NHI16" s="1336"/>
      <c r="NHJ16" s="1336"/>
      <c r="NHK16" s="1337"/>
      <c r="NHL16" s="1337"/>
      <c r="NHM16" s="1337"/>
      <c r="NHN16" s="1337"/>
      <c r="NHO16" s="1337"/>
      <c r="NHP16" s="1338"/>
      <c r="NHQ16" s="1339"/>
      <c r="NHR16" s="1340"/>
      <c r="NHS16" s="1340"/>
      <c r="NHT16" s="1340"/>
      <c r="NHU16" s="1341"/>
      <c r="NHV16" s="1342"/>
      <c r="NHW16" s="1336"/>
      <c r="NHX16" s="1336"/>
      <c r="NHY16" s="1336"/>
      <c r="NHZ16" s="1336"/>
      <c r="NIA16" s="1337"/>
      <c r="NIB16" s="1337"/>
      <c r="NIC16" s="1337"/>
      <c r="NID16" s="1337"/>
      <c r="NIE16" s="1337"/>
      <c r="NIF16" s="1338"/>
      <c r="NIG16" s="1339"/>
      <c r="NIH16" s="1340"/>
      <c r="NII16" s="1340"/>
      <c r="NIJ16" s="1340"/>
      <c r="NIK16" s="1341"/>
      <c r="NIL16" s="1342"/>
      <c r="NIM16" s="1336"/>
      <c r="NIN16" s="1336"/>
      <c r="NIO16" s="1336"/>
      <c r="NIP16" s="1336"/>
      <c r="NIQ16" s="1337"/>
      <c r="NIR16" s="1337"/>
      <c r="NIS16" s="1337"/>
      <c r="NIT16" s="1337"/>
      <c r="NIU16" s="1337"/>
      <c r="NIV16" s="1338"/>
      <c r="NIW16" s="1339"/>
      <c r="NIX16" s="1340"/>
      <c r="NIY16" s="1340"/>
      <c r="NIZ16" s="1340"/>
      <c r="NJA16" s="1341"/>
      <c r="NJB16" s="1342"/>
      <c r="NJC16" s="1336"/>
      <c r="NJD16" s="1336"/>
      <c r="NJE16" s="1336"/>
      <c r="NJF16" s="1336"/>
      <c r="NJG16" s="1337"/>
      <c r="NJH16" s="1337"/>
      <c r="NJI16" s="1337"/>
      <c r="NJJ16" s="1337"/>
      <c r="NJK16" s="1337"/>
      <c r="NJL16" s="1338"/>
      <c r="NJM16" s="1339"/>
      <c r="NJN16" s="1340"/>
      <c r="NJO16" s="1340"/>
      <c r="NJP16" s="1340"/>
      <c r="NJQ16" s="1341"/>
      <c r="NJR16" s="1342"/>
      <c r="NJS16" s="1336"/>
      <c r="NJT16" s="1336"/>
      <c r="NJU16" s="1336"/>
      <c r="NJV16" s="1336"/>
      <c r="NJW16" s="1337"/>
      <c r="NJX16" s="1337"/>
      <c r="NJY16" s="1337"/>
      <c r="NJZ16" s="1337"/>
      <c r="NKA16" s="1337"/>
      <c r="NKB16" s="1338"/>
      <c r="NKC16" s="1339"/>
      <c r="NKD16" s="1340"/>
      <c r="NKE16" s="1340"/>
      <c r="NKF16" s="1340"/>
      <c r="NKG16" s="1341"/>
      <c r="NKH16" s="1342"/>
      <c r="NKI16" s="1336"/>
      <c r="NKJ16" s="1336"/>
      <c r="NKK16" s="1336"/>
      <c r="NKL16" s="1336"/>
      <c r="NKM16" s="1337"/>
      <c r="NKN16" s="1337"/>
      <c r="NKO16" s="1337"/>
      <c r="NKP16" s="1337"/>
      <c r="NKQ16" s="1337"/>
      <c r="NKR16" s="1338"/>
      <c r="NKS16" s="1339"/>
      <c r="NKT16" s="1340"/>
      <c r="NKU16" s="1340"/>
      <c r="NKV16" s="1340"/>
      <c r="NKW16" s="1341"/>
      <c r="NKX16" s="1342"/>
      <c r="NKY16" s="1336"/>
      <c r="NKZ16" s="1336"/>
      <c r="NLA16" s="1336"/>
      <c r="NLB16" s="1336"/>
      <c r="NLC16" s="1337"/>
      <c r="NLD16" s="1337"/>
      <c r="NLE16" s="1337"/>
      <c r="NLF16" s="1337"/>
      <c r="NLG16" s="1337"/>
      <c r="NLH16" s="1338"/>
      <c r="NLI16" s="1339"/>
      <c r="NLJ16" s="1340"/>
      <c r="NLK16" s="1340"/>
      <c r="NLL16" s="1340"/>
      <c r="NLM16" s="1341"/>
      <c r="NLN16" s="1342"/>
      <c r="NLO16" s="1336"/>
      <c r="NLP16" s="1336"/>
      <c r="NLQ16" s="1336"/>
      <c r="NLR16" s="1336"/>
      <c r="NLS16" s="1337"/>
      <c r="NLT16" s="1337"/>
      <c r="NLU16" s="1337"/>
      <c r="NLV16" s="1337"/>
      <c r="NLW16" s="1337"/>
      <c r="NLX16" s="1338"/>
      <c r="NLY16" s="1339"/>
      <c r="NLZ16" s="1340"/>
      <c r="NMA16" s="1340"/>
      <c r="NMB16" s="1340"/>
      <c r="NMC16" s="1341"/>
      <c r="NMD16" s="1342"/>
      <c r="NME16" s="1336"/>
      <c r="NMF16" s="1336"/>
      <c r="NMG16" s="1336"/>
      <c r="NMH16" s="1336"/>
      <c r="NMI16" s="1337"/>
      <c r="NMJ16" s="1337"/>
      <c r="NMK16" s="1337"/>
      <c r="NML16" s="1337"/>
      <c r="NMM16" s="1337"/>
      <c r="NMN16" s="1338"/>
      <c r="NMO16" s="1339"/>
      <c r="NMP16" s="1340"/>
      <c r="NMQ16" s="1340"/>
      <c r="NMR16" s="1340"/>
      <c r="NMS16" s="1341"/>
      <c r="NMT16" s="1342"/>
      <c r="NMU16" s="1336"/>
      <c r="NMV16" s="1336"/>
      <c r="NMW16" s="1336"/>
      <c r="NMX16" s="1336"/>
      <c r="NMY16" s="1337"/>
      <c r="NMZ16" s="1337"/>
      <c r="NNA16" s="1337"/>
      <c r="NNB16" s="1337"/>
      <c r="NNC16" s="1337"/>
      <c r="NND16" s="1338"/>
      <c r="NNE16" s="1339"/>
      <c r="NNF16" s="1340"/>
      <c r="NNG16" s="1340"/>
      <c r="NNH16" s="1340"/>
      <c r="NNI16" s="1341"/>
      <c r="NNJ16" s="1342"/>
      <c r="NNK16" s="1336"/>
      <c r="NNL16" s="1336"/>
      <c r="NNM16" s="1336"/>
      <c r="NNN16" s="1336"/>
      <c r="NNO16" s="1337"/>
      <c r="NNP16" s="1337"/>
      <c r="NNQ16" s="1337"/>
      <c r="NNR16" s="1337"/>
      <c r="NNS16" s="1337"/>
      <c r="NNT16" s="1338"/>
      <c r="NNU16" s="1339"/>
      <c r="NNV16" s="1340"/>
      <c r="NNW16" s="1340"/>
      <c r="NNX16" s="1340"/>
      <c r="NNY16" s="1341"/>
      <c r="NNZ16" s="1342"/>
      <c r="NOA16" s="1336"/>
      <c r="NOB16" s="1336"/>
      <c r="NOC16" s="1336"/>
      <c r="NOD16" s="1336"/>
      <c r="NOE16" s="1337"/>
      <c r="NOF16" s="1337"/>
      <c r="NOG16" s="1337"/>
      <c r="NOH16" s="1337"/>
      <c r="NOI16" s="1337"/>
      <c r="NOJ16" s="1338"/>
      <c r="NOK16" s="1339"/>
      <c r="NOL16" s="1340"/>
      <c r="NOM16" s="1340"/>
      <c r="NON16" s="1340"/>
      <c r="NOO16" s="1341"/>
      <c r="NOP16" s="1342"/>
      <c r="NOQ16" s="1336"/>
      <c r="NOR16" s="1336"/>
      <c r="NOS16" s="1336"/>
      <c r="NOT16" s="1336"/>
      <c r="NOU16" s="1337"/>
      <c r="NOV16" s="1337"/>
      <c r="NOW16" s="1337"/>
      <c r="NOX16" s="1337"/>
      <c r="NOY16" s="1337"/>
      <c r="NOZ16" s="1338"/>
      <c r="NPA16" s="1339"/>
      <c r="NPB16" s="1340"/>
      <c r="NPC16" s="1340"/>
      <c r="NPD16" s="1340"/>
      <c r="NPE16" s="1341"/>
      <c r="NPF16" s="1342"/>
      <c r="NPG16" s="1336"/>
      <c r="NPH16" s="1336"/>
      <c r="NPI16" s="1336"/>
      <c r="NPJ16" s="1336"/>
      <c r="NPK16" s="1337"/>
      <c r="NPL16" s="1337"/>
      <c r="NPM16" s="1337"/>
      <c r="NPN16" s="1337"/>
      <c r="NPO16" s="1337"/>
      <c r="NPP16" s="1338"/>
      <c r="NPQ16" s="1339"/>
      <c r="NPR16" s="1340"/>
      <c r="NPS16" s="1340"/>
      <c r="NPT16" s="1340"/>
      <c r="NPU16" s="1341"/>
      <c r="NPV16" s="1342"/>
      <c r="NPW16" s="1336"/>
      <c r="NPX16" s="1336"/>
      <c r="NPY16" s="1336"/>
      <c r="NPZ16" s="1336"/>
      <c r="NQA16" s="1337"/>
      <c r="NQB16" s="1337"/>
      <c r="NQC16" s="1337"/>
      <c r="NQD16" s="1337"/>
      <c r="NQE16" s="1337"/>
      <c r="NQF16" s="1338"/>
      <c r="NQG16" s="1339"/>
      <c r="NQH16" s="1340"/>
      <c r="NQI16" s="1340"/>
      <c r="NQJ16" s="1340"/>
      <c r="NQK16" s="1341"/>
      <c r="NQL16" s="1342"/>
      <c r="NQM16" s="1336"/>
      <c r="NQN16" s="1336"/>
      <c r="NQO16" s="1336"/>
      <c r="NQP16" s="1336"/>
      <c r="NQQ16" s="1337"/>
      <c r="NQR16" s="1337"/>
      <c r="NQS16" s="1337"/>
      <c r="NQT16" s="1337"/>
      <c r="NQU16" s="1337"/>
      <c r="NQV16" s="1338"/>
      <c r="NQW16" s="1339"/>
      <c r="NQX16" s="1340"/>
      <c r="NQY16" s="1340"/>
      <c r="NQZ16" s="1340"/>
      <c r="NRA16" s="1341"/>
      <c r="NRB16" s="1342"/>
      <c r="NRC16" s="1336"/>
      <c r="NRD16" s="1336"/>
      <c r="NRE16" s="1336"/>
      <c r="NRF16" s="1336"/>
      <c r="NRG16" s="1337"/>
      <c r="NRH16" s="1337"/>
      <c r="NRI16" s="1337"/>
      <c r="NRJ16" s="1337"/>
      <c r="NRK16" s="1337"/>
      <c r="NRL16" s="1338"/>
      <c r="NRM16" s="1339"/>
      <c r="NRN16" s="1340"/>
      <c r="NRO16" s="1340"/>
      <c r="NRP16" s="1340"/>
      <c r="NRQ16" s="1341"/>
      <c r="NRR16" s="1342"/>
      <c r="NRS16" s="1336"/>
      <c r="NRT16" s="1336"/>
      <c r="NRU16" s="1336"/>
      <c r="NRV16" s="1336"/>
      <c r="NRW16" s="1337"/>
      <c r="NRX16" s="1337"/>
      <c r="NRY16" s="1337"/>
      <c r="NRZ16" s="1337"/>
      <c r="NSA16" s="1337"/>
      <c r="NSB16" s="1338"/>
      <c r="NSC16" s="1339"/>
      <c r="NSD16" s="1340"/>
      <c r="NSE16" s="1340"/>
      <c r="NSF16" s="1340"/>
      <c r="NSG16" s="1341"/>
      <c r="NSH16" s="1342"/>
      <c r="NSI16" s="1336"/>
      <c r="NSJ16" s="1336"/>
      <c r="NSK16" s="1336"/>
      <c r="NSL16" s="1336"/>
      <c r="NSM16" s="1337"/>
      <c r="NSN16" s="1337"/>
      <c r="NSO16" s="1337"/>
      <c r="NSP16" s="1337"/>
      <c r="NSQ16" s="1337"/>
      <c r="NSR16" s="1338"/>
      <c r="NSS16" s="1339"/>
      <c r="NST16" s="1340"/>
      <c r="NSU16" s="1340"/>
      <c r="NSV16" s="1340"/>
      <c r="NSW16" s="1341"/>
      <c r="NSX16" s="1342"/>
      <c r="NSY16" s="1336"/>
      <c r="NSZ16" s="1336"/>
      <c r="NTA16" s="1336"/>
      <c r="NTB16" s="1336"/>
      <c r="NTC16" s="1337"/>
      <c r="NTD16" s="1337"/>
      <c r="NTE16" s="1337"/>
      <c r="NTF16" s="1337"/>
      <c r="NTG16" s="1337"/>
      <c r="NTH16" s="1338"/>
      <c r="NTI16" s="1339"/>
      <c r="NTJ16" s="1340"/>
      <c r="NTK16" s="1340"/>
      <c r="NTL16" s="1340"/>
      <c r="NTM16" s="1341"/>
      <c r="NTN16" s="1342"/>
      <c r="NTO16" s="1336"/>
      <c r="NTP16" s="1336"/>
      <c r="NTQ16" s="1336"/>
      <c r="NTR16" s="1336"/>
      <c r="NTS16" s="1337"/>
      <c r="NTT16" s="1337"/>
      <c r="NTU16" s="1337"/>
      <c r="NTV16" s="1337"/>
      <c r="NTW16" s="1337"/>
      <c r="NTX16" s="1338"/>
      <c r="NTY16" s="1339"/>
      <c r="NTZ16" s="1340"/>
      <c r="NUA16" s="1340"/>
      <c r="NUB16" s="1340"/>
      <c r="NUC16" s="1341"/>
      <c r="NUD16" s="1342"/>
      <c r="NUE16" s="1336"/>
      <c r="NUF16" s="1336"/>
      <c r="NUG16" s="1336"/>
      <c r="NUH16" s="1336"/>
      <c r="NUI16" s="1337"/>
      <c r="NUJ16" s="1337"/>
      <c r="NUK16" s="1337"/>
      <c r="NUL16" s="1337"/>
      <c r="NUM16" s="1337"/>
      <c r="NUN16" s="1338"/>
      <c r="NUO16" s="1339"/>
      <c r="NUP16" s="1340"/>
      <c r="NUQ16" s="1340"/>
      <c r="NUR16" s="1340"/>
      <c r="NUS16" s="1341"/>
      <c r="NUT16" s="1342"/>
      <c r="NUU16" s="1336"/>
      <c r="NUV16" s="1336"/>
      <c r="NUW16" s="1336"/>
      <c r="NUX16" s="1336"/>
      <c r="NUY16" s="1337"/>
      <c r="NUZ16" s="1337"/>
      <c r="NVA16" s="1337"/>
      <c r="NVB16" s="1337"/>
      <c r="NVC16" s="1337"/>
      <c r="NVD16" s="1338"/>
      <c r="NVE16" s="1339"/>
      <c r="NVF16" s="1340"/>
      <c r="NVG16" s="1340"/>
      <c r="NVH16" s="1340"/>
      <c r="NVI16" s="1341"/>
      <c r="NVJ16" s="1342"/>
      <c r="NVK16" s="1336"/>
      <c r="NVL16" s="1336"/>
      <c r="NVM16" s="1336"/>
      <c r="NVN16" s="1336"/>
      <c r="NVO16" s="1337"/>
      <c r="NVP16" s="1337"/>
      <c r="NVQ16" s="1337"/>
      <c r="NVR16" s="1337"/>
      <c r="NVS16" s="1337"/>
      <c r="NVT16" s="1338"/>
      <c r="NVU16" s="1339"/>
      <c r="NVV16" s="1340"/>
      <c r="NVW16" s="1340"/>
      <c r="NVX16" s="1340"/>
      <c r="NVY16" s="1341"/>
      <c r="NVZ16" s="1342"/>
      <c r="NWA16" s="1336"/>
      <c r="NWB16" s="1336"/>
      <c r="NWC16" s="1336"/>
      <c r="NWD16" s="1336"/>
      <c r="NWE16" s="1337"/>
      <c r="NWF16" s="1337"/>
      <c r="NWG16" s="1337"/>
      <c r="NWH16" s="1337"/>
      <c r="NWI16" s="1337"/>
      <c r="NWJ16" s="1338"/>
      <c r="NWK16" s="1339"/>
      <c r="NWL16" s="1340"/>
      <c r="NWM16" s="1340"/>
      <c r="NWN16" s="1340"/>
      <c r="NWO16" s="1341"/>
      <c r="NWP16" s="1342"/>
      <c r="NWQ16" s="1336"/>
      <c r="NWR16" s="1336"/>
      <c r="NWS16" s="1336"/>
      <c r="NWT16" s="1336"/>
      <c r="NWU16" s="1337"/>
      <c r="NWV16" s="1337"/>
      <c r="NWW16" s="1337"/>
      <c r="NWX16" s="1337"/>
      <c r="NWY16" s="1337"/>
      <c r="NWZ16" s="1338"/>
      <c r="NXA16" s="1339"/>
      <c r="NXB16" s="1340"/>
      <c r="NXC16" s="1340"/>
      <c r="NXD16" s="1340"/>
      <c r="NXE16" s="1341"/>
      <c r="NXF16" s="1342"/>
      <c r="NXG16" s="1336"/>
      <c r="NXH16" s="1336"/>
      <c r="NXI16" s="1336"/>
      <c r="NXJ16" s="1336"/>
      <c r="NXK16" s="1337"/>
      <c r="NXL16" s="1337"/>
      <c r="NXM16" s="1337"/>
      <c r="NXN16" s="1337"/>
      <c r="NXO16" s="1337"/>
      <c r="NXP16" s="1338"/>
      <c r="NXQ16" s="1339"/>
      <c r="NXR16" s="1340"/>
      <c r="NXS16" s="1340"/>
      <c r="NXT16" s="1340"/>
      <c r="NXU16" s="1341"/>
      <c r="NXV16" s="1342"/>
      <c r="NXW16" s="1336"/>
      <c r="NXX16" s="1336"/>
      <c r="NXY16" s="1336"/>
      <c r="NXZ16" s="1336"/>
      <c r="NYA16" s="1337"/>
      <c r="NYB16" s="1337"/>
      <c r="NYC16" s="1337"/>
      <c r="NYD16" s="1337"/>
      <c r="NYE16" s="1337"/>
      <c r="NYF16" s="1338"/>
      <c r="NYG16" s="1339"/>
      <c r="NYH16" s="1340"/>
      <c r="NYI16" s="1340"/>
      <c r="NYJ16" s="1340"/>
      <c r="NYK16" s="1341"/>
      <c r="NYL16" s="1342"/>
      <c r="NYM16" s="1336"/>
      <c r="NYN16" s="1336"/>
      <c r="NYO16" s="1336"/>
      <c r="NYP16" s="1336"/>
      <c r="NYQ16" s="1337"/>
      <c r="NYR16" s="1337"/>
      <c r="NYS16" s="1337"/>
      <c r="NYT16" s="1337"/>
      <c r="NYU16" s="1337"/>
      <c r="NYV16" s="1338"/>
      <c r="NYW16" s="1339"/>
      <c r="NYX16" s="1340"/>
      <c r="NYY16" s="1340"/>
      <c r="NYZ16" s="1340"/>
      <c r="NZA16" s="1341"/>
      <c r="NZB16" s="1342"/>
      <c r="NZC16" s="1336"/>
      <c r="NZD16" s="1336"/>
      <c r="NZE16" s="1336"/>
      <c r="NZF16" s="1336"/>
      <c r="NZG16" s="1337"/>
      <c r="NZH16" s="1337"/>
      <c r="NZI16" s="1337"/>
      <c r="NZJ16" s="1337"/>
      <c r="NZK16" s="1337"/>
      <c r="NZL16" s="1338"/>
      <c r="NZM16" s="1339"/>
      <c r="NZN16" s="1340"/>
      <c r="NZO16" s="1340"/>
      <c r="NZP16" s="1340"/>
      <c r="NZQ16" s="1341"/>
      <c r="NZR16" s="1342"/>
      <c r="NZS16" s="1336"/>
      <c r="NZT16" s="1336"/>
      <c r="NZU16" s="1336"/>
      <c r="NZV16" s="1336"/>
      <c r="NZW16" s="1337"/>
      <c r="NZX16" s="1337"/>
      <c r="NZY16" s="1337"/>
      <c r="NZZ16" s="1337"/>
      <c r="OAA16" s="1337"/>
      <c r="OAB16" s="1338"/>
      <c r="OAC16" s="1339"/>
      <c r="OAD16" s="1340"/>
      <c r="OAE16" s="1340"/>
      <c r="OAF16" s="1340"/>
      <c r="OAG16" s="1341"/>
      <c r="OAH16" s="1342"/>
      <c r="OAI16" s="1336"/>
      <c r="OAJ16" s="1336"/>
      <c r="OAK16" s="1336"/>
      <c r="OAL16" s="1336"/>
      <c r="OAM16" s="1337"/>
      <c r="OAN16" s="1337"/>
      <c r="OAO16" s="1337"/>
      <c r="OAP16" s="1337"/>
      <c r="OAQ16" s="1337"/>
      <c r="OAR16" s="1338"/>
      <c r="OAS16" s="1339"/>
      <c r="OAT16" s="1340"/>
      <c r="OAU16" s="1340"/>
      <c r="OAV16" s="1340"/>
      <c r="OAW16" s="1341"/>
      <c r="OAX16" s="1342"/>
      <c r="OAY16" s="1336"/>
      <c r="OAZ16" s="1336"/>
      <c r="OBA16" s="1336"/>
      <c r="OBB16" s="1336"/>
      <c r="OBC16" s="1337"/>
      <c r="OBD16" s="1337"/>
      <c r="OBE16" s="1337"/>
      <c r="OBF16" s="1337"/>
      <c r="OBG16" s="1337"/>
      <c r="OBH16" s="1338"/>
      <c r="OBI16" s="1339"/>
      <c r="OBJ16" s="1340"/>
      <c r="OBK16" s="1340"/>
      <c r="OBL16" s="1340"/>
      <c r="OBM16" s="1341"/>
      <c r="OBN16" s="1342"/>
      <c r="OBO16" s="1336"/>
      <c r="OBP16" s="1336"/>
      <c r="OBQ16" s="1336"/>
      <c r="OBR16" s="1336"/>
      <c r="OBS16" s="1337"/>
      <c r="OBT16" s="1337"/>
      <c r="OBU16" s="1337"/>
      <c r="OBV16" s="1337"/>
      <c r="OBW16" s="1337"/>
      <c r="OBX16" s="1338"/>
      <c r="OBY16" s="1339"/>
      <c r="OBZ16" s="1340"/>
      <c r="OCA16" s="1340"/>
      <c r="OCB16" s="1340"/>
      <c r="OCC16" s="1341"/>
      <c r="OCD16" s="1342"/>
      <c r="OCE16" s="1336"/>
      <c r="OCF16" s="1336"/>
      <c r="OCG16" s="1336"/>
      <c r="OCH16" s="1336"/>
      <c r="OCI16" s="1337"/>
      <c r="OCJ16" s="1337"/>
      <c r="OCK16" s="1337"/>
      <c r="OCL16" s="1337"/>
      <c r="OCM16" s="1337"/>
      <c r="OCN16" s="1338"/>
      <c r="OCO16" s="1339"/>
      <c r="OCP16" s="1340"/>
      <c r="OCQ16" s="1340"/>
      <c r="OCR16" s="1340"/>
      <c r="OCS16" s="1341"/>
      <c r="OCT16" s="1342"/>
      <c r="OCU16" s="1336"/>
      <c r="OCV16" s="1336"/>
      <c r="OCW16" s="1336"/>
      <c r="OCX16" s="1336"/>
      <c r="OCY16" s="1337"/>
      <c r="OCZ16" s="1337"/>
      <c r="ODA16" s="1337"/>
      <c r="ODB16" s="1337"/>
      <c r="ODC16" s="1337"/>
      <c r="ODD16" s="1338"/>
      <c r="ODE16" s="1339"/>
      <c r="ODF16" s="1340"/>
      <c r="ODG16" s="1340"/>
      <c r="ODH16" s="1340"/>
      <c r="ODI16" s="1341"/>
      <c r="ODJ16" s="1342"/>
      <c r="ODK16" s="1336"/>
      <c r="ODL16" s="1336"/>
      <c r="ODM16" s="1336"/>
      <c r="ODN16" s="1336"/>
      <c r="ODO16" s="1337"/>
      <c r="ODP16" s="1337"/>
      <c r="ODQ16" s="1337"/>
      <c r="ODR16" s="1337"/>
      <c r="ODS16" s="1337"/>
      <c r="ODT16" s="1338"/>
      <c r="ODU16" s="1339"/>
      <c r="ODV16" s="1340"/>
      <c r="ODW16" s="1340"/>
      <c r="ODX16" s="1340"/>
      <c r="ODY16" s="1341"/>
      <c r="ODZ16" s="1342"/>
      <c r="OEA16" s="1336"/>
      <c r="OEB16" s="1336"/>
      <c r="OEC16" s="1336"/>
      <c r="OED16" s="1336"/>
      <c r="OEE16" s="1337"/>
      <c r="OEF16" s="1337"/>
      <c r="OEG16" s="1337"/>
      <c r="OEH16" s="1337"/>
      <c r="OEI16" s="1337"/>
      <c r="OEJ16" s="1338"/>
      <c r="OEK16" s="1339"/>
      <c r="OEL16" s="1340"/>
      <c r="OEM16" s="1340"/>
      <c r="OEN16" s="1340"/>
      <c r="OEO16" s="1341"/>
      <c r="OEP16" s="1342"/>
      <c r="OEQ16" s="1336"/>
      <c r="OER16" s="1336"/>
      <c r="OES16" s="1336"/>
      <c r="OET16" s="1336"/>
      <c r="OEU16" s="1337"/>
      <c r="OEV16" s="1337"/>
      <c r="OEW16" s="1337"/>
      <c r="OEX16" s="1337"/>
      <c r="OEY16" s="1337"/>
      <c r="OEZ16" s="1338"/>
      <c r="OFA16" s="1339"/>
      <c r="OFB16" s="1340"/>
      <c r="OFC16" s="1340"/>
      <c r="OFD16" s="1340"/>
      <c r="OFE16" s="1341"/>
      <c r="OFF16" s="1342"/>
      <c r="OFG16" s="1336"/>
      <c r="OFH16" s="1336"/>
      <c r="OFI16" s="1336"/>
      <c r="OFJ16" s="1336"/>
      <c r="OFK16" s="1337"/>
      <c r="OFL16" s="1337"/>
      <c r="OFM16" s="1337"/>
      <c r="OFN16" s="1337"/>
      <c r="OFO16" s="1337"/>
      <c r="OFP16" s="1338"/>
      <c r="OFQ16" s="1339"/>
      <c r="OFR16" s="1340"/>
      <c r="OFS16" s="1340"/>
      <c r="OFT16" s="1340"/>
      <c r="OFU16" s="1341"/>
      <c r="OFV16" s="1342"/>
      <c r="OFW16" s="1336"/>
      <c r="OFX16" s="1336"/>
      <c r="OFY16" s="1336"/>
      <c r="OFZ16" s="1336"/>
      <c r="OGA16" s="1337"/>
      <c r="OGB16" s="1337"/>
      <c r="OGC16" s="1337"/>
      <c r="OGD16" s="1337"/>
      <c r="OGE16" s="1337"/>
      <c r="OGF16" s="1338"/>
      <c r="OGG16" s="1339"/>
      <c r="OGH16" s="1340"/>
      <c r="OGI16" s="1340"/>
      <c r="OGJ16" s="1340"/>
      <c r="OGK16" s="1341"/>
      <c r="OGL16" s="1342"/>
      <c r="OGM16" s="1336"/>
      <c r="OGN16" s="1336"/>
      <c r="OGO16" s="1336"/>
      <c r="OGP16" s="1336"/>
      <c r="OGQ16" s="1337"/>
      <c r="OGR16" s="1337"/>
      <c r="OGS16" s="1337"/>
      <c r="OGT16" s="1337"/>
      <c r="OGU16" s="1337"/>
      <c r="OGV16" s="1338"/>
      <c r="OGW16" s="1339"/>
      <c r="OGX16" s="1340"/>
      <c r="OGY16" s="1340"/>
      <c r="OGZ16" s="1340"/>
      <c r="OHA16" s="1341"/>
      <c r="OHB16" s="1342"/>
      <c r="OHC16" s="1336"/>
      <c r="OHD16" s="1336"/>
      <c r="OHE16" s="1336"/>
      <c r="OHF16" s="1336"/>
      <c r="OHG16" s="1337"/>
      <c r="OHH16" s="1337"/>
      <c r="OHI16" s="1337"/>
      <c r="OHJ16" s="1337"/>
      <c r="OHK16" s="1337"/>
      <c r="OHL16" s="1338"/>
      <c r="OHM16" s="1339"/>
      <c r="OHN16" s="1340"/>
      <c r="OHO16" s="1340"/>
      <c r="OHP16" s="1340"/>
      <c r="OHQ16" s="1341"/>
      <c r="OHR16" s="1342"/>
      <c r="OHS16" s="1336"/>
      <c r="OHT16" s="1336"/>
      <c r="OHU16" s="1336"/>
      <c r="OHV16" s="1336"/>
      <c r="OHW16" s="1337"/>
      <c r="OHX16" s="1337"/>
      <c r="OHY16" s="1337"/>
      <c r="OHZ16" s="1337"/>
      <c r="OIA16" s="1337"/>
      <c r="OIB16" s="1338"/>
      <c r="OIC16" s="1339"/>
      <c r="OID16" s="1340"/>
      <c r="OIE16" s="1340"/>
      <c r="OIF16" s="1340"/>
      <c r="OIG16" s="1341"/>
      <c r="OIH16" s="1342"/>
      <c r="OII16" s="1336"/>
      <c r="OIJ16" s="1336"/>
      <c r="OIK16" s="1336"/>
      <c r="OIL16" s="1336"/>
      <c r="OIM16" s="1337"/>
      <c r="OIN16" s="1337"/>
      <c r="OIO16" s="1337"/>
      <c r="OIP16" s="1337"/>
      <c r="OIQ16" s="1337"/>
      <c r="OIR16" s="1338"/>
      <c r="OIS16" s="1339"/>
      <c r="OIT16" s="1340"/>
      <c r="OIU16" s="1340"/>
      <c r="OIV16" s="1340"/>
      <c r="OIW16" s="1341"/>
      <c r="OIX16" s="1342"/>
      <c r="OIY16" s="1336"/>
      <c r="OIZ16" s="1336"/>
      <c r="OJA16" s="1336"/>
      <c r="OJB16" s="1336"/>
      <c r="OJC16" s="1337"/>
      <c r="OJD16" s="1337"/>
      <c r="OJE16" s="1337"/>
      <c r="OJF16" s="1337"/>
      <c r="OJG16" s="1337"/>
      <c r="OJH16" s="1338"/>
      <c r="OJI16" s="1339"/>
      <c r="OJJ16" s="1340"/>
      <c r="OJK16" s="1340"/>
      <c r="OJL16" s="1340"/>
      <c r="OJM16" s="1341"/>
      <c r="OJN16" s="1342"/>
      <c r="OJO16" s="1336"/>
      <c r="OJP16" s="1336"/>
      <c r="OJQ16" s="1336"/>
      <c r="OJR16" s="1336"/>
      <c r="OJS16" s="1337"/>
      <c r="OJT16" s="1337"/>
      <c r="OJU16" s="1337"/>
      <c r="OJV16" s="1337"/>
      <c r="OJW16" s="1337"/>
      <c r="OJX16" s="1338"/>
      <c r="OJY16" s="1339"/>
      <c r="OJZ16" s="1340"/>
      <c r="OKA16" s="1340"/>
      <c r="OKB16" s="1340"/>
      <c r="OKC16" s="1341"/>
      <c r="OKD16" s="1342"/>
      <c r="OKE16" s="1336"/>
      <c r="OKF16" s="1336"/>
      <c r="OKG16" s="1336"/>
      <c r="OKH16" s="1336"/>
      <c r="OKI16" s="1337"/>
      <c r="OKJ16" s="1337"/>
      <c r="OKK16" s="1337"/>
      <c r="OKL16" s="1337"/>
      <c r="OKM16" s="1337"/>
      <c r="OKN16" s="1338"/>
      <c r="OKO16" s="1339"/>
      <c r="OKP16" s="1340"/>
      <c r="OKQ16" s="1340"/>
      <c r="OKR16" s="1340"/>
      <c r="OKS16" s="1341"/>
      <c r="OKT16" s="1342"/>
      <c r="OKU16" s="1336"/>
      <c r="OKV16" s="1336"/>
      <c r="OKW16" s="1336"/>
      <c r="OKX16" s="1336"/>
      <c r="OKY16" s="1337"/>
      <c r="OKZ16" s="1337"/>
      <c r="OLA16" s="1337"/>
      <c r="OLB16" s="1337"/>
      <c r="OLC16" s="1337"/>
      <c r="OLD16" s="1338"/>
      <c r="OLE16" s="1339"/>
      <c r="OLF16" s="1340"/>
      <c r="OLG16" s="1340"/>
      <c r="OLH16" s="1340"/>
      <c r="OLI16" s="1341"/>
      <c r="OLJ16" s="1342"/>
      <c r="OLK16" s="1336"/>
      <c r="OLL16" s="1336"/>
      <c r="OLM16" s="1336"/>
      <c r="OLN16" s="1336"/>
      <c r="OLO16" s="1337"/>
      <c r="OLP16" s="1337"/>
      <c r="OLQ16" s="1337"/>
      <c r="OLR16" s="1337"/>
      <c r="OLS16" s="1337"/>
      <c r="OLT16" s="1338"/>
      <c r="OLU16" s="1339"/>
      <c r="OLV16" s="1340"/>
      <c r="OLW16" s="1340"/>
      <c r="OLX16" s="1340"/>
      <c r="OLY16" s="1341"/>
      <c r="OLZ16" s="1342"/>
      <c r="OMA16" s="1336"/>
      <c r="OMB16" s="1336"/>
      <c r="OMC16" s="1336"/>
      <c r="OMD16" s="1336"/>
      <c r="OME16" s="1337"/>
      <c r="OMF16" s="1337"/>
      <c r="OMG16" s="1337"/>
      <c r="OMH16" s="1337"/>
      <c r="OMI16" s="1337"/>
      <c r="OMJ16" s="1338"/>
      <c r="OMK16" s="1339"/>
      <c r="OML16" s="1340"/>
      <c r="OMM16" s="1340"/>
      <c r="OMN16" s="1340"/>
      <c r="OMO16" s="1341"/>
      <c r="OMP16" s="1342"/>
      <c r="OMQ16" s="1336"/>
      <c r="OMR16" s="1336"/>
      <c r="OMS16" s="1336"/>
      <c r="OMT16" s="1336"/>
      <c r="OMU16" s="1337"/>
      <c r="OMV16" s="1337"/>
      <c r="OMW16" s="1337"/>
      <c r="OMX16" s="1337"/>
      <c r="OMY16" s="1337"/>
      <c r="OMZ16" s="1338"/>
      <c r="ONA16" s="1339"/>
      <c r="ONB16" s="1340"/>
      <c r="ONC16" s="1340"/>
      <c r="OND16" s="1340"/>
      <c r="ONE16" s="1341"/>
      <c r="ONF16" s="1342"/>
      <c r="ONG16" s="1336"/>
      <c r="ONH16" s="1336"/>
      <c r="ONI16" s="1336"/>
      <c r="ONJ16" s="1336"/>
      <c r="ONK16" s="1337"/>
      <c r="ONL16" s="1337"/>
      <c r="ONM16" s="1337"/>
      <c r="ONN16" s="1337"/>
      <c r="ONO16" s="1337"/>
      <c r="ONP16" s="1338"/>
      <c r="ONQ16" s="1339"/>
      <c r="ONR16" s="1340"/>
      <c r="ONS16" s="1340"/>
      <c r="ONT16" s="1340"/>
      <c r="ONU16" s="1341"/>
      <c r="ONV16" s="1342"/>
      <c r="ONW16" s="1336"/>
      <c r="ONX16" s="1336"/>
      <c r="ONY16" s="1336"/>
      <c r="ONZ16" s="1336"/>
      <c r="OOA16" s="1337"/>
      <c r="OOB16" s="1337"/>
      <c r="OOC16" s="1337"/>
      <c r="OOD16" s="1337"/>
      <c r="OOE16" s="1337"/>
      <c r="OOF16" s="1338"/>
      <c r="OOG16" s="1339"/>
      <c r="OOH16" s="1340"/>
      <c r="OOI16" s="1340"/>
      <c r="OOJ16" s="1340"/>
      <c r="OOK16" s="1341"/>
      <c r="OOL16" s="1342"/>
      <c r="OOM16" s="1336"/>
      <c r="OON16" s="1336"/>
      <c r="OOO16" s="1336"/>
      <c r="OOP16" s="1336"/>
      <c r="OOQ16" s="1337"/>
      <c r="OOR16" s="1337"/>
      <c r="OOS16" s="1337"/>
      <c r="OOT16" s="1337"/>
      <c r="OOU16" s="1337"/>
      <c r="OOV16" s="1338"/>
      <c r="OOW16" s="1339"/>
      <c r="OOX16" s="1340"/>
      <c r="OOY16" s="1340"/>
      <c r="OOZ16" s="1340"/>
      <c r="OPA16" s="1341"/>
      <c r="OPB16" s="1342"/>
      <c r="OPC16" s="1336"/>
      <c r="OPD16" s="1336"/>
      <c r="OPE16" s="1336"/>
      <c r="OPF16" s="1336"/>
      <c r="OPG16" s="1337"/>
      <c r="OPH16" s="1337"/>
      <c r="OPI16" s="1337"/>
      <c r="OPJ16" s="1337"/>
      <c r="OPK16" s="1337"/>
      <c r="OPL16" s="1338"/>
      <c r="OPM16" s="1339"/>
      <c r="OPN16" s="1340"/>
      <c r="OPO16" s="1340"/>
      <c r="OPP16" s="1340"/>
      <c r="OPQ16" s="1341"/>
      <c r="OPR16" s="1342"/>
      <c r="OPS16" s="1336"/>
      <c r="OPT16" s="1336"/>
      <c r="OPU16" s="1336"/>
      <c r="OPV16" s="1336"/>
      <c r="OPW16" s="1337"/>
      <c r="OPX16" s="1337"/>
      <c r="OPY16" s="1337"/>
      <c r="OPZ16" s="1337"/>
      <c r="OQA16" s="1337"/>
      <c r="OQB16" s="1338"/>
      <c r="OQC16" s="1339"/>
      <c r="OQD16" s="1340"/>
      <c r="OQE16" s="1340"/>
      <c r="OQF16" s="1340"/>
      <c r="OQG16" s="1341"/>
      <c r="OQH16" s="1342"/>
      <c r="OQI16" s="1336"/>
      <c r="OQJ16" s="1336"/>
      <c r="OQK16" s="1336"/>
      <c r="OQL16" s="1336"/>
      <c r="OQM16" s="1337"/>
      <c r="OQN16" s="1337"/>
      <c r="OQO16" s="1337"/>
      <c r="OQP16" s="1337"/>
      <c r="OQQ16" s="1337"/>
      <c r="OQR16" s="1338"/>
      <c r="OQS16" s="1339"/>
      <c r="OQT16" s="1340"/>
      <c r="OQU16" s="1340"/>
      <c r="OQV16" s="1340"/>
      <c r="OQW16" s="1341"/>
      <c r="OQX16" s="1342"/>
      <c r="OQY16" s="1336"/>
      <c r="OQZ16" s="1336"/>
      <c r="ORA16" s="1336"/>
      <c r="ORB16" s="1336"/>
      <c r="ORC16" s="1337"/>
      <c r="ORD16" s="1337"/>
      <c r="ORE16" s="1337"/>
      <c r="ORF16" s="1337"/>
      <c r="ORG16" s="1337"/>
      <c r="ORH16" s="1338"/>
      <c r="ORI16" s="1339"/>
      <c r="ORJ16" s="1340"/>
      <c r="ORK16" s="1340"/>
      <c r="ORL16" s="1340"/>
      <c r="ORM16" s="1341"/>
      <c r="ORN16" s="1342"/>
      <c r="ORO16" s="1336"/>
      <c r="ORP16" s="1336"/>
      <c r="ORQ16" s="1336"/>
      <c r="ORR16" s="1336"/>
      <c r="ORS16" s="1337"/>
      <c r="ORT16" s="1337"/>
      <c r="ORU16" s="1337"/>
      <c r="ORV16" s="1337"/>
      <c r="ORW16" s="1337"/>
      <c r="ORX16" s="1338"/>
      <c r="ORY16" s="1339"/>
      <c r="ORZ16" s="1340"/>
      <c r="OSA16" s="1340"/>
      <c r="OSB16" s="1340"/>
      <c r="OSC16" s="1341"/>
      <c r="OSD16" s="1342"/>
      <c r="OSE16" s="1336"/>
      <c r="OSF16" s="1336"/>
      <c r="OSG16" s="1336"/>
      <c r="OSH16" s="1336"/>
      <c r="OSI16" s="1337"/>
      <c r="OSJ16" s="1337"/>
      <c r="OSK16" s="1337"/>
      <c r="OSL16" s="1337"/>
      <c r="OSM16" s="1337"/>
      <c r="OSN16" s="1338"/>
      <c r="OSO16" s="1339"/>
      <c r="OSP16" s="1340"/>
      <c r="OSQ16" s="1340"/>
      <c r="OSR16" s="1340"/>
      <c r="OSS16" s="1341"/>
      <c r="OST16" s="1342"/>
      <c r="OSU16" s="1336"/>
      <c r="OSV16" s="1336"/>
      <c r="OSW16" s="1336"/>
      <c r="OSX16" s="1336"/>
      <c r="OSY16" s="1337"/>
      <c r="OSZ16" s="1337"/>
      <c r="OTA16" s="1337"/>
      <c r="OTB16" s="1337"/>
      <c r="OTC16" s="1337"/>
      <c r="OTD16" s="1338"/>
      <c r="OTE16" s="1339"/>
      <c r="OTF16" s="1340"/>
      <c r="OTG16" s="1340"/>
      <c r="OTH16" s="1340"/>
      <c r="OTI16" s="1341"/>
      <c r="OTJ16" s="1342"/>
      <c r="OTK16" s="1336"/>
      <c r="OTL16" s="1336"/>
      <c r="OTM16" s="1336"/>
      <c r="OTN16" s="1336"/>
      <c r="OTO16" s="1337"/>
      <c r="OTP16" s="1337"/>
      <c r="OTQ16" s="1337"/>
      <c r="OTR16" s="1337"/>
      <c r="OTS16" s="1337"/>
      <c r="OTT16" s="1338"/>
      <c r="OTU16" s="1339"/>
      <c r="OTV16" s="1340"/>
      <c r="OTW16" s="1340"/>
      <c r="OTX16" s="1340"/>
      <c r="OTY16" s="1341"/>
      <c r="OTZ16" s="1342"/>
      <c r="OUA16" s="1336"/>
      <c r="OUB16" s="1336"/>
      <c r="OUC16" s="1336"/>
      <c r="OUD16" s="1336"/>
      <c r="OUE16" s="1337"/>
      <c r="OUF16" s="1337"/>
      <c r="OUG16" s="1337"/>
      <c r="OUH16" s="1337"/>
      <c r="OUI16" s="1337"/>
      <c r="OUJ16" s="1338"/>
      <c r="OUK16" s="1339"/>
      <c r="OUL16" s="1340"/>
      <c r="OUM16" s="1340"/>
      <c r="OUN16" s="1340"/>
      <c r="OUO16" s="1341"/>
      <c r="OUP16" s="1342"/>
      <c r="OUQ16" s="1336"/>
      <c r="OUR16" s="1336"/>
      <c r="OUS16" s="1336"/>
      <c r="OUT16" s="1336"/>
      <c r="OUU16" s="1337"/>
      <c r="OUV16" s="1337"/>
      <c r="OUW16" s="1337"/>
      <c r="OUX16" s="1337"/>
      <c r="OUY16" s="1337"/>
      <c r="OUZ16" s="1338"/>
      <c r="OVA16" s="1339"/>
      <c r="OVB16" s="1340"/>
      <c r="OVC16" s="1340"/>
      <c r="OVD16" s="1340"/>
      <c r="OVE16" s="1341"/>
      <c r="OVF16" s="1342"/>
      <c r="OVG16" s="1336"/>
      <c r="OVH16" s="1336"/>
      <c r="OVI16" s="1336"/>
      <c r="OVJ16" s="1336"/>
      <c r="OVK16" s="1337"/>
      <c r="OVL16" s="1337"/>
      <c r="OVM16" s="1337"/>
      <c r="OVN16" s="1337"/>
      <c r="OVO16" s="1337"/>
      <c r="OVP16" s="1338"/>
      <c r="OVQ16" s="1339"/>
      <c r="OVR16" s="1340"/>
      <c r="OVS16" s="1340"/>
      <c r="OVT16" s="1340"/>
      <c r="OVU16" s="1341"/>
      <c r="OVV16" s="1342"/>
      <c r="OVW16" s="1336"/>
      <c r="OVX16" s="1336"/>
      <c r="OVY16" s="1336"/>
      <c r="OVZ16" s="1336"/>
      <c r="OWA16" s="1337"/>
      <c r="OWB16" s="1337"/>
      <c r="OWC16" s="1337"/>
      <c r="OWD16" s="1337"/>
      <c r="OWE16" s="1337"/>
      <c r="OWF16" s="1338"/>
      <c r="OWG16" s="1339"/>
      <c r="OWH16" s="1340"/>
      <c r="OWI16" s="1340"/>
      <c r="OWJ16" s="1340"/>
      <c r="OWK16" s="1341"/>
      <c r="OWL16" s="1342"/>
      <c r="OWM16" s="1336"/>
      <c r="OWN16" s="1336"/>
      <c r="OWO16" s="1336"/>
      <c r="OWP16" s="1336"/>
      <c r="OWQ16" s="1337"/>
      <c r="OWR16" s="1337"/>
      <c r="OWS16" s="1337"/>
      <c r="OWT16" s="1337"/>
      <c r="OWU16" s="1337"/>
      <c r="OWV16" s="1338"/>
      <c r="OWW16" s="1339"/>
      <c r="OWX16" s="1340"/>
      <c r="OWY16" s="1340"/>
      <c r="OWZ16" s="1340"/>
      <c r="OXA16" s="1341"/>
      <c r="OXB16" s="1342"/>
      <c r="OXC16" s="1336"/>
      <c r="OXD16" s="1336"/>
      <c r="OXE16" s="1336"/>
      <c r="OXF16" s="1336"/>
      <c r="OXG16" s="1337"/>
      <c r="OXH16" s="1337"/>
      <c r="OXI16" s="1337"/>
      <c r="OXJ16" s="1337"/>
      <c r="OXK16" s="1337"/>
      <c r="OXL16" s="1338"/>
      <c r="OXM16" s="1339"/>
      <c r="OXN16" s="1340"/>
      <c r="OXO16" s="1340"/>
      <c r="OXP16" s="1340"/>
      <c r="OXQ16" s="1341"/>
      <c r="OXR16" s="1342"/>
      <c r="OXS16" s="1336"/>
      <c r="OXT16" s="1336"/>
      <c r="OXU16" s="1336"/>
      <c r="OXV16" s="1336"/>
      <c r="OXW16" s="1337"/>
      <c r="OXX16" s="1337"/>
      <c r="OXY16" s="1337"/>
      <c r="OXZ16" s="1337"/>
      <c r="OYA16" s="1337"/>
      <c r="OYB16" s="1338"/>
      <c r="OYC16" s="1339"/>
      <c r="OYD16" s="1340"/>
      <c r="OYE16" s="1340"/>
      <c r="OYF16" s="1340"/>
      <c r="OYG16" s="1341"/>
      <c r="OYH16" s="1342"/>
      <c r="OYI16" s="1336"/>
      <c r="OYJ16" s="1336"/>
      <c r="OYK16" s="1336"/>
      <c r="OYL16" s="1336"/>
      <c r="OYM16" s="1337"/>
      <c r="OYN16" s="1337"/>
      <c r="OYO16" s="1337"/>
      <c r="OYP16" s="1337"/>
      <c r="OYQ16" s="1337"/>
      <c r="OYR16" s="1338"/>
      <c r="OYS16" s="1339"/>
      <c r="OYT16" s="1340"/>
      <c r="OYU16" s="1340"/>
      <c r="OYV16" s="1340"/>
      <c r="OYW16" s="1341"/>
      <c r="OYX16" s="1342"/>
      <c r="OYY16" s="1336"/>
      <c r="OYZ16" s="1336"/>
      <c r="OZA16" s="1336"/>
      <c r="OZB16" s="1336"/>
      <c r="OZC16" s="1337"/>
      <c r="OZD16" s="1337"/>
      <c r="OZE16" s="1337"/>
      <c r="OZF16" s="1337"/>
      <c r="OZG16" s="1337"/>
      <c r="OZH16" s="1338"/>
      <c r="OZI16" s="1339"/>
      <c r="OZJ16" s="1340"/>
      <c r="OZK16" s="1340"/>
      <c r="OZL16" s="1340"/>
      <c r="OZM16" s="1341"/>
      <c r="OZN16" s="1342"/>
      <c r="OZO16" s="1336"/>
      <c r="OZP16" s="1336"/>
      <c r="OZQ16" s="1336"/>
      <c r="OZR16" s="1336"/>
      <c r="OZS16" s="1337"/>
      <c r="OZT16" s="1337"/>
      <c r="OZU16" s="1337"/>
      <c r="OZV16" s="1337"/>
      <c r="OZW16" s="1337"/>
      <c r="OZX16" s="1338"/>
      <c r="OZY16" s="1339"/>
      <c r="OZZ16" s="1340"/>
      <c r="PAA16" s="1340"/>
      <c r="PAB16" s="1340"/>
      <c r="PAC16" s="1341"/>
      <c r="PAD16" s="1342"/>
      <c r="PAE16" s="1336"/>
      <c r="PAF16" s="1336"/>
      <c r="PAG16" s="1336"/>
      <c r="PAH16" s="1336"/>
      <c r="PAI16" s="1337"/>
      <c r="PAJ16" s="1337"/>
      <c r="PAK16" s="1337"/>
      <c r="PAL16" s="1337"/>
      <c r="PAM16" s="1337"/>
      <c r="PAN16" s="1338"/>
      <c r="PAO16" s="1339"/>
      <c r="PAP16" s="1340"/>
      <c r="PAQ16" s="1340"/>
      <c r="PAR16" s="1340"/>
      <c r="PAS16" s="1341"/>
      <c r="PAT16" s="1342"/>
      <c r="PAU16" s="1336"/>
      <c r="PAV16" s="1336"/>
      <c r="PAW16" s="1336"/>
      <c r="PAX16" s="1336"/>
      <c r="PAY16" s="1337"/>
      <c r="PAZ16" s="1337"/>
      <c r="PBA16" s="1337"/>
      <c r="PBB16" s="1337"/>
      <c r="PBC16" s="1337"/>
      <c r="PBD16" s="1338"/>
      <c r="PBE16" s="1339"/>
      <c r="PBF16" s="1340"/>
      <c r="PBG16" s="1340"/>
      <c r="PBH16" s="1340"/>
      <c r="PBI16" s="1341"/>
      <c r="PBJ16" s="1342"/>
      <c r="PBK16" s="1336"/>
      <c r="PBL16" s="1336"/>
      <c r="PBM16" s="1336"/>
      <c r="PBN16" s="1336"/>
      <c r="PBO16" s="1337"/>
      <c r="PBP16" s="1337"/>
      <c r="PBQ16" s="1337"/>
      <c r="PBR16" s="1337"/>
      <c r="PBS16" s="1337"/>
      <c r="PBT16" s="1338"/>
      <c r="PBU16" s="1339"/>
      <c r="PBV16" s="1340"/>
      <c r="PBW16" s="1340"/>
      <c r="PBX16" s="1340"/>
      <c r="PBY16" s="1341"/>
      <c r="PBZ16" s="1342"/>
      <c r="PCA16" s="1336"/>
      <c r="PCB16" s="1336"/>
      <c r="PCC16" s="1336"/>
      <c r="PCD16" s="1336"/>
      <c r="PCE16" s="1337"/>
      <c r="PCF16" s="1337"/>
      <c r="PCG16" s="1337"/>
      <c r="PCH16" s="1337"/>
      <c r="PCI16" s="1337"/>
      <c r="PCJ16" s="1338"/>
      <c r="PCK16" s="1339"/>
      <c r="PCL16" s="1340"/>
      <c r="PCM16" s="1340"/>
      <c r="PCN16" s="1340"/>
      <c r="PCO16" s="1341"/>
      <c r="PCP16" s="1342"/>
      <c r="PCQ16" s="1336"/>
      <c r="PCR16" s="1336"/>
      <c r="PCS16" s="1336"/>
      <c r="PCT16" s="1336"/>
      <c r="PCU16" s="1337"/>
      <c r="PCV16" s="1337"/>
      <c r="PCW16" s="1337"/>
      <c r="PCX16" s="1337"/>
      <c r="PCY16" s="1337"/>
      <c r="PCZ16" s="1338"/>
      <c r="PDA16" s="1339"/>
      <c r="PDB16" s="1340"/>
      <c r="PDC16" s="1340"/>
      <c r="PDD16" s="1340"/>
      <c r="PDE16" s="1341"/>
      <c r="PDF16" s="1342"/>
      <c r="PDG16" s="1336"/>
      <c r="PDH16" s="1336"/>
      <c r="PDI16" s="1336"/>
      <c r="PDJ16" s="1336"/>
      <c r="PDK16" s="1337"/>
      <c r="PDL16" s="1337"/>
      <c r="PDM16" s="1337"/>
      <c r="PDN16" s="1337"/>
      <c r="PDO16" s="1337"/>
      <c r="PDP16" s="1338"/>
      <c r="PDQ16" s="1339"/>
      <c r="PDR16" s="1340"/>
      <c r="PDS16" s="1340"/>
      <c r="PDT16" s="1340"/>
      <c r="PDU16" s="1341"/>
      <c r="PDV16" s="1342"/>
      <c r="PDW16" s="1336"/>
      <c r="PDX16" s="1336"/>
      <c r="PDY16" s="1336"/>
      <c r="PDZ16" s="1336"/>
      <c r="PEA16" s="1337"/>
      <c r="PEB16" s="1337"/>
      <c r="PEC16" s="1337"/>
      <c r="PED16" s="1337"/>
      <c r="PEE16" s="1337"/>
      <c r="PEF16" s="1338"/>
      <c r="PEG16" s="1339"/>
      <c r="PEH16" s="1340"/>
      <c r="PEI16" s="1340"/>
      <c r="PEJ16" s="1340"/>
      <c r="PEK16" s="1341"/>
      <c r="PEL16" s="1342"/>
      <c r="PEM16" s="1336"/>
      <c r="PEN16" s="1336"/>
      <c r="PEO16" s="1336"/>
      <c r="PEP16" s="1336"/>
      <c r="PEQ16" s="1337"/>
      <c r="PER16" s="1337"/>
      <c r="PES16" s="1337"/>
      <c r="PET16" s="1337"/>
      <c r="PEU16" s="1337"/>
      <c r="PEV16" s="1338"/>
      <c r="PEW16" s="1339"/>
      <c r="PEX16" s="1340"/>
      <c r="PEY16" s="1340"/>
      <c r="PEZ16" s="1340"/>
      <c r="PFA16" s="1341"/>
      <c r="PFB16" s="1342"/>
      <c r="PFC16" s="1336"/>
      <c r="PFD16" s="1336"/>
      <c r="PFE16" s="1336"/>
      <c r="PFF16" s="1336"/>
      <c r="PFG16" s="1337"/>
      <c r="PFH16" s="1337"/>
      <c r="PFI16" s="1337"/>
      <c r="PFJ16" s="1337"/>
      <c r="PFK16" s="1337"/>
      <c r="PFL16" s="1338"/>
      <c r="PFM16" s="1339"/>
      <c r="PFN16" s="1340"/>
      <c r="PFO16" s="1340"/>
      <c r="PFP16" s="1340"/>
      <c r="PFQ16" s="1341"/>
      <c r="PFR16" s="1342"/>
      <c r="PFS16" s="1336"/>
      <c r="PFT16" s="1336"/>
      <c r="PFU16" s="1336"/>
      <c r="PFV16" s="1336"/>
      <c r="PFW16" s="1337"/>
      <c r="PFX16" s="1337"/>
      <c r="PFY16" s="1337"/>
      <c r="PFZ16" s="1337"/>
      <c r="PGA16" s="1337"/>
      <c r="PGB16" s="1338"/>
      <c r="PGC16" s="1339"/>
      <c r="PGD16" s="1340"/>
      <c r="PGE16" s="1340"/>
      <c r="PGF16" s="1340"/>
      <c r="PGG16" s="1341"/>
      <c r="PGH16" s="1342"/>
      <c r="PGI16" s="1336"/>
      <c r="PGJ16" s="1336"/>
      <c r="PGK16" s="1336"/>
      <c r="PGL16" s="1336"/>
      <c r="PGM16" s="1337"/>
      <c r="PGN16" s="1337"/>
      <c r="PGO16" s="1337"/>
      <c r="PGP16" s="1337"/>
      <c r="PGQ16" s="1337"/>
      <c r="PGR16" s="1338"/>
      <c r="PGS16" s="1339"/>
      <c r="PGT16" s="1340"/>
      <c r="PGU16" s="1340"/>
      <c r="PGV16" s="1340"/>
      <c r="PGW16" s="1341"/>
      <c r="PGX16" s="1342"/>
      <c r="PGY16" s="1336"/>
      <c r="PGZ16" s="1336"/>
      <c r="PHA16" s="1336"/>
      <c r="PHB16" s="1336"/>
      <c r="PHC16" s="1337"/>
      <c r="PHD16" s="1337"/>
      <c r="PHE16" s="1337"/>
      <c r="PHF16" s="1337"/>
      <c r="PHG16" s="1337"/>
      <c r="PHH16" s="1338"/>
      <c r="PHI16" s="1339"/>
      <c r="PHJ16" s="1340"/>
      <c r="PHK16" s="1340"/>
      <c r="PHL16" s="1340"/>
      <c r="PHM16" s="1341"/>
      <c r="PHN16" s="1342"/>
      <c r="PHO16" s="1336"/>
      <c r="PHP16" s="1336"/>
      <c r="PHQ16" s="1336"/>
      <c r="PHR16" s="1336"/>
      <c r="PHS16" s="1337"/>
      <c r="PHT16" s="1337"/>
      <c r="PHU16" s="1337"/>
      <c r="PHV16" s="1337"/>
      <c r="PHW16" s="1337"/>
      <c r="PHX16" s="1338"/>
      <c r="PHY16" s="1339"/>
      <c r="PHZ16" s="1340"/>
      <c r="PIA16" s="1340"/>
      <c r="PIB16" s="1340"/>
      <c r="PIC16" s="1341"/>
      <c r="PID16" s="1342"/>
      <c r="PIE16" s="1336"/>
      <c r="PIF16" s="1336"/>
      <c r="PIG16" s="1336"/>
      <c r="PIH16" s="1336"/>
      <c r="PII16" s="1337"/>
      <c r="PIJ16" s="1337"/>
      <c r="PIK16" s="1337"/>
      <c r="PIL16" s="1337"/>
      <c r="PIM16" s="1337"/>
      <c r="PIN16" s="1338"/>
      <c r="PIO16" s="1339"/>
      <c r="PIP16" s="1340"/>
      <c r="PIQ16" s="1340"/>
      <c r="PIR16" s="1340"/>
      <c r="PIS16" s="1341"/>
      <c r="PIT16" s="1342"/>
      <c r="PIU16" s="1336"/>
      <c r="PIV16" s="1336"/>
      <c r="PIW16" s="1336"/>
      <c r="PIX16" s="1336"/>
      <c r="PIY16" s="1337"/>
      <c r="PIZ16" s="1337"/>
      <c r="PJA16" s="1337"/>
      <c r="PJB16" s="1337"/>
      <c r="PJC16" s="1337"/>
      <c r="PJD16" s="1338"/>
      <c r="PJE16" s="1339"/>
      <c r="PJF16" s="1340"/>
      <c r="PJG16" s="1340"/>
      <c r="PJH16" s="1340"/>
      <c r="PJI16" s="1341"/>
      <c r="PJJ16" s="1342"/>
      <c r="PJK16" s="1336"/>
      <c r="PJL16" s="1336"/>
      <c r="PJM16" s="1336"/>
      <c r="PJN16" s="1336"/>
      <c r="PJO16" s="1337"/>
      <c r="PJP16" s="1337"/>
      <c r="PJQ16" s="1337"/>
      <c r="PJR16" s="1337"/>
      <c r="PJS16" s="1337"/>
      <c r="PJT16" s="1338"/>
      <c r="PJU16" s="1339"/>
      <c r="PJV16" s="1340"/>
      <c r="PJW16" s="1340"/>
      <c r="PJX16" s="1340"/>
      <c r="PJY16" s="1341"/>
      <c r="PJZ16" s="1342"/>
      <c r="PKA16" s="1336"/>
      <c r="PKB16" s="1336"/>
      <c r="PKC16" s="1336"/>
      <c r="PKD16" s="1336"/>
      <c r="PKE16" s="1337"/>
      <c r="PKF16" s="1337"/>
      <c r="PKG16" s="1337"/>
      <c r="PKH16" s="1337"/>
      <c r="PKI16" s="1337"/>
      <c r="PKJ16" s="1338"/>
      <c r="PKK16" s="1339"/>
      <c r="PKL16" s="1340"/>
      <c r="PKM16" s="1340"/>
      <c r="PKN16" s="1340"/>
      <c r="PKO16" s="1341"/>
      <c r="PKP16" s="1342"/>
      <c r="PKQ16" s="1336"/>
      <c r="PKR16" s="1336"/>
      <c r="PKS16" s="1336"/>
      <c r="PKT16" s="1336"/>
      <c r="PKU16" s="1337"/>
      <c r="PKV16" s="1337"/>
      <c r="PKW16" s="1337"/>
      <c r="PKX16" s="1337"/>
      <c r="PKY16" s="1337"/>
      <c r="PKZ16" s="1338"/>
      <c r="PLA16" s="1339"/>
      <c r="PLB16" s="1340"/>
      <c r="PLC16" s="1340"/>
      <c r="PLD16" s="1340"/>
      <c r="PLE16" s="1341"/>
      <c r="PLF16" s="1342"/>
      <c r="PLG16" s="1336"/>
      <c r="PLH16" s="1336"/>
      <c r="PLI16" s="1336"/>
      <c r="PLJ16" s="1336"/>
      <c r="PLK16" s="1337"/>
      <c r="PLL16" s="1337"/>
      <c r="PLM16" s="1337"/>
      <c r="PLN16" s="1337"/>
      <c r="PLO16" s="1337"/>
      <c r="PLP16" s="1338"/>
      <c r="PLQ16" s="1339"/>
      <c r="PLR16" s="1340"/>
      <c r="PLS16" s="1340"/>
      <c r="PLT16" s="1340"/>
      <c r="PLU16" s="1341"/>
      <c r="PLV16" s="1342"/>
      <c r="PLW16" s="1336"/>
      <c r="PLX16" s="1336"/>
      <c r="PLY16" s="1336"/>
      <c r="PLZ16" s="1336"/>
      <c r="PMA16" s="1337"/>
      <c r="PMB16" s="1337"/>
      <c r="PMC16" s="1337"/>
      <c r="PMD16" s="1337"/>
      <c r="PME16" s="1337"/>
      <c r="PMF16" s="1338"/>
      <c r="PMG16" s="1339"/>
      <c r="PMH16" s="1340"/>
      <c r="PMI16" s="1340"/>
      <c r="PMJ16" s="1340"/>
      <c r="PMK16" s="1341"/>
      <c r="PML16" s="1342"/>
      <c r="PMM16" s="1336"/>
      <c r="PMN16" s="1336"/>
      <c r="PMO16" s="1336"/>
      <c r="PMP16" s="1336"/>
      <c r="PMQ16" s="1337"/>
      <c r="PMR16" s="1337"/>
      <c r="PMS16" s="1337"/>
      <c r="PMT16" s="1337"/>
      <c r="PMU16" s="1337"/>
      <c r="PMV16" s="1338"/>
      <c r="PMW16" s="1339"/>
      <c r="PMX16" s="1340"/>
      <c r="PMY16" s="1340"/>
      <c r="PMZ16" s="1340"/>
      <c r="PNA16" s="1341"/>
      <c r="PNB16" s="1342"/>
      <c r="PNC16" s="1336"/>
      <c r="PND16" s="1336"/>
      <c r="PNE16" s="1336"/>
      <c r="PNF16" s="1336"/>
      <c r="PNG16" s="1337"/>
      <c r="PNH16" s="1337"/>
      <c r="PNI16" s="1337"/>
      <c r="PNJ16" s="1337"/>
      <c r="PNK16" s="1337"/>
      <c r="PNL16" s="1338"/>
      <c r="PNM16" s="1339"/>
      <c r="PNN16" s="1340"/>
      <c r="PNO16" s="1340"/>
      <c r="PNP16" s="1340"/>
      <c r="PNQ16" s="1341"/>
      <c r="PNR16" s="1342"/>
      <c r="PNS16" s="1336"/>
      <c r="PNT16" s="1336"/>
      <c r="PNU16" s="1336"/>
      <c r="PNV16" s="1336"/>
      <c r="PNW16" s="1337"/>
      <c r="PNX16" s="1337"/>
      <c r="PNY16" s="1337"/>
      <c r="PNZ16" s="1337"/>
      <c r="POA16" s="1337"/>
      <c r="POB16" s="1338"/>
      <c r="POC16" s="1339"/>
      <c r="POD16" s="1340"/>
      <c r="POE16" s="1340"/>
      <c r="POF16" s="1340"/>
      <c r="POG16" s="1341"/>
      <c r="POH16" s="1342"/>
      <c r="POI16" s="1336"/>
      <c r="POJ16" s="1336"/>
      <c r="POK16" s="1336"/>
      <c r="POL16" s="1336"/>
      <c r="POM16" s="1337"/>
      <c r="PON16" s="1337"/>
      <c r="POO16" s="1337"/>
      <c r="POP16" s="1337"/>
      <c r="POQ16" s="1337"/>
      <c r="POR16" s="1338"/>
      <c r="POS16" s="1339"/>
      <c r="POT16" s="1340"/>
      <c r="POU16" s="1340"/>
      <c r="POV16" s="1340"/>
      <c r="POW16" s="1341"/>
      <c r="POX16" s="1342"/>
      <c r="POY16" s="1336"/>
      <c r="POZ16" s="1336"/>
      <c r="PPA16" s="1336"/>
      <c r="PPB16" s="1336"/>
      <c r="PPC16" s="1337"/>
      <c r="PPD16" s="1337"/>
      <c r="PPE16" s="1337"/>
      <c r="PPF16" s="1337"/>
      <c r="PPG16" s="1337"/>
      <c r="PPH16" s="1338"/>
      <c r="PPI16" s="1339"/>
      <c r="PPJ16" s="1340"/>
      <c r="PPK16" s="1340"/>
      <c r="PPL16" s="1340"/>
      <c r="PPM16" s="1341"/>
      <c r="PPN16" s="1342"/>
      <c r="PPO16" s="1336"/>
      <c r="PPP16" s="1336"/>
      <c r="PPQ16" s="1336"/>
      <c r="PPR16" s="1336"/>
      <c r="PPS16" s="1337"/>
      <c r="PPT16" s="1337"/>
      <c r="PPU16" s="1337"/>
      <c r="PPV16" s="1337"/>
      <c r="PPW16" s="1337"/>
      <c r="PPX16" s="1338"/>
      <c r="PPY16" s="1339"/>
      <c r="PPZ16" s="1340"/>
      <c r="PQA16" s="1340"/>
      <c r="PQB16" s="1340"/>
      <c r="PQC16" s="1341"/>
      <c r="PQD16" s="1342"/>
      <c r="PQE16" s="1336"/>
      <c r="PQF16" s="1336"/>
      <c r="PQG16" s="1336"/>
      <c r="PQH16" s="1336"/>
      <c r="PQI16" s="1337"/>
      <c r="PQJ16" s="1337"/>
      <c r="PQK16" s="1337"/>
      <c r="PQL16" s="1337"/>
      <c r="PQM16" s="1337"/>
      <c r="PQN16" s="1338"/>
      <c r="PQO16" s="1339"/>
      <c r="PQP16" s="1340"/>
      <c r="PQQ16" s="1340"/>
      <c r="PQR16" s="1340"/>
      <c r="PQS16" s="1341"/>
      <c r="PQT16" s="1342"/>
      <c r="PQU16" s="1336"/>
      <c r="PQV16" s="1336"/>
      <c r="PQW16" s="1336"/>
      <c r="PQX16" s="1336"/>
      <c r="PQY16" s="1337"/>
      <c r="PQZ16" s="1337"/>
      <c r="PRA16" s="1337"/>
      <c r="PRB16" s="1337"/>
      <c r="PRC16" s="1337"/>
      <c r="PRD16" s="1338"/>
      <c r="PRE16" s="1339"/>
      <c r="PRF16" s="1340"/>
      <c r="PRG16" s="1340"/>
      <c r="PRH16" s="1340"/>
      <c r="PRI16" s="1341"/>
      <c r="PRJ16" s="1342"/>
      <c r="PRK16" s="1336"/>
      <c r="PRL16" s="1336"/>
      <c r="PRM16" s="1336"/>
      <c r="PRN16" s="1336"/>
      <c r="PRO16" s="1337"/>
      <c r="PRP16" s="1337"/>
      <c r="PRQ16" s="1337"/>
      <c r="PRR16" s="1337"/>
      <c r="PRS16" s="1337"/>
      <c r="PRT16" s="1338"/>
      <c r="PRU16" s="1339"/>
      <c r="PRV16" s="1340"/>
      <c r="PRW16" s="1340"/>
      <c r="PRX16" s="1340"/>
      <c r="PRY16" s="1341"/>
      <c r="PRZ16" s="1342"/>
      <c r="PSA16" s="1336"/>
      <c r="PSB16" s="1336"/>
      <c r="PSC16" s="1336"/>
      <c r="PSD16" s="1336"/>
      <c r="PSE16" s="1337"/>
      <c r="PSF16" s="1337"/>
      <c r="PSG16" s="1337"/>
      <c r="PSH16" s="1337"/>
      <c r="PSI16" s="1337"/>
      <c r="PSJ16" s="1338"/>
      <c r="PSK16" s="1339"/>
      <c r="PSL16" s="1340"/>
      <c r="PSM16" s="1340"/>
      <c r="PSN16" s="1340"/>
      <c r="PSO16" s="1341"/>
      <c r="PSP16" s="1342"/>
      <c r="PSQ16" s="1336"/>
      <c r="PSR16" s="1336"/>
      <c r="PSS16" s="1336"/>
      <c r="PST16" s="1336"/>
      <c r="PSU16" s="1337"/>
      <c r="PSV16" s="1337"/>
      <c r="PSW16" s="1337"/>
      <c r="PSX16" s="1337"/>
      <c r="PSY16" s="1337"/>
      <c r="PSZ16" s="1338"/>
      <c r="PTA16" s="1339"/>
      <c r="PTB16" s="1340"/>
      <c r="PTC16" s="1340"/>
      <c r="PTD16" s="1340"/>
      <c r="PTE16" s="1341"/>
      <c r="PTF16" s="1342"/>
      <c r="PTG16" s="1336"/>
      <c r="PTH16" s="1336"/>
      <c r="PTI16" s="1336"/>
      <c r="PTJ16" s="1336"/>
      <c r="PTK16" s="1337"/>
      <c r="PTL16" s="1337"/>
      <c r="PTM16" s="1337"/>
      <c r="PTN16" s="1337"/>
      <c r="PTO16" s="1337"/>
      <c r="PTP16" s="1338"/>
      <c r="PTQ16" s="1339"/>
      <c r="PTR16" s="1340"/>
      <c r="PTS16" s="1340"/>
      <c r="PTT16" s="1340"/>
      <c r="PTU16" s="1341"/>
      <c r="PTV16" s="1342"/>
      <c r="PTW16" s="1336"/>
      <c r="PTX16" s="1336"/>
      <c r="PTY16" s="1336"/>
      <c r="PTZ16" s="1336"/>
      <c r="PUA16" s="1337"/>
      <c r="PUB16" s="1337"/>
      <c r="PUC16" s="1337"/>
      <c r="PUD16" s="1337"/>
      <c r="PUE16" s="1337"/>
      <c r="PUF16" s="1338"/>
      <c r="PUG16" s="1339"/>
      <c r="PUH16" s="1340"/>
      <c r="PUI16" s="1340"/>
      <c r="PUJ16" s="1340"/>
      <c r="PUK16" s="1341"/>
      <c r="PUL16" s="1342"/>
      <c r="PUM16" s="1336"/>
      <c r="PUN16" s="1336"/>
      <c r="PUO16" s="1336"/>
      <c r="PUP16" s="1336"/>
      <c r="PUQ16" s="1337"/>
      <c r="PUR16" s="1337"/>
      <c r="PUS16" s="1337"/>
      <c r="PUT16" s="1337"/>
      <c r="PUU16" s="1337"/>
      <c r="PUV16" s="1338"/>
      <c r="PUW16" s="1339"/>
      <c r="PUX16" s="1340"/>
      <c r="PUY16" s="1340"/>
      <c r="PUZ16" s="1340"/>
      <c r="PVA16" s="1341"/>
      <c r="PVB16" s="1342"/>
      <c r="PVC16" s="1336"/>
      <c r="PVD16" s="1336"/>
      <c r="PVE16" s="1336"/>
      <c r="PVF16" s="1336"/>
      <c r="PVG16" s="1337"/>
      <c r="PVH16" s="1337"/>
      <c r="PVI16" s="1337"/>
      <c r="PVJ16" s="1337"/>
      <c r="PVK16" s="1337"/>
      <c r="PVL16" s="1338"/>
      <c r="PVM16" s="1339"/>
      <c r="PVN16" s="1340"/>
      <c r="PVO16" s="1340"/>
      <c r="PVP16" s="1340"/>
      <c r="PVQ16" s="1341"/>
      <c r="PVR16" s="1342"/>
      <c r="PVS16" s="1336"/>
      <c r="PVT16" s="1336"/>
      <c r="PVU16" s="1336"/>
      <c r="PVV16" s="1336"/>
      <c r="PVW16" s="1337"/>
      <c r="PVX16" s="1337"/>
      <c r="PVY16" s="1337"/>
      <c r="PVZ16" s="1337"/>
      <c r="PWA16" s="1337"/>
      <c r="PWB16" s="1338"/>
      <c r="PWC16" s="1339"/>
      <c r="PWD16" s="1340"/>
      <c r="PWE16" s="1340"/>
      <c r="PWF16" s="1340"/>
      <c r="PWG16" s="1341"/>
      <c r="PWH16" s="1342"/>
      <c r="PWI16" s="1336"/>
      <c r="PWJ16" s="1336"/>
      <c r="PWK16" s="1336"/>
      <c r="PWL16" s="1336"/>
      <c r="PWM16" s="1337"/>
      <c r="PWN16" s="1337"/>
      <c r="PWO16" s="1337"/>
      <c r="PWP16" s="1337"/>
      <c r="PWQ16" s="1337"/>
      <c r="PWR16" s="1338"/>
      <c r="PWS16" s="1339"/>
      <c r="PWT16" s="1340"/>
      <c r="PWU16" s="1340"/>
      <c r="PWV16" s="1340"/>
      <c r="PWW16" s="1341"/>
      <c r="PWX16" s="1342"/>
      <c r="PWY16" s="1336"/>
      <c r="PWZ16" s="1336"/>
      <c r="PXA16" s="1336"/>
      <c r="PXB16" s="1336"/>
      <c r="PXC16" s="1337"/>
      <c r="PXD16" s="1337"/>
      <c r="PXE16" s="1337"/>
      <c r="PXF16" s="1337"/>
      <c r="PXG16" s="1337"/>
      <c r="PXH16" s="1338"/>
      <c r="PXI16" s="1339"/>
      <c r="PXJ16" s="1340"/>
      <c r="PXK16" s="1340"/>
      <c r="PXL16" s="1340"/>
      <c r="PXM16" s="1341"/>
      <c r="PXN16" s="1342"/>
      <c r="PXO16" s="1336"/>
      <c r="PXP16" s="1336"/>
      <c r="PXQ16" s="1336"/>
      <c r="PXR16" s="1336"/>
      <c r="PXS16" s="1337"/>
      <c r="PXT16" s="1337"/>
      <c r="PXU16" s="1337"/>
      <c r="PXV16" s="1337"/>
      <c r="PXW16" s="1337"/>
      <c r="PXX16" s="1338"/>
      <c r="PXY16" s="1339"/>
      <c r="PXZ16" s="1340"/>
      <c r="PYA16" s="1340"/>
      <c r="PYB16" s="1340"/>
      <c r="PYC16" s="1341"/>
      <c r="PYD16" s="1342"/>
      <c r="PYE16" s="1336"/>
      <c r="PYF16" s="1336"/>
      <c r="PYG16" s="1336"/>
      <c r="PYH16" s="1336"/>
      <c r="PYI16" s="1337"/>
      <c r="PYJ16" s="1337"/>
      <c r="PYK16" s="1337"/>
      <c r="PYL16" s="1337"/>
      <c r="PYM16" s="1337"/>
      <c r="PYN16" s="1338"/>
      <c r="PYO16" s="1339"/>
      <c r="PYP16" s="1340"/>
      <c r="PYQ16" s="1340"/>
      <c r="PYR16" s="1340"/>
      <c r="PYS16" s="1341"/>
      <c r="PYT16" s="1342"/>
      <c r="PYU16" s="1336"/>
      <c r="PYV16" s="1336"/>
      <c r="PYW16" s="1336"/>
      <c r="PYX16" s="1336"/>
      <c r="PYY16" s="1337"/>
      <c r="PYZ16" s="1337"/>
      <c r="PZA16" s="1337"/>
      <c r="PZB16" s="1337"/>
      <c r="PZC16" s="1337"/>
      <c r="PZD16" s="1338"/>
      <c r="PZE16" s="1339"/>
      <c r="PZF16" s="1340"/>
      <c r="PZG16" s="1340"/>
      <c r="PZH16" s="1340"/>
      <c r="PZI16" s="1341"/>
      <c r="PZJ16" s="1342"/>
      <c r="PZK16" s="1336"/>
      <c r="PZL16" s="1336"/>
      <c r="PZM16" s="1336"/>
      <c r="PZN16" s="1336"/>
      <c r="PZO16" s="1337"/>
      <c r="PZP16" s="1337"/>
      <c r="PZQ16" s="1337"/>
      <c r="PZR16" s="1337"/>
      <c r="PZS16" s="1337"/>
      <c r="PZT16" s="1338"/>
      <c r="PZU16" s="1339"/>
      <c r="PZV16" s="1340"/>
      <c r="PZW16" s="1340"/>
      <c r="PZX16" s="1340"/>
      <c r="PZY16" s="1341"/>
      <c r="PZZ16" s="1342"/>
      <c r="QAA16" s="1336"/>
      <c r="QAB16" s="1336"/>
      <c r="QAC16" s="1336"/>
      <c r="QAD16" s="1336"/>
      <c r="QAE16" s="1337"/>
      <c r="QAF16" s="1337"/>
      <c r="QAG16" s="1337"/>
      <c r="QAH16" s="1337"/>
      <c r="QAI16" s="1337"/>
      <c r="QAJ16" s="1338"/>
      <c r="QAK16" s="1339"/>
      <c r="QAL16" s="1340"/>
      <c r="QAM16" s="1340"/>
      <c r="QAN16" s="1340"/>
      <c r="QAO16" s="1341"/>
      <c r="QAP16" s="1342"/>
      <c r="QAQ16" s="1336"/>
      <c r="QAR16" s="1336"/>
      <c r="QAS16" s="1336"/>
      <c r="QAT16" s="1336"/>
      <c r="QAU16" s="1337"/>
      <c r="QAV16" s="1337"/>
      <c r="QAW16" s="1337"/>
      <c r="QAX16" s="1337"/>
      <c r="QAY16" s="1337"/>
      <c r="QAZ16" s="1338"/>
      <c r="QBA16" s="1339"/>
      <c r="QBB16" s="1340"/>
      <c r="QBC16" s="1340"/>
      <c r="QBD16" s="1340"/>
      <c r="QBE16" s="1341"/>
      <c r="QBF16" s="1342"/>
      <c r="QBG16" s="1336"/>
      <c r="QBH16" s="1336"/>
      <c r="QBI16" s="1336"/>
      <c r="QBJ16" s="1336"/>
      <c r="QBK16" s="1337"/>
      <c r="QBL16" s="1337"/>
      <c r="QBM16" s="1337"/>
      <c r="QBN16" s="1337"/>
      <c r="QBO16" s="1337"/>
      <c r="QBP16" s="1338"/>
      <c r="QBQ16" s="1339"/>
      <c r="QBR16" s="1340"/>
      <c r="QBS16" s="1340"/>
      <c r="QBT16" s="1340"/>
      <c r="QBU16" s="1341"/>
      <c r="QBV16" s="1342"/>
      <c r="QBW16" s="1336"/>
      <c r="QBX16" s="1336"/>
      <c r="QBY16" s="1336"/>
      <c r="QBZ16" s="1336"/>
      <c r="QCA16" s="1337"/>
      <c r="QCB16" s="1337"/>
      <c r="QCC16" s="1337"/>
      <c r="QCD16" s="1337"/>
      <c r="QCE16" s="1337"/>
      <c r="QCF16" s="1338"/>
      <c r="QCG16" s="1339"/>
      <c r="QCH16" s="1340"/>
      <c r="QCI16" s="1340"/>
      <c r="QCJ16" s="1340"/>
      <c r="QCK16" s="1341"/>
      <c r="QCL16" s="1342"/>
      <c r="QCM16" s="1336"/>
      <c r="QCN16" s="1336"/>
      <c r="QCO16" s="1336"/>
      <c r="QCP16" s="1336"/>
      <c r="QCQ16" s="1337"/>
      <c r="QCR16" s="1337"/>
      <c r="QCS16" s="1337"/>
      <c r="QCT16" s="1337"/>
      <c r="QCU16" s="1337"/>
      <c r="QCV16" s="1338"/>
      <c r="QCW16" s="1339"/>
      <c r="QCX16" s="1340"/>
      <c r="QCY16" s="1340"/>
      <c r="QCZ16" s="1340"/>
      <c r="QDA16" s="1341"/>
      <c r="QDB16" s="1342"/>
      <c r="QDC16" s="1336"/>
      <c r="QDD16" s="1336"/>
      <c r="QDE16" s="1336"/>
      <c r="QDF16" s="1336"/>
      <c r="QDG16" s="1337"/>
      <c r="QDH16" s="1337"/>
      <c r="QDI16" s="1337"/>
      <c r="QDJ16" s="1337"/>
      <c r="QDK16" s="1337"/>
      <c r="QDL16" s="1338"/>
      <c r="QDM16" s="1339"/>
      <c r="QDN16" s="1340"/>
      <c r="QDO16" s="1340"/>
      <c r="QDP16" s="1340"/>
      <c r="QDQ16" s="1341"/>
      <c r="QDR16" s="1342"/>
      <c r="QDS16" s="1336"/>
      <c r="QDT16" s="1336"/>
      <c r="QDU16" s="1336"/>
      <c r="QDV16" s="1336"/>
      <c r="QDW16" s="1337"/>
      <c r="QDX16" s="1337"/>
      <c r="QDY16" s="1337"/>
      <c r="QDZ16" s="1337"/>
      <c r="QEA16" s="1337"/>
      <c r="QEB16" s="1338"/>
      <c r="QEC16" s="1339"/>
      <c r="QED16" s="1340"/>
      <c r="QEE16" s="1340"/>
      <c r="QEF16" s="1340"/>
      <c r="QEG16" s="1341"/>
      <c r="QEH16" s="1342"/>
      <c r="QEI16" s="1336"/>
      <c r="QEJ16" s="1336"/>
      <c r="QEK16" s="1336"/>
      <c r="QEL16" s="1336"/>
      <c r="QEM16" s="1337"/>
      <c r="QEN16" s="1337"/>
      <c r="QEO16" s="1337"/>
      <c r="QEP16" s="1337"/>
      <c r="QEQ16" s="1337"/>
      <c r="QER16" s="1338"/>
      <c r="QES16" s="1339"/>
      <c r="QET16" s="1340"/>
      <c r="QEU16" s="1340"/>
      <c r="QEV16" s="1340"/>
      <c r="QEW16" s="1341"/>
      <c r="QEX16" s="1342"/>
      <c r="QEY16" s="1336"/>
      <c r="QEZ16" s="1336"/>
      <c r="QFA16" s="1336"/>
      <c r="QFB16" s="1336"/>
      <c r="QFC16" s="1337"/>
      <c r="QFD16" s="1337"/>
      <c r="QFE16" s="1337"/>
      <c r="QFF16" s="1337"/>
      <c r="QFG16" s="1337"/>
      <c r="QFH16" s="1338"/>
      <c r="QFI16" s="1339"/>
      <c r="QFJ16" s="1340"/>
      <c r="QFK16" s="1340"/>
      <c r="QFL16" s="1340"/>
      <c r="QFM16" s="1341"/>
      <c r="QFN16" s="1342"/>
      <c r="QFO16" s="1336"/>
      <c r="QFP16" s="1336"/>
      <c r="QFQ16" s="1336"/>
      <c r="QFR16" s="1336"/>
      <c r="QFS16" s="1337"/>
      <c r="QFT16" s="1337"/>
      <c r="QFU16" s="1337"/>
      <c r="QFV16" s="1337"/>
      <c r="QFW16" s="1337"/>
      <c r="QFX16" s="1338"/>
      <c r="QFY16" s="1339"/>
      <c r="QFZ16" s="1340"/>
      <c r="QGA16" s="1340"/>
      <c r="QGB16" s="1340"/>
      <c r="QGC16" s="1341"/>
      <c r="QGD16" s="1342"/>
      <c r="QGE16" s="1336"/>
      <c r="QGF16" s="1336"/>
      <c r="QGG16" s="1336"/>
      <c r="QGH16" s="1336"/>
      <c r="QGI16" s="1337"/>
      <c r="QGJ16" s="1337"/>
      <c r="QGK16" s="1337"/>
      <c r="QGL16" s="1337"/>
      <c r="QGM16" s="1337"/>
      <c r="QGN16" s="1338"/>
      <c r="QGO16" s="1339"/>
      <c r="QGP16" s="1340"/>
      <c r="QGQ16" s="1340"/>
      <c r="QGR16" s="1340"/>
      <c r="QGS16" s="1341"/>
      <c r="QGT16" s="1342"/>
      <c r="QGU16" s="1336"/>
      <c r="QGV16" s="1336"/>
      <c r="QGW16" s="1336"/>
      <c r="QGX16" s="1336"/>
      <c r="QGY16" s="1337"/>
      <c r="QGZ16" s="1337"/>
      <c r="QHA16" s="1337"/>
      <c r="QHB16" s="1337"/>
      <c r="QHC16" s="1337"/>
      <c r="QHD16" s="1338"/>
      <c r="QHE16" s="1339"/>
      <c r="QHF16" s="1340"/>
      <c r="QHG16" s="1340"/>
      <c r="QHH16" s="1340"/>
      <c r="QHI16" s="1341"/>
      <c r="QHJ16" s="1342"/>
      <c r="QHK16" s="1336"/>
      <c r="QHL16" s="1336"/>
      <c r="QHM16" s="1336"/>
      <c r="QHN16" s="1336"/>
      <c r="QHO16" s="1337"/>
      <c r="QHP16" s="1337"/>
      <c r="QHQ16" s="1337"/>
      <c r="QHR16" s="1337"/>
      <c r="QHS16" s="1337"/>
      <c r="QHT16" s="1338"/>
      <c r="QHU16" s="1339"/>
      <c r="QHV16" s="1340"/>
      <c r="QHW16" s="1340"/>
      <c r="QHX16" s="1340"/>
      <c r="QHY16" s="1341"/>
      <c r="QHZ16" s="1342"/>
      <c r="QIA16" s="1336"/>
      <c r="QIB16" s="1336"/>
      <c r="QIC16" s="1336"/>
      <c r="QID16" s="1336"/>
      <c r="QIE16" s="1337"/>
      <c r="QIF16" s="1337"/>
      <c r="QIG16" s="1337"/>
      <c r="QIH16" s="1337"/>
      <c r="QII16" s="1337"/>
      <c r="QIJ16" s="1338"/>
      <c r="QIK16" s="1339"/>
      <c r="QIL16" s="1340"/>
      <c r="QIM16" s="1340"/>
      <c r="QIN16" s="1340"/>
      <c r="QIO16" s="1341"/>
      <c r="QIP16" s="1342"/>
      <c r="QIQ16" s="1336"/>
      <c r="QIR16" s="1336"/>
      <c r="QIS16" s="1336"/>
      <c r="QIT16" s="1336"/>
      <c r="QIU16" s="1337"/>
      <c r="QIV16" s="1337"/>
      <c r="QIW16" s="1337"/>
      <c r="QIX16" s="1337"/>
      <c r="QIY16" s="1337"/>
      <c r="QIZ16" s="1338"/>
      <c r="QJA16" s="1339"/>
      <c r="QJB16" s="1340"/>
      <c r="QJC16" s="1340"/>
      <c r="QJD16" s="1340"/>
      <c r="QJE16" s="1341"/>
      <c r="QJF16" s="1342"/>
      <c r="QJG16" s="1336"/>
      <c r="QJH16" s="1336"/>
      <c r="QJI16" s="1336"/>
      <c r="QJJ16" s="1336"/>
      <c r="QJK16" s="1337"/>
      <c r="QJL16" s="1337"/>
      <c r="QJM16" s="1337"/>
      <c r="QJN16" s="1337"/>
      <c r="QJO16" s="1337"/>
      <c r="QJP16" s="1338"/>
      <c r="QJQ16" s="1339"/>
      <c r="QJR16" s="1340"/>
      <c r="QJS16" s="1340"/>
      <c r="QJT16" s="1340"/>
      <c r="QJU16" s="1341"/>
      <c r="QJV16" s="1342"/>
      <c r="QJW16" s="1336"/>
      <c r="QJX16" s="1336"/>
      <c r="QJY16" s="1336"/>
      <c r="QJZ16" s="1336"/>
      <c r="QKA16" s="1337"/>
      <c r="QKB16" s="1337"/>
      <c r="QKC16" s="1337"/>
      <c r="QKD16" s="1337"/>
      <c r="QKE16" s="1337"/>
      <c r="QKF16" s="1338"/>
      <c r="QKG16" s="1339"/>
      <c r="QKH16" s="1340"/>
      <c r="QKI16" s="1340"/>
      <c r="QKJ16" s="1340"/>
      <c r="QKK16" s="1341"/>
      <c r="QKL16" s="1342"/>
      <c r="QKM16" s="1336"/>
      <c r="QKN16" s="1336"/>
      <c r="QKO16" s="1336"/>
      <c r="QKP16" s="1336"/>
      <c r="QKQ16" s="1337"/>
      <c r="QKR16" s="1337"/>
      <c r="QKS16" s="1337"/>
      <c r="QKT16" s="1337"/>
      <c r="QKU16" s="1337"/>
      <c r="QKV16" s="1338"/>
      <c r="QKW16" s="1339"/>
      <c r="QKX16" s="1340"/>
      <c r="QKY16" s="1340"/>
      <c r="QKZ16" s="1340"/>
      <c r="QLA16" s="1341"/>
      <c r="QLB16" s="1342"/>
      <c r="QLC16" s="1336"/>
      <c r="QLD16" s="1336"/>
      <c r="QLE16" s="1336"/>
      <c r="QLF16" s="1336"/>
      <c r="QLG16" s="1337"/>
      <c r="QLH16" s="1337"/>
      <c r="QLI16" s="1337"/>
      <c r="QLJ16" s="1337"/>
      <c r="QLK16" s="1337"/>
      <c r="QLL16" s="1338"/>
      <c r="QLM16" s="1339"/>
      <c r="QLN16" s="1340"/>
      <c r="QLO16" s="1340"/>
      <c r="QLP16" s="1340"/>
      <c r="QLQ16" s="1341"/>
      <c r="QLR16" s="1342"/>
      <c r="QLS16" s="1336"/>
      <c r="QLT16" s="1336"/>
      <c r="QLU16" s="1336"/>
      <c r="QLV16" s="1336"/>
      <c r="QLW16" s="1337"/>
      <c r="QLX16" s="1337"/>
      <c r="QLY16" s="1337"/>
      <c r="QLZ16" s="1337"/>
      <c r="QMA16" s="1337"/>
      <c r="QMB16" s="1338"/>
      <c r="QMC16" s="1339"/>
      <c r="QMD16" s="1340"/>
      <c r="QME16" s="1340"/>
      <c r="QMF16" s="1340"/>
      <c r="QMG16" s="1341"/>
      <c r="QMH16" s="1342"/>
      <c r="QMI16" s="1336"/>
      <c r="QMJ16" s="1336"/>
      <c r="QMK16" s="1336"/>
      <c r="QML16" s="1336"/>
      <c r="QMM16" s="1337"/>
      <c r="QMN16" s="1337"/>
      <c r="QMO16" s="1337"/>
      <c r="QMP16" s="1337"/>
      <c r="QMQ16" s="1337"/>
      <c r="QMR16" s="1338"/>
      <c r="QMS16" s="1339"/>
      <c r="QMT16" s="1340"/>
      <c r="QMU16" s="1340"/>
      <c r="QMV16" s="1340"/>
      <c r="QMW16" s="1341"/>
      <c r="QMX16" s="1342"/>
      <c r="QMY16" s="1336"/>
      <c r="QMZ16" s="1336"/>
      <c r="QNA16" s="1336"/>
      <c r="QNB16" s="1336"/>
      <c r="QNC16" s="1337"/>
      <c r="QND16" s="1337"/>
      <c r="QNE16" s="1337"/>
      <c r="QNF16" s="1337"/>
      <c r="QNG16" s="1337"/>
      <c r="QNH16" s="1338"/>
      <c r="QNI16" s="1339"/>
      <c r="QNJ16" s="1340"/>
      <c r="QNK16" s="1340"/>
      <c r="QNL16" s="1340"/>
      <c r="QNM16" s="1341"/>
      <c r="QNN16" s="1342"/>
      <c r="QNO16" s="1336"/>
      <c r="QNP16" s="1336"/>
      <c r="QNQ16" s="1336"/>
      <c r="QNR16" s="1336"/>
      <c r="QNS16" s="1337"/>
      <c r="QNT16" s="1337"/>
      <c r="QNU16" s="1337"/>
      <c r="QNV16" s="1337"/>
      <c r="QNW16" s="1337"/>
      <c r="QNX16" s="1338"/>
      <c r="QNY16" s="1339"/>
      <c r="QNZ16" s="1340"/>
      <c r="QOA16" s="1340"/>
      <c r="QOB16" s="1340"/>
      <c r="QOC16" s="1341"/>
      <c r="QOD16" s="1342"/>
      <c r="QOE16" s="1336"/>
      <c r="QOF16" s="1336"/>
      <c r="QOG16" s="1336"/>
      <c r="QOH16" s="1336"/>
      <c r="QOI16" s="1337"/>
      <c r="QOJ16" s="1337"/>
      <c r="QOK16" s="1337"/>
      <c r="QOL16" s="1337"/>
      <c r="QOM16" s="1337"/>
      <c r="QON16" s="1338"/>
      <c r="QOO16" s="1339"/>
      <c r="QOP16" s="1340"/>
      <c r="QOQ16" s="1340"/>
      <c r="QOR16" s="1340"/>
      <c r="QOS16" s="1341"/>
      <c r="QOT16" s="1342"/>
      <c r="QOU16" s="1336"/>
      <c r="QOV16" s="1336"/>
      <c r="QOW16" s="1336"/>
      <c r="QOX16" s="1336"/>
      <c r="QOY16" s="1337"/>
      <c r="QOZ16" s="1337"/>
      <c r="QPA16" s="1337"/>
      <c r="QPB16" s="1337"/>
      <c r="QPC16" s="1337"/>
      <c r="QPD16" s="1338"/>
      <c r="QPE16" s="1339"/>
      <c r="QPF16" s="1340"/>
      <c r="QPG16" s="1340"/>
      <c r="QPH16" s="1340"/>
      <c r="QPI16" s="1341"/>
      <c r="QPJ16" s="1342"/>
      <c r="QPK16" s="1336"/>
      <c r="QPL16" s="1336"/>
      <c r="QPM16" s="1336"/>
      <c r="QPN16" s="1336"/>
      <c r="QPO16" s="1337"/>
      <c r="QPP16" s="1337"/>
      <c r="QPQ16" s="1337"/>
      <c r="QPR16" s="1337"/>
      <c r="QPS16" s="1337"/>
      <c r="QPT16" s="1338"/>
      <c r="QPU16" s="1339"/>
      <c r="QPV16" s="1340"/>
      <c r="QPW16" s="1340"/>
      <c r="QPX16" s="1340"/>
      <c r="QPY16" s="1341"/>
      <c r="QPZ16" s="1342"/>
      <c r="QQA16" s="1336"/>
      <c r="QQB16" s="1336"/>
      <c r="QQC16" s="1336"/>
      <c r="QQD16" s="1336"/>
      <c r="QQE16" s="1337"/>
      <c r="QQF16" s="1337"/>
      <c r="QQG16" s="1337"/>
      <c r="QQH16" s="1337"/>
      <c r="QQI16" s="1337"/>
      <c r="QQJ16" s="1338"/>
      <c r="QQK16" s="1339"/>
      <c r="QQL16" s="1340"/>
      <c r="QQM16" s="1340"/>
      <c r="QQN16" s="1340"/>
      <c r="QQO16" s="1341"/>
      <c r="QQP16" s="1342"/>
      <c r="QQQ16" s="1336"/>
      <c r="QQR16" s="1336"/>
      <c r="QQS16" s="1336"/>
      <c r="QQT16" s="1336"/>
      <c r="QQU16" s="1337"/>
      <c r="QQV16" s="1337"/>
      <c r="QQW16" s="1337"/>
      <c r="QQX16" s="1337"/>
      <c r="QQY16" s="1337"/>
      <c r="QQZ16" s="1338"/>
      <c r="QRA16" s="1339"/>
      <c r="QRB16" s="1340"/>
      <c r="QRC16" s="1340"/>
      <c r="QRD16" s="1340"/>
      <c r="QRE16" s="1341"/>
      <c r="QRF16" s="1342"/>
      <c r="QRG16" s="1336"/>
      <c r="QRH16" s="1336"/>
      <c r="QRI16" s="1336"/>
      <c r="QRJ16" s="1336"/>
      <c r="QRK16" s="1337"/>
      <c r="QRL16" s="1337"/>
      <c r="QRM16" s="1337"/>
      <c r="QRN16" s="1337"/>
      <c r="QRO16" s="1337"/>
      <c r="QRP16" s="1338"/>
      <c r="QRQ16" s="1339"/>
      <c r="QRR16" s="1340"/>
      <c r="QRS16" s="1340"/>
      <c r="QRT16" s="1340"/>
      <c r="QRU16" s="1341"/>
      <c r="QRV16" s="1342"/>
      <c r="QRW16" s="1336"/>
      <c r="QRX16" s="1336"/>
      <c r="QRY16" s="1336"/>
      <c r="QRZ16" s="1336"/>
      <c r="QSA16" s="1337"/>
      <c r="QSB16" s="1337"/>
      <c r="QSC16" s="1337"/>
      <c r="QSD16" s="1337"/>
      <c r="QSE16" s="1337"/>
      <c r="QSF16" s="1338"/>
      <c r="QSG16" s="1339"/>
      <c r="QSH16" s="1340"/>
      <c r="QSI16" s="1340"/>
      <c r="QSJ16" s="1340"/>
      <c r="QSK16" s="1341"/>
      <c r="QSL16" s="1342"/>
      <c r="QSM16" s="1336"/>
      <c r="QSN16" s="1336"/>
      <c r="QSO16" s="1336"/>
      <c r="QSP16" s="1336"/>
      <c r="QSQ16" s="1337"/>
      <c r="QSR16" s="1337"/>
      <c r="QSS16" s="1337"/>
      <c r="QST16" s="1337"/>
      <c r="QSU16" s="1337"/>
      <c r="QSV16" s="1338"/>
      <c r="QSW16" s="1339"/>
      <c r="QSX16" s="1340"/>
      <c r="QSY16" s="1340"/>
      <c r="QSZ16" s="1340"/>
      <c r="QTA16" s="1341"/>
      <c r="QTB16" s="1342"/>
      <c r="QTC16" s="1336"/>
      <c r="QTD16" s="1336"/>
      <c r="QTE16" s="1336"/>
      <c r="QTF16" s="1336"/>
      <c r="QTG16" s="1337"/>
      <c r="QTH16" s="1337"/>
      <c r="QTI16" s="1337"/>
      <c r="QTJ16" s="1337"/>
      <c r="QTK16" s="1337"/>
      <c r="QTL16" s="1338"/>
      <c r="QTM16" s="1339"/>
      <c r="QTN16" s="1340"/>
      <c r="QTO16" s="1340"/>
      <c r="QTP16" s="1340"/>
      <c r="QTQ16" s="1341"/>
      <c r="QTR16" s="1342"/>
      <c r="QTS16" s="1336"/>
      <c r="QTT16" s="1336"/>
      <c r="QTU16" s="1336"/>
      <c r="QTV16" s="1336"/>
      <c r="QTW16" s="1337"/>
      <c r="QTX16" s="1337"/>
      <c r="QTY16" s="1337"/>
      <c r="QTZ16" s="1337"/>
      <c r="QUA16" s="1337"/>
      <c r="QUB16" s="1338"/>
      <c r="QUC16" s="1339"/>
      <c r="QUD16" s="1340"/>
      <c r="QUE16" s="1340"/>
      <c r="QUF16" s="1340"/>
      <c r="QUG16" s="1341"/>
      <c r="QUH16" s="1342"/>
      <c r="QUI16" s="1336"/>
      <c r="QUJ16" s="1336"/>
      <c r="QUK16" s="1336"/>
      <c r="QUL16" s="1336"/>
      <c r="QUM16" s="1337"/>
      <c r="QUN16" s="1337"/>
      <c r="QUO16" s="1337"/>
      <c r="QUP16" s="1337"/>
      <c r="QUQ16" s="1337"/>
      <c r="QUR16" s="1338"/>
      <c r="QUS16" s="1339"/>
      <c r="QUT16" s="1340"/>
      <c r="QUU16" s="1340"/>
      <c r="QUV16" s="1340"/>
      <c r="QUW16" s="1341"/>
      <c r="QUX16" s="1342"/>
      <c r="QUY16" s="1336"/>
      <c r="QUZ16" s="1336"/>
      <c r="QVA16" s="1336"/>
      <c r="QVB16" s="1336"/>
      <c r="QVC16" s="1337"/>
      <c r="QVD16" s="1337"/>
      <c r="QVE16" s="1337"/>
      <c r="QVF16" s="1337"/>
      <c r="QVG16" s="1337"/>
      <c r="QVH16" s="1338"/>
      <c r="QVI16" s="1339"/>
      <c r="QVJ16" s="1340"/>
      <c r="QVK16" s="1340"/>
      <c r="QVL16" s="1340"/>
      <c r="QVM16" s="1341"/>
      <c r="QVN16" s="1342"/>
      <c r="QVO16" s="1336"/>
      <c r="QVP16" s="1336"/>
      <c r="QVQ16" s="1336"/>
      <c r="QVR16" s="1336"/>
      <c r="QVS16" s="1337"/>
      <c r="QVT16" s="1337"/>
      <c r="QVU16" s="1337"/>
      <c r="QVV16" s="1337"/>
      <c r="QVW16" s="1337"/>
      <c r="QVX16" s="1338"/>
      <c r="QVY16" s="1339"/>
      <c r="QVZ16" s="1340"/>
      <c r="QWA16" s="1340"/>
      <c r="QWB16" s="1340"/>
      <c r="QWC16" s="1341"/>
      <c r="QWD16" s="1342"/>
      <c r="QWE16" s="1336"/>
      <c r="QWF16" s="1336"/>
      <c r="QWG16" s="1336"/>
      <c r="QWH16" s="1336"/>
      <c r="QWI16" s="1337"/>
      <c r="QWJ16" s="1337"/>
      <c r="QWK16" s="1337"/>
      <c r="QWL16" s="1337"/>
      <c r="QWM16" s="1337"/>
      <c r="QWN16" s="1338"/>
      <c r="QWO16" s="1339"/>
      <c r="QWP16" s="1340"/>
      <c r="QWQ16" s="1340"/>
      <c r="QWR16" s="1340"/>
      <c r="QWS16" s="1341"/>
      <c r="QWT16" s="1342"/>
      <c r="QWU16" s="1336"/>
      <c r="QWV16" s="1336"/>
      <c r="QWW16" s="1336"/>
      <c r="QWX16" s="1336"/>
      <c r="QWY16" s="1337"/>
      <c r="QWZ16" s="1337"/>
      <c r="QXA16" s="1337"/>
      <c r="QXB16" s="1337"/>
      <c r="QXC16" s="1337"/>
      <c r="QXD16" s="1338"/>
      <c r="QXE16" s="1339"/>
      <c r="QXF16" s="1340"/>
      <c r="QXG16" s="1340"/>
      <c r="QXH16" s="1340"/>
      <c r="QXI16" s="1341"/>
      <c r="QXJ16" s="1342"/>
      <c r="QXK16" s="1336"/>
      <c r="QXL16" s="1336"/>
      <c r="QXM16" s="1336"/>
      <c r="QXN16" s="1336"/>
      <c r="QXO16" s="1337"/>
      <c r="QXP16" s="1337"/>
      <c r="QXQ16" s="1337"/>
      <c r="QXR16" s="1337"/>
      <c r="QXS16" s="1337"/>
      <c r="QXT16" s="1338"/>
      <c r="QXU16" s="1339"/>
      <c r="QXV16" s="1340"/>
      <c r="QXW16" s="1340"/>
      <c r="QXX16" s="1340"/>
      <c r="QXY16" s="1341"/>
      <c r="QXZ16" s="1342"/>
      <c r="QYA16" s="1336"/>
      <c r="QYB16" s="1336"/>
      <c r="QYC16" s="1336"/>
      <c r="QYD16" s="1336"/>
      <c r="QYE16" s="1337"/>
      <c r="QYF16" s="1337"/>
      <c r="QYG16" s="1337"/>
      <c r="QYH16" s="1337"/>
      <c r="QYI16" s="1337"/>
      <c r="QYJ16" s="1338"/>
      <c r="QYK16" s="1339"/>
      <c r="QYL16" s="1340"/>
      <c r="QYM16" s="1340"/>
      <c r="QYN16" s="1340"/>
      <c r="QYO16" s="1341"/>
      <c r="QYP16" s="1342"/>
      <c r="QYQ16" s="1336"/>
      <c r="QYR16" s="1336"/>
      <c r="QYS16" s="1336"/>
      <c r="QYT16" s="1336"/>
      <c r="QYU16" s="1337"/>
      <c r="QYV16" s="1337"/>
      <c r="QYW16" s="1337"/>
      <c r="QYX16" s="1337"/>
      <c r="QYY16" s="1337"/>
      <c r="QYZ16" s="1338"/>
      <c r="QZA16" s="1339"/>
      <c r="QZB16" s="1340"/>
      <c r="QZC16" s="1340"/>
      <c r="QZD16" s="1340"/>
      <c r="QZE16" s="1341"/>
      <c r="QZF16" s="1342"/>
      <c r="QZG16" s="1336"/>
      <c r="QZH16" s="1336"/>
      <c r="QZI16" s="1336"/>
      <c r="QZJ16" s="1336"/>
      <c r="QZK16" s="1337"/>
      <c r="QZL16" s="1337"/>
      <c r="QZM16" s="1337"/>
      <c r="QZN16" s="1337"/>
      <c r="QZO16" s="1337"/>
      <c r="QZP16" s="1338"/>
      <c r="QZQ16" s="1339"/>
      <c r="QZR16" s="1340"/>
      <c r="QZS16" s="1340"/>
      <c r="QZT16" s="1340"/>
      <c r="QZU16" s="1341"/>
      <c r="QZV16" s="1342"/>
      <c r="QZW16" s="1336"/>
      <c r="QZX16" s="1336"/>
      <c r="QZY16" s="1336"/>
      <c r="QZZ16" s="1336"/>
      <c r="RAA16" s="1337"/>
      <c r="RAB16" s="1337"/>
      <c r="RAC16" s="1337"/>
      <c r="RAD16" s="1337"/>
      <c r="RAE16" s="1337"/>
      <c r="RAF16" s="1338"/>
      <c r="RAG16" s="1339"/>
      <c r="RAH16" s="1340"/>
      <c r="RAI16" s="1340"/>
      <c r="RAJ16" s="1340"/>
      <c r="RAK16" s="1341"/>
      <c r="RAL16" s="1342"/>
      <c r="RAM16" s="1336"/>
      <c r="RAN16" s="1336"/>
      <c r="RAO16" s="1336"/>
      <c r="RAP16" s="1336"/>
      <c r="RAQ16" s="1337"/>
      <c r="RAR16" s="1337"/>
      <c r="RAS16" s="1337"/>
      <c r="RAT16" s="1337"/>
      <c r="RAU16" s="1337"/>
      <c r="RAV16" s="1338"/>
      <c r="RAW16" s="1339"/>
      <c r="RAX16" s="1340"/>
      <c r="RAY16" s="1340"/>
      <c r="RAZ16" s="1340"/>
      <c r="RBA16" s="1341"/>
      <c r="RBB16" s="1342"/>
      <c r="RBC16" s="1336"/>
      <c r="RBD16" s="1336"/>
      <c r="RBE16" s="1336"/>
      <c r="RBF16" s="1336"/>
      <c r="RBG16" s="1337"/>
      <c r="RBH16" s="1337"/>
      <c r="RBI16" s="1337"/>
      <c r="RBJ16" s="1337"/>
      <c r="RBK16" s="1337"/>
      <c r="RBL16" s="1338"/>
      <c r="RBM16" s="1339"/>
      <c r="RBN16" s="1340"/>
      <c r="RBO16" s="1340"/>
      <c r="RBP16" s="1340"/>
      <c r="RBQ16" s="1341"/>
      <c r="RBR16" s="1342"/>
      <c r="RBS16" s="1336"/>
      <c r="RBT16" s="1336"/>
      <c r="RBU16" s="1336"/>
      <c r="RBV16" s="1336"/>
      <c r="RBW16" s="1337"/>
      <c r="RBX16" s="1337"/>
      <c r="RBY16" s="1337"/>
      <c r="RBZ16" s="1337"/>
      <c r="RCA16" s="1337"/>
      <c r="RCB16" s="1338"/>
      <c r="RCC16" s="1339"/>
      <c r="RCD16" s="1340"/>
      <c r="RCE16" s="1340"/>
      <c r="RCF16" s="1340"/>
      <c r="RCG16" s="1341"/>
      <c r="RCH16" s="1342"/>
      <c r="RCI16" s="1336"/>
      <c r="RCJ16" s="1336"/>
      <c r="RCK16" s="1336"/>
      <c r="RCL16" s="1336"/>
      <c r="RCM16" s="1337"/>
      <c r="RCN16" s="1337"/>
      <c r="RCO16" s="1337"/>
      <c r="RCP16" s="1337"/>
      <c r="RCQ16" s="1337"/>
      <c r="RCR16" s="1338"/>
      <c r="RCS16" s="1339"/>
      <c r="RCT16" s="1340"/>
      <c r="RCU16" s="1340"/>
      <c r="RCV16" s="1340"/>
      <c r="RCW16" s="1341"/>
      <c r="RCX16" s="1342"/>
      <c r="RCY16" s="1336"/>
      <c r="RCZ16" s="1336"/>
      <c r="RDA16" s="1336"/>
      <c r="RDB16" s="1336"/>
      <c r="RDC16" s="1337"/>
      <c r="RDD16" s="1337"/>
      <c r="RDE16" s="1337"/>
      <c r="RDF16" s="1337"/>
      <c r="RDG16" s="1337"/>
      <c r="RDH16" s="1338"/>
      <c r="RDI16" s="1339"/>
      <c r="RDJ16" s="1340"/>
      <c r="RDK16" s="1340"/>
      <c r="RDL16" s="1340"/>
      <c r="RDM16" s="1341"/>
      <c r="RDN16" s="1342"/>
      <c r="RDO16" s="1336"/>
      <c r="RDP16" s="1336"/>
      <c r="RDQ16" s="1336"/>
      <c r="RDR16" s="1336"/>
      <c r="RDS16" s="1337"/>
      <c r="RDT16" s="1337"/>
      <c r="RDU16" s="1337"/>
      <c r="RDV16" s="1337"/>
      <c r="RDW16" s="1337"/>
      <c r="RDX16" s="1338"/>
      <c r="RDY16" s="1339"/>
      <c r="RDZ16" s="1340"/>
      <c r="REA16" s="1340"/>
      <c r="REB16" s="1340"/>
      <c r="REC16" s="1341"/>
      <c r="RED16" s="1342"/>
      <c r="REE16" s="1336"/>
      <c r="REF16" s="1336"/>
      <c r="REG16" s="1336"/>
      <c r="REH16" s="1336"/>
      <c r="REI16" s="1337"/>
      <c r="REJ16" s="1337"/>
      <c r="REK16" s="1337"/>
      <c r="REL16" s="1337"/>
      <c r="REM16" s="1337"/>
      <c r="REN16" s="1338"/>
      <c r="REO16" s="1339"/>
      <c r="REP16" s="1340"/>
      <c r="REQ16" s="1340"/>
      <c r="RER16" s="1340"/>
      <c r="RES16" s="1341"/>
      <c r="RET16" s="1342"/>
      <c r="REU16" s="1336"/>
      <c r="REV16" s="1336"/>
      <c r="REW16" s="1336"/>
      <c r="REX16" s="1336"/>
      <c r="REY16" s="1337"/>
      <c r="REZ16" s="1337"/>
      <c r="RFA16" s="1337"/>
      <c r="RFB16" s="1337"/>
      <c r="RFC16" s="1337"/>
      <c r="RFD16" s="1338"/>
      <c r="RFE16" s="1339"/>
      <c r="RFF16" s="1340"/>
      <c r="RFG16" s="1340"/>
      <c r="RFH16" s="1340"/>
      <c r="RFI16" s="1341"/>
      <c r="RFJ16" s="1342"/>
      <c r="RFK16" s="1336"/>
      <c r="RFL16" s="1336"/>
      <c r="RFM16" s="1336"/>
      <c r="RFN16" s="1336"/>
      <c r="RFO16" s="1337"/>
      <c r="RFP16" s="1337"/>
      <c r="RFQ16" s="1337"/>
      <c r="RFR16" s="1337"/>
      <c r="RFS16" s="1337"/>
      <c r="RFT16" s="1338"/>
      <c r="RFU16" s="1339"/>
      <c r="RFV16" s="1340"/>
      <c r="RFW16" s="1340"/>
      <c r="RFX16" s="1340"/>
      <c r="RFY16" s="1341"/>
      <c r="RFZ16" s="1342"/>
      <c r="RGA16" s="1336"/>
      <c r="RGB16" s="1336"/>
      <c r="RGC16" s="1336"/>
      <c r="RGD16" s="1336"/>
      <c r="RGE16" s="1337"/>
      <c r="RGF16" s="1337"/>
      <c r="RGG16" s="1337"/>
      <c r="RGH16" s="1337"/>
      <c r="RGI16" s="1337"/>
      <c r="RGJ16" s="1338"/>
      <c r="RGK16" s="1339"/>
      <c r="RGL16" s="1340"/>
      <c r="RGM16" s="1340"/>
      <c r="RGN16" s="1340"/>
      <c r="RGO16" s="1341"/>
      <c r="RGP16" s="1342"/>
      <c r="RGQ16" s="1336"/>
      <c r="RGR16" s="1336"/>
      <c r="RGS16" s="1336"/>
      <c r="RGT16" s="1336"/>
      <c r="RGU16" s="1337"/>
      <c r="RGV16" s="1337"/>
      <c r="RGW16" s="1337"/>
      <c r="RGX16" s="1337"/>
      <c r="RGY16" s="1337"/>
      <c r="RGZ16" s="1338"/>
      <c r="RHA16" s="1339"/>
      <c r="RHB16" s="1340"/>
      <c r="RHC16" s="1340"/>
      <c r="RHD16" s="1340"/>
      <c r="RHE16" s="1341"/>
      <c r="RHF16" s="1342"/>
      <c r="RHG16" s="1336"/>
      <c r="RHH16" s="1336"/>
      <c r="RHI16" s="1336"/>
      <c r="RHJ16" s="1336"/>
      <c r="RHK16" s="1337"/>
      <c r="RHL16" s="1337"/>
      <c r="RHM16" s="1337"/>
      <c r="RHN16" s="1337"/>
      <c r="RHO16" s="1337"/>
      <c r="RHP16" s="1338"/>
      <c r="RHQ16" s="1339"/>
      <c r="RHR16" s="1340"/>
      <c r="RHS16" s="1340"/>
      <c r="RHT16" s="1340"/>
      <c r="RHU16" s="1341"/>
      <c r="RHV16" s="1342"/>
      <c r="RHW16" s="1336"/>
      <c r="RHX16" s="1336"/>
      <c r="RHY16" s="1336"/>
      <c r="RHZ16" s="1336"/>
      <c r="RIA16" s="1337"/>
      <c r="RIB16" s="1337"/>
      <c r="RIC16" s="1337"/>
      <c r="RID16" s="1337"/>
      <c r="RIE16" s="1337"/>
      <c r="RIF16" s="1338"/>
      <c r="RIG16" s="1339"/>
      <c r="RIH16" s="1340"/>
      <c r="RII16" s="1340"/>
      <c r="RIJ16" s="1340"/>
      <c r="RIK16" s="1341"/>
      <c r="RIL16" s="1342"/>
      <c r="RIM16" s="1336"/>
      <c r="RIN16" s="1336"/>
      <c r="RIO16" s="1336"/>
      <c r="RIP16" s="1336"/>
      <c r="RIQ16" s="1337"/>
      <c r="RIR16" s="1337"/>
      <c r="RIS16" s="1337"/>
      <c r="RIT16" s="1337"/>
      <c r="RIU16" s="1337"/>
      <c r="RIV16" s="1338"/>
      <c r="RIW16" s="1339"/>
      <c r="RIX16" s="1340"/>
      <c r="RIY16" s="1340"/>
      <c r="RIZ16" s="1340"/>
      <c r="RJA16" s="1341"/>
      <c r="RJB16" s="1342"/>
      <c r="RJC16" s="1336"/>
      <c r="RJD16" s="1336"/>
      <c r="RJE16" s="1336"/>
      <c r="RJF16" s="1336"/>
      <c r="RJG16" s="1337"/>
      <c r="RJH16" s="1337"/>
      <c r="RJI16" s="1337"/>
      <c r="RJJ16" s="1337"/>
      <c r="RJK16" s="1337"/>
      <c r="RJL16" s="1338"/>
      <c r="RJM16" s="1339"/>
      <c r="RJN16" s="1340"/>
      <c r="RJO16" s="1340"/>
      <c r="RJP16" s="1340"/>
      <c r="RJQ16" s="1341"/>
      <c r="RJR16" s="1342"/>
      <c r="RJS16" s="1336"/>
      <c r="RJT16" s="1336"/>
      <c r="RJU16" s="1336"/>
      <c r="RJV16" s="1336"/>
      <c r="RJW16" s="1337"/>
      <c r="RJX16" s="1337"/>
      <c r="RJY16" s="1337"/>
      <c r="RJZ16" s="1337"/>
      <c r="RKA16" s="1337"/>
      <c r="RKB16" s="1338"/>
      <c r="RKC16" s="1339"/>
      <c r="RKD16" s="1340"/>
      <c r="RKE16" s="1340"/>
      <c r="RKF16" s="1340"/>
      <c r="RKG16" s="1341"/>
      <c r="RKH16" s="1342"/>
      <c r="RKI16" s="1336"/>
      <c r="RKJ16" s="1336"/>
      <c r="RKK16" s="1336"/>
      <c r="RKL16" s="1336"/>
      <c r="RKM16" s="1337"/>
      <c r="RKN16" s="1337"/>
      <c r="RKO16" s="1337"/>
      <c r="RKP16" s="1337"/>
      <c r="RKQ16" s="1337"/>
      <c r="RKR16" s="1338"/>
      <c r="RKS16" s="1339"/>
      <c r="RKT16" s="1340"/>
      <c r="RKU16" s="1340"/>
      <c r="RKV16" s="1340"/>
      <c r="RKW16" s="1341"/>
      <c r="RKX16" s="1342"/>
      <c r="RKY16" s="1336"/>
      <c r="RKZ16" s="1336"/>
      <c r="RLA16" s="1336"/>
      <c r="RLB16" s="1336"/>
      <c r="RLC16" s="1337"/>
      <c r="RLD16" s="1337"/>
      <c r="RLE16" s="1337"/>
      <c r="RLF16" s="1337"/>
      <c r="RLG16" s="1337"/>
      <c r="RLH16" s="1338"/>
      <c r="RLI16" s="1339"/>
      <c r="RLJ16" s="1340"/>
      <c r="RLK16" s="1340"/>
      <c r="RLL16" s="1340"/>
      <c r="RLM16" s="1341"/>
      <c r="RLN16" s="1342"/>
      <c r="RLO16" s="1336"/>
      <c r="RLP16" s="1336"/>
      <c r="RLQ16" s="1336"/>
      <c r="RLR16" s="1336"/>
      <c r="RLS16" s="1337"/>
      <c r="RLT16" s="1337"/>
      <c r="RLU16" s="1337"/>
      <c r="RLV16" s="1337"/>
      <c r="RLW16" s="1337"/>
      <c r="RLX16" s="1338"/>
      <c r="RLY16" s="1339"/>
      <c r="RLZ16" s="1340"/>
      <c r="RMA16" s="1340"/>
      <c r="RMB16" s="1340"/>
      <c r="RMC16" s="1341"/>
      <c r="RMD16" s="1342"/>
      <c r="RME16" s="1336"/>
      <c r="RMF16" s="1336"/>
      <c r="RMG16" s="1336"/>
      <c r="RMH16" s="1336"/>
      <c r="RMI16" s="1337"/>
      <c r="RMJ16" s="1337"/>
      <c r="RMK16" s="1337"/>
      <c r="RML16" s="1337"/>
      <c r="RMM16" s="1337"/>
      <c r="RMN16" s="1338"/>
      <c r="RMO16" s="1339"/>
      <c r="RMP16" s="1340"/>
      <c r="RMQ16" s="1340"/>
      <c r="RMR16" s="1340"/>
      <c r="RMS16" s="1341"/>
      <c r="RMT16" s="1342"/>
      <c r="RMU16" s="1336"/>
      <c r="RMV16" s="1336"/>
      <c r="RMW16" s="1336"/>
      <c r="RMX16" s="1336"/>
      <c r="RMY16" s="1337"/>
      <c r="RMZ16" s="1337"/>
      <c r="RNA16" s="1337"/>
      <c r="RNB16" s="1337"/>
      <c r="RNC16" s="1337"/>
      <c r="RND16" s="1338"/>
      <c r="RNE16" s="1339"/>
      <c r="RNF16" s="1340"/>
      <c r="RNG16" s="1340"/>
      <c r="RNH16" s="1340"/>
      <c r="RNI16" s="1341"/>
      <c r="RNJ16" s="1342"/>
      <c r="RNK16" s="1336"/>
      <c r="RNL16" s="1336"/>
      <c r="RNM16" s="1336"/>
      <c r="RNN16" s="1336"/>
      <c r="RNO16" s="1337"/>
      <c r="RNP16" s="1337"/>
      <c r="RNQ16" s="1337"/>
      <c r="RNR16" s="1337"/>
      <c r="RNS16" s="1337"/>
      <c r="RNT16" s="1338"/>
      <c r="RNU16" s="1339"/>
      <c r="RNV16" s="1340"/>
      <c r="RNW16" s="1340"/>
      <c r="RNX16" s="1340"/>
      <c r="RNY16" s="1341"/>
      <c r="RNZ16" s="1342"/>
      <c r="ROA16" s="1336"/>
      <c r="ROB16" s="1336"/>
      <c r="ROC16" s="1336"/>
      <c r="ROD16" s="1336"/>
      <c r="ROE16" s="1337"/>
      <c r="ROF16" s="1337"/>
      <c r="ROG16" s="1337"/>
      <c r="ROH16" s="1337"/>
      <c r="ROI16" s="1337"/>
      <c r="ROJ16" s="1338"/>
      <c r="ROK16" s="1339"/>
      <c r="ROL16" s="1340"/>
      <c r="ROM16" s="1340"/>
      <c r="RON16" s="1340"/>
      <c r="ROO16" s="1341"/>
      <c r="ROP16" s="1342"/>
      <c r="ROQ16" s="1336"/>
      <c r="ROR16" s="1336"/>
      <c r="ROS16" s="1336"/>
      <c r="ROT16" s="1336"/>
      <c r="ROU16" s="1337"/>
      <c r="ROV16" s="1337"/>
      <c r="ROW16" s="1337"/>
      <c r="ROX16" s="1337"/>
      <c r="ROY16" s="1337"/>
      <c r="ROZ16" s="1338"/>
      <c r="RPA16" s="1339"/>
      <c r="RPB16" s="1340"/>
      <c r="RPC16" s="1340"/>
      <c r="RPD16" s="1340"/>
      <c r="RPE16" s="1341"/>
      <c r="RPF16" s="1342"/>
      <c r="RPG16" s="1336"/>
      <c r="RPH16" s="1336"/>
      <c r="RPI16" s="1336"/>
      <c r="RPJ16" s="1336"/>
      <c r="RPK16" s="1337"/>
      <c r="RPL16" s="1337"/>
      <c r="RPM16" s="1337"/>
      <c r="RPN16" s="1337"/>
      <c r="RPO16" s="1337"/>
      <c r="RPP16" s="1338"/>
      <c r="RPQ16" s="1339"/>
      <c r="RPR16" s="1340"/>
      <c r="RPS16" s="1340"/>
      <c r="RPT16" s="1340"/>
      <c r="RPU16" s="1341"/>
      <c r="RPV16" s="1342"/>
      <c r="RPW16" s="1336"/>
      <c r="RPX16" s="1336"/>
      <c r="RPY16" s="1336"/>
      <c r="RPZ16" s="1336"/>
      <c r="RQA16" s="1337"/>
      <c r="RQB16" s="1337"/>
      <c r="RQC16" s="1337"/>
      <c r="RQD16" s="1337"/>
      <c r="RQE16" s="1337"/>
      <c r="RQF16" s="1338"/>
      <c r="RQG16" s="1339"/>
      <c r="RQH16" s="1340"/>
      <c r="RQI16" s="1340"/>
      <c r="RQJ16" s="1340"/>
      <c r="RQK16" s="1341"/>
      <c r="RQL16" s="1342"/>
      <c r="RQM16" s="1336"/>
      <c r="RQN16" s="1336"/>
      <c r="RQO16" s="1336"/>
      <c r="RQP16" s="1336"/>
      <c r="RQQ16" s="1337"/>
      <c r="RQR16" s="1337"/>
      <c r="RQS16" s="1337"/>
      <c r="RQT16" s="1337"/>
      <c r="RQU16" s="1337"/>
      <c r="RQV16" s="1338"/>
      <c r="RQW16" s="1339"/>
      <c r="RQX16" s="1340"/>
      <c r="RQY16" s="1340"/>
      <c r="RQZ16" s="1340"/>
      <c r="RRA16" s="1341"/>
      <c r="RRB16" s="1342"/>
      <c r="RRC16" s="1336"/>
      <c r="RRD16" s="1336"/>
      <c r="RRE16" s="1336"/>
      <c r="RRF16" s="1336"/>
      <c r="RRG16" s="1337"/>
      <c r="RRH16" s="1337"/>
      <c r="RRI16" s="1337"/>
      <c r="RRJ16" s="1337"/>
      <c r="RRK16" s="1337"/>
      <c r="RRL16" s="1338"/>
      <c r="RRM16" s="1339"/>
      <c r="RRN16" s="1340"/>
      <c r="RRO16" s="1340"/>
      <c r="RRP16" s="1340"/>
      <c r="RRQ16" s="1341"/>
      <c r="RRR16" s="1342"/>
      <c r="RRS16" s="1336"/>
      <c r="RRT16" s="1336"/>
      <c r="RRU16" s="1336"/>
      <c r="RRV16" s="1336"/>
      <c r="RRW16" s="1337"/>
      <c r="RRX16" s="1337"/>
      <c r="RRY16" s="1337"/>
      <c r="RRZ16" s="1337"/>
      <c r="RSA16" s="1337"/>
      <c r="RSB16" s="1338"/>
      <c r="RSC16" s="1339"/>
      <c r="RSD16" s="1340"/>
      <c r="RSE16" s="1340"/>
      <c r="RSF16" s="1340"/>
      <c r="RSG16" s="1341"/>
      <c r="RSH16" s="1342"/>
      <c r="RSI16" s="1336"/>
      <c r="RSJ16" s="1336"/>
      <c r="RSK16" s="1336"/>
      <c r="RSL16" s="1336"/>
      <c r="RSM16" s="1337"/>
      <c r="RSN16" s="1337"/>
      <c r="RSO16" s="1337"/>
      <c r="RSP16" s="1337"/>
      <c r="RSQ16" s="1337"/>
      <c r="RSR16" s="1338"/>
      <c r="RSS16" s="1339"/>
      <c r="RST16" s="1340"/>
      <c r="RSU16" s="1340"/>
      <c r="RSV16" s="1340"/>
      <c r="RSW16" s="1341"/>
      <c r="RSX16" s="1342"/>
      <c r="RSY16" s="1336"/>
      <c r="RSZ16" s="1336"/>
      <c r="RTA16" s="1336"/>
      <c r="RTB16" s="1336"/>
      <c r="RTC16" s="1337"/>
      <c r="RTD16" s="1337"/>
      <c r="RTE16" s="1337"/>
      <c r="RTF16" s="1337"/>
      <c r="RTG16" s="1337"/>
      <c r="RTH16" s="1338"/>
      <c r="RTI16" s="1339"/>
      <c r="RTJ16" s="1340"/>
      <c r="RTK16" s="1340"/>
      <c r="RTL16" s="1340"/>
      <c r="RTM16" s="1341"/>
      <c r="RTN16" s="1342"/>
      <c r="RTO16" s="1336"/>
      <c r="RTP16" s="1336"/>
      <c r="RTQ16" s="1336"/>
      <c r="RTR16" s="1336"/>
      <c r="RTS16" s="1337"/>
      <c r="RTT16" s="1337"/>
      <c r="RTU16" s="1337"/>
      <c r="RTV16" s="1337"/>
      <c r="RTW16" s="1337"/>
      <c r="RTX16" s="1338"/>
      <c r="RTY16" s="1339"/>
      <c r="RTZ16" s="1340"/>
      <c r="RUA16" s="1340"/>
      <c r="RUB16" s="1340"/>
      <c r="RUC16" s="1341"/>
      <c r="RUD16" s="1342"/>
      <c r="RUE16" s="1336"/>
      <c r="RUF16" s="1336"/>
      <c r="RUG16" s="1336"/>
      <c r="RUH16" s="1336"/>
      <c r="RUI16" s="1337"/>
      <c r="RUJ16" s="1337"/>
      <c r="RUK16" s="1337"/>
      <c r="RUL16" s="1337"/>
      <c r="RUM16" s="1337"/>
      <c r="RUN16" s="1338"/>
      <c r="RUO16" s="1339"/>
      <c r="RUP16" s="1340"/>
      <c r="RUQ16" s="1340"/>
      <c r="RUR16" s="1340"/>
      <c r="RUS16" s="1341"/>
      <c r="RUT16" s="1342"/>
      <c r="RUU16" s="1336"/>
      <c r="RUV16" s="1336"/>
      <c r="RUW16" s="1336"/>
      <c r="RUX16" s="1336"/>
      <c r="RUY16" s="1337"/>
      <c r="RUZ16" s="1337"/>
      <c r="RVA16" s="1337"/>
      <c r="RVB16" s="1337"/>
      <c r="RVC16" s="1337"/>
      <c r="RVD16" s="1338"/>
      <c r="RVE16" s="1339"/>
      <c r="RVF16" s="1340"/>
      <c r="RVG16" s="1340"/>
      <c r="RVH16" s="1340"/>
      <c r="RVI16" s="1341"/>
      <c r="RVJ16" s="1342"/>
      <c r="RVK16" s="1336"/>
      <c r="RVL16" s="1336"/>
      <c r="RVM16" s="1336"/>
      <c r="RVN16" s="1336"/>
      <c r="RVO16" s="1337"/>
      <c r="RVP16" s="1337"/>
      <c r="RVQ16" s="1337"/>
      <c r="RVR16" s="1337"/>
      <c r="RVS16" s="1337"/>
      <c r="RVT16" s="1338"/>
      <c r="RVU16" s="1339"/>
      <c r="RVV16" s="1340"/>
      <c r="RVW16" s="1340"/>
      <c r="RVX16" s="1340"/>
      <c r="RVY16" s="1341"/>
      <c r="RVZ16" s="1342"/>
      <c r="RWA16" s="1336"/>
      <c r="RWB16" s="1336"/>
      <c r="RWC16" s="1336"/>
      <c r="RWD16" s="1336"/>
      <c r="RWE16" s="1337"/>
      <c r="RWF16" s="1337"/>
      <c r="RWG16" s="1337"/>
      <c r="RWH16" s="1337"/>
      <c r="RWI16" s="1337"/>
      <c r="RWJ16" s="1338"/>
      <c r="RWK16" s="1339"/>
      <c r="RWL16" s="1340"/>
      <c r="RWM16" s="1340"/>
      <c r="RWN16" s="1340"/>
      <c r="RWO16" s="1341"/>
      <c r="RWP16" s="1342"/>
      <c r="RWQ16" s="1336"/>
      <c r="RWR16" s="1336"/>
      <c r="RWS16" s="1336"/>
      <c r="RWT16" s="1336"/>
      <c r="RWU16" s="1337"/>
      <c r="RWV16" s="1337"/>
      <c r="RWW16" s="1337"/>
      <c r="RWX16" s="1337"/>
      <c r="RWY16" s="1337"/>
      <c r="RWZ16" s="1338"/>
      <c r="RXA16" s="1339"/>
      <c r="RXB16" s="1340"/>
      <c r="RXC16" s="1340"/>
      <c r="RXD16" s="1340"/>
      <c r="RXE16" s="1341"/>
      <c r="RXF16" s="1342"/>
      <c r="RXG16" s="1336"/>
      <c r="RXH16" s="1336"/>
      <c r="RXI16" s="1336"/>
      <c r="RXJ16" s="1336"/>
      <c r="RXK16" s="1337"/>
      <c r="RXL16" s="1337"/>
      <c r="RXM16" s="1337"/>
      <c r="RXN16" s="1337"/>
      <c r="RXO16" s="1337"/>
      <c r="RXP16" s="1338"/>
      <c r="RXQ16" s="1339"/>
      <c r="RXR16" s="1340"/>
      <c r="RXS16" s="1340"/>
      <c r="RXT16" s="1340"/>
      <c r="RXU16" s="1341"/>
      <c r="RXV16" s="1342"/>
      <c r="RXW16" s="1336"/>
      <c r="RXX16" s="1336"/>
      <c r="RXY16" s="1336"/>
      <c r="RXZ16" s="1336"/>
      <c r="RYA16" s="1337"/>
      <c r="RYB16" s="1337"/>
      <c r="RYC16" s="1337"/>
      <c r="RYD16" s="1337"/>
      <c r="RYE16" s="1337"/>
      <c r="RYF16" s="1338"/>
      <c r="RYG16" s="1339"/>
      <c r="RYH16" s="1340"/>
      <c r="RYI16" s="1340"/>
      <c r="RYJ16" s="1340"/>
      <c r="RYK16" s="1341"/>
      <c r="RYL16" s="1342"/>
      <c r="RYM16" s="1336"/>
      <c r="RYN16" s="1336"/>
      <c r="RYO16" s="1336"/>
      <c r="RYP16" s="1336"/>
      <c r="RYQ16" s="1337"/>
      <c r="RYR16" s="1337"/>
      <c r="RYS16" s="1337"/>
      <c r="RYT16" s="1337"/>
      <c r="RYU16" s="1337"/>
      <c r="RYV16" s="1338"/>
      <c r="RYW16" s="1339"/>
      <c r="RYX16" s="1340"/>
      <c r="RYY16" s="1340"/>
      <c r="RYZ16" s="1340"/>
      <c r="RZA16" s="1341"/>
      <c r="RZB16" s="1342"/>
      <c r="RZC16" s="1336"/>
      <c r="RZD16" s="1336"/>
      <c r="RZE16" s="1336"/>
      <c r="RZF16" s="1336"/>
      <c r="RZG16" s="1337"/>
      <c r="RZH16" s="1337"/>
      <c r="RZI16" s="1337"/>
      <c r="RZJ16" s="1337"/>
      <c r="RZK16" s="1337"/>
      <c r="RZL16" s="1338"/>
      <c r="RZM16" s="1339"/>
      <c r="RZN16" s="1340"/>
      <c r="RZO16" s="1340"/>
      <c r="RZP16" s="1340"/>
      <c r="RZQ16" s="1341"/>
      <c r="RZR16" s="1342"/>
      <c r="RZS16" s="1336"/>
      <c r="RZT16" s="1336"/>
      <c r="RZU16" s="1336"/>
      <c r="RZV16" s="1336"/>
      <c r="RZW16" s="1337"/>
      <c r="RZX16" s="1337"/>
      <c r="RZY16" s="1337"/>
      <c r="RZZ16" s="1337"/>
      <c r="SAA16" s="1337"/>
      <c r="SAB16" s="1338"/>
      <c r="SAC16" s="1339"/>
      <c r="SAD16" s="1340"/>
      <c r="SAE16" s="1340"/>
      <c r="SAF16" s="1340"/>
      <c r="SAG16" s="1341"/>
      <c r="SAH16" s="1342"/>
      <c r="SAI16" s="1336"/>
      <c r="SAJ16" s="1336"/>
      <c r="SAK16" s="1336"/>
      <c r="SAL16" s="1336"/>
      <c r="SAM16" s="1337"/>
      <c r="SAN16" s="1337"/>
      <c r="SAO16" s="1337"/>
      <c r="SAP16" s="1337"/>
      <c r="SAQ16" s="1337"/>
      <c r="SAR16" s="1338"/>
      <c r="SAS16" s="1339"/>
      <c r="SAT16" s="1340"/>
      <c r="SAU16" s="1340"/>
      <c r="SAV16" s="1340"/>
      <c r="SAW16" s="1341"/>
      <c r="SAX16" s="1342"/>
      <c r="SAY16" s="1336"/>
      <c r="SAZ16" s="1336"/>
      <c r="SBA16" s="1336"/>
      <c r="SBB16" s="1336"/>
      <c r="SBC16" s="1337"/>
      <c r="SBD16" s="1337"/>
      <c r="SBE16" s="1337"/>
      <c r="SBF16" s="1337"/>
      <c r="SBG16" s="1337"/>
      <c r="SBH16" s="1338"/>
      <c r="SBI16" s="1339"/>
      <c r="SBJ16" s="1340"/>
      <c r="SBK16" s="1340"/>
      <c r="SBL16" s="1340"/>
      <c r="SBM16" s="1341"/>
      <c r="SBN16" s="1342"/>
      <c r="SBO16" s="1336"/>
      <c r="SBP16" s="1336"/>
      <c r="SBQ16" s="1336"/>
      <c r="SBR16" s="1336"/>
      <c r="SBS16" s="1337"/>
      <c r="SBT16" s="1337"/>
      <c r="SBU16" s="1337"/>
      <c r="SBV16" s="1337"/>
      <c r="SBW16" s="1337"/>
      <c r="SBX16" s="1338"/>
      <c r="SBY16" s="1339"/>
      <c r="SBZ16" s="1340"/>
      <c r="SCA16" s="1340"/>
      <c r="SCB16" s="1340"/>
      <c r="SCC16" s="1341"/>
      <c r="SCD16" s="1342"/>
      <c r="SCE16" s="1336"/>
      <c r="SCF16" s="1336"/>
      <c r="SCG16" s="1336"/>
      <c r="SCH16" s="1336"/>
      <c r="SCI16" s="1337"/>
      <c r="SCJ16" s="1337"/>
      <c r="SCK16" s="1337"/>
      <c r="SCL16" s="1337"/>
      <c r="SCM16" s="1337"/>
      <c r="SCN16" s="1338"/>
      <c r="SCO16" s="1339"/>
      <c r="SCP16" s="1340"/>
      <c r="SCQ16" s="1340"/>
      <c r="SCR16" s="1340"/>
      <c r="SCS16" s="1341"/>
      <c r="SCT16" s="1342"/>
      <c r="SCU16" s="1336"/>
      <c r="SCV16" s="1336"/>
      <c r="SCW16" s="1336"/>
      <c r="SCX16" s="1336"/>
      <c r="SCY16" s="1337"/>
      <c r="SCZ16" s="1337"/>
      <c r="SDA16" s="1337"/>
      <c r="SDB16" s="1337"/>
      <c r="SDC16" s="1337"/>
      <c r="SDD16" s="1338"/>
      <c r="SDE16" s="1339"/>
      <c r="SDF16" s="1340"/>
      <c r="SDG16" s="1340"/>
      <c r="SDH16" s="1340"/>
      <c r="SDI16" s="1341"/>
      <c r="SDJ16" s="1342"/>
      <c r="SDK16" s="1336"/>
      <c r="SDL16" s="1336"/>
      <c r="SDM16" s="1336"/>
      <c r="SDN16" s="1336"/>
      <c r="SDO16" s="1337"/>
      <c r="SDP16" s="1337"/>
      <c r="SDQ16" s="1337"/>
      <c r="SDR16" s="1337"/>
      <c r="SDS16" s="1337"/>
      <c r="SDT16" s="1338"/>
      <c r="SDU16" s="1339"/>
      <c r="SDV16" s="1340"/>
      <c r="SDW16" s="1340"/>
      <c r="SDX16" s="1340"/>
      <c r="SDY16" s="1341"/>
      <c r="SDZ16" s="1342"/>
      <c r="SEA16" s="1336"/>
      <c r="SEB16" s="1336"/>
      <c r="SEC16" s="1336"/>
      <c r="SED16" s="1336"/>
      <c r="SEE16" s="1337"/>
      <c r="SEF16" s="1337"/>
      <c r="SEG16" s="1337"/>
      <c r="SEH16" s="1337"/>
      <c r="SEI16" s="1337"/>
      <c r="SEJ16" s="1338"/>
      <c r="SEK16" s="1339"/>
      <c r="SEL16" s="1340"/>
      <c r="SEM16" s="1340"/>
      <c r="SEN16" s="1340"/>
      <c r="SEO16" s="1341"/>
      <c r="SEP16" s="1342"/>
      <c r="SEQ16" s="1336"/>
      <c r="SER16" s="1336"/>
      <c r="SES16" s="1336"/>
      <c r="SET16" s="1336"/>
      <c r="SEU16" s="1337"/>
      <c r="SEV16" s="1337"/>
      <c r="SEW16" s="1337"/>
      <c r="SEX16" s="1337"/>
      <c r="SEY16" s="1337"/>
      <c r="SEZ16" s="1338"/>
      <c r="SFA16" s="1339"/>
      <c r="SFB16" s="1340"/>
      <c r="SFC16" s="1340"/>
      <c r="SFD16" s="1340"/>
      <c r="SFE16" s="1341"/>
      <c r="SFF16" s="1342"/>
      <c r="SFG16" s="1336"/>
      <c r="SFH16" s="1336"/>
      <c r="SFI16" s="1336"/>
      <c r="SFJ16" s="1336"/>
      <c r="SFK16" s="1337"/>
      <c r="SFL16" s="1337"/>
      <c r="SFM16" s="1337"/>
      <c r="SFN16" s="1337"/>
      <c r="SFO16" s="1337"/>
      <c r="SFP16" s="1338"/>
      <c r="SFQ16" s="1339"/>
      <c r="SFR16" s="1340"/>
      <c r="SFS16" s="1340"/>
      <c r="SFT16" s="1340"/>
      <c r="SFU16" s="1341"/>
      <c r="SFV16" s="1342"/>
      <c r="SFW16" s="1336"/>
      <c r="SFX16" s="1336"/>
      <c r="SFY16" s="1336"/>
      <c r="SFZ16" s="1336"/>
      <c r="SGA16" s="1337"/>
      <c r="SGB16" s="1337"/>
      <c r="SGC16" s="1337"/>
      <c r="SGD16" s="1337"/>
      <c r="SGE16" s="1337"/>
      <c r="SGF16" s="1338"/>
      <c r="SGG16" s="1339"/>
      <c r="SGH16" s="1340"/>
      <c r="SGI16" s="1340"/>
      <c r="SGJ16" s="1340"/>
      <c r="SGK16" s="1341"/>
      <c r="SGL16" s="1342"/>
      <c r="SGM16" s="1336"/>
      <c r="SGN16" s="1336"/>
      <c r="SGO16" s="1336"/>
      <c r="SGP16" s="1336"/>
      <c r="SGQ16" s="1337"/>
      <c r="SGR16" s="1337"/>
      <c r="SGS16" s="1337"/>
      <c r="SGT16" s="1337"/>
      <c r="SGU16" s="1337"/>
      <c r="SGV16" s="1338"/>
      <c r="SGW16" s="1339"/>
      <c r="SGX16" s="1340"/>
      <c r="SGY16" s="1340"/>
      <c r="SGZ16" s="1340"/>
      <c r="SHA16" s="1341"/>
      <c r="SHB16" s="1342"/>
      <c r="SHC16" s="1336"/>
      <c r="SHD16" s="1336"/>
      <c r="SHE16" s="1336"/>
      <c r="SHF16" s="1336"/>
      <c r="SHG16" s="1337"/>
      <c r="SHH16" s="1337"/>
      <c r="SHI16" s="1337"/>
      <c r="SHJ16" s="1337"/>
      <c r="SHK16" s="1337"/>
      <c r="SHL16" s="1338"/>
      <c r="SHM16" s="1339"/>
      <c r="SHN16" s="1340"/>
      <c r="SHO16" s="1340"/>
      <c r="SHP16" s="1340"/>
      <c r="SHQ16" s="1341"/>
      <c r="SHR16" s="1342"/>
      <c r="SHS16" s="1336"/>
      <c r="SHT16" s="1336"/>
      <c r="SHU16" s="1336"/>
      <c r="SHV16" s="1336"/>
      <c r="SHW16" s="1337"/>
      <c r="SHX16" s="1337"/>
      <c r="SHY16" s="1337"/>
      <c r="SHZ16" s="1337"/>
      <c r="SIA16" s="1337"/>
      <c r="SIB16" s="1338"/>
      <c r="SIC16" s="1339"/>
      <c r="SID16" s="1340"/>
      <c r="SIE16" s="1340"/>
      <c r="SIF16" s="1340"/>
      <c r="SIG16" s="1341"/>
      <c r="SIH16" s="1342"/>
      <c r="SII16" s="1336"/>
      <c r="SIJ16" s="1336"/>
      <c r="SIK16" s="1336"/>
      <c r="SIL16" s="1336"/>
      <c r="SIM16" s="1337"/>
      <c r="SIN16" s="1337"/>
      <c r="SIO16" s="1337"/>
      <c r="SIP16" s="1337"/>
      <c r="SIQ16" s="1337"/>
      <c r="SIR16" s="1338"/>
      <c r="SIS16" s="1339"/>
      <c r="SIT16" s="1340"/>
      <c r="SIU16" s="1340"/>
      <c r="SIV16" s="1340"/>
      <c r="SIW16" s="1341"/>
      <c r="SIX16" s="1342"/>
      <c r="SIY16" s="1336"/>
      <c r="SIZ16" s="1336"/>
      <c r="SJA16" s="1336"/>
      <c r="SJB16" s="1336"/>
      <c r="SJC16" s="1337"/>
      <c r="SJD16" s="1337"/>
      <c r="SJE16" s="1337"/>
      <c r="SJF16" s="1337"/>
      <c r="SJG16" s="1337"/>
      <c r="SJH16" s="1338"/>
      <c r="SJI16" s="1339"/>
      <c r="SJJ16" s="1340"/>
      <c r="SJK16" s="1340"/>
      <c r="SJL16" s="1340"/>
      <c r="SJM16" s="1341"/>
      <c r="SJN16" s="1342"/>
      <c r="SJO16" s="1336"/>
      <c r="SJP16" s="1336"/>
      <c r="SJQ16" s="1336"/>
      <c r="SJR16" s="1336"/>
      <c r="SJS16" s="1337"/>
      <c r="SJT16" s="1337"/>
      <c r="SJU16" s="1337"/>
      <c r="SJV16" s="1337"/>
      <c r="SJW16" s="1337"/>
      <c r="SJX16" s="1338"/>
      <c r="SJY16" s="1339"/>
      <c r="SJZ16" s="1340"/>
      <c r="SKA16" s="1340"/>
      <c r="SKB16" s="1340"/>
      <c r="SKC16" s="1341"/>
      <c r="SKD16" s="1342"/>
      <c r="SKE16" s="1336"/>
      <c r="SKF16" s="1336"/>
      <c r="SKG16" s="1336"/>
      <c r="SKH16" s="1336"/>
      <c r="SKI16" s="1337"/>
      <c r="SKJ16" s="1337"/>
      <c r="SKK16" s="1337"/>
      <c r="SKL16" s="1337"/>
      <c r="SKM16" s="1337"/>
      <c r="SKN16" s="1338"/>
      <c r="SKO16" s="1339"/>
      <c r="SKP16" s="1340"/>
      <c r="SKQ16" s="1340"/>
      <c r="SKR16" s="1340"/>
      <c r="SKS16" s="1341"/>
      <c r="SKT16" s="1342"/>
      <c r="SKU16" s="1336"/>
      <c r="SKV16" s="1336"/>
      <c r="SKW16" s="1336"/>
      <c r="SKX16" s="1336"/>
      <c r="SKY16" s="1337"/>
      <c r="SKZ16" s="1337"/>
      <c r="SLA16" s="1337"/>
      <c r="SLB16" s="1337"/>
      <c r="SLC16" s="1337"/>
      <c r="SLD16" s="1338"/>
      <c r="SLE16" s="1339"/>
      <c r="SLF16" s="1340"/>
      <c r="SLG16" s="1340"/>
      <c r="SLH16" s="1340"/>
      <c r="SLI16" s="1341"/>
      <c r="SLJ16" s="1342"/>
      <c r="SLK16" s="1336"/>
      <c r="SLL16" s="1336"/>
      <c r="SLM16" s="1336"/>
      <c r="SLN16" s="1336"/>
      <c r="SLO16" s="1337"/>
      <c r="SLP16" s="1337"/>
      <c r="SLQ16" s="1337"/>
      <c r="SLR16" s="1337"/>
      <c r="SLS16" s="1337"/>
      <c r="SLT16" s="1338"/>
      <c r="SLU16" s="1339"/>
      <c r="SLV16" s="1340"/>
      <c r="SLW16" s="1340"/>
      <c r="SLX16" s="1340"/>
      <c r="SLY16" s="1341"/>
      <c r="SLZ16" s="1342"/>
      <c r="SMA16" s="1336"/>
      <c r="SMB16" s="1336"/>
      <c r="SMC16" s="1336"/>
      <c r="SMD16" s="1336"/>
      <c r="SME16" s="1337"/>
      <c r="SMF16" s="1337"/>
      <c r="SMG16" s="1337"/>
      <c r="SMH16" s="1337"/>
      <c r="SMI16" s="1337"/>
      <c r="SMJ16" s="1338"/>
      <c r="SMK16" s="1339"/>
      <c r="SML16" s="1340"/>
      <c r="SMM16" s="1340"/>
      <c r="SMN16" s="1340"/>
      <c r="SMO16" s="1341"/>
      <c r="SMP16" s="1342"/>
      <c r="SMQ16" s="1336"/>
      <c r="SMR16" s="1336"/>
      <c r="SMS16" s="1336"/>
      <c r="SMT16" s="1336"/>
      <c r="SMU16" s="1337"/>
      <c r="SMV16" s="1337"/>
      <c r="SMW16" s="1337"/>
      <c r="SMX16" s="1337"/>
      <c r="SMY16" s="1337"/>
      <c r="SMZ16" s="1338"/>
      <c r="SNA16" s="1339"/>
      <c r="SNB16" s="1340"/>
      <c r="SNC16" s="1340"/>
      <c r="SND16" s="1340"/>
      <c r="SNE16" s="1341"/>
      <c r="SNF16" s="1342"/>
      <c r="SNG16" s="1336"/>
      <c r="SNH16" s="1336"/>
      <c r="SNI16" s="1336"/>
      <c r="SNJ16" s="1336"/>
      <c r="SNK16" s="1337"/>
      <c r="SNL16" s="1337"/>
      <c r="SNM16" s="1337"/>
      <c r="SNN16" s="1337"/>
      <c r="SNO16" s="1337"/>
      <c r="SNP16" s="1338"/>
      <c r="SNQ16" s="1339"/>
      <c r="SNR16" s="1340"/>
      <c r="SNS16" s="1340"/>
      <c r="SNT16" s="1340"/>
      <c r="SNU16" s="1341"/>
      <c r="SNV16" s="1342"/>
      <c r="SNW16" s="1336"/>
      <c r="SNX16" s="1336"/>
      <c r="SNY16" s="1336"/>
      <c r="SNZ16" s="1336"/>
      <c r="SOA16" s="1337"/>
      <c r="SOB16" s="1337"/>
      <c r="SOC16" s="1337"/>
      <c r="SOD16" s="1337"/>
      <c r="SOE16" s="1337"/>
      <c r="SOF16" s="1338"/>
      <c r="SOG16" s="1339"/>
      <c r="SOH16" s="1340"/>
      <c r="SOI16" s="1340"/>
      <c r="SOJ16" s="1340"/>
      <c r="SOK16" s="1341"/>
      <c r="SOL16" s="1342"/>
      <c r="SOM16" s="1336"/>
      <c r="SON16" s="1336"/>
      <c r="SOO16" s="1336"/>
      <c r="SOP16" s="1336"/>
      <c r="SOQ16" s="1337"/>
      <c r="SOR16" s="1337"/>
      <c r="SOS16" s="1337"/>
      <c r="SOT16" s="1337"/>
      <c r="SOU16" s="1337"/>
      <c r="SOV16" s="1338"/>
      <c r="SOW16" s="1339"/>
      <c r="SOX16" s="1340"/>
      <c r="SOY16" s="1340"/>
      <c r="SOZ16" s="1340"/>
      <c r="SPA16" s="1341"/>
      <c r="SPB16" s="1342"/>
      <c r="SPC16" s="1336"/>
      <c r="SPD16" s="1336"/>
      <c r="SPE16" s="1336"/>
      <c r="SPF16" s="1336"/>
      <c r="SPG16" s="1337"/>
      <c r="SPH16" s="1337"/>
      <c r="SPI16" s="1337"/>
      <c r="SPJ16" s="1337"/>
      <c r="SPK16" s="1337"/>
      <c r="SPL16" s="1338"/>
      <c r="SPM16" s="1339"/>
      <c r="SPN16" s="1340"/>
      <c r="SPO16" s="1340"/>
      <c r="SPP16" s="1340"/>
      <c r="SPQ16" s="1341"/>
      <c r="SPR16" s="1342"/>
      <c r="SPS16" s="1336"/>
      <c r="SPT16" s="1336"/>
      <c r="SPU16" s="1336"/>
      <c r="SPV16" s="1336"/>
      <c r="SPW16" s="1337"/>
      <c r="SPX16" s="1337"/>
      <c r="SPY16" s="1337"/>
      <c r="SPZ16" s="1337"/>
      <c r="SQA16" s="1337"/>
      <c r="SQB16" s="1338"/>
      <c r="SQC16" s="1339"/>
      <c r="SQD16" s="1340"/>
      <c r="SQE16" s="1340"/>
      <c r="SQF16" s="1340"/>
      <c r="SQG16" s="1341"/>
      <c r="SQH16" s="1342"/>
      <c r="SQI16" s="1336"/>
      <c r="SQJ16" s="1336"/>
      <c r="SQK16" s="1336"/>
      <c r="SQL16" s="1336"/>
      <c r="SQM16" s="1337"/>
      <c r="SQN16" s="1337"/>
      <c r="SQO16" s="1337"/>
      <c r="SQP16" s="1337"/>
      <c r="SQQ16" s="1337"/>
      <c r="SQR16" s="1338"/>
      <c r="SQS16" s="1339"/>
      <c r="SQT16" s="1340"/>
      <c r="SQU16" s="1340"/>
      <c r="SQV16" s="1340"/>
      <c r="SQW16" s="1341"/>
      <c r="SQX16" s="1342"/>
      <c r="SQY16" s="1336"/>
      <c r="SQZ16" s="1336"/>
      <c r="SRA16" s="1336"/>
      <c r="SRB16" s="1336"/>
      <c r="SRC16" s="1337"/>
      <c r="SRD16" s="1337"/>
      <c r="SRE16" s="1337"/>
      <c r="SRF16" s="1337"/>
      <c r="SRG16" s="1337"/>
      <c r="SRH16" s="1338"/>
      <c r="SRI16" s="1339"/>
      <c r="SRJ16" s="1340"/>
      <c r="SRK16" s="1340"/>
      <c r="SRL16" s="1340"/>
      <c r="SRM16" s="1341"/>
      <c r="SRN16" s="1342"/>
      <c r="SRO16" s="1336"/>
      <c r="SRP16" s="1336"/>
      <c r="SRQ16" s="1336"/>
      <c r="SRR16" s="1336"/>
      <c r="SRS16" s="1337"/>
      <c r="SRT16" s="1337"/>
      <c r="SRU16" s="1337"/>
      <c r="SRV16" s="1337"/>
      <c r="SRW16" s="1337"/>
      <c r="SRX16" s="1338"/>
      <c r="SRY16" s="1339"/>
      <c r="SRZ16" s="1340"/>
      <c r="SSA16" s="1340"/>
      <c r="SSB16" s="1340"/>
      <c r="SSC16" s="1341"/>
      <c r="SSD16" s="1342"/>
      <c r="SSE16" s="1336"/>
      <c r="SSF16" s="1336"/>
      <c r="SSG16" s="1336"/>
      <c r="SSH16" s="1336"/>
      <c r="SSI16" s="1337"/>
      <c r="SSJ16" s="1337"/>
      <c r="SSK16" s="1337"/>
      <c r="SSL16" s="1337"/>
      <c r="SSM16" s="1337"/>
      <c r="SSN16" s="1338"/>
      <c r="SSO16" s="1339"/>
      <c r="SSP16" s="1340"/>
      <c r="SSQ16" s="1340"/>
      <c r="SSR16" s="1340"/>
      <c r="SSS16" s="1341"/>
      <c r="SST16" s="1342"/>
      <c r="SSU16" s="1336"/>
      <c r="SSV16" s="1336"/>
      <c r="SSW16" s="1336"/>
      <c r="SSX16" s="1336"/>
      <c r="SSY16" s="1337"/>
      <c r="SSZ16" s="1337"/>
      <c r="STA16" s="1337"/>
      <c r="STB16" s="1337"/>
      <c r="STC16" s="1337"/>
      <c r="STD16" s="1338"/>
      <c r="STE16" s="1339"/>
      <c r="STF16" s="1340"/>
      <c r="STG16" s="1340"/>
      <c r="STH16" s="1340"/>
      <c r="STI16" s="1341"/>
      <c r="STJ16" s="1342"/>
      <c r="STK16" s="1336"/>
      <c r="STL16" s="1336"/>
      <c r="STM16" s="1336"/>
      <c r="STN16" s="1336"/>
      <c r="STO16" s="1337"/>
      <c r="STP16" s="1337"/>
      <c r="STQ16" s="1337"/>
      <c r="STR16" s="1337"/>
      <c r="STS16" s="1337"/>
      <c r="STT16" s="1338"/>
      <c r="STU16" s="1339"/>
      <c r="STV16" s="1340"/>
      <c r="STW16" s="1340"/>
      <c r="STX16" s="1340"/>
      <c r="STY16" s="1341"/>
      <c r="STZ16" s="1342"/>
      <c r="SUA16" s="1336"/>
      <c r="SUB16" s="1336"/>
      <c r="SUC16" s="1336"/>
      <c r="SUD16" s="1336"/>
      <c r="SUE16" s="1337"/>
      <c r="SUF16" s="1337"/>
      <c r="SUG16" s="1337"/>
      <c r="SUH16" s="1337"/>
      <c r="SUI16" s="1337"/>
      <c r="SUJ16" s="1338"/>
      <c r="SUK16" s="1339"/>
      <c r="SUL16" s="1340"/>
      <c r="SUM16" s="1340"/>
      <c r="SUN16" s="1340"/>
      <c r="SUO16" s="1341"/>
      <c r="SUP16" s="1342"/>
      <c r="SUQ16" s="1336"/>
      <c r="SUR16" s="1336"/>
      <c r="SUS16" s="1336"/>
      <c r="SUT16" s="1336"/>
      <c r="SUU16" s="1337"/>
      <c r="SUV16" s="1337"/>
      <c r="SUW16" s="1337"/>
      <c r="SUX16" s="1337"/>
      <c r="SUY16" s="1337"/>
      <c r="SUZ16" s="1338"/>
      <c r="SVA16" s="1339"/>
      <c r="SVB16" s="1340"/>
      <c r="SVC16" s="1340"/>
      <c r="SVD16" s="1340"/>
      <c r="SVE16" s="1341"/>
      <c r="SVF16" s="1342"/>
      <c r="SVG16" s="1336"/>
      <c r="SVH16" s="1336"/>
      <c r="SVI16" s="1336"/>
      <c r="SVJ16" s="1336"/>
      <c r="SVK16" s="1337"/>
      <c r="SVL16" s="1337"/>
      <c r="SVM16" s="1337"/>
      <c r="SVN16" s="1337"/>
      <c r="SVO16" s="1337"/>
      <c r="SVP16" s="1338"/>
      <c r="SVQ16" s="1339"/>
      <c r="SVR16" s="1340"/>
      <c r="SVS16" s="1340"/>
      <c r="SVT16" s="1340"/>
      <c r="SVU16" s="1341"/>
      <c r="SVV16" s="1342"/>
      <c r="SVW16" s="1336"/>
      <c r="SVX16" s="1336"/>
      <c r="SVY16" s="1336"/>
      <c r="SVZ16" s="1336"/>
      <c r="SWA16" s="1337"/>
      <c r="SWB16" s="1337"/>
      <c r="SWC16" s="1337"/>
      <c r="SWD16" s="1337"/>
      <c r="SWE16" s="1337"/>
      <c r="SWF16" s="1338"/>
      <c r="SWG16" s="1339"/>
      <c r="SWH16" s="1340"/>
      <c r="SWI16" s="1340"/>
      <c r="SWJ16" s="1340"/>
      <c r="SWK16" s="1341"/>
      <c r="SWL16" s="1342"/>
      <c r="SWM16" s="1336"/>
      <c r="SWN16" s="1336"/>
      <c r="SWO16" s="1336"/>
      <c r="SWP16" s="1336"/>
      <c r="SWQ16" s="1337"/>
      <c r="SWR16" s="1337"/>
      <c r="SWS16" s="1337"/>
      <c r="SWT16" s="1337"/>
      <c r="SWU16" s="1337"/>
      <c r="SWV16" s="1338"/>
      <c r="SWW16" s="1339"/>
      <c r="SWX16" s="1340"/>
      <c r="SWY16" s="1340"/>
      <c r="SWZ16" s="1340"/>
      <c r="SXA16" s="1341"/>
      <c r="SXB16" s="1342"/>
      <c r="SXC16" s="1336"/>
      <c r="SXD16" s="1336"/>
      <c r="SXE16" s="1336"/>
      <c r="SXF16" s="1336"/>
      <c r="SXG16" s="1337"/>
      <c r="SXH16" s="1337"/>
      <c r="SXI16" s="1337"/>
      <c r="SXJ16" s="1337"/>
      <c r="SXK16" s="1337"/>
      <c r="SXL16" s="1338"/>
      <c r="SXM16" s="1339"/>
      <c r="SXN16" s="1340"/>
      <c r="SXO16" s="1340"/>
      <c r="SXP16" s="1340"/>
      <c r="SXQ16" s="1341"/>
      <c r="SXR16" s="1342"/>
      <c r="SXS16" s="1336"/>
      <c r="SXT16" s="1336"/>
      <c r="SXU16" s="1336"/>
      <c r="SXV16" s="1336"/>
      <c r="SXW16" s="1337"/>
      <c r="SXX16" s="1337"/>
      <c r="SXY16" s="1337"/>
      <c r="SXZ16" s="1337"/>
      <c r="SYA16" s="1337"/>
      <c r="SYB16" s="1338"/>
      <c r="SYC16" s="1339"/>
      <c r="SYD16" s="1340"/>
      <c r="SYE16" s="1340"/>
      <c r="SYF16" s="1340"/>
      <c r="SYG16" s="1341"/>
      <c r="SYH16" s="1342"/>
      <c r="SYI16" s="1336"/>
      <c r="SYJ16" s="1336"/>
      <c r="SYK16" s="1336"/>
      <c r="SYL16" s="1336"/>
      <c r="SYM16" s="1337"/>
      <c r="SYN16" s="1337"/>
      <c r="SYO16" s="1337"/>
      <c r="SYP16" s="1337"/>
      <c r="SYQ16" s="1337"/>
      <c r="SYR16" s="1338"/>
      <c r="SYS16" s="1339"/>
      <c r="SYT16" s="1340"/>
      <c r="SYU16" s="1340"/>
      <c r="SYV16" s="1340"/>
      <c r="SYW16" s="1341"/>
      <c r="SYX16" s="1342"/>
      <c r="SYY16" s="1336"/>
      <c r="SYZ16" s="1336"/>
      <c r="SZA16" s="1336"/>
      <c r="SZB16" s="1336"/>
      <c r="SZC16" s="1337"/>
      <c r="SZD16" s="1337"/>
      <c r="SZE16" s="1337"/>
      <c r="SZF16" s="1337"/>
      <c r="SZG16" s="1337"/>
      <c r="SZH16" s="1338"/>
      <c r="SZI16" s="1339"/>
      <c r="SZJ16" s="1340"/>
      <c r="SZK16" s="1340"/>
      <c r="SZL16" s="1340"/>
      <c r="SZM16" s="1341"/>
      <c r="SZN16" s="1342"/>
      <c r="SZO16" s="1336"/>
      <c r="SZP16" s="1336"/>
      <c r="SZQ16" s="1336"/>
      <c r="SZR16" s="1336"/>
      <c r="SZS16" s="1337"/>
      <c r="SZT16" s="1337"/>
      <c r="SZU16" s="1337"/>
      <c r="SZV16" s="1337"/>
      <c r="SZW16" s="1337"/>
      <c r="SZX16" s="1338"/>
      <c r="SZY16" s="1339"/>
      <c r="SZZ16" s="1340"/>
      <c r="TAA16" s="1340"/>
      <c r="TAB16" s="1340"/>
      <c r="TAC16" s="1341"/>
      <c r="TAD16" s="1342"/>
      <c r="TAE16" s="1336"/>
      <c r="TAF16" s="1336"/>
      <c r="TAG16" s="1336"/>
      <c r="TAH16" s="1336"/>
      <c r="TAI16" s="1337"/>
      <c r="TAJ16" s="1337"/>
      <c r="TAK16" s="1337"/>
      <c r="TAL16" s="1337"/>
      <c r="TAM16" s="1337"/>
      <c r="TAN16" s="1338"/>
      <c r="TAO16" s="1339"/>
      <c r="TAP16" s="1340"/>
      <c r="TAQ16" s="1340"/>
      <c r="TAR16" s="1340"/>
      <c r="TAS16" s="1341"/>
      <c r="TAT16" s="1342"/>
      <c r="TAU16" s="1336"/>
      <c r="TAV16" s="1336"/>
      <c r="TAW16" s="1336"/>
      <c r="TAX16" s="1336"/>
      <c r="TAY16" s="1337"/>
      <c r="TAZ16" s="1337"/>
      <c r="TBA16" s="1337"/>
      <c r="TBB16" s="1337"/>
      <c r="TBC16" s="1337"/>
      <c r="TBD16" s="1338"/>
      <c r="TBE16" s="1339"/>
      <c r="TBF16" s="1340"/>
      <c r="TBG16" s="1340"/>
      <c r="TBH16" s="1340"/>
      <c r="TBI16" s="1341"/>
      <c r="TBJ16" s="1342"/>
      <c r="TBK16" s="1336"/>
      <c r="TBL16" s="1336"/>
      <c r="TBM16" s="1336"/>
      <c r="TBN16" s="1336"/>
      <c r="TBO16" s="1337"/>
      <c r="TBP16" s="1337"/>
      <c r="TBQ16" s="1337"/>
      <c r="TBR16" s="1337"/>
      <c r="TBS16" s="1337"/>
      <c r="TBT16" s="1338"/>
      <c r="TBU16" s="1339"/>
      <c r="TBV16" s="1340"/>
      <c r="TBW16" s="1340"/>
      <c r="TBX16" s="1340"/>
      <c r="TBY16" s="1341"/>
      <c r="TBZ16" s="1342"/>
      <c r="TCA16" s="1336"/>
      <c r="TCB16" s="1336"/>
      <c r="TCC16" s="1336"/>
      <c r="TCD16" s="1336"/>
      <c r="TCE16" s="1337"/>
      <c r="TCF16" s="1337"/>
      <c r="TCG16" s="1337"/>
      <c r="TCH16" s="1337"/>
      <c r="TCI16" s="1337"/>
      <c r="TCJ16" s="1338"/>
      <c r="TCK16" s="1339"/>
      <c r="TCL16" s="1340"/>
      <c r="TCM16" s="1340"/>
      <c r="TCN16" s="1340"/>
      <c r="TCO16" s="1341"/>
      <c r="TCP16" s="1342"/>
      <c r="TCQ16" s="1336"/>
      <c r="TCR16" s="1336"/>
      <c r="TCS16" s="1336"/>
      <c r="TCT16" s="1336"/>
      <c r="TCU16" s="1337"/>
      <c r="TCV16" s="1337"/>
      <c r="TCW16" s="1337"/>
      <c r="TCX16" s="1337"/>
      <c r="TCY16" s="1337"/>
      <c r="TCZ16" s="1338"/>
      <c r="TDA16" s="1339"/>
      <c r="TDB16" s="1340"/>
      <c r="TDC16" s="1340"/>
      <c r="TDD16" s="1340"/>
      <c r="TDE16" s="1341"/>
      <c r="TDF16" s="1342"/>
      <c r="TDG16" s="1336"/>
      <c r="TDH16" s="1336"/>
      <c r="TDI16" s="1336"/>
      <c r="TDJ16" s="1336"/>
      <c r="TDK16" s="1337"/>
      <c r="TDL16" s="1337"/>
      <c r="TDM16" s="1337"/>
      <c r="TDN16" s="1337"/>
      <c r="TDO16" s="1337"/>
      <c r="TDP16" s="1338"/>
      <c r="TDQ16" s="1339"/>
      <c r="TDR16" s="1340"/>
      <c r="TDS16" s="1340"/>
      <c r="TDT16" s="1340"/>
      <c r="TDU16" s="1341"/>
      <c r="TDV16" s="1342"/>
      <c r="TDW16" s="1336"/>
      <c r="TDX16" s="1336"/>
      <c r="TDY16" s="1336"/>
      <c r="TDZ16" s="1336"/>
      <c r="TEA16" s="1337"/>
      <c r="TEB16" s="1337"/>
      <c r="TEC16" s="1337"/>
      <c r="TED16" s="1337"/>
      <c r="TEE16" s="1337"/>
      <c r="TEF16" s="1338"/>
      <c r="TEG16" s="1339"/>
      <c r="TEH16" s="1340"/>
      <c r="TEI16" s="1340"/>
      <c r="TEJ16" s="1340"/>
      <c r="TEK16" s="1341"/>
      <c r="TEL16" s="1342"/>
      <c r="TEM16" s="1336"/>
      <c r="TEN16" s="1336"/>
      <c r="TEO16" s="1336"/>
      <c r="TEP16" s="1336"/>
      <c r="TEQ16" s="1337"/>
      <c r="TER16" s="1337"/>
      <c r="TES16" s="1337"/>
      <c r="TET16" s="1337"/>
      <c r="TEU16" s="1337"/>
      <c r="TEV16" s="1338"/>
      <c r="TEW16" s="1339"/>
      <c r="TEX16" s="1340"/>
      <c r="TEY16" s="1340"/>
      <c r="TEZ16" s="1340"/>
      <c r="TFA16" s="1341"/>
      <c r="TFB16" s="1342"/>
      <c r="TFC16" s="1336"/>
      <c r="TFD16" s="1336"/>
      <c r="TFE16" s="1336"/>
      <c r="TFF16" s="1336"/>
      <c r="TFG16" s="1337"/>
      <c r="TFH16" s="1337"/>
      <c r="TFI16" s="1337"/>
      <c r="TFJ16" s="1337"/>
      <c r="TFK16" s="1337"/>
      <c r="TFL16" s="1338"/>
      <c r="TFM16" s="1339"/>
      <c r="TFN16" s="1340"/>
      <c r="TFO16" s="1340"/>
      <c r="TFP16" s="1340"/>
      <c r="TFQ16" s="1341"/>
      <c r="TFR16" s="1342"/>
      <c r="TFS16" s="1336"/>
      <c r="TFT16" s="1336"/>
      <c r="TFU16" s="1336"/>
      <c r="TFV16" s="1336"/>
      <c r="TFW16" s="1337"/>
      <c r="TFX16" s="1337"/>
      <c r="TFY16" s="1337"/>
      <c r="TFZ16" s="1337"/>
      <c r="TGA16" s="1337"/>
      <c r="TGB16" s="1338"/>
      <c r="TGC16" s="1339"/>
      <c r="TGD16" s="1340"/>
      <c r="TGE16" s="1340"/>
      <c r="TGF16" s="1340"/>
      <c r="TGG16" s="1341"/>
      <c r="TGH16" s="1342"/>
      <c r="TGI16" s="1336"/>
      <c r="TGJ16" s="1336"/>
      <c r="TGK16" s="1336"/>
      <c r="TGL16" s="1336"/>
      <c r="TGM16" s="1337"/>
      <c r="TGN16" s="1337"/>
      <c r="TGO16" s="1337"/>
      <c r="TGP16" s="1337"/>
      <c r="TGQ16" s="1337"/>
      <c r="TGR16" s="1338"/>
      <c r="TGS16" s="1339"/>
      <c r="TGT16" s="1340"/>
      <c r="TGU16" s="1340"/>
      <c r="TGV16" s="1340"/>
      <c r="TGW16" s="1341"/>
      <c r="TGX16" s="1342"/>
      <c r="TGY16" s="1336"/>
      <c r="TGZ16" s="1336"/>
      <c r="THA16" s="1336"/>
      <c r="THB16" s="1336"/>
      <c r="THC16" s="1337"/>
      <c r="THD16" s="1337"/>
      <c r="THE16" s="1337"/>
      <c r="THF16" s="1337"/>
      <c r="THG16" s="1337"/>
      <c r="THH16" s="1338"/>
      <c r="THI16" s="1339"/>
      <c r="THJ16" s="1340"/>
      <c r="THK16" s="1340"/>
      <c r="THL16" s="1340"/>
      <c r="THM16" s="1341"/>
      <c r="THN16" s="1342"/>
      <c r="THO16" s="1336"/>
      <c r="THP16" s="1336"/>
      <c r="THQ16" s="1336"/>
      <c r="THR16" s="1336"/>
      <c r="THS16" s="1337"/>
      <c r="THT16" s="1337"/>
      <c r="THU16" s="1337"/>
      <c r="THV16" s="1337"/>
      <c r="THW16" s="1337"/>
      <c r="THX16" s="1338"/>
      <c r="THY16" s="1339"/>
      <c r="THZ16" s="1340"/>
      <c r="TIA16" s="1340"/>
      <c r="TIB16" s="1340"/>
      <c r="TIC16" s="1341"/>
      <c r="TID16" s="1342"/>
      <c r="TIE16" s="1336"/>
      <c r="TIF16" s="1336"/>
      <c r="TIG16" s="1336"/>
      <c r="TIH16" s="1336"/>
      <c r="TII16" s="1337"/>
      <c r="TIJ16" s="1337"/>
      <c r="TIK16" s="1337"/>
      <c r="TIL16" s="1337"/>
      <c r="TIM16" s="1337"/>
      <c r="TIN16" s="1338"/>
      <c r="TIO16" s="1339"/>
      <c r="TIP16" s="1340"/>
      <c r="TIQ16" s="1340"/>
      <c r="TIR16" s="1340"/>
      <c r="TIS16" s="1341"/>
      <c r="TIT16" s="1342"/>
      <c r="TIU16" s="1336"/>
      <c r="TIV16" s="1336"/>
      <c r="TIW16" s="1336"/>
      <c r="TIX16" s="1336"/>
      <c r="TIY16" s="1337"/>
      <c r="TIZ16" s="1337"/>
      <c r="TJA16" s="1337"/>
      <c r="TJB16" s="1337"/>
      <c r="TJC16" s="1337"/>
      <c r="TJD16" s="1338"/>
      <c r="TJE16" s="1339"/>
      <c r="TJF16" s="1340"/>
      <c r="TJG16" s="1340"/>
      <c r="TJH16" s="1340"/>
      <c r="TJI16" s="1341"/>
      <c r="TJJ16" s="1342"/>
      <c r="TJK16" s="1336"/>
      <c r="TJL16" s="1336"/>
      <c r="TJM16" s="1336"/>
      <c r="TJN16" s="1336"/>
      <c r="TJO16" s="1337"/>
      <c r="TJP16" s="1337"/>
      <c r="TJQ16" s="1337"/>
      <c r="TJR16" s="1337"/>
      <c r="TJS16" s="1337"/>
      <c r="TJT16" s="1338"/>
      <c r="TJU16" s="1339"/>
      <c r="TJV16" s="1340"/>
      <c r="TJW16" s="1340"/>
      <c r="TJX16" s="1340"/>
      <c r="TJY16" s="1341"/>
      <c r="TJZ16" s="1342"/>
      <c r="TKA16" s="1336"/>
      <c r="TKB16" s="1336"/>
      <c r="TKC16" s="1336"/>
      <c r="TKD16" s="1336"/>
      <c r="TKE16" s="1337"/>
      <c r="TKF16" s="1337"/>
      <c r="TKG16" s="1337"/>
      <c r="TKH16" s="1337"/>
      <c r="TKI16" s="1337"/>
      <c r="TKJ16" s="1338"/>
      <c r="TKK16" s="1339"/>
      <c r="TKL16" s="1340"/>
      <c r="TKM16" s="1340"/>
      <c r="TKN16" s="1340"/>
      <c r="TKO16" s="1341"/>
      <c r="TKP16" s="1342"/>
      <c r="TKQ16" s="1336"/>
      <c r="TKR16" s="1336"/>
      <c r="TKS16" s="1336"/>
      <c r="TKT16" s="1336"/>
      <c r="TKU16" s="1337"/>
      <c r="TKV16" s="1337"/>
      <c r="TKW16" s="1337"/>
      <c r="TKX16" s="1337"/>
      <c r="TKY16" s="1337"/>
      <c r="TKZ16" s="1338"/>
      <c r="TLA16" s="1339"/>
      <c r="TLB16" s="1340"/>
      <c r="TLC16" s="1340"/>
      <c r="TLD16" s="1340"/>
      <c r="TLE16" s="1341"/>
      <c r="TLF16" s="1342"/>
      <c r="TLG16" s="1336"/>
      <c r="TLH16" s="1336"/>
      <c r="TLI16" s="1336"/>
      <c r="TLJ16" s="1336"/>
      <c r="TLK16" s="1337"/>
      <c r="TLL16" s="1337"/>
      <c r="TLM16" s="1337"/>
      <c r="TLN16" s="1337"/>
      <c r="TLO16" s="1337"/>
      <c r="TLP16" s="1338"/>
      <c r="TLQ16" s="1339"/>
      <c r="TLR16" s="1340"/>
      <c r="TLS16" s="1340"/>
      <c r="TLT16" s="1340"/>
      <c r="TLU16" s="1341"/>
      <c r="TLV16" s="1342"/>
      <c r="TLW16" s="1336"/>
      <c r="TLX16" s="1336"/>
      <c r="TLY16" s="1336"/>
      <c r="TLZ16" s="1336"/>
      <c r="TMA16" s="1337"/>
      <c r="TMB16" s="1337"/>
      <c r="TMC16" s="1337"/>
      <c r="TMD16" s="1337"/>
      <c r="TME16" s="1337"/>
      <c r="TMF16" s="1338"/>
      <c r="TMG16" s="1339"/>
      <c r="TMH16" s="1340"/>
      <c r="TMI16" s="1340"/>
      <c r="TMJ16" s="1340"/>
      <c r="TMK16" s="1341"/>
      <c r="TML16" s="1342"/>
      <c r="TMM16" s="1336"/>
      <c r="TMN16" s="1336"/>
      <c r="TMO16" s="1336"/>
      <c r="TMP16" s="1336"/>
      <c r="TMQ16" s="1337"/>
      <c r="TMR16" s="1337"/>
      <c r="TMS16" s="1337"/>
      <c r="TMT16" s="1337"/>
      <c r="TMU16" s="1337"/>
      <c r="TMV16" s="1338"/>
      <c r="TMW16" s="1339"/>
      <c r="TMX16" s="1340"/>
      <c r="TMY16" s="1340"/>
      <c r="TMZ16" s="1340"/>
      <c r="TNA16" s="1341"/>
      <c r="TNB16" s="1342"/>
      <c r="TNC16" s="1336"/>
      <c r="TND16" s="1336"/>
      <c r="TNE16" s="1336"/>
      <c r="TNF16" s="1336"/>
      <c r="TNG16" s="1337"/>
      <c r="TNH16" s="1337"/>
      <c r="TNI16" s="1337"/>
      <c r="TNJ16" s="1337"/>
      <c r="TNK16" s="1337"/>
      <c r="TNL16" s="1338"/>
      <c r="TNM16" s="1339"/>
      <c r="TNN16" s="1340"/>
      <c r="TNO16" s="1340"/>
      <c r="TNP16" s="1340"/>
      <c r="TNQ16" s="1341"/>
      <c r="TNR16" s="1342"/>
      <c r="TNS16" s="1336"/>
      <c r="TNT16" s="1336"/>
      <c r="TNU16" s="1336"/>
      <c r="TNV16" s="1336"/>
      <c r="TNW16" s="1337"/>
      <c r="TNX16" s="1337"/>
      <c r="TNY16" s="1337"/>
      <c r="TNZ16" s="1337"/>
      <c r="TOA16" s="1337"/>
      <c r="TOB16" s="1338"/>
      <c r="TOC16" s="1339"/>
      <c r="TOD16" s="1340"/>
      <c r="TOE16" s="1340"/>
      <c r="TOF16" s="1340"/>
      <c r="TOG16" s="1341"/>
      <c r="TOH16" s="1342"/>
      <c r="TOI16" s="1336"/>
      <c r="TOJ16" s="1336"/>
      <c r="TOK16" s="1336"/>
      <c r="TOL16" s="1336"/>
      <c r="TOM16" s="1337"/>
      <c r="TON16" s="1337"/>
      <c r="TOO16" s="1337"/>
      <c r="TOP16" s="1337"/>
      <c r="TOQ16" s="1337"/>
      <c r="TOR16" s="1338"/>
      <c r="TOS16" s="1339"/>
      <c r="TOT16" s="1340"/>
      <c r="TOU16" s="1340"/>
      <c r="TOV16" s="1340"/>
      <c r="TOW16" s="1341"/>
      <c r="TOX16" s="1342"/>
      <c r="TOY16" s="1336"/>
      <c r="TOZ16" s="1336"/>
      <c r="TPA16" s="1336"/>
      <c r="TPB16" s="1336"/>
      <c r="TPC16" s="1337"/>
      <c r="TPD16" s="1337"/>
      <c r="TPE16" s="1337"/>
      <c r="TPF16" s="1337"/>
      <c r="TPG16" s="1337"/>
      <c r="TPH16" s="1338"/>
      <c r="TPI16" s="1339"/>
      <c r="TPJ16" s="1340"/>
      <c r="TPK16" s="1340"/>
      <c r="TPL16" s="1340"/>
      <c r="TPM16" s="1341"/>
      <c r="TPN16" s="1342"/>
      <c r="TPO16" s="1336"/>
      <c r="TPP16" s="1336"/>
      <c r="TPQ16" s="1336"/>
      <c r="TPR16" s="1336"/>
      <c r="TPS16" s="1337"/>
      <c r="TPT16" s="1337"/>
      <c r="TPU16" s="1337"/>
      <c r="TPV16" s="1337"/>
      <c r="TPW16" s="1337"/>
      <c r="TPX16" s="1338"/>
      <c r="TPY16" s="1339"/>
      <c r="TPZ16" s="1340"/>
      <c r="TQA16" s="1340"/>
      <c r="TQB16" s="1340"/>
      <c r="TQC16" s="1341"/>
      <c r="TQD16" s="1342"/>
      <c r="TQE16" s="1336"/>
      <c r="TQF16" s="1336"/>
      <c r="TQG16" s="1336"/>
      <c r="TQH16" s="1336"/>
      <c r="TQI16" s="1337"/>
      <c r="TQJ16" s="1337"/>
      <c r="TQK16" s="1337"/>
      <c r="TQL16" s="1337"/>
      <c r="TQM16" s="1337"/>
      <c r="TQN16" s="1338"/>
      <c r="TQO16" s="1339"/>
      <c r="TQP16" s="1340"/>
      <c r="TQQ16" s="1340"/>
      <c r="TQR16" s="1340"/>
      <c r="TQS16" s="1341"/>
      <c r="TQT16" s="1342"/>
      <c r="TQU16" s="1336"/>
      <c r="TQV16" s="1336"/>
      <c r="TQW16" s="1336"/>
      <c r="TQX16" s="1336"/>
      <c r="TQY16" s="1337"/>
      <c r="TQZ16" s="1337"/>
      <c r="TRA16" s="1337"/>
      <c r="TRB16" s="1337"/>
      <c r="TRC16" s="1337"/>
      <c r="TRD16" s="1338"/>
      <c r="TRE16" s="1339"/>
      <c r="TRF16" s="1340"/>
      <c r="TRG16" s="1340"/>
      <c r="TRH16" s="1340"/>
      <c r="TRI16" s="1341"/>
      <c r="TRJ16" s="1342"/>
      <c r="TRK16" s="1336"/>
      <c r="TRL16" s="1336"/>
      <c r="TRM16" s="1336"/>
      <c r="TRN16" s="1336"/>
      <c r="TRO16" s="1337"/>
      <c r="TRP16" s="1337"/>
      <c r="TRQ16" s="1337"/>
      <c r="TRR16" s="1337"/>
      <c r="TRS16" s="1337"/>
      <c r="TRT16" s="1338"/>
      <c r="TRU16" s="1339"/>
      <c r="TRV16" s="1340"/>
      <c r="TRW16" s="1340"/>
      <c r="TRX16" s="1340"/>
      <c r="TRY16" s="1341"/>
      <c r="TRZ16" s="1342"/>
      <c r="TSA16" s="1336"/>
      <c r="TSB16" s="1336"/>
      <c r="TSC16" s="1336"/>
      <c r="TSD16" s="1336"/>
      <c r="TSE16" s="1337"/>
      <c r="TSF16" s="1337"/>
      <c r="TSG16" s="1337"/>
      <c r="TSH16" s="1337"/>
      <c r="TSI16" s="1337"/>
      <c r="TSJ16" s="1338"/>
      <c r="TSK16" s="1339"/>
      <c r="TSL16" s="1340"/>
      <c r="TSM16" s="1340"/>
      <c r="TSN16" s="1340"/>
      <c r="TSO16" s="1341"/>
      <c r="TSP16" s="1342"/>
      <c r="TSQ16" s="1336"/>
      <c r="TSR16" s="1336"/>
      <c r="TSS16" s="1336"/>
      <c r="TST16" s="1336"/>
      <c r="TSU16" s="1337"/>
      <c r="TSV16" s="1337"/>
      <c r="TSW16" s="1337"/>
      <c r="TSX16" s="1337"/>
      <c r="TSY16" s="1337"/>
      <c r="TSZ16" s="1338"/>
      <c r="TTA16" s="1339"/>
      <c r="TTB16" s="1340"/>
      <c r="TTC16" s="1340"/>
      <c r="TTD16" s="1340"/>
      <c r="TTE16" s="1341"/>
      <c r="TTF16" s="1342"/>
      <c r="TTG16" s="1336"/>
      <c r="TTH16" s="1336"/>
      <c r="TTI16" s="1336"/>
      <c r="TTJ16" s="1336"/>
      <c r="TTK16" s="1337"/>
      <c r="TTL16" s="1337"/>
      <c r="TTM16" s="1337"/>
      <c r="TTN16" s="1337"/>
      <c r="TTO16" s="1337"/>
      <c r="TTP16" s="1338"/>
      <c r="TTQ16" s="1339"/>
      <c r="TTR16" s="1340"/>
      <c r="TTS16" s="1340"/>
      <c r="TTT16" s="1340"/>
      <c r="TTU16" s="1341"/>
      <c r="TTV16" s="1342"/>
      <c r="TTW16" s="1336"/>
      <c r="TTX16" s="1336"/>
      <c r="TTY16" s="1336"/>
      <c r="TTZ16" s="1336"/>
      <c r="TUA16" s="1337"/>
      <c r="TUB16" s="1337"/>
      <c r="TUC16" s="1337"/>
      <c r="TUD16" s="1337"/>
      <c r="TUE16" s="1337"/>
      <c r="TUF16" s="1338"/>
      <c r="TUG16" s="1339"/>
      <c r="TUH16" s="1340"/>
      <c r="TUI16" s="1340"/>
      <c r="TUJ16" s="1340"/>
      <c r="TUK16" s="1341"/>
      <c r="TUL16" s="1342"/>
      <c r="TUM16" s="1336"/>
      <c r="TUN16" s="1336"/>
      <c r="TUO16" s="1336"/>
      <c r="TUP16" s="1336"/>
      <c r="TUQ16" s="1337"/>
      <c r="TUR16" s="1337"/>
      <c r="TUS16" s="1337"/>
      <c r="TUT16" s="1337"/>
      <c r="TUU16" s="1337"/>
      <c r="TUV16" s="1338"/>
      <c r="TUW16" s="1339"/>
      <c r="TUX16" s="1340"/>
      <c r="TUY16" s="1340"/>
      <c r="TUZ16" s="1340"/>
      <c r="TVA16" s="1341"/>
      <c r="TVB16" s="1342"/>
      <c r="TVC16" s="1336"/>
      <c r="TVD16" s="1336"/>
      <c r="TVE16" s="1336"/>
      <c r="TVF16" s="1336"/>
      <c r="TVG16" s="1337"/>
      <c r="TVH16" s="1337"/>
      <c r="TVI16" s="1337"/>
      <c r="TVJ16" s="1337"/>
      <c r="TVK16" s="1337"/>
      <c r="TVL16" s="1338"/>
      <c r="TVM16" s="1339"/>
      <c r="TVN16" s="1340"/>
      <c r="TVO16" s="1340"/>
      <c r="TVP16" s="1340"/>
      <c r="TVQ16" s="1341"/>
      <c r="TVR16" s="1342"/>
      <c r="TVS16" s="1336"/>
      <c r="TVT16" s="1336"/>
      <c r="TVU16" s="1336"/>
      <c r="TVV16" s="1336"/>
      <c r="TVW16" s="1337"/>
      <c r="TVX16" s="1337"/>
      <c r="TVY16" s="1337"/>
      <c r="TVZ16" s="1337"/>
      <c r="TWA16" s="1337"/>
      <c r="TWB16" s="1338"/>
      <c r="TWC16" s="1339"/>
      <c r="TWD16" s="1340"/>
      <c r="TWE16" s="1340"/>
      <c r="TWF16" s="1340"/>
      <c r="TWG16" s="1341"/>
      <c r="TWH16" s="1342"/>
      <c r="TWI16" s="1336"/>
      <c r="TWJ16" s="1336"/>
      <c r="TWK16" s="1336"/>
      <c r="TWL16" s="1336"/>
      <c r="TWM16" s="1337"/>
      <c r="TWN16" s="1337"/>
      <c r="TWO16" s="1337"/>
      <c r="TWP16" s="1337"/>
      <c r="TWQ16" s="1337"/>
      <c r="TWR16" s="1338"/>
      <c r="TWS16" s="1339"/>
      <c r="TWT16" s="1340"/>
      <c r="TWU16" s="1340"/>
      <c r="TWV16" s="1340"/>
      <c r="TWW16" s="1341"/>
      <c r="TWX16" s="1342"/>
      <c r="TWY16" s="1336"/>
      <c r="TWZ16" s="1336"/>
      <c r="TXA16" s="1336"/>
      <c r="TXB16" s="1336"/>
      <c r="TXC16" s="1337"/>
      <c r="TXD16" s="1337"/>
      <c r="TXE16" s="1337"/>
      <c r="TXF16" s="1337"/>
      <c r="TXG16" s="1337"/>
      <c r="TXH16" s="1338"/>
      <c r="TXI16" s="1339"/>
      <c r="TXJ16" s="1340"/>
      <c r="TXK16" s="1340"/>
      <c r="TXL16" s="1340"/>
      <c r="TXM16" s="1341"/>
      <c r="TXN16" s="1342"/>
      <c r="TXO16" s="1336"/>
      <c r="TXP16" s="1336"/>
      <c r="TXQ16" s="1336"/>
      <c r="TXR16" s="1336"/>
      <c r="TXS16" s="1337"/>
      <c r="TXT16" s="1337"/>
      <c r="TXU16" s="1337"/>
      <c r="TXV16" s="1337"/>
      <c r="TXW16" s="1337"/>
      <c r="TXX16" s="1338"/>
      <c r="TXY16" s="1339"/>
      <c r="TXZ16" s="1340"/>
      <c r="TYA16" s="1340"/>
      <c r="TYB16" s="1340"/>
      <c r="TYC16" s="1341"/>
      <c r="TYD16" s="1342"/>
      <c r="TYE16" s="1336"/>
      <c r="TYF16" s="1336"/>
      <c r="TYG16" s="1336"/>
      <c r="TYH16" s="1336"/>
      <c r="TYI16" s="1337"/>
      <c r="TYJ16" s="1337"/>
      <c r="TYK16" s="1337"/>
      <c r="TYL16" s="1337"/>
      <c r="TYM16" s="1337"/>
      <c r="TYN16" s="1338"/>
      <c r="TYO16" s="1339"/>
      <c r="TYP16" s="1340"/>
      <c r="TYQ16" s="1340"/>
      <c r="TYR16" s="1340"/>
      <c r="TYS16" s="1341"/>
      <c r="TYT16" s="1342"/>
      <c r="TYU16" s="1336"/>
      <c r="TYV16" s="1336"/>
      <c r="TYW16" s="1336"/>
      <c r="TYX16" s="1336"/>
      <c r="TYY16" s="1337"/>
      <c r="TYZ16" s="1337"/>
      <c r="TZA16" s="1337"/>
      <c r="TZB16" s="1337"/>
      <c r="TZC16" s="1337"/>
      <c r="TZD16" s="1338"/>
      <c r="TZE16" s="1339"/>
      <c r="TZF16" s="1340"/>
      <c r="TZG16" s="1340"/>
      <c r="TZH16" s="1340"/>
      <c r="TZI16" s="1341"/>
      <c r="TZJ16" s="1342"/>
      <c r="TZK16" s="1336"/>
      <c r="TZL16" s="1336"/>
      <c r="TZM16" s="1336"/>
      <c r="TZN16" s="1336"/>
      <c r="TZO16" s="1337"/>
      <c r="TZP16" s="1337"/>
      <c r="TZQ16" s="1337"/>
      <c r="TZR16" s="1337"/>
      <c r="TZS16" s="1337"/>
      <c r="TZT16" s="1338"/>
      <c r="TZU16" s="1339"/>
      <c r="TZV16" s="1340"/>
      <c r="TZW16" s="1340"/>
      <c r="TZX16" s="1340"/>
      <c r="TZY16" s="1341"/>
      <c r="TZZ16" s="1342"/>
      <c r="UAA16" s="1336"/>
      <c r="UAB16" s="1336"/>
      <c r="UAC16" s="1336"/>
      <c r="UAD16" s="1336"/>
      <c r="UAE16" s="1337"/>
      <c r="UAF16" s="1337"/>
      <c r="UAG16" s="1337"/>
      <c r="UAH16" s="1337"/>
      <c r="UAI16" s="1337"/>
      <c r="UAJ16" s="1338"/>
      <c r="UAK16" s="1339"/>
      <c r="UAL16" s="1340"/>
      <c r="UAM16" s="1340"/>
      <c r="UAN16" s="1340"/>
      <c r="UAO16" s="1341"/>
      <c r="UAP16" s="1342"/>
      <c r="UAQ16" s="1336"/>
      <c r="UAR16" s="1336"/>
      <c r="UAS16" s="1336"/>
      <c r="UAT16" s="1336"/>
      <c r="UAU16" s="1337"/>
      <c r="UAV16" s="1337"/>
      <c r="UAW16" s="1337"/>
      <c r="UAX16" s="1337"/>
      <c r="UAY16" s="1337"/>
      <c r="UAZ16" s="1338"/>
      <c r="UBA16" s="1339"/>
      <c r="UBB16" s="1340"/>
      <c r="UBC16" s="1340"/>
      <c r="UBD16" s="1340"/>
      <c r="UBE16" s="1341"/>
      <c r="UBF16" s="1342"/>
      <c r="UBG16" s="1336"/>
      <c r="UBH16" s="1336"/>
      <c r="UBI16" s="1336"/>
      <c r="UBJ16" s="1336"/>
      <c r="UBK16" s="1337"/>
      <c r="UBL16" s="1337"/>
      <c r="UBM16" s="1337"/>
      <c r="UBN16" s="1337"/>
      <c r="UBO16" s="1337"/>
      <c r="UBP16" s="1338"/>
      <c r="UBQ16" s="1339"/>
      <c r="UBR16" s="1340"/>
      <c r="UBS16" s="1340"/>
      <c r="UBT16" s="1340"/>
      <c r="UBU16" s="1341"/>
      <c r="UBV16" s="1342"/>
      <c r="UBW16" s="1336"/>
      <c r="UBX16" s="1336"/>
      <c r="UBY16" s="1336"/>
      <c r="UBZ16" s="1336"/>
      <c r="UCA16" s="1337"/>
      <c r="UCB16" s="1337"/>
      <c r="UCC16" s="1337"/>
      <c r="UCD16" s="1337"/>
      <c r="UCE16" s="1337"/>
      <c r="UCF16" s="1338"/>
      <c r="UCG16" s="1339"/>
      <c r="UCH16" s="1340"/>
      <c r="UCI16" s="1340"/>
      <c r="UCJ16" s="1340"/>
      <c r="UCK16" s="1341"/>
      <c r="UCL16" s="1342"/>
      <c r="UCM16" s="1336"/>
      <c r="UCN16" s="1336"/>
      <c r="UCO16" s="1336"/>
      <c r="UCP16" s="1336"/>
      <c r="UCQ16" s="1337"/>
      <c r="UCR16" s="1337"/>
      <c r="UCS16" s="1337"/>
      <c r="UCT16" s="1337"/>
      <c r="UCU16" s="1337"/>
      <c r="UCV16" s="1338"/>
      <c r="UCW16" s="1339"/>
      <c r="UCX16" s="1340"/>
      <c r="UCY16" s="1340"/>
      <c r="UCZ16" s="1340"/>
      <c r="UDA16" s="1341"/>
      <c r="UDB16" s="1342"/>
      <c r="UDC16" s="1336"/>
      <c r="UDD16" s="1336"/>
      <c r="UDE16" s="1336"/>
      <c r="UDF16" s="1336"/>
      <c r="UDG16" s="1337"/>
      <c r="UDH16" s="1337"/>
      <c r="UDI16" s="1337"/>
      <c r="UDJ16" s="1337"/>
      <c r="UDK16" s="1337"/>
      <c r="UDL16" s="1338"/>
      <c r="UDM16" s="1339"/>
      <c r="UDN16" s="1340"/>
      <c r="UDO16" s="1340"/>
      <c r="UDP16" s="1340"/>
      <c r="UDQ16" s="1341"/>
      <c r="UDR16" s="1342"/>
      <c r="UDS16" s="1336"/>
      <c r="UDT16" s="1336"/>
      <c r="UDU16" s="1336"/>
      <c r="UDV16" s="1336"/>
      <c r="UDW16" s="1337"/>
      <c r="UDX16" s="1337"/>
      <c r="UDY16" s="1337"/>
      <c r="UDZ16" s="1337"/>
      <c r="UEA16" s="1337"/>
      <c r="UEB16" s="1338"/>
      <c r="UEC16" s="1339"/>
      <c r="UED16" s="1340"/>
      <c r="UEE16" s="1340"/>
      <c r="UEF16" s="1340"/>
      <c r="UEG16" s="1341"/>
      <c r="UEH16" s="1342"/>
      <c r="UEI16" s="1336"/>
      <c r="UEJ16" s="1336"/>
      <c r="UEK16" s="1336"/>
      <c r="UEL16" s="1336"/>
      <c r="UEM16" s="1337"/>
      <c r="UEN16" s="1337"/>
      <c r="UEO16" s="1337"/>
      <c r="UEP16" s="1337"/>
      <c r="UEQ16" s="1337"/>
      <c r="UER16" s="1338"/>
      <c r="UES16" s="1339"/>
      <c r="UET16" s="1340"/>
      <c r="UEU16" s="1340"/>
      <c r="UEV16" s="1340"/>
      <c r="UEW16" s="1341"/>
      <c r="UEX16" s="1342"/>
      <c r="UEY16" s="1336"/>
      <c r="UEZ16" s="1336"/>
      <c r="UFA16" s="1336"/>
      <c r="UFB16" s="1336"/>
      <c r="UFC16" s="1337"/>
      <c r="UFD16" s="1337"/>
      <c r="UFE16" s="1337"/>
      <c r="UFF16" s="1337"/>
      <c r="UFG16" s="1337"/>
      <c r="UFH16" s="1338"/>
      <c r="UFI16" s="1339"/>
      <c r="UFJ16" s="1340"/>
      <c r="UFK16" s="1340"/>
      <c r="UFL16" s="1340"/>
      <c r="UFM16" s="1341"/>
      <c r="UFN16" s="1342"/>
      <c r="UFO16" s="1336"/>
      <c r="UFP16" s="1336"/>
      <c r="UFQ16" s="1336"/>
      <c r="UFR16" s="1336"/>
      <c r="UFS16" s="1337"/>
      <c r="UFT16" s="1337"/>
      <c r="UFU16" s="1337"/>
      <c r="UFV16" s="1337"/>
      <c r="UFW16" s="1337"/>
      <c r="UFX16" s="1338"/>
      <c r="UFY16" s="1339"/>
      <c r="UFZ16" s="1340"/>
      <c r="UGA16" s="1340"/>
      <c r="UGB16" s="1340"/>
      <c r="UGC16" s="1341"/>
      <c r="UGD16" s="1342"/>
      <c r="UGE16" s="1336"/>
      <c r="UGF16" s="1336"/>
      <c r="UGG16" s="1336"/>
      <c r="UGH16" s="1336"/>
      <c r="UGI16" s="1337"/>
      <c r="UGJ16" s="1337"/>
      <c r="UGK16" s="1337"/>
      <c r="UGL16" s="1337"/>
      <c r="UGM16" s="1337"/>
      <c r="UGN16" s="1338"/>
      <c r="UGO16" s="1339"/>
      <c r="UGP16" s="1340"/>
      <c r="UGQ16" s="1340"/>
      <c r="UGR16" s="1340"/>
      <c r="UGS16" s="1341"/>
      <c r="UGT16" s="1342"/>
      <c r="UGU16" s="1336"/>
      <c r="UGV16" s="1336"/>
      <c r="UGW16" s="1336"/>
      <c r="UGX16" s="1336"/>
      <c r="UGY16" s="1337"/>
      <c r="UGZ16" s="1337"/>
      <c r="UHA16" s="1337"/>
      <c r="UHB16" s="1337"/>
      <c r="UHC16" s="1337"/>
      <c r="UHD16" s="1338"/>
      <c r="UHE16" s="1339"/>
      <c r="UHF16" s="1340"/>
      <c r="UHG16" s="1340"/>
      <c r="UHH16" s="1340"/>
      <c r="UHI16" s="1341"/>
      <c r="UHJ16" s="1342"/>
      <c r="UHK16" s="1336"/>
      <c r="UHL16" s="1336"/>
      <c r="UHM16" s="1336"/>
      <c r="UHN16" s="1336"/>
      <c r="UHO16" s="1337"/>
      <c r="UHP16" s="1337"/>
      <c r="UHQ16" s="1337"/>
      <c r="UHR16" s="1337"/>
      <c r="UHS16" s="1337"/>
      <c r="UHT16" s="1338"/>
      <c r="UHU16" s="1339"/>
      <c r="UHV16" s="1340"/>
      <c r="UHW16" s="1340"/>
      <c r="UHX16" s="1340"/>
      <c r="UHY16" s="1341"/>
      <c r="UHZ16" s="1342"/>
      <c r="UIA16" s="1336"/>
      <c r="UIB16" s="1336"/>
      <c r="UIC16" s="1336"/>
      <c r="UID16" s="1336"/>
      <c r="UIE16" s="1337"/>
      <c r="UIF16" s="1337"/>
      <c r="UIG16" s="1337"/>
      <c r="UIH16" s="1337"/>
      <c r="UII16" s="1337"/>
      <c r="UIJ16" s="1338"/>
      <c r="UIK16" s="1339"/>
      <c r="UIL16" s="1340"/>
      <c r="UIM16" s="1340"/>
      <c r="UIN16" s="1340"/>
      <c r="UIO16" s="1341"/>
      <c r="UIP16" s="1342"/>
      <c r="UIQ16" s="1336"/>
      <c r="UIR16" s="1336"/>
      <c r="UIS16" s="1336"/>
      <c r="UIT16" s="1336"/>
      <c r="UIU16" s="1337"/>
      <c r="UIV16" s="1337"/>
      <c r="UIW16" s="1337"/>
      <c r="UIX16" s="1337"/>
      <c r="UIY16" s="1337"/>
      <c r="UIZ16" s="1338"/>
      <c r="UJA16" s="1339"/>
      <c r="UJB16" s="1340"/>
      <c r="UJC16" s="1340"/>
      <c r="UJD16" s="1340"/>
      <c r="UJE16" s="1341"/>
      <c r="UJF16" s="1342"/>
      <c r="UJG16" s="1336"/>
      <c r="UJH16" s="1336"/>
      <c r="UJI16" s="1336"/>
      <c r="UJJ16" s="1336"/>
      <c r="UJK16" s="1337"/>
      <c r="UJL16" s="1337"/>
      <c r="UJM16" s="1337"/>
      <c r="UJN16" s="1337"/>
      <c r="UJO16" s="1337"/>
      <c r="UJP16" s="1338"/>
      <c r="UJQ16" s="1339"/>
      <c r="UJR16" s="1340"/>
      <c r="UJS16" s="1340"/>
      <c r="UJT16" s="1340"/>
      <c r="UJU16" s="1341"/>
      <c r="UJV16" s="1342"/>
      <c r="UJW16" s="1336"/>
      <c r="UJX16" s="1336"/>
      <c r="UJY16" s="1336"/>
      <c r="UJZ16" s="1336"/>
      <c r="UKA16" s="1337"/>
      <c r="UKB16" s="1337"/>
      <c r="UKC16" s="1337"/>
      <c r="UKD16" s="1337"/>
      <c r="UKE16" s="1337"/>
      <c r="UKF16" s="1338"/>
      <c r="UKG16" s="1339"/>
      <c r="UKH16" s="1340"/>
      <c r="UKI16" s="1340"/>
      <c r="UKJ16" s="1340"/>
      <c r="UKK16" s="1341"/>
      <c r="UKL16" s="1342"/>
      <c r="UKM16" s="1336"/>
      <c r="UKN16" s="1336"/>
      <c r="UKO16" s="1336"/>
      <c r="UKP16" s="1336"/>
      <c r="UKQ16" s="1337"/>
      <c r="UKR16" s="1337"/>
      <c r="UKS16" s="1337"/>
      <c r="UKT16" s="1337"/>
      <c r="UKU16" s="1337"/>
      <c r="UKV16" s="1338"/>
      <c r="UKW16" s="1339"/>
      <c r="UKX16" s="1340"/>
      <c r="UKY16" s="1340"/>
      <c r="UKZ16" s="1340"/>
      <c r="ULA16" s="1341"/>
      <c r="ULB16" s="1342"/>
      <c r="ULC16" s="1336"/>
      <c r="ULD16" s="1336"/>
      <c r="ULE16" s="1336"/>
      <c r="ULF16" s="1336"/>
      <c r="ULG16" s="1337"/>
      <c r="ULH16" s="1337"/>
      <c r="ULI16" s="1337"/>
      <c r="ULJ16" s="1337"/>
      <c r="ULK16" s="1337"/>
      <c r="ULL16" s="1338"/>
      <c r="ULM16" s="1339"/>
      <c r="ULN16" s="1340"/>
      <c r="ULO16" s="1340"/>
      <c r="ULP16" s="1340"/>
      <c r="ULQ16" s="1341"/>
      <c r="ULR16" s="1342"/>
      <c r="ULS16" s="1336"/>
      <c r="ULT16" s="1336"/>
      <c r="ULU16" s="1336"/>
      <c r="ULV16" s="1336"/>
      <c r="ULW16" s="1337"/>
      <c r="ULX16" s="1337"/>
      <c r="ULY16" s="1337"/>
      <c r="ULZ16" s="1337"/>
      <c r="UMA16" s="1337"/>
      <c r="UMB16" s="1338"/>
      <c r="UMC16" s="1339"/>
      <c r="UMD16" s="1340"/>
      <c r="UME16" s="1340"/>
      <c r="UMF16" s="1340"/>
      <c r="UMG16" s="1341"/>
      <c r="UMH16" s="1342"/>
      <c r="UMI16" s="1336"/>
      <c r="UMJ16" s="1336"/>
      <c r="UMK16" s="1336"/>
      <c r="UML16" s="1336"/>
      <c r="UMM16" s="1337"/>
      <c r="UMN16" s="1337"/>
      <c r="UMO16" s="1337"/>
      <c r="UMP16" s="1337"/>
      <c r="UMQ16" s="1337"/>
      <c r="UMR16" s="1338"/>
      <c r="UMS16" s="1339"/>
      <c r="UMT16" s="1340"/>
      <c r="UMU16" s="1340"/>
      <c r="UMV16" s="1340"/>
      <c r="UMW16" s="1341"/>
      <c r="UMX16" s="1342"/>
      <c r="UMY16" s="1336"/>
      <c r="UMZ16" s="1336"/>
      <c r="UNA16" s="1336"/>
      <c r="UNB16" s="1336"/>
      <c r="UNC16" s="1337"/>
      <c r="UND16" s="1337"/>
      <c r="UNE16" s="1337"/>
      <c r="UNF16" s="1337"/>
      <c r="UNG16" s="1337"/>
      <c r="UNH16" s="1338"/>
      <c r="UNI16" s="1339"/>
      <c r="UNJ16" s="1340"/>
      <c r="UNK16" s="1340"/>
      <c r="UNL16" s="1340"/>
      <c r="UNM16" s="1341"/>
      <c r="UNN16" s="1342"/>
      <c r="UNO16" s="1336"/>
      <c r="UNP16" s="1336"/>
      <c r="UNQ16" s="1336"/>
      <c r="UNR16" s="1336"/>
      <c r="UNS16" s="1337"/>
      <c r="UNT16" s="1337"/>
      <c r="UNU16" s="1337"/>
      <c r="UNV16" s="1337"/>
      <c r="UNW16" s="1337"/>
      <c r="UNX16" s="1338"/>
      <c r="UNY16" s="1339"/>
      <c r="UNZ16" s="1340"/>
      <c r="UOA16" s="1340"/>
      <c r="UOB16" s="1340"/>
      <c r="UOC16" s="1341"/>
      <c r="UOD16" s="1342"/>
      <c r="UOE16" s="1336"/>
      <c r="UOF16" s="1336"/>
      <c r="UOG16" s="1336"/>
      <c r="UOH16" s="1336"/>
      <c r="UOI16" s="1337"/>
      <c r="UOJ16" s="1337"/>
      <c r="UOK16" s="1337"/>
      <c r="UOL16" s="1337"/>
      <c r="UOM16" s="1337"/>
      <c r="UON16" s="1338"/>
      <c r="UOO16" s="1339"/>
      <c r="UOP16" s="1340"/>
      <c r="UOQ16" s="1340"/>
      <c r="UOR16" s="1340"/>
      <c r="UOS16" s="1341"/>
      <c r="UOT16" s="1342"/>
      <c r="UOU16" s="1336"/>
      <c r="UOV16" s="1336"/>
      <c r="UOW16" s="1336"/>
      <c r="UOX16" s="1336"/>
      <c r="UOY16" s="1337"/>
      <c r="UOZ16" s="1337"/>
      <c r="UPA16" s="1337"/>
      <c r="UPB16" s="1337"/>
      <c r="UPC16" s="1337"/>
      <c r="UPD16" s="1338"/>
      <c r="UPE16" s="1339"/>
      <c r="UPF16" s="1340"/>
      <c r="UPG16" s="1340"/>
      <c r="UPH16" s="1340"/>
      <c r="UPI16" s="1341"/>
      <c r="UPJ16" s="1342"/>
      <c r="UPK16" s="1336"/>
      <c r="UPL16" s="1336"/>
      <c r="UPM16" s="1336"/>
      <c r="UPN16" s="1336"/>
      <c r="UPO16" s="1337"/>
      <c r="UPP16" s="1337"/>
      <c r="UPQ16" s="1337"/>
      <c r="UPR16" s="1337"/>
      <c r="UPS16" s="1337"/>
      <c r="UPT16" s="1338"/>
      <c r="UPU16" s="1339"/>
      <c r="UPV16" s="1340"/>
      <c r="UPW16" s="1340"/>
      <c r="UPX16" s="1340"/>
      <c r="UPY16" s="1341"/>
      <c r="UPZ16" s="1342"/>
      <c r="UQA16" s="1336"/>
      <c r="UQB16" s="1336"/>
      <c r="UQC16" s="1336"/>
      <c r="UQD16" s="1336"/>
      <c r="UQE16" s="1337"/>
      <c r="UQF16" s="1337"/>
      <c r="UQG16" s="1337"/>
      <c r="UQH16" s="1337"/>
      <c r="UQI16" s="1337"/>
      <c r="UQJ16" s="1338"/>
      <c r="UQK16" s="1339"/>
      <c r="UQL16" s="1340"/>
      <c r="UQM16" s="1340"/>
      <c r="UQN16" s="1340"/>
      <c r="UQO16" s="1341"/>
      <c r="UQP16" s="1342"/>
      <c r="UQQ16" s="1336"/>
      <c r="UQR16" s="1336"/>
      <c r="UQS16" s="1336"/>
      <c r="UQT16" s="1336"/>
      <c r="UQU16" s="1337"/>
      <c r="UQV16" s="1337"/>
      <c r="UQW16" s="1337"/>
      <c r="UQX16" s="1337"/>
      <c r="UQY16" s="1337"/>
      <c r="UQZ16" s="1338"/>
      <c r="URA16" s="1339"/>
      <c r="URB16" s="1340"/>
      <c r="URC16" s="1340"/>
      <c r="URD16" s="1340"/>
      <c r="URE16" s="1341"/>
      <c r="URF16" s="1342"/>
      <c r="URG16" s="1336"/>
      <c r="URH16" s="1336"/>
      <c r="URI16" s="1336"/>
      <c r="URJ16" s="1336"/>
      <c r="URK16" s="1337"/>
      <c r="URL16" s="1337"/>
      <c r="URM16" s="1337"/>
      <c r="URN16" s="1337"/>
      <c r="URO16" s="1337"/>
      <c r="URP16" s="1338"/>
      <c r="URQ16" s="1339"/>
      <c r="URR16" s="1340"/>
      <c r="URS16" s="1340"/>
      <c r="URT16" s="1340"/>
      <c r="URU16" s="1341"/>
      <c r="URV16" s="1342"/>
      <c r="URW16" s="1336"/>
      <c r="URX16" s="1336"/>
      <c r="URY16" s="1336"/>
      <c r="URZ16" s="1336"/>
      <c r="USA16" s="1337"/>
      <c r="USB16" s="1337"/>
      <c r="USC16" s="1337"/>
      <c r="USD16" s="1337"/>
      <c r="USE16" s="1337"/>
      <c r="USF16" s="1338"/>
      <c r="USG16" s="1339"/>
      <c r="USH16" s="1340"/>
      <c r="USI16" s="1340"/>
      <c r="USJ16" s="1340"/>
      <c r="USK16" s="1341"/>
      <c r="USL16" s="1342"/>
      <c r="USM16" s="1336"/>
      <c r="USN16" s="1336"/>
      <c r="USO16" s="1336"/>
      <c r="USP16" s="1336"/>
      <c r="USQ16" s="1337"/>
      <c r="USR16" s="1337"/>
      <c r="USS16" s="1337"/>
      <c r="UST16" s="1337"/>
      <c r="USU16" s="1337"/>
      <c r="USV16" s="1338"/>
      <c r="USW16" s="1339"/>
      <c r="USX16" s="1340"/>
      <c r="USY16" s="1340"/>
      <c r="USZ16" s="1340"/>
      <c r="UTA16" s="1341"/>
      <c r="UTB16" s="1342"/>
      <c r="UTC16" s="1336"/>
      <c r="UTD16" s="1336"/>
      <c r="UTE16" s="1336"/>
      <c r="UTF16" s="1336"/>
      <c r="UTG16" s="1337"/>
      <c r="UTH16" s="1337"/>
      <c r="UTI16" s="1337"/>
      <c r="UTJ16" s="1337"/>
      <c r="UTK16" s="1337"/>
      <c r="UTL16" s="1338"/>
      <c r="UTM16" s="1339"/>
      <c r="UTN16" s="1340"/>
      <c r="UTO16" s="1340"/>
      <c r="UTP16" s="1340"/>
      <c r="UTQ16" s="1341"/>
      <c r="UTR16" s="1342"/>
      <c r="UTS16" s="1336"/>
      <c r="UTT16" s="1336"/>
      <c r="UTU16" s="1336"/>
      <c r="UTV16" s="1336"/>
      <c r="UTW16" s="1337"/>
      <c r="UTX16" s="1337"/>
      <c r="UTY16" s="1337"/>
      <c r="UTZ16" s="1337"/>
      <c r="UUA16" s="1337"/>
      <c r="UUB16" s="1338"/>
      <c r="UUC16" s="1339"/>
      <c r="UUD16" s="1340"/>
      <c r="UUE16" s="1340"/>
      <c r="UUF16" s="1340"/>
      <c r="UUG16" s="1341"/>
      <c r="UUH16" s="1342"/>
      <c r="UUI16" s="1336"/>
      <c r="UUJ16" s="1336"/>
      <c r="UUK16" s="1336"/>
      <c r="UUL16" s="1336"/>
      <c r="UUM16" s="1337"/>
      <c r="UUN16" s="1337"/>
      <c r="UUO16" s="1337"/>
      <c r="UUP16" s="1337"/>
      <c r="UUQ16" s="1337"/>
      <c r="UUR16" s="1338"/>
      <c r="UUS16" s="1339"/>
      <c r="UUT16" s="1340"/>
      <c r="UUU16" s="1340"/>
      <c r="UUV16" s="1340"/>
      <c r="UUW16" s="1341"/>
      <c r="UUX16" s="1342"/>
      <c r="UUY16" s="1336"/>
      <c r="UUZ16" s="1336"/>
      <c r="UVA16" s="1336"/>
      <c r="UVB16" s="1336"/>
      <c r="UVC16" s="1337"/>
      <c r="UVD16" s="1337"/>
      <c r="UVE16" s="1337"/>
      <c r="UVF16" s="1337"/>
      <c r="UVG16" s="1337"/>
      <c r="UVH16" s="1338"/>
      <c r="UVI16" s="1339"/>
      <c r="UVJ16" s="1340"/>
      <c r="UVK16" s="1340"/>
      <c r="UVL16" s="1340"/>
      <c r="UVM16" s="1341"/>
      <c r="UVN16" s="1342"/>
      <c r="UVO16" s="1336"/>
      <c r="UVP16" s="1336"/>
      <c r="UVQ16" s="1336"/>
      <c r="UVR16" s="1336"/>
      <c r="UVS16" s="1337"/>
      <c r="UVT16" s="1337"/>
      <c r="UVU16" s="1337"/>
      <c r="UVV16" s="1337"/>
      <c r="UVW16" s="1337"/>
      <c r="UVX16" s="1338"/>
      <c r="UVY16" s="1339"/>
      <c r="UVZ16" s="1340"/>
      <c r="UWA16" s="1340"/>
      <c r="UWB16" s="1340"/>
      <c r="UWC16" s="1341"/>
      <c r="UWD16" s="1342"/>
      <c r="UWE16" s="1336"/>
      <c r="UWF16" s="1336"/>
      <c r="UWG16" s="1336"/>
      <c r="UWH16" s="1336"/>
      <c r="UWI16" s="1337"/>
      <c r="UWJ16" s="1337"/>
      <c r="UWK16" s="1337"/>
      <c r="UWL16" s="1337"/>
      <c r="UWM16" s="1337"/>
      <c r="UWN16" s="1338"/>
      <c r="UWO16" s="1339"/>
      <c r="UWP16" s="1340"/>
      <c r="UWQ16" s="1340"/>
      <c r="UWR16" s="1340"/>
      <c r="UWS16" s="1341"/>
      <c r="UWT16" s="1342"/>
      <c r="UWU16" s="1336"/>
      <c r="UWV16" s="1336"/>
      <c r="UWW16" s="1336"/>
      <c r="UWX16" s="1336"/>
      <c r="UWY16" s="1337"/>
      <c r="UWZ16" s="1337"/>
      <c r="UXA16" s="1337"/>
      <c r="UXB16" s="1337"/>
      <c r="UXC16" s="1337"/>
      <c r="UXD16" s="1338"/>
      <c r="UXE16" s="1339"/>
      <c r="UXF16" s="1340"/>
      <c r="UXG16" s="1340"/>
      <c r="UXH16" s="1340"/>
      <c r="UXI16" s="1341"/>
      <c r="UXJ16" s="1342"/>
      <c r="UXK16" s="1336"/>
      <c r="UXL16" s="1336"/>
      <c r="UXM16" s="1336"/>
      <c r="UXN16" s="1336"/>
      <c r="UXO16" s="1337"/>
      <c r="UXP16" s="1337"/>
      <c r="UXQ16" s="1337"/>
      <c r="UXR16" s="1337"/>
      <c r="UXS16" s="1337"/>
      <c r="UXT16" s="1338"/>
      <c r="UXU16" s="1339"/>
      <c r="UXV16" s="1340"/>
      <c r="UXW16" s="1340"/>
      <c r="UXX16" s="1340"/>
      <c r="UXY16" s="1341"/>
      <c r="UXZ16" s="1342"/>
      <c r="UYA16" s="1336"/>
      <c r="UYB16" s="1336"/>
      <c r="UYC16" s="1336"/>
      <c r="UYD16" s="1336"/>
      <c r="UYE16" s="1337"/>
      <c r="UYF16" s="1337"/>
      <c r="UYG16" s="1337"/>
      <c r="UYH16" s="1337"/>
      <c r="UYI16" s="1337"/>
      <c r="UYJ16" s="1338"/>
      <c r="UYK16" s="1339"/>
      <c r="UYL16" s="1340"/>
      <c r="UYM16" s="1340"/>
      <c r="UYN16" s="1340"/>
      <c r="UYO16" s="1341"/>
      <c r="UYP16" s="1342"/>
      <c r="UYQ16" s="1336"/>
      <c r="UYR16" s="1336"/>
      <c r="UYS16" s="1336"/>
      <c r="UYT16" s="1336"/>
      <c r="UYU16" s="1337"/>
      <c r="UYV16" s="1337"/>
      <c r="UYW16" s="1337"/>
      <c r="UYX16" s="1337"/>
      <c r="UYY16" s="1337"/>
      <c r="UYZ16" s="1338"/>
      <c r="UZA16" s="1339"/>
      <c r="UZB16" s="1340"/>
      <c r="UZC16" s="1340"/>
      <c r="UZD16" s="1340"/>
      <c r="UZE16" s="1341"/>
      <c r="UZF16" s="1342"/>
      <c r="UZG16" s="1336"/>
      <c r="UZH16" s="1336"/>
      <c r="UZI16" s="1336"/>
      <c r="UZJ16" s="1336"/>
      <c r="UZK16" s="1337"/>
      <c r="UZL16" s="1337"/>
      <c r="UZM16" s="1337"/>
      <c r="UZN16" s="1337"/>
      <c r="UZO16" s="1337"/>
      <c r="UZP16" s="1338"/>
      <c r="UZQ16" s="1339"/>
      <c r="UZR16" s="1340"/>
      <c r="UZS16" s="1340"/>
      <c r="UZT16" s="1340"/>
      <c r="UZU16" s="1341"/>
      <c r="UZV16" s="1342"/>
      <c r="UZW16" s="1336"/>
      <c r="UZX16" s="1336"/>
      <c r="UZY16" s="1336"/>
      <c r="UZZ16" s="1336"/>
      <c r="VAA16" s="1337"/>
      <c r="VAB16" s="1337"/>
      <c r="VAC16" s="1337"/>
      <c r="VAD16" s="1337"/>
      <c r="VAE16" s="1337"/>
      <c r="VAF16" s="1338"/>
      <c r="VAG16" s="1339"/>
      <c r="VAH16" s="1340"/>
      <c r="VAI16" s="1340"/>
      <c r="VAJ16" s="1340"/>
      <c r="VAK16" s="1341"/>
      <c r="VAL16" s="1342"/>
      <c r="VAM16" s="1336"/>
      <c r="VAN16" s="1336"/>
      <c r="VAO16" s="1336"/>
      <c r="VAP16" s="1336"/>
      <c r="VAQ16" s="1337"/>
      <c r="VAR16" s="1337"/>
      <c r="VAS16" s="1337"/>
      <c r="VAT16" s="1337"/>
      <c r="VAU16" s="1337"/>
      <c r="VAV16" s="1338"/>
      <c r="VAW16" s="1339"/>
      <c r="VAX16" s="1340"/>
      <c r="VAY16" s="1340"/>
      <c r="VAZ16" s="1340"/>
      <c r="VBA16" s="1341"/>
      <c r="VBB16" s="1342"/>
      <c r="VBC16" s="1336"/>
      <c r="VBD16" s="1336"/>
      <c r="VBE16" s="1336"/>
      <c r="VBF16" s="1336"/>
      <c r="VBG16" s="1337"/>
      <c r="VBH16" s="1337"/>
      <c r="VBI16" s="1337"/>
      <c r="VBJ16" s="1337"/>
      <c r="VBK16" s="1337"/>
      <c r="VBL16" s="1338"/>
      <c r="VBM16" s="1339"/>
      <c r="VBN16" s="1340"/>
      <c r="VBO16" s="1340"/>
      <c r="VBP16" s="1340"/>
      <c r="VBQ16" s="1341"/>
      <c r="VBR16" s="1342"/>
      <c r="VBS16" s="1336"/>
      <c r="VBT16" s="1336"/>
      <c r="VBU16" s="1336"/>
      <c r="VBV16" s="1336"/>
      <c r="VBW16" s="1337"/>
      <c r="VBX16" s="1337"/>
      <c r="VBY16" s="1337"/>
      <c r="VBZ16" s="1337"/>
      <c r="VCA16" s="1337"/>
      <c r="VCB16" s="1338"/>
      <c r="VCC16" s="1339"/>
      <c r="VCD16" s="1340"/>
      <c r="VCE16" s="1340"/>
      <c r="VCF16" s="1340"/>
      <c r="VCG16" s="1341"/>
      <c r="VCH16" s="1342"/>
      <c r="VCI16" s="1336"/>
      <c r="VCJ16" s="1336"/>
      <c r="VCK16" s="1336"/>
      <c r="VCL16" s="1336"/>
      <c r="VCM16" s="1337"/>
      <c r="VCN16" s="1337"/>
      <c r="VCO16" s="1337"/>
      <c r="VCP16" s="1337"/>
      <c r="VCQ16" s="1337"/>
      <c r="VCR16" s="1338"/>
      <c r="VCS16" s="1339"/>
      <c r="VCT16" s="1340"/>
      <c r="VCU16" s="1340"/>
      <c r="VCV16" s="1340"/>
      <c r="VCW16" s="1341"/>
      <c r="VCX16" s="1342"/>
      <c r="VCY16" s="1336"/>
      <c r="VCZ16" s="1336"/>
      <c r="VDA16" s="1336"/>
      <c r="VDB16" s="1336"/>
      <c r="VDC16" s="1337"/>
      <c r="VDD16" s="1337"/>
      <c r="VDE16" s="1337"/>
      <c r="VDF16" s="1337"/>
      <c r="VDG16" s="1337"/>
      <c r="VDH16" s="1338"/>
      <c r="VDI16" s="1339"/>
      <c r="VDJ16" s="1340"/>
      <c r="VDK16" s="1340"/>
      <c r="VDL16" s="1340"/>
      <c r="VDM16" s="1341"/>
      <c r="VDN16" s="1342"/>
      <c r="VDO16" s="1336"/>
      <c r="VDP16" s="1336"/>
      <c r="VDQ16" s="1336"/>
      <c r="VDR16" s="1336"/>
      <c r="VDS16" s="1337"/>
      <c r="VDT16" s="1337"/>
      <c r="VDU16" s="1337"/>
      <c r="VDV16" s="1337"/>
      <c r="VDW16" s="1337"/>
      <c r="VDX16" s="1338"/>
      <c r="VDY16" s="1339"/>
      <c r="VDZ16" s="1340"/>
      <c r="VEA16" s="1340"/>
      <c r="VEB16" s="1340"/>
      <c r="VEC16" s="1341"/>
      <c r="VED16" s="1342"/>
      <c r="VEE16" s="1336"/>
      <c r="VEF16" s="1336"/>
      <c r="VEG16" s="1336"/>
      <c r="VEH16" s="1336"/>
      <c r="VEI16" s="1337"/>
      <c r="VEJ16" s="1337"/>
      <c r="VEK16" s="1337"/>
      <c r="VEL16" s="1337"/>
      <c r="VEM16" s="1337"/>
      <c r="VEN16" s="1338"/>
      <c r="VEO16" s="1339"/>
      <c r="VEP16" s="1340"/>
      <c r="VEQ16" s="1340"/>
      <c r="VER16" s="1340"/>
      <c r="VES16" s="1341"/>
      <c r="VET16" s="1342"/>
      <c r="VEU16" s="1336"/>
      <c r="VEV16" s="1336"/>
      <c r="VEW16" s="1336"/>
      <c r="VEX16" s="1336"/>
      <c r="VEY16" s="1337"/>
      <c r="VEZ16" s="1337"/>
      <c r="VFA16" s="1337"/>
      <c r="VFB16" s="1337"/>
      <c r="VFC16" s="1337"/>
      <c r="VFD16" s="1338"/>
      <c r="VFE16" s="1339"/>
      <c r="VFF16" s="1340"/>
      <c r="VFG16" s="1340"/>
      <c r="VFH16" s="1340"/>
      <c r="VFI16" s="1341"/>
      <c r="VFJ16" s="1342"/>
      <c r="VFK16" s="1336"/>
      <c r="VFL16" s="1336"/>
      <c r="VFM16" s="1336"/>
      <c r="VFN16" s="1336"/>
      <c r="VFO16" s="1337"/>
      <c r="VFP16" s="1337"/>
      <c r="VFQ16" s="1337"/>
      <c r="VFR16" s="1337"/>
      <c r="VFS16" s="1337"/>
      <c r="VFT16" s="1338"/>
      <c r="VFU16" s="1339"/>
      <c r="VFV16" s="1340"/>
      <c r="VFW16" s="1340"/>
      <c r="VFX16" s="1340"/>
      <c r="VFY16" s="1341"/>
      <c r="VFZ16" s="1342"/>
      <c r="VGA16" s="1336"/>
      <c r="VGB16" s="1336"/>
      <c r="VGC16" s="1336"/>
      <c r="VGD16" s="1336"/>
      <c r="VGE16" s="1337"/>
      <c r="VGF16" s="1337"/>
      <c r="VGG16" s="1337"/>
      <c r="VGH16" s="1337"/>
      <c r="VGI16" s="1337"/>
      <c r="VGJ16" s="1338"/>
      <c r="VGK16" s="1339"/>
      <c r="VGL16" s="1340"/>
      <c r="VGM16" s="1340"/>
      <c r="VGN16" s="1340"/>
      <c r="VGO16" s="1341"/>
      <c r="VGP16" s="1342"/>
      <c r="VGQ16" s="1336"/>
      <c r="VGR16" s="1336"/>
      <c r="VGS16" s="1336"/>
      <c r="VGT16" s="1336"/>
      <c r="VGU16" s="1337"/>
      <c r="VGV16" s="1337"/>
      <c r="VGW16" s="1337"/>
      <c r="VGX16" s="1337"/>
      <c r="VGY16" s="1337"/>
      <c r="VGZ16" s="1338"/>
      <c r="VHA16" s="1339"/>
      <c r="VHB16" s="1340"/>
      <c r="VHC16" s="1340"/>
      <c r="VHD16" s="1340"/>
      <c r="VHE16" s="1341"/>
      <c r="VHF16" s="1342"/>
      <c r="VHG16" s="1336"/>
      <c r="VHH16" s="1336"/>
      <c r="VHI16" s="1336"/>
      <c r="VHJ16" s="1336"/>
      <c r="VHK16" s="1337"/>
      <c r="VHL16" s="1337"/>
      <c r="VHM16" s="1337"/>
      <c r="VHN16" s="1337"/>
      <c r="VHO16" s="1337"/>
      <c r="VHP16" s="1338"/>
      <c r="VHQ16" s="1339"/>
      <c r="VHR16" s="1340"/>
      <c r="VHS16" s="1340"/>
      <c r="VHT16" s="1340"/>
      <c r="VHU16" s="1341"/>
      <c r="VHV16" s="1342"/>
      <c r="VHW16" s="1336"/>
      <c r="VHX16" s="1336"/>
      <c r="VHY16" s="1336"/>
      <c r="VHZ16" s="1336"/>
      <c r="VIA16" s="1337"/>
      <c r="VIB16" s="1337"/>
      <c r="VIC16" s="1337"/>
      <c r="VID16" s="1337"/>
      <c r="VIE16" s="1337"/>
      <c r="VIF16" s="1338"/>
      <c r="VIG16" s="1339"/>
      <c r="VIH16" s="1340"/>
      <c r="VII16" s="1340"/>
      <c r="VIJ16" s="1340"/>
      <c r="VIK16" s="1341"/>
      <c r="VIL16" s="1342"/>
      <c r="VIM16" s="1336"/>
      <c r="VIN16" s="1336"/>
      <c r="VIO16" s="1336"/>
      <c r="VIP16" s="1336"/>
      <c r="VIQ16" s="1337"/>
      <c r="VIR16" s="1337"/>
      <c r="VIS16" s="1337"/>
      <c r="VIT16" s="1337"/>
      <c r="VIU16" s="1337"/>
      <c r="VIV16" s="1338"/>
      <c r="VIW16" s="1339"/>
      <c r="VIX16" s="1340"/>
      <c r="VIY16" s="1340"/>
      <c r="VIZ16" s="1340"/>
      <c r="VJA16" s="1341"/>
      <c r="VJB16" s="1342"/>
      <c r="VJC16" s="1336"/>
      <c r="VJD16" s="1336"/>
      <c r="VJE16" s="1336"/>
      <c r="VJF16" s="1336"/>
      <c r="VJG16" s="1337"/>
      <c r="VJH16" s="1337"/>
      <c r="VJI16" s="1337"/>
      <c r="VJJ16" s="1337"/>
      <c r="VJK16" s="1337"/>
      <c r="VJL16" s="1338"/>
      <c r="VJM16" s="1339"/>
      <c r="VJN16" s="1340"/>
      <c r="VJO16" s="1340"/>
      <c r="VJP16" s="1340"/>
      <c r="VJQ16" s="1341"/>
      <c r="VJR16" s="1342"/>
      <c r="VJS16" s="1336"/>
      <c r="VJT16" s="1336"/>
      <c r="VJU16" s="1336"/>
      <c r="VJV16" s="1336"/>
      <c r="VJW16" s="1337"/>
      <c r="VJX16" s="1337"/>
      <c r="VJY16" s="1337"/>
      <c r="VJZ16" s="1337"/>
      <c r="VKA16" s="1337"/>
      <c r="VKB16" s="1338"/>
      <c r="VKC16" s="1339"/>
      <c r="VKD16" s="1340"/>
      <c r="VKE16" s="1340"/>
      <c r="VKF16" s="1340"/>
      <c r="VKG16" s="1341"/>
      <c r="VKH16" s="1342"/>
      <c r="VKI16" s="1336"/>
      <c r="VKJ16" s="1336"/>
      <c r="VKK16" s="1336"/>
      <c r="VKL16" s="1336"/>
      <c r="VKM16" s="1337"/>
      <c r="VKN16" s="1337"/>
      <c r="VKO16" s="1337"/>
      <c r="VKP16" s="1337"/>
      <c r="VKQ16" s="1337"/>
      <c r="VKR16" s="1338"/>
      <c r="VKS16" s="1339"/>
      <c r="VKT16" s="1340"/>
      <c r="VKU16" s="1340"/>
      <c r="VKV16" s="1340"/>
      <c r="VKW16" s="1341"/>
      <c r="VKX16" s="1342"/>
      <c r="VKY16" s="1336"/>
      <c r="VKZ16" s="1336"/>
      <c r="VLA16" s="1336"/>
      <c r="VLB16" s="1336"/>
      <c r="VLC16" s="1337"/>
      <c r="VLD16" s="1337"/>
      <c r="VLE16" s="1337"/>
      <c r="VLF16" s="1337"/>
      <c r="VLG16" s="1337"/>
      <c r="VLH16" s="1338"/>
      <c r="VLI16" s="1339"/>
      <c r="VLJ16" s="1340"/>
      <c r="VLK16" s="1340"/>
      <c r="VLL16" s="1340"/>
      <c r="VLM16" s="1341"/>
      <c r="VLN16" s="1342"/>
      <c r="VLO16" s="1336"/>
      <c r="VLP16" s="1336"/>
      <c r="VLQ16" s="1336"/>
      <c r="VLR16" s="1336"/>
      <c r="VLS16" s="1337"/>
      <c r="VLT16" s="1337"/>
      <c r="VLU16" s="1337"/>
      <c r="VLV16" s="1337"/>
      <c r="VLW16" s="1337"/>
      <c r="VLX16" s="1338"/>
      <c r="VLY16" s="1339"/>
      <c r="VLZ16" s="1340"/>
      <c r="VMA16" s="1340"/>
      <c r="VMB16" s="1340"/>
      <c r="VMC16" s="1341"/>
      <c r="VMD16" s="1342"/>
      <c r="VME16" s="1336"/>
      <c r="VMF16" s="1336"/>
      <c r="VMG16" s="1336"/>
      <c r="VMH16" s="1336"/>
      <c r="VMI16" s="1337"/>
      <c r="VMJ16" s="1337"/>
      <c r="VMK16" s="1337"/>
      <c r="VML16" s="1337"/>
      <c r="VMM16" s="1337"/>
      <c r="VMN16" s="1338"/>
      <c r="VMO16" s="1339"/>
      <c r="VMP16" s="1340"/>
      <c r="VMQ16" s="1340"/>
      <c r="VMR16" s="1340"/>
      <c r="VMS16" s="1341"/>
      <c r="VMT16" s="1342"/>
      <c r="VMU16" s="1336"/>
      <c r="VMV16" s="1336"/>
      <c r="VMW16" s="1336"/>
      <c r="VMX16" s="1336"/>
      <c r="VMY16" s="1337"/>
      <c r="VMZ16" s="1337"/>
      <c r="VNA16" s="1337"/>
      <c r="VNB16" s="1337"/>
      <c r="VNC16" s="1337"/>
      <c r="VND16" s="1338"/>
      <c r="VNE16" s="1339"/>
      <c r="VNF16" s="1340"/>
      <c r="VNG16" s="1340"/>
      <c r="VNH16" s="1340"/>
      <c r="VNI16" s="1341"/>
      <c r="VNJ16" s="1342"/>
      <c r="VNK16" s="1336"/>
      <c r="VNL16" s="1336"/>
      <c r="VNM16" s="1336"/>
      <c r="VNN16" s="1336"/>
      <c r="VNO16" s="1337"/>
      <c r="VNP16" s="1337"/>
      <c r="VNQ16" s="1337"/>
      <c r="VNR16" s="1337"/>
      <c r="VNS16" s="1337"/>
      <c r="VNT16" s="1338"/>
      <c r="VNU16" s="1339"/>
      <c r="VNV16" s="1340"/>
      <c r="VNW16" s="1340"/>
      <c r="VNX16" s="1340"/>
      <c r="VNY16" s="1341"/>
      <c r="VNZ16" s="1342"/>
      <c r="VOA16" s="1336"/>
      <c r="VOB16" s="1336"/>
      <c r="VOC16" s="1336"/>
      <c r="VOD16" s="1336"/>
      <c r="VOE16" s="1337"/>
      <c r="VOF16" s="1337"/>
      <c r="VOG16" s="1337"/>
      <c r="VOH16" s="1337"/>
      <c r="VOI16" s="1337"/>
      <c r="VOJ16" s="1338"/>
      <c r="VOK16" s="1339"/>
      <c r="VOL16" s="1340"/>
      <c r="VOM16" s="1340"/>
      <c r="VON16" s="1340"/>
      <c r="VOO16" s="1341"/>
      <c r="VOP16" s="1342"/>
      <c r="VOQ16" s="1336"/>
      <c r="VOR16" s="1336"/>
      <c r="VOS16" s="1336"/>
      <c r="VOT16" s="1336"/>
      <c r="VOU16" s="1337"/>
      <c r="VOV16" s="1337"/>
      <c r="VOW16" s="1337"/>
      <c r="VOX16" s="1337"/>
      <c r="VOY16" s="1337"/>
      <c r="VOZ16" s="1338"/>
      <c r="VPA16" s="1339"/>
      <c r="VPB16" s="1340"/>
      <c r="VPC16" s="1340"/>
      <c r="VPD16" s="1340"/>
      <c r="VPE16" s="1341"/>
      <c r="VPF16" s="1342"/>
      <c r="VPG16" s="1336"/>
      <c r="VPH16" s="1336"/>
      <c r="VPI16" s="1336"/>
      <c r="VPJ16" s="1336"/>
      <c r="VPK16" s="1337"/>
      <c r="VPL16" s="1337"/>
      <c r="VPM16" s="1337"/>
      <c r="VPN16" s="1337"/>
      <c r="VPO16" s="1337"/>
      <c r="VPP16" s="1338"/>
      <c r="VPQ16" s="1339"/>
      <c r="VPR16" s="1340"/>
      <c r="VPS16" s="1340"/>
      <c r="VPT16" s="1340"/>
      <c r="VPU16" s="1341"/>
      <c r="VPV16" s="1342"/>
      <c r="VPW16" s="1336"/>
      <c r="VPX16" s="1336"/>
      <c r="VPY16" s="1336"/>
      <c r="VPZ16" s="1336"/>
      <c r="VQA16" s="1337"/>
      <c r="VQB16" s="1337"/>
      <c r="VQC16" s="1337"/>
      <c r="VQD16" s="1337"/>
      <c r="VQE16" s="1337"/>
      <c r="VQF16" s="1338"/>
      <c r="VQG16" s="1339"/>
      <c r="VQH16" s="1340"/>
      <c r="VQI16" s="1340"/>
      <c r="VQJ16" s="1340"/>
      <c r="VQK16" s="1341"/>
      <c r="VQL16" s="1342"/>
      <c r="VQM16" s="1336"/>
      <c r="VQN16" s="1336"/>
      <c r="VQO16" s="1336"/>
      <c r="VQP16" s="1336"/>
      <c r="VQQ16" s="1337"/>
      <c r="VQR16" s="1337"/>
      <c r="VQS16" s="1337"/>
      <c r="VQT16" s="1337"/>
      <c r="VQU16" s="1337"/>
      <c r="VQV16" s="1338"/>
      <c r="VQW16" s="1339"/>
      <c r="VQX16" s="1340"/>
      <c r="VQY16" s="1340"/>
      <c r="VQZ16" s="1340"/>
      <c r="VRA16" s="1341"/>
      <c r="VRB16" s="1342"/>
      <c r="VRC16" s="1336"/>
      <c r="VRD16" s="1336"/>
      <c r="VRE16" s="1336"/>
      <c r="VRF16" s="1336"/>
      <c r="VRG16" s="1337"/>
      <c r="VRH16" s="1337"/>
      <c r="VRI16" s="1337"/>
      <c r="VRJ16" s="1337"/>
      <c r="VRK16" s="1337"/>
      <c r="VRL16" s="1338"/>
      <c r="VRM16" s="1339"/>
      <c r="VRN16" s="1340"/>
      <c r="VRO16" s="1340"/>
      <c r="VRP16" s="1340"/>
      <c r="VRQ16" s="1341"/>
      <c r="VRR16" s="1342"/>
      <c r="VRS16" s="1336"/>
      <c r="VRT16" s="1336"/>
      <c r="VRU16" s="1336"/>
      <c r="VRV16" s="1336"/>
      <c r="VRW16" s="1337"/>
      <c r="VRX16" s="1337"/>
      <c r="VRY16" s="1337"/>
      <c r="VRZ16" s="1337"/>
      <c r="VSA16" s="1337"/>
      <c r="VSB16" s="1338"/>
      <c r="VSC16" s="1339"/>
      <c r="VSD16" s="1340"/>
      <c r="VSE16" s="1340"/>
      <c r="VSF16" s="1340"/>
      <c r="VSG16" s="1341"/>
      <c r="VSH16" s="1342"/>
      <c r="VSI16" s="1336"/>
      <c r="VSJ16" s="1336"/>
      <c r="VSK16" s="1336"/>
      <c r="VSL16" s="1336"/>
      <c r="VSM16" s="1337"/>
      <c r="VSN16" s="1337"/>
      <c r="VSO16" s="1337"/>
      <c r="VSP16" s="1337"/>
      <c r="VSQ16" s="1337"/>
      <c r="VSR16" s="1338"/>
      <c r="VSS16" s="1339"/>
      <c r="VST16" s="1340"/>
      <c r="VSU16" s="1340"/>
      <c r="VSV16" s="1340"/>
      <c r="VSW16" s="1341"/>
      <c r="VSX16" s="1342"/>
      <c r="VSY16" s="1336"/>
      <c r="VSZ16" s="1336"/>
      <c r="VTA16" s="1336"/>
      <c r="VTB16" s="1336"/>
      <c r="VTC16" s="1337"/>
      <c r="VTD16" s="1337"/>
      <c r="VTE16" s="1337"/>
      <c r="VTF16" s="1337"/>
      <c r="VTG16" s="1337"/>
      <c r="VTH16" s="1338"/>
      <c r="VTI16" s="1339"/>
      <c r="VTJ16" s="1340"/>
      <c r="VTK16" s="1340"/>
      <c r="VTL16" s="1340"/>
      <c r="VTM16" s="1341"/>
      <c r="VTN16" s="1342"/>
      <c r="VTO16" s="1336"/>
      <c r="VTP16" s="1336"/>
      <c r="VTQ16" s="1336"/>
      <c r="VTR16" s="1336"/>
      <c r="VTS16" s="1337"/>
      <c r="VTT16" s="1337"/>
      <c r="VTU16" s="1337"/>
      <c r="VTV16" s="1337"/>
      <c r="VTW16" s="1337"/>
      <c r="VTX16" s="1338"/>
      <c r="VTY16" s="1339"/>
      <c r="VTZ16" s="1340"/>
      <c r="VUA16" s="1340"/>
      <c r="VUB16" s="1340"/>
      <c r="VUC16" s="1341"/>
      <c r="VUD16" s="1342"/>
      <c r="VUE16" s="1336"/>
      <c r="VUF16" s="1336"/>
      <c r="VUG16" s="1336"/>
      <c r="VUH16" s="1336"/>
      <c r="VUI16" s="1337"/>
      <c r="VUJ16" s="1337"/>
      <c r="VUK16" s="1337"/>
      <c r="VUL16" s="1337"/>
      <c r="VUM16" s="1337"/>
      <c r="VUN16" s="1338"/>
      <c r="VUO16" s="1339"/>
      <c r="VUP16" s="1340"/>
      <c r="VUQ16" s="1340"/>
      <c r="VUR16" s="1340"/>
      <c r="VUS16" s="1341"/>
      <c r="VUT16" s="1342"/>
      <c r="VUU16" s="1336"/>
      <c r="VUV16" s="1336"/>
      <c r="VUW16" s="1336"/>
      <c r="VUX16" s="1336"/>
      <c r="VUY16" s="1337"/>
      <c r="VUZ16" s="1337"/>
      <c r="VVA16" s="1337"/>
      <c r="VVB16" s="1337"/>
      <c r="VVC16" s="1337"/>
      <c r="VVD16" s="1338"/>
      <c r="VVE16" s="1339"/>
      <c r="VVF16" s="1340"/>
      <c r="VVG16" s="1340"/>
      <c r="VVH16" s="1340"/>
      <c r="VVI16" s="1341"/>
      <c r="VVJ16" s="1342"/>
      <c r="VVK16" s="1336"/>
      <c r="VVL16" s="1336"/>
      <c r="VVM16" s="1336"/>
      <c r="VVN16" s="1336"/>
      <c r="VVO16" s="1337"/>
      <c r="VVP16" s="1337"/>
      <c r="VVQ16" s="1337"/>
      <c r="VVR16" s="1337"/>
      <c r="VVS16" s="1337"/>
      <c r="VVT16" s="1338"/>
      <c r="VVU16" s="1339"/>
      <c r="VVV16" s="1340"/>
      <c r="VVW16" s="1340"/>
      <c r="VVX16" s="1340"/>
      <c r="VVY16" s="1341"/>
      <c r="VVZ16" s="1342"/>
      <c r="VWA16" s="1336"/>
      <c r="VWB16" s="1336"/>
      <c r="VWC16" s="1336"/>
      <c r="VWD16" s="1336"/>
      <c r="VWE16" s="1337"/>
      <c r="VWF16" s="1337"/>
      <c r="VWG16" s="1337"/>
      <c r="VWH16" s="1337"/>
      <c r="VWI16" s="1337"/>
      <c r="VWJ16" s="1338"/>
      <c r="VWK16" s="1339"/>
      <c r="VWL16" s="1340"/>
      <c r="VWM16" s="1340"/>
      <c r="VWN16" s="1340"/>
      <c r="VWO16" s="1341"/>
      <c r="VWP16" s="1342"/>
      <c r="VWQ16" s="1336"/>
      <c r="VWR16" s="1336"/>
      <c r="VWS16" s="1336"/>
      <c r="VWT16" s="1336"/>
      <c r="VWU16" s="1337"/>
      <c r="VWV16" s="1337"/>
      <c r="VWW16" s="1337"/>
      <c r="VWX16" s="1337"/>
      <c r="VWY16" s="1337"/>
      <c r="VWZ16" s="1338"/>
      <c r="VXA16" s="1339"/>
      <c r="VXB16" s="1340"/>
      <c r="VXC16" s="1340"/>
      <c r="VXD16" s="1340"/>
      <c r="VXE16" s="1341"/>
      <c r="VXF16" s="1342"/>
      <c r="VXG16" s="1336"/>
      <c r="VXH16" s="1336"/>
      <c r="VXI16" s="1336"/>
      <c r="VXJ16" s="1336"/>
      <c r="VXK16" s="1337"/>
      <c r="VXL16" s="1337"/>
      <c r="VXM16" s="1337"/>
      <c r="VXN16" s="1337"/>
      <c r="VXO16" s="1337"/>
      <c r="VXP16" s="1338"/>
      <c r="VXQ16" s="1339"/>
      <c r="VXR16" s="1340"/>
      <c r="VXS16" s="1340"/>
      <c r="VXT16" s="1340"/>
      <c r="VXU16" s="1341"/>
      <c r="VXV16" s="1342"/>
      <c r="VXW16" s="1336"/>
      <c r="VXX16" s="1336"/>
      <c r="VXY16" s="1336"/>
      <c r="VXZ16" s="1336"/>
      <c r="VYA16" s="1337"/>
      <c r="VYB16" s="1337"/>
      <c r="VYC16" s="1337"/>
      <c r="VYD16" s="1337"/>
      <c r="VYE16" s="1337"/>
      <c r="VYF16" s="1338"/>
      <c r="VYG16" s="1339"/>
      <c r="VYH16" s="1340"/>
      <c r="VYI16" s="1340"/>
      <c r="VYJ16" s="1340"/>
      <c r="VYK16" s="1341"/>
      <c r="VYL16" s="1342"/>
      <c r="VYM16" s="1336"/>
      <c r="VYN16" s="1336"/>
      <c r="VYO16" s="1336"/>
      <c r="VYP16" s="1336"/>
      <c r="VYQ16" s="1337"/>
      <c r="VYR16" s="1337"/>
      <c r="VYS16" s="1337"/>
      <c r="VYT16" s="1337"/>
      <c r="VYU16" s="1337"/>
      <c r="VYV16" s="1338"/>
      <c r="VYW16" s="1339"/>
      <c r="VYX16" s="1340"/>
      <c r="VYY16" s="1340"/>
      <c r="VYZ16" s="1340"/>
      <c r="VZA16" s="1341"/>
      <c r="VZB16" s="1342"/>
      <c r="VZC16" s="1336"/>
      <c r="VZD16" s="1336"/>
      <c r="VZE16" s="1336"/>
      <c r="VZF16" s="1336"/>
      <c r="VZG16" s="1337"/>
      <c r="VZH16" s="1337"/>
      <c r="VZI16" s="1337"/>
      <c r="VZJ16" s="1337"/>
      <c r="VZK16" s="1337"/>
      <c r="VZL16" s="1338"/>
      <c r="VZM16" s="1339"/>
      <c r="VZN16" s="1340"/>
      <c r="VZO16" s="1340"/>
      <c r="VZP16" s="1340"/>
      <c r="VZQ16" s="1341"/>
      <c r="VZR16" s="1342"/>
      <c r="VZS16" s="1336"/>
      <c r="VZT16" s="1336"/>
      <c r="VZU16" s="1336"/>
      <c r="VZV16" s="1336"/>
      <c r="VZW16" s="1337"/>
      <c r="VZX16" s="1337"/>
      <c r="VZY16" s="1337"/>
      <c r="VZZ16" s="1337"/>
      <c r="WAA16" s="1337"/>
      <c r="WAB16" s="1338"/>
      <c r="WAC16" s="1339"/>
      <c r="WAD16" s="1340"/>
      <c r="WAE16" s="1340"/>
      <c r="WAF16" s="1340"/>
      <c r="WAG16" s="1341"/>
      <c r="WAH16" s="1342"/>
      <c r="WAI16" s="1336"/>
      <c r="WAJ16" s="1336"/>
      <c r="WAK16" s="1336"/>
      <c r="WAL16" s="1336"/>
      <c r="WAM16" s="1337"/>
      <c r="WAN16" s="1337"/>
      <c r="WAO16" s="1337"/>
      <c r="WAP16" s="1337"/>
      <c r="WAQ16" s="1337"/>
      <c r="WAR16" s="1338"/>
      <c r="WAS16" s="1339"/>
      <c r="WAT16" s="1340"/>
      <c r="WAU16" s="1340"/>
      <c r="WAV16" s="1340"/>
      <c r="WAW16" s="1341"/>
      <c r="WAX16" s="1342"/>
      <c r="WAY16" s="1336"/>
      <c r="WAZ16" s="1336"/>
      <c r="WBA16" s="1336"/>
      <c r="WBB16" s="1336"/>
      <c r="WBC16" s="1337"/>
      <c r="WBD16" s="1337"/>
      <c r="WBE16" s="1337"/>
      <c r="WBF16" s="1337"/>
      <c r="WBG16" s="1337"/>
      <c r="WBH16" s="1338"/>
      <c r="WBI16" s="1339"/>
      <c r="WBJ16" s="1340"/>
      <c r="WBK16" s="1340"/>
      <c r="WBL16" s="1340"/>
      <c r="WBM16" s="1341"/>
      <c r="WBN16" s="1342"/>
      <c r="WBO16" s="1336"/>
      <c r="WBP16" s="1336"/>
      <c r="WBQ16" s="1336"/>
      <c r="WBR16" s="1336"/>
      <c r="WBS16" s="1337"/>
      <c r="WBT16" s="1337"/>
      <c r="WBU16" s="1337"/>
      <c r="WBV16" s="1337"/>
      <c r="WBW16" s="1337"/>
      <c r="WBX16" s="1338"/>
      <c r="WBY16" s="1339"/>
      <c r="WBZ16" s="1340"/>
      <c r="WCA16" s="1340"/>
      <c r="WCB16" s="1340"/>
      <c r="WCC16" s="1341"/>
      <c r="WCD16" s="1342"/>
      <c r="WCE16" s="1336"/>
      <c r="WCF16" s="1336"/>
      <c r="WCG16" s="1336"/>
      <c r="WCH16" s="1336"/>
      <c r="WCI16" s="1337"/>
      <c r="WCJ16" s="1337"/>
      <c r="WCK16" s="1337"/>
      <c r="WCL16" s="1337"/>
      <c r="WCM16" s="1337"/>
      <c r="WCN16" s="1338"/>
      <c r="WCO16" s="1339"/>
      <c r="WCP16" s="1340"/>
      <c r="WCQ16" s="1340"/>
      <c r="WCR16" s="1340"/>
      <c r="WCS16" s="1341"/>
      <c r="WCT16" s="1342"/>
      <c r="WCU16" s="1336"/>
      <c r="WCV16" s="1336"/>
      <c r="WCW16" s="1336"/>
      <c r="WCX16" s="1336"/>
      <c r="WCY16" s="1337"/>
      <c r="WCZ16" s="1337"/>
      <c r="WDA16" s="1337"/>
      <c r="WDB16" s="1337"/>
      <c r="WDC16" s="1337"/>
      <c r="WDD16" s="1338"/>
      <c r="WDE16" s="1339"/>
      <c r="WDF16" s="1340"/>
      <c r="WDG16" s="1340"/>
      <c r="WDH16" s="1340"/>
      <c r="WDI16" s="1341"/>
      <c r="WDJ16" s="1342"/>
      <c r="WDK16" s="1336"/>
      <c r="WDL16" s="1336"/>
      <c r="WDM16" s="1336"/>
      <c r="WDN16" s="1336"/>
      <c r="WDO16" s="1337"/>
      <c r="WDP16" s="1337"/>
      <c r="WDQ16" s="1337"/>
      <c r="WDR16" s="1337"/>
      <c r="WDS16" s="1337"/>
      <c r="WDT16" s="1338"/>
      <c r="WDU16" s="1339"/>
      <c r="WDV16" s="1340"/>
      <c r="WDW16" s="1340"/>
      <c r="WDX16" s="1340"/>
      <c r="WDY16" s="1341"/>
      <c r="WDZ16" s="1342"/>
      <c r="WEA16" s="1336"/>
      <c r="WEB16" s="1336"/>
      <c r="WEC16" s="1336"/>
      <c r="WED16" s="1336"/>
      <c r="WEE16" s="1337"/>
      <c r="WEF16" s="1337"/>
      <c r="WEG16" s="1337"/>
      <c r="WEH16" s="1337"/>
      <c r="WEI16" s="1337"/>
      <c r="WEJ16" s="1338"/>
      <c r="WEK16" s="1339"/>
      <c r="WEL16" s="1340"/>
      <c r="WEM16" s="1340"/>
      <c r="WEN16" s="1340"/>
      <c r="WEO16" s="1341"/>
      <c r="WEP16" s="1342"/>
      <c r="WEQ16" s="1336"/>
      <c r="WER16" s="1336"/>
      <c r="WES16" s="1336"/>
      <c r="WET16" s="1336"/>
      <c r="WEU16" s="1337"/>
      <c r="WEV16" s="1337"/>
      <c r="WEW16" s="1337"/>
      <c r="WEX16" s="1337"/>
      <c r="WEY16" s="1337"/>
      <c r="WEZ16" s="1338"/>
      <c r="WFA16" s="1339"/>
      <c r="WFB16" s="1340"/>
      <c r="WFC16" s="1340"/>
      <c r="WFD16" s="1340"/>
      <c r="WFE16" s="1341"/>
      <c r="WFF16" s="1342"/>
      <c r="WFG16" s="1336"/>
      <c r="WFH16" s="1336"/>
      <c r="WFI16" s="1336"/>
      <c r="WFJ16" s="1336"/>
      <c r="WFK16" s="1337"/>
      <c r="WFL16" s="1337"/>
      <c r="WFM16" s="1337"/>
      <c r="WFN16" s="1337"/>
      <c r="WFO16" s="1337"/>
      <c r="WFP16" s="1338"/>
      <c r="WFQ16" s="1339"/>
      <c r="WFR16" s="1340"/>
      <c r="WFS16" s="1340"/>
      <c r="WFT16" s="1340"/>
      <c r="WFU16" s="1341"/>
      <c r="WFV16" s="1342"/>
      <c r="WFW16" s="1336"/>
      <c r="WFX16" s="1336"/>
      <c r="WFY16" s="1336"/>
      <c r="WFZ16" s="1336"/>
      <c r="WGA16" s="1337"/>
      <c r="WGB16" s="1337"/>
      <c r="WGC16" s="1337"/>
      <c r="WGD16" s="1337"/>
      <c r="WGE16" s="1337"/>
      <c r="WGF16" s="1338"/>
      <c r="WGG16" s="1339"/>
      <c r="WGH16" s="1340"/>
      <c r="WGI16" s="1340"/>
      <c r="WGJ16" s="1340"/>
      <c r="WGK16" s="1341"/>
      <c r="WGL16" s="1342"/>
      <c r="WGM16" s="1336"/>
      <c r="WGN16" s="1336"/>
      <c r="WGO16" s="1336"/>
      <c r="WGP16" s="1336"/>
      <c r="WGQ16" s="1337"/>
      <c r="WGR16" s="1337"/>
      <c r="WGS16" s="1337"/>
      <c r="WGT16" s="1337"/>
      <c r="WGU16" s="1337"/>
      <c r="WGV16" s="1338"/>
      <c r="WGW16" s="1339"/>
      <c r="WGX16" s="1340"/>
      <c r="WGY16" s="1340"/>
      <c r="WGZ16" s="1340"/>
      <c r="WHA16" s="1341"/>
      <c r="WHB16" s="1342"/>
      <c r="WHC16" s="1336"/>
      <c r="WHD16" s="1336"/>
      <c r="WHE16" s="1336"/>
      <c r="WHF16" s="1336"/>
      <c r="WHG16" s="1337"/>
      <c r="WHH16" s="1337"/>
      <c r="WHI16" s="1337"/>
      <c r="WHJ16" s="1337"/>
      <c r="WHK16" s="1337"/>
      <c r="WHL16" s="1338"/>
      <c r="WHM16" s="1339"/>
      <c r="WHN16" s="1340"/>
      <c r="WHO16" s="1340"/>
      <c r="WHP16" s="1340"/>
      <c r="WHQ16" s="1341"/>
      <c r="WHR16" s="1342"/>
      <c r="WHS16" s="1336"/>
      <c r="WHT16" s="1336"/>
      <c r="WHU16" s="1336"/>
      <c r="WHV16" s="1336"/>
      <c r="WHW16" s="1337"/>
      <c r="WHX16" s="1337"/>
      <c r="WHY16" s="1337"/>
      <c r="WHZ16" s="1337"/>
      <c r="WIA16" s="1337"/>
      <c r="WIB16" s="1338"/>
      <c r="WIC16" s="1339"/>
      <c r="WID16" s="1340"/>
      <c r="WIE16" s="1340"/>
      <c r="WIF16" s="1340"/>
      <c r="WIG16" s="1341"/>
      <c r="WIH16" s="1342"/>
      <c r="WII16" s="1336"/>
      <c r="WIJ16" s="1336"/>
      <c r="WIK16" s="1336"/>
      <c r="WIL16" s="1336"/>
      <c r="WIM16" s="1337"/>
      <c r="WIN16" s="1337"/>
      <c r="WIO16" s="1337"/>
      <c r="WIP16" s="1337"/>
      <c r="WIQ16" s="1337"/>
      <c r="WIR16" s="1338"/>
      <c r="WIS16" s="1339"/>
      <c r="WIT16" s="1340"/>
      <c r="WIU16" s="1340"/>
      <c r="WIV16" s="1340"/>
      <c r="WIW16" s="1341"/>
      <c r="WIX16" s="1342"/>
      <c r="WIY16" s="1336"/>
      <c r="WIZ16" s="1336"/>
      <c r="WJA16" s="1336"/>
      <c r="WJB16" s="1336"/>
      <c r="WJC16" s="1337"/>
      <c r="WJD16" s="1337"/>
      <c r="WJE16" s="1337"/>
      <c r="WJF16" s="1337"/>
      <c r="WJG16" s="1337"/>
      <c r="WJH16" s="1338"/>
      <c r="WJI16" s="1339"/>
      <c r="WJJ16" s="1340"/>
      <c r="WJK16" s="1340"/>
      <c r="WJL16" s="1340"/>
      <c r="WJM16" s="1341"/>
      <c r="WJN16" s="1342"/>
      <c r="WJO16" s="1336"/>
      <c r="WJP16" s="1336"/>
      <c r="WJQ16" s="1336"/>
      <c r="WJR16" s="1336"/>
      <c r="WJS16" s="1337"/>
      <c r="WJT16" s="1337"/>
      <c r="WJU16" s="1337"/>
      <c r="WJV16" s="1337"/>
      <c r="WJW16" s="1337"/>
      <c r="WJX16" s="1338"/>
      <c r="WJY16" s="1339"/>
      <c r="WJZ16" s="1340"/>
      <c r="WKA16" s="1340"/>
      <c r="WKB16" s="1340"/>
      <c r="WKC16" s="1341"/>
      <c r="WKD16" s="1342"/>
      <c r="WKE16" s="1336"/>
      <c r="WKF16" s="1336"/>
      <c r="WKG16" s="1336"/>
      <c r="WKH16" s="1336"/>
      <c r="WKI16" s="1337"/>
      <c r="WKJ16" s="1337"/>
      <c r="WKK16" s="1337"/>
      <c r="WKL16" s="1337"/>
      <c r="WKM16" s="1337"/>
      <c r="WKN16" s="1338"/>
      <c r="WKO16" s="1339"/>
      <c r="WKP16" s="1340"/>
      <c r="WKQ16" s="1340"/>
      <c r="WKR16" s="1340"/>
      <c r="WKS16" s="1341"/>
      <c r="WKT16" s="1342"/>
      <c r="WKU16" s="1336"/>
      <c r="WKV16" s="1336"/>
      <c r="WKW16" s="1336"/>
      <c r="WKX16" s="1336"/>
      <c r="WKY16" s="1337"/>
      <c r="WKZ16" s="1337"/>
      <c r="WLA16" s="1337"/>
      <c r="WLB16" s="1337"/>
      <c r="WLC16" s="1337"/>
      <c r="WLD16" s="1338"/>
      <c r="WLE16" s="1339"/>
      <c r="WLF16" s="1340"/>
      <c r="WLG16" s="1340"/>
      <c r="WLH16" s="1340"/>
      <c r="WLI16" s="1341"/>
      <c r="WLJ16" s="1342"/>
      <c r="WLK16" s="1336"/>
      <c r="WLL16" s="1336"/>
      <c r="WLM16" s="1336"/>
      <c r="WLN16" s="1336"/>
      <c r="WLO16" s="1337"/>
      <c r="WLP16" s="1337"/>
      <c r="WLQ16" s="1337"/>
      <c r="WLR16" s="1337"/>
      <c r="WLS16" s="1337"/>
      <c r="WLT16" s="1338"/>
      <c r="WLU16" s="1339"/>
      <c r="WLV16" s="1340"/>
      <c r="WLW16" s="1340"/>
      <c r="WLX16" s="1340"/>
      <c r="WLY16" s="1341"/>
      <c r="WLZ16" s="1342"/>
      <c r="WMA16" s="1336"/>
      <c r="WMB16" s="1336"/>
      <c r="WMC16" s="1336"/>
      <c r="WMD16" s="1336"/>
      <c r="WME16" s="1337"/>
      <c r="WMF16" s="1337"/>
      <c r="WMG16" s="1337"/>
      <c r="WMH16" s="1337"/>
      <c r="WMI16" s="1337"/>
      <c r="WMJ16" s="1338"/>
      <c r="WMK16" s="1339"/>
      <c r="WML16" s="1340"/>
      <c r="WMM16" s="1340"/>
      <c r="WMN16" s="1340"/>
      <c r="WMO16" s="1341"/>
      <c r="WMP16" s="1342"/>
      <c r="WMQ16" s="1336"/>
      <c r="WMR16" s="1336"/>
      <c r="WMS16" s="1336"/>
      <c r="WMT16" s="1336"/>
      <c r="WMU16" s="1337"/>
      <c r="WMV16" s="1337"/>
      <c r="WMW16" s="1337"/>
      <c r="WMX16" s="1337"/>
      <c r="WMY16" s="1337"/>
      <c r="WMZ16" s="1338"/>
      <c r="WNA16" s="1339"/>
      <c r="WNB16" s="1340"/>
      <c r="WNC16" s="1340"/>
      <c r="WND16" s="1340"/>
      <c r="WNE16" s="1341"/>
      <c r="WNF16" s="1342"/>
      <c r="WNG16" s="1336"/>
      <c r="WNH16" s="1336"/>
      <c r="WNI16" s="1336"/>
      <c r="WNJ16" s="1336"/>
      <c r="WNK16" s="1337"/>
      <c r="WNL16" s="1337"/>
      <c r="WNM16" s="1337"/>
      <c r="WNN16" s="1337"/>
      <c r="WNO16" s="1337"/>
      <c r="WNP16" s="1338"/>
      <c r="WNQ16" s="1339"/>
      <c r="WNR16" s="1340"/>
      <c r="WNS16" s="1340"/>
      <c r="WNT16" s="1340"/>
      <c r="WNU16" s="1341"/>
      <c r="WNV16" s="1342"/>
      <c r="WNW16" s="1336"/>
      <c r="WNX16" s="1336"/>
      <c r="WNY16" s="1336"/>
      <c r="WNZ16" s="1336"/>
      <c r="WOA16" s="1337"/>
      <c r="WOB16" s="1337"/>
      <c r="WOC16" s="1337"/>
      <c r="WOD16" s="1337"/>
      <c r="WOE16" s="1337"/>
      <c r="WOF16" s="1338"/>
      <c r="WOG16" s="1339"/>
      <c r="WOH16" s="1340"/>
      <c r="WOI16" s="1340"/>
      <c r="WOJ16" s="1340"/>
      <c r="WOK16" s="1341"/>
      <c r="WOL16" s="1342"/>
      <c r="WOM16" s="1336"/>
      <c r="WON16" s="1336"/>
      <c r="WOO16" s="1336"/>
      <c r="WOP16" s="1336"/>
      <c r="WOQ16" s="1337"/>
      <c r="WOR16" s="1337"/>
      <c r="WOS16" s="1337"/>
      <c r="WOT16" s="1337"/>
      <c r="WOU16" s="1337"/>
      <c r="WOV16" s="1338"/>
      <c r="WOW16" s="1339"/>
      <c r="WOX16" s="1340"/>
      <c r="WOY16" s="1340"/>
      <c r="WOZ16" s="1340"/>
      <c r="WPA16" s="1341"/>
      <c r="WPB16" s="1342"/>
      <c r="WPC16" s="1336"/>
      <c r="WPD16" s="1336"/>
      <c r="WPE16" s="1336"/>
      <c r="WPF16" s="1336"/>
      <c r="WPG16" s="1337"/>
      <c r="WPH16" s="1337"/>
      <c r="WPI16" s="1337"/>
      <c r="WPJ16" s="1337"/>
      <c r="WPK16" s="1337"/>
      <c r="WPL16" s="1338"/>
      <c r="WPM16" s="1339"/>
      <c r="WPN16" s="1340"/>
      <c r="WPO16" s="1340"/>
      <c r="WPP16" s="1340"/>
      <c r="WPQ16" s="1341"/>
      <c r="WPR16" s="1342"/>
      <c r="WPS16" s="1336"/>
      <c r="WPT16" s="1336"/>
      <c r="WPU16" s="1336"/>
      <c r="WPV16" s="1336"/>
      <c r="WPW16" s="1337"/>
      <c r="WPX16" s="1337"/>
      <c r="WPY16" s="1337"/>
      <c r="WPZ16" s="1337"/>
      <c r="WQA16" s="1337"/>
      <c r="WQB16" s="1338"/>
      <c r="WQC16" s="1339"/>
      <c r="WQD16" s="1340"/>
      <c r="WQE16" s="1340"/>
      <c r="WQF16" s="1340"/>
      <c r="WQG16" s="1341"/>
      <c r="WQH16" s="1342"/>
      <c r="WQI16" s="1336"/>
      <c r="WQJ16" s="1336"/>
      <c r="WQK16" s="1336"/>
      <c r="WQL16" s="1336"/>
      <c r="WQM16" s="1337"/>
      <c r="WQN16" s="1337"/>
      <c r="WQO16" s="1337"/>
      <c r="WQP16" s="1337"/>
      <c r="WQQ16" s="1337"/>
      <c r="WQR16" s="1338"/>
      <c r="WQS16" s="1339"/>
      <c r="WQT16" s="1340"/>
      <c r="WQU16" s="1340"/>
      <c r="WQV16" s="1340"/>
      <c r="WQW16" s="1341"/>
      <c r="WQX16" s="1342"/>
      <c r="WQY16" s="1336"/>
      <c r="WQZ16" s="1336"/>
      <c r="WRA16" s="1336"/>
      <c r="WRB16" s="1336"/>
      <c r="WRC16" s="1337"/>
      <c r="WRD16" s="1337"/>
      <c r="WRE16" s="1337"/>
      <c r="WRF16" s="1337"/>
      <c r="WRG16" s="1337"/>
      <c r="WRH16" s="1338"/>
      <c r="WRI16" s="1339"/>
      <c r="WRJ16" s="1340"/>
      <c r="WRK16" s="1340"/>
      <c r="WRL16" s="1340"/>
      <c r="WRM16" s="1341"/>
      <c r="WRN16" s="1342"/>
      <c r="WRO16" s="1336"/>
      <c r="WRP16" s="1336"/>
      <c r="WRQ16" s="1336"/>
      <c r="WRR16" s="1336"/>
      <c r="WRS16" s="1337"/>
      <c r="WRT16" s="1337"/>
      <c r="WRU16" s="1337"/>
      <c r="WRV16" s="1337"/>
      <c r="WRW16" s="1337"/>
      <c r="WRX16" s="1338"/>
      <c r="WRY16" s="1339"/>
      <c r="WRZ16" s="1340"/>
      <c r="WSA16" s="1340"/>
      <c r="WSB16" s="1340"/>
      <c r="WSC16" s="1341"/>
      <c r="WSD16" s="1342"/>
      <c r="WSE16" s="1336"/>
      <c r="WSF16" s="1336"/>
      <c r="WSG16" s="1336"/>
      <c r="WSH16" s="1336"/>
      <c r="WSI16" s="1337"/>
      <c r="WSJ16" s="1337"/>
      <c r="WSK16" s="1337"/>
      <c r="WSL16" s="1337"/>
      <c r="WSM16" s="1337"/>
      <c r="WSN16" s="1338"/>
      <c r="WSO16" s="1339"/>
      <c r="WSP16" s="1340"/>
      <c r="WSQ16" s="1340"/>
      <c r="WSR16" s="1340"/>
      <c r="WSS16" s="1341"/>
      <c r="WST16" s="1342"/>
      <c r="WSU16" s="1336"/>
      <c r="WSV16" s="1336"/>
      <c r="WSW16" s="1336"/>
      <c r="WSX16" s="1336"/>
      <c r="WSY16" s="1337"/>
      <c r="WSZ16" s="1337"/>
      <c r="WTA16" s="1337"/>
      <c r="WTB16" s="1337"/>
      <c r="WTC16" s="1337"/>
      <c r="WTD16" s="1338"/>
      <c r="WTE16" s="1339"/>
      <c r="WTF16" s="1340"/>
      <c r="WTG16" s="1340"/>
      <c r="WTH16" s="1340"/>
      <c r="WTI16" s="1341"/>
      <c r="WTJ16" s="1342"/>
      <c r="WTK16" s="1336"/>
      <c r="WTL16" s="1336"/>
      <c r="WTM16" s="1336"/>
      <c r="WTN16" s="1336"/>
      <c r="WTO16" s="1337"/>
      <c r="WTP16" s="1337"/>
      <c r="WTQ16" s="1337"/>
      <c r="WTR16" s="1337"/>
      <c r="WTS16" s="1337"/>
      <c r="WTT16" s="1338"/>
      <c r="WTU16" s="1339"/>
      <c r="WTV16" s="1340"/>
      <c r="WTW16" s="1340"/>
      <c r="WTX16" s="1340"/>
      <c r="WTY16" s="1341"/>
      <c r="WTZ16" s="1342"/>
      <c r="WUA16" s="1336"/>
      <c r="WUB16" s="1336"/>
      <c r="WUC16" s="1336"/>
      <c r="WUD16" s="1336"/>
      <c r="WUE16" s="1337"/>
      <c r="WUF16" s="1337"/>
      <c r="WUG16" s="1337"/>
      <c r="WUH16" s="1337"/>
      <c r="WUI16" s="1337"/>
      <c r="WUJ16" s="1338"/>
      <c r="WUK16" s="1339"/>
      <c r="WUL16" s="1340"/>
      <c r="WUM16" s="1340"/>
      <c r="WUN16" s="1340"/>
      <c r="WUO16" s="1341"/>
      <c r="WUP16" s="1342"/>
      <c r="WUQ16" s="1336"/>
      <c r="WUR16" s="1336"/>
      <c r="WUS16" s="1336"/>
      <c r="WUT16" s="1336"/>
      <c r="WUU16" s="1337"/>
      <c r="WUV16" s="1337"/>
      <c r="WUW16" s="1337"/>
      <c r="WUX16" s="1337"/>
      <c r="WUY16" s="1337"/>
      <c r="WUZ16" s="1338"/>
      <c r="WVA16" s="1339"/>
      <c r="WVB16" s="1340"/>
      <c r="WVC16" s="1340"/>
      <c r="WVD16" s="1340"/>
      <c r="WVE16" s="1341"/>
      <c r="WVF16" s="1342"/>
      <c r="WVG16" s="1336"/>
      <c r="WVH16" s="1336"/>
      <c r="WVI16" s="1336"/>
      <c r="WVJ16" s="1336"/>
      <c r="WVK16" s="1337"/>
      <c r="WVL16" s="1337"/>
      <c r="WVM16" s="1337"/>
      <c r="WVN16" s="1337"/>
      <c r="WVO16" s="1337"/>
      <c r="WVP16" s="1338"/>
      <c r="WVQ16" s="1339"/>
      <c r="WVR16" s="1340"/>
      <c r="WVS16" s="1340"/>
      <c r="WVT16" s="1340"/>
      <c r="WVU16" s="1341"/>
      <c r="WVV16" s="1342"/>
      <c r="WVW16" s="1336"/>
      <c r="WVX16" s="1336"/>
      <c r="WVY16" s="1336"/>
      <c r="WVZ16" s="1336"/>
      <c r="WWA16" s="1337"/>
      <c r="WWB16" s="1337"/>
      <c r="WWC16" s="1337"/>
      <c r="WWD16" s="1337"/>
      <c r="WWE16" s="1337"/>
      <c r="WWF16" s="1338"/>
      <c r="WWG16" s="1339"/>
      <c r="WWH16" s="1340"/>
      <c r="WWI16" s="1340"/>
      <c r="WWJ16" s="1340"/>
      <c r="WWK16" s="1341"/>
      <c r="WWL16" s="1342"/>
      <c r="WWM16" s="1336"/>
      <c r="WWN16" s="1336"/>
      <c r="WWO16" s="1336"/>
      <c r="WWP16" s="1336"/>
      <c r="WWQ16" s="1337"/>
      <c r="WWR16" s="1337"/>
      <c r="WWS16" s="1337"/>
      <c r="WWT16" s="1337"/>
      <c r="WWU16" s="1337"/>
      <c r="WWV16" s="1338"/>
      <c r="WWW16" s="1339"/>
      <c r="WWX16" s="1340"/>
      <c r="WWY16" s="1340"/>
      <c r="WWZ16" s="1340"/>
      <c r="WXA16" s="1341"/>
      <c r="WXB16" s="1342"/>
      <c r="WXC16" s="1336"/>
      <c r="WXD16" s="1336"/>
      <c r="WXE16" s="1336"/>
      <c r="WXF16" s="1336"/>
      <c r="WXG16" s="1337"/>
      <c r="WXH16" s="1337"/>
      <c r="WXI16" s="1337"/>
      <c r="WXJ16" s="1337"/>
      <c r="WXK16" s="1337"/>
      <c r="WXL16" s="1338"/>
      <c r="WXM16" s="1339"/>
      <c r="WXN16" s="1340"/>
      <c r="WXO16" s="1340"/>
      <c r="WXP16" s="1340"/>
      <c r="WXQ16" s="1341"/>
      <c r="WXR16" s="1342"/>
      <c r="WXS16" s="1336"/>
      <c r="WXT16" s="1336"/>
      <c r="WXU16" s="1336"/>
      <c r="WXV16" s="1336"/>
      <c r="WXW16" s="1337"/>
      <c r="WXX16" s="1337"/>
      <c r="WXY16" s="1337"/>
      <c r="WXZ16" s="1337"/>
      <c r="WYA16" s="1337"/>
      <c r="WYB16" s="1338"/>
      <c r="WYC16" s="1339"/>
      <c r="WYD16" s="1340"/>
      <c r="WYE16" s="1340"/>
      <c r="WYF16" s="1340"/>
      <c r="WYG16" s="1341"/>
      <c r="WYH16" s="1342"/>
      <c r="WYI16" s="1336"/>
      <c r="WYJ16" s="1336"/>
      <c r="WYK16" s="1336"/>
      <c r="WYL16" s="1336"/>
      <c r="WYM16" s="1337"/>
      <c r="WYN16" s="1337"/>
      <c r="WYO16" s="1337"/>
      <c r="WYP16" s="1337"/>
      <c r="WYQ16" s="1337"/>
      <c r="WYR16" s="1338"/>
      <c r="WYS16" s="1339"/>
      <c r="WYT16" s="1340"/>
      <c r="WYU16" s="1340"/>
      <c r="WYV16" s="1340"/>
      <c r="WYW16" s="1341"/>
      <c r="WYX16" s="1342"/>
      <c r="WYY16" s="1336"/>
      <c r="WYZ16" s="1336"/>
      <c r="WZA16" s="1336"/>
      <c r="WZB16" s="1336"/>
      <c r="WZC16" s="1337"/>
      <c r="WZD16" s="1337"/>
      <c r="WZE16" s="1337"/>
      <c r="WZF16" s="1337"/>
      <c r="WZG16" s="1337"/>
      <c r="WZH16" s="1338"/>
      <c r="WZI16" s="1339"/>
      <c r="WZJ16" s="1340"/>
      <c r="WZK16" s="1340"/>
      <c r="WZL16" s="1340"/>
      <c r="WZM16" s="1341"/>
      <c r="WZN16" s="1342"/>
      <c r="WZO16" s="1336"/>
      <c r="WZP16" s="1336"/>
      <c r="WZQ16" s="1336"/>
      <c r="WZR16" s="1336"/>
      <c r="WZS16" s="1337"/>
      <c r="WZT16" s="1337"/>
      <c r="WZU16" s="1337"/>
      <c r="WZV16" s="1337"/>
      <c r="WZW16" s="1337"/>
      <c r="WZX16" s="1338"/>
      <c r="WZY16" s="1339"/>
      <c r="WZZ16" s="1340"/>
      <c r="XAA16" s="1340"/>
      <c r="XAB16" s="1340"/>
      <c r="XAC16" s="1341"/>
      <c r="XAD16" s="1342"/>
      <c r="XAE16" s="1336"/>
      <c r="XAF16" s="1336"/>
      <c r="XAG16" s="1336"/>
      <c r="XAH16" s="1336"/>
      <c r="XAI16" s="1337"/>
      <c r="XAJ16" s="1337"/>
      <c r="XAK16" s="1337"/>
      <c r="XAL16" s="1337"/>
      <c r="XAM16" s="1337"/>
      <c r="XAN16" s="1338"/>
      <c r="XAO16" s="1339"/>
      <c r="XAP16" s="1340"/>
      <c r="XAQ16" s="1340"/>
      <c r="XAR16" s="1340"/>
      <c r="XAS16" s="1341"/>
      <c r="XAT16" s="1342"/>
      <c r="XAU16" s="1336"/>
      <c r="XAV16" s="1336"/>
      <c r="XAW16" s="1336"/>
      <c r="XAX16" s="1336"/>
      <c r="XAY16" s="1337"/>
      <c r="XAZ16" s="1337"/>
      <c r="XBA16" s="1337"/>
      <c r="XBB16" s="1337"/>
      <c r="XBC16" s="1337"/>
      <c r="XBD16" s="1338"/>
      <c r="XBE16" s="1339"/>
      <c r="XBF16" s="1340"/>
      <c r="XBG16" s="1340"/>
      <c r="XBH16" s="1340"/>
      <c r="XBI16" s="1341"/>
      <c r="XBJ16" s="1342"/>
      <c r="XBK16" s="1336"/>
      <c r="XBL16" s="1336"/>
      <c r="XBM16" s="1336"/>
      <c r="XBN16" s="1336"/>
      <c r="XBO16" s="1337"/>
      <c r="XBP16" s="1337"/>
      <c r="XBQ16" s="1337"/>
      <c r="XBR16" s="1337"/>
      <c r="XBS16" s="1337"/>
      <c r="XBT16" s="1338"/>
    </row>
    <row r="17" spans="1:16296" ht="18" customHeight="1" x14ac:dyDescent="0.35">
      <c r="A17" s="7152" t="s">
        <v>1014</v>
      </c>
      <c r="B17" s="7153"/>
      <c r="C17" s="7153"/>
      <c r="D17" s="7153"/>
      <c r="E17" s="7163"/>
      <c r="F17" s="7164"/>
      <c r="G17" s="7165">
        <f>(G15-E17*G15)+G11</f>
        <v>210.75</v>
      </c>
      <c r="H17" s="7165"/>
      <c r="I17" s="7157"/>
      <c r="J17" s="7157"/>
      <c r="K17" s="7158" t="s">
        <v>1233</v>
      </c>
      <c r="L17" s="7158"/>
      <c r="M17" s="7158"/>
      <c r="N17" s="7158"/>
      <c r="O17" s="7158"/>
      <c r="P17" s="7159"/>
      <c r="Q17" s="7178"/>
      <c r="R17" s="7179"/>
      <c r="S17" s="7176"/>
      <c r="T17" s="7176"/>
      <c r="U17" s="7176"/>
      <c r="V17" s="7176"/>
      <c r="W17" s="7176"/>
      <c r="X17" s="7176"/>
      <c r="Y17" s="7180"/>
      <c r="Z17" s="7181"/>
      <c r="AA17" s="7181"/>
      <c r="AB17" s="7181"/>
      <c r="AC17" s="7175"/>
      <c r="AD17" s="7175"/>
      <c r="AE17" s="7175"/>
      <c r="AF17" s="7175"/>
      <c r="AG17" s="7175"/>
      <c r="AH17" s="7175"/>
      <c r="AI17" s="7176"/>
      <c r="AJ17" s="7176"/>
      <c r="AK17" s="7176"/>
      <c r="AL17" s="7176"/>
      <c r="AM17" s="7176"/>
      <c r="AN17" s="7176"/>
      <c r="AO17" s="7177" t="s">
        <v>175</v>
      </c>
      <c r="AP17" s="7153"/>
      <c r="AQ17" s="7153"/>
      <c r="AR17" s="7153"/>
      <c r="AS17" s="7157"/>
      <c r="AT17" s="7157"/>
      <c r="AU17" s="7157"/>
      <c r="AV17" s="7157"/>
      <c r="AW17" s="7157"/>
      <c r="AX17" s="7157"/>
      <c r="AY17" s="7158"/>
      <c r="AZ17" s="7158"/>
      <c r="BA17" s="7158"/>
      <c r="BB17" s="7158"/>
      <c r="BC17" s="7158"/>
      <c r="BD17" s="7159"/>
      <c r="BE17" s="7152" t="s">
        <v>175</v>
      </c>
      <c r="BF17" s="7153"/>
      <c r="BG17" s="7153"/>
      <c r="BH17" s="7153"/>
      <c r="BI17" s="7157"/>
      <c r="BJ17" s="7157"/>
      <c r="BK17" s="7157"/>
      <c r="BL17" s="7157"/>
      <c r="BM17" s="7157"/>
      <c r="BN17" s="7157"/>
      <c r="BO17" s="7158"/>
      <c r="BP17" s="7158"/>
      <c r="BQ17" s="7158"/>
      <c r="BR17" s="7158"/>
      <c r="BS17" s="7158"/>
      <c r="BT17" s="7159"/>
      <c r="BU17" s="7152" t="s">
        <v>175</v>
      </c>
      <c r="BV17" s="7153"/>
      <c r="BW17" s="7153"/>
      <c r="BX17" s="7153"/>
      <c r="BY17" s="7157"/>
      <c r="BZ17" s="7157"/>
      <c r="CA17" s="7157"/>
      <c r="CB17" s="7157"/>
      <c r="CC17" s="7157"/>
      <c r="CD17" s="7157"/>
      <c r="CE17" s="7158"/>
      <c r="CF17" s="7158"/>
      <c r="CG17" s="7158"/>
      <c r="CH17" s="7158"/>
      <c r="CI17" s="7158"/>
      <c r="CJ17" s="7159"/>
      <c r="CK17" s="7152" t="s">
        <v>175</v>
      </c>
      <c r="CL17" s="7153"/>
      <c r="CM17" s="7153"/>
      <c r="CN17" s="7153"/>
      <c r="CO17" s="7157"/>
      <c r="CP17" s="7157"/>
      <c r="CQ17" s="7157"/>
      <c r="CR17" s="7157"/>
      <c r="CS17" s="7157"/>
      <c r="CT17" s="7157"/>
      <c r="CU17" s="7158"/>
      <c r="CV17" s="7158"/>
      <c r="CW17" s="7158"/>
      <c r="CX17" s="7158"/>
      <c r="CY17" s="7158"/>
      <c r="CZ17" s="7159"/>
      <c r="DA17" s="7152" t="s">
        <v>175</v>
      </c>
      <c r="DB17" s="7153"/>
      <c r="DC17" s="7153"/>
      <c r="DD17" s="7153"/>
      <c r="DE17" s="7157"/>
      <c r="DF17" s="7157"/>
      <c r="DG17" s="7157"/>
      <c r="DH17" s="7157"/>
      <c r="DI17" s="7157"/>
      <c r="DJ17" s="7157"/>
      <c r="DK17" s="7158"/>
      <c r="DL17" s="7158"/>
      <c r="DM17" s="7158"/>
      <c r="DN17" s="7158"/>
      <c r="DO17" s="7158"/>
      <c r="DP17" s="7159"/>
      <c r="DQ17" s="7152" t="s">
        <v>175</v>
      </c>
      <c r="DR17" s="7153"/>
      <c r="DS17" s="7153"/>
      <c r="DT17" s="7153"/>
      <c r="DU17" s="7157"/>
      <c r="DV17" s="7157"/>
      <c r="DW17" s="7157"/>
      <c r="DX17" s="7157"/>
      <c r="DY17" s="7157"/>
      <c r="DZ17" s="7157"/>
      <c r="EA17" s="7158"/>
      <c r="EB17" s="7158"/>
      <c r="EC17" s="7158"/>
      <c r="ED17" s="7158"/>
      <c r="EE17" s="7158"/>
      <c r="EF17" s="7159"/>
      <c r="EG17" s="7152" t="s">
        <v>175</v>
      </c>
      <c r="EH17" s="7153"/>
      <c r="EI17" s="7153"/>
      <c r="EJ17" s="7153"/>
      <c r="EK17" s="7157"/>
      <c r="EL17" s="7157"/>
      <c r="EM17" s="7157"/>
      <c r="EN17" s="7157"/>
      <c r="EO17" s="7157"/>
      <c r="EP17" s="7157"/>
      <c r="EQ17" s="7158"/>
      <c r="ER17" s="7158"/>
      <c r="ES17" s="7158"/>
      <c r="ET17" s="7158"/>
      <c r="EU17" s="7158"/>
      <c r="EV17" s="7159"/>
      <c r="EW17" s="7152" t="s">
        <v>175</v>
      </c>
      <c r="EX17" s="7153"/>
      <c r="EY17" s="7153"/>
      <c r="EZ17" s="7153"/>
      <c r="FA17" s="7157"/>
      <c r="FB17" s="7157"/>
      <c r="FC17" s="7157"/>
      <c r="FD17" s="7157"/>
      <c r="FE17" s="7157"/>
      <c r="FF17" s="7157"/>
      <c r="FG17" s="7158"/>
      <c r="FH17" s="7158"/>
      <c r="FI17" s="7158"/>
      <c r="FJ17" s="7158"/>
      <c r="FK17" s="7158"/>
      <c r="FL17" s="7159"/>
      <c r="FM17" s="7152" t="s">
        <v>175</v>
      </c>
      <c r="FN17" s="7153"/>
      <c r="FO17" s="7153"/>
      <c r="FP17" s="7153"/>
      <c r="FQ17" s="7157"/>
      <c r="FR17" s="7157"/>
      <c r="FS17" s="7157"/>
      <c r="FT17" s="7157"/>
      <c r="FU17" s="7157"/>
      <c r="FV17" s="7157"/>
      <c r="FW17" s="7158"/>
      <c r="FX17" s="7158"/>
      <c r="FY17" s="7158"/>
      <c r="FZ17" s="7158"/>
      <c r="GA17" s="7158"/>
      <c r="GB17" s="7159"/>
      <c r="GC17" s="7152" t="s">
        <v>175</v>
      </c>
      <c r="GD17" s="7153"/>
      <c r="GE17" s="7153"/>
      <c r="GF17" s="7153"/>
      <c r="GG17" s="7157"/>
      <c r="GH17" s="7157"/>
      <c r="GI17" s="7157"/>
      <c r="GJ17" s="7157"/>
      <c r="GK17" s="7157"/>
      <c r="GL17" s="7157"/>
      <c r="GM17" s="7158"/>
      <c r="GN17" s="7158"/>
      <c r="GO17" s="7158"/>
      <c r="GP17" s="7158"/>
      <c r="GQ17" s="7158"/>
      <c r="GR17" s="7159"/>
      <c r="GS17" s="7152" t="s">
        <v>175</v>
      </c>
      <c r="GT17" s="7153"/>
      <c r="GU17" s="7153"/>
      <c r="GV17" s="7153"/>
      <c r="GW17" s="7157"/>
      <c r="GX17" s="7157"/>
      <c r="GY17" s="7157"/>
      <c r="GZ17" s="7157"/>
      <c r="HA17" s="7157"/>
      <c r="HB17" s="7157"/>
      <c r="HC17" s="7158"/>
      <c r="HD17" s="7158"/>
      <c r="HE17" s="7158"/>
      <c r="HF17" s="7158"/>
      <c r="HG17" s="7158"/>
      <c r="HH17" s="7159"/>
      <c r="HI17" s="7152" t="s">
        <v>175</v>
      </c>
      <c r="HJ17" s="7153"/>
      <c r="HK17" s="7153"/>
      <c r="HL17" s="7153"/>
      <c r="HM17" s="7157"/>
      <c r="HN17" s="7157"/>
      <c r="HO17" s="7157"/>
      <c r="HP17" s="7157"/>
      <c r="HQ17" s="7157"/>
      <c r="HR17" s="7157"/>
      <c r="HS17" s="7158"/>
      <c r="HT17" s="7158"/>
      <c r="HU17" s="7158"/>
      <c r="HV17" s="7158"/>
      <c r="HW17" s="7158"/>
      <c r="HX17" s="7159"/>
      <c r="HY17" s="7152" t="s">
        <v>175</v>
      </c>
      <c r="HZ17" s="7153"/>
      <c r="IA17" s="7153"/>
      <c r="IB17" s="7153"/>
      <c r="IC17" s="7157"/>
      <c r="ID17" s="7157"/>
      <c r="IE17" s="7157"/>
      <c r="IF17" s="7157"/>
      <c r="IG17" s="7157"/>
      <c r="IH17" s="7157"/>
      <c r="II17" s="7158"/>
      <c r="IJ17" s="7158"/>
      <c r="IK17" s="7158"/>
      <c r="IL17" s="7158"/>
      <c r="IM17" s="7158"/>
      <c r="IN17" s="7159"/>
      <c r="IO17" s="7152" t="s">
        <v>175</v>
      </c>
      <c r="IP17" s="7153"/>
      <c r="IQ17" s="7153"/>
      <c r="IR17" s="7153"/>
      <c r="IS17" s="7157"/>
      <c r="IT17" s="7157"/>
      <c r="IU17" s="7157"/>
      <c r="IV17" s="7157"/>
      <c r="IW17" s="7157"/>
      <c r="IX17" s="7157"/>
      <c r="IY17" s="7158"/>
      <c r="IZ17" s="7158"/>
      <c r="JA17" s="7158"/>
      <c r="JB17" s="7158"/>
      <c r="JC17" s="7158"/>
      <c r="JD17" s="7159"/>
      <c r="JE17" s="7152" t="s">
        <v>175</v>
      </c>
      <c r="JF17" s="7153"/>
      <c r="JG17" s="7153"/>
      <c r="JH17" s="7153"/>
      <c r="JI17" s="7157"/>
      <c r="JJ17" s="7157"/>
      <c r="JK17" s="7157"/>
      <c r="JL17" s="7157"/>
      <c r="JM17" s="7157"/>
      <c r="JN17" s="7157"/>
      <c r="JO17" s="7158"/>
      <c r="JP17" s="7158"/>
      <c r="JQ17" s="7158"/>
      <c r="JR17" s="7158"/>
      <c r="JS17" s="7158"/>
      <c r="JT17" s="7159"/>
      <c r="JU17" s="7152" t="s">
        <v>175</v>
      </c>
      <c r="JV17" s="7153"/>
      <c r="JW17" s="7153"/>
      <c r="JX17" s="7153"/>
      <c r="JY17" s="7157"/>
      <c r="JZ17" s="7157"/>
      <c r="KA17" s="7157"/>
      <c r="KB17" s="7157"/>
      <c r="KC17" s="7157"/>
      <c r="KD17" s="7157"/>
      <c r="KE17" s="7158"/>
      <c r="KF17" s="7158"/>
      <c r="KG17" s="7158"/>
      <c r="KH17" s="7158"/>
      <c r="KI17" s="7158"/>
      <c r="KJ17" s="7159"/>
      <c r="KK17" s="7152" t="s">
        <v>175</v>
      </c>
      <c r="KL17" s="7153"/>
      <c r="KM17" s="7153"/>
      <c r="KN17" s="7153"/>
      <c r="KO17" s="7157"/>
      <c r="KP17" s="7157"/>
      <c r="KQ17" s="7157"/>
      <c r="KR17" s="7157"/>
      <c r="KS17" s="7157"/>
      <c r="KT17" s="7157"/>
      <c r="KU17" s="7158"/>
      <c r="KV17" s="7158"/>
      <c r="KW17" s="7158"/>
      <c r="KX17" s="7158"/>
      <c r="KY17" s="7158"/>
      <c r="KZ17" s="7159"/>
      <c r="LA17" s="7152" t="s">
        <v>175</v>
      </c>
      <c r="LB17" s="7153"/>
      <c r="LC17" s="7153"/>
      <c r="LD17" s="7153"/>
      <c r="LE17" s="7157"/>
      <c r="LF17" s="7157"/>
      <c r="LG17" s="7157"/>
      <c r="LH17" s="7157"/>
      <c r="LI17" s="7157"/>
      <c r="LJ17" s="7157"/>
      <c r="LK17" s="7158"/>
      <c r="LL17" s="7158"/>
      <c r="LM17" s="7158"/>
      <c r="LN17" s="7158"/>
      <c r="LO17" s="7158"/>
      <c r="LP17" s="7159"/>
      <c r="LQ17" s="7152" t="s">
        <v>175</v>
      </c>
      <c r="LR17" s="7153"/>
      <c r="LS17" s="7153"/>
      <c r="LT17" s="7153"/>
      <c r="LU17" s="7157"/>
      <c r="LV17" s="7157"/>
      <c r="LW17" s="7157"/>
      <c r="LX17" s="7157"/>
      <c r="LY17" s="7157"/>
      <c r="LZ17" s="7157"/>
      <c r="MA17" s="7158"/>
      <c r="MB17" s="7158"/>
      <c r="MC17" s="7158"/>
      <c r="MD17" s="7158"/>
      <c r="ME17" s="7158"/>
      <c r="MF17" s="7159"/>
      <c r="MG17" s="7152" t="s">
        <v>175</v>
      </c>
      <c r="MH17" s="7153"/>
      <c r="MI17" s="7153"/>
      <c r="MJ17" s="7153"/>
      <c r="MK17" s="7157"/>
      <c r="ML17" s="7157"/>
      <c r="MM17" s="7157"/>
      <c r="MN17" s="7157"/>
      <c r="MO17" s="7157"/>
      <c r="MP17" s="7157"/>
      <c r="MQ17" s="7158"/>
      <c r="MR17" s="7158"/>
      <c r="MS17" s="7158"/>
      <c r="MT17" s="7158"/>
      <c r="MU17" s="7158"/>
      <c r="MV17" s="7159"/>
      <c r="MW17" s="7152" t="s">
        <v>175</v>
      </c>
      <c r="MX17" s="7153"/>
      <c r="MY17" s="7153"/>
      <c r="MZ17" s="7153"/>
      <c r="NA17" s="7157"/>
      <c r="NB17" s="7157"/>
      <c r="NC17" s="7157"/>
      <c r="ND17" s="7157"/>
      <c r="NE17" s="7157"/>
      <c r="NF17" s="7157"/>
      <c r="NG17" s="7158"/>
      <c r="NH17" s="7158"/>
      <c r="NI17" s="7158"/>
      <c r="NJ17" s="7158"/>
      <c r="NK17" s="7158"/>
      <c r="NL17" s="7159"/>
      <c r="NM17" s="7152" t="s">
        <v>175</v>
      </c>
      <c r="NN17" s="7153"/>
      <c r="NO17" s="7153"/>
      <c r="NP17" s="7153"/>
      <c r="NQ17" s="7157"/>
      <c r="NR17" s="7157"/>
      <c r="NS17" s="7157"/>
      <c r="NT17" s="7157"/>
      <c r="NU17" s="7157"/>
      <c r="NV17" s="7157"/>
      <c r="NW17" s="7158"/>
      <c r="NX17" s="7158"/>
      <c r="NY17" s="7158"/>
      <c r="NZ17" s="7158"/>
      <c r="OA17" s="7158"/>
      <c r="OB17" s="7159"/>
      <c r="OC17" s="7152" t="s">
        <v>175</v>
      </c>
      <c r="OD17" s="7153"/>
      <c r="OE17" s="7153"/>
      <c r="OF17" s="7153"/>
      <c r="OG17" s="7157"/>
      <c r="OH17" s="7157"/>
      <c r="OI17" s="7157"/>
      <c r="OJ17" s="7157"/>
      <c r="OK17" s="7157"/>
      <c r="OL17" s="7157"/>
      <c r="OM17" s="7158"/>
      <c r="ON17" s="7158"/>
      <c r="OO17" s="7158"/>
      <c r="OP17" s="7158"/>
      <c r="OQ17" s="7158"/>
      <c r="OR17" s="7159"/>
      <c r="OS17" s="7152" t="s">
        <v>175</v>
      </c>
      <c r="OT17" s="7153"/>
      <c r="OU17" s="7153"/>
      <c r="OV17" s="7153"/>
      <c r="OW17" s="7157"/>
      <c r="OX17" s="7157"/>
      <c r="OY17" s="7157"/>
      <c r="OZ17" s="7157"/>
      <c r="PA17" s="7157"/>
      <c r="PB17" s="7157"/>
      <c r="PC17" s="7158"/>
      <c r="PD17" s="7158"/>
      <c r="PE17" s="7158"/>
      <c r="PF17" s="7158"/>
      <c r="PG17" s="7158"/>
      <c r="PH17" s="7159"/>
      <c r="PI17" s="7152" t="s">
        <v>175</v>
      </c>
      <c r="PJ17" s="7153"/>
      <c r="PK17" s="7153"/>
      <c r="PL17" s="7153"/>
      <c r="PM17" s="7157"/>
      <c r="PN17" s="7157"/>
      <c r="PO17" s="7157"/>
      <c r="PP17" s="7157"/>
      <c r="PQ17" s="7157"/>
      <c r="PR17" s="7157"/>
      <c r="PS17" s="7158"/>
      <c r="PT17" s="7158"/>
      <c r="PU17" s="7158"/>
      <c r="PV17" s="7158"/>
      <c r="PW17" s="7158"/>
      <c r="PX17" s="7159"/>
      <c r="PY17" s="7152" t="s">
        <v>175</v>
      </c>
      <c r="PZ17" s="7153"/>
      <c r="QA17" s="7153"/>
      <c r="QB17" s="7153"/>
      <c r="QC17" s="7157"/>
      <c r="QD17" s="7157"/>
      <c r="QE17" s="7157"/>
      <c r="QF17" s="7157"/>
      <c r="QG17" s="7157"/>
      <c r="QH17" s="7157"/>
      <c r="QI17" s="7158"/>
      <c r="QJ17" s="7158"/>
      <c r="QK17" s="7158"/>
      <c r="QL17" s="7158"/>
      <c r="QM17" s="7158"/>
      <c r="QN17" s="7159"/>
      <c r="QO17" s="7152" t="s">
        <v>175</v>
      </c>
      <c r="QP17" s="7153"/>
      <c r="QQ17" s="7153"/>
      <c r="QR17" s="7153"/>
      <c r="QS17" s="7157"/>
      <c r="QT17" s="7157"/>
      <c r="QU17" s="7157"/>
      <c r="QV17" s="7157"/>
      <c r="QW17" s="7157"/>
      <c r="QX17" s="7157"/>
      <c r="QY17" s="7158"/>
      <c r="QZ17" s="7158"/>
      <c r="RA17" s="7158"/>
      <c r="RB17" s="7158"/>
      <c r="RC17" s="7158"/>
      <c r="RD17" s="7159"/>
      <c r="RE17" s="7152" t="s">
        <v>175</v>
      </c>
      <c r="RF17" s="7153"/>
      <c r="RG17" s="7153"/>
      <c r="RH17" s="7153"/>
      <c r="RI17" s="7157"/>
      <c r="RJ17" s="7157"/>
      <c r="RK17" s="7157"/>
      <c r="RL17" s="7157"/>
      <c r="RM17" s="7157"/>
      <c r="RN17" s="7157"/>
      <c r="RO17" s="7158"/>
      <c r="RP17" s="7158"/>
      <c r="RQ17" s="7158"/>
      <c r="RR17" s="7158"/>
      <c r="RS17" s="7158"/>
      <c r="RT17" s="7159"/>
      <c r="RU17" s="7152" t="s">
        <v>175</v>
      </c>
      <c r="RV17" s="7153"/>
      <c r="RW17" s="7153"/>
      <c r="RX17" s="7153"/>
      <c r="RY17" s="7157"/>
      <c r="RZ17" s="7157"/>
      <c r="SA17" s="7157"/>
      <c r="SB17" s="7157"/>
      <c r="SC17" s="7157"/>
      <c r="SD17" s="7157"/>
      <c r="SE17" s="7158"/>
      <c r="SF17" s="7158"/>
      <c r="SG17" s="7158"/>
      <c r="SH17" s="7158"/>
      <c r="SI17" s="7158"/>
      <c r="SJ17" s="7159"/>
      <c r="SK17" s="7152" t="s">
        <v>175</v>
      </c>
      <c r="SL17" s="7153"/>
      <c r="SM17" s="7153"/>
      <c r="SN17" s="7153"/>
      <c r="SO17" s="7157"/>
      <c r="SP17" s="7157"/>
      <c r="SQ17" s="7157"/>
      <c r="SR17" s="7157"/>
      <c r="SS17" s="7157"/>
      <c r="ST17" s="7157"/>
      <c r="SU17" s="7158"/>
      <c r="SV17" s="7158"/>
      <c r="SW17" s="7158"/>
      <c r="SX17" s="7158"/>
      <c r="SY17" s="7158"/>
      <c r="SZ17" s="7159"/>
      <c r="TA17" s="7152" t="s">
        <v>175</v>
      </c>
      <c r="TB17" s="7153"/>
      <c r="TC17" s="7153"/>
      <c r="TD17" s="7153"/>
      <c r="TE17" s="7157"/>
      <c r="TF17" s="7157"/>
      <c r="TG17" s="7157"/>
      <c r="TH17" s="7157"/>
      <c r="TI17" s="7157"/>
      <c r="TJ17" s="7157"/>
      <c r="TK17" s="7158"/>
      <c r="TL17" s="7158"/>
      <c r="TM17" s="7158"/>
      <c r="TN17" s="7158"/>
      <c r="TO17" s="7158"/>
      <c r="TP17" s="7159"/>
      <c r="TQ17" s="7152" t="s">
        <v>175</v>
      </c>
      <c r="TR17" s="7153"/>
      <c r="TS17" s="7153"/>
      <c r="TT17" s="7153"/>
      <c r="TU17" s="7157"/>
      <c r="TV17" s="7157"/>
      <c r="TW17" s="7157"/>
      <c r="TX17" s="7157"/>
      <c r="TY17" s="7157"/>
      <c r="TZ17" s="7157"/>
      <c r="UA17" s="7158"/>
      <c r="UB17" s="7158"/>
      <c r="UC17" s="7158"/>
      <c r="UD17" s="7158"/>
      <c r="UE17" s="7158"/>
      <c r="UF17" s="7159"/>
      <c r="UG17" s="7152" t="s">
        <v>175</v>
      </c>
      <c r="UH17" s="7153"/>
      <c r="UI17" s="7153"/>
      <c r="UJ17" s="7153"/>
      <c r="UK17" s="7157"/>
      <c r="UL17" s="7157"/>
      <c r="UM17" s="7157"/>
      <c r="UN17" s="7157"/>
      <c r="UO17" s="7157"/>
      <c r="UP17" s="7157"/>
      <c r="UQ17" s="7158"/>
      <c r="UR17" s="7158"/>
      <c r="US17" s="7158"/>
      <c r="UT17" s="7158"/>
      <c r="UU17" s="7158"/>
      <c r="UV17" s="7159"/>
      <c r="UW17" s="7152" t="s">
        <v>175</v>
      </c>
      <c r="UX17" s="7153"/>
      <c r="UY17" s="7153"/>
      <c r="UZ17" s="7153"/>
      <c r="VA17" s="7157"/>
      <c r="VB17" s="7157"/>
      <c r="VC17" s="7157"/>
      <c r="VD17" s="7157"/>
      <c r="VE17" s="7157"/>
      <c r="VF17" s="7157"/>
      <c r="VG17" s="7158"/>
      <c r="VH17" s="7158"/>
      <c r="VI17" s="7158"/>
      <c r="VJ17" s="7158"/>
      <c r="VK17" s="7158"/>
      <c r="VL17" s="7159"/>
      <c r="VM17" s="7152" t="s">
        <v>175</v>
      </c>
      <c r="VN17" s="7153"/>
      <c r="VO17" s="7153"/>
      <c r="VP17" s="7153"/>
      <c r="VQ17" s="7157"/>
      <c r="VR17" s="7157"/>
      <c r="VS17" s="7157"/>
      <c r="VT17" s="7157"/>
      <c r="VU17" s="7157"/>
      <c r="VV17" s="7157"/>
      <c r="VW17" s="7158"/>
      <c r="VX17" s="7158"/>
      <c r="VY17" s="7158"/>
      <c r="VZ17" s="7158"/>
      <c r="WA17" s="7158"/>
      <c r="WB17" s="7159"/>
      <c r="WC17" s="7152" t="s">
        <v>175</v>
      </c>
      <c r="WD17" s="7153"/>
      <c r="WE17" s="7153"/>
      <c r="WF17" s="7153"/>
      <c r="WG17" s="7157"/>
      <c r="WH17" s="7157"/>
      <c r="WI17" s="7157"/>
      <c r="WJ17" s="7157"/>
      <c r="WK17" s="7157"/>
      <c r="WL17" s="7157"/>
      <c r="WM17" s="7158"/>
      <c r="WN17" s="7158"/>
      <c r="WO17" s="7158"/>
      <c r="WP17" s="7158"/>
      <c r="WQ17" s="7158"/>
      <c r="WR17" s="7159"/>
      <c r="WS17" s="7152" t="s">
        <v>175</v>
      </c>
      <c r="WT17" s="7153"/>
      <c r="WU17" s="7153"/>
      <c r="WV17" s="7153"/>
      <c r="WW17" s="7157"/>
      <c r="WX17" s="7157"/>
      <c r="WY17" s="7157"/>
      <c r="WZ17" s="7157"/>
      <c r="XA17" s="7157"/>
      <c r="XB17" s="7157"/>
      <c r="XC17" s="7158"/>
      <c r="XD17" s="7158"/>
      <c r="XE17" s="7158"/>
      <c r="XF17" s="7158"/>
      <c r="XG17" s="7158"/>
      <c r="XH17" s="7159"/>
      <c r="XI17" s="7152" t="s">
        <v>175</v>
      </c>
      <c r="XJ17" s="7153"/>
      <c r="XK17" s="7153"/>
      <c r="XL17" s="7153"/>
      <c r="XM17" s="7157"/>
      <c r="XN17" s="7157"/>
      <c r="XO17" s="7157"/>
      <c r="XP17" s="7157"/>
      <c r="XQ17" s="7157"/>
      <c r="XR17" s="7157"/>
      <c r="XS17" s="7158"/>
      <c r="XT17" s="7158"/>
      <c r="XU17" s="7158"/>
      <c r="XV17" s="7158"/>
      <c r="XW17" s="7158"/>
      <c r="XX17" s="7159"/>
      <c r="XY17" s="7152" t="s">
        <v>175</v>
      </c>
      <c r="XZ17" s="7153"/>
      <c r="YA17" s="7153"/>
      <c r="YB17" s="7153"/>
      <c r="YC17" s="7157"/>
      <c r="YD17" s="7157"/>
      <c r="YE17" s="7157"/>
      <c r="YF17" s="7157"/>
      <c r="YG17" s="7157"/>
      <c r="YH17" s="7157"/>
      <c r="YI17" s="7158"/>
      <c r="YJ17" s="7158"/>
      <c r="YK17" s="7158"/>
      <c r="YL17" s="7158"/>
      <c r="YM17" s="7158"/>
      <c r="YN17" s="7159"/>
      <c r="YO17" s="7152" t="s">
        <v>175</v>
      </c>
      <c r="YP17" s="7153"/>
      <c r="YQ17" s="7153"/>
      <c r="YR17" s="7153"/>
      <c r="YS17" s="7157"/>
      <c r="YT17" s="7157"/>
      <c r="YU17" s="7157"/>
      <c r="YV17" s="7157"/>
      <c r="YW17" s="7157"/>
      <c r="YX17" s="7157"/>
      <c r="YY17" s="7158"/>
      <c r="YZ17" s="7158"/>
      <c r="ZA17" s="7158"/>
      <c r="ZB17" s="7158"/>
      <c r="ZC17" s="7158"/>
      <c r="ZD17" s="7159"/>
      <c r="ZE17" s="7152" t="s">
        <v>175</v>
      </c>
      <c r="ZF17" s="7153"/>
      <c r="ZG17" s="7153"/>
      <c r="ZH17" s="7153"/>
      <c r="ZI17" s="7157"/>
      <c r="ZJ17" s="7157"/>
      <c r="ZK17" s="7157"/>
      <c r="ZL17" s="7157"/>
      <c r="ZM17" s="7157"/>
      <c r="ZN17" s="7157"/>
      <c r="ZO17" s="7158"/>
      <c r="ZP17" s="7158"/>
      <c r="ZQ17" s="7158"/>
      <c r="ZR17" s="7158"/>
      <c r="ZS17" s="7158"/>
      <c r="ZT17" s="7159"/>
      <c r="ZU17" s="7152" t="s">
        <v>175</v>
      </c>
      <c r="ZV17" s="7153"/>
      <c r="ZW17" s="7153"/>
      <c r="ZX17" s="7153"/>
      <c r="ZY17" s="7157"/>
      <c r="ZZ17" s="7157"/>
      <c r="AAA17" s="7157"/>
      <c r="AAB17" s="7157"/>
      <c r="AAC17" s="7157"/>
      <c r="AAD17" s="7157"/>
      <c r="AAE17" s="7158"/>
      <c r="AAF17" s="7158"/>
      <c r="AAG17" s="7158"/>
      <c r="AAH17" s="7158"/>
      <c r="AAI17" s="7158"/>
      <c r="AAJ17" s="7159"/>
      <c r="AAK17" s="7152" t="s">
        <v>175</v>
      </c>
      <c r="AAL17" s="7153"/>
      <c r="AAM17" s="7153"/>
      <c r="AAN17" s="7153"/>
      <c r="AAO17" s="7157"/>
      <c r="AAP17" s="7157"/>
      <c r="AAQ17" s="7157"/>
      <c r="AAR17" s="7157"/>
      <c r="AAS17" s="7157"/>
      <c r="AAT17" s="7157"/>
      <c r="AAU17" s="7158"/>
      <c r="AAV17" s="7158"/>
      <c r="AAW17" s="7158"/>
      <c r="AAX17" s="7158"/>
      <c r="AAY17" s="7158"/>
      <c r="AAZ17" s="7159"/>
      <c r="ABA17" s="7152" t="s">
        <v>175</v>
      </c>
      <c r="ABB17" s="7153"/>
      <c r="ABC17" s="7153"/>
      <c r="ABD17" s="7153"/>
      <c r="ABE17" s="7157"/>
      <c r="ABF17" s="7157"/>
      <c r="ABG17" s="7157"/>
      <c r="ABH17" s="7157"/>
      <c r="ABI17" s="7157"/>
      <c r="ABJ17" s="7157"/>
      <c r="ABK17" s="7158"/>
      <c r="ABL17" s="7158"/>
      <c r="ABM17" s="7158"/>
      <c r="ABN17" s="7158"/>
      <c r="ABO17" s="7158"/>
      <c r="ABP17" s="7159"/>
      <c r="ABQ17" s="7152" t="s">
        <v>175</v>
      </c>
      <c r="ABR17" s="7153"/>
      <c r="ABS17" s="7153"/>
      <c r="ABT17" s="7153"/>
      <c r="ABU17" s="7157"/>
      <c r="ABV17" s="7157"/>
      <c r="ABW17" s="7157"/>
      <c r="ABX17" s="7157"/>
      <c r="ABY17" s="7157"/>
      <c r="ABZ17" s="7157"/>
      <c r="ACA17" s="7158"/>
      <c r="ACB17" s="7158"/>
      <c r="ACC17" s="7158"/>
      <c r="ACD17" s="7158"/>
      <c r="ACE17" s="7158"/>
      <c r="ACF17" s="7159"/>
      <c r="ACG17" s="7152" t="s">
        <v>175</v>
      </c>
      <c r="ACH17" s="7153"/>
      <c r="ACI17" s="7153"/>
      <c r="ACJ17" s="7153"/>
      <c r="ACK17" s="7157"/>
      <c r="ACL17" s="7157"/>
      <c r="ACM17" s="7157"/>
      <c r="ACN17" s="7157"/>
      <c r="ACO17" s="7157"/>
      <c r="ACP17" s="7157"/>
      <c r="ACQ17" s="7158"/>
      <c r="ACR17" s="7158"/>
      <c r="ACS17" s="7158"/>
      <c r="ACT17" s="7158"/>
      <c r="ACU17" s="7158"/>
      <c r="ACV17" s="7159"/>
      <c r="ACW17" s="7152" t="s">
        <v>175</v>
      </c>
      <c r="ACX17" s="7153"/>
      <c r="ACY17" s="7153"/>
      <c r="ACZ17" s="7153"/>
      <c r="ADA17" s="7157"/>
      <c r="ADB17" s="7157"/>
      <c r="ADC17" s="7157"/>
      <c r="ADD17" s="7157"/>
      <c r="ADE17" s="7157"/>
      <c r="ADF17" s="7157"/>
      <c r="ADG17" s="7158"/>
      <c r="ADH17" s="7158"/>
      <c r="ADI17" s="7158"/>
      <c r="ADJ17" s="7158"/>
      <c r="ADK17" s="7158"/>
      <c r="ADL17" s="7159"/>
      <c r="ADM17" s="7152" t="s">
        <v>175</v>
      </c>
      <c r="ADN17" s="7153"/>
      <c r="ADO17" s="7153"/>
      <c r="ADP17" s="7153"/>
      <c r="ADQ17" s="7157"/>
      <c r="ADR17" s="7157"/>
      <c r="ADS17" s="7157"/>
      <c r="ADT17" s="7157"/>
      <c r="ADU17" s="7157"/>
      <c r="ADV17" s="7157"/>
      <c r="ADW17" s="7158"/>
      <c r="ADX17" s="7158"/>
      <c r="ADY17" s="7158"/>
      <c r="ADZ17" s="7158"/>
      <c r="AEA17" s="7158"/>
      <c r="AEB17" s="7159"/>
      <c r="AEC17" s="7152" t="s">
        <v>175</v>
      </c>
      <c r="AED17" s="7153"/>
      <c r="AEE17" s="7153"/>
      <c r="AEF17" s="7153"/>
      <c r="AEG17" s="7157"/>
      <c r="AEH17" s="7157"/>
      <c r="AEI17" s="7157"/>
      <c r="AEJ17" s="7157"/>
      <c r="AEK17" s="7157"/>
      <c r="AEL17" s="7157"/>
      <c r="AEM17" s="7158"/>
      <c r="AEN17" s="7158"/>
      <c r="AEO17" s="7158"/>
      <c r="AEP17" s="7158"/>
      <c r="AEQ17" s="7158"/>
      <c r="AER17" s="7159"/>
      <c r="AES17" s="7152" t="s">
        <v>175</v>
      </c>
      <c r="AET17" s="7153"/>
      <c r="AEU17" s="7153"/>
      <c r="AEV17" s="7153"/>
      <c r="AEW17" s="7157"/>
      <c r="AEX17" s="7157"/>
      <c r="AEY17" s="7157"/>
      <c r="AEZ17" s="7157"/>
      <c r="AFA17" s="7157"/>
      <c r="AFB17" s="7157"/>
      <c r="AFC17" s="7158"/>
      <c r="AFD17" s="7158"/>
      <c r="AFE17" s="7158"/>
      <c r="AFF17" s="7158"/>
      <c r="AFG17" s="7158"/>
      <c r="AFH17" s="7159"/>
      <c r="AFI17" s="7152" t="s">
        <v>175</v>
      </c>
      <c r="AFJ17" s="7153"/>
      <c r="AFK17" s="7153"/>
      <c r="AFL17" s="7153"/>
      <c r="AFM17" s="7157"/>
      <c r="AFN17" s="7157"/>
      <c r="AFO17" s="7157"/>
      <c r="AFP17" s="7157"/>
      <c r="AFQ17" s="7157"/>
      <c r="AFR17" s="7157"/>
      <c r="AFS17" s="7158"/>
      <c r="AFT17" s="7158"/>
      <c r="AFU17" s="7158"/>
      <c r="AFV17" s="7158"/>
      <c r="AFW17" s="7158"/>
      <c r="AFX17" s="7159"/>
      <c r="AFY17" s="7152" t="s">
        <v>175</v>
      </c>
      <c r="AFZ17" s="7153"/>
      <c r="AGA17" s="7153"/>
      <c r="AGB17" s="7153"/>
      <c r="AGC17" s="7157"/>
      <c r="AGD17" s="7157"/>
      <c r="AGE17" s="7157"/>
      <c r="AGF17" s="7157"/>
      <c r="AGG17" s="7157"/>
      <c r="AGH17" s="7157"/>
      <c r="AGI17" s="7158"/>
      <c r="AGJ17" s="7158"/>
      <c r="AGK17" s="7158"/>
      <c r="AGL17" s="7158"/>
      <c r="AGM17" s="7158"/>
      <c r="AGN17" s="7159"/>
      <c r="AGO17" s="7152" t="s">
        <v>175</v>
      </c>
      <c r="AGP17" s="7153"/>
      <c r="AGQ17" s="7153"/>
      <c r="AGR17" s="7153"/>
      <c r="AGS17" s="7157"/>
      <c r="AGT17" s="7157"/>
      <c r="AGU17" s="7157"/>
      <c r="AGV17" s="7157"/>
      <c r="AGW17" s="7157"/>
      <c r="AGX17" s="7157"/>
      <c r="AGY17" s="7158"/>
      <c r="AGZ17" s="7158"/>
      <c r="AHA17" s="7158"/>
      <c r="AHB17" s="7158"/>
      <c r="AHC17" s="7158"/>
      <c r="AHD17" s="7159"/>
      <c r="AHE17" s="7152" t="s">
        <v>175</v>
      </c>
      <c r="AHF17" s="7153"/>
      <c r="AHG17" s="7153"/>
      <c r="AHH17" s="7153"/>
      <c r="AHI17" s="7157"/>
      <c r="AHJ17" s="7157"/>
      <c r="AHK17" s="7157"/>
      <c r="AHL17" s="7157"/>
      <c r="AHM17" s="7157"/>
      <c r="AHN17" s="7157"/>
      <c r="AHO17" s="7158"/>
      <c r="AHP17" s="7158"/>
      <c r="AHQ17" s="7158"/>
      <c r="AHR17" s="7158"/>
      <c r="AHS17" s="7158"/>
      <c r="AHT17" s="7159"/>
      <c r="AHU17" s="7152" t="s">
        <v>175</v>
      </c>
      <c r="AHV17" s="7153"/>
      <c r="AHW17" s="7153"/>
      <c r="AHX17" s="7153"/>
      <c r="AHY17" s="7157"/>
      <c r="AHZ17" s="7157"/>
      <c r="AIA17" s="7157"/>
      <c r="AIB17" s="7157"/>
      <c r="AIC17" s="7157"/>
      <c r="AID17" s="7157"/>
      <c r="AIE17" s="7158"/>
      <c r="AIF17" s="7158"/>
      <c r="AIG17" s="7158"/>
      <c r="AIH17" s="7158"/>
      <c r="AII17" s="7158"/>
      <c r="AIJ17" s="7159"/>
      <c r="AIK17" s="7152" t="s">
        <v>175</v>
      </c>
      <c r="AIL17" s="7153"/>
      <c r="AIM17" s="7153"/>
      <c r="AIN17" s="7153"/>
      <c r="AIO17" s="7157"/>
      <c r="AIP17" s="7157"/>
      <c r="AIQ17" s="7157"/>
      <c r="AIR17" s="7157"/>
      <c r="AIS17" s="7157"/>
      <c r="AIT17" s="7157"/>
      <c r="AIU17" s="7158"/>
      <c r="AIV17" s="7158"/>
      <c r="AIW17" s="7158"/>
      <c r="AIX17" s="7158"/>
      <c r="AIY17" s="7158"/>
      <c r="AIZ17" s="7159"/>
      <c r="AJA17" s="7152" t="s">
        <v>175</v>
      </c>
      <c r="AJB17" s="7153"/>
      <c r="AJC17" s="7153"/>
      <c r="AJD17" s="7153"/>
      <c r="AJE17" s="7157"/>
      <c r="AJF17" s="7157"/>
      <c r="AJG17" s="7157"/>
      <c r="AJH17" s="7157"/>
      <c r="AJI17" s="7157"/>
      <c r="AJJ17" s="7157"/>
      <c r="AJK17" s="7158"/>
      <c r="AJL17" s="7158"/>
      <c r="AJM17" s="7158"/>
      <c r="AJN17" s="7158"/>
      <c r="AJO17" s="7158"/>
      <c r="AJP17" s="7159"/>
      <c r="AJQ17" s="7152" t="s">
        <v>175</v>
      </c>
      <c r="AJR17" s="7153"/>
      <c r="AJS17" s="7153"/>
      <c r="AJT17" s="7153"/>
      <c r="AJU17" s="7157"/>
      <c r="AJV17" s="7157"/>
      <c r="AJW17" s="7157"/>
      <c r="AJX17" s="7157"/>
      <c r="AJY17" s="7157"/>
      <c r="AJZ17" s="7157"/>
      <c r="AKA17" s="7158"/>
      <c r="AKB17" s="7158"/>
      <c r="AKC17" s="7158"/>
      <c r="AKD17" s="7158"/>
      <c r="AKE17" s="7158"/>
      <c r="AKF17" s="7159"/>
      <c r="AKG17" s="7152" t="s">
        <v>175</v>
      </c>
      <c r="AKH17" s="7153"/>
      <c r="AKI17" s="7153"/>
      <c r="AKJ17" s="7153"/>
      <c r="AKK17" s="7157"/>
      <c r="AKL17" s="7157"/>
      <c r="AKM17" s="7157"/>
      <c r="AKN17" s="7157"/>
      <c r="AKO17" s="7157"/>
      <c r="AKP17" s="7157"/>
      <c r="AKQ17" s="7158"/>
      <c r="AKR17" s="7158"/>
      <c r="AKS17" s="7158"/>
      <c r="AKT17" s="7158"/>
      <c r="AKU17" s="7158"/>
      <c r="AKV17" s="7159"/>
      <c r="AKW17" s="7152" t="s">
        <v>175</v>
      </c>
      <c r="AKX17" s="7153"/>
      <c r="AKY17" s="7153"/>
      <c r="AKZ17" s="7153"/>
      <c r="ALA17" s="7157"/>
      <c r="ALB17" s="7157"/>
      <c r="ALC17" s="7157"/>
      <c r="ALD17" s="7157"/>
      <c r="ALE17" s="7157"/>
      <c r="ALF17" s="7157"/>
      <c r="ALG17" s="7158"/>
      <c r="ALH17" s="7158"/>
      <c r="ALI17" s="7158"/>
      <c r="ALJ17" s="7158"/>
      <c r="ALK17" s="7158"/>
      <c r="ALL17" s="7159"/>
      <c r="ALM17" s="7152" t="s">
        <v>175</v>
      </c>
      <c r="ALN17" s="7153"/>
      <c r="ALO17" s="7153"/>
      <c r="ALP17" s="7153"/>
      <c r="ALQ17" s="7157"/>
      <c r="ALR17" s="7157"/>
      <c r="ALS17" s="7157"/>
      <c r="ALT17" s="7157"/>
      <c r="ALU17" s="7157"/>
      <c r="ALV17" s="7157"/>
      <c r="ALW17" s="7158"/>
      <c r="ALX17" s="7158"/>
      <c r="ALY17" s="7158"/>
      <c r="ALZ17" s="7158"/>
      <c r="AMA17" s="7158"/>
      <c r="AMB17" s="7159"/>
      <c r="AMC17" s="7152" t="s">
        <v>175</v>
      </c>
      <c r="AMD17" s="7153"/>
      <c r="AME17" s="7153"/>
      <c r="AMF17" s="7153"/>
      <c r="AMG17" s="7157"/>
      <c r="AMH17" s="7157"/>
      <c r="AMI17" s="7157"/>
      <c r="AMJ17" s="7157"/>
      <c r="AMK17" s="7157"/>
      <c r="AML17" s="7157"/>
      <c r="AMM17" s="7158"/>
      <c r="AMN17" s="7158"/>
      <c r="AMO17" s="7158"/>
      <c r="AMP17" s="7158"/>
      <c r="AMQ17" s="7158"/>
      <c r="AMR17" s="7159"/>
      <c r="AMS17" s="7152" t="s">
        <v>175</v>
      </c>
      <c r="AMT17" s="7153"/>
      <c r="AMU17" s="7153"/>
      <c r="AMV17" s="7153"/>
      <c r="AMW17" s="7157"/>
      <c r="AMX17" s="7157"/>
      <c r="AMY17" s="7157"/>
      <c r="AMZ17" s="7157"/>
      <c r="ANA17" s="7157"/>
      <c r="ANB17" s="7157"/>
      <c r="ANC17" s="7158"/>
      <c r="AND17" s="7158"/>
      <c r="ANE17" s="7158"/>
      <c r="ANF17" s="7158"/>
      <c r="ANG17" s="7158"/>
      <c r="ANH17" s="7159"/>
      <c r="ANI17" s="7152" t="s">
        <v>175</v>
      </c>
      <c r="ANJ17" s="7153"/>
      <c r="ANK17" s="7153"/>
      <c r="ANL17" s="7153"/>
      <c r="ANM17" s="7157"/>
      <c r="ANN17" s="7157"/>
      <c r="ANO17" s="7157"/>
      <c r="ANP17" s="7157"/>
      <c r="ANQ17" s="7157"/>
      <c r="ANR17" s="7157"/>
      <c r="ANS17" s="7158"/>
      <c r="ANT17" s="7158"/>
      <c r="ANU17" s="7158"/>
      <c r="ANV17" s="7158"/>
      <c r="ANW17" s="7158"/>
      <c r="ANX17" s="7159"/>
      <c r="ANY17" s="7152" t="s">
        <v>175</v>
      </c>
      <c r="ANZ17" s="7153"/>
      <c r="AOA17" s="7153"/>
      <c r="AOB17" s="7153"/>
      <c r="AOC17" s="7157"/>
      <c r="AOD17" s="7157"/>
      <c r="AOE17" s="7157"/>
      <c r="AOF17" s="7157"/>
      <c r="AOG17" s="7157"/>
      <c r="AOH17" s="7157"/>
      <c r="AOI17" s="7158"/>
      <c r="AOJ17" s="7158"/>
      <c r="AOK17" s="7158"/>
      <c r="AOL17" s="7158"/>
      <c r="AOM17" s="7158"/>
      <c r="AON17" s="7159"/>
      <c r="AOO17" s="7152" t="s">
        <v>175</v>
      </c>
      <c r="AOP17" s="7153"/>
      <c r="AOQ17" s="7153"/>
      <c r="AOR17" s="7153"/>
      <c r="AOS17" s="7157"/>
      <c r="AOT17" s="7157"/>
      <c r="AOU17" s="7157"/>
      <c r="AOV17" s="7157"/>
      <c r="AOW17" s="7157"/>
      <c r="AOX17" s="7157"/>
      <c r="AOY17" s="7158"/>
      <c r="AOZ17" s="7158"/>
      <c r="APA17" s="7158"/>
      <c r="APB17" s="7158"/>
      <c r="APC17" s="7158"/>
      <c r="APD17" s="7159"/>
      <c r="APE17" s="7152" t="s">
        <v>175</v>
      </c>
      <c r="APF17" s="7153"/>
      <c r="APG17" s="7153"/>
      <c r="APH17" s="7153"/>
      <c r="API17" s="7157"/>
      <c r="APJ17" s="7157"/>
      <c r="APK17" s="7157"/>
      <c r="APL17" s="7157"/>
      <c r="APM17" s="7157"/>
      <c r="APN17" s="7157"/>
      <c r="APO17" s="7158"/>
      <c r="APP17" s="7158"/>
      <c r="APQ17" s="7158"/>
      <c r="APR17" s="7158"/>
      <c r="APS17" s="7158"/>
      <c r="APT17" s="7159"/>
      <c r="APU17" s="7152" t="s">
        <v>175</v>
      </c>
      <c r="APV17" s="7153"/>
      <c r="APW17" s="7153"/>
      <c r="APX17" s="7153"/>
      <c r="APY17" s="7157"/>
      <c r="APZ17" s="7157"/>
      <c r="AQA17" s="7157"/>
      <c r="AQB17" s="7157"/>
      <c r="AQC17" s="7157"/>
      <c r="AQD17" s="7157"/>
      <c r="AQE17" s="7158"/>
      <c r="AQF17" s="7158"/>
      <c r="AQG17" s="7158"/>
      <c r="AQH17" s="7158"/>
      <c r="AQI17" s="7158"/>
      <c r="AQJ17" s="7159"/>
      <c r="AQK17" s="7152" t="s">
        <v>175</v>
      </c>
      <c r="AQL17" s="7153"/>
      <c r="AQM17" s="7153"/>
      <c r="AQN17" s="7153"/>
      <c r="AQO17" s="7157"/>
      <c r="AQP17" s="7157"/>
      <c r="AQQ17" s="7157"/>
      <c r="AQR17" s="7157"/>
      <c r="AQS17" s="7157"/>
      <c r="AQT17" s="7157"/>
      <c r="AQU17" s="7158"/>
      <c r="AQV17" s="7158"/>
      <c r="AQW17" s="7158"/>
      <c r="AQX17" s="7158"/>
      <c r="AQY17" s="7158"/>
      <c r="AQZ17" s="7159"/>
      <c r="ARA17" s="7152" t="s">
        <v>175</v>
      </c>
      <c r="ARB17" s="7153"/>
      <c r="ARC17" s="7153"/>
      <c r="ARD17" s="7153"/>
      <c r="ARE17" s="7157"/>
      <c r="ARF17" s="7157"/>
      <c r="ARG17" s="7157"/>
      <c r="ARH17" s="7157"/>
      <c r="ARI17" s="7157"/>
      <c r="ARJ17" s="7157"/>
      <c r="ARK17" s="7158"/>
      <c r="ARL17" s="7158"/>
      <c r="ARM17" s="7158"/>
      <c r="ARN17" s="7158"/>
      <c r="ARO17" s="7158"/>
      <c r="ARP17" s="7159"/>
      <c r="ARQ17" s="7152" t="s">
        <v>175</v>
      </c>
      <c r="ARR17" s="7153"/>
      <c r="ARS17" s="7153"/>
      <c r="ART17" s="7153"/>
      <c r="ARU17" s="7157"/>
      <c r="ARV17" s="7157"/>
      <c r="ARW17" s="7157"/>
      <c r="ARX17" s="7157"/>
      <c r="ARY17" s="7157"/>
      <c r="ARZ17" s="7157"/>
      <c r="ASA17" s="7158"/>
      <c r="ASB17" s="7158"/>
      <c r="ASC17" s="7158"/>
      <c r="ASD17" s="7158"/>
      <c r="ASE17" s="7158"/>
      <c r="ASF17" s="7159"/>
      <c r="ASG17" s="7152" t="s">
        <v>175</v>
      </c>
      <c r="ASH17" s="7153"/>
      <c r="ASI17" s="7153"/>
      <c r="ASJ17" s="7153"/>
      <c r="ASK17" s="7157"/>
      <c r="ASL17" s="7157"/>
      <c r="ASM17" s="7157"/>
      <c r="ASN17" s="7157"/>
      <c r="ASO17" s="7157"/>
      <c r="ASP17" s="7157"/>
      <c r="ASQ17" s="7158"/>
      <c r="ASR17" s="7158"/>
      <c r="ASS17" s="7158"/>
      <c r="AST17" s="7158"/>
      <c r="ASU17" s="7158"/>
      <c r="ASV17" s="7159"/>
      <c r="ASW17" s="7152" t="s">
        <v>175</v>
      </c>
      <c r="ASX17" s="7153"/>
      <c r="ASY17" s="7153"/>
      <c r="ASZ17" s="7153"/>
      <c r="ATA17" s="7157"/>
      <c r="ATB17" s="7157"/>
      <c r="ATC17" s="7157"/>
      <c r="ATD17" s="7157"/>
      <c r="ATE17" s="7157"/>
      <c r="ATF17" s="7157"/>
      <c r="ATG17" s="7158"/>
      <c r="ATH17" s="7158"/>
      <c r="ATI17" s="7158"/>
      <c r="ATJ17" s="7158"/>
      <c r="ATK17" s="7158"/>
      <c r="ATL17" s="7159"/>
      <c r="ATM17" s="7152" t="s">
        <v>175</v>
      </c>
      <c r="ATN17" s="7153"/>
      <c r="ATO17" s="7153"/>
      <c r="ATP17" s="7153"/>
      <c r="ATQ17" s="7157"/>
      <c r="ATR17" s="7157"/>
      <c r="ATS17" s="7157"/>
      <c r="ATT17" s="7157"/>
      <c r="ATU17" s="7157"/>
      <c r="ATV17" s="7157"/>
      <c r="ATW17" s="7158"/>
      <c r="ATX17" s="7158"/>
      <c r="ATY17" s="7158"/>
      <c r="ATZ17" s="7158"/>
      <c r="AUA17" s="7158"/>
      <c r="AUB17" s="7159"/>
      <c r="AUC17" s="7152" t="s">
        <v>175</v>
      </c>
      <c r="AUD17" s="7153"/>
      <c r="AUE17" s="7153"/>
      <c r="AUF17" s="7153"/>
      <c r="AUG17" s="7157"/>
      <c r="AUH17" s="7157"/>
      <c r="AUI17" s="7157"/>
      <c r="AUJ17" s="7157"/>
      <c r="AUK17" s="7157"/>
      <c r="AUL17" s="7157"/>
      <c r="AUM17" s="7158"/>
      <c r="AUN17" s="7158"/>
      <c r="AUO17" s="7158"/>
      <c r="AUP17" s="7158"/>
      <c r="AUQ17" s="7158"/>
      <c r="AUR17" s="7159"/>
      <c r="AUS17" s="7152" t="s">
        <v>175</v>
      </c>
      <c r="AUT17" s="7153"/>
      <c r="AUU17" s="7153"/>
      <c r="AUV17" s="7153"/>
      <c r="AUW17" s="7157"/>
      <c r="AUX17" s="7157"/>
      <c r="AUY17" s="7157"/>
      <c r="AUZ17" s="7157"/>
      <c r="AVA17" s="7157"/>
      <c r="AVB17" s="7157"/>
      <c r="AVC17" s="7158"/>
      <c r="AVD17" s="7158"/>
      <c r="AVE17" s="7158"/>
      <c r="AVF17" s="7158"/>
      <c r="AVG17" s="7158"/>
      <c r="AVH17" s="7159"/>
      <c r="AVI17" s="7152" t="s">
        <v>175</v>
      </c>
      <c r="AVJ17" s="7153"/>
      <c r="AVK17" s="7153"/>
      <c r="AVL17" s="7153"/>
      <c r="AVM17" s="7157"/>
      <c r="AVN17" s="7157"/>
      <c r="AVO17" s="7157"/>
      <c r="AVP17" s="7157"/>
      <c r="AVQ17" s="7157"/>
      <c r="AVR17" s="7157"/>
      <c r="AVS17" s="7158"/>
      <c r="AVT17" s="7158"/>
      <c r="AVU17" s="7158"/>
      <c r="AVV17" s="7158"/>
      <c r="AVW17" s="7158"/>
      <c r="AVX17" s="7159"/>
      <c r="AVY17" s="7152" t="s">
        <v>175</v>
      </c>
      <c r="AVZ17" s="7153"/>
      <c r="AWA17" s="7153"/>
      <c r="AWB17" s="7153"/>
      <c r="AWC17" s="7157"/>
      <c r="AWD17" s="7157"/>
      <c r="AWE17" s="7157"/>
      <c r="AWF17" s="7157"/>
      <c r="AWG17" s="7157"/>
      <c r="AWH17" s="7157"/>
      <c r="AWI17" s="7158"/>
      <c r="AWJ17" s="7158"/>
      <c r="AWK17" s="7158"/>
      <c r="AWL17" s="7158"/>
      <c r="AWM17" s="7158"/>
      <c r="AWN17" s="7159"/>
      <c r="AWO17" s="7152" t="s">
        <v>175</v>
      </c>
      <c r="AWP17" s="7153"/>
      <c r="AWQ17" s="7153"/>
      <c r="AWR17" s="7153"/>
      <c r="AWS17" s="7157"/>
      <c r="AWT17" s="7157"/>
      <c r="AWU17" s="7157"/>
      <c r="AWV17" s="7157"/>
      <c r="AWW17" s="7157"/>
      <c r="AWX17" s="7157"/>
      <c r="AWY17" s="7158"/>
      <c r="AWZ17" s="7158"/>
      <c r="AXA17" s="7158"/>
      <c r="AXB17" s="7158"/>
      <c r="AXC17" s="7158"/>
      <c r="AXD17" s="7159"/>
      <c r="AXE17" s="7152" t="s">
        <v>175</v>
      </c>
      <c r="AXF17" s="7153"/>
      <c r="AXG17" s="7153"/>
      <c r="AXH17" s="7153"/>
      <c r="AXI17" s="7157"/>
      <c r="AXJ17" s="7157"/>
      <c r="AXK17" s="7157"/>
      <c r="AXL17" s="7157"/>
      <c r="AXM17" s="7157"/>
      <c r="AXN17" s="7157"/>
      <c r="AXO17" s="7158"/>
      <c r="AXP17" s="7158"/>
      <c r="AXQ17" s="7158"/>
      <c r="AXR17" s="7158"/>
      <c r="AXS17" s="7158"/>
      <c r="AXT17" s="7159"/>
      <c r="AXU17" s="7152" t="s">
        <v>175</v>
      </c>
      <c r="AXV17" s="7153"/>
      <c r="AXW17" s="7153"/>
      <c r="AXX17" s="7153"/>
      <c r="AXY17" s="7157"/>
      <c r="AXZ17" s="7157"/>
      <c r="AYA17" s="7157"/>
      <c r="AYB17" s="7157"/>
      <c r="AYC17" s="7157"/>
      <c r="AYD17" s="7157"/>
      <c r="AYE17" s="7158"/>
      <c r="AYF17" s="7158"/>
      <c r="AYG17" s="7158"/>
      <c r="AYH17" s="7158"/>
      <c r="AYI17" s="7158"/>
      <c r="AYJ17" s="7159"/>
      <c r="AYK17" s="7152" t="s">
        <v>175</v>
      </c>
      <c r="AYL17" s="7153"/>
      <c r="AYM17" s="7153"/>
      <c r="AYN17" s="7153"/>
      <c r="AYO17" s="7157"/>
      <c r="AYP17" s="7157"/>
      <c r="AYQ17" s="7157"/>
      <c r="AYR17" s="7157"/>
      <c r="AYS17" s="7157"/>
      <c r="AYT17" s="7157"/>
      <c r="AYU17" s="7158"/>
      <c r="AYV17" s="7158"/>
      <c r="AYW17" s="7158"/>
      <c r="AYX17" s="7158"/>
      <c r="AYY17" s="7158"/>
      <c r="AYZ17" s="7159"/>
      <c r="AZA17" s="7152" t="s">
        <v>175</v>
      </c>
      <c r="AZB17" s="7153"/>
      <c r="AZC17" s="7153"/>
      <c r="AZD17" s="7153"/>
      <c r="AZE17" s="7157"/>
      <c r="AZF17" s="7157"/>
      <c r="AZG17" s="7157"/>
      <c r="AZH17" s="7157"/>
      <c r="AZI17" s="7157"/>
      <c r="AZJ17" s="7157"/>
      <c r="AZK17" s="7158"/>
      <c r="AZL17" s="7158"/>
      <c r="AZM17" s="7158"/>
      <c r="AZN17" s="7158"/>
      <c r="AZO17" s="7158"/>
      <c r="AZP17" s="7159"/>
      <c r="AZQ17" s="7152" t="s">
        <v>175</v>
      </c>
      <c r="AZR17" s="7153"/>
      <c r="AZS17" s="7153"/>
      <c r="AZT17" s="7153"/>
      <c r="AZU17" s="7157"/>
      <c r="AZV17" s="7157"/>
      <c r="AZW17" s="7157"/>
      <c r="AZX17" s="7157"/>
      <c r="AZY17" s="7157"/>
      <c r="AZZ17" s="7157"/>
      <c r="BAA17" s="7158"/>
      <c r="BAB17" s="7158"/>
      <c r="BAC17" s="7158"/>
      <c r="BAD17" s="7158"/>
      <c r="BAE17" s="7158"/>
      <c r="BAF17" s="7159"/>
      <c r="BAG17" s="7152" t="s">
        <v>175</v>
      </c>
      <c r="BAH17" s="7153"/>
      <c r="BAI17" s="7153"/>
      <c r="BAJ17" s="7153"/>
      <c r="BAK17" s="7157"/>
      <c r="BAL17" s="7157"/>
      <c r="BAM17" s="7157"/>
      <c r="BAN17" s="7157"/>
      <c r="BAO17" s="7157"/>
      <c r="BAP17" s="7157"/>
      <c r="BAQ17" s="7158"/>
      <c r="BAR17" s="7158"/>
      <c r="BAS17" s="7158"/>
      <c r="BAT17" s="7158"/>
      <c r="BAU17" s="7158"/>
      <c r="BAV17" s="7159"/>
      <c r="BAW17" s="7152" t="s">
        <v>175</v>
      </c>
      <c r="BAX17" s="7153"/>
      <c r="BAY17" s="7153"/>
      <c r="BAZ17" s="7153"/>
      <c r="BBA17" s="7157"/>
      <c r="BBB17" s="7157"/>
      <c r="BBC17" s="7157"/>
      <c r="BBD17" s="7157"/>
      <c r="BBE17" s="7157"/>
      <c r="BBF17" s="7157"/>
      <c r="BBG17" s="7158"/>
      <c r="BBH17" s="7158"/>
      <c r="BBI17" s="7158"/>
      <c r="BBJ17" s="7158"/>
      <c r="BBK17" s="7158"/>
      <c r="BBL17" s="7159"/>
      <c r="BBM17" s="7152" t="s">
        <v>175</v>
      </c>
      <c r="BBN17" s="7153"/>
      <c r="BBO17" s="7153"/>
      <c r="BBP17" s="7153"/>
      <c r="BBQ17" s="7157"/>
      <c r="BBR17" s="7157"/>
      <c r="BBS17" s="7157"/>
      <c r="BBT17" s="7157"/>
      <c r="BBU17" s="7157"/>
      <c r="BBV17" s="7157"/>
      <c r="BBW17" s="7158"/>
      <c r="BBX17" s="7158"/>
      <c r="BBY17" s="7158"/>
      <c r="BBZ17" s="7158"/>
      <c r="BCA17" s="7158"/>
      <c r="BCB17" s="7159"/>
      <c r="BCC17" s="7152" t="s">
        <v>175</v>
      </c>
      <c r="BCD17" s="7153"/>
      <c r="BCE17" s="7153"/>
      <c r="BCF17" s="7153"/>
      <c r="BCG17" s="7157"/>
      <c r="BCH17" s="7157"/>
      <c r="BCI17" s="7157"/>
      <c r="BCJ17" s="7157"/>
      <c r="BCK17" s="7157"/>
      <c r="BCL17" s="7157"/>
      <c r="BCM17" s="7158"/>
      <c r="BCN17" s="7158"/>
      <c r="BCO17" s="7158"/>
      <c r="BCP17" s="7158"/>
      <c r="BCQ17" s="7158"/>
      <c r="BCR17" s="7159"/>
      <c r="BCS17" s="7152" t="s">
        <v>175</v>
      </c>
      <c r="BCT17" s="7153"/>
      <c r="BCU17" s="7153"/>
      <c r="BCV17" s="7153"/>
      <c r="BCW17" s="7157"/>
      <c r="BCX17" s="7157"/>
      <c r="BCY17" s="7157"/>
      <c r="BCZ17" s="7157"/>
      <c r="BDA17" s="7157"/>
      <c r="BDB17" s="7157"/>
      <c r="BDC17" s="7158"/>
      <c r="BDD17" s="7158"/>
      <c r="BDE17" s="7158"/>
      <c r="BDF17" s="7158"/>
      <c r="BDG17" s="7158"/>
      <c r="BDH17" s="7159"/>
      <c r="BDI17" s="7152" t="s">
        <v>175</v>
      </c>
      <c r="BDJ17" s="7153"/>
      <c r="BDK17" s="7153"/>
      <c r="BDL17" s="7153"/>
      <c r="BDM17" s="7157"/>
      <c r="BDN17" s="7157"/>
      <c r="BDO17" s="7157"/>
      <c r="BDP17" s="7157"/>
      <c r="BDQ17" s="7157"/>
      <c r="BDR17" s="7157"/>
      <c r="BDS17" s="7158"/>
      <c r="BDT17" s="7158"/>
      <c r="BDU17" s="7158"/>
      <c r="BDV17" s="7158"/>
      <c r="BDW17" s="7158"/>
      <c r="BDX17" s="7159"/>
      <c r="BDY17" s="7152" t="s">
        <v>175</v>
      </c>
      <c r="BDZ17" s="7153"/>
      <c r="BEA17" s="7153"/>
      <c r="BEB17" s="7153"/>
      <c r="BEC17" s="7157"/>
      <c r="BED17" s="7157"/>
      <c r="BEE17" s="7157"/>
      <c r="BEF17" s="7157"/>
      <c r="BEG17" s="7157"/>
      <c r="BEH17" s="7157"/>
      <c r="BEI17" s="7158"/>
      <c r="BEJ17" s="7158"/>
      <c r="BEK17" s="7158"/>
      <c r="BEL17" s="7158"/>
      <c r="BEM17" s="7158"/>
      <c r="BEN17" s="7159"/>
      <c r="BEO17" s="7152" t="s">
        <v>175</v>
      </c>
      <c r="BEP17" s="7153"/>
      <c r="BEQ17" s="7153"/>
      <c r="BER17" s="7153"/>
      <c r="BES17" s="7157"/>
      <c r="BET17" s="7157"/>
      <c r="BEU17" s="7157"/>
      <c r="BEV17" s="7157"/>
      <c r="BEW17" s="7157"/>
      <c r="BEX17" s="7157"/>
      <c r="BEY17" s="7158"/>
      <c r="BEZ17" s="7158"/>
      <c r="BFA17" s="7158"/>
      <c r="BFB17" s="7158"/>
      <c r="BFC17" s="7158"/>
      <c r="BFD17" s="7159"/>
      <c r="BFE17" s="7152" t="s">
        <v>175</v>
      </c>
      <c r="BFF17" s="7153"/>
      <c r="BFG17" s="7153"/>
      <c r="BFH17" s="7153"/>
      <c r="BFI17" s="7157"/>
      <c r="BFJ17" s="7157"/>
      <c r="BFK17" s="7157"/>
      <c r="BFL17" s="7157"/>
      <c r="BFM17" s="7157"/>
      <c r="BFN17" s="7157"/>
      <c r="BFO17" s="7158"/>
      <c r="BFP17" s="7158"/>
      <c r="BFQ17" s="7158"/>
      <c r="BFR17" s="7158"/>
      <c r="BFS17" s="7158"/>
      <c r="BFT17" s="7159"/>
      <c r="BFU17" s="7152" t="s">
        <v>175</v>
      </c>
      <c r="BFV17" s="7153"/>
      <c r="BFW17" s="7153"/>
      <c r="BFX17" s="7153"/>
      <c r="BFY17" s="7157"/>
      <c r="BFZ17" s="7157"/>
      <c r="BGA17" s="7157"/>
      <c r="BGB17" s="7157"/>
      <c r="BGC17" s="7157"/>
      <c r="BGD17" s="7157"/>
      <c r="BGE17" s="7158"/>
      <c r="BGF17" s="7158"/>
      <c r="BGG17" s="7158"/>
      <c r="BGH17" s="7158"/>
      <c r="BGI17" s="7158"/>
      <c r="BGJ17" s="7159"/>
      <c r="BGK17" s="7152" t="s">
        <v>175</v>
      </c>
      <c r="BGL17" s="7153"/>
      <c r="BGM17" s="7153"/>
      <c r="BGN17" s="7153"/>
      <c r="BGO17" s="7157"/>
      <c r="BGP17" s="7157"/>
      <c r="BGQ17" s="7157"/>
      <c r="BGR17" s="7157"/>
      <c r="BGS17" s="7157"/>
      <c r="BGT17" s="7157"/>
      <c r="BGU17" s="7158"/>
      <c r="BGV17" s="7158"/>
      <c r="BGW17" s="7158"/>
      <c r="BGX17" s="7158"/>
      <c r="BGY17" s="7158"/>
      <c r="BGZ17" s="7159"/>
      <c r="BHA17" s="7152" t="s">
        <v>175</v>
      </c>
      <c r="BHB17" s="7153"/>
      <c r="BHC17" s="7153"/>
      <c r="BHD17" s="7153"/>
      <c r="BHE17" s="7157"/>
      <c r="BHF17" s="7157"/>
      <c r="BHG17" s="7157"/>
      <c r="BHH17" s="7157"/>
      <c r="BHI17" s="7157"/>
      <c r="BHJ17" s="7157"/>
      <c r="BHK17" s="7158"/>
      <c r="BHL17" s="7158"/>
      <c r="BHM17" s="7158"/>
      <c r="BHN17" s="7158"/>
      <c r="BHO17" s="7158"/>
      <c r="BHP17" s="7159"/>
      <c r="BHQ17" s="7152" t="s">
        <v>175</v>
      </c>
      <c r="BHR17" s="7153"/>
      <c r="BHS17" s="7153"/>
      <c r="BHT17" s="7153"/>
      <c r="BHU17" s="7157"/>
      <c r="BHV17" s="7157"/>
      <c r="BHW17" s="7157"/>
      <c r="BHX17" s="7157"/>
      <c r="BHY17" s="7157"/>
      <c r="BHZ17" s="7157"/>
      <c r="BIA17" s="7158"/>
      <c r="BIB17" s="7158"/>
      <c r="BIC17" s="7158"/>
      <c r="BID17" s="7158"/>
      <c r="BIE17" s="7158"/>
      <c r="BIF17" s="7159"/>
      <c r="BIG17" s="7152" t="s">
        <v>175</v>
      </c>
      <c r="BIH17" s="7153"/>
      <c r="BII17" s="7153"/>
      <c r="BIJ17" s="7153"/>
      <c r="BIK17" s="7157"/>
      <c r="BIL17" s="7157"/>
      <c r="BIM17" s="7157"/>
      <c r="BIN17" s="7157"/>
      <c r="BIO17" s="7157"/>
      <c r="BIP17" s="7157"/>
      <c r="BIQ17" s="7158"/>
      <c r="BIR17" s="7158"/>
      <c r="BIS17" s="7158"/>
      <c r="BIT17" s="7158"/>
      <c r="BIU17" s="7158"/>
      <c r="BIV17" s="7159"/>
      <c r="BIW17" s="7152" t="s">
        <v>175</v>
      </c>
      <c r="BIX17" s="7153"/>
      <c r="BIY17" s="7153"/>
      <c r="BIZ17" s="7153"/>
      <c r="BJA17" s="7157"/>
      <c r="BJB17" s="7157"/>
      <c r="BJC17" s="7157"/>
      <c r="BJD17" s="7157"/>
      <c r="BJE17" s="7157"/>
      <c r="BJF17" s="7157"/>
      <c r="BJG17" s="7158"/>
      <c r="BJH17" s="7158"/>
      <c r="BJI17" s="7158"/>
      <c r="BJJ17" s="7158"/>
      <c r="BJK17" s="7158"/>
      <c r="BJL17" s="7159"/>
      <c r="BJM17" s="7152" t="s">
        <v>175</v>
      </c>
      <c r="BJN17" s="7153"/>
      <c r="BJO17" s="7153"/>
      <c r="BJP17" s="7153"/>
      <c r="BJQ17" s="7157"/>
      <c r="BJR17" s="7157"/>
      <c r="BJS17" s="7157"/>
      <c r="BJT17" s="7157"/>
      <c r="BJU17" s="7157"/>
      <c r="BJV17" s="7157"/>
      <c r="BJW17" s="7158"/>
      <c r="BJX17" s="7158"/>
      <c r="BJY17" s="7158"/>
      <c r="BJZ17" s="7158"/>
      <c r="BKA17" s="7158"/>
      <c r="BKB17" s="7159"/>
      <c r="BKC17" s="7152" t="s">
        <v>175</v>
      </c>
      <c r="BKD17" s="7153"/>
      <c r="BKE17" s="7153"/>
      <c r="BKF17" s="7153"/>
      <c r="BKG17" s="7157"/>
      <c r="BKH17" s="7157"/>
      <c r="BKI17" s="7157"/>
      <c r="BKJ17" s="7157"/>
      <c r="BKK17" s="7157"/>
      <c r="BKL17" s="7157"/>
      <c r="BKM17" s="7158"/>
      <c r="BKN17" s="7158"/>
      <c r="BKO17" s="7158"/>
      <c r="BKP17" s="7158"/>
      <c r="BKQ17" s="7158"/>
      <c r="BKR17" s="7159"/>
      <c r="BKS17" s="7152" t="s">
        <v>175</v>
      </c>
      <c r="BKT17" s="7153"/>
      <c r="BKU17" s="7153"/>
      <c r="BKV17" s="7153"/>
      <c r="BKW17" s="7157"/>
      <c r="BKX17" s="7157"/>
      <c r="BKY17" s="7157"/>
      <c r="BKZ17" s="7157"/>
      <c r="BLA17" s="7157"/>
      <c r="BLB17" s="7157"/>
      <c r="BLC17" s="7158"/>
      <c r="BLD17" s="7158"/>
      <c r="BLE17" s="7158"/>
      <c r="BLF17" s="7158"/>
      <c r="BLG17" s="7158"/>
      <c r="BLH17" s="7159"/>
      <c r="BLI17" s="7152" t="s">
        <v>175</v>
      </c>
      <c r="BLJ17" s="7153"/>
      <c r="BLK17" s="7153"/>
      <c r="BLL17" s="7153"/>
      <c r="BLM17" s="7157"/>
      <c r="BLN17" s="7157"/>
      <c r="BLO17" s="7157"/>
      <c r="BLP17" s="7157"/>
      <c r="BLQ17" s="7157"/>
      <c r="BLR17" s="7157"/>
      <c r="BLS17" s="7158"/>
      <c r="BLT17" s="7158"/>
      <c r="BLU17" s="7158"/>
      <c r="BLV17" s="7158"/>
      <c r="BLW17" s="7158"/>
      <c r="BLX17" s="7159"/>
      <c r="BLY17" s="7152" t="s">
        <v>175</v>
      </c>
      <c r="BLZ17" s="7153"/>
      <c r="BMA17" s="7153"/>
      <c r="BMB17" s="7153"/>
      <c r="BMC17" s="7157"/>
      <c r="BMD17" s="7157"/>
      <c r="BME17" s="7157"/>
      <c r="BMF17" s="7157"/>
      <c r="BMG17" s="7157"/>
      <c r="BMH17" s="7157"/>
      <c r="BMI17" s="7158"/>
      <c r="BMJ17" s="7158"/>
      <c r="BMK17" s="7158"/>
      <c r="BML17" s="7158"/>
      <c r="BMM17" s="7158"/>
      <c r="BMN17" s="7159"/>
      <c r="BMO17" s="7152" t="s">
        <v>175</v>
      </c>
      <c r="BMP17" s="7153"/>
      <c r="BMQ17" s="7153"/>
      <c r="BMR17" s="7153"/>
      <c r="BMS17" s="7157"/>
      <c r="BMT17" s="7157"/>
      <c r="BMU17" s="7157"/>
      <c r="BMV17" s="7157"/>
      <c r="BMW17" s="7157"/>
      <c r="BMX17" s="7157"/>
      <c r="BMY17" s="7158"/>
      <c r="BMZ17" s="7158"/>
      <c r="BNA17" s="7158"/>
      <c r="BNB17" s="7158"/>
      <c r="BNC17" s="7158"/>
      <c r="BND17" s="7159"/>
      <c r="BNE17" s="7152" t="s">
        <v>175</v>
      </c>
      <c r="BNF17" s="7153"/>
      <c r="BNG17" s="7153"/>
      <c r="BNH17" s="7153"/>
      <c r="BNI17" s="7157"/>
      <c r="BNJ17" s="7157"/>
      <c r="BNK17" s="7157"/>
      <c r="BNL17" s="7157"/>
      <c r="BNM17" s="7157"/>
      <c r="BNN17" s="7157"/>
      <c r="BNO17" s="7158"/>
      <c r="BNP17" s="7158"/>
      <c r="BNQ17" s="7158"/>
      <c r="BNR17" s="7158"/>
      <c r="BNS17" s="7158"/>
      <c r="BNT17" s="7159"/>
      <c r="BNU17" s="7152" t="s">
        <v>175</v>
      </c>
      <c r="BNV17" s="7153"/>
      <c r="BNW17" s="7153"/>
      <c r="BNX17" s="7153"/>
      <c r="BNY17" s="7157"/>
      <c r="BNZ17" s="7157"/>
      <c r="BOA17" s="7157"/>
      <c r="BOB17" s="7157"/>
      <c r="BOC17" s="7157"/>
      <c r="BOD17" s="7157"/>
      <c r="BOE17" s="7158"/>
      <c r="BOF17" s="7158"/>
      <c r="BOG17" s="7158"/>
      <c r="BOH17" s="7158"/>
      <c r="BOI17" s="7158"/>
      <c r="BOJ17" s="7159"/>
      <c r="BOK17" s="7152" t="s">
        <v>175</v>
      </c>
      <c r="BOL17" s="7153"/>
      <c r="BOM17" s="7153"/>
      <c r="BON17" s="7153"/>
      <c r="BOO17" s="7157"/>
      <c r="BOP17" s="7157"/>
      <c r="BOQ17" s="7157"/>
      <c r="BOR17" s="7157"/>
      <c r="BOS17" s="7157"/>
      <c r="BOT17" s="7157"/>
      <c r="BOU17" s="7158"/>
      <c r="BOV17" s="7158"/>
      <c r="BOW17" s="7158"/>
      <c r="BOX17" s="7158"/>
      <c r="BOY17" s="7158"/>
      <c r="BOZ17" s="7159"/>
      <c r="BPA17" s="7152" t="s">
        <v>175</v>
      </c>
      <c r="BPB17" s="7153"/>
      <c r="BPC17" s="7153"/>
      <c r="BPD17" s="7153"/>
      <c r="BPE17" s="7157"/>
      <c r="BPF17" s="7157"/>
      <c r="BPG17" s="7157"/>
      <c r="BPH17" s="7157"/>
      <c r="BPI17" s="7157"/>
      <c r="BPJ17" s="7157"/>
      <c r="BPK17" s="7158"/>
      <c r="BPL17" s="7158"/>
      <c r="BPM17" s="7158"/>
      <c r="BPN17" s="7158"/>
      <c r="BPO17" s="7158"/>
      <c r="BPP17" s="7159"/>
      <c r="BPQ17" s="7152" t="s">
        <v>175</v>
      </c>
      <c r="BPR17" s="7153"/>
      <c r="BPS17" s="7153"/>
      <c r="BPT17" s="7153"/>
      <c r="BPU17" s="7157"/>
      <c r="BPV17" s="7157"/>
      <c r="BPW17" s="7157"/>
      <c r="BPX17" s="7157"/>
      <c r="BPY17" s="7157"/>
      <c r="BPZ17" s="7157"/>
      <c r="BQA17" s="7158"/>
      <c r="BQB17" s="7158"/>
      <c r="BQC17" s="7158"/>
      <c r="BQD17" s="7158"/>
      <c r="BQE17" s="7158"/>
      <c r="BQF17" s="7159"/>
      <c r="BQG17" s="7152" t="s">
        <v>175</v>
      </c>
      <c r="BQH17" s="7153"/>
      <c r="BQI17" s="7153"/>
      <c r="BQJ17" s="7153"/>
      <c r="BQK17" s="7157"/>
      <c r="BQL17" s="7157"/>
      <c r="BQM17" s="7157"/>
      <c r="BQN17" s="7157"/>
      <c r="BQO17" s="7157"/>
      <c r="BQP17" s="7157"/>
      <c r="BQQ17" s="7158"/>
      <c r="BQR17" s="7158"/>
      <c r="BQS17" s="7158"/>
      <c r="BQT17" s="7158"/>
      <c r="BQU17" s="7158"/>
      <c r="BQV17" s="7159"/>
      <c r="BQW17" s="7152" t="s">
        <v>175</v>
      </c>
      <c r="BQX17" s="7153"/>
      <c r="BQY17" s="7153"/>
      <c r="BQZ17" s="7153"/>
      <c r="BRA17" s="7157"/>
      <c r="BRB17" s="7157"/>
      <c r="BRC17" s="7157"/>
      <c r="BRD17" s="7157"/>
      <c r="BRE17" s="7157"/>
      <c r="BRF17" s="7157"/>
      <c r="BRG17" s="7158"/>
      <c r="BRH17" s="7158"/>
      <c r="BRI17" s="7158"/>
      <c r="BRJ17" s="7158"/>
      <c r="BRK17" s="7158"/>
      <c r="BRL17" s="7159"/>
      <c r="BRM17" s="7152" t="s">
        <v>175</v>
      </c>
      <c r="BRN17" s="7153"/>
      <c r="BRO17" s="7153"/>
      <c r="BRP17" s="7153"/>
      <c r="BRQ17" s="7157"/>
      <c r="BRR17" s="7157"/>
      <c r="BRS17" s="7157"/>
      <c r="BRT17" s="7157"/>
      <c r="BRU17" s="7157"/>
      <c r="BRV17" s="7157"/>
      <c r="BRW17" s="7158"/>
      <c r="BRX17" s="7158"/>
      <c r="BRY17" s="7158"/>
      <c r="BRZ17" s="7158"/>
      <c r="BSA17" s="7158"/>
      <c r="BSB17" s="7159"/>
      <c r="BSC17" s="7152" t="s">
        <v>175</v>
      </c>
      <c r="BSD17" s="7153"/>
      <c r="BSE17" s="7153"/>
      <c r="BSF17" s="7153"/>
      <c r="BSG17" s="7157"/>
      <c r="BSH17" s="7157"/>
      <c r="BSI17" s="7157"/>
      <c r="BSJ17" s="7157"/>
      <c r="BSK17" s="7157"/>
      <c r="BSL17" s="7157"/>
      <c r="BSM17" s="7158"/>
      <c r="BSN17" s="7158"/>
      <c r="BSO17" s="7158"/>
      <c r="BSP17" s="7158"/>
      <c r="BSQ17" s="7158"/>
      <c r="BSR17" s="7159"/>
      <c r="BSS17" s="7152" t="s">
        <v>175</v>
      </c>
      <c r="BST17" s="7153"/>
      <c r="BSU17" s="7153"/>
      <c r="BSV17" s="7153"/>
      <c r="BSW17" s="7157"/>
      <c r="BSX17" s="7157"/>
      <c r="BSY17" s="7157"/>
      <c r="BSZ17" s="7157"/>
      <c r="BTA17" s="7157"/>
      <c r="BTB17" s="7157"/>
      <c r="BTC17" s="7158"/>
      <c r="BTD17" s="7158"/>
      <c r="BTE17" s="7158"/>
      <c r="BTF17" s="7158"/>
      <c r="BTG17" s="7158"/>
      <c r="BTH17" s="7159"/>
      <c r="BTI17" s="7152" t="s">
        <v>175</v>
      </c>
      <c r="BTJ17" s="7153"/>
      <c r="BTK17" s="7153"/>
      <c r="BTL17" s="7153"/>
      <c r="BTM17" s="7157"/>
      <c r="BTN17" s="7157"/>
      <c r="BTO17" s="7157"/>
      <c r="BTP17" s="7157"/>
      <c r="BTQ17" s="7157"/>
      <c r="BTR17" s="7157"/>
      <c r="BTS17" s="7158"/>
      <c r="BTT17" s="7158"/>
      <c r="BTU17" s="7158"/>
      <c r="BTV17" s="7158"/>
      <c r="BTW17" s="7158"/>
      <c r="BTX17" s="7159"/>
      <c r="BTY17" s="7152" t="s">
        <v>175</v>
      </c>
      <c r="BTZ17" s="7153"/>
      <c r="BUA17" s="7153"/>
      <c r="BUB17" s="7153"/>
      <c r="BUC17" s="7157"/>
      <c r="BUD17" s="7157"/>
      <c r="BUE17" s="7157"/>
      <c r="BUF17" s="7157"/>
      <c r="BUG17" s="7157"/>
      <c r="BUH17" s="7157"/>
      <c r="BUI17" s="7158"/>
      <c r="BUJ17" s="7158"/>
      <c r="BUK17" s="7158"/>
      <c r="BUL17" s="7158"/>
      <c r="BUM17" s="7158"/>
      <c r="BUN17" s="7159"/>
      <c r="BUO17" s="7152" t="s">
        <v>175</v>
      </c>
      <c r="BUP17" s="7153"/>
      <c r="BUQ17" s="7153"/>
      <c r="BUR17" s="7153"/>
      <c r="BUS17" s="7157"/>
      <c r="BUT17" s="7157"/>
      <c r="BUU17" s="7157"/>
      <c r="BUV17" s="7157"/>
      <c r="BUW17" s="7157"/>
      <c r="BUX17" s="7157"/>
      <c r="BUY17" s="7158"/>
      <c r="BUZ17" s="7158"/>
      <c r="BVA17" s="7158"/>
      <c r="BVB17" s="7158"/>
      <c r="BVC17" s="7158"/>
      <c r="BVD17" s="7159"/>
      <c r="BVE17" s="7152" t="s">
        <v>175</v>
      </c>
      <c r="BVF17" s="7153"/>
      <c r="BVG17" s="7153"/>
      <c r="BVH17" s="7153"/>
      <c r="BVI17" s="7157"/>
      <c r="BVJ17" s="7157"/>
      <c r="BVK17" s="7157"/>
      <c r="BVL17" s="7157"/>
      <c r="BVM17" s="7157"/>
      <c r="BVN17" s="7157"/>
      <c r="BVO17" s="7158"/>
      <c r="BVP17" s="7158"/>
      <c r="BVQ17" s="7158"/>
      <c r="BVR17" s="7158"/>
      <c r="BVS17" s="7158"/>
      <c r="BVT17" s="7159"/>
      <c r="BVU17" s="7152" t="s">
        <v>175</v>
      </c>
      <c r="BVV17" s="7153"/>
      <c r="BVW17" s="7153"/>
      <c r="BVX17" s="7153"/>
      <c r="BVY17" s="7157"/>
      <c r="BVZ17" s="7157"/>
      <c r="BWA17" s="7157"/>
      <c r="BWB17" s="7157"/>
      <c r="BWC17" s="7157"/>
      <c r="BWD17" s="7157"/>
      <c r="BWE17" s="7158"/>
      <c r="BWF17" s="7158"/>
      <c r="BWG17" s="7158"/>
      <c r="BWH17" s="7158"/>
      <c r="BWI17" s="7158"/>
      <c r="BWJ17" s="7159"/>
      <c r="BWK17" s="7152" t="s">
        <v>175</v>
      </c>
      <c r="BWL17" s="7153"/>
      <c r="BWM17" s="7153"/>
      <c r="BWN17" s="7153"/>
      <c r="BWO17" s="7157"/>
      <c r="BWP17" s="7157"/>
      <c r="BWQ17" s="7157"/>
      <c r="BWR17" s="7157"/>
      <c r="BWS17" s="7157"/>
      <c r="BWT17" s="7157"/>
      <c r="BWU17" s="7158"/>
      <c r="BWV17" s="7158"/>
      <c r="BWW17" s="7158"/>
      <c r="BWX17" s="7158"/>
      <c r="BWY17" s="7158"/>
      <c r="BWZ17" s="7159"/>
      <c r="BXA17" s="7152" t="s">
        <v>175</v>
      </c>
      <c r="BXB17" s="7153"/>
      <c r="BXC17" s="7153"/>
      <c r="BXD17" s="7153"/>
      <c r="BXE17" s="7157"/>
      <c r="BXF17" s="7157"/>
      <c r="BXG17" s="7157"/>
      <c r="BXH17" s="7157"/>
      <c r="BXI17" s="7157"/>
      <c r="BXJ17" s="7157"/>
      <c r="BXK17" s="7158"/>
      <c r="BXL17" s="7158"/>
      <c r="BXM17" s="7158"/>
      <c r="BXN17" s="7158"/>
      <c r="BXO17" s="7158"/>
      <c r="BXP17" s="7159"/>
      <c r="BXQ17" s="7152" t="s">
        <v>175</v>
      </c>
      <c r="BXR17" s="7153"/>
      <c r="BXS17" s="7153"/>
      <c r="BXT17" s="7153"/>
      <c r="BXU17" s="7157"/>
      <c r="BXV17" s="7157"/>
      <c r="BXW17" s="7157"/>
      <c r="BXX17" s="7157"/>
      <c r="BXY17" s="7157"/>
      <c r="BXZ17" s="7157"/>
      <c r="BYA17" s="7158"/>
      <c r="BYB17" s="7158"/>
      <c r="BYC17" s="7158"/>
      <c r="BYD17" s="7158"/>
      <c r="BYE17" s="7158"/>
      <c r="BYF17" s="7159"/>
      <c r="BYG17" s="7152" t="s">
        <v>175</v>
      </c>
      <c r="BYH17" s="7153"/>
      <c r="BYI17" s="7153"/>
      <c r="BYJ17" s="7153"/>
      <c r="BYK17" s="7157"/>
      <c r="BYL17" s="7157"/>
      <c r="BYM17" s="7157"/>
      <c r="BYN17" s="7157"/>
      <c r="BYO17" s="7157"/>
      <c r="BYP17" s="7157"/>
      <c r="BYQ17" s="7158"/>
      <c r="BYR17" s="7158"/>
      <c r="BYS17" s="7158"/>
      <c r="BYT17" s="7158"/>
      <c r="BYU17" s="7158"/>
      <c r="BYV17" s="7159"/>
      <c r="BYW17" s="7152" t="s">
        <v>175</v>
      </c>
      <c r="BYX17" s="7153"/>
      <c r="BYY17" s="7153"/>
      <c r="BYZ17" s="7153"/>
      <c r="BZA17" s="7157"/>
      <c r="BZB17" s="7157"/>
      <c r="BZC17" s="7157"/>
      <c r="BZD17" s="7157"/>
      <c r="BZE17" s="7157"/>
      <c r="BZF17" s="7157"/>
      <c r="BZG17" s="7158"/>
      <c r="BZH17" s="7158"/>
      <c r="BZI17" s="7158"/>
      <c r="BZJ17" s="7158"/>
      <c r="BZK17" s="7158"/>
      <c r="BZL17" s="7159"/>
      <c r="BZM17" s="7152" t="s">
        <v>175</v>
      </c>
      <c r="BZN17" s="7153"/>
      <c r="BZO17" s="7153"/>
      <c r="BZP17" s="7153"/>
      <c r="BZQ17" s="7157"/>
      <c r="BZR17" s="7157"/>
      <c r="BZS17" s="7157"/>
      <c r="BZT17" s="7157"/>
      <c r="BZU17" s="7157"/>
      <c r="BZV17" s="7157"/>
      <c r="BZW17" s="7158"/>
      <c r="BZX17" s="7158"/>
      <c r="BZY17" s="7158"/>
      <c r="BZZ17" s="7158"/>
      <c r="CAA17" s="7158"/>
      <c r="CAB17" s="7159"/>
      <c r="CAC17" s="7152" t="s">
        <v>175</v>
      </c>
      <c r="CAD17" s="7153"/>
      <c r="CAE17" s="7153"/>
      <c r="CAF17" s="7153"/>
      <c r="CAG17" s="7157"/>
      <c r="CAH17" s="7157"/>
      <c r="CAI17" s="7157"/>
      <c r="CAJ17" s="7157"/>
      <c r="CAK17" s="7157"/>
      <c r="CAL17" s="7157"/>
      <c r="CAM17" s="7158"/>
      <c r="CAN17" s="7158"/>
      <c r="CAO17" s="7158"/>
      <c r="CAP17" s="7158"/>
      <c r="CAQ17" s="7158"/>
      <c r="CAR17" s="7159"/>
      <c r="CAS17" s="7152" t="s">
        <v>175</v>
      </c>
      <c r="CAT17" s="7153"/>
      <c r="CAU17" s="7153"/>
      <c r="CAV17" s="7153"/>
      <c r="CAW17" s="7157"/>
      <c r="CAX17" s="7157"/>
      <c r="CAY17" s="7157"/>
      <c r="CAZ17" s="7157"/>
      <c r="CBA17" s="7157"/>
      <c r="CBB17" s="7157"/>
      <c r="CBC17" s="7158"/>
      <c r="CBD17" s="7158"/>
      <c r="CBE17" s="7158"/>
      <c r="CBF17" s="7158"/>
      <c r="CBG17" s="7158"/>
      <c r="CBH17" s="7159"/>
      <c r="CBI17" s="7152" t="s">
        <v>175</v>
      </c>
      <c r="CBJ17" s="7153"/>
      <c r="CBK17" s="7153"/>
      <c r="CBL17" s="7153"/>
      <c r="CBM17" s="7157"/>
      <c r="CBN17" s="7157"/>
      <c r="CBO17" s="7157"/>
      <c r="CBP17" s="7157"/>
      <c r="CBQ17" s="7157"/>
      <c r="CBR17" s="7157"/>
      <c r="CBS17" s="7158"/>
      <c r="CBT17" s="7158"/>
      <c r="CBU17" s="7158"/>
      <c r="CBV17" s="7158"/>
      <c r="CBW17" s="7158"/>
      <c r="CBX17" s="7159"/>
      <c r="CBY17" s="7152" t="s">
        <v>175</v>
      </c>
      <c r="CBZ17" s="7153"/>
      <c r="CCA17" s="7153"/>
      <c r="CCB17" s="7153"/>
      <c r="CCC17" s="7157"/>
      <c r="CCD17" s="7157"/>
      <c r="CCE17" s="7157"/>
      <c r="CCF17" s="7157"/>
      <c r="CCG17" s="7157"/>
      <c r="CCH17" s="7157"/>
      <c r="CCI17" s="7158"/>
      <c r="CCJ17" s="7158"/>
      <c r="CCK17" s="7158"/>
      <c r="CCL17" s="7158"/>
      <c r="CCM17" s="7158"/>
      <c r="CCN17" s="7159"/>
      <c r="CCO17" s="7152" t="s">
        <v>175</v>
      </c>
      <c r="CCP17" s="7153"/>
      <c r="CCQ17" s="7153"/>
      <c r="CCR17" s="7153"/>
      <c r="CCS17" s="7157"/>
      <c r="CCT17" s="7157"/>
      <c r="CCU17" s="7157"/>
      <c r="CCV17" s="7157"/>
      <c r="CCW17" s="7157"/>
      <c r="CCX17" s="7157"/>
      <c r="CCY17" s="7158"/>
      <c r="CCZ17" s="7158"/>
      <c r="CDA17" s="7158"/>
      <c r="CDB17" s="7158"/>
      <c r="CDC17" s="7158"/>
      <c r="CDD17" s="7159"/>
      <c r="CDE17" s="7152" t="s">
        <v>175</v>
      </c>
      <c r="CDF17" s="7153"/>
      <c r="CDG17" s="7153"/>
      <c r="CDH17" s="7153"/>
      <c r="CDI17" s="7157"/>
      <c r="CDJ17" s="7157"/>
      <c r="CDK17" s="7157"/>
      <c r="CDL17" s="7157"/>
      <c r="CDM17" s="7157"/>
      <c r="CDN17" s="7157"/>
      <c r="CDO17" s="7158"/>
      <c r="CDP17" s="7158"/>
      <c r="CDQ17" s="7158"/>
      <c r="CDR17" s="7158"/>
      <c r="CDS17" s="7158"/>
      <c r="CDT17" s="7159"/>
      <c r="CDU17" s="7152" t="s">
        <v>175</v>
      </c>
      <c r="CDV17" s="7153"/>
      <c r="CDW17" s="7153"/>
      <c r="CDX17" s="7153"/>
      <c r="CDY17" s="7157"/>
      <c r="CDZ17" s="7157"/>
      <c r="CEA17" s="7157"/>
      <c r="CEB17" s="7157"/>
      <c r="CEC17" s="7157"/>
      <c r="CED17" s="7157"/>
      <c r="CEE17" s="7158"/>
      <c r="CEF17" s="7158"/>
      <c r="CEG17" s="7158"/>
      <c r="CEH17" s="7158"/>
      <c r="CEI17" s="7158"/>
      <c r="CEJ17" s="7159"/>
      <c r="CEK17" s="7152" t="s">
        <v>175</v>
      </c>
      <c r="CEL17" s="7153"/>
      <c r="CEM17" s="7153"/>
      <c r="CEN17" s="7153"/>
      <c r="CEO17" s="7157"/>
      <c r="CEP17" s="7157"/>
      <c r="CEQ17" s="7157"/>
      <c r="CER17" s="7157"/>
      <c r="CES17" s="7157"/>
      <c r="CET17" s="7157"/>
      <c r="CEU17" s="7158"/>
      <c r="CEV17" s="7158"/>
      <c r="CEW17" s="7158"/>
      <c r="CEX17" s="7158"/>
      <c r="CEY17" s="7158"/>
      <c r="CEZ17" s="7159"/>
      <c r="CFA17" s="7152" t="s">
        <v>175</v>
      </c>
      <c r="CFB17" s="7153"/>
      <c r="CFC17" s="7153"/>
      <c r="CFD17" s="7153"/>
      <c r="CFE17" s="7157"/>
      <c r="CFF17" s="7157"/>
      <c r="CFG17" s="7157"/>
      <c r="CFH17" s="7157"/>
      <c r="CFI17" s="7157"/>
      <c r="CFJ17" s="7157"/>
      <c r="CFK17" s="7158"/>
      <c r="CFL17" s="7158"/>
      <c r="CFM17" s="7158"/>
      <c r="CFN17" s="7158"/>
      <c r="CFO17" s="7158"/>
      <c r="CFP17" s="7159"/>
      <c r="CFQ17" s="7152" t="s">
        <v>175</v>
      </c>
      <c r="CFR17" s="7153"/>
      <c r="CFS17" s="7153"/>
      <c r="CFT17" s="7153"/>
      <c r="CFU17" s="7157"/>
      <c r="CFV17" s="7157"/>
      <c r="CFW17" s="7157"/>
      <c r="CFX17" s="7157"/>
      <c r="CFY17" s="7157"/>
      <c r="CFZ17" s="7157"/>
      <c r="CGA17" s="7158"/>
      <c r="CGB17" s="7158"/>
      <c r="CGC17" s="7158"/>
      <c r="CGD17" s="7158"/>
      <c r="CGE17" s="7158"/>
      <c r="CGF17" s="7159"/>
      <c r="CGG17" s="7152" t="s">
        <v>175</v>
      </c>
      <c r="CGH17" s="7153"/>
      <c r="CGI17" s="7153"/>
      <c r="CGJ17" s="7153"/>
      <c r="CGK17" s="7157"/>
      <c r="CGL17" s="7157"/>
      <c r="CGM17" s="7157"/>
      <c r="CGN17" s="7157"/>
      <c r="CGO17" s="7157"/>
      <c r="CGP17" s="7157"/>
      <c r="CGQ17" s="7158"/>
      <c r="CGR17" s="7158"/>
      <c r="CGS17" s="7158"/>
      <c r="CGT17" s="7158"/>
      <c r="CGU17" s="7158"/>
      <c r="CGV17" s="7159"/>
      <c r="CGW17" s="7152" t="s">
        <v>175</v>
      </c>
      <c r="CGX17" s="7153"/>
      <c r="CGY17" s="7153"/>
      <c r="CGZ17" s="7153"/>
      <c r="CHA17" s="7157"/>
      <c r="CHB17" s="7157"/>
      <c r="CHC17" s="7157"/>
      <c r="CHD17" s="7157"/>
      <c r="CHE17" s="7157"/>
      <c r="CHF17" s="7157"/>
      <c r="CHG17" s="7158"/>
      <c r="CHH17" s="7158"/>
      <c r="CHI17" s="7158"/>
      <c r="CHJ17" s="7158"/>
      <c r="CHK17" s="7158"/>
      <c r="CHL17" s="7159"/>
      <c r="CHM17" s="7152" t="s">
        <v>175</v>
      </c>
      <c r="CHN17" s="7153"/>
      <c r="CHO17" s="7153"/>
      <c r="CHP17" s="7153"/>
      <c r="CHQ17" s="7157"/>
      <c r="CHR17" s="7157"/>
      <c r="CHS17" s="7157"/>
      <c r="CHT17" s="7157"/>
      <c r="CHU17" s="7157"/>
      <c r="CHV17" s="7157"/>
      <c r="CHW17" s="7158"/>
      <c r="CHX17" s="7158"/>
      <c r="CHY17" s="7158"/>
      <c r="CHZ17" s="7158"/>
      <c r="CIA17" s="7158"/>
      <c r="CIB17" s="7159"/>
      <c r="CIC17" s="7152" t="s">
        <v>175</v>
      </c>
      <c r="CID17" s="7153"/>
      <c r="CIE17" s="7153"/>
      <c r="CIF17" s="7153"/>
      <c r="CIG17" s="7157"/>
      <c r="CIH17" s="7157"/>
      <c r="CII17" s="7157"/>
      <c r="CIJ17" s="7157"/>
      <c r="CIK17" s="7157"/>
      <c r="CIL17" s="7157"/>
      <c r="CIM17" s="7158"/>
      <c r="CIN17" s="7158"/>
      <c r="CIO17" s="7158"/>
      <c r="CIP17" s="7158"/>
      <c r="CIQ17" s="7158"/>
      <c r="CIR17" s="7159"/>
      <c r="CIS17" s="7152" t="s">
        <v>175</v>
      </c>
      <c r="CIT17" s="7153"/>
      <c r="CIU17" s="7153"/>
      <c r="CIV17" s="7153"/>
      <c r="CIW17" s="7157"/>
      <c r="CIX17" s="7157"/>
      <c r="CIY17" s="7157"/>
      <c r="CIZ17" s="7157"/>
      <c r="CJA17" s="7157"/>
      <c r="CJB17" s="7157"/>
      <c r="CJC17" s="7158"/>
      <c r="CJD17" s="7158"/>
      <c r="CJE17" s="7158"/>
      <c r="CJF17" s="7158"/>
      <c r="CJG17" s="7158"/>
      <c r="CJH17" s="7159"/>
      <c r="CJI17" s="7152" t="s">
        <v>175</v>
      </c>
      <c r="CJJ17" s="7153"/>
      <c r="CJK17" s="7153"/>
      <c r="CJL17" s="7153"/>
      <c r="CJM17" s="7157"/>
      <c r="CJN17" s="7157"/>
      <c r="CJO17" s="7157"/>
      <c r="CJP17" s="7157"/>
      <c r="CJQ17" s="7157"/>
      <c r="CJR17" s="7157"/>
      <c r="CJS17" s="7158"/>
      <c r="CJT17" s="7158"/>
      <c r="CJU17" s="7158"/>
      <c r="CJV17" s="7158"/>
      <c r="CJW17" s="7158"/>
      <c r="CJX17" s="7159"/>
      <c r="CJY17" s="7152" t="s">
        <v>175</v>
      </c>
      <c r="CJZ17" s="7153"/>
      <c r="CKA17" s="7153"/>
      <c r="CKB17" s="7153"/>
      <c r="CKC17" s="7157"/>
      <c r="CKD17" s="7157"/>
      <c r="CKE17" s="7157"/>
      <c r="CKF17" s="7157"/>
      <c r="CKG17" s="7157"/>
      <c r="CKH17" s="7157"/>
      <c r="CKI17" s="7158"/>
      <c r="CKJ17" s="7158"/>
      <c r="CKK17" s="7158"/>
      <c r="CKL17" s="7158"/>
      <c r="CKM17" s="7158"/>
      <c r="CKN17" s="7159"/>
      <c r="CKO17" s="7152" t="s">
        <v>175</v>
      </c>
      <c r="CKP17" s="7153"/>
      <c r="CKQ17" s="7153"/>
      <c r="CKR17" s="7153"/>
      <c r="CKS17" s="7157"/>
      <c r="CKT17" s="7157"/>
      <c r="CKU17" s="7157"/>
      <c r="CKV17" s="7157"/>
      <c r="CKW17" s="7157"/>
      <c r="CKX17" s="7157"/>
      <c r="CKY17" s="7158"/>
      <c r="CKZ17" s="7158"/>
      <c r="CLA17" s="7158"/>
      <c r="CLB17" s="7158"/>
      <c r="CLC17" s="7158"/>
      <c r="CLD17" s="7159"/>
      <c r="CLE17" s="7152" t="s">
        <v>175</v>
      </c>
      <c r="CLF17" s="7153"/>
      <c r="CLG17" s="7153"/>
      <c r="CLH17" s="7153"/>
      <c r="CLI17" s="7157"/>
      <c r="CLJ17" s="7157"/>
      <c r="CLK17" s="7157"/>
      <c r="CLL17" s="7157"/>
      <c r="CLM17" s="7157"/>
      <c r="CLN17" s="7157"/>
      <c r="CLO17" s="7158"/>
      <c r="CLP17" s="7158"/>
      <c r="CLQ17" s="7158"/>
      <c r="CLR17" s="7158"/>
      <c r="CLS17" s="7158"/>
      <c r="CLT17" s="7159"/>
      <c r="CLU17" s="7152" t="s">
        <v>175</v>
      </c>
      <c r="CLV17" s="7153"/>
      <c r="CLW17" s="7153"/>
      <c r="CLX17" s="7153"/>
      <c r="CLY17" s="7157"/>
      <c r="CLZ17" s="7157"/>
      <c r="CMA17" s="7157"/>
      <c r="CMB17" s="7157"/>
      <c r="CMC17" s="7157"/>
      <c r="CMD17" s="7157"/>
      <c r="CME17" s="7158"/>
      <c r="CMF17" s="7158"/>
      <c r="CMG17" s="7158"/>
      <c r="CMH17" s="7158"/>
      <c r="CMI17" s="7158"/>
      <c r="CMJ17" s="7159"/>
      <c r="CMK17" s="7152" t="s">
        <v>175</v>
      </c>
      <c r="CML17" s="7153"/>
      <c r="CMM17" s="7153"/>
      <c r="CMN17" s="7153"/>
      <c r="CMO17" s="7157"/>
      <c r="CMP17" s="7157"/>
      <c r="CMQ17" s="7157"/>
      <c r="CMR17" s="7157"/>
      <c r="CMS17" s="7157"/>
      <c r="CMT17" s="7157"/>
      <c r="CMU17" s="7158"/>
      <c r="CMV17" s="7158"/>
      <c r="CMW17" s="7158"/>
      <c r="CMX17" s="7158"/>
      <c r="CMY17" s="7158"/>
      <c r="CMZ17" s="7159"/>
      <c r="CNA17" s="7152" t="s">
        <v>175</v>
      </c>
      <c r="CNB17" s="7153"/>
      <c r="CNC17" s="7153"/>
      <c r="CND17" s="7153"/>
      <c r="CNE17" s="7157"/>
      <c r="CNF17" s="7157"/>
      <c r="CNG17" s="7157"/>
      <c r="CNH17" s="7157"/>
      <c r="CNI17" s="7157"/>
      <c r="CNJ17" s="7157"/>
      <c r="CNK17" s="7158"/>
      <c r="CNL17" s="7158"/>
      <c r="CNM17" s="7158"/>
      <c r="CNN17" s="7158"/>
      <c r="CNO17" s="7158"/>
      <c r="CNP17" s="7159"/>
      <c r="CNQ17" s="7152" t="s">
        <v>175</v>
      </c>
      <c r="CNR17" s="7153"/>
      <c r="CNS17" s="7153"/>
      <c r="CNT17" s="7153"/>
      <c r="CNU17" s="7157"/>
      <c r="CNV17" s="7157"/>
      <c r="CNW17" s="7157"/>
      <c r="CNX17" s="7157"/>
      <c r="CNY17" s="7157"/>
      <c r="CNZ17" s="7157"/>
      <c r="COA17" s="7158"/>
      <c r="COB17" s="7158"/>
      <c r="COC17" s="7158"/>
      <c r="COD17" s="7158"/>
      <c r="COE17" s="7158"/>
      <c r="COF17" s="7159"/>
      <c r="COG17" s="7152" t="s">
        <v>175</v>
      </c>
      <c r="COH17" s="7153"/>
      <c r="COI17" s="7153"/>
      <c r="COJ17" s="7153"/>
      <c r="COK17" s="7157"/>
      <c r="COL17" s="7157"/>
      <c r="COM17" s="7157"/>
      <c r="CON17" s="7157"/>
      <c r="COO17" s="7157"/>
      <c r="COP17" s="7157"/>
      <c r="COQ17" s="7158"/>
      <c r="COR17" s="7158"/>
      <c r="COS17" s="7158"/>
      <c r="COT17" s="7158"/>
      <c r="COU17" s="7158"/>
      <c r="COV17" s="7159"/>
      <c r="COW17" s="7152" t="s">
        <v>175</v>
      </c>
      <c r="COX17" s="7153"/>
      <c r="COY17" s="7153"/>
      <c r="COZ17" s="7153"/>
      <c r="CPA17" s="7157"/>
      <c r="CPB17" s="7157"/>
      <c r="CPC17" s="7157"/>
      <c r="CPD17" s="7157"/>
      <c r="CPE17" s="7157"/>
      <c r="CPF17" s="7157"/>
      <c r="CPG17" s="7158"/>
      <c r="CPH17" s="7158"/>
      <c r="CPI17" s="7158"/>
      <c r="CPJ17" s="7158"/>
      <c r="CPK17" s="7158"/>
      <c r="CPL17" s="7159"/>
      <c r="CPM17" s="7152" t="s">
        <v>175</v>
      </c>
      <c r="CPN17" s="7153"/>
      <c r="CPO17" s="7153"/>
      <c r="CPP17" s="7153"/>
      <c r="CPQ17" s="7157"/>
      <c r="CPR17" s="7157"/>
      <c r="CPS17" s="7157"/>
      <c r="CPT17" s="7157"/>
      <c r="CPU17" s="7157"/>
      <c r="CPV17" s="7157"/>
      <c r="CPW17" s="7158"/>
      <c r="CPX17" s="7158"/>
      <c r="CPY17" s="7158"/>
      <c r="CPZ17" s="7158"/>
      <c r="CQA17" s="7158"/>
      <c r="CQB17" s="7159"/>
      <c r="CQC17" s="7152" t="s">
        <v>175</v>
      </c>
      <c r="CQD17" s="7153"/>
      <c r="CQE17" s="7153"/>
      <c r="CQF17" s="7153"/>
      <c r="CQG17" s="7157"/>
      <c r="CQH17" s="7157"/>
      <c r="CQI17" s="7157"/>
      <c r="CQJ17" s="7157"/>
      <c r="CQK17" s="7157"/>
      <c r="CQL17" s="7157"/>
      <c r="CQM17" s="7158"/>
      <c r="CQN17" s="7158"/>
      <c r="CQO17" s="7158"/>
      <c r="CQP17" s="7158"/>
      <c r="CQQ17" s="7158"/>
      <c r="CQR17" s="7159"/>
      <c r="CQS17" s="7152" t="s">
        <v>175</v>
      </c>
      <c r="CQT17" s="7153"/>
      <c r="CQU17" s="7153"/>
      <c r="CQV17" s="7153"/>
      <c r="CQW17" s="7157"/>
      <c r="CQX17" s="7157"/>
      <c r="CQY17" s="7157"/>
      <c r="CQZ17" s="7157"/>
      <c r="CRA17" s="7157"/>
      <c r="CRB17" s="7157"/>
      <c r="CRC17" s="7158"/>
      <c r="CRD17" s="7158"/>
      <c r="CRE17" s="7158"/>
      <c r="CRF17" s="7158"/>
      <c r="CRG17" s="7158"/>
      <c r="CRH17" s="7159"/>
      <c r="CRI17" s="7152" t="s">
        <v>175</v>
      </c>
      <c r="CRJ17" s="7153"/>
      <c r="CRK17" s="7153"/>
      <c r="CRL17" s="7153"/>
      <c r="CRM17" s="7157"/>
      <c r="CRN17" s="7157"/>
      <c r="CRO17" s="7157"/>
      <c r="CRP17" s="7157"/>
      <c r="CRQ17" s="7157"/>
      <c r="CRR17" s="7157"/>
      <c r="CRS17" s="7158"/>
      <c r="CRT17" s="7158"/>
      <c r="CRU17" s="7158"/>
      <c r="CRV17" s="7158"/>
      <c r="CRW17" s="7158"/>
      <c r="CRX17" s="7159"/>
      <c r="CRY17" s="7152" t="s">
        <v>175</v>
      </c>
      <c r="CRZ17" s="7153"/>
      <c r="CSA17" s="7153"/>
      <c r="CSB17" s="7153"/>
      <c r="CSC17" s="7157"/>
      <c r="CSD17" s="7157"/>
      <c r="CSE17" s="7157"/>
      <c r="CSF17" s="7157"/>
      <c r="CSG17" s="7157"/>
      <c r="CSH17" s="7157"/>
      <c r="CSI17" s="7158"/>
      <c r="CSJ17" s="7158"/>
      <c r="CSK17" s="7158"/>
      <c r="CSL17" s="7158"/>
      <c r="CSM17" s="7158"/>
      <c r="CSN17" s="7159"/>
      <c r="CSO17" s="7152" t="s">
        <v>175</v>
      </c>
      <c r="CSP17" s="7153"/>
      <c r="CSQ17" s="7153"/>
      <c r="CSR17" s="7153"/>
      <c r="CSS17" s="7157"/>
      <c r="CST17" s="7157"/>
      <c r="CSU17" s="7157"/>
      <c r="CSV17" s="7157"/>
      <c r="CSW17" s="7157"/>
      <c r="CSX17" s="7157"/>
      <c r="CSY17" s="7158"/>
      <c r="CSZ17" s="7158"/>
      <c r="CTA17" s="7158"/>
      <c r="CTB17" s="7158"/>
      <c r="CTC17" s="7158"/>
      <c r="CTD17" s="7159"/>
      <c r="CTE17" s="7152" t="s">
        <v>175</v>
      </c>
      <c r="CTF17" s="7153"/>
      <c r="CTG17" s="7153"/>
      <c r="CTH17" s="7153"/>
      <c r="CTI17" s="7157"/>
      <c r="CTJ17" s="7157"/>
      <c r="CTK17" s="7157"/>
      <c r="CTL17" s="7157"/>
      <c r="CTM17" s="7157"/>
      <c r="CTN17" s="7157"/>
      <c r="CTO17" s="7158"/>
      <c r="CTP17" s="7158"/>
      <c r="CTQ17" s="7158"/>
      <c r="CTR17" s="7158"/>
      <c r="CTS17" s="7158"/>
      <c r="CTT17" s="7159"/>
      <c r="CTU17" s="7152" t="s">
        <v>175</v>
      </c>
      <c r="CTV17" s="7153"/>
      <c r="CTW17" s="7153"/>
      <c r="CTX17" s="7153"/>
      <c r="CTY17" s="7157"/>
      <c r="CTZ17" s="7157"/>
      <c r="CUA17" s="7157"/>
      <c r="CUB17" s="7157"/>
      <c r="CUC17" s="7157"/>
      <c r="CUD17" s="7157"/>
      <c r="CUE17" s="7158"/>
      <c r="CUF17" s="7158"/>
      <c r="CUG17" s="7158"/>
      <c r="CUH17" s="7158"/>
      <c r="CUI17" s="7158"/>
      <c r="CUJ17" s="7159"/>
      <c r="CUK17" s="7152" t="s">
        <v>175</v>
      </c>
      <c r="CUL17" s="7153"/>
      <c r="CUM17" s="7153"/>
      <c r="CUN17" s="7153"/>
      <c r="CUO17" s="7157"/>
      <c r="CUP17" s="7157"/>
      <c r="CUQ17" s="7157"/>
      <c r="CUR17" s="7157"/>
      <c r="CUS17" s="7157"/>
      <c r="CUT17" s="7157"/>
      <c r="CUU17" s="7158"/>
      <c r="CUV17" s="7158"/>
      <c r="CUW17" s="7158"/>
      <c r="CUX17" s="7158"/>
      <c r="CUY17" s="7158"/>
      <c r="CUZ17" s="7159"/>
      <c r="CVA17" s="7152" t="s">
        <v>175</v>
      </c>
      <c r="CVB17" s="7153"/>
      <c r="CVC17" s="7153"/>
      <c r="CVD17" s="7153"/>
      <c r="CVE17" s="7157"/>
      <c r="CVF17" s="7157"/>
      <c r="CVG17" s="7157"/>
      <c r="CVH17" s="7157"/>
      <c r="CVI17" s="7157"/>
      <c r="CVJ17" s="7157"/>
      <c r="CVK17" s="7158"/>
      <c r="CVL17" s="7158"/>
      <c r="CVM17" s="7158"/>
      <c r="CVN17" s="7158"/>
      <c r="CVO17" s="7158"/>
      <c r="CVP17" s="7159"/>
      <c r="CVQ17" s="7152" t="s">
        <v>175</v>
      </c>
      <c r="CVR17" s="7153"/>
      <c r="CVS17" s="7153"/>
      <c r="CVT17" s="7153"/>
      <c r="CVU17" s="7157"/>
      <c r="CVV17" s="7157"/>
      <c r="CVW17" s="7157"/>
      <c r="CVX17" s="7157"/>
      <c r="CVY17" s="7157"/>
      <c r="CVZ17" s="7157"/>
      <c r="CWA17" s="7158"/>
      <c r="CWB17" s="7158"/>
      <c r="CWC17" s="7158"/>
      <c r="CWD17" s="7158"/>
      <c r="CWE17" s="7158"/>
      <c r="CWF17" s="7159"/>
      <c r="CWG17" s="7152" t="s">
        <v>175</v>
      </c>
      <c r="CWH17" s="7153"/>
      <c r="CWI17" s="7153"/>
      <c r="CWJ17" s="7153"/>
      <c r="CWK17" s="7157"/>
      <c r="CWL17" s="7157"/>
      <c r="CWM17" s="7157"/>
      <c r="CWN17" s="7157"/>
      <c r="CWO17" s="7157"/>
      <c r="CWP17" s="7157"/>
      <c r="CWQ17" s="7158"/>
      <c r="CWR17" s="7158"/>
      <c r="CWS17" s="7158"/>
      <c r="CWT17" s="7158"/>
      <c r="CWU17" s="7158"/>
      <c r="CWV17" s="7159"/>
      <c r="CWW17" s="7152" t="s">
        <v>175</v>
      </c>
      <c r="CWX17" s="7153"/>
      <c r="CWY17" s="7153"/>
      <c r="CWZ17" s="7153"/>
      <c r="CXA17" s="7157"/>
      <c r="CXB17" s="7157"/>
      <c r="CXC17" s="7157"/>
      <c r="CXD17" s="7157"/>
      <c r="CXE17" s="7157"/>
      <c r="CXF17" s="7157"/>
      <c r="CXG17" s="7158"/>
      <c r="CXH17" s="7158"/>
      <c r="CXI17" s="7158"/>
      <c r="CXJ17" s="7158"/>
      <c r="CXK17" s="7158"/>
      <c r="CXL17" s="7159"/>
      <c r="CXM17" s="7152" t="s">
        <v>175</v>
      </c>
      <c r="CXN17" s="7153"/>
      <c r="CXO17" s="7153"/>
      <c r="CXP17" s="7153"/>
      <c r="CXQ17" s="7157"/>
      <c r="CXR17" s="7157"/>
      <c r="CXS17" s="7157"/>
      <c r="CXT17" s="7157"/>
      <c r="CXU17" s="7157"/>
      <c r="CXV17" s="7157"/>
      <c r="CXW17" s="7158"/>
      <c r="CXX17" s="7158"/>
      <c r="CXY17" s="7158"/>
      <c r="CXZ17" s="7158"/>
      <c r="CYA17" s="7158"/>
      <c r="CYB17" s="7159"/>
      <c r="CYC17" s="7152" t="s">
        <v>175</v>
      </c>
      <c r="CYD17" s="7153"/>
      <c r="CYE17" s="7153"/>
      <c r="CYF17" s="7153"/>
      <c r="CYG17" s="7157"/>
      <c r="CYH17" s="7157"/>
      <c r="CYI17" s="7157"/>
      <c r="CYJ17" s="7157"/>
      <c r="CYK17" s="7157"/>
      <c r="CYL17" s="7157"/>
      <c r="CYM17" s="7158"/>
      <c r="CYN17" s="7158"/>
      <c r="CYO17" s="7158"/>
      <c r="CYP17" s="7158"/>
      <c r="CYQ17" s="7158"/>
      <c r="CYR17" s="7159"/>
      <c r="CYS17" s="7152" t="s">
        <v>175</v>
      </c>
      <c r="CYT17" s="7153"/>
      <c r="CYU17" s="7153"/>
      <c r="CYV17" s="7153"/>
      <c r="CYW17" s="7157"/>
      <c r="CYX17" s="7157"/>
      <c r="CYY17" s="7157"/>
      <c r="CYZ17" s="7157"/>
      <c r="CZA17" s="7157"/>
      <c r="CZB17" s="7157"/>
      <c r="CZC17" s="7158"/>
      <c r="CZD17" s="7158"/>
      <c r="CZE17" s="7158"/>
      <c r="CZF17" s="7158"/>
      <c r="CZG17" s="7158"/>
      <c r="CZH17" s="7159"/>
      <c r="CZI17" s="7152" t="s">
        <v>175</v>
      </c>
      <c r="CZJ17" s="7153"/>
      <c r="CZK17" s="7153"/>
      <c r="CZL17" s="7153"/>
      <c r="CZM17" s="7157"/>
      <c r="CZN17" s="7157"/>
      <c r="CZO17" s="7157"/>
      <c r="CZP17" s="7157"/>
      <c r="CZQ17" s="7157"/>
      <c r="CZR17" s="7157"/>
      <c r="CZS17" s="7158"/>
      <c r="CZT17" s="7158"/>
      <c r="CZU17" s="7158"/>
      <c r="CZV17" s="7158"/>
      <c r="CZW17" s="7158"/>
      <c r="CZX17" s="7159"/>
      <c r="CZY17" s="7152" t="s">
        <v>175</v>
      </c>
      <c r="CZZ17" s="7153"/>
      <c r="DAA17" s="7153"/>
      <c r="DAB17" s="7153"/>
      <c r="DAC17" s="7157"/>
      <c r="DAD17" s="7157"/>
      <c r="DAE17" s="7157"/>
      <c r="DAF17" s="7157"/>
      <c r="DAG17" s="7157"/>
      <c r="DAH17" s="7157"/>
      <c r="DAI17" s="7158"/>
      <c r="DAJ17" s="7158"/>
      <c r="DAK17" s="7158"/>
      <c r="DAL17" s="7158"/>
      <c r="DAM17" s="7158"/>
      <c r="DAN17" s="7159"/>
      <c r="DAO17" s="7152" t="s">
        <v>175</v>
      </c>
      <c r="DAP17" s="7153"/>
      <c r="DAQ17" s="7153"/>
      <c r="DAR17" s="7153"/>
      <c r="DAS17" s="7157"/>
      <c r="DAT17" s="7157"/>
      <c r="DAU17" s="7157"/>
      <c r="DAV17" s="7157"/>
      <c r="DAW17" s="7157"/>
      <c r="DAX17" s="7157"/>
      <c r="DAY17" s="7158"/>
      <c r="DAZ17" s="7158"/>
      <c r="DBA17" s="7158"/>
      <c r="DBB17" s="7158"/>
      <c r="DBC17" s="7158"/>
      <c r="DBD17" s="7159"/>
      <c r="DBE17" s="7152" t="s">
        <v>175</v>
      </c>
      <c r="DBF17" s="7153"/>
      <c r="DBG17" s="7153"/>
      <c r="DBH17" s="7153"/>
      <c r="DBI17" s="7157"/>
      <c r="DBJ17" s="7157"/>
      <c r="DBK17" s="7157"/>
      <c r="DBL17" s="7157"/>
      <c r="DBM17" s="7157"/>
      <c r="DBN17" s="7157"/>
      <c r="DBO17" s="7158"/>
      <c r="DBP17" s="7158"/>
      <c r="DBQ17" s="7158"/>
      <c r="DBR17" s="7158"/>
      <c r="DBS17" s="7158"/>
      <c r="DBT17" s="7159"/>
      <c r="DBU17" s="7152" t="s">
        <v>175</v>
      </c>
      <c r="DBV17" s="7153"/>
      <c r="DBW17" s="7153"/>
      <c r="DBX17" s="7153"/>
      <c r="DBY17" s="7157"/>
      <c r="DBZ17" s="7157"/>
      <c r="DCA17" s="7157"/>
      <c r="DCB17" s="7157"/>
      <c r="DCC17" s="7157"/>
      <c r="DCD17" s="7157"/>
      <c r="DCE17" s="7158"/>
      <c r="DCF17" s="7158"/>
      <c r="DCG17" s="7158"/>
      <c r="DCH17" s="7158"/>
      <c r="DCI17" s="7158"/>
      <c r="DCJ17" s="7159"/>
      <c r="DCK17" s="7152" t="s">
        <v>175</v>
      </c>
      <c r="DCL17" s="7153"/>
      <c r="DCM17" s="7153"/>
      <c r="DCN17" s="7153"/>
      <c r="DCO17" s="7157"/>
      <c r="DCP17" s="7157"/>
      <c r="DCQ17" s="7157"/>
      <c r="DCR17" s="7157"/>
      <c r="DCS17" s="7157"/>
      <c r="DCT17" s="7157"/>
      <c r="DCU17" s="7158"/>
      <c r="DCV17" s="7158"/>
      <c r="DCW17" s="7158"/>
      <c r="DCX17" s="7158"/>
      <c r="DCY17" s="7158"/>
      <c r="DCZ17" s="7159"/>
      <c r="DDA17" s="7152" t="s">
        <v>175</v>
      </c>
      <c r="DDB17" s="7153"/>
      <c r="DDC17" s="7153"/>
      <c r="DDD17" s="7153"/>
      <c r="DDE17" s="7157"/>
      <c r="DDF17" s="7157"/>
      <c r="DDG17" s="7157"/>
      <c r="DDH17" s="7157"/>
      <c r="DDI17" s="7157"/>
      <c r="DDJ17" s="7157"/>
      <c r="DDK17" s="7158"/>
      <c r="DDL17" s="7158"/>
      <c r="DDM17" s="7158"/>
      <c r="DDN17" s="7158"/>
      <c r="DDO17" s="7158"/>
      <c r="DDP17" s="7159"/>
      <c r="DDQ17" s="7152" t="s">
        <v>175</v>
      </c>
      <c r="DDR17" s="7153"/>
      <c r="DDS17" s="7153"/>
      <c r="DDT17" s="7153"/>
      <c r="DDU17" s="7157"/>
      <c r="DDV17" s="7157"/>
      <c r="DDW17" s="7157"/>
      <c r="DDX17" s="7157"/>
      <c r="DDY17" s="7157"/>
      <c r="DDZ17" s="7157"/>
      <c r="DEA17" s="7158"/>
      <c r="DEB17" s="7158"/>
      <c r="DEC17" s="7158"/>
      <c r="DED17" s="7158"/>
      <c r="DEE17" s="7158"/>
      <c r="DEF17" s="7159"/>
      <c r="DEG17" s="7152" t="s">
        <v>175</v>
      </c>
      <c r="DEH17" s="7153"/>
      <c r="DEI17" s="7153"/>
      <c r="DEJ17" s="7153"/>
      <c r="DEK17" s="7157"/>
      <c r="DEL17" s="7157"/>
      <c r="DEM17" s="7157"/>
      <c r="DEN17" s="7157"/>
      <c r="DEO17" s="7157"/>
      <c r="DEP17" s="7157"/>
      <c r="DEQ17" s="7158"/>
      <c r="DER17" s="7158"/>
      <c r="DES17" s="7158"/>
      <c r="DET17" s="7158"/>
      <c r="DEU17" s="7158"/>
      <c r="DEV17" s="7159"/>
      <c r="DEW17" s="7152" t="s">
        <v>175</v>
      </c>
      <c r="DEX17" s="7153"/>
      <c r="DEY17" s="7153"/>
      <c r="DEZ17" s="7153"/>
      <c r="DFA17" s="7157"/>
      <c r="DFB17" s="7157"/>
      <c r="DFC17" s="7157"/>
      <c r="DFD17" s="7157"/>
      <c r="DFE17" s="7157"/>
      <c r="DFF17" s="7157"/>
      <c r="DFG17" s="7158"/>
      <c r="DFH17" s="7158"/>
      <c r="DFI17" s="7158"/>
      <c r="DFJ17" s="7158"/>
      <c r="DFK17" s="7158"/>
      <c r="DFL17" s="7159"/>
      <c r="DFM17" s="7152" t="s">
        <v>175</v>
      </c>
      <c r="DFN17" s="7153"/>
      <c r="DFO17" s="7153"/>
      <c r="DFP17" s="7153"/>
      <c r="DFQ17" s="7157"/>
      <c r="DFR17" s="7157"/>
      <c r="DFS17" s="7157"/>
      <c r="DFT17" s="7157"/>
      <c r="DFU17" s="7157"/>
      <c r="DFV17" s="7157"/>
      <c r="DFW17" s="7158"/>
      <c r="DFX17" s="7158"/>
      <c r="DFY17" s="7158"/>
      <c r="DFZ17" s="7158"/>
      <c r="DGA17" s="7158"/>
      <c r="DGB17" s="7159"/>
      <c r="DGC17" s="7152" t="s">
        <v>175</v>
      </c>
      <c r="DGD17" s="7153"/>
      <c r="DGE17" s="7153"/>
      <c r="DGF17" s="7153"/>
      <c r="DGG17" s="7157"/>
      <c r="DGH17" s="7157"/>
      <c r="DGI17" s="7157"/>
      <c r="DGJ17" s="7157"/>
      <c r="DGK17" s="7157"/>
      <c r="DGL17" s="7157"/>
      <c r="DGM17" s="7158"/>
      <c r="DGN17" s="7158"/>
      <c r="DGO17" s="7158"/>
      <c r="DGP17" s="7158"/>
      <c r="DGQ17" s="7158"/>
      <c r="DGR17" s="7159"/>
      <c r="DGS17" s="7152" t="s">
        <v>175</v>
      </c>
      <c r="DGT17" s="7153"/>
      <c r="DGU17" s="7153"/>
      <c r="DGV17" s="7153"/>
      <c r="DGW17" s="7157"/>
      <c r="DGX17" s="7157"/>
      <c r="DGY17" s="7157"/>
      <c r="DGZ17" s="7157"/>
      <c r="DHA17" s="7157"/>
      <c r="DHB17" s="7157"/>
      <c r="DHC17" s="7158"/>
      <c r="DHD17" s="7158"/>
      <c r="DHE17" s="7158"/>
      <c r="DHF17" s="7158"/>
      <c r="DHG17" s="7158"/>
      <c r="DHH17" s="7159"/>
      <c r="DHI17" s="7152" t="s">
        <v>175</v>
      </c>
      <c r="DHJ17" s="7153"/>
      <c r="DHK17" s="7153"/>
      <c r="DHL17" s="7153"/>
      <c r="DHM17" s="7157"/>
      <c r="DHN17" s="7157"/>
      <c r="DHO17" s="7157"/>
      <c r="DHP17" s="7157"/>
      <c r="DHQ17" s="7157"/>
      <c r="DHR17" s="7157"/>
      <c r="DHS17" s="7158"/>
      <c r="DHT17" s="7158"/>
      <c r="DHU17" s="7158"/>
      <c r="DHV17" s="7158"/>
      <c r="DHW17" s="7158"/>
      <c r="DHX17" s="7159"/>
      <c r="DHY17" s="7152" t="s">
        <v>175</v>
      </c>
      <c r="DHZ17" s="7153"/>
      <c r="DIA17" s="7153"/>
      <c r="DIB17" s="7153"/>
      <c r="DIC17" s="7157"/>
      <c r="DID17" s="7157"/>
      <c r="DIE17" s="7157"/>
      <c r="DIF17" s="7157"/>
      <c r="DIG17" s="7157"/>
      <c r="DIH17" s="7157"/>
      <c r="DII17" s="7158"/>
      <c r="DIJ17" s="7158"/>
      <c r="DIK17" s="7158"/>
      <c r="DIL17" s="7158"/>
      <c r="DIM17" s="7158"/>
      <c r="DIN17" s="7159"/>
      <c r="DIO17" s="7152" t="s">
        <v>175</v>
      </c>
      <c r="DIP17" s="7153"/>
      <c r="DIQ17" s="7153"/>
      <c r="DIR17" s="7153"/>
      <c r="DIS17" s="7157"/>
      <c r="DIT17" s="7157"/>
      <c r="DIU17" s="7157"/>
      <c r="DIV17" s="7157"/>
      <c r="DIW17" s="7157"/>
      <c r="DIX17" s="7157"/>
      <c r="DIY17" s="7158"/>
      <c r="DIZ17" s="7158"/>
      <c r="DJA17" s="7158"/>
      <c r="DJB17" s="7158"/>
      <c r="DJC17" s="7158"/>
      <c r="DJD17" s="7159"/>
      <c r="DJE17" s="7152" t="s">
        <v>175</v>
      </c>
      <c r="DJF17" s="7153"/>
      <c r="DJG17" s="7153"/>
      <c r="DJH17" s="7153"/>
      <c r="DJI17" s="7157"/>
      <c r="DJJ17" s="7157"/>
      <c r="DJK17" s="7157"/>
      <c r="DJL17" s="7157"/>
      <c r="DJM17" s="7157"/>
      <c r="DJN17" s="7157"/>
      <c r="DJO17" s="7158"/>
      <c r="DJP17" s="7158"/>
      <c r="DJQ17" s="7158"/>
      <c r="DJR17" s="7158"/>
      <c r="DJS17" s="7158"/>
      <c r="DJT17" s="7159"/>
      <c r="DJU17" s="7152" t="s">
        <v>175</v>
      </c>
      <c r="DJV17" s="7153"/>
      <c r="DJW17" s="7153"/>
      <c r="DJX17" s="7153"/>
      <c r="DJY17" s="7157"/>
      <c r="DJZ17" s="7157"/>
      <c r="DKA17" s="7157"/>
      <c r="DKB17" s="7157"/>
      <c r="DKC17" s="7157"/>
      <c r="DKD17" s="7157"/>
      <c r="DKE17" s="7158"/>
      <c r="DKF17" s="7158"/>
      <c r="DKG17" s="7158"/>
      <c r="DKH17" s="7158"/>
      <c r="DKI17" s="7158"/>
      <c r="DKJ17" s="7159"/>
      <c r="DKK17" s="7152" t="s">
        <v>175</v>
      </c>
      <c r="DKL17" s="7153"/>
      <c r="DKM17" s="7153"/>
      <c r="DKN17" s="7153"/>
      <c r="DKO17" s="7157"/>
      <c r="DKP17" s="7157"/>
      <c r="DKQ17" s="7157"/>
      <c r="DKR17" s="7157"/>
      <c r="DKS17" s="7157"/>
      <c r="DKT17" s="7157"/>
      <c r="DKU17" s="7158"/>
      <c r="DKV17" s="7158"/>
      <c r="DKW17" s="7158"/>
      <c r="DKX17" s="7158"/>
      <c r="DKY17" s="7158"/>
      <c r="DKZ17" s="7159"/>
      <c r="DLA17" s="7152" t="s">
        <v>175</v>
      </c>
      <c r="DLB17" s="7153"/>
      <c r="DLC17" s="7153"/>
      <c r="DLD17" s="7153"/>
      <c r="DLE17" s="7157"/>
      <c r="DLF17" s="7157"/>
      <c r="DLG17" s="7157"/>
      <c r="DLH17" s="7157"/>
      <c r="DLI17" s="7157"/>
      <c r="DLJ17" s="7157"/>
      <c r="DLK17" s="7158"/>
      <c r="DLL17" s="7158"/>
      <c r="DLM17" s="7158"/>
      <c r="DLN17" s="7158"/>
      <c r="DLO17" s="7158"/>
      <c r="DLP17" s="7159"/>
      <c r="DLQ17" s="7152" t="s">
        <v>175</v>
      </c>
      <c r="DLR17" s="7153"/>
      <c r="DLS17" s="7153"/>
      <c r="DLT17" s="7153"/>
      <c r="DLU17" s="7157"/>
      <c r="DLV17" s="7157"/>
      <c r="DLW17" s="7157"/>
      <c r="DLX17" s="7157"/>
      <c r="DLY17" s="7157"/>
      <c r="DLZ17" s="7157"/>
      <c r="DMA17" s="7158"/>
      <c r="DMB17" s="7158"/>
      <c r="DMC17" s="7158"/>
      <c r="DMD17" s="7158"/>
      <c r="DME17" s="7158"/>
      <c r="DMF17" s="7159"/>
      <c r="DMG17" s="7152" t="s">
        <v>175</v>
      </c>
      <c r="DMH17" s="7153"/>
      <c r="DMI17" s="7153"/>
      <c r="DMJ17" s="7153"/>
      <c r="DMK17" s="7157"/>
      <c r="DML17" s="7157"/>
      <c r="DMM17" s="7157"/>
      <c r="DMN17" s="7157"/>
      <c r="DMO17" s="7157"/>
      <c r="DMP17" s="7157"/>
      <c r="DMQ17" s="7158"/>
      <c r="DMR17" s="7158"/>
      <c r="DMS17" s="7158"/>
      <c r="DMT17" s="7158"/>
      <c r="DMU17" s="7158"/>
      <c r="DMV17" s="7159"/>
      <c r="DMW17" s="7152" t="s">
        <v>175</v>
      </c>
      <c r="DMX17" s="7153"/>
      <c r="DMY17" s="7153"/>
      <c r="DMZ17" s="7153"/>
      <c r="DNA17" s="7157"/>
      <c r="DNB17" s="7157"/>
      <c r="DNC17" s="7157"/>
      <c r="DND17" s="7157"/>
      <c r="DNE17" s="7157"/>
      <c r="DNF17" s="7157"/>
      <c r="DNG17" s="7158"/>
      <c r="DNH17" s="7158"/>
      <c r="DNI17" s="7158"/>
      <c r="DNJ17" s="7158"/>
      <c r="DNK17" s="7158"/>
      <c r="DNL17" s="7159"/>
      <c r="DNM17" s="7152" t="s">
        <v>175</v>
      </c>
      <c r="DNN17" s="7153"/>
      <c r="DNO17" s="7153"/>
      <c r="DNP17" s="7153"/>
      <c r="DNQ17" s="7157"/>
      <c r="DNR17" s="7157"/>
      <c r="DNS17" s="7157"/>
      <c r="DNT17" s="7157"/>
      <c r="DNU17" s="7157"/>
      <c r="DNV17" s="7157"/>
      <c r="DNW17" s="7158"/>
      <c r="DNX17" s="7158"/>
      <c r="DNY17" s="7158"/>
      <c r="DNZ17" s="7158"/>
      <c r="DOA17" s="7158"/>
      <c r="DOB17" s="7159"/>
      <c r="DOC17" s="7152" t="s">
        <v>175</v>
      </c>
      <c r="DOD17" s="7153"/>
      <c r="DOE17" s="7153"/>
      <c r="DOF17" s="7153"/>
      <c r="DOG17" s="7157"/>
      <c r="DOH17" s="7157"/>
      <c r="DOI17" s="7157"/>
      <c r="DOJ17" s="7157"/>
      <c r="DOK17" s="7157"/>
      <c r="DOL17" s="7157"/>
      <c r="DOM17" s="7158"/>
      <c r="DON17" s="7158"/>
      <c r="DOO17" s="7158"/>
      <c r="DOP17" s="7158"/>
      <c r="DOQ17" s="7158"/>
      <c r="DOR17" s="7159"/>
      <c r="DOS17" s="7152" t="s">
        <v>175</v>
      </c>
      <c r="DOT17" s="7153"/>
      <c r="DOU17" s="7153"/>
      <c r="DOV17" s="7153"/>
      <c r="DOW17" s="7157"/>
      <c r="DOX17" s="7157"/>
      <c r="DOY17" s="7157"/>
      <c r="DOZ17" s="7157"/>
      <c r="DPA17" s="7157"/>
      <c r="DPB17" s="7157"/>
      <c r="DPC17" s="7158"/>
      <c r="DPD17" s="7158"/>
      <c r="DPE17" s="7158"/>
      <c r="DPF17" s="7158"/>
      <c r="DPG17" s="7158"/>
      <c r="DPH17" s="7159"/>
      <c r="DPI17" s="7152" t="s">
        <v>175</v>
      </c>
      <c r="DPJ17" s="7153"/>
      <c r="DPK17" s="7153"/>
      <c r="DPL17" s="7153"/>
      <c r="DPM17" s="7157"/>
      <c r="DPN17" s="7157"/>
      <c r="DPO17" s="7157"/>
      <c r="DPP17" s="7157"/>
      <c r="DPQ17" s="7157"/>
      <c r="DPR17" s="7157"/>
      <c r="DPS17" s="7158"/>
      <c r="DPT17" s="7158"/>
      <c r="DPU17" s="7158"/>
      <c r="DPV17" s="7158"/>
      <c r="DPW17" s="7158"/>
      <c r="DPX17" s="7159"/>
      <c r="DPY17" s="7152" t="s">
        <v>175</v>
      </c>
      <c r="DPZ17" s="7153"/>
      <c r="DQA17" s="7153"/>
      <c r="DQB17" s="7153"/>
      <c r="DQC17" s="7157"/>
      <c r="DQD17" s="7157"/>
      <c r="DQE17" s="7157"/>
      <c r="DQF17" s="7157"/>
      <c r="DQG17" s="7157"/>
      <c r="DQH17" s="7157"/>
      <c r="DQI17" s="7158"/>
      <c r="DQJ17" s="7158"/>
      <c r="DQK17" s="7158"/>
      <c r="DQL17" s="7158"/>
      <c r="DQM17" s="7158"/>
      <c r="DQN17" s="7159"/>
      <c r="DQO17" s="7152" t="s">
        <v>175</v>
      </c>
      <c r="DQP17" s="7153"/>
      <c r="DQQ17" s="7153"/>
      <c r="DQR17" s="7153"/>
      <c r="DQS17" s="7157"/>
      <c r="DQT17" s="7157"/>
      <c r="DQU17" s="7157"/>
      <c r="DQV17" s="7157"/>
      <c r="DQW17" s="7157"/>
      <c r="DQX17" s="7157"/>
      <c r="DQY17" s="7158"/>
      <c r="DQZ17" s="7158"/>
      <c r="DRA17" s="7158"/>
      <c r="DRB17" s="7158"/>
      <c r="DRC17" s="7158"/>
      <c r="DRD17" s="7159"/>
      <c r="DRE17" s="7152" t="s">
        <v>175</v>
      </c>
      <c r="DRF17" s="7153"/>
      <c r="DRG17" s="7153"/>
      <c r="DRH17" s="7153"/>
      <c r="DRI17" s="7157"/>
      <c r="DRJ17" s="7157"/>
      <c r="DRK17" s="7157"/>
      <c r="DRL17" s="7157"/>
      <c r="DRM17" s="7157"/>
      <c r="DRN17" s="7157"/>
      <c r="DRO17" s="7158"/>
      <c r="DRP17" s="7158"/>
      <c r="DRQ17" s="7158"/>
      <c r="DRR17" s="7158"/>
      <c r="DRS17" s="7158"/>
      <c r="DRT17" s="7159"/>
      <c r="DRU17" s="7152" t="s">
        <v>175</v>
      </c>
      <c r="DRV17" s="7153"/>
      <c r="DRW17" s="7153"/>
      <c r="DRX17" s="7153"/>
      <c r="DRY17" s="7157"/>
      <c r="DRZ17" s="7157"/>
      <c r="DSA17" s="7157"/>
      <c r="DSB17" s="7157"/>
      <c r="DSC17" s="7157"/>
      <c r="DSD17" s="7157"/>
      <c r="DSE17" s="7158"/>
      <c r="DSF17" s="7158"/>
      <c r="DSG17" s="7158"/>
      <c r="DSH17" s="7158"/>
      <c r="DSI17" s="7158"/>
      <c r="DSJ17" s="7159"/>
      <c r="DSK17" s="7152" t="s">
        <v>175</v>
      </c>
      <c r="DSL17" s="7153"/>
      <c r="DSM17" s="7153"/>
      <c r="DSN17" s="7153"/>
      <c r="DSO17" s="7157"/>
      <c r="DSP17" s="7157"/>
      <c r="DSQ17" s="7157"/>
      <c r="DSR17" s="7157"/>
      <c r="DSS17" s="7157"/>
      <c r="DST17" s="7157"/>
      <c r="DSU17" s="7158"/>
      <c r="DSV17" s="7158"/>
      <c r="DSW17" s="7158"/>
      <c r="DSX17" s="7158"/>
      <c r="DSY17" s="7158"/>
      <c r="DSZ17" s="7159"/>
      <c r="DTA17" s="7152" t="s">
        <v>175</v>
      </c>
      <c r="DTB17" s="7153"/>
      <c r="DTC17" s="7153"/>
      <c r="DTD17" s="7153"/>
      <c r="DTE17" s="7157"/>
      <c r="DTF17" s="7157"/>
      <c r="DTG17" s="7157"/>
      <c r="DTH17" s="7157"/>
      <c r="DTI17" s="7157"/>
      <c r="DTJ17" s="7157"/>
      <c r="DTK17" s="7158"/>
      <c r="DTL17" s="7158"/>
      <c r="DTM17" s="7158"/>
      <c r="DTN17" s="7158"/>
      <c r="DTO17" s="7158"/>
      <c r="DTP17" s="7159"/>
      <c r="DTQ17" s="7152" t="s">
        <v>175</v>
      </c>
      <c r="DTR17" s="7153"/>
      <c r="DTS17" s="7153"/>
      <c r="DTT17" s="7153"/>
      <c r="DTU17" s="7157"/>
      <c r="DTV17" s="7157"/>
      <c r="DTW17" s="7157"/>
      <c r="DTX17" s="7157"/>
      <c r="DTY17" s="7157"/>
      <c r="DTZ17" s="7157"/>
      <c r="DUA17" s="7158"/>
      <c r="DUB17" s="7158"/>
      <c r="DUC17" s="7158"/>
      <c r="DUD17" s="7158"/>
      <c r="DUE17" s="7158"/>
      <c r="DUF17" s="7159"/>
      <c r="DUG17" s="7152" t="s">
        <v>175</v>
      </c>
      <c r="DUH17" s="7153"/>
      <c r="DUI17" s="7153"/>
      <c r="DUJ17" s="7153"/>
      <c r="DUK17" s="7157"/>
      <c r="DUL17" s="7157"/>
      <c r="DUM17" s="7157"/>
      <c r="DUN17" s="7157"/>
      <c r="DUO17" s="7157"/>
      <c r="DUP17" s="7157"/>
      <c r="DUQ17" s="7158"/>
      <c r="DUR17" s="7158"/>
      <c r="DUS17" s="7158"/>
      <c r="DUT17" s="7158"/>
      <c r="DUU17" s="7158"/>
      <c r="DUV17" s="7159"/>
      <c r="DUW17" s="7152" t="s">
        <v>175</v>
      </c>
      <c r="DUX17" s="7153"/>
      <c r="DUY17" s="7153"/>
      <c r="DUZ17" s="7153"/>
      <c r="DVA17" s="7157"/>
      <c r="DVB17" s="7157"/>
      <c r="DVC17" s="7157"/>
      <c r="DVD17" s="7157"/>
      <c r="DVE17" s="7157"/>
      <c r="DVF17" s="7157"/>
      <c r="DVG17" s="7158"/>
      <c r="DVH17" s="7158"/>
      <c r="DVI17" s="7158"/>
      <c r="DVJ17" s="7158"/>
      <c r="DVK17" s="7158"/>
      <c r="DVL17" s="7159"/>
      <c r="DVM17" s="7152" t="s">
        <v>175</v>
      </c>
      <c r="DVN17" s="7153"/>
      <c r="DVO17" s="7153"/>
      <c r="DVP17" s="7153"/>
      <c r="DVQ17" s="7157"/>
      <c r="DVR17" s="7157"/>
      <c r="DVS17" s="7157"/>
      <c r="DVT17" s="7157"/>
      <c r="DVU17" s="7157"/>
      <c r="DVV17" s="7157"/>
      <c r="DVW17" s="7158"/>
      <c r="DVX17" s="7158"/>
      <c r="DVY17" s="7158"/>
      <c r="DVZ17" s="7158"/>
      <c r="DWA17" s="7158"/>
      <c r="DWB17" s="7159"/>
      <c r="DWC17" s="7152" t="s">
        <v>175</v>
      </c>
      <c r="DWD17" s="7153"/>
      <c r="DWE17" s="7153"/>
      <c r="DWF17" s="7153"/>
      <c r="DWG17" s="7157"/>
      <c r="DWH17" s="7157"/>
      <c r="DWI17" s="7157"/>
      <c r="DWJ17" s="7157"/>
      <c r="DWK17" s="7157"/>
      <c r="DWL17" s="7157"/>
      <c r="DWM17" s="7158"/>
      <c r="DWN17" s="7158"/>
      <c r="DWO17" s="7158"/>
      <c r="DWP17" s="7158"/>
      <c r="DWQ17" s="7158"/>
      <c r="DWR17" s="7159"/>
      <c r="DWS17" s="7152" t="s">
        <v>175</v>
      </c>
      <c r="DWT17" s="7153"/>
      <c r="DWU17" s="7153"/>
      <c r="DWV17" s="7153"/>
      <c r="DWW17" s="7157"/>
      <c r="DWX17" s="7157"/>
      <c r="DWY17" s="7157"/>
      <c r="DWZ17" s="7157"/>
      <c r="DXA17" s="7157"/>
      <c r="DXB17" s="7157"/>
      <c r="DXC17" s="7158"/>
      <c r="DXD17" s="7158"/>
      <c r="DXE17" s="7158"/>
      <c r="DXF17" s="7158"/>
      <c r="DXG17" s="7158"/>
      <c r="DXH17" s="7159"/>
      <c r="DXI17" s="7152" t="s">
        <v>175</v>
      </c>
      <c r="DXJ17" s="7153"/>
      <c r="DXK17" s="7153"/>
      <c r="DXL17" s="7153"/>
      <c r="DXM17" s="7157"/>
      <c r="DXN17" s="7157"/>
      <c r="DXO17" s="7157"/>
      <c r="DXP17" s="7157"/>
      <c r="DXQ17" s="7157"/>
      <c r="DXR17" s="7157"/>
      <c r="DXS17" s="7158"/>
      <c r="DXT17" s="7158"/>
      <c r="DXU17" s="7158"/>
      <c r="DXV17" s="7158"/>
      <c r="DXW17" s="7158"/>
      <c r="DXX17" s="7159"/>
      <c r="DXY17" s="7152" t="s">
        <v>175</v>
      </c>
      <c r="DXZ17" s="7153"/>
      <c r="DYA17" s="7153"/>
      <c r="DYB17" s="7153"/>
      <c r="DYC17" s="7157"/>
      <c r="DYD17" s="7157"/>
      <c r="DYE17" s="7157"/>
      <c r="DYF17" s="7157"/>
      <c r="DYG17" s="7157"/>
      <c r="DYH17" s="7157"/>
      <c r="DYI17" s="7158"/>
      <c r="DYJ17" s="7158"/>
      <c r="DYK17" s="7158"/>
      <c r="DYL17" s="7158"/>
      <c r="DYM17" s="7158"/>
      <c r="DYN17" s="7159"/>
      <c r="DYO17" s="7152" t="s">
        <v>175</v>
      </c>
      <c r="DYP17" s="7153"/>
      <c r="DYQ17" s="7153"/>
      <c r="DYR17" s="7153"/>
      <c r="DYS17" s="7157"/>
      <c r="DYT17" s="7157"/>
      <c r="DYU17" s="7157"/>
      <c r="DYV17" s="7157"/>
      <c r="DYW17" s="7157"/>
      <c r="DYX17" s="7157"/>
      <c r="DYY17" s="7158"/>
      <c r="DYZ17" s="7158"/>
      <c r="DZA17" s="7158"/>
      <c r="DZB17" s="7158"/>
      <c r="DZC17" s="7158"/>
      <c r="DZD17" s="7159"/>
      <c r="DZE17" s="7152" t="s">
        <v>175</v>
      </c>
      <c r="DZF17" s="7153"/>
      <c r="DZG17" s="7153"/>
      <c r="DZH17" s="7153"/>
      <c r="DZI17" s="7157"/>
      <c r="DZJ17" s="7157"/>
      <c r="DZK17" s="7157"/>
      <c r="DZL17" s="7157"/>
      <c r="DZM17" s="7157"/>
      <c r="DZN17" s="7157"/>
      <c r="DZO17" s="7158"/>
      <c r="DZP17" s="7158"/>
      <c r="DZQ17" s="7158"/>
      <c r="DZR17" s="7158"/>
      <c r="DZS17" s="7158"/>
      <c r="DZT17" s="7159"/>
      <c r="DZU17" s="7152" t="s">
        <v>175</v>
      </c>
      <c r="DZV17" s="7153"/>
      <c r="DZW17" s="7153"/>
      <c r="DZX17" s="7153"/>
      <c r="DZY17" s="7157"/>
      <c r="DZZ17" s="7157"/>
      <c r="EAA17" s="7157"/>
      <c r="EAB17" s="7157"/>
      <c r="EAC17" s="7157"/>
      <c r="EAD17" s="7157"/>
      <c r="EAE17" s="7158"/>
      <c r="EAF17" s="7158"/>
      <c r="EAG17" s="7158"/>
      <c r="EAH17" s="7158"/>
      <c r="EAI17" s="7158"/>
      <c r="EAJ17" s="7159"/>
      <c r="EAK17" s="7152" t="s">
        <v>175</v>
      </c>
      <c r="EAL17" s="7153"/>
      <c r="EAM17" s="7153"/>
      <c r="EAN17" s="7153"/>
      <c r="EAO17" s="7157"/>
      <c r="EAP17" s="7157"/>
      <c r="EAQ17" s="7157"/>
      <c r="EAR17" s="7157"/>
      <c r="EAS17" s="7157"/>
      <c r="EAT17" s="7157"/>
      <c r="EAU17" s="7158"/>
      <c r="EAV17" s="7158"/>
      <c r="EAW17" s="7158"/>
      <c r="EAX17" s="7158"/>
      <c r="EAY17" s="7158"/>
      <c r="EAZ17" s="7159"/>
      <c r="EBA17" s="7152" t="s">
        <v>175</v>
      </c>
      <c r="EBB17" s="7153"/>
      <c r="EBC17" s="7153"/>
      <c r="EBD17" s="7153"/>
      <c r="EBE17" s="7157"/>
      <c r="EBF17" s="7157"/>
      <c r="EBG17" s="7157"/>
      <c r="EBH17" s="7157"/>
      <c r="EBI17" s="7157"/>
      <c r="EBJ17" s="7157"/>
      <c r="EBK17" s="7158"/>
      <c r="EBL17" s="7158"/>
      <c r="EBM17" s="7158"/>
      <c r="EBN17" s="7158"/>
      <c r="EBO17" s="7158"/>
      <c r="EBP17" s="7159"/>
      <c r="EBQ17" s="7152" t="s">
        <v>175</v>
      </c>
      <c r="EBR17" s="7153"/>
      <c r="EBS17" s="7153"/>
      <c r="EBT17" s="7153"/>
      <c r="EBU17" s="7157"/>
      <c r="EBV17" s="7157"/>
      <c r="EBW17" s="7157"/>
      <c r="EBX17" s="7157"/>
      <c r="EBY17" s="7157"/>
      <c r="EBZ17" s="7157"/>
      <c r="ECA17" s="7158"/>
      <c r="ECB17" s="7158"/>
      <c r="ECC17" s="7158"/>
      <c r="ECD17" s="7158"/>
      <c r="ECE17" s="7158"/>
      <c r="ECF17" s="7159"/>
      <c r="ECG17" s="7152" t="s">
        <v>175</v>
      </c>
      <c r="ECH17" s="7153"/>
      <c r="ECI17" s="7153"/>
      <c r="ECJ17" s="7153"/>
      <c r="ECK17" s="7157"/>
      <c r="ECL17" s="7157"/>
      <c r="ECM17" s="7157"/>
      <c r="ECN17" s="7157"/>
      <c r="ECO17" s="7157"/>
      <c r="ECP17" s="7157"/>
      <c r="ECQ17" s="7158"/>
      <c r="ECR17" s="7158"/>
      <c r="ECS17" s="7158"/>
      <c r="ECT17" s="7158"/>
      <c r="ECU17" s="7158"/>
      <c r="ECV17" s="7159"/>
      <c r="ECW17" s="7152" t="s">
        <v>175</v>
      </c>
      <c r="ECX17" s="7153"/>
      <c r="ECY17" s="7153"/>
      <c r="ECZ17" s="7153"/>
      <c r="EDA17" s="7157"/>
      <c r="EDB17" s="7157"/>
      <c r="EDC17" s="7157"/>
      <c r="EDD17" s="7157"/>
      <c r="EDE17" s="7157"/>
      <c r="EDF17" s="7157"/>
      <c r="EDG17" s="7158"/>
      <c r="EDH17" s="7158"/>
      <c r="EDI17" s="7158"/>
      <c r="EDJ17" s="7158"/>
      <c r="EDK17" s="7158"/>
      <c r="EDL17" s="7159"/>
      <c r="EDM17" s="7152" t="s">
        <v>175</v>
      </c>
      <c r="EDN17" s="7153"/>
      <c r="EDO17" s="7153"/>
      <c r="EDP17" s="7153"/>
      <c r="EDQ17" s="7157"/>
      <c r="EDR17" s="7157"/>
      <c r="EDS17" s="7157"/>
      <c r="EDT17" s="7157"/>
      <c r="EDU17" s="7157"/>
      <c r="EDV17" s="7157"/>
      <c r="EDW17" s="7158"/>
      <c r="EDX17" s="7158"/>
      <c r="EDY17" s="7158"/>
      <c r="EDZ17" s="7158"/>
      <c r="EEA17" s="7158"/>
      <c r="EEB17" s="7159"/>
      <c r="EEC17" s="7152" t="s">
        <v>175</v>
      </c>
      <c r="EED17" s="7153"/>
      <c r="EEE17" s="7153"/>
      <c r="EEF17" s="7153"/>
      <c r="EEG17" s="7157"/>
      <c r="EEH17" s="7157"/>
      <c r="EEI17" s="7157"/>
      <c r="EEJ17" s="7157"/>
      <c r="EEK17" s="7157"/>
      <c r="EEL17" s="7157"/>
      <c r="EEM17" s="7158"/>
      <c r="EEN17" s="7158"/>
      <c r="EEO17" s="7158"/>
      <c r="EEP17" s="7158"/>
      <c r="EEQ17" s="7158"/>
      <c r="EER17" s="7159"/>
      <c r="EES17" s="7152" t="s">
        <v>175</v>
      </c>
      <c r="EET17" s="7153"/>
      <c r="EEU17" s="7153"/>
      <c r="EEV17" s="7153"/>
      <c r="EEW17" s="7157"/>
      <c r="EEX17" s="7157"/>
      <c r="EEY17" s="7157"/>
      <c r="EEZ17" s="7157"/>
      <c r="EFA17" s="7157"/>
      <c r="EFB17" s="7157"/>
      <c r="EFC17" s="7158"/>
      <c r="EFD17" s="7158"/>
      <c r="EFE17" s="7158"/>
      <c r="EFF17" s="7158"/>
      <c r="EFG17" s="7158"/>
      <c r="EFH17" s="7159"/>
      <c r="EFI17" s="7152" t="s">
        <v>175</v>
      </c>
      <c r="EFJ17" s="7153"/>
      <c r="EFK17" s="7153"/>
      <c r="EFL17" s="7153"/>
      <c r="EFM17" s="7157"/>
      <c r="EFN17" s="7157"/>
      <c r="EFO17" s="7157"/>
      <c r="EFP17" s="7157"/>
      <c r="EFQ17" s="7157"/>
      <c r="EFR17" s="7157"/>
      <c r="EFS17" s="7158"/>
      <c r="EFT17" s="7158"/>
      <c r="EFU17" s="7158"/>
      <c r="EFV17" s="7158"/>
      <c r="EFW17" s="7158"/>
      <c r="EFX17" s="7159"/>
      <c r="EFY17" s="7152" t="s">
        <v>175</v>
      </c>
      <c r="EFZ17" s="7153"/>
      <c r="EGA17" s="7153"/>
      <c r="EGB17" s="7153"/>
      <c r="EGC17" s="7157"/>
      <c r="EGD17" s="7157"/>
      <c r="EGE17" s="7157"/>
      <c r="EGF17" s="7157"/>
      <c r="EGG17" s="7157"/>
      <c r="EGH17" s="7157"/>
      <c r="EGI17" s="7158"/>
      <c r="EGJ17" s="7158"/>
      <c r="EGK17" s="7158"/>
      <c r="EGL17" s="7158"/>
      <c r="EGM17" s="7158"/>
      <c r="EGN17" s="7159"/>
      <c r="EGO17" s="7152" t="s">
        <v>175</v>
      </c>
      <c r="EGP17" s="7153"/>
      <c r="EGQ17" s="7153"/>
      <c r="EGR17" s="7153"/>
      <c r="EGS17" s="7157"/>
      <c r="EGT17" s="7157"/>
      <c r="EGU17" s="7157"/>
      <c r="EGV17" s="7157"/>
      <c r="EGW17" s="7157"/>
      <c r="EGX17" s="7157"/>
      <c r="EGY17" s="7158"/>
      <c r="EGZ17" s="7158"/>
      <c r="EHA17" s="7158"/>
      <c r="EHB17" s="7158"/>
      <c r="EHC17" s="7158"/>
      <c r="EHD17" s="7159"/>
      <c r="EHE17" s="7152" t="s">
        <v>175</v>
      </c>
      <c r="EHF17" s="7153"/>
      <c r="EHG17" s="7153"/>
      <c r="EHH17" s="7153"/>
      <c r="EHI17" s="7157"/>
      <c r="EHJ17" s="7157"/>
      <c r="EHK17" s="7157"/>
      <c r="EHL17" s="7157"/>
      <c r="EHM17" s="7157"/>
      <c r="EHN17" s="7157"/>
      <c r="EHO17" s="7158"/>
      <c r="EHP17" s="7158"/>
      <c r="EHQ17" s="7158"/>
      <c r="EHR17" s="7158"/>
      <c r="EHS17" s="7158"/>
      <c r="EHT17" s="7159"/>
      <c r="EHU17" s="7152" t="s">
        <v>175</v>
      </c>
      <c r="EHV17" s="7153"/>
      <c r="EHW17" s="7153"/>
      <c r="EHX17" s="7153"/>
      <c r="EHY17" s="7157"/>
      <c r="EHZ17" s="7157"/>
      <c r="EIA17" s="7157"/>
      <c r="EIB17" s="7157"/>
      <c r="EIC17" s="7157"/>
      <c r="EID17" s="7157"/>
      <c r="EIE17" s="7158"/>
      <c r="EIF17" s="7158"/>
      <c r="EIG17" s="7158"/>
      <c r="EIH17" s="7158"/>
      <c r="EII17" s="7158"/>
      <c r="EIJ17" s="7159"/>
      <c r="EIK17" s="7152" t="s">
        <v>175</v>
      </c>
      <c r="EIL17" s="7153"/>
      <c r="EIM17" s="7153"/>
      <c r="EIN17" s="7153"/>
      <c r="EIO17" s="7157"/>
      <c r="EIP17" s="7157"/>
      <c r="EIQ17" s="7157"/>
      <c r="EIR17" s="7157"/>
      <c r="EIS17" s="7157"/>
      <c r="EIT17" s="7157"/>
      <c r="EIU17" s="7158"/>
      <c r="EIV17" s="7158"/>
      <c r="EIW17" s="7158"/>
      <c r="EIX17" s="7158"/>
      <c r="EIY17" s="7158"/>
      <c r="EIZ17" s="7159"/>
      <c r="EJA17" s="7152" t="s">
        <v>175</v>
      </c>
      <c r="EJB17" s="7153"/>
      <c r="EJC17" s="7153"/>
      <c r="EJD17" s="7153"/>
      <c r="EJE17" s="7157"/>
      <c r="EJF17" s="7157"/>
      <c r="EJG17" s="7157"/>
      <c r="EJH17" s="7157"/>
      <c r="EJI17" s="7157"/>
      <c r="EJJ17" s="7157"/>
      <c r="EJK17" s="7158"/>
      <c r="EJL17" s="7158"/>
      <c r="EJM17" s="7158"/>
      <c r="EJN17" s="7158"/>
      <c r="EJO17" s="7158"/>
      <c r="EJP17" s="7159"/>
      <c r="EJQ17" s="7152" t="s">
        <v>175</v>
      </c>
      <c r="EJR17" s="7153"/>
      <c r="EJS17" s="7153"/>
      <c r="EJT17" s="7153"/>
      <c r="EJU17" s="7157"/>
      <c r="EJV17" s="7157"/>
      <c r="EJW17" s="7157"/>
      <c r="EJX17" s="7157"/>
      <c r="EJY17" s="7157"/>
      <c r="EJZ17" s="7157"/>
      <c r="EKA17" s="7158"/>
      <c r="EKB17" s="7158"/>
      <c r="EKC17" s="7158"/>
      <c r="EKD17" s="7158"/>
      <c r="EKE17" s="7158"/>
      <c r="EKF17" s="7159"/>
      <c r="EKG17" s="7152" t="s">
        <v>175</v>
      </c>
      <c r="EKH17" s="7153"/>
      <c r="EKI17" s="7153"/>
      <c r="EKJ17" s="7153"/>
      <c r="EKK17" s="7157"/>
      <c r="EKL17" s="7157"/>
      <c r="EKM17" s="7157"/>
      <c r="EKN17" s="7157"/>
      <c r="EKO17" s="7157"/>
      <c r="EKP17" s="7157"/>
      <c r="EKQ17" s="7158"/>
      <c r="EKR17" s="7158"/>
      <c r="EKS17" s="7158"/>
      <c r="EKT17" s="7158"/>
      <c r="EKU17" s="7158"/>
      <c r="EKV17" s="7159"/>
      <c r="EKW17" s="7152" t="s">
        <v>175</v>
      </c>
      <c r="EKX17" s="7153"/>
      <c r="EKY17" s="7153"/>
      <c r="EKZ17" s="7153"/>
      <c r="ELA17" s="7157"/>
      <c r="ELB17" s="7157"/>
      <c r="ELC17" s="7157"/>
      <c r="ELD17" s="7157"/>
      <c r="ELE17" s="7157"/>
      <c r="ELF17" s="7157"/>
      <c r="ELG17" s="7158"/>
      <c r="ELH17" s="7158"/>
      <c r="ELI17" s="7158"/>
      <c r="ELJ17" s="7158"/>
      <c r="ELK17" s="7158"/>
      <c r="ELL17" s="7159"/>
      <c r="ELM17" s="7152" t="s">
        <v>175</v>
      </c>
      <c r="ELN17" s="7153"/>
      <c r="ELO17" s="7153"/>
      <c r="ELP17" s="7153"/>
      <c r="ELQ17" s="7157"/>
      <c r="ELR17" s="7157"/>
      <c r="ELS17" s="7157"/>
      <c r="ELT17" s="7157"/>
      <c r="ELU17" s="7157"/>
      <c r="ELV17" s="7157"/>
      <c r="ELW17" s="7158"/>
      <c r="ELX17" s="7158"/>
      <c r="ELY17" s="7158"/>
      <c r="ELZ17" s="7158"/>
      <c r="EMA17" s="7158"/>
      <c r="EMB17" s="7159"/>
      <c r="EMC17" s="7152" t="s">
        <v>175</v>
      </c>
      <c r="EMD17" s="7153"/>
      <c r="EME17" s="7153"/>
      <c r="EMF17" s="7153"/>
      <c r="EMG17" s="7157"/>
      <c r="EMH17" s="7157"/>
      <c r="EMI17" s="7157"/>
      <c r="EMJ17" s="7157"/>
      <c r="EMK17" s="7157"/>
      <c r="EML17" s="7157"/>
      <c r="EMM17" s="7158"/>
      <c r="EMN17" s="7158"/>
      <c r="EMO17" s="7158"/>
      <c r="EMP17" s="7158"/>
      <c r="EMQ17" s="7158"/>
      <c r="EMR17" s="7159"/>
      <c r="EMS17" s="7152" t="s">
        <v>175</v>
      </c>
      <c r="EMT17" s="7153"/>
      <c r="EMU17" s="7153"/>
      <c r="EMV17" s="7153"/>
      <c r="EMW17" s="7157"/>
      <c r="EMX17" s="7157"/>
      <c r="EMY17" s="7157"/>
      <c r="EMZ17" s="7157"/>
      <c r="ENA17" s="7157"/>
      <c r="ENB17" s="7157"/>
      <c r="ENC17" s="7158"/>
      <c r="END17" s="7158"/>
      <c r="ENE17" s="7158"/>
      <c r="ENF17" s="7158"/>
      <c r="ENG17" s="7158"/>
      <c r="ENH17" s="7159"/>
      <c r="ENI17" s="7152" t="s">
        <v>175</v>
      </c>
      <c r="ENJ17" s="7153"/>
      <c r="ENK17" s="7153"/>
      <c r="ENL17" s="7153"/>
      <c r="ENM17" s="7157"/>
      <c r="ENN17" s="7157"/>
      <c r="ENO17" s="7157"/>
      <c r="ENP17" s="7157"/>
      <c r="ENQ17" s="7157"/>
      <c r="ENR17" s="7157"/>
      <c r="ENS17" s="7158"/>
      <c r="ENT17" s="7158"/>
      <c r="ENU17" s="7158"/>
      <c r="ENV17" s="7158"/>
      <c r="ENW17" s="7158"/>
      <c r="ENX17" s="7159"/>
      <c r="ENY17" s="7152" t="s">
        <v>175</v>
      </c>
      <c r="ENZ17" s="7153"/>
      <c r="EOA17" s="7153"/>
      <c r="EOB17" s="7153"/>
      <c r="EOC17" s="7157"/>
      <c r="EOD17" s="7157"/>
      <c r="EOE17" s="7157"/>
      <c r="EOF17" s="7157"/>
      <c r="EOG17" s="7157"/>
      <c r="EOH17" s="7157"/>
      <c r="EOI17" s="7158"/>
      <c r="EOJ17" s="7158"/>
      <c r="EOK17" s="7158"/>
      <c r="EOL17" s="7158"/>
      <c r="EOM17" s="7158"/>
      <c r="EON17" s="7159"/>
      <c r="EOO17" s="7152" t="s">
        <v>175</v>
      </c>
      <c r="EOP17" s="7153"/>
      <c r="EOQ17" s="7153"/>
      <c r="EOR17" s="7153"/>
      <c r="EOS17" s="7157"/>
      <c r="EOT17" s="7157"/>
      <c r="EOU17" s="7157"/>
      <c r="EOV17" s="7157"/>
      <c r="EOW17" s="7157"/>
      <c r="EOX17" s="7157"/>
      <c r="EOY17" s="7158"/>
      <c r="EOZ17" s="7158"/>
      <c r="EPA17" s="7158"/>
      <c r="EPB17" s="7158"/>
      <c r="EPC17" s="7158"/>
      <c r="EPD17" s="7159"/>
      <c r="EPE17" s="7152" t="s">
        <v>175</v>
      </c>
      <c r="EPF17" s="7153"/>
      <c r="EPG17" s="7153"/>
      <c r="EPH17" s="7153"/>
      <c r="EPI17" s="7157"/>
      <c r="EPJ17" s="7157"/>
      <c r="EPK17" s="7157"/>
      <c r="EPL17" s="7157"/>
      <c r="EPM17" s="7157"/>
      <c r="EPN17" s="7157"/>
      <c r="EPO17" s="7158"/>
      <c r="EPP17" s="7158"/>
      <c r="EPQ17" s="7158"/>
      <c r="EPR17" s="7158"/>
      <c r="EPS17" s="7158"/>
      <c r="EPT17" s="7159"/>
      <c r="EPU17" s="7152" t="s">
        <v>175</v>
      </c>
      <c r="EPV17" s="7153"/>
      <c r="EPW17" s="7153"/>
      <c r="EPX17" s="7153"/>
      <c r="EPY17" s="7157"/>
      <c r="EPZ17" s="7157"/>
      <c r="EQA17" s="7157"/>
      <c r="EQB17" s="7157"/>
      <c r="EQC17" s="7157"/>
      <c r="EQD17" s="7157"/>
      <c r="EQE17" s="7158"/>
      <c r="EQF17" s="7158"/>
      <c r="EQG17" s="7158"/>
      <c r="EQH17" s="7158"/>
      <c r="EQI17" s="7158"/>
      <c r="EQJ17" s="7159"/>
      <c r="EQK17" s="7152" t="s">
        <v>175</v>
      </c>
      <c r="EQL17" s="7153"/>
      <c r="EQM17" s="7153"/>
      <c r="EQN17" s="7153"/>
      <c r="EQO17" s="7157"/>
      <c r="EQP17" s="7157"/>
      <c r="EQQ17" s="7157"/>
      <c r="EQR17" s="7157"/>
      <c r="EQS17" s="7157"/>
      <c r="EQT17" s="7157"/>
      <c r="EQU17" s="7158"/>
      <c r="EQV17" s="7158"/>
      <c r="EQW17" s="7158"/>
      <c r="EQX17" s="7158"/>
      <c r="EQY17" s="7158"/>
      <c r="EQZ17" s="7159"/>
      <c r="ERA17" s="7152" t="s">
        <v>175</v>
      </c>
      <c r="ERB17" s="7153"/>
      <c r="ERC17" s="7153"/>
      <c r="ERD17" s="7153"/>
      <c r="ERE17" s="7157"/>
      <c r="ERF17" s="7157"/>
      <c r="ERG17" s="7157"/>
      <c r="ERH17" s="7157"/>
      <c r="ERI17" s="7157"/>
      <c r="ERJ17" s="7157"/>
      <c r="ERK17" s="7158"/>
      <c r="ERL17" s="7158"/>
      <c r="ERM17" s="7158"/>
      <c r="ERN17" s="7158"/>
      <c r="ERO17" s="7158"/>
      <c r="ERP17" s="7159"/>
      <c r="ERQ17" s="7152" t="s">
        <v>175</v>
      </c>
      <c r="ERR17" s="7153"/>
      <c r="ERS17" s="7153"/>
      <c r="ERT17" s="7153"/>
      <c r="ERU17" s="7157"/>
      <c r="ERV17" s="7157"/>
      <c r="ERW17" s="7157"/>
      <c r="ERX17" s="7157"/>
      <c r="ERY17" s="7157"/>
      <c r="ERZ17" s="7157"/>
      <c r="ESA17" s="7158"/>
      <c r="ESB17" s="7158"/>
      <c r="ESC17" s="7158"/>
      <c r="ESD17" s="7158"/>
      <c r="ESE17" s="7158"/>
      <c r="ESF17" s="7159"/>
      <c r="ESG17" s="7152" t="s">
        <v>175</v>
      </c>
      <c r="ESH17" s="7153"/>
      <c r="ESI17" s="7153"/>
      <c r="ESJ17" s="7153"/>
      <c r="ESK17" s="7157"/>
      <c r="ESL17" s="7157"/>
      <c r="ESM17" s="7157"/>
      <c r="ESN17" s="7157"/>
      <c r="ESO17" s="7157"/>
      <c r="ESP17" s="7157"/>
      <c r="ESQ17" s="7158"/>
      <c r="ESR17" s="7158"/>
      <c r="ESS17" s="7158"/>
      <c r="EST17" s="7158"/>
      <c r="ESU17" s="7158"/>
      <c r="ESV17" s="7159"/>
      <c r="ESW17" s="7152" t="s">
        <v>175</v>
      </c>
      <c r="ESX17" s="7153"/>
      <c r="ESY17" s="7153"/>
      <c r="ESZ17" s="7153"/>
      <c r="ETA17" s="7157"/>
      <c r="ETB17" s="7157"/>
      <c r="ETC17" s="7157"/>
      <c r="ETD17" s="7157"/>
      <c r="ETE17" s="7157"/>
      <c r="ETF17" s="7157"/>
      <c r="ETG17" s="7158"/>
      <c r="ETH17" s="7158"/>
      <c r="ETI17" s="7158"/>
      <c r="ETJ17" s="7158"/>
      <c r="ETK17" s="7158"/>
      <c r="ETL17" s="7159"/>
      <c r="ETM17" s="7152" t="s">
        <v>175</v>
      </c>
      <c r="ETN17" s="7153"/>
      <c r="ETO17" s="7153"/>
      <c r="ETP17" s="7153"/>
      <c r="ETQ17" s="7157"/>
      <c r="ETR17" s="7157"/>
      <c r="ETS17" s="7157"/>
      <c r="ETT17" s="7157"/>
      <c r="ETU17" s="7157"/>
      <c r="ETV17" s="7157"/>
      <c r="ETW17" s="7158"/>
      <c r="ETX17" s="7158"/>
      <c r="ETY17" s="7158"/>
      <c r="ETZ17" s="7158"/>
      <c r="EUA17" s="7158"/>
      <c r="EUB17" s="7159"/>
      <c r="EUC17" s="7152" t="s">
        <v>175</v>
      </c>
      <c r="EUD17" s="7153"/>
      <c r="EUE17" s="7153"/>
      <c r="EUF17" s="7153"/>
      <c r="EUG17" s="7157"/>
      <c r="EUH17" s="7157"/>
      <c r="EUI17" s="7157"/>
      <c r="EUJ17" s="7157"/>
      <c r="EUK17" s="7157"/>
      <c r="EUL17" s="7157"/>
      <c r="EUM17" s="7158"/>
      <c r="EUN17" s="7158"/>
      <c r="EUO17" s="7158"/>
      <c r="EUP17" s="7158"/>
      <c r="EUQ17" s="7158"/>
      <c r="EUR17" s="7159"/>
      <c r="EUS17" s="7152" t="s">
        <v>175</v>
      </c>
      <c r="EUT17" s="7153"/>
      <c r="EUU17" s="7153"/>
      <c r="EUV17" s="7153"/>
      <c r="EUW17" s="7157"/>
      <c r="EUX17" s="7157"/>
      <c r="EUY17" s="7157"/>
      <c r="EUZ17" s="7157"/>
      <c r="EVA17" s="7157"/>
      <c r="EVB17" s="7157"/>
      <c r="EVC17" s="7158"/>
      <c r="EVD17" s="7158"/>
      <c r="EVE17" s="7158"/>
      <c r="EVF17" s="7158"/>
      <c r="EVG17" s="7158"/>
      <c r="EVH17" s="7159"/>
      <c r="EVI17" s="7152" t="s">
        <v>175</v>
      </c>
      <c r="EVJ17" s="7153"/>
      <c r="EVK17" s="7153"/>
      <c r="EVL17" s="7153"/>
      <c r="EVM17" s="7157"/>
      <c r="EVN17" s="7157"/>
      <c r="EVO17" s="7157"/>
      <c r="EVP17" s="7157"/>
      <c r="EVQ17" s="7157"/>
      <c r="EVR17" s="7157"/>
      <c r="EVS17" s="7158"/>
      <c r="EVT17" s="7158"/>
      <c r="EVU17" s="7158"/>
      <c r="EVV17" s="7158"/>
      <c r="EVW17" s="7158"/>
      <c r="EVX17" s="7159"/>
      <c r="EVY17" s="7152" t="s">
        <v>175</v>
      </c>
      <c r="EVZ17" s="7153"/>
      <c r="EWA17" s="7153"/>
      <c r="EWB17" s="7153"/>
      <c r="EWC17" s="7157"/>
      <c r="EWD17" s="7157"/>
      <c r="EWE17" s="7157"/>
      <c r="EWF17" s="7157"/>
      <c r="EWG17" s="7157"/>
      <c r="EWH17" s="7157"/>
      <c r="EWI17" s="7158"/>
      <c r="EWJ17" s="7158"/>
      <c r="EWK17" s="7158"/>
      <c r="EWL17" s="7158"/>
      <c r="EWM17" s="7158"/>
      <c r="EWN17" s="7159"/>
      <c r="EWO17" s="7152" t="s">
        <v>175</v>
      </c>
      <c r="EWP17" s="7153"/>
      <c r="EWQ17" s="7153"/>
      <c r="EWR17" s="7153"/>
      <c r="EWS17" s="7157"/>
      <c r="EWT17" s="7157"/>
      <c r="EWU17" s="7157"/>
      <c r="EWV17" s="7157"/>
      <c r="EWW17" s="7157"/>
      <c r="EWX17" s="7157"/>
      <c r="EWY17" s="7158"/>
      <c r="EWZ17" s="7158"/>
      <c r="EXA17" s="7158"/>
      <c r="EXB17" s="7158"/>
      <c r="EXC17" s="7158"/>
      <c r="EXD17" s="7159"/>
      <c r="EXE17" s="7152" t="s">
        <v>175</v>
      </c>
      <c r="EXF17" s="7153"/>
      <c r="EXG17" s="7153"/>
      <c r="EXH17" s="7153"/>
      <c r="EXI17" s="7157"/>
      <c r="EXJ17" s="7157"/>
      <c r="EXK17" s="7157"/>
      <c r="EXL17" s="7157"/>
      <c r="EXM17" s="7157"/>
      <c r="EXN17" s="7157"/>
      <c r="EXO17" s="7158"/>
      <c r="EXP17" s="7158"/>
      <c r="EXQ17" s="7158"/>
      <c r="EXR17" s="7158"/>
      <c r="EXS17" s="7158"/>
      <c r="EXT17" s="7159"/>
      <c r="EXU17" s="7152" t="s">
        <v>175</v>
      </c>
      <c r="EXV17" s="7153"/>
      <c r="EXW17" s="7153"/>
      <c r="EXX17" s="7153"/>
      <c r="EXY17" s="7157"/>
      <c r="EXZ17" s="7157"/>
      <c r="EYA17" s="7157"/>
      <c r="EYB17" s="7157"/>
      <c r="EYC17" s="7157"/>
      <c r="EYD17" s="7157"/>
      <c r="EYE17" s="7158"/>
      <c r="EYF17" s="7158"/>
      <c r="EYG17" s="7158"/>
      <c r="EYH17" s="7158"/>
      <c r="EYI17" s="7158"/>
      <c r="EYJ17" s="7159"/>
      <c r="EYK17" s="7152" t="s">
        <v>175</v>
      </c>
      <c r="EYL17" s="7153"/>
      <c r="EYM17" s="7153"/>
      <c r="EYN17" s="7153"/>
      <c r="EYO17" s="7157"/>
      <c r="EYP17" s="7157"/>
      <c r="EYQ17" s="7157"/>
      <c r="EYR17" s="7157"/>
      <c r="EYS17" s="7157"/>
      <c r="EYT17" s="7157"/>
      <c r="EYU17" s="7158"/>
      <c r="EYV17" s="7158"/>
      <c r="EYW17" s="7158"/>
      <c r="EYX17" s="7158"/>
      <c r="EYY17" s="7158"/>
      <c r="EYZ17" s="7159"/>
      <c r="EZA17" s="7152" t="s">
        <v>175</v>
      </c>
      <c r="EZB17" s="7153"/>
      <c r="EZC17" s="7153"/>
      <c r="EZD17" s="7153"/>
      <c r="EZE17" s="7157"/>
      <c r="EZF17" s="7157"/>
      <c r="EZG17" s="7157"/>
      <c r="EZH17" s="7157"/>
      <c r="EZI17" s="7157"/>
      <c r="EZJ17" s="7157"/>
      <c r="EZK17" s="7158"/>
      <c r="EZL17" s="7158"/>
      <c r="EZM17" s="7158"/>
      <c r="EZN17" s="7158"/>
      <c r="EZO17" s="7158"/>
      <c r="EZP17" s="7159"/>
      <c r="EZQ17" s="7152" t="s">
        <v>175</v>
      </c>
      <c r="EZR17" s="7153"/>
      <c r="EZS17" s="7153"/>
      <c r="EZT17" s="7153"/>
      <c r="EZU17" s="7157"/>
      <c r="EZV17" s="7157"/>
      <c r="EZW17" s="7157"/>
      <c r="EZX17" s="7157"/>
      <c r="EZY17" s="7157"/>
      <c r="EZZ17" s="7157"/>
      <c r="FAA17" s="7158"/>
      <c r="FAB17" s="7158"/>
      <c r="FAC17" s="7158"/>
      <c r="FAD17" s="7158"/>
      <c r="FAE17" s="7158"/>
      <c r="FAF17" s="7159"/>
      <c r="FAG17" s="7152" t="s">
        <v>175</v>
      </c>
      <c r="FAH17" s="7153"/>
      <c r="FAI17" s="7153"/>
      <c r="FAJ17" s="7153"/>
      <c r="FAK17" s="7157"/>
      <c r="FAL17" s="7157"/>
      <c r="FAM17" s="7157"/>
      <c r="FAN17" s="7157"/>
      <c r="FAO17" s="7157"/>
      <c r="FAP17" s="7157"/>
      <c r="FAQ17" s="7158"/>
      <c r="FAR17" s="7158"/>
      <c r="FAS17" s="7158"/>
      <c r="FAT17" s="7158"/>
      <c r="FAU17" s="7158"/>
      <c r="FAV17" s="7159"/>
      <c r="FAW17" s="7152" t="s">
        <v>175</v>
      </c>
      <c r="FAX17" s="7153"/>
      <c r="FAY17" s="7153"/>
      <c r="FAZ17" s="7153"/>
      <c r="FBA17" s="7157"/>
      <c r="FBB17" s="7157"/>
      <c r="FBC17" s="7157"/>
      <c r="FBD17" s="7157"/>
      <c r="FBE17" s="7157"/>
      <c r="FBF17" s="7157"/>
      <c r="FBG17" s="7158"/>
      <c r="FBH17" s="7158"/>
      <c r="FBI17" s="7158"/>
      <c r="FBJ17" s="7158"/>
      <c r="FBK17" s="7158"/>
      <c r="FBL17" s="7159"/>
      <c r="FBM17" s="7152" t="s">
        <v>175</v>
      </c>
      <c r="FBN17" s="7153"/>
      <c r="FBO17" s="7153"/>
      <c r="FBP17" s="7153"/>
      <c r="FBQ17" s="7157"/>
      <c r="FBR17" s="7157"/>
      <c r="FBS17" s="7157"/>
      <c r="FBT17" s="7157"/>
      <c r="FBU17" s="7157"/>
      <c r="FBV17" s="7157"/>
      <c r="FBW17" s="7158"/>
      <c r="FBX17" s="7158"/>
      <c r="FBY17" s="7158"/>
      <c r="FBZ17" s="7158"/>
      <c r="FCA17" s="7158"/>
      <c r="FCB17" s="7159"/>
      <c r="FCC17" s="7152" t="s">
        <v>175</v>
      </c>
      <c r="FCD17" s="7153"/>
      <c r="FCE17" s="7153"/>
      <c r="FCF17" s="7153"/>
      <c r="FCG17" s="7157"/>
      <c r="FCH17" s="7157"/>
      <c r="FCI17" s="7157"/>
      <c r="FCJ17" s="7157"/>
      <c r="FCK17" s="7157"/>
      <c r="FCL17" s="7157"/>
      <c r="FCM17" s="7158"/>
      <c r="FCN17" s="7158"/>
      <c r="FCO17" s="7158"/>
      <c r="FCP17" s="7158"/>
      <c r="FCQ17" s="7158"/>
      <c r="FCR17" s="7159"/>
      <c r="FCS17" s="7152" t="s">
        <v>175</v>
      </c>
      <c r="FCT17" s="7153"/>
      <c r="FCU17" s="7153"/>
      <c r="FCV17" s="7153"/>
      <c r="FCW17" s="7157"/>
      <c r="FCX17" s="7157"/>
      <c r="FCY17" s="7157"/>
      <c r="FCZ17" s="7157"/>
      <c r="FDA17" s="7157"/>
      <c r="FDB17" s="7157"/>
      <c r="FDC17" s="7158"/>
      <c r="FDD17" s="7158"/>
      <c r="FDE17" s="7158"/>
      <c r="FDF17" s="7158"/>
      <c r="FDG17" s="7158"/>
      <c r="FDH17" s="7159"/>
      <c r="FDI17" s="7152" t="s">
        <v>175</v>
      </c>
      <c r="FDJ17" s="7153"/>
      <c r="FDK17" s="7153"/>
      <c r="FDL17" s="7153"/>
      <c r="FDM17" s="7157"/>
      <c r="FDN17" s="7157"/>
      <c r="FDO17" s="7157"/>
      <c r="FDP17" s="7157"/>
      <c r="FDQ17" s="7157"/>
      <c r="FDR17" s="7157"/>
      <c r="FDS17" s="7158"/>
      <c r="FDT17" s="7158"/>
      <c r="FDU17" s="7158"/>
      <c r="FDV17" s="7158"/>
      <c r="FDW17" s="7158"/>
      <c r="FDX17" s="7159"/>
      <c r="FDY17" s="7152" t="s">
        <v>175</v>
      </c>
      <c r="FDZ17" s="7153"/>
      <c r="FEA17" s="7153"/>
      <c r="FEB17" s="7153"/>
      <c r="FEC17" s="7157"/>
      <c r="FED17" s="7157"/>
      <c r="FEE17" s="7157"/>
      <c r="FEF17" s="7157"/>
      <c r="FEG17" s="7157"/>
      <c r="FEH17" s="7157"/>
      <c r="FEI17" s="7158"/>
      <c r="FEJ17" s="7158"/>
      <c r="FEK17" s="7158"/>
      <c r="FEL17" s="7158"/>
      <c r="FEM17" s="7158"/>
      <c r="FEN17" s="7159"/>
      <c r="FEO17" s="7152" t="s">
        <v>175</v>
      </c>
      <c r="FEP17" s="7153"/>
      <c r="FEQ17" s="7153"/>
      <c r="FER17" s="7153"/>
      <c r="FES17" s="7157"/>
      <c r="FET17" s="7157"/>
      <c r="FEU17" s="7157"/>
      <c r="FEV17" s="7157"/>
      <c r="FEW17" s="7157"/>
      <c r="FEX17" s="7157"/>
      <c r="FEY17" s="7158"/>
      <c r="FEZ17" s="7158"/>
      <c r="FFA17" s="7158"/>
      <c r="FFB17" s="7158"/>
      <c r="FFC17" s="7158"/>
      <c r="FFD17" s="7159"/>
      <c r="FFE17" s="7152" t="s">
        <v>175</v>
      </c>
      <c r="FFF17" s="7153"/>
      <c r="FFG17" s="7153"/>
      <c r="FFH17" s="7153"/>
      <c r="FFI17" s="7157"/>
      <c r="FFJ17" s="7157"/>
      <c r="FFK17" s="7157"/>
      <c r="FFL17" s="7157"/>
      <c r="FFM17" s="7157"/>
      <c r="FFN17" s="7157"/>
      <c r="FFO17" s="7158"/>
      <c r="FFP17" s="7158"/>
      <c r="FFQ17" s="7158"/>
      <c r="FFR17" s="7158"/>
      <c r="FFS17" s="7158"/>
      <c r="FFT17" s="7159"/>
      <c r="FFU17" s="7152" t="s">
        <v>175</v>
      </c>
      <c r="FFV17" s="7153"/>
      <c r="FFW17" s="7153"/>
      <c r="FFX17" s="7153"/>
      <c r="FFY17" s="7157"/>
      <c r="FFZ17" s="7157"/>
      <c r="FGA17" s="7157"/>
      <c r="FGB17" s="7157"/>
      <c r="FGC17" s="7157"/>
      <c r="FGD17" s="7157"/>
      <c r="FGE17" s="7158"/>
      <c r="FGF17" s="7158"/>
      <c r="FGG17" s="7158"/>
      <c r="FGH17" s="7158"/>
      <c r="FGI17" s="7158"/>
      <c r="FGJ17" s="7159"/>
      <c r="FGK17" s="7152" t="s">
        <v>175</v>
      </c>
      <c r="FGL17" s="7153"/>
      <c r="FGM17" s="7153"/>
      <c r="FGN17" s="7153"/>
      <c r="FGO17" s="7157"/>
      <c r="FGP17" s="7157"/>
      <c r="FGQ17" s="7157"/>
      <c r="FGR17" s="7157"/>
      <c r="FGS17" s="7157"/>
      <c r="FGT17" s="7157"/>
      <c r="FGU17" s="7158"/>
      <c r="FGV17" s="7158"/>
      <c r="FGW17" s="7158"/>
      <c r="FGX17" s="7158"/>
      <c r="FGY17" s="7158"/>
      <c r="FGZ17" s="7159"/>
      <c r="FHA17" s="7152" t="s">
        <v>175</v>
      </c>
      <c r="FHB17" s="7153"/>
      <c r="FHC17" s="7153"/>
      <c r="FHD17" s="7153"/>
      <c r="FHE17" s="7157"/>
      <c r="FHF17" s="7157"/>
      <c r="FHG17" s="7157"/>
      <c r="FHH17" s="7157"/>
      <c r="FHI17" s="7157"/>
      <c r="FHJ17" s="7157"/>
      <c r="FHK17" s="7158"/>
      <c r="FHL17" s="7158"/>
      <c r="FHM17" s="7158"/>
      <c r="FHN17" s="7158"/>
      <c r="FHO17" s="7158"/>
      <c r="FHP17" s="7159"/>
      <c r="FHQ17" s="7152" t="s">
        <v>175</v>
      </c>
      <c r="FHR17" s="7153"/>
      <c r="FHS17" s="7153"/>
      <c r="FHT17" s="7153"/>
      <c r="FHU17" s="7157"/>
      <c r="FHV17" s="7157"/>
      <c r="FHW17" s="7157"/>
      <c r="FHX17" s="7157"/>
      <c r="FHY17" s="7157"/>
      <c r="FHZ17" s="7157"/>
      <c r="FIA17" s="7158"/>
      <c r="FIB17" s="7158"/>
      <c r="FIC17" s="7158"/>
      <c r="FID17" s="7158"/>
      <c r="FIE17" s="7158"/>
      <c r="FIF17" s="7159"/>
      <c r="FIG17" s="7152" t="s">
        <v>175</v>
      </c>
      <c r="FIH17" s="7153"/>
      <c r="FII17" s="7153"/>
      <c r="FIJ17" s="7153"/>
      <c r="FIK17" s="7157"/>
      <c r="FIL17" s="7157"/>
      <c r="FIM17" s="7157"/>
      <c r="FIN17" s="7157"/>
      <c r="FIO17" s="7157"/>
      <c r="FIP17" s="7157"/>
      <c r="FIQ17" s="7158"/>
      <c r="FIR17" s="7158"/>
      <c r="FIS17" s="7158"/>
      <c r="FIT17" s="7158"/>
      <c r="FIU17" s="7158"/>
      <c r="FIV17" s="7159"/>
      <c r="FIW17" s="7152" t="s">
        <v>175</v>
      </c>
      <c r="FIX17" s="7153"/>
      <c r="FIY17" s="7153"/>
      <c r="FIZ17" s="7153"/>
      <c r="FJA17" s="7157"/>
      <c r="FJB17" s="7157"/>
      <c r="FJC17" s="7157"/>
      <c r="FJD17" s="7157"/>
      <c r="FJE17" s="7157"/>
      <c r="FJF17" s="7157"/>
      <c r="FJG17" s="7158"/>
      <c r="FJH17" s="7158"/>
      <c r="FJI17" s="7158"/>
      <c r="FJJ17" s="7158"/>
      <c r="FJK17" s="7158"/>
      <c r="FJL17" s="7159"/>
      <c r="FJM17" s="7152" t="s">
        <v>175</v>
      </c>
      <c r="FJN17" s="7153"/>
      <c r="FJO17" s="7153"/>
      <c r="FJP17" s="7153"/>
      <c r="FJQ17" s="7157"/>
      <c r="FJR17" s="7157"/>
      <c r="FJS17" s="7157"/>
      <c r="FJT17" s="7157"/>
      <c r="FJU17" s="7157"/>
      <c r="FJV17" s="7157"/>
      <c r="FJW17" s="7158"/>
      <c r="FJX17" s="7158"/>
      <c r="FJY17" s="7158"/>
      <c r="FJZ17" s="7158"/>
      <c r="FKA17" s="7158"/>
      <c r="FKB17" s="7159"/>
      <c r="FKC17" s="7152" t="s">
        <v>175</v>
      </c>
      <c r="FKD17" s="7153"/>
      <c r="FKE17" s="7153"/>
      <c r="FKF17" s="7153"/>
      <c r="FKG17" s="7157"/>
      <c r="FKH17" s="7157"/>
      <c r="FKI17" s="7157"/>
      <c r="FKJ17" s="7157"/>
      <c r="FKK17" s="7157"/>
      <c r="FKL17" s="7157"/>
      <c r="FKM17" s="7158"/>
      <c r="FKN17" s="7158"/>
      <c r="FKO17" s="7158"/>
      <c r="FKP17" s="7158"/>
      <c r="FKQ17" s="7158"/>
      <c r="FKR17" s="7159"/>
      <c r="FKS17" s="7152" t="s">
        <v>175</v>
      </c>
      <c r="FKT17" s="7153"/>
      <c r="FKU17" s="7153"/>
      <c r="FKV17" s="7153"/>
      <c r="FKW17" s="7157"/>
      <c r="FKX17" s="7157"/>
      <c r="FKY17" s="7157"/>
      <c r="FKZ17" s="7157"/>
      <c r="FLA17" s="7157"/>
      <c r="FLB17" s="7157"/>
      <c r="FLC17" s="7158"/>
      <c r="FLD17" s="7158"/>
      <c r="FLE17" s="7158"/>
      <c r="FLF17" s="7158"/>
      <c r="FLG17" s="7158"/>
      <c r="FLH17" s="7159"/>
      <c r="FLI17" s="7152" t="s">
        <v>175</v>
      </c>
      <c r="FLJ17" s="7153"/>
      <c r="FLK17" s="7153"/>
      <c r="FLL17" s="7153"/>
      <c r="FLM17" s="7157"/>
      <c r="FLN17" s="7157"/>
      <c r="FLO17" s="7157"/>
      <c r="FLP17" s="7157"/>
      <c r="FLQ17" s="7157"/>
      <c r="FLR17" s="7157"/>
      <c r="FLS17" s="7158"/>
      <c r="FLT17" s="7158"/>
      <c r="FLU17" s="7158"/>
      <c r="FLV17" s="7158"/>
      <c r="FLW17" s="7158"/>
      <c r="FLX17" s="7159"/>
      <c r="FLY17" s="7152" t="s">
        <v>175</v>
      </c>
      <c r="FLZ17" s="7153"/>
      <c r="FMA17" s="7153"/>
      <c r="FMB17" s="7153"/>
      <c r="FMC17" s="7157"/>
      <c r="FMD17" s="7157"/>
      <c r="FME17" s="7157"/>
      <c r="FMF17" s="7157"/>
      <c r="FMG17" s="7157"/>
      <c r="FMH17" s="7157"/>
      <c r="FMI17" s="7158"/>
      <c r="FMJ17" s="7158"/>
      <c r="FMK17" s="7158"/>
      <c r="FML17" s="7158"/>
      <c r="FMM17" s="7158"/>
      <c r="FMN17" s="7159"/>
      <c r="FMO17" s="7152" t="s">
        <v>175</v>
      </c>
      <c r="FMP17" s="7153"/>
      <c r="FMQ17" s="7153"/>
      <c r="FMR17" s="7153"/>
      <c r="FMS17" s="7157"/>
      <c r="FMT17" s="7157"/>
      <c r="FMU17" s="7157"/>
      <c r="FMV17" s="7157"/>
      <c r="FMW17" s="7157"/>
      <c r="FMX17" s="7157"/>
      <c r="FMY17" s="7158"/>
      <c r="FMZ17" s="7158"/>
      <c r="FNA17" s="7158"/>
      <c r="FNB17" s="7158"/>
      <c r="FNC17" s="7158"/>
      <c r="FND17" s="7159"/>
      <c r="FNE17" s="7152" t="s">
        <v>175</v>
      </c>
      <c r="FNF17" s="7153"/>
      <c r="FNG17" s="7153"/>
      <c r="FNH17" s="7153"/>
      <c r="FNI17" s="7157"/>
      <c r="FNJ17" s="7157"/>
      <c r="FNK17" s="7157"/>
      <c r="FNL17" s="7157"/>
      <c r="FNM17" s="7157"/>
      <c r="FNN17" s="7157"/>
      <c r="FNO17" s="7158"/>
      <c r="FNP17" s="7158"/>
      <c r="FNQ17" s="7158"/>
      <c r="FNR17" s="7158"/>
      <c r="FNS17" s="7158"/>
      <c r="FNT17" s="7159"/>
      <c r="FNU17" s="7152" t="s">
        <v>175</v>
      </c>
      <c r="FNV17" s="7153"/>
      <c r="FNW17" s="7153"/>
      <c r="FNX17" s="7153"/>
      <c r="FNY17" s="7157"/>
      <c r="FNZ17" s="7157"/>
      <c r="FOA17" s="7157"/>
      <c r="FOB17" s="7157"/>
      <c r="FOC17" s="7157"/>
      <c r="FOD17" s="7157"/>
      <c r="FOE17" s="7158"/>
      <c r="FOF17" s="7158"/>
      <c r="FOG17" s="7158"/>
      <c r="FOH17" s="7158"/>
      <c r="FOI17" s="7158"/>
      <c r="FOJ17" s="7159"/>
      <c r="FOK17" s="7152" t="s">
        <v>175</v>
      </c>
      <c r="FOL17" s="7153"/>
      <c r="FOM17" s="7153"/>
      <c r="FON17" s="7153"/>
      <c r="FOO17" s="7157"/>
      <c r="FOP17" s="7157"/>
      <c r="FOQ17" s="7157"/>
      <c r="FOR17" s="7157"/>
      <c r="FOS17" s="7157"/>
      <c r="FOT17" s="7157"/>
      <c r="FOU17" s="7158"/>
      <c r="FOV17" s="7158"/>
      <c r="FOW17" s="7158"/>
      <c r="FOX17" s="7158"/>
      <c r="FOY17" s="7158"/>
      <c r="FOZ17" s="7159"/>
      <c r="FPA17" s="7152" t="s">
        <v>175</v>
      </c>
      <c r="FPB17" s="7153"/>
      <c r="FPC17" s="7153"/>
      <c r="FPD17" s="7153"/>
      <c r="FPE17" s="7157"/>
      <c r="FPF17" s="7157"/>
      <c r="FPG17" s="7157"/>
      <c r="FPH17" s="7157"/>
      <c r="FPI17" s="7157"/>
      <c r="FPJ17" s="7157"/>
      <c r="FPK17" s="7158"/>
      <c r="FPL17" s="7158"/>
      <c r="FPM17" s="7158"/>
      <c r="FPN17" s="7158"/>
      <c r="FPO17" s="7158"/>
      <c r="FPP17" s="7159"/>
      <c r="FPQ17" s="7152" t="s">
        <v>175</v>
      </c>
      <c r="FPR17" s="7153"/>
      <c r="FPS17" s="7153"/>
      <c r="FPT17" s="7153"/>
      <c r="FPU17" s="7157"/>
      <c r="FPV17" s="7157"/>
      <c r="FPW17" s="7157"/>
      <c r="FPX17" s="7157"/>
      <c r="FPY17" s="7157"/>
      <c r="FPZ17" s="7157"/>
      <c r="FQA17" s="7158"/>
      <c r="FQB17" s="7158"/>
      <c r="FQC17" s="7158"/>
      <c r="FQD17" s="7158"/>
      <c r="FQE17" s="7158"/>
      <c r="FQF17" s="7159"/>
      <c r="FQG17" s="7152" t="s">
        <v>175</v>
      </c>
      <c r="FQH17" s="7153"/>
      <c r="FQI17" s="7153"/>
      <c r="FQJ17" s="7153"/>
      <c r="FQK17" s="7157"/>
      <c r="FQL17" s="7157"/>
      <c r="FQM17" s="7157"/>
      <c r="FQN17" s="7157"/>
      <c r="FQO17" s="7157"/>
      <c r="FQP17" s="7157"/>
      <c r="FQQ17" s="7158"/>
      <c r="FQR17" s="7158"/>
      <c r="FQS17" s="7158"/>
      <c r="FQT17" s="7158"/>
      <c r="FQU17" s="7158"/>
      <c r="FQV17" s="7159"/>
      <c r="FQW17" s="7152" t="s">
        <v>175</v>
      </c>
      <c r="FQX17" s="7153"/>
      <c r="FQY17" s="7153"/>
      <c r="FQZ17" s="7153"/>
      <c r="FRA17" s="7157"/>
      <c r="FRB17" s="7157"/>
      <c r="FRC17" s="7157"/>
      <c r="FRD17" s="7157"/>
      <c r="FRE17" s="7157"/>
      <c r="FRF17" s="7157"/>
      <c r="FRG17" s="7158"/>
      <c r="FRH17" s="7158"/>
      <c r="FRI17" s="7158"/>
      <c r="FRJ17" s="7158"/>
      <c r="FRK17" s="7158"/>
      <c r="FRL17" s="7159"/>
      <c r="FRM17" s="7152" t="s">
        <v>175</v>
      </c>
      <c r="FRN17" s="7153"/>
      <c r="FRO17" s="7153"/>
      <c r="FRP17" s="7153"/>
      <c r="FRQ17" s="7157"/>
      <c r="FRR17" s="7157"/>
      <c r="FRS17" s="7157"/>
      <c r="FRT17" s="7157"/>
      <c r="FRU17" s="7157"/>
      <c r="FRV17" s="7157"/>
      <c r="FRW17" s="7158"/>
      <c r="FRX17" s="7158"/>
      <c r="FRY17" s="7158"/>
      <c r="FRZ17" s="7158"/>
      <c r="FSA17" s="7158"/>
      <c r="FSB17" s="7159"/>
      <c r="FSC17" s="7152" t="s">
        <v>175</v>
      </c>
      <c r="FSD17" s="7153"/>
      <c r="FSE17" s="7153"/>
      <c r="FSF17" s="7153"/>
      <c r="FSG17" s="7157"/>
      <c r="FSH17" s="7157"/>
      <c r="FSI17" s="7157"/>
      <c r="FSJ17" s="7157"/>
      <c r="FSK17" s="7157"/>
      <c r="FSL17" s="7157"/>
      <c r="FSM17" s="7158"/>
      <c r="FSN17" s="7158"/>
      <c r="FSO17" s="7158"/>
      <c r="FSP17" s="7158"/>
      <c r="FSQ17" s="7158"/>
      <c r="FSR17" s="7159"/>
      <c r="FSS17" s="7152" t="s">
        <v>175</v>
      </c>
      <c r="FST17" s="7153"/>
      <c r="FSU17" s="7153"/>
      <c r="FSV17" s="7153"/>
      <c r="FSW17" s="7157"/>
      <c r="FSX17" s="7157"/>
      <c r="FSY17" s="7157"/>
      <c r="FSZ17" s="7157"/>
      <c r="FTA17" s="7157"/>
      <c r="FTB17" s="7157"/>
      <c r="FTC17" s="7158"/>
      <c r="FTD17" s="7158"/>
      <c r="FTE17" s="7158"/>
      <c r="FTF17" s="7158"/>
      <c r="FTG17" s="7158"/>
      <c r="FTH17" s="7159"/>
      <c r="FTI17" s="7152" t="s">
        <v>175</v>
      </c>
      <c r="FTJ17" s="7153"/>
      <c r="FTK17" s="7153"/>
      <c r="FTL17" s="7153"/>
      <c r="FTM17" s="7157"/>
      <c r="FTN17" s="7157"/>
      <c r="FTO17" s="7157"/>
      <c r="FTP17" s="7157"/>
      <c r="FTQ17" s="7157"/>
      <c r="FTR17" s="7157"/>
      <c r="FTS17" s="7158"/>
      <c r="FTT17" s="7158"/>
      <c r="FTU17" s="7158"/>
      <c r="FTV17" s="7158"/>
      <c r="FTW17" s="7158"/>
      <c r="FTX17" s="7159"/>
      <c r="FTY17" s="7152" t="s">
        <v>175</v>
      </c>
      <c r="FTZ17" s="7153"/>
      <c r="FUA17" s="7153"/>
      <c r="FUB17" s="7153"/>
      <c r="FUC17" s="7157"/>
      <c r="FUD17" s="7157"/>
      <c r="FUE17" s="7157"/>
      <c r="FUF17" s="7157"/>
      <c r="FUG17" s="7157"/>
      <c r="FUH17" s="7157"/>
      <c r="FUI17" s="7158"/>
      <c r="FUJ17" s="7158"/>
      <c r="FUK17" s="7158"/>
      <c r="FUL17" s="7158"/>
      <c r="FUM17" s="7158"/>
      <c r="FUN17" s="7159"/>
      <c r="FUO17" s="7152" t="s">
        <v>175</v>
      </c>
      <c r="FUP17" s="7153"/>
      <c r="FUQ17" s="7153"/>
      <c r="FUR17" s="7153"/>
      <c r="FUS17" s="7157"/>
      <c r="FUT17" s="7157"/>
      <c r="FUU17" s="7157"/>
      <c r="FUV17" s="7157"/>
      <c r="FUW17" s="7157"/>
      <c r="FUX17" s="7157"/>
      <c r="FUY17" s="7158"/>
      <c r="FUZ17" s="7158"/>
      <c r="FVA17" s="7158"/>
      <c r="FVB17" s="7158"/>
      <c r="FVC17" s="7158"/>
      <c r="FVD17" s="7159"/>
      <c r="FVE17" s="7152" t="s">
        <v>175</v>
      </c>
      <c r="FVF17" s="7153"/>
      <c r="FVG17" s="7153"/>
      <c r="FVH17" s="7153"/>
      <c r="FVI17" s="7157"/>
      <c r="FVJ17" s="7157"/>
      <c r="FVK17" s="7157"/>
      <c r="FVL17" s="7157"/>
      <c r="FVM17" s="7157"/>
      <c r="FVN17" s="7157"/>
      <c r="FVO17" s="7158"/>
      <c r="FVP17" s="7158"/>
      <c r="FVQ17" s="7158"/>
      <c r="FVR17" s="7158"/>
      <c r="FVS17" s="7158"/>
      <c r="FVT17" s="7159"/>
      <c r="FVU17" s="7152" t="s">
        <v>175</v>
      </c>
      <c r="FVV17" s="7153"/>
      <c r="FVW17" s="7153"/>
      <c r="FVX17" s="7153"/>
      <c r="FVY17" s="7157"/>
      <c r="FVZ17" s="7157"/>
      <c r="FWA17" s="7157"/>
      <c r="FWB17" s="7157"/>
      <c r="FWC17" s="7157"/>
      <c r="FWD17" s="7157"/>
      <c r="FWE17" s="7158"/>
      <c r="FWF17" s="7158"/>
      <c r="FWG17" s="7158"/>
      <c r="FWH17" s="7158"/>
      <c r="FWI17" s="7158"/>
      <c r="FWJ17" s="7159"/>
      <c r="FWK17" s="7152" t="s">
        <v>175</v>
      </c>
      <c r="FWL17" s="7153"/>
      <c r="FWM17" s="7153"/>
      <c r="FWN17" s="7153"/>
      <c r="FWO17" s="7157"/>
      <c r="FWP17" s="7157"/>
      <c r="FWQ17" s="7157"/>
      <c r="FWR17" s="7157"/>
      <c r="FWS17" s="7157"/>
      <c r="FWT17" s="7157"/>
      <c r="FWU17" s="7158"/>
      <c r="FWV17" s="7158"/>
      <c r="FWW17" s="7158"/>
      <c r="FWX17" s="7158"/>
      <c r="FWY17" s="7158"/>
      <c r="FWZ17" s="7159"/>
      <c r="FXA17" s="7152" t="s">
        <v>175</v>
      </c>
      <c r="FXB17" s="7153"/>
      <c r="FXC17" s="7153"/>
      <c r="FXD17" s="7153"/>
      <c r="FXE17" s="7157"/>
      <c r="FXF17" s="7157"/>
      <c r="FXG17" s="7157"/>
      <c r="FXH17" s="7157"/>
      <c r="FXI17" s="7157"/>
      <c r="FXJ17" s="7157"/>
      <c r="FXK17" s="7158"/>
      <c r="FXL17" s="7158"/>
      <c r="FXM17" s="7158"/>
      <c r="FXN17" s="7158"/>
      <c r="FXO17" s="7158"/>
      <c r="FXP17" s="7159"/>
      <c r="FXQ17" s="7152" t="s">
        <v>175</v>
      </c>
      <c r="FXR17" s="7153"/>
      <c r="FXS17" s="7153"/>
      <c r="FXT17" s="7153"/>
      <c r="FXU17" s="7157"/>
      <c r="FXV17" s="7157"/>
      <c r="FXW17" s="7157"/>
      <c r="FXX17" s="7157"/>
      <c r="FXY17" s="7157"/>
      <c r="FXZ17" s="7157"/>
      <c r="FYA17" s="7158"/>
      <c r="FYB17" s="7158"/>
      <c r="FYC17" s="7158"/>
      <c r="FYD17" s="7158"/>
      <c r="FYE17" s="7158"/>
      <c r="FYF17" s="7159"/>
      <c r="FYG17" s="7152" t="s">
        <v>175</v>
      </c>
      <c r="FYH17" s="7153"/>
      <c r="FYI17" s="7153"/>
      <c r="FYJ17" s="7153"/>
      <c r="FYK17" s="7157"/>
      <c r="FYL17" s="7157"/>
      <c r="FYM17" s="7157"/>
      <c r="FYN17" s="7157"/>
      <c r="FYO17" s="7157"/>
      <c r="FYP17" s="7157"/>
      <c r="FYQ17" s="7158"/>
      <c r="FYR17" s="7158"/>
      <c r="FYS17" s="7158"/>
      <c r="FYT17" s="7158"/>
      <c r="FYU17" s="7158"/>
      <c r="FYV17" s="7159"/>
      <c r="FYW17" s="7152" t="s">
        <v>175</v>
      </c>
      <c r="FYX17" s="7153"/>
      <c r="FYY17" s="7153"/>
      <c r="FYZ17" s="7153"/>
      <c r="FZA17" s="7157"/>
      <c r="FZB17" s="7157"/>
      <c r="FZC17" s="7157"/>
      <c r="FZD17" s="7157"/>
      <c r="FZE17" s="7157"/>
      <c r="FZF17" s="7157"/>
      <c r="FZG17" s="7158"/>
      <c r="FZH17" s="7158"/>
      <c r="FZI17" s="7158"/>
      <c r="FZJ17" s="7158"/>
      <c r="FZK17" s="7158"/>
      <c r="FZL17" s="7159"/>
      <c r="FZM17" s="7152" t="s">
        <v>175</v>
      </c>
      <c r="FZN17" s="7153"/>
      <c r="FZO17" s="7153"/>
      <c r="FZP17" s="7153"/>
      <c r="FZQ17" s="7157"/>
      <c r="FZR17" s="7157"/>
      <c r="FZS17" s="7157"/>
      <c r="FZT17" s="7157"/>
      <c r="FZU17" s="7157"/>
      <c r="FZV17" s="7157"/>
      <c r="FZW17" s="7158"/>
      <c r="FZX17" s="7158"/>
      <c r="FZY17" s="7158"/>
      <c r="FZZ17" s="7158"/>
      <c r="GAA17" s="7158"/>
      <c r="GAB17" s="7159"/>
      <c r="GAC17" s="7152" t="s">
        <v>175</v>
      </c>
      <c r="GAD17" s="7153"/>
      <c r="GAE17" s="7153"/>
      <c r="GAF17" s="7153"/>
      <c r="GAG17" s="7157"/>
      <c r="GAH17" s="7157"/>
      <c r="GAI17" s="7157"/>
      <c r="GAJ17" s="7157"/>
      <c r="GAK17" s="7157"/>
      <c r="GAL17" s="7157"/>
      <c r="GAM17" s="7158"/>
      <c r="GAN17" s="7158"/>
      <c r="GAO17" s="7158"/>
      <c r="GAP17" s="7158"/>
      <c r="GAQ17" s="7158"/>
      <c r="GAR17" s="7159"/>
      <c r="GAS17" s="7152" t="s">
        <v>175</v>
      </c>
      <c r="GAT17" s="7153"/>
      <c r="GAU17" s="7153"/>
      <c r="GAV17" s="7153"/>
      <c r="GAW17" s="7157"/>
      <c r="GAX17" s="7157"/>
      <c r="GAY17" s="7157"/>
      <c r="GAZ17" s="7157"/>
      <c r="GBA17" s="7157"/>
      <c r="GBB17" s="7157"/>
      <c r="GBC17" s="7158"/>
      <c r="GBD17" s="7158"/>
      <c r="GBE17" s="7158"/>
      <c r="GBF17" s="7158"/>
      <c r="GBG17" s="7158"/>
      <c r="GBH17" s="7159"/>
      <c r="GBI17" s="7152" t="s">
        <v>175</v>
      </c>
      <c r="GBJ17" s="7153"/>
      <c r="GBK17" s="7153"/>
      <c r="GBL17" s="7153"/>
      <c r="GBM17" s="7157"/>
      <c r="GBN17" s="7157"/>
      <c r="GBO17" s="7157"/>
      <c r="GBP17" s="7157"/>
      <c r="GBQ17" s="7157"/>
      <c r="GBR17" s="7157"/>
      <c r="GBS17" s="7158"/>
      <c r="GBT17" s="7158"/>
      <c r="GBU17" s="7158"/>
      <c r="GBV17" s="7158"/>
      <c r="GBW17" s="7158"/>
      <c r="GBX17" s="7159"/>
      <c r="GBY17" s="7152" t="s">
        <v>175</v>
      </c>
      <c r="GBZ17" s="7153"/>
      <c r="GCA17" s="7153"/>
      <c r="GCB17" s="7153"/>
      <c r="GCC17" s="7157"/>
      <c r="GCD17" s="7157"/>
      <c r="GCE17" s="7157"/>
      <c r="GCF17" s="7157"/>
      <c r="GCG17" s="7157"/>
      <c r="GCH17" s="7157"/>
      <c r="GCI17" s="7158"/>
      <c r="GCJ17" s="7158"/>
      <c r="GCK17" s="7158"/>
      <c r="GCL17" s="7158"/>
      <c r="GCM17" s="7158"/>
      <c r="GCN17" s="7159"/>
      <c r="GCO17" s="7152" t="s">
        <v>175</v>
      </c>
      <c r="GCP17" s="7153"/>
      <c r="GCQ17" s="7153"/>
      <c r="GCR17" s="7153"/>
      <c r="GCS17" s="7157"/>
      <c r="GCT17" s="7157"/>
      <c r="GCU17" s="7157"/>
      <c r="GCV17" s="7157"/>
      <c r="GCW17" s="7157"/>
      <c r="GCX17" s="7157"/>
      <c r="GCY17" s="7158"/>
      <c r="GCZ17" s="7158"/>
      <c r="GDA17" s="7158"/>
      <c r="GDB17" s="7158"/>
      <c r="GDC17" s="7158"/>
      <c r="GDD17" s="7159"/>
      <c r="GDE17" s="7152" t="s">
        <v>175</v>
      </c>
      <c r="GDF17" s="7153"/>
      <c r="GDG17" s="7153"/>
      <c r="GDH17" s="7153"/>
      <c r="GDI17" s="7157"/>
      <c r="GDJ17" s="7157"/>
      <c r="GDK17" s="7157"/>
      <c r="GDL17" s="7157"/>
      <c r="GDM17" s="7157"/>
      <c r="GDN17" s="7157"/>
      <c r="GDO17" s="7158"/>
      <c r="GDP17" s="7158"/>
      <c r="GDQ17" s="7158"/>
      <c r="GDR17" s="7158"/>
      <c r="GDS17" s="7158"/>
      <c r="GDT17" s="7159"/>
      <c r="GDU17" s="7152" t="s">
        <v>175</v>
      </c>
      <c r="GDV17" s="7153"/>
      <c r="GDW17" s="7153"/>
      <c r="GDX17" s="7153"/>
      <c r="GDY17" s="7157"/>
      <c r="GDZ17" s="7157"/>
      <c r="GEA17" s="7157"/>
      <c r="GEB17" s="7157"/>
      <c r="GEC17" s="7157"/>
      <c r="GED17" s="7157"/>
      <c r="GEE17" s="7158"/>
      <c r="GEF17" s="7158"/>
      <c r="GEG17" s="7158"/>
      <c r="GEH17" s="7158"/>
      <c r="GEI17" s="7158"/>
      <c r="GEJ17" s="7159"/>
      <c r="GEK17" s="7152" t="s">
        <v>175</v>
      </c>
      <c r="GEL17" s="7153"/>
      <c r="GEM17" s="7153"/>
      <c r="GEN17" s="7153"/>
      <c r="GEO17" s="7157"/>
      <c r="GEP17" s="7157"/>
      <c r="GEQ17" s="7157"/>
      <c r="GER17" s="7157"/>
      <c r="GES17" s="7157"/>
      <c r="GET17" s="7157"/>
      <c r="GEU17" s="7158"/>
      <c r="GEV17" s="7158"/>
      <c r="GEW17" s="7158"/>
      <c r="GEX17" s="7158"/>
      <c r="GEY17" s="7158"/>
      <c r="GEZ17" s="7159"/>
      <c r="GFA17" s="7152" t="s">
        <v>175</v>
      </c>
      <c r="GFB17" s="7153"/>
      <c r="GFC17" s="7153"/>
      <c r="GFD17" s="7153"/>
      <c r="GFE17" s="7157"/>
      <c r="GFF17" s="7157"/>
      <c r="GFG17" s="7157"/>
      <c r="GFH17" s="7157"/>
      <c r="GFI17" s="7157"/>
      <c r="GFJ17" s="7157"/>
      <c r="GFK17" s="7158"/>
      <c r="GFL17" s="7158"/>
      <c r="GFM17" s="7158"/>
      <c r="GFN17" s="7158"/>
      <c r="GFO17" s="7158"/>
      <c r="GFP17" s="7159"/>
      <c r="GFQ17" s="7152" t="s">
        <v>175</v>
      </c>
      <c r="GFR17" s="7153"/>
      <c r="GFS17" s="7153"/>
      <c r="GFT17" s="7153"/>
      <c r="GFU17" s="7157"/>
      <c r="GFV17" s="7157"/>
      <c r="GFW17" s="7157"/>
      <c r="GFX17" s="7157"/>
      <c r="GFY17" s="7157"/>
      <c r="GFZ17" s="7157"/>
      <c r="GGA17" s="7158"/>
      <c r="GGB17" s="7158"/>
      <c r="GGC17" s="7158"/>
      <c r="GGD17" s="7158"/>
      <c r="GGE17" s="7158"/>
      <c r="GGF17" s="7159"/>
      <c r="GGG17" s="7152" t="s">
        <v>175</v>
      </c>
      <c r="GGH17" s="7153"/>
      <c r="GGI17" s="7153"/>
      <c r="GGJ17" s="7153"/>
      <c r="GGK17" s="7157"/>
      <c r="GGL17" s="7157"/>
      <c r="GGM17" s="7157"/>
      <c r="GGN17" s="7157"/>
      <c r="GGO17" s="7157"/>
      <c r="GGP17" s="7157"/>
      <c r="GGQ17" s="7158"/>
      <c r="GGR17" s="7158"/>
      <c r="GGS17" s="7158"/>
      <c r="GGT17" s="7158"/>
      <c r="GGU17" s="7158"/>
      <c r="GGV17" s="7159"/>
      <c r="GGW17" s="7152" t="s">
        <v>175</v>
      </c>
      <c r="GGX17" s="7153"/>
      <c r="GGY17" s="7153"/>
      <c r="GGZ17" s="7153"/>
      <c r="GHA17" s="7157"/>
      <c r="GHB17" s="7157"/>
      <c r="GHC17" s="7157"/>
      <c r="GHD17" s="7157"/>
      <c r="GHE17" s="7157"/>
      <c r="GHF17" s="7157"/>
      <c r="GHG17" s="7158"/>
      <c r="GHH17" s="7158"/>
      <c r="GHI17" s="7158"/>
      <c r="GHJ17" s="7158"/>
      <c r="GHK17" s="7158"/>
      <c r="GHL17" s="7159"/>
      <c r="GHM17" s="7152" t="s">
        <v>175</v>
      </c>
      <c r="GHN17" s="7153"/>
      <c r="GHO17" s="7153"/>
      <c r="GHP17" s="7153"/>
      <c r="GHQ17" s="7157"/>
      <c r="GHR17" s="7157"/>
      <c r="GHS17" s="7157"/>
      <c r="GHT17" s="7157"/>
      <c r="GHU17" s="7157"/>
      <c r="GHV17" s="7157"/>
      <c r="GHW17" s="7158"/>
      <c r="GHX17" s="7158"/>
      <c r="GHY17" s="7158"/>
      <c r="GHZ17" s="7158"/>
      <c r="GIA17" s="7158"/>
      <c r="GIB17" s="7159"/>
      <c r="GIC17" s="7152" t="s">
        <v>175</v>
      </c>
      <c r="GID17" s="7153"/>
      <c r="GIE17" s="7153"/>
      <c r="GIF17" s="7153"/>
      <c r="GIG17" s="7157"/>
      <c r="GIH17" s="7157"/>
      <c r="GII17" s="7157"/>
      <c r="GIJ17" s="7157"/>
      <c r="GIK17" s="7157"/>
      <c r="GIL17" s="7157"/>
      <c r="GIM17" s="7158"/>
      <c r="GIN17" s="7158"/>
      <c r="GIO17" s="7158"/>
      <c r="GIP17" s="7158"/>
      <c r="GIQ17" s="7158"/>
      <c r="GIR17" s="7159"/>
      <c r="GIS17" s="7152" t="s">
        <v>175</v>
      </c>
      <c r="GIT17" s="7153"/>
      <c r="GIU17" s="7153"/>
      <c r="GIV17" s="7153"/>
      <c r="GIW17" s="7157"/>
      <c r="GIX17" s="7157"/>
      <c r="GIY17" s="7157"/>
      <c r="GIZ17" s="7157"/>
      <c r="GJA17" s="7157"/>
      <c r="GJB17" s="7157"/>
      <c r="GJC17" s="7158"/>
      <c r="GJD17" s="7158"/>
      <c r="GJE17" s="7158"/>
      <c r="GJF17" s="7158"/>
      <c r="GJG17" s="7158"/>
      <c r="GJH17" s="7159"/>
      <c r="GJI17" s="7152" t="s">
        <v>175</v>
      </c>
      <c r="GJJ17" s="7153"/>
      <c r="GJK17" s="7153"/>
      <c r="GJL17" s="7153"/>
      <c r="GJM17" s="7157"/>
      <c r="GJN17" s="7157"/>
      <c r="GJO17" s="7157"/>
      <c r="GJP17" s="7157"/>
      <c r="GJQ17" s="7157"/>
      <c r="GJR17" s="7157"/>
      <c r="GJS17" s="7158"/>
      <c r="GJT17" s="7158"/>
      <c r="GJU17" s="7158"/>
      <c r="GJV17" s="7158"/>
      <c r="GJW17" s="7158"/>
      <c r="GJX17" s="7159"/>
      <c r="GJY17" s="7152" t="s">
        <v>175</v>
      </c>
      <c r="GJZ17" s="7153"/>
      <c r="GKA17" s="7153"/>
      <c r="GKB17" s="7153"/>
      <c r="GKC17" s="7157"/>
      <c r="GKD17" s="7157"/>
      <c r="GKE17" s="7157"/>
      <c r="GKF17" s="7157"/>
      <c r="GKG17" s="7157"/>
      <c r="GKH17" s="7157"/>
      <c r="GKI17" s="7158"/>
      <c r="GKJ17" s="7158"/>
      <c r="GKK17" s="7158"/>
      <c r="GKL17" s="7158"/>
      <c r="GKM17" s="7158"/>
      <c r="GKN17" s="7159"/>
      <c r="GKO17" s="7152" t="s">
        <v>175</v>
      </c>
      <c r="GKP17" s="7153"/>
      <c r="GKQ17" s="7153"/>
      <c r="GKR17" s="7153"/>
      <c r="GKS17" s="7157"/>
      <c r="GKT17" s="7157"/>
      <c r="GKU17" s="7157"/>
      <c r="GKV17" s="7157"/>
      <c r="GKW17" s="7157"/>
      <c r="GKX17" s="7157"/>
      <c r="GKY17" s="7158"/>
      <c r="GKZ17" s="7158"/>
      <c r="GLA17" s="7158"/>
      <c r="GLB17" s="7158"/>
      <c r="GLC17" s="7158"/>
      <c r="GLD17" s="7159"/>
      <c r="GLE17" s="7152" t="s">
        <v>175</v>
      </c>
      <c r="GLF17" s="7153"/>
      <c r="GLG17" s="7153"/>
      <c r="GLH17" s="7153"/>
      <c r="GLI17" s="7157"/>
      <c r="GLJ17" s="7157"/>
      <c r="GLK17" s="7157"/>
      <c r="GLL17" s="7157"/>
      <c r="GLM17" s="7157"/>
      <c r="GLN17" s="7157"/>
      <c r="GLO17" s="7158"/>
      <c r="GLP17" s="7158"/>
      <c r="GLQ17" s="7158"/>
      <c r="GLR17" s="7158"/>
      <c r="GLS17" s="7158"/>
      <c r="GLT17" s="7159"/>
      <c r="GLU17" s="7152" t="s">
        <v>175</v>
      </c>
      <c r="GLV17" s="7153"/>
      <c r="GLW17" s="7153"/>
      <c r="GLX17" s="7153"/>
      <c r="GLY17" s="7157"/>
      <c r="GLZ17" s="7157"/>
      <c r="GMA17" s="7157"/>
      <c r="GMB17" s="7157"/>
      <c r="GMC17" s="7157"/>
      <c r="GMD17" s="7157"/>
      <c r="GME17" s="7158"/>
      <c r="GMF17" s="7158"/>
      <c r="GMG17" s="7158"/>
      <c r="GMH17" s="7158"/>
      <c r="GMI17" s="7158"/>
      <c r="GMJ17" s="7159"/>
      <c r="GMK17" s="7152" t="s">
        <v>175</v>
      </c>
      <c r="GML17" s="7153"/>
      <c r="GMM17" s="7153"/>
      <c r="GMN17" s="7153"/>
      <c r="GMO17" s="7157"/>
      <c r="GMP17" s="7157"/>
      <c r="GMQ17" s="7157"/>
      <c r="GMR17" s="7157"/>
      <c r="GMS17" s="7157"/>
      <c r="GMT17" s="7157"/>
      <c r="GMU17" s="7158"/>
      <c r="GMV17" s="7158"/>
      <c r="GMW17" s="7158"/>
      <c r="GMX17" s="7158"/>
      <c r="GMY17" s="7158"/>
      <c r="GMZ17" s="7159"/>
      <c r="GNA17" s="7152" t="s">
        <v>175</v>
      </c>
      <c r="GNB17" s="7153"/>
      <c r="GNC17" s="7153"/>
      <c r="GND17" s="7153"/>
      <c r="GNE17" s="7157"/>
      <c r="GNF17" s="7157"/>
      <c r="GNG17" s="7157"/>
      <c r="GNH17" s="7157"/>
      <c r="GNI17" s="7157"/>
      <c r="GNJ17" s="7157"/>
      <c r="GNK17" s="7158"/>
      <c r="GNL17" s="7158"/>
      <c r="GNM17" s="7158"/>
      <c r="GNN17" s="7158"/>
      <c r="GNO17" s="7158"/>
      <c r="GNP17" s="7159"/>
      <c r="GNQ17" s="7152" t="s">
        <v>175</v>
      </c>
      <c r="GNR17" s="7153"/>
      <c r="GNS17" s="7153"/>
      <c r="GNT17" s="7153"/>
      <c r="GNU17" s="7157"/>
      <c r="GNV17" s="7157"/>
      <c r="GNW17" s="7157"/>
      <c r="GNX17" s="7157"/>
      <c r="GNY17" s="7157"/>
      <c r="GNZ17" s="7157"/>
      <c r="GOA17" s="7158"/>
      <c r="GOB17" s="7158"/>
      <c r="GOC17" s="7158"/>
      <c r="GOD17" s="7158"/>
      <c r="GOE17" s="7158"/>
      <c r="GOF17" s="7159"/>
      <c r="GOG17" s="7152" t="s">
        <v>175</v>
      </c>
      <c r="GOH17" s="7153"/>
      <c r="GOI17" s="7153"/>
      <c r="GOJ17" s="7153"/>
      <c r="GOK17" s="7157"/>
      <c r="GOL17" s="7157"/>
      <c r="GOM17" s="7157"/>
      <c r="GON17" s="7157"/>
      <c r="GOO17" s="7157"/>
      <c r="GOP17" s="7157"/>
      <c r="GOQ17" s="7158"/>
      <c r="GOR17" s="7158"/>
      <c r="GOS17" s="7158"/>
      <c r="GOT17" s="7158"/>
      <c r="GOU17" s="7158"/>
      <c r="GOV17" s="7159"/>
      <c r="GOW17" s="7152" t="s">
        <v>175</v>
      </c>
      <c r="GOX17" s="7153"/>
      <c r="GOY17" s="7153"/>
      <c r="GOZ17" s="7153"/>
      <c r="GPA17" s="7157"/>
      <c r="GPB17" s="7157"/>
      <c r="GPC17" s="7157"/>
      <c r="GPD17" s="7157"/>
      <c r="GPE17" s="7157"/>
      <c r="GPF17" s="7157"/>
      <c r="GPG17" s="7158"/>
      <c r="GPH17" s="7158"/>
      <c r="GPI17" s="7158"/>
      <c r="GPJ17" s="7158"/>
      <c r="GPK17" s="7158"/>
      <c r="GPL17" s="7159"/>
      <c r="GPM17" s="7152" t="s">
        <v>175</v>
      </c>
      <c r="GPN17" s="7153"/>
      <c r="GPO17" s="7153"/>
      <c r="GPP17" s="7153"/>
      <c r="GPQ17" s="7157"/>
      <c r="GPR17" s="7157"/>
      <c r="GPS17" s="7157"/>
      <c r="GPT17" s="7157"/>
      <c r="GPU17" s="7157"/>
      <c r="GPV17" s="7157"/>
      <c r="GPW17" s="7158"/>
      <c r="GPX17" s="7158"/>
      <c r="GPY17" s="7158"/>
      <c r="GPZ17" s="7158"/>
      <c r="GQA17" s="7158"/>
      <c r="GQB17" s="7159"/>
      <c r="GQC17" s="7152" t="s">
        <v>175</v>
      </c>
      <c r="GQD17" s="7153"/>
      <c r="GQE17" s="7153"/>
      <c r="GQF17" s="7153"/>
      <c r="GQG17" s="7157"/>
      <c r="GQH17" s="7157"/>
      <c r="GQI17" s="7157"/>
      <c r="GQJ17" s="7157"/>
      <c r="GQK17" s="7157"/>
      <c r="GQL17" s="7157"/>
      <c r="GQM17" s="7158"/>
      <c r="GQN17" s="7158"/>
      <c r="GQO17" s="7158"/>
      <c r="GQP17" s="7158"/>
      <c r="GQQ17" s="7158"/>
      <c r="GQR17" s="7159"/>
      <c r="GQS17" s="7152" t="s">
        <v>175</v>
      </c>
      <c r="GQT17" s="7153"/>
      <c r="GQU17" s="7153"/>
      <c r="GQV17" s="7153"/>
      <c r="GQW17" s="7157"/>
      <c r="GQX17" s="7157"/>
      <c r="GQY17" s="7157"/>
      <c r="GQZ17" s="7157"/>
      <c r="GRA17" s="7157"/>
      <c r="GRB17" s="7157"/>
      <c r="GRC17" s="7158"/>
      <c r="GRD17" s="7158"/>
      <c r="GRE17" s="7158"/>
      <c r="GRF17" s="7158"/>
      <c r="GRG17" s="7158"/>
      <c r="GRH17" s="7159"/>
      <c r="GRI17" s="7152" t="s">
        <v>175</v>
      </c>
      <c r="GRJ17" s="7153"/>
      <c r="GRK17" s="7153"/>
      <c r="GRL17" s="7153"/>
      <c r="GRM17" s="7157"/>
      <c r="GRN17" s="7157"/>
      <c r="GRO17" s="7157"/>
      <c r="GRP17" s="7157"/>
      <c r="GRQ17" s="7157"/>
      <c r="GRR17" s="7157"/>
      <c r="GRS17" s="7158"/>
      <c r="GRT17" s="7158"/>
      <c r="GRU17" s="7158"/>
      <c r="GRV17" s="7158"/>
      <c r="GRW17" s="7158"/>
      <c r="GRX17" s="7159"/>
      <c r="GRY17" s="7152" t="s">
        <v>175</v>
      </c>
      <c r="GRZ17" s="7153"/>
      <c r="GSA17" s="7153"/>
      <c r="GSB17" s="7153"/>
      <c r="GSC17" s="7157"/>
      <c r="GSD17" s="7157"/>
      <c r="GSE17" s="7157"/>
      <c r="GSF17" s="7157"/>
      <c r="GSG17" s="7157"/>
      <c r="GSH17" s="7157"/>
      <c r="GSI17" s="7158"/>
      <c r="GSJ17" s="7158"/>
      <c r="GSK17" s="7158"/>
      <c r="GSL17" s="7158"/>
      <c r="GSM17" s="7158"/>
      <c r="GSN17" s="7159"/>
      <c r="GSO17" s="7152" t="s">
        <v>175</v>
      </c>
      <c r="GSP17" s="7153"/>
      <c r="GSQ17" s="7153"/>
      <c r="GSR17" s="7153"/>
      <c r="GSS17" s="7157"/>
      <c r="GST17" s="7157"/>
      <c r="GSU17" s="7157"/>
      <c r="GSV17" s="7157"/>
      <c r="GSW17" s="7157"/>
      <c r="GSX17" s="7157"/>
      <c r="GSY17" s="7158"/>
      <c r="GSZ17" s="7158"/>
      <c r="GTA17" s="7158"/>
      <c r="GTB17" s="7158"/>
      <c r="GTC17" s="7158"/>
      <c r="GTD17" s="7159"/>
      <c r="GTE17" s="7152" t="s">
        <v>175</v>
      </c>
      <c r="GTF17" s="7153"/>
      <c r="GTG17" s="7153"/>
      <c r="GTH17" s="7153"/>
      <c r="GTI17" s="7157"/>
      <c r="GTJ17" s="7157"/>
      <c r="GTK17" s="7157"/>
      <c r="GTL17" s="7157"/>
      <c r="GTM17" s="7157"/>
      <c r="GTN17" s="7157"/>
      <c r="GTO17" s="7158"/>
      <c r="GTP17" s="7158"/>
      <c r="GTQ17" s="7158"/>
      <c r="GTR17" s="7158"/>
      <c r="GTS17" s="7158"/>
      <c r="GTT17" s="7159"/>
      <c r="GTU17" s="7152" t="s">
        <v>175</v>
      </c>
      <c r="GTV17" s="7153"/>
      <c r="GTW17" s="7153"/>
      <c r="GTX17" s="7153"/>
      <c r="GTY17" s="7157"/>
      <c r="GTZ17" s="7157"/>
      <c r="GUA17" s="7157"/>
      <c r="GUB17" s="7157"/>
      <c r="GUC17" s="7157"/>
      <c r="GUD17" s="7157"/>
      <c r="GUE17" s="7158"/>
      <c r="GUF17" s="7158"/>
      <c r="GUG17" s="7158"/>
      <c r="GUH17" s="7158"/>
      <c r="GUI17" s="7158"/>
      <c r="GUJ17" s="7159"/>
      <c r="GUK17" s="7152" t="s">
        <v>175</v>
      </c>
      <c r="GUL17" s="7153"/>
      <c r="GUM17" s="7153"/>
      <c r="GUN17" s="7153"/>
      <c r="GUO17" s="7157"/>
      <c r="GUP17" s="7157"/>
      <c r="GUQ17" s="7157"/>
      <c r="GUR17" s="7157"/>
      <c r="GUS17" s="7157"/>
      <c r="GUT17" s="7157"/>
      <c r="GUU17" s="7158"/>
      <c r="GUV17" s="7158"/>
      <c r="GUW17" s="7158"/>
      <c r="GUX17" s="7158"/>
      <c r="GUY17" s="7158"/>
      <c r="GUZ17" s="7159"/>
      <c r="GVA17" s="7152" t="s">
        <v>175</v>
      </c>
      <c r="GVB17" s="7153"/>
      <c r="GVC17" s="7153"/>
      <c r="GVD17" s="7153"/>
      <c r="GVE17" s="7157"/>
      <c r="GVF17" s="7157"/>
      <c r="GVG17" s="7157"/>
      <c r="GVH17" s="7157"/>
      <c r="GVI17" s="7157"/>
      <c r="GVJ17" s="7157"/>
      <c r="GVK17" s="7158"/>
      <c r="GVL17" s="7158"/>
      <c r="GVM17" s="7158"/>
      <c r="GVN17" s="7158"/>
      <c r="GVO17" s="7158"/>
      <c r="GVP17" s="7159"/>
      <c r="GVQ17" s="7152" t="s">
        <v>175</v>
      </c>
      <c r="GVR17" s="7153"/>
      <c r="GVS17" s="7153"/>
      <c r="GVT17" s="7153"/>
      <c r="GVU17" s="7157"/>
      <c r="GVV17" s="7157"/>
      <c r="GVW17" s="7157"/>
      <c r="GVX17" s="7157"/>
      <c r="GVY17" s="7157"/>
      <c r="GVZ17" s="7157"/>
      <c r="GWA17" s="7158"/>
      <c r="GWB17" s="7158"/>
      <c r="GWC17" s="7158"/>
      <c r="GWD17" s="7158"/>
      <c r="GWE17" s="7158"/>
      <c r="GWF17" s="7159"/>
      <c r="GWG17" s="7152" t="s">
        <v>175</v>
      </c>
      <c r="GWH17" s="7153"/>
      <c r="GWI17" s="7153"/>
      <c r="GWJ17" s="7153"/>
      <c r="GWK17" s="7157"/>
      <c r="GWL17" s="7157"/>
      <c r="GWM17" s="7157"/>
      <c r="GWN17" s="7157"/>
      <c r="GWO17" s="7157"/>
      <c r="GWP17" s="7157"/>
      <c r="GWQ17" s="7158"/>
      <c r="GWR17" s="7158"/>
      <c r="GWS17" s="7158"/>
      <c r="GWT17" s="7158"/>
      <c r="GWU17" s="7158"/>
      <c r="GWV17" s="7159"/>
      <c r="GWW17" s="7152" t="s">
        <v>175</v>
      </c>
      <c r="GWX17" s="7153"/>
      <c r="GWY17" s="7153"/>
      <c r="GWZ17" s="7153"/>
      <c r="GXA17" s="7157"/>
      <c r="GXB17" s="7157"/>
      <c r="GXC17" s="7157"/>
      <c r="GXD17" s="7157"/>
      <c r="GXE17" s="7157"/>
      <c r="GXF17" s="7157"/>
      <c r="GXG17" s="7158"/>
      <c r="GXH17" s="7158"/>
      <c r="GXI17" s="7158"/>
      <c r="GXJ17" s="7158"/>
      <c r="GXK17" s="7158"/>
      <c r="GXL17" s="7159"/>
      <c r="GXM17" s="7152" t="s">
        <v>175</v>
      </c>
      <c r="GXN17" s="7153"/>
      <c r="GXO17" s="7153"/>
      <c r="GXP17" s="7153"/>
      <c r="GXQ17" s="7157"/>
      <c r="GXR17" s="7157"/>
      <c r="GXS17" s="7157"/>
      <c r="GXT17" s="7157"/>
      <c r="GXU17" s="7157"/>
      <c r="GXV17" s="7157"/>
      <c r="GXW17" s="7158"/>
      <c r="GXX17" s="7158"/>
      <c r="GXY17" s="7158"/>
      <c r="GXZ17" s="7158"/>
      <c r="GYA17" s="7158"/>
      <c r="GYB17" s="7159"/>
      <c r="GYC17" s="7152" t="s">
        <v>175</v>
      </c>
      <c r="GYD17" s="7153"/>
      <c r="GYE17" s="7153"/>
      <c r="GYF17" s="7153"/>
      <c r="GYG17" s="7157"/>
      <c r="GYH17" s="7157"/>
      <c r="GYI17" s="7157"/>
      <c r="GYJ17" s="7157"/>
      <c r="GYK17" s="7157"/>
      <c r="GYL17" s="7157"/>
      <c r="GYM17" s="7158"/>
      <c r="GYN17" s="7158"/>
      <c r="GYO17" s="7158"/>
      <c r="GYP17" s="7158"/>
      <c r="GYQ17" s="7158"/>
      <c r="GYR17" s="7159"/>
      <c r="GYS17" s="7152" t="s">
        <v>175</v>
      </c>
      <c r="GYT17" s="7153"/>
      <c r="GYU17" s="7153"/>
      <c r="GYV17" s="7153"/>
      <c r="GYW17" s="7157"/>
      <c r="GYX17" s="7157"/>
      <c r="GYY17" s="7157"/>
      <c r="GYZ17" s="7157"/>
      <c r="GZA17" s="7157"/>
      <c r="GZB17" s="7157"/>
      <c r="GZC17" s="7158"/>
      <c r="GZD17" s="7158"/>
      <c r="GZE17" s="7158"/>
      <c r="GZF17" s="7158"/>
      <c r="GZG17" s="7158"/>
      <c r="GZH17" s="7159"/>
      <c r="GZI17" s="7152" t="s">
        <v>175</v>
      </c>
      <c r="GZJ17" s="7153"/>
      <c r="GZK17" s="7153"/>
      <c r="GZL17" s="7153"/>
      <c r="GZM17" s="7157"/>
      <c r="GZN17" s="7157"/>
      <c r="GZO17" s="7157"/>
      <c r="GZP17" s="7157"/>
      <c r="GZQ17" s="7157"/>
      <c r="GZR17" s="7157"/>
      <c r="GZS17" s="7158"/>
      <c r="GZT17" s="7158"/>
      <c r="GZU17" s="7158"/>
      <c r="GZV17" s="7158"/>
      <c r="GZW17" s="7158"/>
      <c r="GZX17" s="7159"/>
      <c r="GZY17" s="7152" t="s">
        <v>175</v>
      </c>
      <c r="GZZ17" s="7153"/>
      <c r="HAA17" s="7153"/>
      <c r="HAB17" s="7153"/>
      <c r="HAC17" s="7157"/>
      <c r="HAD17" s="7157"/>
      <c r="HAE17" s="7157"/>
      <c r="HAF17" s="7157"/>
      <c r="HAG17" s="7157"/>
      <c r="HAH17" s="7157"/>
      <c r="HAI17" s="7158"/>
      <c r="HAJ17" s="7158"/>
      <c r="HAK17" s="7158"/>
      <c r="HAL17" s="7158"/>
      <c r="HAM17" s="7158"/>
      <c r="HAN17" s="7159"/>
      <c r="HAO17" s="7152" t="s">
        <v>175</v>
      </c>
      <c r="HAP17" s="7153"/>
      <c r="HAQ17" s="7153"/>
      <c r="HAR17" s="7153"/>
      <c r="HAS17" s="7157"/>
      <c r="HAT17" s="7157"/>
      <c r="HAU17" s="7157"/>
      <c r="HAV17" s="7157"/>
      <c r="HAW17" s="7157"/>
      <c r="HAX17" s="7157"/>
      <c r="HAY17" s="7158"/>
      <c r="HAZ17" s="7158"/>
      <c r="HBA17" s="7158"/>
      <c r="HBB17" s="7158"/>
      <c r="HBC17" s="7158"/>
      <c r="HBD17" s="7159"/>
      <c r="HBE17" s="7152" t="s">
        <v>175</v>
      </c>
      <c r="HBF17" s="7153"/>
      <c r="HBG17" s="7153"/>
      <c r="HBH17" s="7153"/>
      <c r="HBI17" s="7157"/>
      <c r="HBJ17" s="7157"/>
      <c r="HBK17" s="7157"/>
      <c r="HBL17" s="7157"/>
      <c r="HBM17" s="7157"/>
      <c r="HBN17" s="7157"/>
      <c r="HBO17" s="7158"/>
      <c r="HBP17" s="7158"/>
      <c r="HBQ17" s="7158"/>
      <c r="HBR17" s="7158"/>
      <c r="HBS17" s="7158"/>
      <c r="HBT17" s="7159"/>
      <c r="HBU17" s="7152" t="s">
        <v>175</v>
      </c>
      <c r="HBV17" s="7153"/>
      <c r="HBW17" s="7153"/>
      <c r="HBX17" s="7153"/>
      <c r="HBY17" s="7157"/>
      <c r="HBZ17" s="7157"/>
      <c r="HCA17" s="7157"/>
      <c r="HCB17" s="7157"/>
      <c r="HCC17" s="7157"/>
      <c r="HCD17" s="7157"/>
      <c r="HCE17" s="7158"/>
      <c r="HCF17" s="7158"/>
      <c r="HCG17" s="7158"/>
      <c r="HCH17" s="7158"/>
      <c r="HCI17" s="7158"/>
      <c r="HCJ17" s="7159"/>
      <c r="HCK17" s="7152" t="s">
        <v>175</v>
      </c>
      <c r="HCL17" s="7153"/>
      <c r="HCM17" s="7153"/>
      <c r="HCN17" s="7153"/>
      <c r="HCO17" s="7157"/>
      <c r="HCP17" s="7157"/>
      <c r="HCQ17" s="7157"/>
      <c r="HCR17" s="7157"/>
      <c r="HCS17" s="7157"/>
      <c r="HCT17" s="7157"/>
      <c r="HCU17" s="7158"/>
      <c r="HCV17" s="7158"/>
      <c r="HCW17" s="7158"/>
      <c r="HCX17" s="7158"/>
      <c r="HCY17" s="7158"/>
      <c r="HCZ17" s="7159"/>
      <c r="HDA17" s="7152" t="s">
        <v>175</v>
      </c>
      <c r="HDB17" s="7153"/>
      <c r="HDC17" s="7153"/>
      <c r="HDD17" s="7153"/>
      <c r="HDE17" s="7157"/>
      <c r="HDF17" s="7157"/>
      <c r="HDG17" s="7157"/>
      <c r="HDH17" s="7157"/>
      <c r="HDI17" s="7157"/>
      <c r="HDJ17" s="7157"/>
      <c r="HDK17" s="7158"/>
      <c r="HDL17" s="7158"/>
      <c r="HDM17" s="7158"/>
      <c r="HDN17" s="7158"/>
      <c r="HDO17" s="7158"/>
      <c r="HDP17" s="7159"/>
      <c r="HDQ17" s="7152" t="s">
        <v>175</v>
      </c>
      <c r="HDR17" s="7153"/>
      <c r="HDS17" s="7153"/>
      <c r="HDT17" s="7153"/>
      <c r="HDU17" s="7157"/>
      <c r="HDV17" s="7157"/>
      <c r="HDW17" s="7157"/>
      <c r="HDX17" s="7157"/>
      <c r="HDY17" s="7157"/>
      <c r="HDZ17" s="7157"/>
      <c r="HEA17" s="7158"/>
      <c r="HEB17" s="7158"/>
      <c r="HEC17" s="7158"/>
      <c r="HED17" s="7158"/>
      <c r="HEE17" s="7158"/>
      <c r="HEF17" s="7159"/>
      <c r="HEG17" s="7152" t="s">
        <v>175</v>
      </c>
      <c r="HEH17" s="7153"/>
      <c r="HEI17" s="7153"/>
      <c r="HEJ17" s="7153"/>
      <c r="HEK17" s="7157"/>
      <c r="HEL17" s="7157"/>
      <c r="HEM17" s="7157"/>
      <c r="HEN17" s="7157"/>
      <c r="HEO17" s="7157"/>
      <c r="HEP17" s="7157"/>
      <c r="HEQ17" s="7158"/>
      <c r="HER17" s="7158"/>
      <c r="HES17" s="7158"/>
      <c r="HET17" s="7158"/>
      <c r="HEU17" s="7158"/>
      <c r="HEV17" s="7159"/>
      <c r="HEW17" s="7152" t="s">
        <v>175</v>
      </c>
      <c r="HEX17" s="7153"/>
      <c r="HEY17" s="7153"/>
      <c r="HEZ17" s="7153"/>
      <c r="HFA17" s="7157"/>
      <c r="HFB17" s="7157"/>
      <c r="HFC17" s="7157"/>
      <c r="HFD17" s="7157"/>
      <c r="HFE17" s="7157"/>
      <c r="HFF17" s="7157"/>
      <c r="HFG17" s="7158"/>
      <c r="HFH17" s="7158"/>
      <c r="HFI17" s="7158"/>
      <c r="HFJ17" s="7158"/>
      <c r="HFK17" s="7158"/>
      <c r="HFL17" s="7159"/>
      <c r="HFM17" s="7152" t="s">
        <v>175</v>
      </c>
      <c r="HFN17" s="7153"/>
      <c r="HFO17" s="7153"/>
      <c r="HFP17" s="7153"/>
      <c r="HFQ17" s="7157"/>
      <c r="HFR17" s="7157"/>
      <c r="HFS17" s="7157"/>
      <c r="HFT17" s="7157"/>
      <c r="HFU17" s="7157"/>
      <c r="HFV17" s="7157"/>
      <c r="HFW17" s="7158"/>
      <c r="HFX17" s="7158"/>
      <c r="HFY17" s="7158"/>
      <c r="HFZ17" s="7158"/>
      <c r="HGA17" s="7158"/>
      <c r="HGB17" s="7159"/>
      <c r="HGC17" s="7152" t="s">
        <v>175</v>
      </c>
      <c r="HGD17" s="7153"/>
      <c r="HGE17" s="7153"/>
      <c r="HGF17" s="7153"/>
      <c r="HGG17" s="7157"/>
      <c r="HGH17" s="7157"/>
      <c r="HGI17" s="7157"/>
      <c r="HGJ17" s="7157"/>
      <c r="HGK17" s="7157"/>
      <c r="HGL17" s="7157"/>
      <c r="HGM17" s="7158"/>
      <c r="HGN17" s="7158"/>
      <c r="HGO17" s="7158"/>
      <c r="HGP17" s="7158"/>
      <c r="HGQ17" s="7158"/>
      <c r="HGR17" s="7159"/>
      <c r="HGS17" s="7152" t="s">
        <v>175</v>
      </c>
      <c r="HGT17" s="7153"/>
      <c r="HGU17" s="7153"/>
      <c r="HGV17" s="7153"/>
      <c r="HGW17" s="7157"/>
      <c r="HGX17" s="7157"/>
      <c r="HGY17" s="7157"/>
      <c r="HGZ17" s="7157"/>
      <c r="HHA17" s="7157"/>
      <c r="HHB17" s="7157"/>
      <c r="HHC17" s="7158"/>
      <c r="HHD17" s="7158"/>
      <c r="HHE17" s="7158"/>
      <c r="HHF17" s="7158"/>
      <c r="HHG17" s="7158"/>
      <c r="HHH17" s="7159"/>
      <c r="HHI17" s="7152" t="s">
        <v>175</v>
      </c>
      <c r="HHJ17" s="7153"/>
      <c r="HHK17" s="7153"/>
      <c r="HHL17" s="7153"/>
      <c r="HHM17" s="7157"/>
      <c r="HHN17" s="7157"/>
      <c r="HHO17" s="7157"/>
      <c r="HHP17" s="7157"/>
      <c r="HHQ17" s="7157"/>
      <c r="HHR17" s="7157"/>
      <c r="HHS17" s="7158"/>
      <c r="HHT17" s="7158"/>
      <c r="HHU17" s="7158"/>
      <c r="HHV17" s="7158"/>
      <c r="HHW17" s="7158"/>
      <c r="HHX17" s="7159"/>
      <c r="HHY17" s="7152" t="s">
        <v>175</v>
      </c>
      <c r="HHZ17" s="7153"/>
      <c r="HIA17" s="7153"/>
      <c r="HIB17" s="7153"/>
      <c r="HIC17" s="7157"/>
      <c r="HID17" s="7157"/>
      <c r="HIE17" s="7157"/>
      <c r="HIF17" s="7157"/>
      <c r="HIG17" s="7157"/>
      <c r="HIH17" s="7157"/>
      <c r="HII17" s="7158"/>
      <c r="HIJ17" s="7158"/>
      <c r="HIK17" s="7158"/>
      <c r="HIL17" s="7158"/>
      <c r="HIM17" s="7158"/>
      <c r="HIN17" s="7159"/>
      <c r="HIO17" s="7152" t="s">
        <v>175</v>
      </c>
      <c r="HIP17" s="7153"/>
      <c r="HIQ17" s="7153"/>
      <c r="HIR17" s="7153"/>
      <c r="HIS17" s="7157"/>
      <c r="HIT17" s="7157"/>
      <c r="HIU17" s="7157"/>
      <c r="HIV17" s="7157"/>
      <c r="HIW17" s="7157"/>
      <c r="HIX17" s="7157"/>
      <c r="HIY17" s="7158"/>
      <c r="HIZ17" s="7158"/>
      <c r="HJA17" s="7158"/>
      <c r="HJB17" s="7158"/>
      <c r="HJC17" s="7158"/>
      <c r="HJD17" s="7159"/>
      <c r="HJE17" s="7152" t="s">
        <v>175</v>
      </c>
      <c r="HJF17" s="7153"/>
      <c r="HJG17" s="7153"/>
      <c r="HJH17" s="7153"/>
      <c r="HJI17" s="7157"/>
      <c r="HJJ17" s="7157"/>
      <c r="HJK17" s="7157"/>
      <c r="HJL17" s="7157"/>
      <c r="HJM17" s="7157"/>
      <c r="HJN17" s="7157"/>
      <c r="HJO17" s="7158"/>
      <c r="HJP17" s="7158"/>
      <c r="HJQ17" s="7158"/>
      <c r="HJR17" s="7158"/>
      <c r="HJS17" s="7158"/>
      <c r="HJT17" s="7159"/>
      <c r="HJU17" s="7152" t="s">
        <v>175</v>
      </c>
      <c r="HJV17" s="7153"/>
      <c r="HJW17" s="7153"/>
      <c r="HJX17" s="7153"/>
      <c r="HJY17" s="7157"/>
      <c r="HJZ17" s="7157"/>
      <c r="HKA17" s="7157"/>
      <c r="HKB17" s="7157"/>
      <c r="HKC17" s="7157"/>
      <c r="HKD17" s="7157"/>
      <c r="HKE17" s="7158"/>
      <c r="HKF17" s="7158"/>
      <c r="HKG17" s="7158"/>
      <c r="HKH17" s="7158"/>
      <c r="HKI17" s="7158"/>
      <c r="HKJ17" s="7159"/>
      <c r="HKK17" s="7152" t="s">
        <v>175</v>
      </c>
      <c r="HKL17" s="7153"/>
      <c r="HKM17" s="7153"/>
      <c r="HKN17" s="7153"/>
      <c r="HKO17" s="7157"/>
      <c r="HKP17" s="7157"/>
      <c r="HKQ17" s="7157"/>
      <c r="HKR17" s="7157"/>
      <c r="HKS17" s="7157"/>
      <c r="HKT17" s="7157"/>
      <c r="HKU17" s="7158"/>
      <c r="HKV17" s="7158"/>
      <c r="HKW17" s="7158"/>
      <c r="HKX17" s="7158"/>
      <c r="HKY17" s="7158"/>
      <c r="HKZ17" s="7159"/>
      <c r="HLA17" s="7152" t="s">
        <v>175</v>
      </c>
      <c r="HLB17" s="7153"/>
      <c r="HLC17" s="7153"/>
      <c r="HLD17" s="7153"/>
      <c r="HLE17" s="7157"/>
      <c r="HLF17" s="7157"/>
      <c r="HLG17" s="7157"/>
      <c r="HLH17" s="7157"/>
      <c r="HLI17" s="7157"/>
      <c r="HLJ17" s="7157"/>
      <c r="HLK17" s="7158"/>
      <c r="HLL17" s="7158"/>
      <c r="HLM17" s="7158"/>
      <c r="HLN17" s="7158"/>
      <c r="HLO17" s="7158"/>
      <c r="HLP17" s="7159"/>
      <c r="HLQ17" s="7152" t="s">
        <v>175</v>
      </c>
      <c r="HLR17" s="7153"/>
      <c r="HLS17" s="7153"/>
      <c r="HLT17" s="7153"/>
      <c r="HLU17" s="7157"/>
      <c r="HLV17" s="7157"/>
      <c r="HLW17" s="7157"/>
      <c r="HLX17" s="7157"/>
      <c r="HLY17" s="7157"/>
      <c r="HLZ17" s="7157"/>
      <c r="HMA17" s="7158"/>
      <c r="HMB17" s="7158"/>
      <c r="HMC17" s="7158"/>
      <c r="HMD17" s="7158"/>
      <c r="HME17" s="7158"/>
      <c r="HMF17" s="7159"/>
      <c r="HMG17" s="7152" t="s">
        <v>175</v>
      </c>
      <c r="HMH17" s="7153"/>
      <c r="HMI17" s="7153"/>
      <c r="HMJ17" s="7153"/>
      <c r="HMK17" s="7157"/>
      <c r="HML17" s="7157"/>
      <c r="HMM17" s="7157"/>
      <c r="HMN17" s="7157"/>
      <c r="HMO17" s="7157"/>
      <c r="HMP17" s="7157"/>
      <c r="HMQ17" s="7158"/>
      <c r="HMR17" s="7158"/>
      <c r="HMS17" s="7158"/>
      <c r="HMT17" s="7158"/>
      <c r="HMU17" s="7158"/>
      <c r="HMV17" s="7159"/>
      <c r="HMW17" s="7152" t="s">
        <v>175</v>
      </c>
      <c r="HMX17" s="7153"/>
      <c r="HMY17" s="7153"/>
      <c r="HMZ17" s="7153"/>
      <c r="HNA17" s="7157"/>
      <c r="HNB17" s="7157"/>
      <c r="HNC17" s="7157"/>
      <c r="HND17" s="7157"/>
      <c r="HNE17" s="7157"/>
      <c r="HNF17" s="7157"/>
      <c r="HNG17" s="7158"/>
      <c r="HNH17" s="7158"/>
      <c r="HNI17" s="7158"/>
      <c r="HNJ17" s="7158"/>
      <c r="HNK17" s="7158"/>
      <c r="HNL17" s="7159"/>
      <c r="HNM17" s="7152" t="s">
        <v>175</v>
      </c>
      <c r="HNN17" s="7153"/>
      <c r="HNO17" s="7153"/>
      <c r="HNP17" s="7153"/>
      <c r="HNQ17" s="7157"/>
      <c r="HNR17" s="7157"/>
      <c r="HNS17" s="7157"/>
      <c r="HNT17" s="7157"/>
      <c r="HNU17" s="7157"/>
      <c r="HNV17" s="7157"/>
      <c r="HNW17" s="7158"/>
      <c r="HNX17" s="7158"/>
      <c r="HNY17" s="7158"/>
      <c r="HNZ17" s="7158"/>
      <c r="HOA17" s="7158"/>
      <c r="HOB17" s="7159"/>
      <c r="HOC17" s="7152" t="s">
        <v>175</v>
      </c>
      <c r="HOD17" s="7153"/>
      <c r="HOE17" s="7153"/>
      <c r="HOF17" s="7153"/>
      <c r="HOG17" s="7157"/>
      <c r="HOH17" s="7157"/>
      <c r="HOI17" s="7157"/>
      <c r="HOJ17" s="7157"/>
      <c r="HOK17" s="7157"/>
      <c r="HOL17" s="7157"/>
      <c r="HOM17" s="7158"/>
      <c r="HON17" s="7158"/>
      <c r="HOO17" s="7158"/>
      <c r="HOP17" s="7158"/>
      <c r="HOQ17" s="7158"/>
      <c r="HOR17" s="7159"/>
      <c r="HOS17" s="7152" t="s">
        <v>175</v>
      </c>
      <c r="HOT17" s="7153"/>
      <c r="HOU17" s="7153"/>
      <c r="HOV17" s="7153"/>
      <c r="HOW17" s="7157"/>
      <c r="HOX17" s="7157"/>
      <c r="HOY17" s="7157"/>
      <c r="HOZ17" s="7157"/>
      <c r="HPA17" s="7157"/>
      <c r="HPB17" s="7157"/>
      <c r="HPC17" s="7158"/>
      <c r="HPD17" s="7158"/>
      <c r="HPE17" s="7158"/>
      <c r="HPF17" s="7158"/>
      <c r="HPG17" s="7158"/>
      <c r="HPH17" s="7159"/>
      <c r="HPI17" s="7152" t="s">
        <v>175</v>
      </c>
      <c r="HPJ17" s="7153"/>
      <c r="HPK17" s="7153"/>
      <c r="HPL17" s="7153"/>
      <c r="HPM17" s="7157"/>
      <c r="HPN17" s="7157"/>
      <c r="HPO17" s="7157"/>
      <c r="HPP17" s="7157"/>
      <c r="HPQ17" s="7157"/>
      <c r="HPR17" s="7157"/>
      <c r="HPS17" s="7158"/>
      <c r="HPT17" s="7158"/>
      <c r="HPU17" s="7158"/>
      <c r="HPV17" s="7158"/>
      <c r="HPW17" s="7158"/>
      <c r="HPX17" s="7159"/>
      <c r="HPY17" s="7152" t="s">
        <v>175</v>
      </c>
      <c r="HPZ17" s="7153"/>
      <c r="HQA17" s="7153"/>
      <c r="HQB17" s="7153"/>
      <c r="HQC17" s="7157"/>
      <c r="HQD17" s="7157"/>
      <c r="HQE17" s="7157"/>
      <c r="HQF17" s="7157"/>
      <c r="HQG17" s="7157"/>
      <c r="HQH17" s="7157"/>
      <c r="HQI17" s="7158"/>
      <c r="HQJ17" s="7158"/>
      <c r="HQK17" s="7158"/>
      <c r="HQL17" s="7158"/>
      <c r="HQM17" s="7158"/>
      <c r="HQN17" s="7159"/>
      <c r="HQO17" s="7152" t="s">
        <v>175</v>
      </c>
      <c r="HQP17" s="7153"/>
      <c r="HQQ17" s="7153"/>
      <c r="HQR17" s="7153"/>
      <c r="HQS17" s="7157"/>
      <c r="HQT17" s="7157"/>
      <c r="HQU17" s="7157"/>
      <c r="HQV17" s="7157"/>
      <c r="HQW17" s="7157"/>
      <c r="HQX17" s="7157"/>
      <c r="HQY17" s="7158"/>
      <c r="HQZ17" s="7158"/>
      <c r="HRA17" s="7158"/>
      <c r="HRB17" s="7158"/>
      <c r="HRC17" s="7158"/>
      <c r="HRD17" s="7159"/>
      <c r="HRE17" s="7152" t="s">
        <v>175</v>
      </c>
      <c r="HRF17" s="7153"/>
      <c r="HRG17" s="7153"/>
      <c r="HRH17" s="7153"/>
      <c r="HRI17" s="7157"/>
      <c r="HRJ17" s="7157"/>
      <c r="HRK17" s="7157"/>
      <c r="HRL17" s="7157"/>
      <c r="HRM17" s="7157"/>
      <c r="HRN17" s="7157"/>
      <c r="HRO17" s="7158"/>
      <c r="HRP17" s="7158"/>
      <c r="HRQ17" s="7158"/>
      <c r="HRR17" s="7158"/>
      <c r="HRS17" s="7158"/>
      <c r="HRT17" s="7159"/>
      <c r="HRU17" s="7152" t="s">
        <v>175</v>
      </c>
      <c r="HRV17" s="7153"/>
      <c r="HRW17" s="7153"/>
      <c r="HRX17" s="7153"/>
      <c r="HRY17" s="7157"/>
      <c r="HRZ17" s="7157"/>
      <c r="HSA17" s="7157"/>
      <c r="HSB17" s="7157"/>
      <c r="HSC17" s="7157"/>
      <c r="HSD17" s="7157"/>
      <c r="HSE17" s="7158"/>
      <c r="HSF17" s="7158"/>
      <c r="HSG17" s="7158"/>
      <c r="HSH17" s="7158"/>
      <c r="HSI17" s="7158"/>
      <c r="HSJ17" s="7159"/>
      <c r="HSK17" s="7152" t="s">
        <v>175</v>
      </c>
      <c r="HSL17" s="7153"/>
      <c r="HSM17" s="7153"/>
      <c r="HSN17" s="7153"/>
      <c r="HSO17" s="7157"/>
      <c r="HSP17" s="7157"/>
      <c r="HSQ17" s="7157"/>
      <c r="HSR17" s="7157"/>
      <c r="HSS17" s="7157"/>
      <c r="HST17" s="7157"/>
      <c r="HSU17" s="7158"/>
      <c r="HSV17" s="7158"/>
      <c r="HSW17" s="7158"/>
      <c r="HSX17" s="7158"/>
      <c r="HSY17" s="7158"/>
      <c r="HSZ17" s="7159"/>
      <c r="HTA17" s="7152" t="s">
        <v>175</v>
      </c>
      <c r="HTB17" s="7153"/>
      <c r="HTC17" s="7153"/>
      <c r="HTD17" s="7153"/>
      <c r="HTE17" s="7157"/>
      <c r="HTF17" s="7157"/>
      <c r="HTG17" s="7157"/>
      <c r="HTH17" s="7157"/>
      <c r="HTI17" s="7157"/>
      <c r="HTJ17" s="7157"/>
      <c r="HTK17" s="7158"/>
      <c r="HTL17" s="7158"/>
      <c r="HTM17" s="7158"/>
      <c r="HTN17" s="7158"/>
      <c r="HTO17" s="7158"/>
      <c r="HTP17" s="7159"/>
      <c r="HTQ17" s="7152" t="s">
        <v>175</v>
      </c>
      <c r="HTR17" s="7153"/>
      <c r="HTS17" s="7153"/>
      <c r="HTT17" s="7153"/>
      <c r="HTU17" s="7157"/>
      <c r="HTV17" s="7157"/>
      <c r="HTW17" s="7157"/>
      <c r="HTX17" s="7157"/>
      <c r="HTY17" s="7157"/>
      <c r="HTZ17" s="7157"/>
      <c r="HUA17" s="7158"/>
      <c r="HUB17" s="7158"/>
      <c r="HUC17" s="7158"/>
      <c r="HUD17" s="7158"/>
      <c r="HUE17" s="7158"/>
      <c r="HUF17" s="7159"/>
      <c r="HUG17" s="7152" t="s">
        <v>175</v>
      </c>
      <c r="HUH17" s="7153"/>
      <c r="HUI17" s="7153"/>
      <c r="HUJ17" s="7153"/>
      <c r="HUK17" s="7157"/>
      <c r="HUL17" s="7157"/>
      <c r="HUM17" s="7157"/>
      <c r="HUN17" s="7157"/>
      <c r="HUO17" s="7157"/>
      <c r="HUP17" s="7157"/>
      <c r="HUQ17" s="7158"/>
      <c r="HUR17" s="7158"/>
      <c r="HUS17" s="7158"/>
      <c r="HUT17" s="7158"/>
      <c r="HUU17" s="7158"/>
      <c r="HUV17" s="7159"/>
      <c r="HUW17" s="7152" t="s">
        <v>175</v>
      </c>
      <c r="HUX17" s="7153"/>
      <c r="HUY17" s="7153"/>
      <c r="HUZ17" s="7153"/>
      <c r="HVA17" s="7157"/>
      <c r="HVB17" s="7157"/>
      <c r="HVC17" s="7157"/>
      <c r="HVD17" s="7157"/>
      <c r="HVE17" s="7157"/>
      <c r="HVF17" s="7157"/>
      <c r="HVG17" s="7158"/>
      <c r="HVH17" s="7158"/>
      <c r="HVI17" s="7158"/>
      <c r="HVJ17" s="7158"/>
      <c r="HVK17" s="7158"/>
      <c r="HVL17" s="7159"/>
      <c r="HVM17" s="7152" t="s">
        <v>175</v>
      </c>
      <c r="HVN17" s="7153"/>
      <c r="HVO17" s="7153"/>
      <c r="HVP17" s="7153"/>
      <c r="HVQ17" s="7157"/>
      <c r="HVR17" s="7157"/>
      <c r="HVS17" s="7157"/>
      <c r="HVT17" s="7157"/>
      <c r="HVU17" s="7157"/>
      <c r="HVV17" s="7157"/>
      <c r="HVW17" s="7158"/>
      <c r="HVX17" s="7158"/>
      <c r="HVY17" s="7158"/>
      <c r="HVZ17" s="7158"/>
      <c r="HWA17" s="7158"/>
      <c r="HWB17" s="7159"/>
      <c r="HWC17" s="7152" t="s">
        <v>175</v>
      </c>
      <c r="HWD17" s="7153"/>
      <c r="HWE17" s="7153"/>
      <c r="HWF17" s="7153"/>
      <c r="HWG17" s="7157"/>
      <c r="HWH17" s="7157"/>
      <c r="HWI17" s="7157"/>
      <c r="HWJ17" s="7157"/>
      <c r="HWK17" s="7157"/>
      <c r="HWL17" s="7157"/>
      <c r="HWM17" s="7158"/>
      <c r="HWN17" s="7158"/>
      <c r="HWO17" s="7158"/>
      <c r="HWP17" s="7158"/>
      <c r="HWQ17" s="7158"/>
      <c r="HWR17" s="7159"/>
      <c r="HWS17" s="7152" t="s">
        <v>175</v>
      </c>
      <c r="HWT17" s="7153"/>
      <c r="HWU17" s="7153"/>
      <c r="HWV17" s="7153"/>
      <c r="HWW17" s="7157"/>
      <c r="HWX17" s="7157"/>
      <c r="HWY17" s="7157"/>
      <c r="HWZ17" s="7157"/>
      <c r="HXA17" s="7157"/>
      <c r="HXB17" s="7157"/>
      <c r="HXC17" s="7158"/>
      <c r="HXD17" s="7158"/>
      <c r="HXE17" s="7158"/>
      <c r="HXF17" s="7158"/>
      <c r="HXG17" s="7158"/>
      <c r="HXH17" s="7159"/>
      <c r="HXI17" s="7152" t="s">
        <v>175</v>
      </c>
      <c r="HXJ17" s="7153"/>
      <c r="HXK17" s="7153"/>
      <c r="HXL17" s="7153"/>
      <c r="HXM17" s="7157"/>
      <c r="HXN17" s="7157"/>
      <c r="HXO17" s="7157"/>
      <c r="HXP17" s="7157"/>
      <c r="HXQ17" s="7157"/>
      <c r="HXR17" s="7157"/>
      <c r="HXS17" s="7158"/>
      <c r="HXT17" s="7158"/>
      <c r="HXU17" s="7158"/>
      <c r="HXV17" s="7158"/>
      <c r="HXW17" s="7158"/>
      <c r="HXX17" s="7159"/>
      <c r="HXY17" s="7152" t="s">
        <v>175</v>
      </c>
      <c r="HXZ17" s="7153"/>
      <c r="HYA17" s="7153"/>
      <c r="HYB17" s="7153"/>
      <c r="HYC17" s="7157"/>
      <c r="HYD17" s="7157"/>
      <c r="HYE17" s="7157"/>
      <c r="HYF17" s="7157"/>
      <c r="HYG17" s="7157"/>
      <c r="HYH17" s="7157"/>
      <c r="HYI17" s="7158"/>
      <c r="HYJ17" s="7158"/>
      <c r="HYK17" s="7158"/>
      <c r="HYL17" s="7158"/>
      <c r="HYM17" s="7158"/>
      <c r="HYN17" s="7159"/>
      <c r="HYO17" s="7152" t="s">
        <v>175</v>
      </c>
      <c r="HYP17" s="7153"/>
      <c r="HYQ17" s="7153"/>
      <c r="HYR17" s="7153"/>
      <c r="HYS17" s="7157"/>
      <c r="HYT17" s="7157"/>
      <c r="HYU17" s="7157"/>
      <c r="HYV17" s="7157"/>
      <c r="HYW17" s="7157"/>
      <c r="HYX17" s="7157"/>
      <c r="HYY17" s="7158"/>
      <c r="HYZ17" s="7158"/>
      <c r="HZA17" s="7158"/>
      <c r="HZB17" s="7158"/>
      <c r="HZC17" s="7158"/>
      <c r="HZD17" s="7159"/>
      <c r="HZE17" s="7152" t="s">
        <v>175</v>
      </c>
      <c r="HZF17" s="7153"/>
      <c r="HZG17" s="7153"/>
      <c r="HZH17" s="7153"/>
      <c r="HZI17" s="7157"/>
      <c r="HZJ17" s="7157"/>
      <c r="HZK17" s="7157"/>
      <c r="HZL17" s="7157"/>
      <c r="HZM17" s="7157"/>
      <c r="HZN17" s="7157"/>
      <c r="HZO17" s="7158"/>
      <c r="HZP17" s="7158"/>
      <c r="HZQ17" s="7158"/>
      <c r="HZR17" s="7158"/>
      <c r="HZS17" s="7158"/>
      <c r="HZT17" s="7159"/>
      <c r="HZU17" s="7152" t="s">
        <v>175</v>
      </c>
      <c r="HZV17" s="7153"/>
      <c r="HZW17" s="7153"/>
      <c r="HZX17" s="7153"/>
      <c r="HZY17" s="7157"/>
      <c r="HZZ17" s="7157"/>
      <c r="IAA17" s="7157"/>
      <c r="IAB17" s="7157"/>
      <c r="IAC17" s="7157"/>
      <c r="IAD17" s="7157"/>
      <c r="IAE17" s="7158"/>
      <c r="IAF17" s="7158"/>
      <c r="IAG17" s="7158"/>
      <c r="IAH17" s="7158"/>
      <c r="IAI17" s="7158"/>
      <c r="IAJ17" s="7159"/>
      <c r="IAK17" s="7152" t="s">
        <v>175</v>
      </c>
      <c r="IAL17" s="7153"/>
      <c r="IAM17" s="7153"/>
      <c r="IAN17" s="7153"/>
      <c r="IAO17" s="7157"/>
      <c r="IAP17" s="7157"/>
      <c r="IAQ17" s="7157"/>
      <c r="IAR17" s="7157"/>
      <c r="IAS17" s="7157"/>
      <c r="IAT17" s="7157"/>
      <c r="IAU17" s="7158"/>
      <c r="IAV17" s="7158"/>
      <c r="IAW17" s="7158"/>
      <c r="IAX17" s="7158"/>
      <c r="IAY17" s="7158"/>
      <c r="IAZ17" s="7159"/>
      <c r="IBA17" s="7152" t="s">
        <v>175</v>
      </c>
      <c r="IBB17" s="7153"/>
      <c r="IBC17" s="7153"/>
      <c r="IBD17" s="7153"/>
      <c r="IBE17" s="7157"/>
      <c r="IBF17" s="7157"/>
      <c r="IBG17" s="7157"/>
      <c r="IBH17" s="7157"/>
      <c r="IBI17" s="7157"/>
      <c r="IBJ17" s="7157"/>
      <c r="IBK17" s="7158"/>
      <c r="IBL17" s="7158"/>
      <c r="IBM17" s="7158"/>
      <c r="IBN17" s="7158"/>
      <c r="IBO17" s="7158"/>
      <c r="IBP17" s="7159"/>
      <c r="IBQ17" s="7152" t="s">
        <v>175</v>
      </c>
      <c r="IBR17" s="7153"/>
      <c r="IBS17" s="7153"/>
      <c r="IBT17" s="7153"/>
      <c r="IBU17" s="7157"/>
      <c r="IBV17" s="7157"/>
      <c r="IBW17" s="7157"/>
      <c r="IBX17" s="7157"/>
      <c r="IBY17" s="7157"/>
      <c r="IBZ17" s="7157"/>
      <c r="ICA17" s="7158"/>
      <c r="ICB17" s="7158"/>
      <c r="ICC17" s="7158"/>
      <c r="ICD17" s="7158"/>
      <c r="ICE17" s="7158"/>
      <c r="ICF17" s="7159"/>
      <c r="ICG17" s="7152" t="s">
        <v>175</v>
      </c>
      <c r="ICH17" s="7153"/>
      <c r="ICI17" s="7153"/>
      <c r="ICJ17" s="7153"/>
      <c r="ICK17" s="7157"/>
      <c r="ICL17" s="7157"/>
      <c r="ICM17" s="7157"/>
      <c r="ICN17" s="7157"/>
      <c r="ICO17" s="7157"/>
      <c r="ICP17" s="7157"/>
      <c r="ICQ17" s="7158"/>
      <c r="ICR17" s="7158"/>
      <c r="ICS17" s="7158"/>
      <c r="ICT17" s="7158"/>
      <c r="ICU17" s="7158"/>
      <c r="ICV17" s="7159"/>
      <c r="ICW17" s="7152" t="s">
        <v>175</v>
      </c>
      <c r="ICX17" s="7153"/>
      <c r="ICY17" s="7153"/>
      <c r="ICZ17" s="7153"/>
      <c r="IDA17" s="7157"/>
      <c r="IDB17" s="7157"/>
      <c r="IDC17" s="7157"/>
      <c r="IDD17" s="7157"/>
      <c r="IDE17" s="7157"/>
      <c r="IDF17" s="7157"/>
      <c r="IDG17" s="7158"/>
      <c r="IDH17" s="7158"/>
      <c r="IDI17" s="7158"/>
      <c r="IDJ17" s="7158"/>
      <c r="IDK17" s="7158"/>
      <c r="IDL17" s="7159"/>
      <c r="IDM17" s="7152" t="s">
        <v>175</v>
      </c>
      <c r="IDN17" s="7153"/>
      <c r="IDO17" s="7153"/>
      <c r="IDP17" s="7153"/>
      <c r="IDQ17" s="7157"/>
      <c r="IDR17" s="7157"/>
      <c r="IDS17" s="7157"/>
      <c r="IDT17" s="7157"/>
      <c r="IDU17" s="7157"/>
      <c r="IDV17" s="7157"/>
      <c r="IDW17" s="7158"/>
      <c r="IDX17" s="7158"/>
      <c r="IDY17" s="7158"/>
      <c r="IDZ17" s="7158"/>
      <c r="IEA17" s="7158"/>
      <c r="IEB17" s="7159"/>
      <c r="IEC17" s="7152" t="s">
        <v>175</v>
      </c>
      <c r="IED17" s="7153"/>
      <c r="IEE17" s="7153"/>
      <c r="IEF17" s="7153"/>
      <c r="IEG17" s="7157"/>
      <c r="IEH17" s="7157"/>
      <c r="IEI17" s="7157"/>
      <c r="IEJ17" s="7157"/>
      <c r="IEK17" s="7157"/>
      <c r="IEL17" s="7157"/>
      <c r="IEM17" s="7158"/>
      <c r="IEN17" s="7158"/>
      <c r="IEO17" s="7158"/>
      <c r="IEP17" s="7158"/>
      <c r="IEQ17" s="7158"/>
      <c r="IER17" s="7159"/>
      <c r="IES17" s="7152" t="s">
        <v>175</v>
      </c>
      <c r="IET17" s="7153"/>
      <c r="IEU17" s="7153"/>
      <c r="IEV17" s="7153"/>
      <c r="IEW17" s="7157"/>
      <c r="IEX17" s="7157"/>
      <c r="IEY17" s="7157"/>
      <c r="IEZ17" s="7157"/>
      <c r="IFA17" s="7157"/>
      <c r="IFB17" s="7157"/>
      <c r="IFC17" s="7158"/>
      <c r="IFD17" s="7158"/>
      <c r="IFE17" s="7158"/>
      <c r="IFF17" s="7158"/>
      <c r="IFG17" s="7158"/>
      <c r="IFH17" s="7159"/>
      <c r="IFI17" s="7152" t="s">
        <v>175</v>
      </c>
      <c r="IFJ17" s="7153"/>
      <c r="IFK17" s="7153"/>
      <c r="IFL17" s="7153"/>
      <c r="IFM17" s="7157"/>
      <c r="IFN17" s="7157"/>
      <c r="IFO17" s="7157"/>
      <c r="IFP17" s="7157"/>
      <c r="IFQ17" s="7157"/>
      <c r="IFR17" s="7157"/>
      <c r="IFS17" s="7158"/>
      <c r="IFT17" s="7158"/>
      <c r="IFU17" s="7158"/>
      <c r="IFV17" s="7158"/>
      <c r="IFW17" s="7158"/>
      <c r="IFX17" s="7159"/>
      <c r="IFY17" s="7152" t="s">
        <v>175</v>
      </c>
      <c r="IFZ17" s="7153"/>
      <c r="IGA17" s="7153"/>
      <c r="IGB17" s="7153"/>
      <c r="IGC17" s="7157"/>
      <c r="IGD17" s="7157"/>
      <c r="IGE17" s="7157"/>
      <c r="IGF17" s="7157"/>
      <c r="IGG17" s="7157"/>
      <c r="IGH17" s="7157"/>
      <c r="IGI17" s="7158"/>
      <c r="IGJ17" s="7158"/>
      <c r="IGK17" s="7158"/>
      <c r="IGL17" s="7158"/>
      <c r="IGM17" s="7158"/>
      <c r="IGN17" s="7159"/>
      <c r="IGO17" s="7152" t="s">
        <v>175</v>
      </c>
      <c r="IGP17" s="7153"/>
      <c r="IGQ17" s="7153"/>
      <c r="IGR17" s="7153"/>
      <c r="IGS17" s="7157"/>
      <c r="IGT17" s="7157"/>
      <c r="IGU17" s="7157"/>
      <c r="IGV17" s="7157"/>
      <c r="IGW17" s="7157"/>
      <c r="IGX17" s="7157"/>
      <c r="IGY17" s="7158"/>
      <c r="IGZ17" s="7158"/>
      <c r="IHA17" s="7158"/>
      <c r="IHB17" s="7158"/>
      <c r="IHC17" s="7158"/>
      <c r="IHD17" s="7159"/>
      <c r="IHE17" s="7152" t="s">
        <v>175</v>
      </c>
      <c r="IHF17" s="7153"/>
      <c r="IHG17" s="7153"/>
      <c r="IHH17" s="7153"/>
      <c r="IHI17" s="7157"/>
      <c r="IHJ17" s="7157"/>
      <c r="IHK17" s="7157"/>
      <c r="IHL17" s="7157"/>
      <c r="IHM17" s="7157"/>
      <c r="IHN17" s="7157"/>
      <c r="IHO17" s="7158"/>
      <c r="IHP17" s="7158"/>
      <c r="IHQ17" s="7158"/>
      <c r="IHR17" s="7158"/>
      <c r="IHS17" s="7158"/>
      <c r="IHT17" s="7159"/>
      <c r="IHU17" s="7152" t="s">
        <v>175</v>
      </c>
      <c r="IHV17" s="7153"/>
      <c r="IHW17" s="7153"/>
      <c r="IHX17" s="7153"/>
      <c r="IHY17" s="7157"/>
      <c r="IHZ17" s="7157"/>
      <c r="IIA17" s="7157"/>
      <c r="IIB17" s="7157"/>
      <c r="IIC17" s="7157"/>
      <c r="IID17" s="7157"/>
      <c r="IIE17" s="7158"/>
      <c r="IIF17" s="7158"/>
      <c r="IIG17" s="7158"/>
      <c r="IIH17" s="7158"/>
      <c r="III17" s="7158"/>
      <c r="IIJ17" s="7159"/>
      <c r="IIK17" s="7152" t="s">
        <v>175</v>
      </c>
      <c r="IIL17" s="7153"/>
      <c r="IIM17" s="7153"/>
      <c r="IIN17" s="7153"/>
      <c r="IIO17" s="7157"/>
      <c r="IIP17" s="7157"/>
      <c r="IIQ17" s="7157"/>
      <c r="IIR17" s="7157"/>
      <c r="IIS17" s="7157"/>
      <c r="IIT17" s="7157"/>
      <c r="IIU17" s="7158"/>
      <c r="IIV17" s="7158"/>
      <c r="IIW17" s="7158"/>
      <c r="IIX17" s="7158"/>
      <c r="IIY17" s="7158"/>
      <c r="IIZ17" s="7159"/>
      <c r="IJA17" s="7152" t="s">
        <v>175</v>
      </c>
      <c r="IJB17" s="7153"/>
      <c r="IJC17" s="7153"/>
      <c r="IJD17" s="7153"/>
      <c r="IJE17" s="7157"/>
      <c r="IJF17" s="7157"/>
      <c r="IJG17" s="7157"/>
      <c r="IJH17" s="7157"/>
      <c r="IJI17" s="7157"/>
      <c r="IJJ17" s="7157"/>
      <c r="IJK17" s="7158"/>
      <c r="IJL17" s="7158"/>
      <c r="IJM17" s="7158"/>
      <c r="IJN17" s="7158"/>
      <c r="IJO17" s="7158"/>
      <c r="IJP17" s="7159"/>
      <c r="IJQ17" s="7152" t="s">
        <v>175</v>
      </c>
      <c r="IJR17" s="7153"/>
      <c r="IJS17" s="7153"/>
      <c r="IJT17" s="7153"/>
      <c r="IJU17" s="7157"/>
      <c r="IJV17" s="7157"/>
      <c r="IJW17" s="7157"/>
      <c r="IJX17" s="7157"/>
      <c r="IJY17" s="7157"/>
      <c r="IJZ17" s="7157"/>
      <c r="IKA17" s="7158"/>
      <c r="IKB17" s="7158"/>
      <c r="IKC17" s="7158"/>
      <c r="IKD17" s="7158"/>
      <c r="IKE17" s="7158"/>
      <c r="IKF17" s="7159"/>
      <c r="IKG17" s="7152" t="s">
        <v>175</v>
      </c>
      <c r="IKH17" s="7153"/>
      <c r="IKI17" s="7153"/>
      <c r="IKJ17" s="7153"/>
      <c r="IKK17" s="7157"/>
      <c r="IKL17" s="7157"/>
      <c r="IKM17" s="7157"/>
      <c r="IKN17" s="7157"/>
      <c r="IKO17" s="7157"/>
      <c r="IKP17" s="7157"/>
      <c r="IKQ17" s="7158"/>
      <c r="IKR17" s="7158"/>
      <c r="IKS17" s="7158"/>
      <c r="IKT17" s="7158"/>
      <c r="IKU17" s="7158"/>
      <c r="IKV17" s="7159"/>
      <c r="IKW17" s="7152" t="s">
        <v>175</v>
      </c>
      <c r="IKX17" s="7153"/>
      <c r="IKY17" s="7153"/>
      <c r="IKZ17" s="7153"/>
      <c r="ILA17" s="7157"/>
      <c r="ILB17" s="7157"/>
      <c r="ILC17" s="7157"/>
      <c r="ILD17" s="7157"/>
      <c r="ILE17" s="7157"/>
      <c r="ILF17" s="7157"/>
      <c r="ILG17" s="7158"/>
      <c r="ILH17" s="7158"/>
      <c r="ILI17" s="7158"/>
      <c r="ILJ17" s="7158"/>
      <c r="ILK17" s="7158"/>
      <c r="ILL17" s="7159"/>
      <c r="ILM17" s="7152" t="s">
        <v>175</v>
      </c>
      <c r="ILN17" s="7153"/>
      <c r="ILO17" s="7153"/>
      <c r="ILP17" s="7153"/>
      <c r="ILQ17" s="7157"/>
      <c r="ILR17" s="7157"/>
      <c r="ILS17" s="7157"/>
      <c r="ILT17" s="7157"/>
      <c r="ILU17" s="7157"/>
      <c r="ILV17" s="7157"/>
      <c r="ILW17" s="7158"/>
      <c r="ILX17" s="7158"/>
      <c r="ILY17" s="7158"/>
      <c r="ILZ17" s="7158"/>
      <c r="IMA17" s="7158"/>
      <c r="IMB17" s="7159"/>
      <c r="IMC17" s="7152" t="s">
        <v>175</v>
      </c>
      <c r="IMD17" s="7153"/>
      <c r="IME17" s="7153"/>
      <c r="IMF17" s="7153"/>
      <c r="IMG17" s="7157"/>
      <c r="IMH17" s="7157"/>
      <c r="IMI17" s="7157"/>
      <c r="IMJ17" s="7157"/>
      <c r="IMK17" s="7157"/>
      <c r="IML17" s="7157"/>
      <c r="IMM17" s="7158"/>
      <c r="IMN17" s="7158"/>
      <c r="IMO17" s="7158"/>
      <c r="IMP17" s="7158"/>
      <c r="IMQ17" s="7158"/>
      <c r="IMR17" s="7159"/>
      <c r="IMS17" s="7152" t="s">
        <v>175</v>
      </c>
      <c r="IMT17" s="7153"/>
      <c r="IMU17" s="7153"/>
      <c r="IMV17" s="7153"/>
      <c r="IMW17" s="7157"/>
      <c r="IMX17" s="7157"/>
      <c r="IMY17" s="7157"/>
      <c r="IMZ17" s="7157"/>
      <c r="INA17" s="7157"/>
      <c r="INB17" s="7157"/>
      <c r="INC17" s="7158"/>
      <c r="IND17" s="7158"/>
      <c r="INE17" s="7158"/>
      <c r="INF17" s="7158"/>
      <c r="ING17" s="7158"/>
      <c r="INH17" s="7159"/>
      <c r="INI17" s="7152" t="s">
        <v>175</v>
      </c>
      <c r="INJ17" s="7153"/>
      <c r="INK17" s="7153"/>
      <c r="INL17" s="7153"/>
      <c r="INM17" s="7157"/>
      <c r="INN17" s="7157"/>
      <c r="INO17" s="7157"/>
      <c r="INP17" s="7157"/>
      <c r="INQ17" s="7157"/>
      <c r="INR17" s="7157"/>
      <c r="INS17" s="7158"/>
      <c r="INT17" s="7158"/>
      <c r="INU17" s="7158"/>
      <c r="INV17" s="7158"/>
      <c r="INW17" s="7158"/>
      <c r="INX17" s="7159"/>
      <c r="INY17" s="7152" t="s">
        <v>175</v>
      </c>
      <c r="INZ17" s="7153"/>
      <c r="IOA17" s="7153"/>
      <c r="IOB17" s="7153"/>
      <c r="IOC17" s="7157"/>
      <c r="IOD17" s="7157"/>
      <c r="IOE17" s="7157"/>
      <c r="IOF17" s="7157"/>
      <c r="IOG17" s="7157"/>
      <c r="IOH17" s="7157"/>
      <c r="IOI17" s="7158"/>
      <c r="IOJ17" s="7158"/>
      <c r="IOK17" s="7158"/>
      <c r="IOL17" s="7158"/>
      <c r="IOM17" s="7158"/>
      <c r="ION17" s="7159"/>
      <c r="IOO17" s="7152" t="s">
        <v>175</v>
      </c>
      <c r="IOP17" s="7153"/>
      <c r="IOQ17" s="7153"/>
      <c r="IOR17" s="7153"/>
      <c r="IOS17" s="7157"/>
      <c r="IOT17" s="7157"/>
      <c r="IOU17" s="7157"/>
      <c r="IOV17" s="7157"/>
      <c r="IOW17" s="7157"/>
      <c r="IOX17" s="7157"/>
      <c r="IOY17" s="7158"/>
      <c r="IOZ17" s="7158"/>
      <c r="IPA17" s="7158"/>
      <c r="IPB17" s="7158"/>
      <c r="IPC17" s="7158"/>
      <c r="IPD17" s="7159"/>
      <c r="IPE17" s="7152" t="s">
        <v>175</v>
      </c>
      <c r="IPF17" s="7153"/>
      <c r="IPG17" s="7153"/>
      <c r="IPH17" s="7153"/>
      <c r="IPI17" s="7157"/>
      <c r="IPJ17" s="7157"/>
      <c r="IPK17" s="7157"/>
      <c r="IPL17" s="7157"/>
      <c r="IPM17" s="7157"/>
      <c r="IPN17" s="7157"/>
      <c r="IPO17" s="7158"/>
      <c r="IPP17" s="7158"/>
      <c r="IPQ17" s="7158"/>
      <c r="IPR17" s="7158"/>
      <c r="IPS17" s="7158"/>
      <c r="IPT17" s="7159"/>
      <c r="IPU17" s="7152" t="s">
        <v>175</v>
      </c>
      <c r="IPV17" s="7153"/>
      <c r="IPW17" s="7153"/>
      <c r="IPX17" s="7153"/>
      <c r="IPY17" s="7157"/>
      <c r="IPZ17" s="7157"/>
      <c r="IQA17" s="7157"/>
      <c r="IQB17" s="7157"/>
      <c r="IQC17" s="7157"/>
      <c r="IQD17" s="7157"/>
      <c r="IQE17" s="7158"/>
      <c r="IQF17" s="7158"/>
      <c r="IQG17" s="7158"/>
      <c r="IQH17" s="7158"/>
      <c r="IQI17" s="7158"/>
      <c r="IQJ17" s="7159"/>
      <c r="IQK17" s="7152" t="s">
        <v>175</v>
      </c>
      <c r="IQL17" s="7153"/>
      <c r="IQM17" s="7153"/>
      <c r="IQN17" s="7153"/>
      <c r="IQO17" s="7157"/>
      <c r="IQP17" s="7157"/>
      <c r="IQQ17" s="7157"/>
      <c r="IQR17" s="7157"/>
      <c r="IQS17" s="7157"/>
      <c r="IQT17" s="7157"/>
      <c r="IQU17" s="7158"/>
      <c r="IQV17" s="7158"/>
      <c r="IQW17" s="7158"/>
      <c r="IQX17" s="7158"/>
      <c r="IQY17" s="7158"/>
      <c r="IQZ17" s="7159"/>
      <c r="IRA17" s="7152" t="s">
        <v>175</v>
      </c>
      <c r="IRB17" s="7153"/>
      <c r="IRC17" s="7153"/>
      <c r="IRD17" s="7153"/>
      <c r="IRE17" s="7157"/>
      <c r="IRF17" s="7157"/>
      <c r="IRG17" s="7157"/>
      <c r="IRH17" s="7157"/>
      <c r="IRI17" s="7157"/>
      <c r="IRJ17" s="7157"/>
      <c r="IRK17" s="7158"/>
      <c r="IRL17" s="7158"/>
      <c r="IRM17" s="7158"/>
      <c r="IRN17" s="7158"/>
      <c r="IRO17" s="7158"/>
      <c r="IRP17" s="7159"/>
      <c r="IRQ17" s="7152" t="s">
        <v>175</v>
      </c>
      <c r="IRR17" s="7153"/>
      <c r="IRS17" s="7153"/>
      <c r="IRT17" s="7153"/>
      <c r="IRU17" s="7157"/>
      <c r="IRV17" s="7157"/>
      <c r="IRW17" s="7157"/>
      <c r="IRX17" s="7157"/>
      <c r="IRY17" s="7157"/>
      <c r="IRZ17" s="7157"/>
      <c r="ISA17" s="7158"/>
      <c r="ISB17" s="7158"/>
      <c r="ISC17" s="7158"/>
      <c r="ISD17" s="7158"/>
      <c r="ISE17" s="7158"/>
      <c r="ISF17" s="7159"/>
      <c r="ISG17" s="7152" t="s">
        <v>175</v>
      </c>
      <c r="ISH17" s="7153"/>
      <c r="ISI17" s="7153"/>
      <c r="ISJ17" s="7153"/>
      <c r="ISK17" s="7157"/>
      <c r="ISL17" s="7157"/>
      <c r="ISM17" s="7157"/>
      <c r="ISN17" s="7157"/>
      <c r="ISO17" s="7157"/>
      <c r="ISP17" s="7157"/>
      <c r="ISQ17" s="7158"/>
      <c r="ISR17" s="7158"/>
      <c r="ISS17" s="7158"/>
      <c r="IST17" s="7158"/>
      <c r="ISU17" s="7158"/>
      <c r="ISV17" s="7159"/>
      <c r="ISW17" s="7152" t="s">
        <v>175</v>
      </c>
      <c r="ISX17" s="7153"/>
      <c r="ISY17" s="7153"/>
      <c r="ISZ17" s="7153"/>
      <c r="ITA17" s="7157"/>
      <c r="ITB17" s="7157"/>
      <c r="ITC17" s="7157"/>
      <c r="ITD17" s="7157"/>
      <c r="ITE17" s="7157"/>
      <c r="ITF17" s="7157"/>
      <c r="ITG17" s="7158"/>
      <c r="ITH17" s="7158"/>
      <c r="ITI17" s="7158"/>
      <c r="ITJ17" s="7158"/>
      <c r="ITK17" s="7158"/>
      <c r="ITL17" s="7159"/>
      <c r="ITM17" s="7152" t="s">
        <v>175</v>
      </c>
      <c r="ITN17" s="7153"/>
      <c r="ITO17" s="7153"/>
      <c r="ITP17" s="7153"/>
      <c r="ITQ17" s="7157"/>
      <c r="ITR17" s="7157"/>
      <c r="ITS17" s="7157"/>
      <c r="ITT17" s="7157"/>
      <c r="ITU17" s="7157"/>
      <c r="ITV17" s="7157"/>
      <c r="ITW17" s="7158"/>
      <c r="ITX17" s="7158"/>
      <c r="ITY17" s="7158"/>
      <c r="ITZ17" s="7158"/>
      <c r="IUA17" s="7158"/>
      <c r="IUB17" s="7159"/>
      <c r="IUC17" s="7152" t="s">
        <v>175</v>
      </c>
      <c r="IUD17" s="7153"/>
      <c r="IUE17" s="7153"/>
      <c r="IUF17" s="7153"/>
      <c r="IUG17" s="7157"/>
      <c r="IUH17" s="7157"/>
      <c r="IUI17" s="7157"/>
      <c r="IUJ17" s="7157"/>
      <c r="IUK17" s="7157"/>
      <c r="IUL17" s="7157"/>
      <c r="IUM17" s="7158"/>
      <c r="IUN17" s="7158"/>
      <c r="IUO17" s="7158"/>
      <c r="IUP17" s="7158"/>
      <c r="IUQ17" s="7158"/>
      <c r="IUR17" s="7159"/>
      <c r="IUS17" s="7152" t="s">
        <v>175</v>
      </c>
      <c r="IUT17" s="7153"/>
      <c r="IUU17" s="7153"/>
      <c r="IUV17" s="7153"/>
      <c r="IUW17" s="7157"/>
      <c r="IUX17" s="7157"/>
      <c r="IUY17" s="7157"/>
      <c r="IUZ17" s="7157"/>
      <c r="IVA17" s="7157"/>
      <c r="IVB17" s="7157"/>
      <c r="IVC17" s="7158"/>
      <c r="IVD17" s="7158"/>
      <c r="IVE17" s="7158"/>
      <c r="IVF17" s="7158"/>
      <c r="IVG17" s="7158"/>
      <c r="IVH17" s="7159"/>
      <c r="IVI17" s="7152" t="s">
        <v>175</v>
      </c>
      <c r="IVJ17" s="7153"/>
      <c r="IVK17" s="7153"/>
      <c r="IVL17" s="7153"/>
      <c r="IVM17" s="7157"/>
      <c r="IVN17" s="7157"/>
      <c r="IVO17" s="7157"/>
      <c r="IVP17" s="7157"/>
      <c r="IVQ17" s="7157"/>
      <c r="IVR17" s="7157"/>
      <c r="IVS17" s="7158"/>
      <c r="IVT17" s="7158"/>
      <c r="IVU17" s="7158"/>
      <c r="IVV17" s="7158"/>
      <c r="IVW17" s="7158"/>
      <c r="IVX17" s="7159"/>
      <c r="IVY17" s="7152" t="s">
        <v>175</v>
      </c>
      <c r="IVZ17" s="7153"/>
      <c r="IWA17" s="7153"/>
      <c r="IWB17" s="7153"/>
      <c r="IWC17" s="7157"/>
      <c r="IWD17" s="7157"/>
      <c r="IWE17" s="7157"/>
      <c r="IWF17" s="7157"/>
      <c r="IWG17" s="7157"/>
      <c r="IWH17" s="7157"/>
      <c r="IWI17" s="7158"/>
      <c r="IWJ17" s="7158"/>
      <c r="IWK17" s="7158"/>
      <c r="IWL17" s="7158"/>
      <c r="IWM17" s="7158"/>
      <c r="IWN17" s="7159"/>
      <c r="IWO17" s="7152" t="s">
        <v>175</v>
      </c>
      <c r="IWP17" s="7153"/>
      <c r="IWQ17" s="7153"/>
      <c r="IWR17" s="7153"/>
      <c r="IWS17" s="7157"/>
      <c r="IWT17" s="7157"/>
      <c r="IWU17" s="7157"/>
      <c r="IWV17" s="7157"/>
      <c r="IWW17" s="7157"/>
      <c r="IWX17" s="7157"/>
      <c r="IWY17" s="7158"/>
      <c r="IWZ17" s="7158"/>
      <c r="IXA17" s="7158"/>
      <c r="IXB17" s="7158"/>
      <c r="IXC17" s="7158"/>
      <c r="IXD17" s="7159"/>
      <c r="IXE17" s="7152" t="s">
        <v>175</v>
      </c>
      <c r="IXF17" s="7153"/>
      <c r="IXG17" s="7153"/>
      <c r="IXH17" s="7153"/>
      <c r="IXI17" s="7157"/>
      <c r="IXJ17" s="7157"/>
      <c r="IXK17" s="7157"/>
      <c r="IXL17" s="7157"/>
      <c r="IXM17" s="7157"/>
      <c r="IXN17" s="7157"/>
      <c r="IXO17" s="7158"/>
      <c r="IXP17" s="7158"/>
      <c r="IXQ17" s="7158"/>
      <c r="IXR17" s="7158"/>
      <c r="IXS17" s="7158"/>
      <c r="IXT17" s="7159"/>
      <c r="IXU17" s="7152" t="s">
        <v>175</v>
      </c>
      <c r="IXV17" s="7153"/>
      <c r="IXW17" s="7153"/>
      <c r="IXX17" s="7153"/>
      <c r="IXY17" s="7157"/>
      <c r="IXZ17" s="7157"/>
      <c r="IYA17" s="7157"/>
      <c r="IYB17" s="7157"/>
      <c r="IYC17" s="7157"/>
      <c r="IYD17" s="7157"/>
      <c r="IYE17" s="7158"/>
      <c r="IYF17" s="7158"/>
      <c r="IYG17" s="7158"/>
      <c r="IYH17" s="7158"/>
      <c r="IYI17" s="7158"/>
      <c r="IYJ17" s="7159"/>
      <c r="IYK17" s="7152" t="s">
        <v>175</v>
      </c>
      <c r="IYL17" s="7153"/>
      <c r="IYM17" s="7153"/>
      <c r="IYN17" s="7153"/>
      <c r="IYO17" s="7157"/>
      <c r="IYP17" s="7157"/>
      <c r="IYQ17" s="7157"/>
      <c r="IYR17" s="7157"/>
      <c r="IYS17" s="7157"/>
      <c r="IYT17" s="7157"/>
      <c r="IYU17" s="7158"/>
      <c r="IYV17" s="7158"/>
      <c r="IYW17" s="7158"/>
      <c r="IYX17" s="7158"/>
      <c r="IYY17" s="7158"/>
      <c r="IYZ17" s="7159"/>
      <c r="IZA17" s="7152" t="s">
        <v>175</v>
      </c>
      <c r="IZB17" s="7153"/>
      <c r="IZC17" s="7153"/>
      <c r="IZD17" s="7153"/>
      <c r="IZE17" s="7157"/>
      <c r="IZF17" s="7157"/>
      <c r="IZG17" s="7157"/>
      <c r="IZH17" s="7157"/>
      <c r="IZI17" s="7157"/>
      <c r="IZJ17" s="7157"/>
      <c r="IZK17" s="7158"/>
      <c r="IZL17" s="7158"/>
      <c r="IZM17" s="7158"/>
      <c r="IZN17" s="7158"/>
      <c r="IZO17" s="7158"/>
      <c r="IZP17" s="7159"/>
      <c r="IZQ17" s="7152" t="s">
        <v>175</v>
      </c>
      <c r="IZR17" s="7153"/>
      <c r="IZS17" s="7153"/>
      <c r="IZT17" s="7153"/>
      <c r="IZU17" s="7157"/>
      <c r="IZV17" s="7157"/>
      <c r="IZW17" s="7157"/>
      <c r="IZX17" s="7157"/>
      <c r="IZY17" s="7157"/>
      <c r="IZZ17" s="7157"/>
      <c r="JAA17" s="7158"/>
      <c r="JAB17" s="7158"/>
      <c r="JAC17" s="7158"/>
      <c r="JAD17" s="7158"/>
      <c r="JAE17" s="7158"/>
      <c r="JAF17" s="7159"/>
      <c r="JAG17" s="7152" t="s">
        <v>175</v>
      </c>
      <c r="JAH17" s="7153"/>
      <c r="JAI17" s="7153"/>
      <c r="JAJ17" s="7153"/>
      <c r="JAK17" s="7157"/>
      <c r="JAL17" s="7157"/>
      <c r="JAM17" s="7157"/>
      <c r="JAN17" s="7157"/>
      <c r="JAO17" s="7157"/>
      <c r="JAP17" s="7157"/>
      <c r="JAQ17" s="7158"/>
      <c r="JAR17" s="7158"/>
      <c r="JAS17" s="7158"/>
      <c r="JAT17" s="7158"/>
      <c r="JAU17" s="7158"/>
      <c r="JAV17" s="7159"/>
      <c r="JAW17" s="7152" t="s">
        <v>175</v>
      </c>
      <c r="JAX17" s="7153"/>
      <c r="JAY17" s="7153"/>
      <c r="JAZ17" s="7153"/>
      <c r="JBA17" s="7157"/>
      <c r="JBB17" s="7157"/>
      <c r="JBC17" s="7157"/>
      <c r="JBD17" s="7157"/>
      <c r="JBE17" s="7157"/>
      <c r="JBF17" s="7157"/>
      <c r="JBG17" s="7158"/>
      <c r="JBH17" s="7158"/>
      <c r="JBI17" s="7158"/>
      <c r="JBJ17" s="7158"/>
      <c r="JBK17" s="7158"/>
      <c r="JBL17" s="7159"/>
      <c r="JBM17" s="7152" t="s">
        <v>175</v>
      </c>
      <c r="JBN17" s="7153"/>
      <c r="JBO17" s="7153"/>
      <c r="JBP17" s="7153"/>
      <c r="JBQ17" s="7157"/>
      <c r="JBR17" s="7157"/>
      <c r="JBS17" s="7157"/>
      <c r="JBT17" s="7157"/>
      <c r="JBU17" s="7157"/>
      <c r="JBV17" s="7157"/>
      <c r="JBW17" s="7158"/>
      <c r="JBX17" s="7158"/>
      <c r="JBY17" s="7158"/>
      <c r="JBZ17" s="7158"/>
      <c r="JCA17" s="7158"/>
      <c r="JCB17" s="7159"/>
      <c r="JCC17" s="7152" t="s">
        <v>175</v>
      </c>
      <c r="JCD17" s="7153"/>
      <c r="JCE17" s="7153"/>
      <c r="JCF17" s="7153"/>
      <c r="JCG17" s="7157"/>
      <c r="JCH17" s="7157"/>
      <c r="JCI17" s="7157"/>
      <c r="JCJ17" s="7157"/>
      <c r="JCK17" s="7157"/>
      <c r="JCL17" s="7157"/>
      <c r="JCM17" s="7158"/>
      <c r="JCN17" s="7158"/>
      <c r="JCO17" s="7158"/>
      <c r="JCP17" s="7158"/>
      <c r="JCQ17" s="7158"/>
      <c r="JCR17" s="7159"/>
      <c r="JCS17" s="7152" t="s">
        <v>175</v>
      </c>
      <c r="JCT17" s="7153"/>
      <c r="JCU17" s="7153"/>
      <c r="JCV17" s="7153"/>
      <c r="JCW17" s="7157"/>
      <c r="JCX17" s="7157"/>
      <c r="JCY17" s="7157"/>
      <c r="JCZ17" s="7157"/>
      <c r="JDA17" s="7157"/>
      <c r="JDB17" s="7157"/>
      <c r="JDC17" s="7158"/>
      <c r="JDD17" s="7158"/>
      <c r="JDE17" s="7158"/>
      <c r="JDF17" s="7158"/>
      <c r="JDG17" s="7158"/>
      <c r="JDH17" s="7159"/>
      <c r="JDI17" s="7152" t="s">
        <v>175</v>
      </c>
      <c r="JDJ17" s="7153"/>
      <c r="JDK17" s="7153"/>
      <c r="JDL17" s="7153"/>
      <c r="JDM17" s="7157"/>
      <c r="JDN17" s="7157"/>
      <c r="JDO17" s="7157"/>
      <c r="JDP17" s="7157"/>
      <c r="JDQ17" s="7157"/>
      <c r="JDR17" s="7157"/>
      <c r="JDS17" s="7158"/>
      <c r="JDT17" s="7158"/>
      <c r="JDU17" s="7158"/>
      <c r="JDV17" s="7158"/>
      <c r="JDW17" s="7158"/>
      <c r="JDX17" s="7159"/>
      <c r="JDY17" s="7152" t="s">
        <v>175</v>
      </c>
      <c r="JDZ17" s="7153"/>
      <c r="JEA17" s="7153"/>
      <c r="JEB17" s="7153"/>
      <c r="JEC17" s="7157"/>
      <c r="JED17" s="7157"/>
      <c r="JEE17" s="7157"/>
      <c r="JEF17" s="7157"/>
      <c r="JEG17" s="7157"/>
      <c r="JEH17" s="7157"/>
      <c r="JEI17" s="7158"/>
      <c r="JEJ17" s="7158"/>
      <c r="JEK17" s="7158"/>
      <c r="JEL17" s="7158"/>
      <c r="JEM17" s="7158"/>
      <c r="JEN17" s="7159"/>
      <c r="JEO17" s="7152" t="s">
        <v>175</v>
      </c>
      <c r="JEP17" s="7153"/>
      <c r="JEQ17" s="7153"/>
      <c r="JER17" s="7153"/>
      <c r="JES17" s="7157"/>
      <c r="JET17" s="7157"/>
      <c r="JEU17" s="7157"/>
      <c r="JEV17" s="7157"/>
      <c r="JEW17" s="7157"/>
      <c r="JEX17" s="7157"/>
      <c r="JEY17" s="7158"/>
      <c r="JEZ17" s="7158"/>
      <c r="JFA17" s="7158"/>
      <c r="JFB17" s="7158"/>
      <c r="JFC17" s="7158"/>
      <c r="JFD17" s="7159"/>
      <c r="JFE17" s="7152" t="s">
        <v>175</v>
      </c>
      <c r="JFF17" s="7153"/>
      <c r="JFG17" s="7153"/>
      <c r="JFH17" s="7153"/>
      <c r="JFI17" s="7157"/>
      <c r="JFJ17" s="7157"/>
      <c r="JFK17" s="7157"/>
      <c r="JFL17" s="7157"/>
      <c r="JFM17" s="7157"/>
      <c r="JFN17" s="7157"/>
      <c r="JFO17" s="7158"/>
      <c r="JFP17" s="7158"/>
      <c r="JFQ17" s="7158"/>
      <c r="JFR17" s="7158"/>
      <c r="JFS17" s="7158"/>
      <c r="JFT17" s="7159"/>
      <c r="JFU17" s="7152" t="s">
        <v>175</v>
      </c>
      <c r="JFV17" s="7153"/>
      <c r="JFW17" s="7153"/>
      <c r="JFX17" s="7153"/>
      <c r="JFY17" s="7157"/>
      <c r="JFZ17" s="7157"/>
      <c r="JGA17" s="7157"/>
      <c r="JGB17" s="7157"/>
      <c r="JGC17" s="7157"/>
      <c r="JGD17" s="7157"/>
      <c r="JGE17" s="7158"/>
      <c r="JGF17" s="7158"/>
      <c r="JGG17" s="7158"/>
      <c r="JGH17" s="7158"/>
      <c r="JGI17" s="7158"/>
      <c r="JGJ17" s="7159"/>
      <c r="JGK17" s="7152" t="s">
        <v>175</v>
      </c>
      <c r="JGL17" s="7153"/>
      <c r="JGM17" s="7153"/>
      <c r="JGN17" s="7153"/>
      <c r="JGO17" s="7157"/>
      <c r="JGP17" s="7157"/>
      <c r="JGQ17" s="7157"/>
      <c r="JGR17" s="7157"/>
      <c r="JGS17" s="7157"/>
      <c r="JGT17" s="7157"/>
      <c r="JGU17" s="7158"/>
      <c r="JGV17" s="7158"/>
      <c r="JGW17" s="7158"/>
      <c r="JGX17" s="7158"/>
      <c r="JGY17" s="7158"/>
      <c r="JGZ17" s="7159"/>
      <c r="JHA17" s="7152" t="s">
        <v>175</v>
      </c>
      <c r="JHB17" s="7153"/>
      <c r="JHC17" s="7153"/>
      <c r="JHD17" s="7153"/>
      <c r="JHE17" s="7157"/>
      <c r="JHF17" s="7157"/>
      <c r="JHG17" s="7157"/>
      <c r="JHH17" s="7157"/>
      <c r="JHI17" s="7157"/>
      <c r="JHJ17" s="7157"/>
      <c r="JHK17" s="7158"/>
      <c r="JHL17" s="7158"/>
      <c r="JHM17" s="7158"/>
      <c r="JHN17" s="7158"/>
      <c r="JHO17" s="7158"/>
      <c r="JHP17" s="7159"/>
      <c r="JHQ17" s="7152" t="s">
        <v>175</v>
      </c>
      <c r="JHR17" s="7153"/>
      <c r="JHS17" s="7153"/>
      <c r="JHT17" s="7153"/>
      <c r="JHU17" s="7157"/>
      <c r="JHV17" s="7157"/>
      <c r="JHW17" s="7157"/>
      <c r="JHX17" s="7157"/>
      <c r="JHY17" s="7157"/>
      <c r="JHZ17" s="7157"/>
      <c r="JIA17" s="7158"/>
      <c r="JIB17" s="7158"/>
      <c r="JIC17" s="7158"/>
      <c r="JID17" s="7158"/>
      <c r="JIE17" s="7158"/>
      <c r="JIF17" s="7159"/>
      <c r="JIG17" s="7152" t="s">
        <v>175</v>
      </c>
      <c r="JIH17" s="7153"/>
      <c r="JII17" s="7153"/>
      <c r="JIJ17" s="7153"/>
      <c r="JIK17" s="7157"/>
      <c r="JIL17" s="7157"/>
      <c r="JIM17" s="7157"/>
      <c r="JIN17" s="7157"/>
      <c r="JIO17" s="7157"/>
      <c r="JIP17" s="7157"/>
      <c r="JIQ17" s="7158"/>
      <c r="JIR17" s="7158"/>
      <c r="JIS17" s="7158"/>
      <c r="JIT17" s="7158"/>
      <c r="JIU17" s="7158"/>
      <c r="JIV17" s="7159"/>
      <c r="JIW17" s="7152" t="s">
        <v>175</v>
      </c>
      <c r="JIX17" s="7153"/>
      <c r="JIY17" s="7153"/>
      <c r="JIZ17" s="7153"/>
      <c r="JJA17" s="7157"/>
      <c r="JJB17" s="7157"/>
      <c r="JJC17" s="7157"/>
      <c r="JJD17" s="7157"/>
      <c r="JJE17" s="7157"/>
      <c r="JJF17" s="7157"/>
      <c r="JJG17" s="7158"/>
      <c r="JJH17" s="7158"/>
      <c r="JJI17" s="7158"/>
      <c r="JJJ17" s="7158"/>
      <c r="JJK17" s="7158"/>
      <c r="JJL17" s="7159"/>
      <c r="JJM17" s="7152" t="s">
        <v>175</v>
      </c>
      <c r="JJN17" s="7153"/>
      <c r="JJO17" s="7153"/>
      <c r="JJP17" s="7153"/>
      <c r="JJQ17" s="7157"/>
      <c r="JJR17" s="7157"/>
      <c r="JJS17" s="7157"/>
      <c r="JJT17" s="7157"/>
      <c r="JJU17" s="7157"/>
      <c r="JJV17" s="7157"/>
      <c r="JJW17" s="7158"/>
      <c r="JJX17" s="7158"/>
      <c r="JJY17" s="7158"/>
      <c r="JJZ17" s="7158"/>
      <c r="JKA17" s="7158"/>
      <c r="JKB17" s="7159"/>
      <c r="JKC17" s="7152" t="s">
        <v>175</v>
      </c>
      <c r="JKD17" s="7153"/>
      <c r="JKE17" s="7153"/>
      <c r="JKF17" s="7153"/>
      <c r="JKG17" s="7157"/>
      <c r="JKH17" s="7157"/>
      <c r="JKI17" s="7157"/>
      <c r="JKJ17" s="7157"/>
      <c r="JKK17" s="7157"/>
      <c r="JKL17" s="7157"/>
      <c r="JKM17" s="7158"/>
      <c r="JKN17" s="7158"/>
      <c r="JKO17" s="7158"/>
      <c r="JKP17" s="7158"/>
      <c r="JKQ17" s="7158"/>
      <c r="JKR17" s="7159"/>
      <c r="JKS17" s="7152" t="s">
        <v>175</v>
      </c>
      <c r="JKT17" s="7153"/>
      <c r="JKU17" s="7153"/>
      <c r="JKV17" s="7153"/>
      <c r="JKW17" s="7157"/>
      <c r="JKX17" s="7157"/>
      <c r="JKY17" s="7157"/>
      <c r="JKZ17" s="7157"/>
      <c r="JLA17" s="7157"/>
      <c r="JLB17" s="7157"/>
      <c r="JLC17" s="7158"/>
      <c r="JLD17" s="7158"/>
      <c r="JLE17" s="7158"/>
      <c r="JLF17" s="7158"/>
      <c r="JLG17" s="7158"/>
      <c r="JLH17" s="7159"/>
      <c r="JLI17" s="7152" t="s">
        <v>175</v>
      </c>
      <c r="JLJ17" s="7153"/>
      <c r="JLK17" s="7153"/>
      <c r="JLL17" s="7153"/>
      <c r="JLM17" s="7157"/>
      <c r="JLN17" s="7157"/>
      <c r="JLO17" s="7157"/>
      <c r="JLP17" s="7157"/>
      <c r="JLQ17" s="7157"/>
      <c r="JLR17" s="7157"/>
      <c r="JLS17" s="7158"/>
      <c r="JLT17" s="7158"/>
      <c r="JLU17" s="7158"/>
      <c r="JLV17" s="7158"/>
      <c r="JLW17" s="7158"/>
      <c r="JLX17" s="7159"/>
      <c r="JLY17" s="7152" t="s">
        <v>175</v>
      </c>
      <c r="JLZ17" s="7153"/>
      <c r="JMA17" s="7153"/>
      <c r="JMB17" s="7153"/>
      <c r="JMC17" s="7157"/>
      <c r="JMD17" s="7157"/>
      <c r="JME17" s="7157"/>
      <c r="JMF17" s="7157"/>
      <c r="JMG17" s="7157"/>
      <c r="JMH17" s="7157"/>
      <c r="JMI17" s="7158"/>
      <c r="JMJ17" s="7158"/>
      <c r="JMK17" s="7158"/>
      <c r="JML17" s="7158"/>
      <c r="JMM17" s="7158"/>
      <c r="JMN17" s="7159"/>
      <c r="JMO17" s="7152" t="s">
        <v>175</v>
      </c>
      <c r="JMP17" s="7153"/>
      <c r="JMQ17" s="7153"/>
      <c r="JMR17" s="7153"/>
      <c r="JMS17" s="7157"/>
      <c r="JMT17" s="7157"/>
      <c r="JMU17" s="7157"/>
      <c r="JMV17" s="7157"/>
      <c r="JMW17" s="7157"/>
      <c r="JMX17" s="7157"/>
      <c r="JMY17" s="7158"/>
      <c r="JMZ17" s="7158"/>
      <c r="JNA17" s="7158"/>
      <c r="JNB17" s="7158"/>
      <c r="JNC17" s="7158"/>
      <c r="JND17" s="7159"/>
      <c r="JNE17" s="7152" t="s">
        <v>175</v>
      </c>
      <c r="JNF17" s="7153"/>
      <c r="JNG17" s="7153"/>
      <c r="JNH17" s="7153"/>
      <c r="JNI17" s="7157"/>
      <c r="JNJ17" s="7157"/>
      <c r="JNK17" s="7157"/>
      <c r="JNL17" s="7157"/>
      <c r="JNM17" s="7157"/>
      <c r="JNN17" s="7157"/>
      <c r="JNO17" s="7158"/>
      <c r="JNP17" s="7158"/>
      <c r="JNQ17" s="7158"/>
      <c r="JNR17" s="7158"/>
      <c r="JNS17" s="7158"/>
      <c r="JNT17" s="7159"/>
      <c r="JNU17" s="7152" t="s">
        <v>175</v>
      </c>
      <c r="JNV17" s="7153"/>
      <c r="JNW17" s="7153"/>
      <c r="JNX17" s="7153"/>
      <c r="JNY17" s="7157"/>
      <c r="JNZ17" s="7157"/>
      <c r="JOA17" s="7157"/>
      <c r="JOB17" s="7157"/>
      <c r="JOC17" s="7157"/>
      <c r="JOD17" s="7157"/>
      <c r="JOE17" s="7158"/>
      <c r="JOF17" s="7158"/>
      <c r="JOG17" s="7158"/>
      <c r="JOH17" s="7158"/>
      <c r="JOI17" s="7158"/>
      <c r="JOJ17" s="7159"/>
      <c r="JOK17" s="7152" t="s">
        <v>175</v>
      </c>
      <c r="JOL17" s="7153"/>
      <c r="JOM17" s="7153"/>
      <c r="JON17" s="7153"/>
      <c r="JOO17" s="7157"/>
      <c r="JOP17" s="7157"/>
      <c r="JOQ17" s="7157"/>
      <c r="JOR17" s="7157"/>
      <c r="JOS17" s="7157"/>
      <c r="JOT17" s="7157"/>
      <c r="JOU17" s="7158"/>
      <c r="JOV17" s="7158"/>
      <c r="JOW17" s="7158"/>
      <c r="JOX17" s="7158"/>
      <c r="JOY17" s="7158"/>
      <c r="JOZ17" s="7159"/>
      <c r="JPA17" s="7152" t="s">
        <v>175</v>
      </c>
      <c r="JPB17" s="7153"/>
      <c r="JPC17" s="7153"/>
      <c r="JPD17" s="7153"/>
      <c r="JPE17" s="7157"/>
      <c r="JPF17" s="7157"/>
      <c r="JPG17" s="7157"/>
      <c r="JPH17" s="7157"/>
      <c r="JPI17" s="7157"/>
      <c r="JPJ17" s="7157"/>
      <c r="JPK17" s="7158"/>
      <c r="JPL17" s="7158"/>
      <c r="JPM17" s="7158"/>
      <c r="JPN17" s="7158"/>
      <c r="JPO17" s="7158"/>
      <c r="JPP17" s="7159"/>
      <c r="JPQ17" s="7152" t="s">
        <v>175</v>
      </c>
      <c r="JPR17" s="7153"/>
      <c r="JPS17" s="7153"/>
      <c r="JPT17" s="7153"/>
      <c r="JPU17" s="7157"/>
      <c r="JPV17" s="7157"/>
      <c r="JPW17" s="7157"/>
      <c r="JPX17" s="7157"/>
      <c r="JPY17" s="7157"/>
      <c r="JPZ17" s="7157"/>
      <c r="JQA17" s="7158"/>
      <c r="JQB17" s="7158"/>
      <c r="JQC17" s="7158"/>
      <c r="JQD17" s="7158"/>
      <c r="JQE17" s="7158"/>
      <c r="JQF17" s="7159"/>
      <c r="JQG17" s="7152" t="s">
        <v>175</v>
      </c>
      <c r="JQH17" s="7153"/>
      <c r="JQI17" s="7153"/>
      <c r="JQJ17" s="7153"/>
      <c r="JQK17" s="7157"/>
      <c r="JQL17" s="7157"/>
      <c r="JQM17" s="7157"/>
      <c r="JQN17" s="7157"/>
      <c r="JQO17" s="7157"/>
      <c r="JQP17" s="7157"/>
      <c r="JQQ17" s="7158"/>
      <c r="JQR17" s="7158"/>
      <c r="JQS17" s="7158"/>
      <c r="JQT17" s="7158"/>
      <c r="JQU17" s="7158"/>
      <c r="JQV17" s="7159"/>
      <c r="JQW17" s="7152" t="s">
        <v>175</v>
      </c>
      <c r="JQX17" s="7153"/>
      <c r="JQY17" s="7153"/>
      <c r="JQZ17" s="7153"/>
      <c r="JRA17" s="7157"/>
      <c r="JRB17" s="7157"/>
      <c r="JRC17" s="7157"/>
      <c r="JRD17" s="7157"/>
      <c r="JRE17" s="7157"/>
      <c r="JRF17" s="7157"/>
      <c r="JRG17" s="7158"/>
      <c r="JRH17" s="7158"/>
      <c r="JRI17" s="7158"/>
      <c r="JRJ17" s="7158"/>
      <c r="JRK17" s="7158"/>
      <c r="JRL17" s="7159"/>
      <c r="JRM17" s="7152" t="s">
        <v>175</v>
      </c>
      <c r="JRN17" s="7153"/>
      <c r="JRO17" s="7153"/>
      <c r="JRP17" s="7153"/>
      <c r="JRQ17" s="7157"/>
      <c r="JRR17" s="7157"/>
      <c r="JRS17" s="7157"/>
      <c r="JRT17" s="7157"/>
      <c r="JRU17" s="7157"/>
      <c r="JRV17" s="7157"/>
      <c r="JRW17" s="7158"/>
      <c r="JRX17" s="7158"/>
      <c r="JRY17" s="7158"/>
      <c r="JRZ17" s="7158"/>
      <c r="JSA17" s="7158"/>
      <c r="JSB17" s="7159"/>
      <c r="JSC17" s="7152" t="s">
        <v>175</v>
      </c>
      <c r="JSD17" s="7153"/>
      <c r="JSE17" s="7153"/>
      <c r="JSF17" s="7153"/>
      <c r="JSG17" s="7157"/>
      <c r="JSH17" s="7157"/>
      <c r="JSI17" s="7157"/>
      <c r="JSJ17" s="7157"/>
      <c r="JSK17" s="7157"/>
      <c r="JSL17" s="7157"/>
      <c r="JSM17" s="7158"/>
      <c r="JSN17" s="7158"/>
      <c r="JSO17" s="7158"/>
      <c r="JSP17" s="7158"/>
      <c r="JSQ17" s="7158"/>
      <c r="JSR17" s="7159"/>
      <c r="JSS17" s="7152" t="s">
        <v>175</v>
      </c>
      <c r="JST17" s="7153"/>
      <c r="JSU17" s="7153"/>
      <c r="JSV17" s="7153"/>
      <c r="JSW17" s="7157"/>
      <c r="JSX17" s="7157"/>
      <c r="JSY17" s="7157"/>
      <c r="JSZ17" s="7157"/>
      <c r="JTA17" s="7157"/>
      <c r="JTB17" s="7157"/>
      <c r="JTC17" s="7158"/>
      <c r="JTD17" s="7158"/>
      <c r="JTE17" s="7158"/>
      <c r="JTF17" s="7158"/>
      <c r="JTG17" s="7158"/>
      <c r="JTH17" s="7159"/>
      <c r="JTI17" s="7152" t="s">
        <v>175</v>
      </c>
      <c r="JTJ17" s="7153"/>
      <c r="JTK17" s="7153"/>
      <c r="JTL17" s="7153"/>
      <c r="JTM17" s="7157"/>
      <c r="JTN17" s="7157"/>
      <c r="JTO17" s="7157"/>
      <c r="JTP17" s="7157"/>
      <c r="JTQ17" s="7157"/>
      <c r="JTR17" s="7157"/>
      <c r="JTS17" s="7158"/>
      <c r="JTT17" s="7158"/>
      <c r="JTU17" s="7158"/>
      <c r="JTV17" s="7158"/>
      <c r="JTW17" s="7158"/>
      <c r="JTX17" s="7159"/>
      <c r="JTY17" s="7152" t="s">
        <v>175</v>
      </c>
      <c r="JTZ17" s="7153"/>
      <c r="JUA17" s="7153"/>
      <c r="JUB17" s="7153"/>
      <c r="JUC17" s="7157"/>
      <c r="JUD17" s="7157"/>
      <c r="JUE17" s="7157"/>
      <c r="JUF17" s="7157"/>
      <c r="JUG17" s="7157"/>
      <c r="JUH17" s="7157"/>
      <c r="JUI17" s="7158"/>
      <c r="JUJ17" s="7158"/>
      <c r="JUK17" s="7158"/>
      <c r="JUL17" s="7158"/>
      <c r="JUM17" s="7158"/>
      <c r="JUN17" s="7159"/>
      <c r="JUO17" s="7152" t="s">
        <v>175</v>
      </c>
      <c r="JUP17" s="7153"/>
      <c r="JUQ17" s="7153"/>
      <c r="JUR17" s="7153"/>
      <c r="JUS17" s="7157"/>
      <c r="JUT17" s="7157"/>
      <c r="JUU17" s="7157"/>
      <c r="JUV17" s="7157"/>
      <c r="JUW17" s="7157"/>
      <c r="JUX17" s="7157"/>
      <c r="JUY17" s="7158"/>
      <c r="JUZ17" s="7158"/>
      <c r="JVA17" s="7158"/>
      <c r="JVB17" s="7158"/>
      <c r="JVC17" s="7158"/>
      <c r="JVD17" s="7159"/>
      <c r="JVE17" s="7152" t="s">
        <v>175</v>
      </c>
      <c r="JVF17" s="7153"/>
      <c r="JVG17" s="7153"/>
      <c r="JVH17" s="7153"/>
      <c r="JVI17" s="7157"/>
      <c r="JVJ17" s="7157"/>
      <c r="JVK17" s="7157"/>
      <c r="JVL17" s="7157"/>
      <c r="JVM17" s="7157"/>
      <c r="JVN17" s="7157"/>
      <c r="JVO17" s="7158"/>
      <c r="JVP17" s="7158"/>
      <c r="JVQ17" s="7158"/>
      <c r="JVR17" s="7158"/>
      <c r="JVS17" s="7158"/>
      <c r="JVT17" s="7159"/>
      <c r="JVU17" s="7152" t="s">
        <v>175</v>
      </c>
      <c r="JVV17" s="7153"/>
      <c r="JVW17" s="7153"/>
      <c r="JVX17" s="7153"/>
      <c r="JVY17" s="7157"/>
      <c r="JVZ17" s="7157"/>
      <c r="JWA17" s="7157"/>
      <c r="JWB17" s="7157"/>
      <c r="JWC17" s="7157"/>
      <c r="JWD17" s="7157"/>
      <c r="JWE17" s="7158"/>
      <c r="JWF17" s="7158"/>
      <c r="JWG17" s="7158"/>
      <c r="JWH17" s="7158"/>
      <c r="JWI17" s="7158"/>
      <c r="JWJ17" s="7159"/>
      <c r="JWK17" s="7152" t="s">
        <v>175</v>
      </c>
      <c r="JWL17" s="7153"/>
      <c r="JWM17" s="7153"/>
      <c r="JWN17" s="7153"/>
      <c r="JWO17" s="7157"/>
      <c r="JWP17" s="7157"/>
      <c r="JWQ17" s="7157"/>
      <c r="JWR17" s="7157"/>
      <c r="JWS17" s="7157"/>
      <c r="JWT17" s="7157"/>
      <c r="JWU17" s="7158"/>
      <c r="JWV17" s="7158"/>
      <c r="JWW17" s="7158"/>
      <c r="JWX17" s="7158"/>
      <c r="JWY17" s="7158"/>
      <c r="JWZ17" s="7159"/>
      <c r="JXA17" s="7152" t="s">
        <v>175</v>
      </c>
      <c r="JXB17" s="7153"/>
      <c r="JXC17" s="7153"/>
      <c r="JXD17" s="7153"/>
      <c r="JXE17" s="7157"/>
      <c r="JXF17" s="7157"/>
      <c r="JXG17" s="7157"/>
      <c r="JXH17" s="7157"/>
      <c r="JXI17" s="7157"/>
      <c r="JXJ17" s="7157"/>
      <c r="JXK17" s="7158"/>
      <c r="JXL17" s="7158"/>
      <c r="JXM17" s="7158"/>
      <c r="JXN17" s="7158"/>
      <c r="JXO17" s="7158"/>
      <c r="JXP17" s="7159"/>
      <c r="JXQ17" s="7152" t="s">
        <v>175</v>
      </c>
      <c r="JXR17" s="7153"/>
      <c r="JXS17" s="7153"/>
      <c r="JXT17" s="7153"/>
      <c r="JXU17" s="7157"/>
      <c r="JXV17" s="7157"/>
      <c r="JXW17" s="7157"/>
      <c r="JXX17" s="7157"/>
      <c r="JXY17" s="7157"/>
      <c r="JXZ17" s="7157"/>
      <c r="JYA17" s="7158"/>
      <c r="JYB17" s="7158"/>
      <c r="JYC17" s="7158"/>
      <c r="JYD17" s="7158"/>
      <c r="JYE17" s="7158"/>
      <c r="JYF17" s="7159"/>
      <c r="JYG17" s="7152" t="s">
        <v>175</v>
      </c>
      <c r="JYH17" s="7153"/>
      <c r="JYI17" s="7153"/>
      <c r="JYJ17" s="7153"/>
      <c r="JYK17" s="7157"/>
      <c r="JYL17" s="7157"/>
      <c r="JYM17" s="7157"/>
      <c r="JYN17" s="7157"/>
      <c r="JYO17" s="7157"/>
      <c r="JYP17" s="7157"/>
      <c r="JYQ17" s="7158"/>
      <c r="JYR17" s="7158"/>
      <c r="JYS17" s="7158"/>
      <c r="JYT17" s="7158"/>
      <c r="JYU17" s="7158"/>
      <c r="JYV17" s="7159"/>
      <c r="JYW17" s="7152" t="s">
        <v>175</v>
      </c>
      <c r="JYX17" s="7153"/>
      <c r="JYY17" s="7153"/>
      <c r="JYZ17" s="7153"/>
      <c r="JZA17" s="7157"/>
      <c r="JZB17" s="7157"/>
      <c r="JZC17" s="7157"/>
      <c r="JZD17" s="7157"/>
      <c r="JZE17" s="7157"/>
      <c r="JZF17" s="7157"/>
      <c r="JZG17" s="7158"/>
      <c r="JZH17" s="7158"/>
      <c r="JZI17" s="7158"/>
      <c r="JZJ17" s="7158"/>
      <c r="JZK17" s="7158"/>
      <c r="JZL17" s="7159"/>
      <c r="JZM17" s="7152" t="s">
        <v>175</v>
      </c>
      <c r="JZN17" s="7153"/>
      <c r="JZO17" s="7153"/>
      <c r="JZP17" s="7153"/>
      <c r="JZQ17" s="7157"/>
      <c r="JZR17" s="7157"/>
      <c r="JZS17" s="7157"/>
      <c r="JZT17" s="7157"/>
      <c r="JZU17" s="7157"/>
      <c r="JZV17" s="7157"/>
      <c r="JZW17" s="7158"/>
      <c r="JZX17" s="7158"/>
      <c r="JZY17" s="7158"/>
      <c r="JZZ17" s="7158"/>
      <c r="KAA17" s="7158"/>
      <c r="KAB17" s="7159"/>
      <c r="KAC17" s="7152" t="s">
        <v>175</v>
      </c>
      <c r="KAD17" s="7153"/>
      <c r="KAE17" s="7153"/>
      <c r="KAF17" s="7153"/>
      <c r="KAG17" s="7157"/>
      <c r="KAH17" s="7157"/>
      <c r="KAI17" s="7157"/>
      <c r="KAJ17" s="7157"/>
      <c r="KAK17" s="7157"/>
      <c r="KAL17" s="7157"/>
      <c r="KAM17" s="7158"/>
      <c r="KAN17" s="7158"/>
      <c r="KAO17" s="7158"/>
      <c r="KAP17" s="7158"/>
      <c r="KAQ17" s="7158"/>
      <c r="KAR17" s="7159"/>
      <c r="KAS17" s="7152" t="s">
        <v>175</v>
      </c>
      <c r="KAT17" s="7153"/>
      <c r="KAU17" s="7153"/>
      <c r="KAV17" s="7153"/>
      <c r="KAW17" s="7157"/>
      <c r="KAX17" s="7157"/>
      <c r="KAY17" s="7157"/>
      <c r="KAZ17" s="7157"/>
      <c r="KBA17" s="7157"/>
      <c r="KBB17" s="7157"/>
      <c r="KBC17" s="7158"/>
      <c r="KBD17" s="7158"/>
      <c r="KBE17" s="7158"/>
      <c r="KBF17" s="7158"/>
      <c r="KBG17" s="7158"/>
      <c r="KBH17" s="7159"/>
      <c r="KBI17" s="7152" t="s">
        <v>175</v>
      </c>
      <c r="KBJ17" s="7153"/>
      <c r="KBK17" s="7153"/>
      <c r="KBL17" s="7153"/>
      <c r="KBM17" s="7157"/>
      <c r="KBN17" s="7157"/>
      <c r="KBO17" s="7157"/>
      <c r="KBP17" s="7157"/>
      <c r="KBQ17" s="7157"/>
      <c r="KBR17" s="7157"/>
      <c r="KBS17" s="7158"/>
      <c r="KBT17" s="7158"/>
      <c r="KBU17" s="7158"/>
      <c r="KBV17" s="7158"/>
      <c r="KBW17" s="7158"/>
      <c r="KBX17" s="7159"/>
      <c r="KBY17" s="7152" t="s">
        <v>175</v>
      </c>
      <c r="KBZ17" s="7153"/>
      <c r="KCA17" s="7153"/>
      <c r="KCB17" s="7153"/>
      <c r="KCC17" s="7157"/>
      <c r="KCD17" s="7157"/>
      <c r="KCE17" s="7157"/>
      <c r="KCF17" s="7157"/>
      <c r="KCG17" s="7157"/>
      <c r="KCH17" s="7157"/>
      <c r="KCI17" s="7158"/>
      <c r="KCJ17" s="7158"/>
      <c r="KCK17" s="7158"/>
      <c r="KCL17" s="7158"/>
      <c r="KCM17" s="7158"/>
      <c r="KCN17" s="7159"/>
      <c r="KCO17" s="7152" t="s">
        <v>175</v>
      </c>
      <c r="KCP17" s="7153"/>
      <c r="KCQ17" s="7153"/>
      <c r="KCR17" s="7153"/>
      <c r="KCS17" s="7157"/>
      <c r="KCT17" s="7157"/>
      <c r="KCU17" s="7157"/>
      <c r="KCV17" s="7157"/>
      <c r="KCW17" s="7157"/>
      <c r="KCX17" s="7157"/>
      <c r="KCY17" s="7158"/>
      <c r="KCZ17" s="7158"/>
      <c r="KDA17" s="7158"/>
      <c r="KDB17" s="7158"/>
      <c r="KDC17" s="7158"/>
      <c r="KDD17" s="7159"/>
      <c r="KDE17" s="7152" t="s">
        <v>175</v>
      </c>
      <c r="KDF17" s="7153"/>
      <c r="KDG17" s="7153"/>
      <c r="KDH17" s="7153"/>
      <c r="KDI17" s="7157"/>
      <c r="KDJ17" s="7157"/>
      <c r="KDK17" s="7157"/>
      <c r="KDL17" s="7157"/>
      <c r="KDM17" s="7157"/>
      <c r="KDN17" s="7157"/>
      <c r="KDO17" s="7158"/>
      <c r="KDP17" s="7158"/>
      <c r="KDQ17" s="7158"/>
      <c r="KDR17" s="7158"/>
      <c r="KDS17" s="7158"/>
      <c r="KDT17" s="7159"/>
      <c r="KDU17" s="7152" t="s">
        <v>175</v>
      </c>
      <c r="KDV17" s="7153"/>
      <c r="KDW17" s="7153"/>
      <c r="KDX17" s="7153"/>
      <c r="KDY17" s="7157"/>
      <c r="KDZ17" s="7157"/>
      <c r="KEA17" s="7157"/>
      <c r="KEB17" s="7157"/>
      <c r="KEC17" s="7157"/>
      <c r="KED17" s="7157"/>
      <c r="KEE17" s="7158"/>
      <c r="KEF17" s="7158"/>
      <c r="KEG17" s="7158"/>
      <c r="KEH17" s="7158"/>
      <c r="KEI17" s="7158"/>
      <c r="KEJ17" s="7159"/>
      <c r="KEK17" s="7152" t="s">
        <v>175</v>
      </c>
      <c r="KEL17" s="7153"/>
      <c r="KEM17" s="7153"/>
      <c r="KEN17" s="7153"/>
      <c r="KEO17" s="7157"/>
      <c r="KEP17" s="7157"/>
      <c r="KEQ17" s="7157"/>
      <c r="KER17" s="7157"/>
      <c r="KES17" s="7157"/>
      <c r="KET17" s="7157"/>
      <c r="KEU17" s="7158"/>
      <c r="KEV17" s="7158"/>
      <c r="KEW17" s="7158"/>
      <c r="KEX17" s="7158"/>
      <c r="KEY17" s="7158"/>
      <c r="KEZ17" s="7159"/>
      <c r="KFA17" s="7152" t="s">
        <v>175</v>
      </c>
      <c r="KFB17" s="7153"/>
      <c r="KFC17" s="7153"/>
      <c r="KFD17" s="7153"/>
      <c r="KFE17" s="7157"/>
      <c r="KFF17" s="7157"/>
      <c r="KFG17" s="7157"/>
      <c r="KFH17" s="7157"/>
      <c r="KFI17" s="7157"/>
      <c r="KFJ17" s="7157"/>
      <c r="KFK17" s="7158"/>
      <c r="KFL17" s="7158"/>
      <c r="KFM17" s="7158"/>
      <c r="KFN17" s="7158"/>
      <c r="KFO17" s="7158"/>
      <c r="KFP17" s="7159"/>
      <c r="KFQ17" s="7152" t="s">
        <v>175</v>
      </c>
      <c r="KFR17" s="7153"/>
      <c r="KFS17" s="7153"/>
      <c r="KFT17" s="7153"/>
      <c r="KFU17" s="7157"/>
      <c r="KFV17" s="7157"/>
      <c r="KFW17" s="7157"/>
      <c r="KFX17" s="7157"/>
      <c r="KFY17" s="7157"/>
      <c r="KFZ17" s="7157"/>
      <c r="KGA17" s="7158"/>
      <c r="KGB17" s="7158"/>
      <c r="KGC17" s="7158"/>
      <c r="KGD17" s="7158"/>
      <c r="KGE17" s="7158"/>
      <c r="KGF17" s="7159"/>
      <c r="KGG17" s="7152" t="s">
        <v>175</v>
      </c>
      <c r="KGH17" s="7153"/>
      <c r="KGI17" s="7153"/>
      <c r="KGJ17" s="7153"/>
      <c r="KGK17" s="7157"/>
      <c r="KGL17" s="7157"/>
      <c r="KGM17" s="7157"/>
      <c r="KGN17" s="7157"/>
      <c r="KGO17" s="7157"/>
      <c r="KGP17" s="7157"/>
      <c r="KGQ17" s="7158"/>
      <c r="KGR17" s="7158"/>
      <c r="KGS17" s="7158"/>
      <c r="KGT17" s="7158"/>
      <c r="KGU17" s="7158"/>
      <c r="KGV17" s="7159"/>
      <c r="KGW17" s="7152" t="s">
        <v>175</v>
      </c>
      <c r="KGX17" s="7153"/>
      <c r="KGY17" s="7153"/>
      <c r="KGZ17" s="7153"/>
      <c r="KHA17" s="7157"/>
      <c r="KHB17" s="7157"/>
      <c r="KHC17" s="7157"/>
      <c r="KHD17" s="7157"/>
      <c r="KHE17" s="7157"/>
      <c r="KHF17" s="7157"/>
      <c r="KHG17" s="7158"/>
      <c r="KHH17" s="7158"/>
      <c r="KHI17" s="7158"/>
      <c r="KHJ17" s="7158"/>
      <c r="KHK17" s="7158"/>
      <c r="KHL17" s="7159"/>
      <c r="KHM17" s="7152" t="s">
        <v>175</v>
      </c>
      <c r="KHN17" s="7153"/>
      <c r="KHO17" s="7153"/>
      <c r="KHP17" s="7153"/>
      <c r="KHQ17" s="7157"/>
      <c r="KHR17" s="7157"/>
      <c r="KHS17" s="7157"/>
      <c r="KHT17" s="7157"/>
      <c r="KHU17" s="7157"/>
      <c r="KHV17" s="7157"/>
      <c r="KHW17" s="7158"/>
      <c r="KHX17" s="7158"/>
      <c r="KHY17" s="7158"/>
      <c r="KHZ17" s="7158"/>
      <c r="KIA17" s="7158"/>
      <c r="KIB17" s="7159"/>
      <c r="KIC17" s="7152" t="s">
        <v>175</v>
      </c>
      <c r="KID17" s="7153"/>
      <c r="KIE17" s="7153"/>
      <c r="KIF17" s="7153"/>
      <c r="KIG17" s="7157"/>
      <c r="KIH17" s="7157"/>
      <c r="KII17" s="7157"/>
      <c r="KIJ17" s="7157"/>
      <c r="KIK17" s="7157"/>
      <c r="KIL17" s="7157"/>
      <c r="KIM17" s="7158"/>
      <c r="KIN17" s="7158"/>
      <c r="KIO17" s="7158"/>
      <c r="KIP17" s="7158"/>
      <c r="KIQ17" s="7158"/>
      <c r="KIR17" s="7159"/>
      <c r="KIS17" s="7152" t="s">
        <v>175</v>
      </c>
      <c r="KIT17" s="7153"/>
      <c r="KIU17" s="7153"/>
      <c r="KIV17" s="7153"/>
      <c r="KIW17" s="7157"/>
      <c r="KIX17" s="7157"/>
      <c r="KIY17" s="7157"/>
      <c r="KIZ17" s="7157"/>
      <c r="KJA17" s="7157"/>
      <c r="KJB17" s="7157"/>
      <c r="KJC17" s="7158"/>
      <c r="KJD17" s="7158"/>
      <c r="KJE17" s="7158"/>
      <c r="KJF17" s="7158"/>
      <c r="KJG17" s="7158"/>
      <c r="KJH17" s="7159"/>
      <c r="KJI17" s="7152" t="s">
        <v>175</v>
      </c>
      <c r="KJJ17" s="7153"/>
      <c r="KJK17" s="7153"/>
      <c r="KJL17" s="7153"/>
      <c r="KJM17" s="7157"/>
      <c r="KJN17" s="7157"/>
      <c r="KJO17" s="7157"/>
      <c r="KJP17" s="7157"/>
      <c r="KJQ17" s="7157"/>
      <c r="KJR17" s="7157"/>
      <c r="KJS17" s="7158"/>
      <c r="KJT17" s="7158"/>
      <c r="KJU17" s="7158"/>
      <c r="KJV17" s="7158"/>
      <c r="KJW17" s="7158"/>
      <c r="KJX17" s="7159"/>
      <c r="KJY17" s="7152" t="s">
        <v>175</v>
      </c>
      <c r="KJZ17" s="7153"/>
      <c r="KKA17" s="7153"/>
      <c r="KKB17" s="7153"/>
      <c r="KKC17" s="7157"/>
      <c r="KKD17" s="7157"/>
      <c r="KKE17" s="7157"/>
      <c r="KKF17" s="7157"/>
      <c r="KKG17" s="7157"/>
      <c r="KKH17" s="7157"/>
      <c r="KKI17" s="7158"/>
      <c r="KKJ17" s="7158"/>
      <c r="KKK17" s="7158"/>
      <c r="KKL17" s="7158"/>
      <c r="KKM17" s="7158"/>
      <c r="KKN17" s="7159"/>
      <c r="KKO17" s="7152" t="s">
        <v>175</v>
      </c>
      <c r="KKP17" s="7153"/>
      <c r="KKQ17" s="7153"/>
      <c r="KKR17" s="7153"/>
      <c r="KKS17" s="7157"/>
      <c r="KKT17" s="7157"/>
      <c r="KKU17" s="7157"/>
      <c r="KKV17" s="7157"/>
      <c r="KKW17" s="7157"/>
      <c r="KKX17" s="7157"/>
      <c r="KKY17" s="7158"/>
      <c r="KKZ17" s="7158"/>
      <c r="KLA17" s="7158"/>
      <c r="KLB17" s="7158"/>
      <c r="KLC17" s="7158"/>
      <c r="KLD17" s="7159"/>
      <c r="KLE17" s="7152" t="s">
        <v>175</v>
      </c>
      <c r="KLF17" s="7153"/>
      <c r="KLG17" s="7153"/>
      <c r="KLH17" s="7153"/>
      <c r="KLI17" s="7157"/>
      <c r="KLJ17" s="7157"/>
      <c r="KLK17" s="7157"/>
      <c r="KLL17" s="7157"/>
      <c r="KLM17" s="7157"/>
      <c r="KLN17" s="7157"/>
      <c r="KLO17" s="7158"/>
      <c r="KLP17" s="7158"/>
      <c r="KLQ17" s="7158"/>
      <c r="KLR17" s="7158"/>
      <c r="KLS17" s="7158"/>
      <c r="KLT17" s="7159"/>
      <c r="KLU17" s="7152" t="s">
        <v>175</v>
      </c>
      <c r="KLV17" s="7153"/>
      <c r="KLW17" s="7153"/>
      <c r="KLX17" s="7153"/>
      <c r="KLY17" s="7157"/>
      <c r="KLZ17" s="7157"/>
      <c r="KMA17" s="7157"/>
      <c r="KMB17" s="7157"/>
      <c r="KMC17" s="7157"/>
      <c r="KMD17" s="7157"/>
      <c r="KME17" s="7158"/>
      <c r="KMF17" s="7158"/>
      <c r="KMG17" s="7158"/>
      <c r="KMH17" s="7158"/>
      <c r="KMI17" s="7158"/>
      <c r="KMJ17" s="7159"/>
      <c r="KMK17" s="7152" t="s">
        <v>175</v>
      </c>
      <c r="KML17" s="7153"/>
      <c r="KMM17" s="7153"/>
      <c r="KMN17" s="7153"/>
      <c r="KMO17" s="7157"/>
      <c r="KMP17" s="7157"/>
      <c r="KMQ17" s="7157"/>
      <c r="KMR17" s="7157"/>
      <c r="KMS17" s="7157"/>
      <c r="KMT17" s="7157"/>
      <c r="KMU17" s="7158"/>
      <c r="KMV17" s="7158"/>
      <c r="KMW17" s="7158"/>
      <c r="KMX17" s="7158"/>
      <c r="KMY17" s="7158"/>
      <c r="KMZ17" s="7159"/>
      <c r="KNA17" s="7152" t="s">
        <v>175</v>
      </c>
      <c r="KNB17" s="7153"/>
      <c r="KNC17" s="7153"/>
      <c r="KND17" s="7153"/>
      <c r="KNE17" s="7157"/>
      <c r="KNF17" s="7157"/>
      <c r="KNG17" s="7157"/>
      <c r="KNH17" s="7157"/>
      <c r="KNI17" s="7157"/>
      <c r="KNJ17" s="7157"/>
      <c r="KNK17" s="7158"/>
      <c r="KNL17" s="7158"/>
      <c r="KNM17" s="7158"/>
      <c r="KNN17" s="7158"/>
      <c r="KNO17" s="7158"/>
      <c r="KNP17" s="7159"/>
      <c r="KNQ17" s="7152" t="s">
        <v>175</v>
      </c>
      <c r="KNR17" s="7153"/>
      <c r="KNS17" s="7153"/>
      <c r="KNT17" s="7153"/>
      <c r="KNU17" s="7157"/>
      <c r="KNV17" s="7157"/>
      <c r="KNW17" s="7157"/>
      <c r="KNX17" s="7157"/>
      <c r="KNY17" s="7157"/>
      <c r="KNZ17" s="7157"/>
      <c r="KOA17" s="7158"/>
      <c r="KOB17" s="7158"/>
      <c r="KOC17" s="7158"/>
      <c r="KOD17" s="7158"/>
      <c r="KOE17" s="7158"/>
      <c r="KOF17" s="7159"/>
      <c r="KOG17" s="7152" t="s">
        <v>175</v>
      </c>
      <c r="KOH17" s="7153"/>
      <c r="KOI17" s="7153"/>
      <c r="KOJ17" s="7153"/>
      <c r="KOK17" s="7157"/>
      <c r="KOL17" s="7157"/>
      <c r="KOM17" s="7157"/>
      <c r="KON17" s="7157"/>
      <c r="KOO17" s="7157"/>
      <c r="KOP17" s="7157"/>
      <c r="KOQ17" s="7158"/>
      <c r="KOR17" s="7158"/>
      <c r="KOS17" s="7158"/>
      <c r="KOT17" s="7158"/>
      <c r="KOU17" s="7158"/>
      <c r="KOV17" s="7159"/>
      <c r="KOW17" s="7152" t="s">
        <v>175</v>
      </c>
      <c r="KOX17" s="7153"/>
      <c r="KOY17" s="7153"/>
      <c r="KOZ17" s="7153"/>
      <c r="KPA17" s="7157"/>
      <c r="KPB17" s="7157"/>
      <c r="KPC17" s="7157"/>
      <c r="KPD17" s="7157"/>
      <c r="KPE17" s="7157"/>
      <c r="KPF17" s="7157"/>
      <c r="KPG17" s="7158"/>
      <c r="KPH17" s="7158"/>
      <c r="KPI17" s="7158"/>
      <c r="KPJ17" s="7158"/>
      <c r="KPK17" s="7158"/>
      <c r="KPL17" s="7159"/>
      <c r="KPM17" s="7152" t="s">
        <v>175</v>
      </c>
      <c r="KPN17" s="7153"/>
      <c r="KPO17" s="7153"/>
      <c r="KPP17" s="7153"/>
      <c r="KPQ17" s="7157"/>
      <c r="KPR17" s="7157"/>
      <c r="KPS17" s="7157"/>
      <c r="KPT17" s="7157"/>
      <c r="KPU17" s="7157"/>
      <c r="KPV17" s="7157"/>
      <c r="KPW17" s="7158"/>
      <c r="KPX17" s="7158"/>
      <c r="KPY17" s="7158"/>
      <c r="KPZ17" s="7158"/>
      <c r="KQA17" s="7158"/>
      <c r="KQB17" s="7159"/>
      <c r="KQC17" s="7152" t="s">
        <v>175</v>
      </c>
      <c r="KQD17" s="7153"/>
      <c r="KQE17" s="7153"/>
      <c r="KQF17" s="7153"/>
      <c r="KQG17" s="7157"/>
      <c r="KQH17" s="7157"/>
      <c r="KQI17" s="7157"/>
      <c r="KQJ17" s="7157"/>
      <c r="KQK17" s="7157"/>
      <c r="KQL17" s="7157"/>
      <c r="KQM17" s="7158"/>
      <c r="KQN17" s="7158"/>
      <c r="KQO17" s="7158"/>
      <c r="KQP17" s="7158"/>
      <c r="KQQ17" s="7158"/>
      <c r="KQR17" s="7159"/>
      <c r="KQS17" s="7152" t="s">
        <v>175</v>
      </c>
      <c r="KQT17" s="7153"/>
      <c r="KQU17" s="7153"/>
      <c r="KQV17" s="7153"/>
      <c r="KQW17" s="7157"/>
      <c r="KQX17" s="7157"/>
      <c r="KQY17" s="7157"/>
      <c r="KQZ17" s="7157"/>
      <c r="KRA17" s="7157"/>
      <c r="KRB17" s="7157"/>
      <c r="KRC17" s="7158"/>
      <c r="KRD17" s="7158"/>
      <c r="KRE17" s="7158"/>
      <c r="KRF17" s="7158"/>
      <c r="KRG17" s="7158"/>
      <c r="KRH17" s="7159"/>
      <c r="KRI17" s="7152" t="s">
        <v>175</v>
      </c>
      <c r="KRJ17" s="7153"/>
      <c r="KRK17" s="7153"/>
      <c r="KRL17" s="7153"/>
      <c r="KRM17" s="7157"/>
      <c r="KRN17" s="7157"/>
      <c r="KRO17" s="7157"/>
      <c r="KRP17" s="7157"/>
      <c r="KRQ17" s="7157"/>
      <c r="KRR17" s="7157"/>
      <c r="KRS17" s="7158"/>
      <c r="KRT17" s="7158"/>
      <c r="KRU17" s="7158"/>
      <c r="KRV17" s="7158"/>
      <c r="KRW17" s="7158"/>
      <c r="KRX17" s="7159"/>
      <c r="KRY17" s="7152" t="s">
        <v>175</v>
      </c>
      <c r="KRZ17" s="7153"/>
      <c r="KSA17" s="7153"/>
      <c r="KSB17" s="7153"/>
      <c r="KSC17" s="7157"/>
      <c r="KSD17" s="7157"/>
      <c r="KSE17" s="7157"/>
      <c r="KSF17" s="7157"/>
      <c r="KSG17" s="7157"/>
      <c r="KSH17" s="7157"/>
      <c r="KSI17" s="7158"/>
      <c r="KSJ17" s="7158"/>
      <c r="KSK17" s="7158"/>
      <c r="KSL17" s="7158"/>
      <c r="KSM17" s="7158"/>
      <c r="KSN17" s="7159"/>
      <c r="KSO17" s="7152" t="s">
        <v>175</v>
      </c>
      <c r="KSP17" s="7153"/>
      <c r="KSQ17" s="7153"/>
      <c r="KSR17" s="7153"/>
      <c r="KSS17" s="7157"/>
      <c r="KST17" s="7157"/>
      <c r="KSU17" s="7157"/>
      <c r="KSV17" s="7157"/>
      <c r="KSW17" s="7157"/>
      <c r="KSX17" s="7157"/>
      <c r="KSY17" s="7158"/>
      <c r="KSZ17" s="7158"/>
      <c r="KTA17" s="7158"/>
      <c r="KTB17" s="7158"/>
      <c r="KTC17" s="7158"/>
      <c r="KTD17" s="7159"/>
      <c r="KTE17" s="7152" t="s">
        <v>175</v>
      </c>
      <c r="KTF17" s="7153"/>
      <c r="KTG17" s="7153"/>
      <c r="KTH17" s="7153"/>
      <c r="KTI17" s="7157"/>
      <c r="KTJ17" s="7157"/>
      <c r="KTK17" s="7157"/>
      <c r="KTL17" s="7157"/>
      <c r="KTM17" s="7157"/>
      <c r="KTN17" s="7157"/>
      <c r="KTO17" s="7158"/>
      <c r="KTP17" s="7158"/>
      <c r="KTQ17" s="7158"/>
      <c r="KTR17" s="7158"/>
      <c r="KTS17" s="7158"/>
      <c r="KTT17" s="7159"/>
      <c r="KTU17" s="7152" t="s">
        <v>175</v>
      </c>
      <c r="KTV17" s="7153"/>
      <c r="KTW17" s="7153"/>
      <c r="KTX17" s="7153"/>
      <c r="KTY17" s="7157"/>
      <c r="KTZ17" s="7157"/>
      <c r="KUA17" s="7157"/>
      <c r="KUB17" s="7157"/>
      <c r="KUC17" s="7157"/>
      <c r="KUD17" s="7157"/>
      <c r="KUE17" s="7158"/>
      <c r="KUF17" s="7158"/>
      <c r="KUG17" s="7158"/>
      <c r="KUH17" s="7158"/>
      <c r="KUI17" s="7158"/>
      <c r="KUJ17" s="7159"/>
      <c r="KUK17" s="7152" t="s">
        <v>175</v>
      </c>
      <c r="KUL17" s="7153"/>
      <c r="KUM17" s="7153"/>
      <c r="KUN17" s="7153"/>
      <c r="KUO17" s="7157"/>
      <c r="KUP17" s="7157"/>
      <c r="KUQ17" s="7157"/>
      <c r="KUR17" s="7157"/>
      <c r="KUS17" s="7157"/>
      <c r="KUT17" s="7157"/>
      <c r="KUU17" s="7158"/>
      <c r="KUV17" s="7158"/>
      <c r="KUW17" s="7158"/>
      <c r="KUX17" s="7158"/>
      <c r="KUY17" s="7158"/>
      <c r="KUZ17" s="7159"/>
      <c r="KVA17" s="7152" t="s">
        <v>175</v>
      </c>
      <c r="KVB17" s="7153"/>
      <c r="KVC17" s="7153"/>
      <c r="KVD17" s="7153"/>
      <c r="KVE17" s="7157"/>
      <c r="KVF17" s="7157"/>
      <c r="KVG17" s="7157"/>
      <c r="KVH17" s="7157"/>
      <c r="KVI17" s="7157"/>
      <c r="KVJ17" s="7157"/>
      <c r="KVK17" s="7158"/>
      <c r="KVL17" s="7158"/>
      <c r="KVM17" s="7158"/>
      <c r="KVN17" s="7158"/>
      <c r="KVO17" s="7158"/>
      <c r="KVP17" s="7159"/>
      <c r="KVQ17" s="7152" t="s">
        <v>175</v>
      </c>
      <c r="KVR17" s="7153"/>
      <c r="KVS17" s="7153"/>
      <c r="KVT17" s="7153"/>
      <c r="KVU17" s="7157"/>
      <c r="KVV17" s="7157"/>
      <c r="KVW17" s="7157"/>
      <c r="KVX17" s="7157"/>
      <c r="KVY17" s="7157"/>
      <c r="KVZ17" s="7157"/>
      <c r="KWA17" s="7158"/>
      <c r="KWB17" s="7158"/>
      <c r="KWC17" s="7158"/>
      <c r="KWD17" s="7158"/>
      <c r="KWE17" s="7158"/>
      <c r="KWF17" s="7159"/>
      <c r="KWG17" s="7152" t="s">
        <v>175</v>
      </c>
      <c r="KWH17" s="7153"/>
      <c r="KWI17" s="7153"/>
      <c r="KWJ17" s="7153"/>
      <c r="KWK17" s="7157"/>
      <c r="KWL17" s="7157"/>
      <c r="KWM17" s="7157"/>
      <c r="KWN17" s="7157"/>
      <c r="KWO17" s="7157"/>
      <c r="KWP17" s="7157"/>
      <c r="KWQ17" s="7158"/>
      <c r="KWR17" s="7158"/>
      <c r="KWS17" s="7158"/>
      <c r="KWT17" s="7158"/>
      <c r="KWU17" s="7158"/>
      <c r="KWV17" s="7159"/>
      <c r="KWW17" s="7152" t="s">
        <v>175</v>
      </c>
      <c r="KWX17" s="7153"/>
      <c r="KWY17" s="7153"/>
      <c r="KWZ17" s="7153"/>
      <c r="KXA17" s="7157"/>
      <c r="KXB17" s="7157"/>
      <c r="KXC17" s="7157"/>
      <c r="KXD17" s="7157"/>
      <c r="KXE17" s="7157"/>
      <c r="KXF17" s="7157"/>
      <c r="KXG17" s="7158"/>
      <c r="KXH17" s="7158"/>
      <c r="KXI17" s="7158"/>
      <c r="KXJ17" s="7158"/>
      <c r="KXK17" s="7158"/>
      <c r="KXL17" s="7159"/>
      <c r="KXM17" s="7152" t="s">
        <v>175</v>
      </c>
      <c r="KXN17" s="7153"/>
      <c r="KXO17" s="7153"/>
      <c r="KXP17" s="7153"/>
      <c r="KXQ17" s="7157"/>
      <c r="KXR17" s="7157"/>
      <c r="KXS17" s="7157"/>
      <c r="KXT17" s="7157"/>
      <c r="KXU17" s="7157"/>
      <c r="KXV17" s="7157"/>
      <c r="KXW17" s="7158"/>
      <c r="KXX17" s="7158"/>
      <c r="KXY17" s="7158"/>
      <c r="KXZ17" s="7158"/>
      <c r="KYA17" s="7158"/>
      <c r="KYB17" s="7159"/>
      <c r="KYC17" s="7152" t="s">
        <v>175</v>
      </c>
      <c r="KYD17" s="7153"/>
      <c r="KYE17" s="7153"/>
      <c r="KYF17" s="7153"/>
      <c r="KYG17" s="7157"/>
      <c r="KYH17" s="7157"/>
      <c r="KYI17" s="7157"/>
      <c r="KYJ17" s="7157"/>
      <c r="KYK17" s="7157"/>
      <c r="KYL17" s="7157"/>
      <c r="KYM17" s="7158"/>
      <c r="KYN17" s="7158"/>
      <c r="KYO17" s="7158"/>
      <c r="KYP17" s="7158"/>
      <c r="KYQ17" s="7158"/>
      <c r="KYR17" s="7159"/>
      <c r="KYS17" s="7152" t="s">
        <v>175</v>
      </c>
      <c r="KYT17" s="7153"/>
      <c r="KYU17" s="7153"/>
      <c r="KYV17" s="7153"/>
      <c r="KYW17" s="7157"/>
      <c r="KYX17" s="7157"/>
      <c r="KYY17" s="7157"/>
      <c r="KYZ17" s="7157"/>
      <c r="KZA17" s="7157"/>
      <c r="KZB17" s="7157"/>
      <c r="KZC17" s="7158"/>
      <c r="KZD17" s="7158"/>
      <c r="KZE17" s="7158"/>
      <c r="KZF17" s="7158"/>
      <c r="KZG17" s="7158"/>
      <c r="KZH17" s="7159"/>
      <c r="KZI17" s="7152" t="s">
        <v>175</v>
      </c>
      <c r="KZJ17" s="7153"/>
      <c r="KZK17" s="7153"/>
      <c r="KZL17" s="7153"/>
      <c r="KZM17" s="7157"/>
      <c r="KZN17" s="7157"/>
      <c r="KZO17" s="7157"/>
      <c r="KZP17" s="7157"/>
      <c r="KZQ17" s="7157"/>
      <c r="KZR17" s="7157"/>
      <c r="KZS17" s="7158"/>
      <c r="KZT17" s="7158"/>
      <c r="KZU17" s="7158"/>
      <c r="KZV17" s="7158"/>
      <c r="KZW17" s="7158"/>
      <c r="KZX17" s="7159"/>
      <c r="KZY17" s="7152" t="s">
        <v>175</v>
      </c>
      <c r="KZZ17" s="7153"/>
      <c r="LAA17" s="7153"/>
      <c r="LAB17" s="7153"/>
      <c r="LAC17" s="7157"/>
      <c r="LAD17" s="7157"/>
      <c r="LAE17" s="7157"/>
      <c r="LAF17" s="7157"/>
      <c r="LAG17" s="7157"/>
      <c r="LAH17" s="7157"/>
      <c r="LAI17" s="7158"/>
      <c r="LAJ17" s="7158"/>
      <c r="LAK17" s="7158"/>
      <c r="LAL17" s="7158"/>
      <c r="LAM17" s="7158"/>
      <c r="LAN17" s="7159"/>
      <c r="LAO17" s="7152" t="s">
        <v>175</v>
      </c>
      <c r="LAP17" s="7153"/>
      <c r="LAQ17" s="7153"/>
      <c r="LAR17" s="7153"/>
      <c r="LAS17" s="7157"/>
      <c r="LAT17" s="7157"/>
      <c r="LAU17" s="7157"/>
      <c r="LAV17" s="7157"/>
      <c r="LAW17" s="7157"/>
      <c r="LAX17" s="7157"/>
      <c r="LAY17" s="7158"/>
      <c r="LAZ17" s="7158"/>
      <c r="LBA17" s="7158"/>
      <c r="LBB17" s="7158"/>
      <c r="LBC17" s="7158"/>
      <c r="LBD17" s="7159"/>
      <c r="LBE17" s="7152" t="s">
        <v>175</v>
      </c>
      <c r="LBF17" s="7153"/>
      <c r="LBG17" s="7153"/>
      <c r="LBH17" s="7153"/>
      <c r="LBI17" s="7157"/>
      <c r="LBJ17" s="7157"/>
      <c r="LBK17" s="7157"/>
      <c r="LBL17" s="7157"/>
      <c r="LBM17" s="7157"/>
      <c r="LBN17" s="7157"/>
      <c r="LBO17" s="7158"/>
      <c r="LBP17" s="7158"/>
      <c r="LBQ17" s="7158"/>
      <c r="LBR17" s="7158"/>
      <c r="LBS17" s="7158"/>
      <c r="LBT17" s="7159"/>
      <c r="LBU17" s="7152" t="s">
        <v>175</v>
      </c>
      <c r="LBV17" s="7153"/>
      <c r="LBW17" s="7153"/>
      <c r="LBX17" s="7153"/>
      <c r="LBY17" s="7157"/>
      <c r="LBZ17" s="7157"/>
      <c r="LCA17" s="7157"/>
      <c r="LCB17" s="7157"/>
      <c r="LCC17" s="7157"/>
      <c r="LCD17" s="7157"/>
      <c r="LCE17" s="7158"/>
      <c r="LCF17" s="7158"/>
      <c r="LCG17" s="7158"/>
      <c r="LCH17" s="7158"/>
      <c r="LCI17" s="7158"/>
      <c r="LCJ17" s="7159"/>
      <c r="LCK17" s="7152" t="s">
        <v>175</v>
      </c>
      <c r="LCL17" s="7153"/>
      <c r="LCM17" s="7153"/>
      <c r="LCN17" s="7153"/>
      <c r="LCO17" s="7157"/>
      <c r="LCP17" s="7157"/>
      <c r="LCQ17" s="7157"/>
      <c r="LCR17" s="7157"/>
      <c r="LCS17" s="7157"/>
      <c r="LCT17" s="7157"/>
      <c r="LCU17" s="7158"/>
      <c r="LCV17" s="7158"/>
      <c r="LCW17" s="7158"/>
      <c r="LCX17" s="7158"/>
      <c r="LCY17" s="7158"/>
      <c r="LCZ17" s="7159"/>
      <c r="LDA17" s="7152" t="s">
        <v>175</v>
      </c>
      <c r="LDB17" s="7153"/>
      <c r="LDC17" s="7153"/>
      <c r="LDD17" s="7153"/>
      <c r="LDE17" s="7157"/>
      <c r="LDF17" s="7157"/>
      <c r="LDG17" s="7157"/>
      <c r="LDH17" s="7157"/>
      <c r="LDI17" s="7157"/>
      <c r="LDJ17" s="7157"/>
      <c r="LDK17" s="7158"/>
      <c r="LDL17" s="7158"/>
      <c r="LDM17" s="7158"/>
      <c r="LDN17" s="7158"/>
      <c r="LDO17" s="7158"/>
      <c r="LDP17" s="7159"/>
      <c r="LDQ17" s="7152" t="s">
        <v>175</v>
      </c>
      <c r="LDR17" s="7153"/>
      <c r="LDS17" s="7153"/>
      <c r="LDT17" s="7153"/>
      <c r="LDU17" s="7157"/>
      <c r="LDV17" s="7157"/>
      <c r="LDW17" s="7157"/>
      <c r="LDX17" s="7157"/>
      <c r="LDY17" s="7157"/>
      <c r="LDZ17" s="7157"/>
      <c r="LEA17" s="7158"/>
      <c r="LEB17" s="7158"/>
      <c r="LEC17" s="7158"/>
      <c r="LED17" s="7158"/>
      <c r="LEE17" s="7158"/>
      <c r="LEF17" s="7159"/>
      <c r="LEG17" s="7152" t="s">
        <v>175</v>
      </c>
      <c r="LEH17" s="7153"/>
      <c r="LEI17" s="7153"/>
      <c r="LEJ17" s="7153"/>
      <c r="LEK17" s="7157"/>
      <c r="LEL17" s="7157"/>
      <c r="LEM17" s="7157"/>
      <c r="LEN17" s="7157"/>
      <c r="LEO17" s="7157"/>
      <c r="LEP17" s="7157"/>
      <c r="LEQ17" s="7158"/>
      <c r="LER17" s="7158"/>
      <c r="LES17" s="7158"/>
      <c r="LET17" s="7158"/>
      <c r="LEU17" s="7158"/>
      <c r="LEV17" s="7159"/>
      <c r="LEW17" s="7152" t="s">
        <v>175</v>
      </c>
      <c r="LEX17" s="7153"/>
      <c r="LEY17" s="7153"/>
      <c r="LEZ17" s="7153"/>
      <c r="LFA17" s="7157"/>
      <c r="LFB17" s="7157"/>
      <c r="LFC17" s="7157"/>
      <c r="LFD17" s="7157"/>
      <c r="LFE17" s="7157"/>
      <c r="LFF17" s="7157"/>
      <c r="LFG17" s="7158"/>
      <c r="LFH17" s="7158"/>
      <c r="LFI17" s="7158"/>
      <c r="LFJ17" s="7158"/>
      <c r="LFK17" s="7158"/>
      <c r="LFL17" s="7159"/>
      <c r="LFM17" s="7152" t="s">
        <v>175</v>
      </c>
      <c r="LFN17" s="7153"/>
      <c r="LFO17" s="7153"/>
      <c r="LFP17" s="7153"/>
      <c r="LFQ17" s="7157"/>
      <c r="LFR17" s="7157"/>
      <c r="LFS17" s="7157"/>
      <c r="LFT17" s="7157"/>
      <c r="LFU17" s="7157"/>
      <c r="LFV17" s="7157"/>
      <c r="LFW17" s="7158"/>
      <c r="LFX17" s="7158"/>
      <c r="LFY17" s="7158"/>
      <c r="LFZ17" s="7158"/>
      <c r="LGA17" s="7158"/>
      <c r="LGB17" s="7159"/>
      <c r="LGC17" s="7152" t="s">
        <v>175</v>
      </c>
      <c r="LGD17" s="7153"/>
      <c r="LGE17" s="7153"/>
      <c r="LGF17" s="7153"/>
      <c r="LGG17" s="7157"/>
      <c r="LGH17" s="7157"/>
      <c r="LGI17" s="7157"/>
      <c r="LGJ17" s="7157"/>
      <c r="LGK17" s="7157"/>
      <c r="LGL17" s="7157"/>
      <c r="LGM17" s="7158"/>
      <c r="LGN17" s="7158"/>
      <c r="LGO17" s="7158"/>
      <c r="LGP17" s="7158"/>
      <c r="LGQ17" s="7158"/>
      <c r="LGR17" s="7159"/>
      <c r="LGS17" s="7152" t="s">
        <v>175</v>
      </c>
      <c r="LGT17" s="7153"/>
      <c r="LGU17" s="7153"/>
      <c r="LGV17" s="7153"/>
      <c r="LGW17" s="7157"/>
      <c r="LGX17" s="7157"/>
      <c r="LGY17" s="7157"/>
      <c r="LGZ17" s="7157"/>
      <c r="LHA17" s="7157"/>
      <c r="LHB17" s="7157"/>
      <c r="LHC17" s="7158"/>
      <c r="LHD17" s="7158"/>
      <c r="LHE17" s="7158"/>
      <c r="LHF17" s="7158"/>
      <c r="LHG17" s="7158"/>
      <c r="LHH17" s="7159"/>
      <c r="LHI17" s="7152" t="s">
        <v>175</v>
      </c>
      <c r="LHJ17" s="7153"/>
      <c r="LHK17" s="7153"/>
      <c r="LHL17" s="7153"/>
      <c r="LHM17" s="7157"/>
      <c r="LHN17" s="7157"/>
      <c r="LHO17" s="7157"/>
      <c r="LHP17" s="7157"/>
      <c r="LHQ17" s="7157"/>
      <c r="LHR17" s="7157"/>
      <c r="LHS17" s="7158"/>
      <c r="LHT17" s="7158"/>
      <c r="LHU17" s="7158"/>
      <c r="LHV17" s="7158"/>
      <c r="LHW17" s="7158"/>
      <c r="LHX17" s="7159"/>
      <c r="LHY17" s="7152" t="s">
        <v>175</v>
      </c>
      <c r="LHZ17" s="7153"/>
      <c r="LIA17" s="7153"/>
      <c r="LIB17" s="7153"/>
      <c r="LIC17" s="7157"/>
      <c r="LID17" s="7157"/>
      <c r="LIE17" s="7157"/>
      <c r="LIF17" s="7157"/>
      <c r="LIG17" s="7157"/>
      <c r="LIH17" s="7157"/>
      <c r="LII17" s="7158"/>
      <c r="LIJ17" s="7158"/>
      <c r="LIK17" s="7158"/>
      <c r="LIL17" s="7158"/>
      <c r="LIM17" s="7158"/>
      <c r="LIN17" s="7159"/>
      <c r="LIO17" s="7152" t="s">
        <v>175</v>
      </c>
      <c r="LIP17" s="7153"/>
      <c r="LIQ17" s="7153"/>
      <c r="LIR17" s="7153"/>
      <c r="LIS17" s="7157"/>
      <c r="LIT17" s="7157"/>
      <c r="LIU17" s="7157"/>
      <c r="LIV17" s="7157"/>
      <c r="LIW17" s="7157"/>
      <c r="LIX17" s="7157"/>
      <c r="LIY17" s="7158"/>
      <c r="LIZ17" s="7158"/>
      <c r="LJA17" s="7158"/>
      <c r="LJB17" s="7158"/>
      <c r="LJC17" s="7158"/>
      <c r="LJD17" s="7159"/>
      <c r="LJE17" s="7152" t="s">
        <v>175</v>
      </c>
      <c r="LJF17" s="7153"/>
      <c r="LJG17" s="7153"/>
      <c r="LJH17" s="7153"/>
      <c r="LJI17" s="7157"/>
      <c r="LJJ17" s="7157"/>
      <c r="LJK17" s="7157"/>
      <c r="LJL17" s="7157"/>
      <c r="LJM17" s="7157"/>
      <c r="LJN17" s="7157"/>
      <c r="LJO17" s="7158"/>
      <c r="LJP17" s="7158"/>
      <c r="LJQ17" s="7158"/>
      <c r="LJR17" s="7158"/>
      <c r="LJS17" s="7158"/>
      <c r="LJT17" s="7159"/>
      <c r="LJU17" s="7152" t="s">
        <v>175</v>
      </c>
      <c r="LJV17" s="7153"/>
      <c r="LJW17" s="7153"/>
      <c r="LJX17" s="7153"/>
      <c r="LJY17" s="7157"/>
      <c r="LJZ17" s="7157"/>
      <c r="LKA17" s="7157"/>
      <c r="LKB17" s="7157"/>
      <c r="LKC17" s="7157"/>
      <c r="LKD17" s="7157"/>
      <c r="LKE17" s="7158"/>
      <c r="LKF17" s="7158"/>
      <c r="LKG17" s="7158"/>
      <c r="LKH17" s="7158"/>
      <c r="LKI17" s="7158"/>
      <c r="LKJ17" s="7159"/>
      <c r="LKK17" s="7152" t="s">
        <v>175</v>
      </c>
      <c r="LKL17" s="7153"/>
      <c r="LKM17" s="7153"/>
      <c r="LKN17" s="7153"/>
      <c r="LKO17" s="7157"/>
      <c r="LKP17" s="7157"/>
      <c r="LKQ17" s="7157"/>
      <c r="LKR17" s="7157"/>
      <c r="LKS17" s="7157"/>
      <c r="LKT17" s="7157"/>
      <c r="LKU17" s="7158"/>
      <c r="LKV17" s="7158"/>
      <c r="LKW17" s="7158"/>
      <c r="LKX17" s="7158"/>
      <c r="LKY17" s="7158"/>
      <c r="LKZ17" s="7159"/>
      <c r="LLA17" s="7152" t="s">
        <v>175</v>
      </c>
      <c r="LLB17" s="7153"/>
      <c r="LLC17" s="7153"/>
      <c r="LLD17" s="7153"/>
      <c r="LLE17" s="7157"/>
      <c r="LLF17" s="7157"/>
      <c r="LLG17" s="7157"/>
      <c r="LLH17" s="7157"/>
      <c r="LLI17" s="7157"/>
      <c r="LLJ17" s="7157"/>
      <c r="LLK17" s="7158"/>
      <c r="LLL17" s="7158"/>
      <c r="LLM17" s="7158"/>
      <c r="LLN17" s="7158"/>
      <c r="LLO17" s="7158"/>
      <c r="LLP17" s="7159"/>
      <c r="LLQ17" s="7152" t="s">
        <v>175</v>
      </c>
      <c r="LLR17" s="7153"/>
      <c r="LLS17" s="7153"/>
      <c r="LLT17" s="7153"/>
      <c r="LLU17" s="7157"/>
      <c r="LLV17" s="7157"/>
      <c r="LLW17" s="7157"/>
      <c r="LLX17" s="7157"/>
      <c r="LLY17" s="7157"/>
      <c r="LLZ17" s="7157"/>
      <c r="LMA17" s="7158"/>
      <c r="LMB17" s="7158"/>
      <c r="LMC17" s="7158"/>
      <c r="LMD17" s="7158"/>
      <c r="LME17" s="7158"/>
      <c r="LMF17" s="7159"/>
      <c r="LMG17" s="7152" t="s">
        <v>175</v>
      </c>
      <c r="LMH17" s="7153"/>
      <c r="LMI17" s="7153"/>
      <c r="LMJ17" s="7153"/>
      <c r="LMK17" s="7157"/>
      <c r="LML17" s="7157"/>
      <c r="LMM17" s="7157"/>
      <c r="LMN17" s="7157"/>
      <c r="LMO17" s="7157"/>
      <c r="LMP17" s="7157"/>
      <c r="LMQ17" s="7158"/>
      <c r="LMR17" s="7158"/>
      <c r="LMS17" s="7158"/>
      <c r="LMT17" s="7158"/>
      <c r="LMU17" s="7158"/>
      <c r="LMV17" s="7159"/>
      <c r="LMW17" s="7152" t="s">
        <v>175</v>
      </c>
      <c r="LMX17" s="7153"/>
      <c r="LMY17" s="7153"/>
      <c r="LMZ17" s="7153"/>
      <c r="LNA17" s="7157"/>
      <c r="LNB17" s="7157"/>
      <c r="LNC17" s="7157"/>
      <c r="LND17" s="7157"/>
      <c r="LNE17" s="7157"/>
      <c r="LNF17" s="7157"/>
      <c r="LNG17" s="7158"/>
      <c r="LNH17" s="7158"/>
      <c r="LNI17" s="7158"/>
      <c r="LNJ17" s="7158"/>
      <c r="LNK17" s="7158"/>
      <c r="LNL17" s="7159"/>
      <c r="LNM17" s="7152" t="s">
        <v>175</v>
      </c>
      <c r="LNN17" s="7153"/>
      <c r="LNO17" s="7153"/>
      <c r="LNP17" s="7153"/>
      <c r="LNQ17" s="7157"/>
      <c r="LNR17" s="7157"/>
      <c r="LNS17" s="7157"/>
      <c r="LNT17" s="7157"/>
      <c r="LNU17" s="7157"/>
      <c r="LNV17" s="7157"/>
      <c r="LNW17" s="7158"/>
      <c r="LNX17" s="7158"/>
      <c r="LNY17" s="7158"/>
      <c r="LNZ17" s="7158"/>
      <c r="LOA17" s="7158"/>
      <c r="LOB17" s="7159"/>
      <c r="LOC17" s="7152" t="s">
        <v>175</v>
      </c>
      <c r="LOD17" s="7153"/>
      <c r="LOE17" s="7153"/>
      <c r="LOF17" s="7153"/>
      <c r="LOG17" s="7157"/>
      <c r="LOH17" s="7157"/>
      <c r="LOI17" s="7157"/>
      <c r="LOJ17" s="7157"/>
      <c r="LOK17" s="7157"/>
      <c r="LOL17" s="7157"/>
      <c r="LOM17" s="7158"/>
      <c r="LON17" s="7158"/>
      <c r="LOO17" s="7158"/>
      <c r="LOP17" s="7158"/>
      <c r="LOQ17" s="7158"/>
      <c r="LOR17" s="7159"/>
      <c r="LOS17" s="7152" t="s">
        <v>175</v>
      </c>
      <c r="LOT17" s="7153"/>
      <c r="LOU17" s="7153"/>
      <c r="LOV17" s="7153"/>
      <c r="LOW17" s="7157"/>
      <c r="LOX17" s="7157"/>
      <c r="LOY17" s="7157"/>
      <c r="LOZ17" s="7157"/>
      <c r="LPA17" s="7157"/>
      <c r="LPB17" s="7157"/>
      <c r="LPC17" s="7158"/>
      <c r="LPD17" s="7158"/>
      <c r="LPE17" s="7158"/>
      <c r="LPF17" s="7158"/>
      <c r="LPG17" s="7158"/>
      <c r="LPH17" s="7159"/>
      <c r="LPI17" s="7152" t="s">
        <v>175</v>
      </c>
      <c r="LPJ17" s="7153"/>
      <c r="LPK17" s="7153"/>
      <c r="LPL17" s="7153"/>
      <c r="LPM17" s="7157"/>
      <c r="LPN17" s="7157"/>
      <c r="LPO17" s="7157"/>
      <c r="LPP17" s="7157"/>
      <c r="LPQ17" s="7157"/>
      <c r="LPR17" s="7157"/>
      <c r="LPS17" s="7158"/>
      <c r="LPT17" s="7158"/>
      <c r="LPU17" s="7158"/>
      <c r="LPV17" s="7158"/>
      <c r="LPW17" s="7158"/>
      <c r="LPX17" s="7159"/>
      <c r="LPY17" s="7152" t="s">
        <v>175</v>
      </c>
      <c r="LPZ17" s="7153"/>
      <c r="LQA17" s="7153"/>
      <c r="LQB17" s="7153"/>
      <c r="LQC17" s="7157"/>
      <c r="LQD17" s="7157"/>
      <c r="LQE17" s="7157"/>
      <c r="LQF17" s="7157"/>
      <c r="LQG17" s="7157"/>
      <c r="LQH17" s="7157"/>
      <c r="LQI17" s="7158"/>
      <c r="LQJ17" s="7158"/>
      <c r="LQK17" s="7158"/>
      <c r="LQL17" s="7158"/>
      <c r="LQM17" s="7158"/>
      <c r="LQN17" s="7159"/>
      <c r="LQO17" s="7152" t="s">
        <v>175</v>
      </c>
      <c r="LQP17" s="7153"/>
      <c r="LQQ17" s="7153"/>
      <c r="LQR17" s="7153"/>
      <c r="LQS17" s="7157"/>
      <c r="LQT17" s="7157"/>
      <c r="LQU17" s="7157"/>
      <c r="LQV17" s="7157"/>
      <c r="LQW17" s="7157"/>
      <c r="LQX17" s="7157"/>
      <c r="LQY17" s="7158"/>
      <c r="LQZ17" s="7158"/>
      <c r="LRA17" s="7158"/>
      <c r="LRB17" s="7158"/>
      <c r="LRC17" s="7158"/>
      <c r="LRD17" s="7159"/>
      <c r="LRE17" s="7152" t="s">
        <v>175</v>
      </c>
      <c r="LRF17" s="7153"/>
      <c r="LRG17" s="7153"/>
      <c r="LRH17" s="7153"/>
      <c r="LRI17" s="7157"/>
      <c r="LRJ17" s="7157"/>
      <c r="LRK17" s="7157"/>
      <c r="LRL17" s="7157"/>
      <c r="LRM17" s="7157"/>
      <c r="LRN17" s="7157"/>
      <c r="LRO17" s="7158"/>
      <c r="LRP17" s="7158"/>
      <c r="LRQ17" s="7158"/>
      <c r="LRR17" s="7158"/>
      <c r="LRS17" s="7158"/>
      <c r="LRT17" s="7159"/>
      <c r="LRU17" s="7152" t="s">
        <v>175</v>
      </c>
      <c r="LRV17" s="7153"/>
      <c r="LRW17" s="7153"/>
      <c r="LRX17" s="7153"/>
      <c r="LRY17" s="7157"/>
      <c r="LRZ17" s="7157"/>
      <c r="LSA17" s="7157"/>
      <c r="LSB17" s="7157"/>
      <c r="LSC17" s="7157"/>
      <c r="LSD17" s="7157"/>
      <c r="LSE17" s="7158"/>
      <c r="LSF17" s="7158"/>
      <c r="LSG17" s="7158"/>
      <c r="LSH17" s="7158"/>
      <c r="LSI17" s="7158"/>
      <c r="LSJ17" s="7159"/>
      <c r="LSK17" s="7152" t="s">
        <v>175</v>
      </c>
      <c r="LSL17" s="7153"/>
      <c r="LSM17" s="7153"/>
      <c r="LSN17" s="7153"/>
      <c r="LSO17" s="7157"/>
      <c r="LSP17" s="7157"/>
      <c r="LSQ17" s="7157"/>
      <c r="LSR17" s="7157"/>
      <c r="LSS17" s="7157"/>
      <c r="LST17" s="7157"/>
      <c r="LSU17" s="7158"/>
      <c r="LSV17" s="7158"/>
      <c r="LSW17" s="7158"/>
      <c r="LSX17" s="7158"/>
      <c r="LSY17" s="7158"/>
      <c r="LSZ17" s="7159"/>
      <c r="LTA17" s="7152" t="s">
        <v>175</v>
      </c>
      <c r="LTB17" s="7153"/>
      <c r="LTC17" s="7153"/>
      <c r="LTD17" s="7153"/>
      <c r="LTE17" s="7157"/>
      <c r="LTF17" s="7157"/>
      <c r="LTG17" s="7157"/>
      <c r="LTH17" s="7157"/>
      <c r="LTI17" s="7157"/>
      <c r="LTJ17" s="7157"/>
      <c r="LTK17" s="7158"/>
      <c r="LTL17" s="7158"/>
      <c r="LTM17" s="7158"/>
      <c r="LTN17" s="7158"/>
      <c r="LTO17" s="7158"/>
      <c r="LTP17" s="7159"/>
      <c r="LTQ17" s="7152" t="s">
        <v>175</v>
      </c>
      <c r="LTR17" s="7153"/>
      <c r="LTS17" s="7153"/>
      <c r="LTT17" s="7153"/>
      <c r="LTU17" s="7157"/>
      <c r="LTV17" s="7157"/>
      <c r="LTW17" s="7157"/>
      <c r="LTX17" s="7157"/>
      <c r="LTY17" s="7157"/>
      <c r="LTZ17" s="7157"/>
      <c r="LUA17" s="7158"/>
      <c r="LUB17" s="7158"/>
      <c r="LUC17" s="7158"/>
      <c r="LUD17" s="7158"/>
      <c r="LUE17" s="7158"/>
      <c r="LUF17" s="7159"/>
      <c r="LUG17" s="7152" t="s">
        <v>175</v>
      </c>
      <c r="LUH17" s="7153"/>
      <c r="LUI17" s="7153"/>
      <c r="LUJ17" s="7153"/>
      <c r="LUK17" s="7157"/>
      <c r="LUL17" s="7157"/>
      <c r="LUM17" s="7157"/>
      <c r="LUN17" s="7157"/>
      <c r="LUO17" s="7157"/>
      <c r="LUP17" s="7157"/>
      <c r="LUQ17" s="7158"/>
      <c r="LUR17" s="7158"/>
      <c r="LUS17" s="7158"/>
      <c r="LUT17" s="7158"/>
      <c r="LUU17" s="7158"/>
      <c r="LUV17" s="7159"/>
      <c r="LUW17" s="7152" t="s">
        <v>175</v>
      </c>
      <c r="LUX17" s="7153"/>
      <c r="LUY17" s="7153"/>
      <c r="LUZ17" s="7153"/>
      <c r="LVA17" s="7157"/>
      <c r="LVB17" s="7157"/>
      <c r="LVC17" s="7157"/>
      <c r="LVD17" s="7157"/>
      <c r="LVE17" s="7157"/>
      <c r="LVF17" s="7157"/>
      <c r="LVG17" s="7158"/>
      <c r="LVH17" s="7158"/>
      <c r="LVI17" s="7158"/>
      <c r="LVJ17" s="7158"/>
      <c r="LVK17" s="7158"/>
      <c r="LVL17" s="7159"/>
      <c r="LVM17" s="7152" t="s">
        <v>175</v>
      </c>
      <c r="LVN17" s="7153"/>
      <c r="LVO17" s="7153"/>
      <c r="LVP17" s="7153"/>
      <c r="LVQ17" s="7157"/>
      <c r="LVR17" s="7157"/>
      <c r="LVS17" s="7157"/>
      <c r="LVT17" s="7157"/>
      <c r="LVU17" s="7157"/>
      <c r="LVV17" s="7157"/>
      <c r="LVW17" s="7158"/>
      <c r="LVX17" s="7158"/>
      <c r="LVY17" s="7158"/>
      <c r="LVZ17" s="7158"/>
      <c r="LWA17" s="7158"/>
      <c r="LWB17" s="7159"/>
      <c r="LWC17" s="7152" t="s">
        <v>175</v>
      </c>
      <c r="LWD17" s="7153"/>
      <c r="LWE17" s="7153"/>
      <c r="LWF17" s="7153"/>
      <c r="LWG17" s="7157"/>
      <c r="LWH17" s="7157"/>
      <c r="LWI17" s="7157"/>
      <c r="LWJ17" s="7157"/>
      <c r="LWK17" s="7157"/>
      <c r="LWL17" s="7157"/>
      <c r="LWM17" s="7158"/>
      <c r="LWN17" s="7158"/>
      <c r="LWO17" s="7158"/>
      <c r="LWP17" s="7158"/>
      <c r="LWQ17" s="7158"/>
      <c r="LWR17" s="7159"/>
      <c r="LWS17" s="7152" t="s">
        <v>175</v>
      </c>
      <c r="LWT17" s="7153"/>
      <c r="LWU17" s="7153"/>
      <c r="LWV17" s="7153"/>
      <c r="LWW17" s="7157"/>
      <c r="LWX17" s="7157"/>
      <c r="LWY17" s="7157"/>
      <c r="LWZ17" s="7157"/>
      <c r="LXA17" s="7157"/>
      <c r="LXB17" s="7157"/>
      <c r="LXC17" s="7158"/>
      <c r="LXD17" s="7158"/>
      <c r="LXE17" s="7158"/>
      <c r="LXF17" s="7158"/>
      <c r="LXG17" s="7158"/>
      <c r="LXH17" s="7159"/>
      <c r="LXI17" s="7152" t="s">
        <v>175</v>
      </c>
      <c r="LXJ17" s="7153"/>
      <c r="LXK17" s="7153"/>
      <c r="LXL17" s="7153"/>
      <c r="LXM17" s="7157"/>
      <c r="LXN17" s="7157"/>
      <c r="LXO17" s="7157"/>
      <c r="LXP17" s="7157"/>
      <c r="LXQ17" s="7157"/>
      <c r="LXR17" s="7157"/>
      <c r="LXS17" s="7158"/>
      <c r="LXT17" s="7158"/>
      <c r="LXU17" s="7158"/>
      <c r="LXV17" s="7158"/>
      <c r="LXW17" s="7158"/>
      <c r="LXX17" s="7159"/>
      <c r="LXY17" s="7152" t="s">
        <v>175</v>
      </c>
      <c r="LXZ17" s="7153"/>
      <c r="LYA17" s="7153"/>
      <c r="LYB17" s="7153"/>
      <c r="LYC17" s="7157"/>
      <c r="LYD17" s="7157"/>
      <c r="LYE17" s="7157"/>
      <c r="LYF17" s="7157"/>
      <c r="LYG17" s="7157"/>
      <c r="LYH17" s="7157"/>
      <c r="LYI17" s="7158"/>
      <c r="LYJ17" s="7158"/>
      <c r="LYK17" s="7158"/>
      <c r="LYL17" s="7158"/>
      <c r="LYM17" s="7158"/>
      <c r="LYN17" s="7159"/>
      <c r="LYO17" s="7152" t="s">
        <v>175</v>
      </c>
      <c r="LYP17" s="7153"/>
      <c r="LYQ17" s="7153"/>
      <c r="LYR17" s="7153"/>
      <c r="LYS17" s="7157"/>
      <c r="LYT17" s="7157"/>
      <c r="LYU17" s="7157"/>
      <c r="LYV17" s="7157"/>
      <c r="LYW17" s="7157"/>
      <c r="LYX17" s="7157"/>
      <c r="LYY17" s="7158"/>
      <c r="LYZ17" s="7158"/>
      <c r="LZA17" s="7158"/>
      <c r="LZB17" s="7158"/>
      <c r="LZC17" s="7158"/>
      <c r="LZD17" s="7159"/>
      <c r="LZE17" s="7152" t="s">
        <v>175</v>
      </c>
      <c r="LZF17" s="7153"/>
      <c r="LZG17" s="7153"/>
      <c r="LZH17" s="7153"/>
      <c r="LZI17" s="7157"/>
      <c r="LZJ17" s="7157"/>
      <c r="LZK17" s="7157"/>
      <c r="LZL17" s="7157"/>
      <c r="LZM17" s="7157"/>
      <c r="LZN17" s="7157"/>
      <c r="LZO17" s="7158"/>
      <c r="LZP17" s="7158"/>
      <c r="LZQ17" s="7158"/>
      <c r="LZR17" s="7158"/>
      <c r="LZS17" s="7158"/>
      <c r="LZT17" s="7159"/>
      <c r="LZU17" s="7152" t="s">
        <v>175</v>
      </c>
      <c r="LZV17" s="7153"/>
      <c r="LZW17" s="7153"/>
      <c r="LZX17" s="7153"/>
      <c r="LZY17" s="7157"/>
      <c r="LZZ17" s="7157"/>
      <c r="MAA17" s="7157"/>
      <c r="MAB17" s="7157"/>
      <c r="MAC17" s="7157"/>
      <c r="MAD17" s="7157"/>
      <c r="MAE17" s="7158"/>
      <c r="MAF17" s="7158"/>
      <c r="MAG17" s="7158"/>
      <c r="MAH17" s="7158"/>
      <c r="MAI17" s="7158"/>
      <c r="MAJ17" s="7159"/>
      <c r="MAK17" s="7152" t="s">
        <v>175</v>
      </c>
      <c r="MAL17" s="7153"/>
      <c r="MAM17" s="7153"/>
      <c r="MAN17" s="7153"/>
      <c r="MAO17" s="7157"/>
      <c r="MAP17" s="7157"/>
      <c r="MAQ17" s="7157"/>
      <c r="MAR17" s="7157"/>
      <c r="MAS17" s="7157"/>
      <c r="MAT17" s="7157"/>
      <c r="MAU17" s="7158"/>
      <c r="MAV17" s="7158"/>
      <c r="MAW17" s="7158"/>
      <c r="MAX17" s="7158"/>
      <c r="MAY17" s="7158"/>
      <c r="MAZ17" s="7159"/>
      <c r="MBA17" s="7152" t="s">
        <v>175</v>
      </c>
      <c r="MBB17" s="7153"/>
      <c r="MBC17" s="7153"/>
      <c r="MBD17" s="7153"/>
      <c r="MBE17" s="7157"/>
      <c r="MBF17" s="7157"/>
      <c r="MBG17" s="7157"/>
      <c r="MBH17" s="7157"/>
      <c r="MBI17" s="7157"/>
      <c r="MBJ17" s="7157"/>
      <c r="MBK17" s="7158"/>
      <c r="MBL17" s="7158"/>
      <c r="MBM17" s="7158"/>
      <c r="MBN17" s="7158"/>
      <c r="MBO17" s="7158"/>
      <c r="MBP17" s="7159"/>
      <c r="MBQ17" s="7152" t="s">
        <v>175</v>
      </c>
      <c r="MBR17" s="7153"/>
      <c r="MBS17" s="7153"/>
      <c r="MBT17" s="7153"/>
      <c r="MBU17" s="7157"/>
      <c r="MBV17" s="7157"/>
      <c r="MBW17" s="7157"/>
      <c r="MBX17" s="7157"/>
      <c r="MBY17" s="7157"/>
      <c r="MBZ17" s="7157"/>
      <c r="MCA17" s="7158"/>
      <c r="MCB17" s="7158"/>
      <c r="MCC17" s="7158"/>
      <c r="MCD17" s="7158"/>
      <c r="MCE17" s="7158"/>
      <c r="MCF17" s="7159"/>
      <c r="MCG17" s="7152" t="s">
        <v>175</v>
      </c>
      <c r="MCH17" s="7153"/>
      <c r="MCI17" s="7153"/>
      <c r="MCJ17" s="7153"/>
      <c r="MCK17" s="7157"/>
      <c r="MCL17" s="7157"/>
      <c r="MCM17" s="7157"/>
      <c r="MCN17" s="7157"/>
      <c r="MCO17" s="7157"/>
      <c r="MCP17" s="7157"/>
      <c r="MCQ17" s="7158"/>
      <c r="MCR17" s="7158"/>
      <c r="MCS17" s="7158"/>
      <c r="MCT17" s="7158"/>
      <c r="MCU17" s="7158"/>
      <c r="MCV17" s="7159"/>
      <c r="MCW17" s="7152" t="s">
        <v>175</v>
      </c>
      <c r="MCX17" s="7153"/>
      <c r="MCY17" s="7153"/>
      <c r="MCZ17" s="7153"/>
      <c r="MDA17" s="7157"/>
      <c r="MDB17" s="7157"/>
      <c r="MDC17" s="7157"/>
      <c r="MDD17" s="7157"/>
      <c r="MDE17" s="7157"/>
      <c r="MDF17" s="7157"/>
      <c r="MDG17" s="7158"/>
      <c r="MDH17" s="7158"/>
      <c r="MDI17" s="7158"/>
      <c r="MDJ17" s="7158"/>
      <c r="MDK17" s="7158"/>
      <c r="MDL17" s="7159"/>
      <c r="MDM17" s="7152" t="s">
        <v>175</v>
      </c>
      <c r="MDN17" s="7153"/>
      <c r="MDO17" s="7153"/>
      <c r="MDP17" s="7153"/>
      <c r="MDQ17" s="7157"/>
      <c r="MDR17" s="7157"/>
      <c r="MDS17" s="7157"/>
      <c r="MDT17" s="7157"/>
      <c r="MDU17" s="7157"/>
      <c r="MDV17" s="7157"/>
      <c r="MDW17" s="7158"/>
      <c r="MDX17" s="7158"/>
      <c r="MDY17" s="7158"/>
      <c r="MDZ17" s="7158"/>
      <c r="MEA17" s="7158"/>
      <c r="MEB17" s="7159"/>
      <c r="MEC17" s="7152" t="s">
        <v>175</v>
      </c>
      <c r="MED17" s="7153"/>
      <c r="MEE17" s="7153"/>
      <c r="MEF17" s="7153"/>
      <c r="MEG17" s="7157"/>
      <c r="MEH17" s="7157"/>
      <c r="MEI17" s="7157"/>
      <c r="MEJ17" s="7157"/>
      <c r="MEK17" s="7157"/>
      <c r="MEL17" s="7157"/>
      <c r="MEM17" s="7158"/>
      <c r="MEN17" s="7158"/>
      <c r="MEO17" s="7158"/>
      <c r="MEP17" s="7158"/>
      <c r="MEQ17" s="7158"/>
      <c r="MER17" s="7159"/>
      <c r="MES17" s="7152" t="s">
        <v>175</v>
      </c>
      <c r="MET17" s="7153"/>
      <c r="MEU17" s="7153"/>
      <c r="MEV17" s="7153"/>
      <c r="MEW17" s="7157"/>
      <c r="MEX17" s="7157"/>
      <c r="MEY17" s="7157"/>
      <c r="MEZ17" s="7157"/>
      <c r="MFA17" s="7157"/>
      <c r="MFB17" s="7157"/>
      <c r="MFC17" s="7158"/>
      <c r="MFD17" s="7158"/>
      <c r="MFE17" s="7158"/>
      <c r="MFF17" s="7158"/>
      <c r="MFG17" s="7158"/>
      <c r="MFH17" s="7159"/>
      <c r="MFI17" s="7152" t="s">
        <v>175</v>
      </c>
      <c r="MFJ17" s="7153"/>
      <c r="MFK17" s="7153"/>
      <c r="MFL17" s="7153"/>
      <c r="MFM17" s="7157"/>
      <c r="MFN17" s="7157"/>
      <c r="MFO17" s="7157"/>
      <c r="MFP17" s="7157"/>
      <c r="MFQ17" s="7157"/>
      <c r="MFR17" s="7157"/>
      <c r="MFS17" s="7158"/>
      <c r="MFT17" s="7158"/>
      <c r="MFU17" s="7158"/>
      <c r="MFV17" s="7158"/>
      <c r="MFW17" s="7158"/>
      <c r="MFX17" s="7159"/>
      <c r="MFY17" s="7152" t="s">
        <v>175</v>
      </c>
      <c r="MFZ17" s="7153"/>
      <c r="MGA17" s="7153"/>
      <c r="MGB17" s="7153"/>
      <c r="MGC17" s="7157"/>
      <c r="MGD17" s="7157"/>
      <c r="MGE17" s="7157"/>
      <c r="MGF17" s="7157"/>
      <c r="MGG17" s="7157"/>
      <c r="MGH17" s="7157"/>
      <c r="MGI17" s="7158"/>
      <c r="MGJ17" s="7158"/>
      <c r="MGK17" s="7158"/>
      <c r="MGL17" s="7158"/>
      <c r="MGM17" s="7158"/>
      <c r="MGN17" s="7159"/>
      <c r="MGO17" s="7152" t="s">
        <v>175</v>
      </c>
      <c r="MGP17" s="7153"/>
      <c r="MGQ17" s="7153"/>
      <c r="MGR17" s="7153"/>
      <c r="MGS17" s="7157"/>
      <c r="MGT17" s="7157"/>
      <c r="MGU17" s="7157"/>
      <c r="MGV17" s="7157"/>
      <c r="MGW17" s="7157"/>
      <c r="MGX17" s="7157"/>
      <c r="MGY17" s="7158"/>
      <c r="MGZ17" s="7158"/>
      <c r="MHA17" s="7158"/>
      <c r="MHB17" s="7158"/>
      <c r="MHC17" s="7158"/>
      <c r="MHD17" s="7159"/>
      <c r="MHE17" s="7152" t="s">
        <v>175</v>
      </c>
      <c r="MHF17" s="7153"/>
      <c r="MHG17" s="7153"/>
      <c r="MHH17" s="7153"/>
      <c r="MHI17" s="7157"/>
      <c r="MHJ17" s="7157"/>
      <c r="MHK17" s="7157"/>
      <c r="MHL17" s="7157"/>
      <c r="MHM17" s="7157"/>
      <c r="MHN17" s="7157"/>
      <c r="MHO17" s="7158"/>
      <c r="MHP17" s="7158"/>
      <c r="MHQ17" s="7158"/>
      <c r="MHR17" s="7158"/>
      <c r="MHS17" s="7158"/>
      <c r="MHT17" s="7159"/>
      <c r="MHU17" s="7152" t="s">
        <v>175</v>
      </c>
      <c r="MHV17" s="7153"/>
      <c r="MHW17" s="7153"/>
      <c r="MHX17" s="7153"/>
      <c r="MHY17" s="7157"/>
      <c r="MHZ17" s="7157"/>
      <c r="MIA17" s="7157"/>
      <c r="MIB17" s="7157"/>
      <c r="MIC17" s="7157"/>
      <c r="MID17" s="7157"/>
      <c r="MIE17" s="7158"/>
      <c r="MIF17" s="7158"/>
      <c r="MIG17" s="7158"/>
      <c r="MIH17" s="7158"/>
      <c r="MII17" s="7158"/>
      <c r="MIJ17" s="7159"/>
      <c r="MIK17" s="7152" t="s">
        <v>175</v>
      </c>
      <c r="MIL17" s="7153"/>
      <c r="MIM17" s="7153"/>
      <c r="MIN17" s="7153"/>
      <c r="MIO17" s="7157"/>
      <c r="MIP17" s="7157"/>
      <c r="MIQ17" s="7157"/>
      <c r="MIR17" s="7157"/>
      <c r="MIS17" s="7157"/>
      <c r="MIT17" s="7157"/>
      <c r="MIU17" s="7158"/>
      <c r="MIV17" s="7158"/>
      <c r="MIW17" s="7158"/>
      <c r="MIX17" s="7158"/>
      <c r="MIY17" s="7158"/>
      <c r="MIZ17" s="7159"/>
      <c r="MJA17" s="7152" t="s">
        <v>175</v>
      </c>
      <c r="MJB17" s="7153"/>
      <c r="MJC17" s="7153"/>
      <c r="MJD17" s="7153"/>
      <c r="MJE17" s="7157"/>
      <c r="MJF17" s="7157"/>
      <c r="MJG17" s="7157"/>
      <c r="MJH17" s="7157"/>
      <c r="MJI17" s="7157"/>
      <c r="MJJ17" s="7157"/>
      <c r="MJK17" s="7158"/>
      <c r="MJL17" s="7158"/>
      <c r="MJM17" s="7158"/>
      <c r="MJN17" s="7158"/>
      <c r="MJO17" s="7158"/>
      <c r="MJP17" s="7159"/>
      <c r="MJQ17" s="7152" t="s">
        <v>175</v>
      </c>
      <c r="MJR17" s="7153"/>
      <c r="MJS17" s="7153"/>
      <c r="MJT17" s="7153"/>
      <c r="MJU17" s="7157"/>
      <c r="MJV17" s="7157"/>
      <c r="MJW17" s="7157"/>
      <c r="MJX17" s="7157"/>
      <c r="MJY17" s="7157"/>
      <c r="MJZ17" s="7157"/>
      <c r="MKA17" s="7158"/>
      <c r="MKB17" s="7158"/>
      <c r="MKC17" s="7158"/>
      <c r="MKD17" s="7158"/>
      <c r="MKE17" s="7158"/>
      <c r="MKF17" s="7159"/>
      <c r="MKG17" s="7152" t="s">
        <v>175</v>
      </c>
      <c r="MKH17" s="7153"/>
      <c r="MKI17" s="7153"/>
      <c r="MKJ17" s="7153"/>
      <c r="MKK17" s="7157"/>
      <c r="MKL17" s="7157"/>
      <c r="MKM17" s="7157"/>
      <c r="MKN17" s="7157"/>
      <c r="MKO17" s="7157"/>
      <c r="MKP17" s="7157"/>
      <c r="MKQ17" s="7158"/>
      <c r="MKR17" s="7158"/>
      <c r="MKS17" s="7158"/>
      <c r="MKT17" s="7158"/>
      <c r="MKU17" s="7158"/>
      <c r="MKV17" s="7159"/>
      <c r="MKW17" s="7152" t="s">
        <v>175</v>
      </c>
      <c r="MKX17" s="7153"/>
      <c r="MKY17" s="7153"/>
      <c r="MKZ17" s="7153"/>
      <c r="MLA17" s="7157"/>
      <c r="MLB17" s="7157"/>
      <c r="MLC17" s="7157"/>
      <c r="MLD17" s="7157"/>
      <c r="MLE17" s="7157"/>
      <c r="MLF17" s="7157"/>
      <c r="MLG17" s="7158"/>
      <c r="MLH17" s="7158"/>
      <c r="MLI17" s="7158"/>
      <c r="MLJ17" s="7158"/>
      <c r="MLK17" s="7158"/>
      <c r="MLL17" s="7159"/>
      <c r="MLM17" s="7152" t="s">
        <v>175</v>
      </c>
      <c r="MLN17" s="7153"/>
      <c r="MLO17" s="7153"/>
      <c r="MLP17" s="7153"/>
      <c r="MLQ17" s="7157"/>
      <c r="MLR17" s="7157"/>
      <c r="MLS17" s="7157"/>
      <c r="MLT17" s="7157"/>
      <c r="MLU17" s="7157"/>
      <c r="MLV17" s="7157"/>
      <c r="MLW17" s="7158"/>
      <c r="MLX17" s="7158"/>
      <c r="MLY17" s="7158"/>
      <c r="MLZ17" s="7158"/>
      <c r="MMA17" s="7158"/>
      <c r="MMB17" s="7159"/>
      <c r="MMC17" s="7152" t="s">
        <v>175</v>
      </c>
      <c r="MMD17" s="7153"/>
      <c r="MME17" s="7153"/>
      <c r="MMF17" s="7153"/>
      <c r="MMG17" s="7157"/>
      <c r="MMH17" s="7157"/>
      <c r="MMI17" s="7157"/>
      <c r="MMJ17" s="7157"/>
      <c r="MMK17" s="7157"/>
      <c r="MML17" s="7157"/>
      <c r="MMM17" s="7158"/>
      <c r="MMN17" s="7158"/>
      <c r="MMO17" s="7158"/>
      <c r="MMP17" s="7158"/>
      <c r="MMQ17" s="7158"/>
      <c r="MMR17" s="7159"/>
      <c r="MMS17" s="7152" t="s">
        <v>175</v>
      </c>
      <c r="MMT17" s="7153"/>
      <c r="MMU17" s="7153"/>
      <c r="MMV17" s="7153"/>
      <c r="MMW17" s="7157"/>
      <c r="MMX17" s="7157"/>
      <c r="MMY17" s="7157"/>
      <c r="MMZ17" s="7157"/>
      <c r="MNA17" s="7157"/>
      <c r="MNB17" s="7157"/>
      <c r="MNC17" s="7158"/>
      <c r="MND17" s="7158"/>
      <c r="MNE17" s="7158"/>
      <c r="MNF17" s="7158"/>
      <c r="MNG17" s="7158"/>
      <c r="MNH17" s="7159"/>
      <c r="MNI17" s="7152" t="s">
        <v>175</v>
      </c>
      <c r="MNJ17" s="7153"/>
      <c r="MNK17" s="7153"/>
      <c r="MNL17" s="7153"/>
      <c r="MNM17" s="7157"/>
      <c r="MNN17" s="7157"/>
      <c r="MNO17" s="7157"/>
      <c r="MNP17" s="7157"/>
      <c r="MNQ17" s="7157"/>
      <c r="MNR17" s="7157"/>
      <c r="MNS17" s="7158"/>
      <c r="MNT17" s="7158"/>
      <c r="MNU17" s="7158"/>
      <c r="MNV17" s="7158"/>
      <c r="MNW17" s="7158"/>
      <c r="MNX17" s="7159"/>
      <c r="MNY17" s="7152" t="s">
        <v>175</v>
      </c>
      <c r="MNZ17" s="7153"/>
      <c r="MOA17" s="7153"/>
      <c r="MOB17" s="7153"/>
      <c r="MOC17" s="7157"/>
      <c r="MOD17" s="7157"/>
      <c r="MOE17" s="7157"/>
      <c r="MOF17" s="7157"/>
      <c r="MOG17" s="7157"/>
      <c r="MOH17" s="7157"/>
      <c r="MOI17" s="7158"/>
      <c r="MOJ17" s="7158"/>
      <c r="MOK17" s="7158"/>
      <c r="MOL17" s="7158"/>
      <c r="MOM17" s="7158"/>
      <c r="MON17" s="7159"/>
      <c r="MOO17" s="7152" t="s">
        <v>175</v>
      </c>
      <c r="MOP17" s="7153"/>
      <c r="MOQ17" s="7153"/>
      <c r="MOR17" s="7153"/>
      <c r="MOS17" s="7157"/>
      <c r="MOT17" s="7157"/>
      <c r="MOU17" s="7157"/>
      <c r="MOV17" s="7157"/>
      <c r="MOW17" s="7157"/>
      <c r="MOX17" s="7157"/>
      <c r="MOY17" s="7158"/>
      <c r="MOZ17" s="7158"/>
      <c r="MPA17" s="7158"/>
      <c r="MPB17" s="7158"/>
      <c r="MPC17" s="7158"/>
      <c r="MPD17" s="7159"/>
      <c r="MPE17" s="7152" t="s">
        <v>175</v>
      </c>
      <c r="MPF17" s="7153"/>
      <c r="MPG17" s="7153"/>
      <c r="MPH17" s="7153"/>
      <c r="MPI17" s="7157"/>
      <c r="MPJ17" s="7157"/>
      <c r="MPK17" s="7157"/>
      <c r="MPL17" s="7157"/>
      <c r="MPM17" s="7157"/>
      <c r="MPN17" s="7157"/>
      <c r="MPO17" s="7158"/>
      <c r="MPP17" s="7158"/>
      <c r="MPQ17" s="7158"/>
      <c r="MPR17" s="7158"/>
      <c r="MPS17" s="7158"/>
      <c r="MPT17" s="7159"/>
      <c r="MPU17" s="7152" t="s">
        <v>175</v>
      </c>
      <c r="MPV17" s="7153"/>
      <c r="MPW17" s="7153"/>
      <c r="MPX17" s="7153"/>
      <c r="MPY17" s="7157"/>
      <c r="MPZ17" s="7157"/>
      <c r="MQA17" s="7157"/>
      <c r="MQB17" s="7157"/>
      <c r="MQC17" s="7157"/>
      <c r="MQD17" s="7157"/>
      <c r="MQE17" s="7158"/>
      <c r="MQF17" s="7158"/>
      <c r="MQG17" s="7158"/>
      <c r="MQH17" s="7158"/>
      <c r="MQI17" s="7158"/>
      <c r="MQJ17" s="7159"/>
      <c r="MQK17" s="7152" t="s">
        <v>175</v>
      </c>
      <c r="MQL17" s="7153"/>
      <c r="MQM17" s="7153"/>
      <c r="MQN17" s="7153"/>
      <c r="MQO17" s="7157"/>
      <c r="MQP17" s="7157"/>
      <c r="MQQ17" s="7157"/>
      <c r="MQR17" s="7157"/>
      <c r="MQS17" s="7157"/>
      <c r="MQT17" s="7157"/>
      <c r="MQU17" s="7158"/>
      <c r="MQV17" s="7158"/>
      <c r="MQW17" s="7158"/>
      <c r="MQX17" s="7158"/>
      <c r="MQY17" s="7158"/>
      <c r="MQZ17" s="7159"/>
      <c r="MRA17" s="7152" t="s">
        <v>175</v>
      </c>
      <c r="MRB17" s="7153"/>
      <c r="MRC17" s="7153"/>
      <c r="MRD17" s="7153"/>
      <c r="MRE17" s="7157"/>
      <c r="MRF17" s="7157"/>
      <c r="MRG17" s="7157"/>
      <c r="MRH17" s="7157"/>
      <c r="MRI17" s="7157"/>
      <c r="MRJ17" s="7157"/>
      <c r="MRK17" s="7158"/>
      <c r="MRL17" s="7158"/>
      <c r="MRM17" s="7158"/>
      <c r="MRN17" s="7158"/>
      <c r="MRO17" s="7158"/>
      <c r="MRP17" s="7159"/>
      <c r="MRQ17" s="7152" t="s">
        <v>175</v>
      </c>
      <c r="MRR17" s="7153"/>
      <c r="MRS17" s="7153"/>
      <c r="MRT17" s="7153"/>
      <c r="MRU17" s="7157"/>
      <c r="MRV17" s="7157"/>
      <c r="MRW17" s="7157"/>
      <c r="MRX17" s="7157"/>
      <c r="MRY17" s="7157"/>
      <c r="MRZ17" s="7157"/>
      <c r="MSA17" s="7158"/>
      <c r="MSB17" s="7158"/>
      <c r="MSC17" s="7158"/>
      <c r="MSD17" s="7158"/>
      <c r="MSE17" s="7158"/>
      <c r="MSF17" s="7159"/>
      <c r="MSG17" s="7152" t="s">
        <v>175</v>
      </c>
      <c r="MSH17" s="7153"/>
      <c r="MSI17" s="7153"/>
      <c r="MSJ17" s="7153"/>
      <c r="MSK17" s="7157"/>
      <c r="MSL17" s="7157"/>
      <c r="MSM17" s="7157"/>
      <c r="MSN17" s="7157"/>
      <c r="MSO17" s="7157"/>
      <c r="MSP17" s="7157"/>
      <c r="MSQ17" s="7158"/>
      <c r="MSR17" s="7158"/>
      <c r="MSS17" s="7158"/>
      <c r="MST17" s="7158"/>
      <c r="MSU17" s="7158"/>
      <c r="MSV17" s="7159"/>
      <c r="MSW17" s="7152" t="s">
        <v>175</v>
      </c>
      <c r="MSX17" s="7153"/>
      <c r="MSY17" s="7153"/>
      <c r="MSZ17" s="7153"/>
      <c r="MTA17" s="7157"/>
      <c r="MTB17" s="7157"/>
      <c r="MTC17" s="7157"/>
      <c r="MTD17" s="7157"/>
      <c r="MTE17" s="7157"/>
      <c r="MTF17" s="7157"/>
      <c r="MTG17" s="7158"/>
      <c r="MTH17" s="7158"/>
      <c r="MTI17" s="7158"/>
      <c r="MTJ17" s="7158"/>
      <c r="MTK17" s="7158"/>
      <c r="MTL17" s="7159"/>
      <c r="MTM17" s="7152" t="s">
        <v>175</v>
      </c>
      <c r="MTN17" s="7153"/>
      <c r="MTO17" s="7153"/>
      <c r="MTP17" s="7153"/>
      <c r="MTQ17" s="7157"/>
      <c r="MTR17" s="7157"/>
      <c r="MTS17" s="7157"/>
      <c r="MTT17" s="7157"/>
      <c r="MTU17" s="7157"/>
      <c r="MTV17" s="7157"/>
      <c r="MTW17" s="7158"/>
      <c r="MTX17" s="7158"/>
      <c r="MTY17" s="7158"/>
      <c r="MTZ17" s="7158"/>
      <c r="MUA17" s="7158"/>
      <c r="MUB17" s="7159"/>
      <c r="MUC17" s="7152" t="s">
        <v>175</v>
      </c>
      <c r="MUD17" s="7153"/>
      <c r="MUE17" s="7153"/>
      <c r="MUF17" s="7153"/>
      <c r="MUG17" s="7157"/>
      <c r="MUH17" s="7157"/>
      <c r="MUI17" s="7157"/>
      <c r="MUJ17" s="7157"/>
      <c r="MUK17" s="7157"/>
      <c r="MUL17" s="7157"/>
      <c r="MUM17" s="7158"/>
      <c r="MUN17" s="7158"/>
      <c r="MUO17" s="7158"/>
      <c r="MUP17" s="7158"/>
      <c r="MUQ17" s="7158"/>
      <c r="MUR17" s="7159"/>
      <c r="MUS17" s="7152" t="s">
        <v>175</v>
      </c>
      <c r="MUT17" s="7153"/>
      <c r="MUU17" s="7153"/>
      <c r="MUV17" s="7153"/>
      <c r="MUW17" s="7157"/>
      <c r="MUX17" s="7157"/>
      <c r="MUY17" s="7157"/>
      <c r="MUZ17" s="7157"/>
      <c r="MVA17" s="7157"/>
      <c r="MVB17" s="7157"/>
      <c r="MVC17" s="7158"/>
      <c r="MVD17" s="7158"/>
      <c r="MVE17" s="7158"/>
      <c r="MVF17" s="7158"/>
      <c r="MVG17" s="7158"/>
      <c r="MVH17" s="7159"/>
      <c r="MVI17" s="7152" t="s">
        <v>175</v>
      </c>
      <c r="MVJ17" s="7153"/>
      <c r="MVK17" s="7153"/>
      <c r="MVL17" s="7153"/>
      <c r="MVM17" s="7157"/>
      <c r="MVN17" s="7157"/>
      <c r="MVO17" s="7157"/>
      <c r="MVP17" s="7157"/>
      <c r="MVQ17" s="7157"/>
      <c r="MVR17" s="7157"/>
      <c r="MVS17" s="7158"/>
      <c r="MVT17" s="7158"/>
      <c r="MVU17" s="7158"/>
      <c r="MVV17" s="7158"/>
      <c r="MVW17" s="7158"/>
      <c r="MVX17" s="7159"/>
      <c r="MVY17" s="7152" t="s">
        <v>175</v>
      </c>
      <c r="MVZ17" s="7153"/>
      <c r="MWA17" s="7153"/>
      <c r="MWB17" s="7153"/>
      <c r="MWC17" s="7157"/>
      <c r="MWD17" s="7157"/>
      <c r="MWE17" s="7157"/>
      <c r="MWF17" s="7157"/>
      <c r="MWG17" s="7157"/>
      <c r="MWH17" s="7157"/>
      <c r="MWI17" s="7158"/>
      <c r="MWJ17" s="7158"/>
      <c r="MWK17" s="7158"/>
      <c r="MWL17" s="7158"/>
      <c r="MWM17" s="7158"/>
      <c r="MWN17" s="7159"/>
      <c r="MWO17" s="7152" t="s">
        <v>175</v>
      </c>
      <c r="MWP17" s="7153"/>
      <c r="MWQ17" s="7153"/>
      <c r="MWR17" s="7153"/>
      <c r="MWS17" s="7157"/>
      <c r="MWT17" s="7157"/>
      <c r="MWU17" s="7157"/>
      <c r="MWV17" s="7157"/>
      <c r="MWW17" s="7157"/>
      <c r="MWX17" s="7157"/>
      <c r="MWY17" s="7158"/>
      <c r="MWZ17" s="7158"/>
      <c r="MXA17" s="7158"/>
      <c r="MXB17" s="7158"/>
      <c r="MXC17" s="7158"/>
      <c r="MXD17" s="7159"/>
      <c r="MXE17" s="7152" t="s">
        <v>175</v>
      </c>
      <c r="MXF17" s="7153"/>
      <c r="MXG17" s="7153"/>
      <c r="MXH17" s="7153"/>
      <c r="MXI17" s="7157"/>
      <c r="MXJ17" s="7157"/>
      <c r="MXK17" s="7157"/>
      <c r="MXL17" s="7157"/>
      <c r="MXM17" s="7157"/>
      <c r="MXN17" s="7157"/>
      <c r="MXO17" s="7158"/>
      <c r="MXP17" s="7158"/>
      <c r="MXQ17" s="7158"/>
      <c r="MXR17" s="7158"/>
      <c r="MXS17" s="7158"/>
      <c r="MXT17" s="7159"/>
      <c r="MXU17" s="7152" t="s">
        <v>175</v>
      </c>
      <c r="MXV17" s="7153"/>
      <c r="MXW17" s="7153"/>
      <c r="MXX17" s="7153"/>
      <c r="MXY17" s="7157"/>
      <c r="MXZ17" s="7157"/>
      <c r="MYA17" s="7157"/>
      <c r="MYB17" s="7157"/>
      <c r="MYC17" s="7157"/>
      <c r="MYD17" s="7157"/>
      <c r="MYE17" s="7158"/>
      <c r="MYF17" s="7158"/>
      <c r="MYG17" s="7158"/>
      <c r="MYH17" s="7158"/>
      <c r="MYI17" s="7158"/>
      <c r="MYJ17" s="7159"/>
      <c r="MYK17" s="7152" t="s">
        <v>175</v>
      </c>
      <c r="MYL17" s="7153"/>
      <c r="MYM17" s="7153"/>
      <c r="MYN17" s="7153"/>
      <c r="MYO17" s="7157"/>
      <c r="MYP17" s="7157"/>
      <c r="MYQ17" s="7157"/>
      <c r="MYR17" s="7157"/>
      <c r="MYS17" s="7157"/>
      <c r="MYT17" s="7157"/>
      <c r="MYU17" s="7158"/>
      <c r="MYV17" s="7158"/>
      <c r="MYW17" s="7158"/>
      <c r="MYX17" s="7158"/>
      <c r="MYY17" s="7158"/>
      <c r="MYZ17" s="7159"/>
      <c r="MZA17" s="7152" t="s">
        <v>175</v>
      </c>
      <c r="MZB17" s="7153"/>
      <c r="MZC17" s="7153"/>
      <c r="MZD17" s="7153"/>
      <c r="MZE17" s="7157"/>
      <c r="MZF17" s="7157"/>
      <c r="MZG17" s="7157"/>
      <c r="MZH17" s="7157"/>
      <c r="MZI17" s="7157"/>
      <c r="MZJ17" s="7157"/>
      <c r="MZK17" s="7158"/>
      <c r="MZL17" s="7158"/>
      <c r="MZM17" s="7158"/>
      <c r="MZN17" s="7158"/>
      <c r="MZO17" s="7158"/>
      <c r="MZP17" s="7159"/>
      <c r="MZQ17" s="7152" t="s">
        <v>175</v>
      </c>
      <c r="MZR17" s="7153"/>
      <c r="MZS17" s="7153"/>
      <c r="MZT17" s="7153"/>
      <c r="MZU17" s="7157"/>
      <c r="MZV17" s="7157"/>
      <c r="MZW17" s="7157"/>
      <c r="MZX17" s="7157"/>
      <c r="MZY17" s="7157"/>
      <c r="MZZ17" s="7157"/>
      <c r="NAA17" s="7158"/>
      <c r="NAB17" s="7158"/>
      <c r="NAC17" s="7158"/>
      <c r="NAD17" s="7158"/>
      <c r="NAE17" s="7158"/>
      <c r="NAF17" s="7159"/>
      <c r="NAG17" s="7152" t="s">
        <v>175</v>
      </c>
      <c r="NAH17" s="7153"/>
      <c r="NAI17" s="7153"/>
      <c r="NAJ17" s="7153"/>
      <c r="NAK17" s="7157"/>
      <c r="NAL17" s="7157"/>
      <c r="NAM17" s="7157"/>
      <c r="NAN17" s="7157"/>
      <c r="NAO17" s="7157"/>
      <c r="NAP17" s="7157"/>
      <c r="NAQ17" s="7158"/>
      <c r="NAR17" s="7158"/>
      <c r="NAS17" s="7158"/>
      <c r="NAT17" s="7158"/>
      <c r="NAU17" s="7158"/>
      <c r="NAV17" s="7159"/>
      <c r="NAW17" s="7152" t="s">
        <v>175</v>
      </c>
      <c r="NAX17" s="7153"/>
      <c r="NAY17" s="7153"/>
      <c r="NAZ17" s="7153"/>
      <c r="NBA17" s="7157"/>
      <c r="NBB17" s="7157"/>
      <c r="NBC17" s="7157"/>
      <c r="NBD17" s="7157"/>
      <c r="NBE17" s="7157"/>
      <c r="NBF17" s="7157"/>
      <c r="NBG17" s="7158"/>
      <c r="NBH17" s="7158"/>
      <c r="NBI17" s="7158"/>
      <c r="NBJ17" s="7158"/>
      <c r="NBK17" s="7158"/>
      <c r="NBL17" s="7159"/>
      <c r="NBM17" s="7152" t="s">
        <v>175</v>
      </c>
      <c r="NBN17" s="7153"/>
      <c r="NBO17" s="7153"/>
      <c r="NBP17" s="7153"/>
      <c r="NBQ17" s="7157"/>
      <c r="NBR17" s="7157"/>
      <c r="NBS17" s="7157"/>
      <c r="NBT17" s="7157"/>
      <c r="NBU17" s="7157"/>
      <c r="NBV17" s="7157"/>
      <c r="NBW17" s="7158"/>
      <c r="NBX17" s="7158"/>
      <c r="NBY17" s="7158"/>
      <c r="NBZ17" s="7158"/>
      <c r="NCA17" s="7158"/>
      <c r="NCB17" s="7159"/>
      <c r="NCC17" s="7152" t="s">
        <v>175</v>
      </c>
      <c r="NCD17" s="7153"/>
      <c r="NCE17" s="7153"/>
      <c r="NCF17" s="7153"/>
      <c r="NCG17" s="7157"/>
      <c r="NCH17" s="7157"/>
      <c r="NCI17" s="7157"/>
      <c r="NCJ17" s="7157"/>
      <c r="NCK17" s="7157"/>
      <c r="NCL17" s="7157"/>
      <c r="NCM17" s="7158"/>
      <c r="NCN17" s="7158"/>
      <c r="NCO17" s="7158"/>
      <c r="NCP17" s="7158"/>
      <c r="NCQ17" s="7158"/>
      <c r="NCR17" s="7159"/>
      <c r="NCS17" s="7152" t="s">
        <v>175</v>
      </c>
      <c r="NCT17" s="7153"/>
      <c r="NCU17" s="7153"/>
      <c r="NCV17" s="7153"/>
      <c r="NCW17" s="7157"/>
      <c r="NCX17" s="7157"/>
      <c r="NCY17" s="7157"/>
      <c r="NCZ17" s="7157"/>
      <c r="NDA17" s="7157"/>
      <c r="NDB17" s="7157"/>
      <c r="NDC17" s="7158"/>
      <c r="NDD17" s="7158"/>
      <c r="NDE17" s="7158"/>
      <c r="NDF17" s="7158"/>
      <c r="NDG17" s="7158"/>
      <c r="NDH17" s="7159"/>
      <c r="NDI17" s="7152" t="s">
        <v>175</v>
      </c>
      <c r="NDJ17" s="7153"/>
      <c r="NDK17" s="7153"/>
      <c r="NDL17" s="7153"/>
      <c r="NDM17" s="7157"/>
      <c r="NDN17" s="7157"/>
      <c r="NDO17" s="7157"/>
      <c r="NDP17" s="7157"/>
      <c r="NDQ17" s="7157"/>
      <c r="NDR17" s="7157"/>
      <c r="NDS17" s="7158"/>
      <c r="NDT17" s="7158"/>
      <c r="NDU17" s="7158"/>
      <c r="NDV17" s="7158"/>
      <c r="NDW17" s="7158"/>
      <c r="NDX17" s="7159"/>
      <c r="NDY17" s="7152" t="s">
        <v>175</v>
      </c>
      <c r="NDZ17" s="7153"/>
      <c r="NEA17" s="7153"/>
      <c r="NEB17" s="7153"/>
      <c r="NEC17" s="7157"/>
      <c r="NED17" s="7157"/>
      <c r="NEE17" s="7157"/>
      <c r="NEF17" s="7157"/>
      <c r="NEG17" s="7157"/>
      <c r="NEH17" s="7157"/>
      <c r="NEI17" s="7158"/>
      <c r="NEJ17" s="7158"/>
      <c r="NEK17" s="7158"/>
      <c r="NEL17" s="7158"/>
      <c r="NEM17" s="7158"/>
      <c r="NEN17" s="7159"/>
      <c r="NEO17" s="7152" t="s">
        <v>175</v>
      </c>
      <c r="NEP17" s="7153"/>
      <c r="NEQ17" s="7153"/>
      <c r="NER17" s="7153"/>
      <c r="NES17" s="7157"/>
      <c r="NET17" s="7157"/>
      <c r="NEU17" s="7157"/>
      <c r="NEV17" s="7157"/>
      <c r="NEW17" s="7157"/>
      <c r="NEX17" s="7157"/>
      <c r="NEY17" s="7158"/>
      <c r="NEZ17" s="7158"/>
      <c r="NFA17" s="7158"/>
      <c r="NFB17" s="7158"/>
      <c r="NFC17" s="7158"/>
      <c r="NFD17" s="7159"/>
      <c r="NFE17" s="7152" t="s">
        <v>175</v>
      </c>
      <c r="NFF17" s="7153"/>
      <c r="NFG17" s="7153"/>
      <c r="NFH17" s="7153"/>
      <c r="NFI17" s="7157"/>
      <c r="NFJ17" s="7157"/>
      <c r="NFK17" s="7157"/>
      <c r="NFL17" s="7157"/>
      <c r="NFM17" s="7157"/>
      <c r="NFN17" s="7157"/>
      <c r="NFO17" s="7158"/>
      <c r="NFP17" s="7158"/>
      <c r="NFQ17" s="7158"/>
      <c r="NFR17" s="7158"/>
      <c r="NFS17" s="7158"/>
      <c r="NFT17" s="7159"/>
      <c r="NFU17" s="7152" t="s">
        <v>175</v>
      </c>
      <c r="NFV17" s="7153"/>
      <c r="NFW17" s="7153"/>
      <c r="NFX17" s="7153"/>
      <c r="NFY17" s="7157"/>
      <c r="NFZ17" s="7157"/>
      <c r="NGA17" s="7157"/>
      <c r="NGB17" s="7157"/>
      <c r="NGC17" s="7157"/>
      <c r="NGD17" s="7157"/>
      <c r="NGE17" s="7158"/>
      <c r="NGF17" s="7158"/>
      <c r="NGG17" s="7158"/>
      <c r="NGH17" s="7158"/>
      <c r="NGI17" s="7158"/>
      <c r="NGJ17" s="7159"/>
      <c r="NGK17" s="7152" t="s">
        <v>175</v>
      </c>
      <c r="NGL17" s="7153"/>
      <c r="NGM17" s="7153"/>
      <c r="NGN17" s="7153"/>
      <c r="NGO17" s="7157"/>
      <c r="NGP17" s="7157"/>
      <c r="NGQ17" s="7157"/>
      <c r="NGR17" s="7157"/>
      <c r="NGS17" s="7157"/>
      <c r="NGT17" s="7157"/>
      <c r="NGU17" s="7158"/>
      <c r="NGV17" s="7158"/>
      <c r="NGW17" s="7158"/>
      <c r="NGX17" s="7158"/>
      <c r="NGY17" s="7158"/>
      <c r="NGZ17" s="7159"/>
      <c r="NHA17" s="7152" t="s">
        <v>175</v>
      </c>
      <c r="NHB17" s="7153"/>
      <c r="NHC17" s="7153"/>
      <c r="NHD17" s="7153"/>
      <c r="NHE17" s="7157"/>
      <c r="NHF17" s="7157"/>
      <c r="NHG17" s="7157"/>
      <c r="NHH17" s="7157"/>
      <c r="NHI17" s="7157"/>
      <c r="NHJ17" s="7157"/>
      <c r="NHK17" s="7158"/>
      <c r="NHL17" s="7158"/>
      <c r="NHM17" s="7158"/>
      <c r="NHN17" s="7158"/>
      <c r="NHO17" s="7158"/>
      <c r="NHP17" s="7159"/>
      <c r="NHQ17" s="7152" t="s">
        <v>175</v>
      </c>
      <c r="NHR17" s="7153"/>
      <c r="NHS17" s="7153"/>
      <c r="NHT17" s="7153"/>
      <c r="NHU17" s="7157"/>
      <c r="NHV17" s="7157"/>
      <c r="NHW17" s="7157"/>
      <c r="NHX17" s="7157"/>
      <c r="NHY17" s="7157"/>
      <c r="NHZ17" s="7157"/>
      <c r="NIA17" s="7158"/>
      <c r="NIB17" s="7158"/>
      <c r="NIC17" s="7158"/>
      <c r="NID17" s="7158"/>
      <c r="NIE17" s="7158"/>
      <c r="NIF17" s="7159"/>
      <c r="NIG17" s="7152" t="s">
        <v>175</v>
      </c>
      <c r="NIH17" s="7153"/>
      <c r="NII17" s="7153"/>
      <c r="NIJ17" s="7153"/>
      <c r="NIK17" s="7157"/>
      <c r="NIL17" s="7157"/>
      <c r="NIM17" s="7157"/>
      <c r="NIN17" s="7157"/>
      <c r="NIO17" s="7157"/>
      <c r="NIP17" s="7157"/>
      <c r="NIQ17" s="7158"/>
      <c r="NIR17" s="7158"/>
      <c r="NIS17" s="7158"/>
      <c r="NIT17" s="7158"/>
      <c r="NIU17" s="7158"/>
      <c r="NIV17" s="7159"/>
      <c r="NIW17" s="7152" t="s">
        <v>175</v>
      </c>
      <c r="NIX17" s="7153"/>
      <c r="NIY17" s="7153"/>
      <c r="NIZ17" s="7153"/>
      <c r="NJA17" s="7157"/>
      <c r="NJB17" s="7157"/>
      <c r="NJC17" s="7157"/>
      <c r="NJD17" s="7157"/>
      <c r="NJE17" s="7157"/>
      <c r="NJF17" s="7157"/>
      <c r="NJG17" s="7158"/>
      <c r="NJH17" s="7158"/>
      <c r="NJI17" s="7158"/>
      <c r="NJJ17" s="7158"/>
      <c r="NJK17" s="7158"/>
      <c r="NJL17" s="7159"/>
      <c r="NJM17" s="7152" t="s">
        <v>175</v>
      </c>
      <c r="NJN17" s="7153"/>
      <c r="NJO17" s="7153"/>
      <c r="NJP17" s="7153"/>
      <c r="NJQ17" s="7157"/>
      <c r="NJR17" s="7157"/>
      <c r="NJS17" s="7157"/>
      <c r="NJT17" s="7157"/>
      <c r="NJU17" s="7157"/>
      <c r="NJV17" s="7157"/>
      <c r="NJW17" s="7158"/>
      <c r="NJX17" s="7158"/>
      <c r="NJY17" s="7158"/>
      <c r="NJZ17" s="7158"/>
      <c r="NKA17" s="7158"/>
      <c r="NKB17" s="7159"/>
      <c r="NKC17" s="7152" t="s">
        <v>175</v>
      </c>
      <c r="NKD17" s="7153"/>
      <c r="NKE17" s="7153"/>
      <c r="NKF17" s="7153"/>
      <c r="NKG17" s="7157"/>
      <c r="NKH17" s="7157"/>
      <c r="NKI17" s="7157"/>
      <c r="NKJ17" s="7157"/>
      <c r="NKK17" s="7157"/>
      <c r="NKL17" s="7157"/>
      <c r="NKM17" s="7158"/>
      <c r="NKN17" s="7158"/>
      <c r="NKO17" s="7158"/>
      <c r="NKP17" s="7158"/>
      <c r="NKQ17" s="7158"/>
      <c r="NKR17" s="7159"/>
      <c r="NKS17" s="7152" t="s">
        <v>175</v>
      </c>
      <c r="NKT17" s="7153"/>
      <c r="NKU17" s="7153"/>
      <c r="NKV17" s="7153"/>
      <c r="NKW17" s="7157"/>
      <c r="NKX17" s="7157"/>
      <c r="NKY17" s="7157"/>
      <c r="NKZ17" s="7157"/>
      <c r="NLA17" s="7157"/>
      <c r="NLB17" s="7157"/>
      <c r="NLC17" s="7158"/>
      <c r="NLD17" s="7158"/>
      <c r="NLE17" s="7158"/>
      <c r="NLF17" s="7158"/>
      <c r="NLG17" s="7158"/>
      <c r="NLH17" s="7159"/>
      <c r="NLI17" s="7152" t="s">
        <v>175</v>
      </c>
      <c r="NLJ17" s="7153"/>
      <c r="NLK17" s="7153"/>
      <c r="NLL17" s="7153"/>
      <c r="NLM17" s="7157"/>
      <c r="NLN17" s="7157"/>
      <c r="NLO17" s="7157"/>
      <c r="NLP17" s="7157"/>
      <c r="NLQ17" s="7157"/>
      <c r="NLR17" s="7157"/>
      <c r="NLS17" s="7158"/>
      <c r="NLT17" s="7158"/>
      <c r="NLU17" s="7158"/>
      <c r="NLV17" s="7158"/>
      <c r="NLW17" s="7158"/>
      <c r="NLX17" s="7159"/>
      <c r="NLY17" s="7152" t="s">
        <v>175</v>
      </c>
      <c r="NLZ17" s="7153"/>
      <c r="NMA17" s="7153"/>
      <c r="NMB17" s="7153"/>
      <c r="NMC17" s="7157"/>
      <c r="NMD17" s="7157"/>
      <c r="NME17" s="7157"/>
      <c r="NMF17" s="7157"/>
      <c r="NMG17" s="7157"/>
      <c r="NMH17" s="7157"/>
      <c r="NMI17" s="7158"/>
      <c r="NMJ17" s="7158"/>
      <c r="NMK17" s="7158"/>
      <c r="NML17" s="7158"/>
      <c r="NMM17" s="7158"/>
      <c r="NMN17" s="7159"/>
      <c r="NMO17" s="7152" t="s">
        <v>175</v>
      </c>
      <c r="NMP17" s="7153"/>
      <c r="NMQ17" s="7153"/>
      <c r="NMR17" s="7153"/>
      <c r="NMS17" s="7157"/>
      <c r="NMT17" s="7157"/>
      <c r="NMU17" s="7157"/>
      <c r="NMV17" s="7157"/>
      <c r="NMW17" s="7157"/>
      <c r="NMX17" s="7157"/>
      <c r="NMY17" s="7158"/>
      <c r="NMZ17" s="7158"/>
      <c r="NNA17" s="7158"/>
      <c r="NNB17" s="7158"/>
      <c r="NNC17" s="7158"/>
      <c r="NND17" s="7159"/>
      <c r="NNE17" s="7152" t="s">
        <v>175</v>
      </c>
      <c r="NNF17" s="7153"/>
      <c r="NNG17" s="7153"/>
      <c r="NNH17" s="7153"/>
      <c r="NNI17" s="7157"/>
      <c r="NNJ17" s="7157"/>
      <c r="NNK17" s="7157"/>
      <c r="NNL17" s="7157"/>
      <c r="NNM17" s="7157"/>
      <c r="NNN17" s="7157"/>
      <c r="NNO17" s="7158"/>
      <c r="NNP17" s="7158"/>
      <c r="NNQ17" s="7158"/>
      <c r="NNR17" s="7158"/>
      <c r="NNS17" s="7158"/>
      <c r="NNT17" s="7159"/>
      <c r="NNU17" s="7152" t="s">
        <v>175</v>
      </c>
      <c r="NNV17" s="7153"/>
      <c r="NNW17" s="7153"/>
      <c r="NNX17" s="7153"/>
      <c r="NNY17" s="7157"/>
      <c r="NNZ17" s="7157"/>
      <c r="NOA17" s="7157"/>
      <c r="NOB17" s="7157"/>
      <c r="NOC17" s="7157"/>
      <c r="NOD17" s="7157"/>
      <c r="NOE17" s="7158"/>
      <c r="NOF17" s="7158"/>
      <c r="NOG17" s="7158"/>
      <c r="NOH17" s="7158"/>
      <c r="NOI17" s="7158"/>
      <c r="NOJ17" s="7159"/>
      <c r="NOK17" s="7152" t="s">
        <v>175</v>
      </c>
      <c r="NOL17" s="7153"/>
      <c r="NOM17" s="7153"/>
      <c r="NON17" s="7153"/>
      <c r="NOO17" s="7157"/>
      <c r="NOP17" s="7157"/>
      <c r="NOQ17" s="7157"/>
      <c r="NOR17" s="7157"/>
      <c r="NOS17" s="7157"/>
      <c r="NOT17" s="7157"/>
      <c r="NOU17" s="7158"/>
      <c r="NOV17" s="7158"/>
      <c r="NOW17" s="7158"/>
      <c r="NOX17" s="7158"/>
      <c r="NOY17" s="7158"/>
      <c r="NOZ17" s="7159"/>
      <c r="NPA17" s="7152" t="s">
        <v>175</v>
      </c>
      <c r="NPB17" s="7153"/>
      <c r="NPC17" s="7153"/>
      <c r="NPD17" s="7153"/>
      <c r="NPE17" s="7157"/>
      <c r="NPF17" s="7157"/>
      <c r="NPG17" s="7157"/>
      <c r="NPH17" s="7157"/>
      <c r="NPI17" s="7157"/>
      <c r="NPJ17" s="7157"/>
      <c r="NPK17" s="7158"/>
      <c r="NPL17" s="7158"/>
      <c r="NPM17" s="7158"/>
      <c r="NPN17" s="7158"/>
      <c r="NPO17" s="7158"/>
      <c r="NPP17" s="7159"/>
      <c r="NPQ17" s="7152" t="s">
        <v>175</v>
      </c>
      <c r="NPR17" s="7153"/>
      <c r="NPS17" s="7153"/>
      <c r="NPT17" s="7153"/>
      <c r="NPU17" s="7157"/>
      <c r="NPV17" s="7157"/>
      <c r="NPW17" s="7157"/>
      <c r="NPX17" s="7157"/>
      <c r="NPY17" s="7157"/>
      <c r="NPZ17" s="7157"/>
      <c r="NQA17" s="7158"/>
      <c r="NQB17" s="7158"/>
      <c r="NQC17" s="7158"/>
      <c r="NQD17" s="7158"/>
      <c r="NQE17" s="7158"/>
      <c r="NQF17" s="7159"/>
      <c r="NQG17" s="7152" t="s">
        <v>175</v>
      </c>
      <c r="NQH17" s="7153"/>
      <c r="NQI17" s="7153"/>
      <c r="NQJ17" s="7153"/>
      <c r="NQK17" s="7157"/>
      <c r="NQL17" s="7157"/>
      <c r="NQM17" s="7157"/>
      <c r="NQN17" s="7157"/>
      <c r="NQO17" s="7157"/>
      <c r="NQP17" s="7157"/>
      <c r="NQQ17" s="7158"/>
      <c r="NQR17" s="7158"/>
      <c r="NQS17" s="7158"/>
      <c r="NQT17" s="7158"/>
      <c r="NQU17" s="7158"/>
      <c r="NQV17" s="7159"/>
      <c r="NQW17" s="7152" t="s">
        <v>175</v>
      </c>
      <c r="NQX17" s="7153"/>
      <c r="NQY17" s="7153"/>
      <c r="NQZ17" s="7153"/>
      <c r="NRA17" s="7157"/>
      <c r="NRB17" s="7157"/>
      <c r="NRC17" s="7157"/>
      <c r="NRD17" s="7157"/>
      <c r="NRE17" s="7157"/>
      <c r="NRF17" s="7157"/>
      <c r="NRG17" s="7158"/>
      <c r="NRH17" s="7158"/>
      <c r="NRI17" s="7158"/>
      <c r="NRJ17" s="7158"/>
      <c r="NRK17" s="7158"/>
      <c r="NRL17" s="7159"/>
      <c r="NRM17" s="7152" t="s">
        <v>175</v>
      </c>
      <c r="NRN17" s="7153"/>
      <c r="NRO17" s="7153"/>
      <c r="NRP17" s="7153"/>
      <c r="NRQ17" s="7157"/>
      <c r="NRR17" s="7157"/>
      <c r="NRS17" s="7157"/>
      <c r="NRT17" s="7157"/>
      <c r="NRU17" s="7157"/>
      <c r="NRV17" s="7157"/>
      <c r="NRW17" s="7158"/>
      <c r="NRX17" s="7158"/>
      <c r="NRY17" s="7158"/>
      <c r="NRZ17" s="7158"/>
      <c r="NSA17" s="7158"/>
      <c r="NSB17" s="7159"/>
      <c r="NSC17" s="7152" t="s">
        <v>175</v>
      </c>
      <c r="NSD17" s="7153"/>
      <c r="NSE17" s="7153"/>
      <c r="NSF17" s="7153"/>
      <c r="NSG17" s="7157"/>
      <c r="NSH17" s="7157"/>
      <c r="NSI17" s="7157"/>
      <c r="NSJ17" s="7157"/>
      <c r="NSK17" s="7157"/>
      <c r="NSL17" s="7157"/>
      <c r="NSM17" s="7158"/>
      <c r="NSN17" s="7158"/>
      <c r="NSO17" s="7158"/>
      <c r="NSP17" s="7158"/>
      <c r="NSQ17" s="7158"/>
      <c r="NSR17" s="7159"/>
      <c r="NSS17" s="7152" t="s">
        <v>175</v>
      </c>
      <c r="NST17" s="7153"/>
      <c r="NSU17" s="7153"/>
      <c r="NSV17" s="7153"/>
      <c r="NSW17" s="7157"/>
      <c r="NSX17" s="7157"/>
      <c r="NSY17" s="7157"/>
      <c r="NSZ17" s="7157"/>
      <c r="NTA17" s="7157"/>
      <c r="NTB17" s="7157"/>
      <c r="NTC17" s="7158"/>
      <c r="NTD17" s="7158"/>
      <c r="NTE17" s="7158"/>
      <c r="NTF17" s="7158"/>
      <c r="NTG17" s="7158"/>
      <c r="NTH17" s="7159"/>
      <c r="NTI17" s="7152" t="s">
        <v>175</v>
      </c>
      <c r="NTJ17" s="7153"/>
      <c r="NTK17" s="7153"/>
      <c r="NTL17" s="7153"/>
      <c r="NTM17" s="7157"/>
      <c r="NTN17" s="7157"/>
      <c r="NTO17" s="7157"/>
      <c r="NTP17" s="7157"/>
      <c r="NTQ17" s="7157"/>
      <c r="NTR17" s="7157"/>
      <c r="NTS17" s="7158"/>
      <c r="NTT17" s="7158"/>
      <c r="NTU17" s="7158"/>
      <c r="NTV17" s="7158"/>
      <c r="NTW17" s="7158"/>
      <c r="NTX17" s="7159"/>
      <c r="NTY17" s="7152" t="s">
        <v>175</v>
      </c>
      <c r="NTZ17" s="7153"/>
      <c r="NUA17" s="7153"/>
      <c r="NUB17" s="7153"/>
      <c r="NUC17" s="7157"/>
      <c r="NUD17" s="7157"/>
      <c r="NUE17" s="7157"/>
      <c r="NUF17" s="7157"/>
      <c r="NUG17" s="7157"/>
      <c r="NUH17" s="7157"/>
      <c r="NUI17" s="7158"/>
      <c r="NUJ17" s="7158"/>
      <c r="NUK17" s="7158"/>
      <c r="NUL17" s="7158"/>
      <c r="NUM17" s="7158"/>
      <c r="NUN17" s="7159"/>
      <c r="NUO17" s="7152" t="s">
        <v>175</v>
      </c>
      <c r="NUP17" s="7153"/>
      <c r="NUQ17" s="7153"/>
      <c r="NUR17" s="7153"/>
      <c r="NUS17" s="7157"/>
      <c r="NUT17" s="7157"/>
      <c r="NUU17" s="7157"/>
      <c r="NUV17" s="7157"/>
      <c r="NUW17" s="7157"/>
      <c r="NUX17" s="7157"/>
      <c r="NUY17" s="7158"/>
      <c r="NUZ17" s="7158"/>
      <c r="NVA17" s="7158"/>
      <c r="NVB17" s="7158"/>
      <c r="NVC17" s="7158"/>
      <c r="NVD17" s="7159"/>
      <c r="NVE17" s="7152" t="s">
        <v>175</v>
      </c>
      <c r="NVF17" s="7153"/>
      <c r="NVG17" s="7153"/>
      <c r="NVH17" s="7153"/>
      <c r="NVI17" s="7157"/>
      <c r="NVJ17" s="7157"/>
      <c r="NVK17" s="7157"/>
      <c r="NVL17" s="7157"/>
      <c r="NVM17" s="7157"/>
      <c r="NVN17" s="7157"/>
      <c r="NVO17" s="7158"/>
      <c r="NVP17" s="7158"/>
      <c r="NVQ17" s="7158"/>
      <c r="NVR17" s="7158"/>
      <c r="NVS17" s="7158"/>
      <c r="NVT17" s="7159"/>
      <c r="NVU17" s="7152" t="s">
        <v>175</v>
      </c>
      <c r="NVV17" s="7153"/>
      <c r="NVW17" s="7153"/>
      <c r="NVX17" s="7153"/>
      <c r="NVY17" s="7157"/>
      <c r="NVZ17" s="7157"/>
      <c r="NWA17" s="7157"/>
      <c r="NWB17" s="7157"/>
      <c r="NWC17" s="7157"/>
      <c r="NWD17" s="7157"/>
      <c r="NWE17" s="7158"/>
      <c r="NWF17" s="7158"/>
      <c r="NWG17" s="7158"/>
      <c r="NWH17" s="7158"/>
      <c r="NWI17" s="7158"/>
      <c r="NWJ17" s="7159"/>
      <c r="NWK17" s="7152" t="s">
        <v>175</v>
      </c>
      <c r="NWL17" s="7153"/>
      <c r="NWM17" s="7153"/>
      <c r="NWN17" s="7153"/>
      <c r="NWO17" s="7157"/>
      <c r="NWP17" s="7157"/>
      <c r="NWQ17" s="7157"/>
      <c r="NWR17" s="7157"/>
      <c r="NWS17" s="7157"/>
      <c r="NWT17" s="7157"/>
      <c r="NWU17" s="7158"/>
      <c r="NWV17" s="7158"/>
      <c r="NWW17" s="7158"/>
      <c r="NWX17" s="7158"/>
      <c r="NWY17" s="7158"/>
      <c r="NWZ17" s="7159"/>
      <c r="NXA17" s="7152" t="s">
        <v>175</v>
      </c>
      <c r="NXB17" s="7153"/>
      <c r="NXC17" s="7153"/>
      <c r="NXD17" s="7153"/>
      <c r="NXE17" s="7157"/>
      <c r="NXF17" s="7157"/>
      <c r="NXG17" s="7157"/>
      <c r="NXH17" s="7157"/>
      <c r="NXI17" s="7157"/>
      <c r="NXJ17" s="7157"/>
      <c r="NXK17" s="7158"/>
      <c r="NXL17" s="7158"/>
      <c r="NXM17" s="7158"/>
      <c r="NXN17" s="7158"/>
      <c r="NXO17" s="7158"/>
      <c r="NXP17" s="7159"/>
      <c r="NXQ17" s="7152" t="s">
        <v>175</v>
      </c>
      <c r="NXR17" s="7153"/>
      <c r="NXS17" s="7153"/>
      <c r="NXT17" s="7153"/>
      <c r="NXU17" s="7157"/>
      <c r="NXV17" s="7157"/>
      <c r="NXW17" s="7157"/>
      <c r="NXX17" s="7157"/>
      <c r="NXY17" s="7157"/>
      <c r="NXZ17" s="7157"/>
      <c r="NYA17" s="7158"/>
      <c r="NYB17" s="7158"/>
      <c r="NYC17" s="7158"/>
      <c r="NYD17" s="7158"/>
      <c r="NYE17" s="7158"/>
      <c r="NYF17" s="7159"/>
      <c r="NYG17" s="7152" t="s">
        <v>175</v>
      </c>
      <c r="NYH17" s="7153"/>
      <c r="NYI17" s="7153"/>
      <c r="NYJ17" s="7153"/>
      <c r="NYK17" s="7157"/>
      <c r="NYL17" s="7157"/>
      <c r="NYM17" s="7157"/>
      <c r="NYN17" s="7157"/>
      <c r="NYO17" s="7157"/>
      <c r="NYP17" s="7157"/>
      <c r="NYQ17" s="7158"/>
      <c r="NYR17" s="7158"/>
      <c r="NYS17" s="7158"/>
      <c r="NYT17" s="7158"/>
      <c r="NYU17" s="7158"/>
      <c r="NYV17" s="7159"/>
      <c r="NYW17" s="7152" t="s">
        <v>175</v>
      </c>
      <c r="NYX17" s="7153"/>
      <c r="NYY17" s="7153"/>
      <c r="NYZ17" s="7153"/>
      <c r="NZA17" s="7157"/>
      <c r="NZB17" s="7157"/>
      <c r="NZC17" s="7157"/>
      <c r="NZD17" s="7157"/>
      <c r="NZE17" s="7157"/>
      <c r="NZF17" s="7157"/>
      <c r="NZG17" s="7158"/>
      <c r="NZH17" s="7158"/>
      <c r="NZI17" s="7158"/>
      <c r="NZJ17" s="7158"/>
      <c r="NZK17" s="7158"/>
      <c r="NZL17" s="7159"/>
      <c r="NZM17" s="7152" t="s">
        <v>175</v>
      </c>
      <c r="NZN17" s="7153"/>
      <c r="NZO17" s="7153"/>
      <c r="NZP17" s="7153"/>
      <c r="NZQ17" s="7157"/>
      <c r="NZR17" s="7157"/>
      <c r="NZS17" s="7157"/>
      <c r="NZT17" s="7157"/>
      <c r="NZU17" s="7157"/>
      <c r="NZV17" s="7157"/>
      <c r="NZW17" s="7158"/>
      <c r="NZX17" s="7158"/>
      <c r="NZY17" s="7158"/>
      <c r="NZZ17" s="7158"/>
      <c r="OAA17" s="7158"/>
      <c r="OAB17" s="7159"/>
      <c r="OAC17" s="7152" t="s">
        <v>175</v>
      </c>
      <c r="OAD17" s="7153"/>
      <c r="OAE17" s="7153"/>
      <c r="OAF17" s="7153"/>
      <c r="OAG17" s="7157"/>
      <c r="OAH17" s="7157"/>
      <c r="OAI17" s="7157"/>
      <c r="OAJ17" s="7157"/>
      <c r="OAK17" s="7157"/>
      <c r="OAL17" s="7157"/>
      <c r="OAM17" s="7158"/>
      <c r="OAN17" s="7158"/>
      <c r="OAO17" s="7158"/>
      <c r="OAP17" s="7158"/>
      <c r="OAQ17" s="7158"/>
      <c r="OAR17" s="7159"/>
      <c r="OAS17" s="7152" t="s">
        <v>175</v>
      </c>
      <c r="OAT17" s="7153"/>
      <c r="OAU17" s="7153"/>
      <c r="OAV17" s="7153"/>
      <c r="OAW17" s="7157"/>
      <c r="OAX17" s="7157"/>
      <c r="OAY17" s="7157"/>
      <c r="OAZ17" s="7157"/>
      <c r="OBA17" s="7157"/>
      <c r="OBB17" s="7157"/>
      <c r="OBC17" s="7158"/>
      <c r="OBD17" s="7158"/>
      <c r="OBE17" s="7158"/>
      <c r="OBF17" s="7158"/>
      <c r="OBG17" s="7158"/>
      <c r="OBH17" s="7159"/>
      <c r="OBI17" s="7152" t="s">
        <v>175</v>
      </c>
      <c r="OBJ17" s="7153"/>
      <c r="OBK17" s="7153"/>
      <c r="OBL17" s="7153"/>
      <c r="OBM17" s="7157"/>
      <c r="OBN17" s="7157"/>
      <c r="OBO17" s="7157"/>
      <c r="OBP17" s="7157"/>
      <c r="OBQ17" s="7157"/>
      <c r="OBR17" s="7157"/>
      <c r="OBS17" s="7158"/>
      <c r="OBT17" s="7158"/>
      <c r="OBU17" s="7158"/>
      <c r="OBV17" s="7158"/>
      <c r="OBW17" s="7158"/>
      <c r="OBX17" s="7159"/>
      <c r="OBY17" s="7152" t="s">
        <v>175</v>
      </c>
      <c r="OBZ17" s="7153"/>
      <c r="OCA17" s="7153"/>
      <c r="OCB17" s="7153"/>
      <c r="OCC17" s="7157"/>
      <c r="OCD17" s="7157"/>
      <c r="OCE17" s="7157"/>
      <c r="OCF17" s="7157"/>
      <c r="OCG17" s="7157"/>
      <c r="OCH17" s="7157"/>
      <c r="OCI17" s="7158"/>
      <c r="OCJ17" s="7158"/>
      <c r="OCK17" s="7158"/>
      <c r="OCL17" s="7158"/>
      <c r="OCM17" s="7158"/>
      <c r="OCN17" s="7159"/>
      <c r="OCO17" s="7152" t="s">
        <v>175</v>
      </c>
      <c r="OCP17" s="7153"/>
      <c r="OCQ17" s="7153"/>
      <c r="OCR17" s="7153"/>
      <c r="OCS17" s="7157"/>
      <c r="OCT17" s="7157"/>
      <c r="OCU17" s="7157"/>
      <c r="OCV17" s="7157"/>
      <c r="OCW17" s="7157"/>
      <c r="OCX17" s="7157"/>
      <c r="OCY17" s="7158"/>
      <c r="OCZ17" s="7158"/>
      <c r="ODA17" s="7158"/>
      <c r="ODB17" s="7158"/>
      <c r="ODC17" s="7158"/>
      <c r="ODD17" s="7159"/>
      <c r="ODE17" s="7152" t="s">
        <v>175</v>
      </c>
      <c r="ODF17" s="7153"/>
      <c r="ODG17" s="7153"/>
      <c r="ODH17" s="7153"/>
      <c r="ODI17" s="7157"/>
      <c r="ODJ17" s="7157"/>
      <c r="ODK17" s="7157"/>
      <c r="ODL17" s="7157"/>
      <c r="ODM17" s="7157"/>
      <c r="ODN17" s="7157"/>
      <c r="ODO17" s="7158"/>
      <c r="ODP17" s="7158"/>
      <c r="ODQ17" s="7158"/>
      <c r="ODR17" s="7158"/>
      <c r="ODS17" s="7158"/>
      <c r="ODT17" s="7159"/>
      <c r="ODU17" s="7152" t="s">
        <v>175</v>
      </c>
      <c r="ODV17" s="7153"/>
      <c r="ODW17" s="7153"/>
      <c r="ODX17" s="7153"/>
      <c r="ODY17" s="7157"/>
      <c r="ODZ17" s="7157"/>
      <c r="OEA17" s="7157"/>
      <c r="OEB17" s="7157"/>
      <c r="OEC17" s="7157"/>
      <c r="OED17" s="7157"/>
      <c r="OEE17" s="7158"/>
      <c r="OEF17" s="7158"/>
      <c r="OEG17" s="7158"/>
      <c r="OEH17" s="7158"/>
      <c r="OEI17" s="7158"/>
      <c r="OEJ17" s="7159"/>
      <c r="OEK17" s="7152" t="s">
        <v>175</v>
      </c>
      <c r="OEL17" s="7153"/>
      <c r="OEM17" s="7153"/>
      <c r="OEN17" s="7153"/>
      <c r="OEO17" s="7157"/>
      <c r="OEP17" s="7157"/>
      <c r="OEQ17" s="7157"/>
      <c r="OER17" s="7157"/>
      <c r="OES17" s="7157"/>
      <c r="OET17" s="7157"/>
      <c r="OEU17" s="7158"/>
      <c r="OEV17" s="7158"/>
      <c r="OEW17" s="7158"/>
      <c r="OEX17" s="7158"/>
      <c r="OEY17" s="7158"/>
      <c r="OEZ17" s="7159"/>
      <c r="OFA17" s="7152" t="s">
        <v>175</v>
      </c>
      <c r="OFB17" s="7153"/>
      <c r="OFC17" s="7153"/>
      <c r="OFD17" s="7153"/>
      <c r="OFE17" s="7157"/>
      <c r="OFF17" s="7157"/>
      <c r="OFG17" s="7157"/>
      <c r="OFH17" s="7157"/>
      <c r="OFI17" s="7157"/>
      <c r="OFJ17" s="7157"/>
      <c r="OFK17" s="7158"/>
      <c r="OFL17" s="7158"/>
      <c r="OFM17" s="7158"/>
      <c r="OFN17" s="7158"/>
      <c r="OFO17" s="7158"/>
      <c r="OFP17" s="7159"/>
      <c r="OFQ17" s="7152" t="s">
        <v>175</v>
      </c>
      <c r="OFR17" s="7153"/>
      <c r="OFS17" s="7153"/>
      <c r="OFT17" s="7153"/>
      <c r="OFU17" s="7157"/>
      <c r="OFV17" s="7157"/>
      <c r="OFW17" s="7157"/>
      <c r="OFX17" s="7157"/>
      <c r="OFY17" s="7157"/>
      <c r="OFZ17" s="7157"/>
      <c r="OGA17" s="7158"/>
      <c r="OGB17" s="7158"/>
      <c r="OGC17" s="7158"/>
      <c r="OGD17" s="7158"/>
      <c r="OGE17" s="7158"/>
      <c r="OGF17" s="7159"/>
      <c r="OGG17" s="7152" t="s">
        <v>175</v>
      </c>
      <c r="OGH17" s="7153"/>
      <c r="OGI17" s="7153"/>
      <c r="OGJ17" s="7153"/>
      <c r="OGK17" s="7157"/>
      <c r="OGL17" s="7157"/>
      <c r="OGM17" s="7157"/>
      <c r="OGN17" s="7157"/>
      <c r="OGO17" s="7157"/>
      <c r="OGP17" s="7157"/>
      <c r="OGQ17" s="7158"/>
      <c r="OGR17" s="7158"/>
      <c r="OGS17" s="7158"/>
      <c r="OGT17" s="7158"/>
      <c r="OGU17" s="7158"/>
      <c r="OGV17" s="7159"/>
      <c r="OGW17" s="7152" t="s">
        <v>175</v>
      </c>
      <c r="OGX17" s="7153"/>
      <c r="OGY17" s="7153"/>
      <c r="OGZ17" s="7153"/>
      <c r="OHA17" s="7157"/>
      <c r="OHB17" s="7157"/>
      <c r="OHC17" s="7157"/>
      <c r="OHD17" s="7157"/>
      <c r="OHE17" s="7157"/>
      <c r="OHF17" s="7157"/>
      <c r="OHG17" s="7158"/>
      <c r="OHH17" s="7158"/>
      <c r="OHI17" s="7158"/>
      <c r="OHJ17" s="7158"/>
      <c r="OHK17" s="7158"/>
      <c r="OHL17" s="7159"/>
      <c r="OHM17" s="7152" t="s">
        <v>175</v>
      </c>
      <c r="OHN17" s="7153"/>
      <c r="OHO17" s="7153"/>
      <c r="OHP17" s="7153"/>
      <c r="OHQ17" s="7157"/>
      <c r="OHR17" s="7157"/>
      <c r="OHS17" s="7157"/>
      <c r="OHT17" s="7157"/>
      <c r="OHU17" s="7157"/>
      <c r="OHV17" s="7157"/>
      <c r="OHW17" s="7158"/>
      <c r="OHX17" s="7158"/>
      <c r="OHY17" s="7158"/>
      <c r="OHZ17" s="7158"/>
      <c r="OIA17" s="7158"/>
      <c r="OIB17" s="7159"/>
      <c r="OIC17" s="7152" t="s">
        <v>175</v>
      </c>
      <c r="OID17" s="7153"/>
      <c r="OIE17" s="7153"/>
      <c r="OIF17" s="7153"/>
      <c r="OIG17" s="7157"/>
      <c r="OIH17" s="7157"/>
      <c r="OII17" s="7157"/>
      <c r="OIJ17" s="7157"/>
      <c r="OIK17" s="7157"/>
      <c r="OIL17" s="7157"/>
      <c r="OIM17" s="7158"/>
      <c r="OIN17" s="7158"/>
      <c r="OIO17" s="7158"/>
      <c r="OIP17" s="7158"/>
      <c r="OIQ17" s="7158"/>
      <c r="OIR17" s="7159"/>
      <c r="OIS17" s="7152" t="s">
        <v>175</v>
      </c>
      <c r="OIT17" s="7153"/>
      <c r="OIU17" s="7153"/>
      <c r="OIV17" s="7153"/>
      <c r="OIW17" s="7157"/>
      <c r="OIX17" s="7157"/>
      <c r="OIY17" s="7157"/>
      <c r="OIZ17" s="7157"/>
      <c r="OJA17" s="7157"/>
      <c r="OJB17" s="7157"/>
      <c r="OJC17" s="7158"/>
      <c r="OJD17" s="7158"/>
      <c r="OJE17" s="7158"/>
      <c r="OJF17" s="7158"/>
      <c r="OJG17" s="7158"/>
      <c r="OJH17" s="7159"/>
      <c r="OJI17" s="7152" t="s">
        <v>175</v>
      </c>
      <c r="OJJ17" s="7153"/>
      <c r="OJK17" s="7153"/>
      <c r="OJL17" s="7153"/>
      <c r="OJM17" s="7157"/>
      <c r="OJN17" s="7157"/>
      <c r="OJO17" s="7157"/>
      <c r="OJP17" s="7157"/>
      <c r="OJQ17" s="7157"/>
      <c r="OJR17" s="7157"/>
      <c r="OJS17" s="7158"/>
      <c r="OJT17" s="7158"/>
      <c r="OJU17" s="7158"/>
      <c r="OJV17" s="7158"/>
      <c r="OJW17" s="7158"/>
      <c r="OJX17" s="7159"/>
      <c r="OJY17" s="7152" t="s">
        <v>175</v>
      </c>
      <c r="OJZ17" s="7153"/>
      <c r="OKA17" s="7153"/>
      <c r="OKB17" s="7153"/>
      <c r="OKC17" s="7157"/>
      <c r="OKD17" s="7157"/>
      <c r="OKE17" s="7157"/>
      <c r="OKF17" s="7157"/>
      <c r="OKG17" s="7157"/>
      <c r="OKH17" s="7157"/>
      <c r="OKI17" s="7158"/>
      <c r="OKJ17" s="7158"/>
      <c r="OKK17" s="7158"/>
      <c r="OKL17" s="7158"/>
      <c r="OKM17" s="7158"/>
      <c r="OKN17" s="7159"/>
      <c r="OKO17" s="7152" t="s">
        <v>175</v>
      </c>
      <c r="OKP17" s="7153"/>
      <c r="OKQ17" s="7153"/>
      <c r="OKR17" s="7153"/>
      <c r="OKS17" s="7157"/>
      <c r="OKT17" s="7157"/>
      <c r="OKU17" s="7157"/>
      <c r="OKV17" s="7157"/>
      <c r="OKW17" s="7157"/>
      <c r="OKX17" s="7157"/>
      <c r="OKY17" s="7158"/>
      <c r="OKZ17" s="7158"/>
      <c r="OLA17" s="7158"/>
      <c r="OLB17" s="7158"/>
      <c r="OLC17" s="7158"/>
      <c r="OLD17" s="7159"/>
      <c r="OLE17" s="7152" t="s">
        <v>175</v>
      </c>
      <c r="OLF17" s="7153"/>
      <c r="OLG17" s="7153"/>
      <c r="OLH17" s="7153"/>
      <c r="OLI17" s="7157"/>
      <c r="OLJ17" s="7157"/>
      <c r="OLK17" s="7157"/>
      <c r="OLL17" s="7157"/>
      <c r="OLM17" s="7157"/>
      <c r="OLN17" s="7157"/>
      <c r="OLO17" s="7158"/>
      <c r="OLP17" s="7158"/>
      <c r="OLQ17" s="7158"/>
      <c r="OLR17" s="7158"/>
      <c r="OLS17" s="7158"/>
      <c r="OLT17" s="7159"/>
      <c r="OLU17" s="7152" t="s">
        <v>175</v>
      </c>
      <c r="OLV17" s="7153"/>
      <c r="OLW17" s="7153"/>
      <c r="OLX17" s="7153"/>
      <c r="OLY17" s="7157"/>
      <c r="OLZ17" s="7157"/>
      <c r="OMA17" s="7157"/>
      <c r="OMB17" s="7157"/>
      <c r="OMC17" s="7157"/>
      <c r="OMD17" s="7157"/>
      <c r="OME17" s="7158"/>
      <c r="OMF17" s="7158"/>
      <c r="OMG17" s="7158"/>
      <c r="OMH17" s="7158"/>
      <c r="OMI17" s="7158"/>
      <c r="OMJ17" s="7159"/>
      <c r="OMK17" s="7152" t="s">
        <v>175</v>
      </c>
      <c r="OML17" s="7153"/>
      <c r="OMM17" s="7153"/>
      <c r="OMN17" s="7153"/>
      <c r="OMO17" s="7157"/>
      <c r="OMP17" s="7157"/>
      <c r="OMQ17" s="7157"/>
      <c r="OMR17" s="7157"/>
      <c r="OMS17" s="7157"/>
      <c r="OMT17" s="7157"/>
      <c r="OMU17" s="7158"/>
      <c r="OMV17" s="7158"/>
      <c r="OMW17" s="7158"/>
      <c r="OMX17" s="7158"/>
      <c r="OMY17" s="7158"/>
      <c r="OMZ17" s="7159"/>
      <c r="ONA17" s="7152" t="s">
        <v>175</v>
      </c>
      <c r="ONB17" s="7153"/>
      <c r="ONC17" s="7153"/>
      <c r="OND17" s="7153"/>
      <c r="ONE17" s="7157"/>
      <c r="ONF17" s="7157"/>
      <c r="ONG17" s="7157"/>
      <c r="ONH17" s="7157"/>
      <c r="ONI17" s="7157"/>
      <c r="ONJ17" s="7157"/>
      <c r="ONK17" s="7158"/>
      <c r="ONL17" s="7158"/>
      <c r="ONM17" s="7158"/>
      <c r="ONN17" s="7158"/>
      <c r="ONO17" s="7158"/>
      <c r="ONP17" s="7159"/>
      <c r="ONQ17" s="7152" t="s">
        <v>175</v>
      </c>
      <c r="ONR17" s="7153"/>
      <c r="ONS17" s="7153"/>
      <c r="ONT17" s="7153"/>
      <c r="ONU17" s="7157"/>
      <c r="ONV17" s="7157"/>
      <c r="ONW17" s="7157"/>
      <c r="ONX17" s="7157"/>
      <c r="ONY17" s="7157"/>
      <c r="ONZ17" s="7157"/>
      <c r="OOA17" s="7158"/>
      <c r="OOB17" s="7158"/>
      <c r="OOC17" s="7158"/>
      <c r="OOD17" s="7158"/>
      <c r="OOE17" s="7158"/>
      <c r="OOF17" s="7159"/>
      <c r="OOG17" s="7152" t="s">
        <v>175</v>
      </c>
      <c r="OOH17" s="7153"/>
      <c r="OOI17" s="7153"/>
      <c r="OOJ17" s="7153"/>
      <c r="OOK17" s="7157"/>
      <c r="OOL17" s="7157"/>
      <c r="OOM17" s="7157"/>
      <c r="OON17" s="7157"/>
      <c r="OOO17" s="7157"/>
      <c r="OOP17" s="7157"/>
      <c r="OOQ17" s="7158"/>
      <c r="OOR17" s="7158"/>
      <c r="OOS17" s="7158"/>
      <c r="OOT17" s="7158"/>
      <c r="OOU17" s="7158"/>
      <c r="OOV17" s="7159"/>
      <c r="OOW17" s="7152" t="s">
        <v>175</v>
      </c>
      <c r="OOX17" s="7153"/>
      <c r="OOY17" s="7153"/>
      <c r="OOZ17" s="7153"/>
      <c r="OPA17" s="7157"/>
      <c r="OPB17" s="7157"/>
      <c r="OPC17" s="7157"/>
      <c r="OPD17" s="7157"/>
      <c r="OPE17" s="7157"/>
      <c r="OPF17" s="7157"/>
      <c r="OPG17" s="7158"/>
      <c r="OPH17" s="7158"/>
      <c r="OPI17" s="7158"/>
      <c r="OPJ17" s="7158"/>
      <c r="OPK17" s="7158"/>
      <c r="OPL17" s="7159"/>
      <c r="OPM17" s="7152" t="s">
        <v>175</v>
      </c>
      <c r="OPN17" s="7153"/>
      <c r="OPO17" s="7153"/>
      <c r="OPP17" s="7153"/>
      <c r="OPQ17" s="7157"/>
      <c r="OPR17" s="7157"/>
      <c r="OPS17" s="7157"/>
      <c r="OPT17" s="7157"/>
      <c r="OPU17" s="7157"/>
      <c r="OPV17" s="7157"/>
      <c r="OPW17" s="7158"/>
      <c r="OPX17" s="7158"/>
      <c r="OPY17" s="7158"/>
      <c r="OPZ17" s="7158"/>
      <c r="OQA17" s="7158"/>
      <c r="OQB17" s="7159"/>
      <c r="OQC17" s="7152" t="s">
        <v>175</v>
      </c>
      <c r="OQD17" s="7153"/>
      <c r="OQE17" s="7153"/>
      <c r="OQF17" s="7153"/>
      <c r="OQG17" s="7157"/>
      <c r="OQH17" s="7157"/>
      <c r="OQI17" s="7157"/>
      <c r="OQJ17" s="7157"/>
      <c r="OQK17" s="7157"/>
      <c r="OQL17" s="7157"/>
      <c r="OQM17" s="7158"/>
      <c r="OQN17" s="7158"/>
      <c r="OQO17" s="7158"/>
      <c r="OQP17" s="7158"/>
      <c r="OQQ17" s="7158"/>
      <c r="OQR17" s="7159"/>
      <c r="OQS17" s="7152" t="s">
        <v>175</v>
      </c>
      <c r="OQT17" s="7153"/>
      <c r="OQU17" s="7153"/>
      <c r="OQV17" s="7153"/>
      <c r="OQW17" s="7157"/>
      <c r="OQX17" s="7157"/>
      <c r="OQY17" s="7157"/>
      <c r="OQZ17" s="7157"/>
      <c r="ORA17" s="7157"/>
      <c r="ORB17" s="7157"/>
      <c r="ORC17" s="7158"/>
      <c r="ORD17" s="7158"/>
      <c r="ORE17" s="7158"/>
      <c r="ORF17" s="7158"/>
      <c r="ORG17" s="7158"/>
      <c r="ORH17" s="7159"/>
      <c r="ORI17" s="7152" t="s">
        <v>175</v>
      </c>
      <c r="ORJ17" s="7153"/>
      <c r="ORK17" s="7153"/>
      <c r="ORL17" s="7153"/>
      <c r="ORM17" s="7157"/>
      <c r="ORN17" s="7157"/>
      <c r="ORO17" s="7157"/>
      <c r="ORP17" s="7157"/>
      <c r="ORQ17" s="7157"/>
      <c r="ORR17" s="7157"/>
      <c r="ORS17" s="7158"/>
      <c r="ORT17" s="7158"/>
      <c r="ORU17" s="7158"/>
      <c r="ORV17" s="7158"/>
      <c r="ORW17" s="7158"/>
      <c r="ORX17" s="7159"/>
      <c r="ORY17" s="7152" t="s">
        <v>175</v>
      </c>
      <c r="ORZ17" s="7153"/>
      <c r="OSA17" s="7153"/>
      <c r="OSB17" s="7153"/>
      <c r="OSC17" s="7157"/>
      <c r="OSD17" s="7157"/>
      <c r="OSE17" s="7157"/>
      <c r="OSF17" s="7157"/>
      <c r="OSG17" s="7157"/>
      <c r="OSH17" s="7157"/>
      <c r="OSI17" s="7158"/>
      <c r="OSJ17" s="7158"/>
      <c r="OSK17" s="7158"/>
      <c r="OSL17" s="7158"/>
      <c r="OSM17" s="7158"/>
      <c r="OSN17" s="7159"/>
      <c r="OSO17" s="7152" t="s">
        <v>175</v>
      </c>
      <c r="OSP17" s="7153"/>
      <c r="OSQ17" s="7153"/>
      <c r="OSR17" s="7153"/>
      <c r="OSS17" s="7157"/>
      <c r="OST17" s="7157"/>
      <c r="OSU17" s="7157"/>
      <c r="OSV17" s="7157"/>
      <c r="OSW17" s="7157"/>
      <c r="OSX17" s="7157"/>
      <c r="OSY17" s="7158"/>
      <c r="OSZ17" s="7158"/>
      <c r="OTA17" s="7158"/>
      <c r="OTB17" s="7158"/>
      <c r="OTC17" s="7158"/>
      <c r="OTD17" s="7159"/>
      <c r="OTE17" s="7152" t="s">
        <v>175</v>
      </c>
      <c r="OTF17" s="7153"/>
      <c r="OTG17" s="7153"/>
      <c r="OTH17" s="7153"/>
      <c r="OTI17" s="7157"/>
      <c r="OTJ17" s="7157"/>
      <c r="OTK17" s="7157"/>
      <c r="OTL17" s="7157"/>
      <c r="OTM17" s="7157"/>
      <c r="OTN17" s="7157"/>
      <c r="OTO17" s="7158"/>
      <c r="OTP17" s="7158"/>
      <c r="OTQ17" s="7158"/>
      <c r="OTR17" s="7158"/>
      <c r="OTS17" s="7158"/>
      <c r="OTT17" s="7159"/>
      <c r="OTU17" s="7152" t="s">
        <v>175</v>
      </c>
      <c r="OTV17" s="7153"/>
      <c r="OTW17" s="7153"/>
      <c r="OTX17" s="7153"/>
      <c r="OTY17" s="7157"/>
      <c r="OTZ17" s="7157"/>
      <c r="OUA17" s="7157"/>
      <c r="OUB17" s="7157"/>
      <c r="OUC17" s="7157"/>
      <c r="OUD17" s="7157"/>
      <c r="OUE17" s="7158"/>
      <c r="OUF17" s="7158"/>
      <c r="OUG17" s="7158"/>
      <c r="OUH17" s="7158"/>
      <c r="OUI17" s="7158"/>
      <c r="OUJ17" s="7159"/>
      <c r="OUK17" s="7152" t="s">
        <v>175</v>
      </c>
      <c r="OUL17" s="7153"/>
      <c r="OUM17" s="7153"/>
      <c r="OUN17" s="7153"/>
      <c r="OUO17" s="7157"/>
      <c r="OUP17" s="7157"/>
      <c r="OUQ17" s="7157"/>
      <c r="OUR17" s="7157"/>
      <c r="OUS17" s="7157"/>
      <c r="OUT17" s="7157"/>
      <c r="OUU17" s="7158"/>
      <c r="OUV17" s="7158"/>
      <c r="OUW17" s="7158"/>
      <c r="OUX17" s="7158"/>
      <c r="OUY17" s="7158"/>
      <c r="OUZ17" s="7159"/>
      <c r="OVA17" s="7152" t="s">
        <v>175</v>
      </c>
      <c r="OVB17" s="7153"/>
      <c r="OVC17" s="7153"/>
      <c r="OVD17" s="7153"/>
      <c r="OVE17" s="7157"/>
      <c r="OVF17" s="7157"/>
      <c r="OVG17" s="7157"/>
      <c r="OVH17" s="7157"/>
      <c r="OVI17" s="7157"/>
      <c r="OVJ17" s="7157"/>
      <c r="OVK17" s="7158"/>
      <c r="OVL17" s="7158"/>
      <c r="OVM17" s="7158"/>
      <c r="OVN17" s="7158"/>
      <c r="OVO17" s="7158"/>
      <c r="OVP17" s="7159"/>
      <c r="OVQ17" s="7152" t="s">
        <v>175</v>
      </c>
      <c r="OVR17" s="7153"/>
      <c r="OVS17" s="7153"/>
      <c r="OVT17" s="7153"/>
      <c r="OVU17" s="7157"/>
      <c r="OVV17" s="7157"/>
      <c r="OVW17" s="7157"/>
      <c r="OVX17" s="7157"/>
      <c r="OVY17" s="7157"/>
      <c r="OVZ17" s="7157"/>
      <c r="OWA17" s="7158"/>
      <c r="OWB17" s="7158"/>
      <c r="OWC17" s="7158"/>
      <c r="OWD17" s="7158"/>
      <c r="OWE17" s="7158"/>
      <c r="OWF17" s="7159"/>
      <c r="OWG17" s="7152" t="s">
        <v>175</v>
      </c>
      <c r="OWH17" s="7153"/>
      <c r="OWI17" s="7153"/>
      <c r="OWJ17" s="7153"/>
      <c r="OWK17" s="7157"/>
      <c r="OWL17" s="7157"/>
      <c r="OWM17" s="7157"/>
      <c r="OWN17" s="7157"/>
      <c r="OWO17" s="7157"/>
      <c r="OWP17" s="7157"/>
      <c r="OWQ17" s="7158"/>
      <c r="OWR17" s="7158"/>
      <c r="OWS17" s="7158"/>
      <c r="OWT17" s="7158"/>
      <c r="OWU17" s="7158"/>
      <c r="OWV17" s="7159"/>
      <c r="OWW17" s="7152" t="s">
        <v>175</v>
      </c>
      <c r="OWX17" s="7153"/>
      <c r="OWY17" s="7153"/>
      <c r="OWZ17" s="7153"/>
      <c r="OXA17" s="7157"/>
      <c r="OXB17" s="7157"/>
      <c r="OXC17" s="7157"/>
      <c r="OXD17" s="7157"/>
      <c r="OXE17" s="7157"/>
      <c r="OXF17" s="7157"/>
      <c r="OXG17" s="7158"/>
      <c r="OXH17" s="7158"/>
      <c r="OXI17" s="7158"/>
      <c r="OXJ17" s="7158"/>
      <c r="OXK17" s="7158"/>
      <c r="OXL17" s="7159"/>
      <c r="OXM17" s="7152" t="s">
        <v>175</v>
      </c>
      <c r="OXN17" s="7153"/>
      <c r="OXO17" s="7153"/>
      <c r="OXP17" s="7153"/>
      <c r="OXQ17" s="7157"/>
      <c r="OXR17" s="7157"/>
      <c r="OXS17" s="7157"/>
      <c r="OXT17" s="7157"/>
      <c r="OXU17" s="7157"/>
      <c r="OXV17" s="7157"/>
      <c r="OXW17" s="7158"/>
      <c r="OXX17" s="7158"/>
      <c r="OXY17" s="7158"/>
      <c r="OXZ17" s="7158"/>
      <c r="OYA17" s="7158"/>
      <c r="OYB17" s="7159"/>
      <c r="OYC17" s="7152" t="s">
        <v>175</v>
      </c>
      <c r="OYD17" s="7153"/>
      <c r="OYE17" s="7153"/>
      <c r="OYF17" s="7153"/>
      <c r="OYG17" s="7157"/>
      <c r="OYH17" s="7157"/>
      <c r="OYI17" s="7157"/>
      <c r="OYJ17" s="7157"/>
      <c r="OYK17" s="7157"/>
      <c r="OYL17" s="7157"/>
      <c r="OYM17" s="7158"/>
      <c r="OYN17" s="7158"/>
      <c r="OYO17" s="7158"/>
      <c r="OYP17" s="7158"/>
      <c r="OYQ17" s="7158"/>
      <c r="OYR17" s="7159"/>
      <c r="OYS17" s="7152" t="s">
        <v>175</v>
      </c>
      <c r="OYT17" s="7153"/>
      <c r="OYU17" s="7153"/>
      <c r="OYV17" s="7153"/>
      <c r="OYW17" s="7157"/>
      <c r="OYX17" s="7157"/>
      <c r="OYY17" s="7157"/>
      <c r="OYZ17" s="7157"/>
      <c r="OZA17" s="7157"/>
      <c r="OZB17" s="7157"/>
      <c r="OZC17" s="7158"/>
      <c r="OZD17" s="7158"/>
      <c r="OZE17" s="7158"/>
      <c r="OZF17" s="7158"/>
      <c r="OZG17" s="7158"/>
      <c r="OZH17" s="7159"/>
      <c r="OZI17" s="7152" t="s">
        <v>175</v>
      </c>
      <c r="OZJ17" s="7153"/>
      <c r="OZK17" s="7153"/>
      <c r="OZL17" s="7153"/>
      <c r="OZM17" s="7157"/>
      <c r="OZN17" s="7157"/>
      <c r="OZO17" s="7157"/>
      <c r="OZP17" s="7157"/>
      <c r="OZQ17" s="7157"/>
      <c r="OZR17" s="7157"/>
      <c r="OZS17" s="7158"/>
      <c r="OZT17" s="7158"/>
      <c r="OZU17" s="7158"/>
      <c r="OZV17" s="7158"/>
      <c r="OZW17" s="7158"/>
      <c r="OZX17" s="7159"/>
      <c r="OZY17" s="7152" t="s">
        <v>175</v>
      </c>
      <c r="OZZ17" s="7153"/>
      <c r="PAA17" s="7153"/>
      <c r="PAB17" s="7153"/>
      <c r="PAC17" s="7157"/>
      <c r="PAD17" s="7157"/>
      <c r="PAE17" s="7157"/>
      <c r="PAF17" s="7157"/>
      <c r="PAG17" s="7157"/>
      <c r="PAH17" s="7157"/>
      <c r="PAI17" s="7158"/>
      <c r="PAJ17" s="7158"/>
      <c r="PAK17" s="7158"/>
      <c r="PAL17" s="7158"/>
      <c r="PAM17" s="7158"/>
      <c r="PAN17" s="7159"/>
      <c r="PAO17" s="7152" t="s">
        <v>175</v>
      </c>
      <c r="PAP17" s="7153"/>
      <c r="PAQ17" s="7153"/>
      <c r="PAR17" s="7153"/>
      <c r="PAS17" s="7157"/>
      <c r="PAT17" s="7157"/>
      <c r="PAU17" s="7157"/>
      <c r="PAV17" s="7157"/>
      <c r="PAW17" s="7157"/>
      <c r="PAX17" s="7157"/>
      <c r="PAY17" s="7158"/>
      <c r="PAZ17" s="7158"/>
      <c r="PBA17" s="7158"/>
      <c r="PBB17" s="7158"/>
      <c r="PBC17" s="7158"/>
      <c r="PBD17" s="7159"/>
      <c r="PBE17" s="7152" t="s">
        <v>175</v>
      </c>
      <c r="PBF17" s="7153"/>
      <c r="PBG17" s="7153"/>
      <c r="PBH17" s="7153"/>
      <c r="PBI17" s="7157"/>
      <c r="PBJ17" s="7157"/>
      <c r="PBK17" s="7157"/>
      <c r="PBL17" s="7157"/>
      <c r="PBM17" s="7157"/>
      <c r="PBN17" s="7157"/>
      <c r="PBO17" s="7158"/>
      <c r="PBP17" s="7158"/>
      <c r="PBQ17" s="7158"/>
      <c r="PBR17" s="7158"/>
      <c r="PBS17" s="7158"/>
      <c r="PBT17" s="7159"/>
      <c r="PBU17" s="7152" t="s">
        <v>175</v>
      </c>
      <c r="PBV17" s="7153"/>
      <c r="PBW17" s="7153"/>
      <c r="PBX17" s="7153"/>
      <c r="PBY17" s="7157"/>
      <c r="PBZ17" s="7157"/>
      <c r="PCA17" s="7157"/>
      <c r="PCB17" s="7157"/>
      <c r="PCC17" s="7157"/>
      <c r="PCD17" s="7157"/>
      <c r="PCE17" s="7158"/>
      <c r="PCF17" s="7158"/>
      <c r="PCG17" s="7158"/>
      <c r="PCH17" s="7158"/>
      <c r="PCI17" s="7158"/>
      <c r="PCJ17" s="7159"/>
      <c r="PCK17" s="7152" t="s">
        <v>175</v>
      </c>
      <c r="PCL17" s="7153"/>
      <c r="PCM17" s="7153"/>
      <c r="PCN17" s="7153"/>
      <c r="PCO17" s="7157"/>
      <c r="PCP17" s="7157"/>
      <c r="PCQ17" s="7157"/>
      <c r="PCR17" s="7157"/>
      <c r="PCS17" s="7157"/>
      <c r="PCT17" s="7157"/>
      <c r="PCU17" s="7158"/>
      <c r="PCV17" s="7158"/>
      <c r="PCW17" s="7158"/>
      <c r="PCX17" s="7158"/>
      <c r="PCY17" s="7158"/>
      <c r="PCZ17" s="7159"/>
      <c r="PDA17" s="7152" t="s">
        <v>175</v>
      </c>
      <c r="PDB17" s="7153"/>
      <c r="PDC17" s="7153"/>
      <c r="PDD17" s="7153"/>
      <c r="PDE17" s="7157"/>
      <c r="PDF17" s="7157"/>
      <c r="PDG17" s="7157"/>
      <c r="PDH17" s="7157"/>
      <c r="PDI17" s="7157"/>
      <c r="PDJ17" s="7157"/>
      <c r="PDK17" s="7158"/>
      <c r="PDL17" s="7158"/>
      <c r="PDM17" s="7158"/>
      <c r="PDN17" s="7158"/>
      <c r="PDO17" s="7158"/>
      <c r="PDP17" s="7159"/>
      <c r="PDQ17" s="7152" t="s">
        <v>175</v>
      </c>
      <c r="PDR17" s="7153"/>
      <c r="PDS17" s="7153"/>
      <c r="PDT17" s="7153"/>
      <c r="PDU17" s="7157"/>
      <c r="PDV17" s="7157"/>
      <c r="PDW17" s="7157"/>
      <c r="PDX17" s="7157"/>
      <c r="PDY17" s="7157"/>
      <c r="PDZ17" s="7157"/>
      <c r="PEA17" s="7158"/>
      <c r="PEB17" s="7158"/>
      <c r="PEC17" s="7158"/>
      <c r="PED17" s="7158"/>
      <c r="PEE17" s="7158"/>
      <c r="PEF17" s="7159"/>
      <c r="PEG17" s="7152" t="s">
        <v>175</v>
      </c>
      <c r="PEH17" s="7153"/>
      <c r="PEI17" s="7153"/>
      <c r="PEJ17" s="7153"/>
      <c r="PEK17" s="7157"/>
      <c r="PEL17" s="7157"/>
      <c r="PEM17" s="7157"/>
      <c r="PEN17" s="7157"/>
      <c r="PEO17" s="7157"/>
      <c r="PEP17" s="7157"/>
      <c r="PEQ17" s="7158"/>
      <c r="PER17" s="7158"/>
      <c r="PES17" s="7158"/>
      <c r="PET17" s="7158"/>
      <c r="PEU17" s="7158"/>
      <c r="PEV17" s="7159"/>
      <c r="PEW17" s="7152" t="s">
        <v>175</v>
      </c>
      <c r="PEX17" s="7153"/>
      <c r="PEY17" s="7153"/>
      <c r="PEZ17" s="7153"/>
      <c r="PFA17" s="7157"/>
      <c r="PFB17" s="7157"/>
      <c r="PFC17" s="7157"/>
      <c r="PFD17" s="7157"/>
      <c r="PFE17" s="7157"/>
      <c r="PFF17" s="7157"/>
      <c r="PFG17" s="7158"/>
      <c r="PFH17" s="7158"/>
      <c r="PFI17" s="7158"/>
      <c r="PFJ17" s="7158"/>
      <c r="PFK17" s="7158"/>
      <c r="PFL17" s="7159"/>
      <c r="PFM17" s="7152" t="s">
        <v>175</v>
      </c>
      <c r="PFN17" s="7153"/>
      <c r="PFO17" s="7153"/>
      <c r="PFP17" s="7153"/>
      <c r="PFQ17" s="7157"/>
      <c r="PFR17" s="7157"/>
      <c r="PFS17" s="7157"/>
      <c r="PFT17" s="7157"/>
      <c r="PFU17" s="7157"/>
      <c r="PFV17" s="7157"/>
      <c r="PFW17" s="7158"/>
      <c r="PFX17" s="7158"/>
      <c r="PFY17" s="7158"/>
      <c r="PFZ17" s="7158"/>
      <c r="PGA17" s="7158"/>
      <c r="PGB17" s="7159"/>
      <c r="PGC17" s="7152" t="s">
        <v>175</v>
      </c>
      <c r="PGD17" s="7153"/>
      <c r="PGE17" s="7153"/>
      <c r="PGF17" s="7153"/>
      <c r="PGG17" s="7157"/>
      <c r="PGH17" s="7157"/>
      <c r="PGI17" s="7157"/>
      <c r="PGJ17" s="7157"/>
      <c r="PGK17" s="7157"/>
      <c r="PGL17" s="7157"/>
      <c r="PGM17" s="7158"/>
      <c r="PGN17" s="7158"/>
      <c r="PGO17" s="7158"/>
      <c r="PGP17" s="7158"/>
      <c r="PGQ17" s="7158"/>
      <c r="PGR17" s="7159"/>
      <c r="PGS17" s="7152" t="s">
        <v>175</v>
      </c>
      <c r="PGT17" s="7153"/>
      <c r="PGU17" s="7153"/>
      <c r="PGV17" s="7153"/>
      <c r="PGW17" s="7157"/>
      <c r="PGX17" s="7157"/>
      <c r="PGY17" s="7157"/>
      <c r="PGZ17" s="7157"/>
      <c r="PHA17" s="7157"/>
      <c r="PHB17" s="7157"/>
      <c r="PHC17" s="7158"/>
      <c r="PHD17" s="7158"/>
      <c r="PHE17" s="7158"/>
      <c r="PHF17" s="7158"/>
      <c r="PHG17" s="7158"/>
      <c r="PHH17" s="7159"/>
      <c r="PHI17" s="7152" t="s">
        <v>175</v>
      </c>
      <c r="PHJ17" s="7153"/>
      <c r="PHK17" s="7153"/>
      <c r="PHL17" s="7153"/>
      <c r="PHM17" s="7157"/>
      <c r="PHN17" s="7157"/>
      <c r="PHO17" s="7157"/>
      <c r="PHP17" s="7157"/>
      <c r="PHQ17" s="7157"/>
      <c r="PHR17" s="7157"/>
      <c r="PHS17" s="7158"/>
      <c r="PHT17" s="7158"/>
      <c r="PHU17" s="7158"/>
      <c r="PHV17" s="7158"/>
      <c r="PHW17" s="7158"/>
      <c r="PHX17" s="7159"/>
      <c r="PHY17" s="7152" t="s">
        <v>175</v>
      </c>
      <c r="PHZ17" s="7153"/>
      <c r="PIA17" s="7153"/>
      <c r="PIB17" s="7153"/>
      <c r="PIC17" s="7157"/>
      <c r="PID17" s="7157"/>
      <c r="PIE17" s="7157"/>
      <c r="PIF17" s="7157"/>
      <c r="PIG17" s="7157"/>
      <c r="PIH17" s="7157"/>
      <c r="PII17" s="7158"/>
      <c r="PIJ17" s="7158"/>
      <c r="PIK17" s="7158"/>
      <c r="PIL17" s="7158"/>
      <c r="PIM17" s="7158"/>
      <c r="PIN17" s="7159"/>
      <c r="PIO17" s="7152" t="s">
        <v>175</v>
      </c>
      <c r="PIP17" s="7153"/>
      <c r="PIQ17" s="7153"/>
      <c r="PIR17" s="7153"/>
      <c r="PIS17" s="7157"/>
      <c r="PIT17" s="7157"/>
      <c r="PIU17" s="7157"/>
      <c r="PIV17" s="7157"/>
      <c r="PIW17" s="7157"/>
      <c r="PIX17" s="7157"/>
      <c r="PIY17" s="7158"/>
      <c r="PIZ17" s="7158"/>
      <c r="PJA17" s="7158"/>
      <c r="PJB17" s="7158"/>
      <c r="PJC17" s="7158"/>
      <c r="PJD17" s="7159"/>
      <c r="PJE17" s="7152" t="s">
        <v>175</v>
      </c>
      <c r="PJF17" s="7153"/>
      <c r="PJG17" s="7153"/>
      <c r="PJH17" s="7153"/>
      <c r="PJI17" s="7157"/>
      <c r="PJJ17" s="7157"/>
      <c r="PJK17" s="7157"/>
      <c r="PJL17" s="7157"/>
      <c r="PJM17" s="7157"/>
      <c r="PJN17" s="7157"/>
      <c r="PJO17" s="7158"/>
      <c r="PJP17" s="7158"/>
      <c r="PJQ17" s="7158"/>
      <c r="PJR17" s="7158"/>
      <c r="PJS17" s="7158"/>
      <c r="PJT17" s="7159"/>
      <c r="PJU17" s="7152" t="s">
        <v>175</v>
      </c>
      <c r="PJV17" s="7153"/>
      <c r="PJW17" s="7153"/>
      <c r="PJX17" s="7153"/>
      <c r="PJY17" s="7157"/>
      <c r="PJZ17" s="7157"/>
      <c r="PKA17" s="7157"/>
      <c r="PKB17" s="7157"/>
      <c r="PKC17" s="7157"/>
      <c r="PKD17" s="7157"/>
      <c r="PKE17" s="7158"/>
      <c r="PKF17" s="7158"/>
      <c r="PKG17" s="7158"/>
      <c r="PKH17" s="7158"/>
      <c r="PKI17" s="7158"/>
      <c r="PKJ17" s="7159"/>
      <c r="PKK17" s="7152" t="s">
        <v>175</v>
      </c>
      <c r="PKL17" s="7153"/>
      <c r="PKM17" s="7153"/>
      <c r="PKN17" s="7153"/>
      <c r="PKO17" s="7157"/>
      <c r="PKP17" s="7157"/>
      <c r="PKQ17" s="7157"/>
      <c r="PKR17" s="7157"/>
      <c r="PKS17" s="7157"/>
      <c r="PKT17" s="7157"/>
      <c r="PKU17" s="7158"/>
      <c r="PKV17" s="7158"/>
      <c r="PKW17" s="7158"/>
      <c r="PKX17" s="7158"/>
      <c r="PKY17" s="7158"/>
      <c r="PKZ17" s="7159"/>
      <c r="PLA17" s="7152" t="s">
        <v>175</v>
      </c>
      <c r="PLB17" s="7153"/>
      <c r="PLC17" s="7153"/>
      <c r="PLD17" s="7153"/>
      <c r="PLE17" s="7157"/>
      <c r="PLF17" s="7157"/>
      <c r="PLG17" s="7157"/>
      <c r="PLH17" s="7157"/>
      <c r="PLI17" s="7157"/>
      <c r="PLJ17" s="7157"/>
      <c r="PLK17" s="7158"/>
      <c r="PLL17" s="7158"/>
      <c r="PLM17" s="7158"/>
      <c r="PLN17" s="7158"/>
      <c r="PLO17" s="7158"/>
      <c r="PLP17" s="7159"/>
      <c r="PLQ17" s="7152" t="s">
        <v>175</v>
      </c>
      <c r="PLR17" s="7153"/>
      <c r="PLS17" s="7153"/>
      <c r="PLT17" s="7153"/>
      <c r="PLU17" s="7157"/>
      <c r="PLV17" s="7157"/>
      <c r="PLW17" s="7157"/>
      <c r="PLX17" s="7157"/>
      <c r="PLY17" s="7157"/>
      <c r="PLZ17" s="7157"/>
      <c r="PMA17" s="7158"/>
      <c r="PMB17" s="7158"/>
      <c r="PMC17" s="7158"/>
      <c r="PMD17" s="7158"/>
      <c r="PME17" s="7158"/>
      <c r="PMF17" s="7159"/>
      <c r="PMG17" s="7152" t="s">
        <v>175</v>
      </c>
      <c r="PMH17" s="7153"/>
      <c r="PMI17" s="7153"/>
      <c r="PMJ17" s="7153"/>
      <c r="PMK17" s="7157"/>
      <c r="PML17" s="7157"/>
      <c r="PMM17" s="7157"/>
      <c r="PMN17" s="7157"/>
      <c r="PMO17" s="7157"/>
      <c r="PMP17" s="7157"/>
      <c r="PMQ17" s="7158"/>
      <c r="PMR17" s="7158"/>
      <c r="PMS17" s="7158"/>
      <c r="PMT17" s="7158"/>
      <c r="PMU17" s="7158"/>
      <c r="PMV17" s="7159"/>
      <c r="PMW17" s="7152" t="s">
        <v>175</v>
      </c>
      <c r="PMX17" s="7153"/>
      <c r="PMY17" s="7153"/>
      <c r="PMZ17" s="7153"/>
      <c r="PNA17" s="7157"/>
      <c r="PNB17" s="7157"/>
      <c r="PNC17" s="7157"/>
      <c r="PND17" s="7157"/>
      <c r="PNE17" s="7157"/>
      <c r="PNF17" s="7157"/>
      <c r="PNG17" s="7158"/>
      <c r="PNH17" s="7158"/>
      <c r="PNI17" s="7158"/>
      <c r="PNJ17" s="7158"/>
      <c r="PNK17" s="7158"/>
      <c r="PNL17" s="7159"/>
      <c r="PNM17" s="7152" t="s">
        <v>175</v>
      </c>
      <c r="PNN17" s="7153"/>
      <c r="PNO17" s="7153"/>
      <c r="PNP17" s="7153"/>
      <c r="PNQ17" s="7157"/>
      <c r="PNR17" s="7157"/>
      <c r="PNS17" s="7157"/>
      <c r="PNT17" s="7157"/>
      <c r="PNU17" s="7157"/>
      <c r="PNV17" s="7157"/>
      <c r="PNW17" s="7158"/>
      <c r="PNX17" s="7158"/>
      <c r="PNY17" s="7158"/>
      <c r="PNZ17" s="7158"/>
      <c r="POA17" s="7158"/>
      <c r="POB17" s="7159"/>
      <c r="POC17" s="7152" t="s">
        <v>175</v>
      </c>
      <c r="POD17" s="7153"/>
      <c r="POE17" s="7153"/>
      <c r="POF17" s="7153"/>
      <c r="POG17" s="7157"/>
      <c r="POH17" s="7157"/>
      <c r="POI17" s="7157"/>
      <c r="POJ17" s="7157"/>
      <c r="POK17" s="7157"/>
      <c r="POL17" s="7157"/>
      <c r="POM17" s="7158"/>
      <c r="PON17" s="7158"/>
      <c r="POO17" s="7158"/>
      <c r="POP17" s="7158"/>
      <c r="POQ17" s="7158"/>
      <c r="POR17" s="7159"/>
      <c r="POS17" s="7152" t="s">
        <v>175</v>
      </c>
      <c r="POT17" s="7153"/>
      <c r="POU17" s="7153"/>
      <c r="POV17" s="7153"/>
      <c r="POW17" s="7157"/>
      <c r="POX17" s="7157"/>
      <c r="POY17" s="7157"/>
      <c r="POZ17" s="7157"/>
      <c r="PPA17" s="7157"/>
      <c r="PPB17" s="7157"/>
      <c r="PPC17" s="7158"/>
      <c r="PPD17" s="7158"/>
      <c r="PPE17" s="7158"/>
      <c r="PPF17" s="7158"/>
      <c r="PPG17" s="7158"/>
      <c r="PPH17" s="7159"/>
      <c r="PPI17" s="7152" t="s">
        <v>175</v>
      </c>
      <c r="PPJ17" s="7153"/>
      <c r="PPK17" s="7153"/>
      <c r="PPL17" s="7153"/>
      <c r="PPM17" s="7157"/>
      <c r="PPN17" s="7157"/>
      <c r="PPO17" s="7157"/>
      <c r="PPP17" s="7157"/>
      <c r="PPQ17" s="7157"/>
      <c r="PPR17" s="7157"/>
      <c r="PPS17" s="7158"/>
      <c r="PPT17" s="7158"/>
      <c r="PPU17" s="7158"/>
      <c r="PPV17" s="7158"/>
      <c r="PPW17" s="7158"/>
      <c r="PPX17" s="7159"/>
      <c r="PPY17" s="7152" t="s">
        <v>175</v>
      </c>
      <c r="PPZ17" s="7153"/>
      <c r="PQA17" s="7153"/>
      <c r="PQB17" s="7153"/>
      <c r="PQC17" s="7157"/>
      <c r="PQD17" s="7157"/>
      <c r="PQE17" s="7157"/>
      <c r="PQF17" s="7157"/>
      <c r="PQG17" s="7157"/>
      <c r="PQH17" s="7157"/>
      <c r="PQI17" s="7158"/>
      <c r="PQJ17" s="7158"/>
      <c r="PQK17" s="7158"/>
      <c r="PQL17" s="7158"/>
      <c r="PQM17" s="7158"/>
      <c r="PQN17" s="7159"/>
      <c r="PQO17" s="7152" t="s">
        <v>175</v>
      </c>
      <c r="PQP17" s="7153"/>
      <c r="PQQ17" s="7153"/>
      <c r="PQR17" s="7153"/>
      <c r="PQS17" s="7157"/>
      <c r="PQT17" s="7157"/>
      <c r="PQU17" s="7157"/>
      <c r="PQV17" s="7157"/>
      <c r="PQW17" s="7157"/>
      <c r="PQX17" s="7157"/>
      <c r="PQY17" s="7158"/>
      <c r="PQZ17" s="7158"/>
      <c r="PRA17" s="7158"/>
      <c r="PRB17" s="7158"/>
      <c r="PRC17" s="7158"/>
      <c r="PRD17" s="7159"/>
      <c r="PRE17" s="7152" t="s">
        <v>175</v>
      </c>
      <c r="PRF17" s="7153"/>
      <c r="PRG17" s="7153"/>
      <c r="PRH17" s="7153"/>
      <c r="PRI17" s="7157"/>
      <c r="PRJ17" s="7157"/>
      <c r="PRK17" s="7157"/>
      <c r="PRL17" s="7157"/>
      <c r="PRM17" s="7157"/>
      <c r="PRN17" s="7157"/>
      <c r="PRO17" s="7158"/>
      <c r="PRP17" s="7158"/>
      <c r="PRQ17" s="7158"/>
      <c r="PRR17" s="7158"/>
      <c r="PRS17" s="7158"/>
      <c r="PRT17" s="7159"/>
      <c r="PRU17" s="7152" t="s">
        <v>175</v>
      </c>
      <c r="PRV17" s="7153"/>
      <c r="PRW17" s="7153"/>
      <c r="PRX17" s="7153"/>
      <c r="PRY17" s="7157"/>
      <c r="PRZ17" s="7157"/>
      <c r="PSA17" s="7157"/>
      <c r="PSB17" s="7157"/>
      <c r="PSC17" s="7157"/>
      <c r="PSD17" s="7157"/>
      <c r="PSE17" s="7158"/>
      <c r="PSF17" s="7158"/>
      <c r="PSG17" s="7158"/>
      <c r="PSH17" s="7158"/>
      <c r="PSI17" s="7158"/>
      <c r="PSJ17" s="7159"/>
      <c r="PSK17" s="7152" t="s">
        <v>175</v>
      </c>
      <c r="PSL17" s="7153"/>
      <c r="PSM17" s="7153"/>
      <c r="PSN17" s="7153"/>
      <c r="PSO17" s="7157"/>
      <c r="PSP17" s="7157"/>
      <c r="PSQ17" s="7157"/>
      <c r="PSR17" s="7157"/>
      <c r="PSS17" s="7157"/>
      <c r="PST17" s="7157"/>
      <c r="PSU17" s="7158"/>
      <c r="PSV17" s="7158"/>
      <c r="PSW17" s="7158"/>
      <c r="PSX17" s="7158"/>
      <c r="PSY17" s="7158"/>
      <c r="PSZ17" s="7159"/>
      <c r="PTA17" s="7152" t="s">
        <v>175</v>
      </c>
      <c r="PTB17" s="7153"/>
      <c r="PTC17" s="7153"/>
      <c r="PTD17" s="7153"/>
      <c r="PTE17" s="7157"/>
      <c r="PTF17" s="7157"/>
      <c r="PTG17" s="7157"/>
      <c r="PTH17" s="7157"/>
      <c r="PTI17" s="7157"/>
      <c r="PTJ17" s="7157"/>
      <c r="PTK17" s="7158"/>
      <c r="PTL17" s="7158"/>
      <c r="PTM17" s="7158"/>
      <c r="PTN17" s="7158"/>
      <c r="PTO17" s="7158"/>
      <c r="PTP17" s="7159"/>
      <c r="PTQ17" s="7152" t="s">
        <v>175</v>
      </c>
      <c r="PTR17" s="7153"/>
      <c r="PTS17" s="7153"/>
      <c r="PTT17" s="7153"/>
      <c r="PTU17" s="7157"/>
      <c r="PTV17" s="7157"/>
      <c r="PTW17" s="7157"/>
      <c r="PTX17" s="7157"/>
      <c r="PTY17" s="7157"/>
      <c r="PTZ17" s="7157"/>
      <c r="PUA17" s="7158"/>
      <c r="PUB17" s="7158"/>
      <c r="PUC17" s="7158"/>
      <c r="PUD17" s="7158"/>
      <c r="PUE17" s="7158"/>
      <c r="PUF17" s="7159"/>
      <c r="PUG17" s="7152" t="s">
        <v>175</v>
      </c>
      <c r="PUH17" s="7153"/>
      <c r="PUI17" s="7153"/>
      <c r="PUJ17" s="7153"/>
      <c r="PUK17" s="7157"/>
      <c r="PUL17" s="7157"/>
      <c r="PUM17" s="7157"/>
      <c r="PUN17" s="7157"/>
      <c r="PUO17" s="7157"/>
      <c r="PUP17" s="7157"/>
      <c r="PUQ17" s="7158"/>
      <c r="PUR17" s="7158"/>
      <c r="PUS17" s="7158"/>
      <c r="PUT17" s="7158"/>
      <c r="PUU17" s="7158"/>
      <c r="PUV17" s="7159"/>
      <c r="PUW17" s="7152" t="s">
        <v>175</v>
      </c>
      <c r="PUX17" s="7153"/>
      <c r="PUY17" s="7153"/>
      <c r="PUZ17" s="7153"/>
      <c r="PVA17" s="7157"/>
      <c r="PVB17" s="7157"/>
      <c r="PVC17" s="7157"/>
      <c r="PVD17" s="7157"/>
      <c r="PVE17" s="7157"/>
      <c r="PVF17" s="7157"/>
      <c r="PVG17" s="7158"/>
      <c r="PVH17" s="7158"/>
      <c r="PVI17" s="7158"/>
      <c r="PVJ17" s="7158"/>
      <c r="PVK17" s="7158"/>
      <c r="PVL17" s="7159"/>
      <c r="PVM17" s="7152" t="s">
        <v>175</v>
      </c>
      <c r="PVN17" s="7153"/>
      <c r="PVO17" s="7153"/>
      <c r="PVP17" s="7153"/>
      <c r="PVQ17" s="7157"/>
      <c r="PVR17" s="7157"/>
      <c r="PVS17" s="7157"/>
      <c r="PVT17" s="7157"/>
      <c r="PVU17" s="7157"/>
      <c r="PVV17" s="7157"/>
      <c r="PVW17" s="7158"/>
      <c r="PVX17" s="7158"/>
      <c r="PVY17" s="7158"/>
      <c r="PVZ17" s="7158"/>
      <c r="PWA17" s="7158"/>
      <c r="PWB17" s="7159"/>
      <c r="PWC17" s="7152" t="s">
        <v>175</v>
      </c>
      <c r="PWD17" s="7153"/>
      <c r="PWE17" s="7153"/>
      <c r="PWF17" s="7153"/>
      <c r="PWG17" s="7157"/>
      <c r="PWH17" s="7157"/>
      <c r="PWI17" s="7157"/>
      <c r="PWJ17" s="7157"/>
      <c r="PWK17" s="7157"/>
      <c r="PWL17" s="7157"/>
      <c r="PWM17" s="7158"/>
      <c r="PWN17" s="7158"/>
      <c r="PWO17" s="7158"/>
      <c r="PWP17" s="7158"/>
      <c r="PWQ17" s="7158"/>
      <c r="PWR17" s="7159"/>
      <c r="PWS17" s="7152" t="s">
        <v>175</v>
      </c>
      <c r="PWT17" s="7153"/>
      <c r="PWU17" s="7153"/>
      <c r="PWV17" s="7153"/>
      <c r="PWW17" s="7157"/>
      <c r="PWX17" s="7157"/>
      <c r="PWY17" s="7157"/>
      <c r="PWZ17" s="7157"/>
      <c r="PXA17" s="7157"/>
      <c r="PXB17" s="7157"/>
      <c r="PXC17" s="7158"/>
      <c r="PXD17" s="7158"/>
      <c r="PXE17" s="7158"/>
      <c r="PXF17" s="7158"/>
      <c r="PXG17" s="7158"/>
      <c r="PXH17" s="7159"/>
      <c r="PXI17" s="7152" t="s">
        <v>175</v>
      </c>
      <c r="PXJ17" s="7153"/>
      <c r="PXK17" s="7153"/>
      <c r="PXL17" s="7153"/>
      <c r="PXM17" s="7157"/>
      <c r="PXN17" s="7157"/>
      <c r="PXO17" s="7157"/>
      <c r="PXP17" s="7157"/>
      <c r="PXQ17" s="7157"/>
      <c r="PXR17" s="7157"/>
      <c r="PXS17" s="7158"/>
      <c r="PXT17" s="7158"/>
      <c r="PXU17" s="7158"/>
      <c r="PXV17" s="7158"/>
      <c r="PXW17" s="7158"/>
      <c r="PXX17" s="7159"/>
      <c r="PXY17" s="7152" t="s">
        <v>175</v>
      </c>
      <c r="PXZ17" s="7153"/>
      <c r="PYA17" s="7153"/>
      <c r="PYB17" s="7153"/>
      <c r="PYC17" s="7157"/>
      <c r="PYD17" s="7157"/>
      <c r="PYE17" s="7157"/>
      <c r="PYF17" s="7157"/>
      <c r="PYG17" s="7157"/>
      <c r="PYH17" s="7157"/>
      <c r="PYI17" s="7158"/>
      <c r="PYJ17" s="7158"/>
      <c r="PYK17" s="7158"/>
      <c r="PYL17" s="7158"/>
      <c r="PYM17" s="7158"/>
      <c r="PYN17" s="7159"/>
      <c r="PYO17" s="7152" t="s">
        <v>175</v>
      </c>
      <c r="PYP17" s="7153"/>
      <c r="PYQ17" s="7153"/>
      <c r="PYR17" s="7153"/>
      <c r="PYS17" s="7157"/>
      <c r="PYT17" s="7157"/>
      <c r="PYU17" s="7157"/>
      <c r="PYV17" s="7157"/>
      <c r="PYW17" s="7157"/>
      <c r="PYX17" s="7157"/>
      <c r="PYY17" s="7158"/>
      <c r="PYZ17" s="7158"/>
      <c r="PZA17" s="7158"/>
      <c r="PZB17" s="7158"/>
      <c r="PZC17" s="7158"/>
      <c r="PZD17" s="7159"/>
      <c r="PZE17" s="7152" t="s">
        <v>175</v>
      </c>
      <c r="PZF17" s="7153"/>
      <c r="PZG17" s="7153"/>
      <c r="PZH17" s="7153"/>
      <c r="PZI17" s="7157"/>
      <c r="PZJ17" s="7157"/>
      <c r="PZK17" s="7157"/>
      <c r="PZL17" s="7157"/>
      <c r="PZM17" s="7157"/>
      <c r="PZN17" s="7157"/>
      <c r="PZO17" s="7158"/>
      <c r="PZP17" s="7158"/>
      <c r="PZQ17" s="7158"/>
      <c r="PZR17" s="7158"/>
      <c r="PZS17" s="7158"/>
      <c r="PZT17" s="7159"/>
      <c r="PZU17" s="7152" t="s">
        <v>175</v>
      </c>
      <c r="PZV17" s="7153"/>
      <c r="PZW17" s="7153"/>
      <c r="PZX17" s="7153"/>
      <c r="PZY17" s="7157"/>
      <c r="PZZ17" s="7157"/>
      <c r="QAA17" s="7157"/>
      <c r="QAB17" s="7157"/>
      <c r="QAC17" s="7157"/>
      <c r="QAD17" s="7157"/>
      <c r="QAE17" s="7158"/>
      <c r="QAF17" s="7158"/>
      <c r="QAG17" s="7158"/>
      <c r="QAH17" s="7158"/>
      <c r="QAI17" s="7158"/>
      <c r="QAJ17" s="7159"/>
      <c r="QAK17" s="7152" t="s">
        <v>175</v>
      </c>
      <c r="QAL17" s="7153"/>
      <c r="QAM17" s="7153"/>
      <c r="QAN17" s="7153"/>
      <c r="QAO17" s="7157"/>
      <c r="QAP17" s="7157"/>
      <c r="QAQ17" s="7157"/>
      <c r="QAR17" s="7157"/>
      <c r="QAS17" s="7157"/>
      <c r="QAT17" s="7157"/>
      <c r="QAU17" s="7158"/>
      <c r="QAV17" s="7158"/>
      <c r="QAW17" s="7158"/>
      <c r="QAX17" s="7158"/>
      <c r="QAY17" s="7158"/>
      <c r="QAZ17" s="7159"/>
      <c r="QBA17" s="7152" t="s">
        <v>175</v>
      </c>
      <c r="QBB17" s="7153"/>
      <c r="QBC17" s="7153"/>
      <c r="QBD17" s="7153"/>
      <c r="QBE17" s="7157"/>
      <c r="QBF17" s="7157"/>
      <c r="QBG17" s="7157"/>
      <c r="QBH17" s="7157"/>
      <c r="QBI17" s="7157"/>
      <c r="QBJ17" s="7157"/>
      <c r="QBK17" s="7158"/>
      <c r="QBL17" s="7158"/>
      <c r="QBM17" s="7158"/>
      <c r="QBN17" s="7158"/>
      <c r="QBO17" s="7158"/>
      <c r="QBP17" s="7159"/>
      <c r="QBQ17" s="7152" t="s">
        <v>175</v>
      </c>
      <c r="QBR17" s="7153"/>
      <c r="QBS17" s="7153"/>
      <c r="QBT17" s="7153"/>
      <c r="QBU17" s="7157"/>
      <c r="QBV17" s="7157"/>
      <c r="QBW17" s="7157"/>
      <c r="QBX17" s="7157"/>
      <c r="QBY17" s="7157"/>
      <c r="QBZ17" s="7157"/>
      <c r="QCA17" s="7158"/>
      <c r="QCB17" s="7158"/>
      <c r="QCC17" s="7158"/>
      <c r="QCD17" s="7158"/>
      <c r="QCE17" s="7158"/>
      <c r="QCF17" s="7159"/>
      <c r="QCG17" s="7152" t="s">
        <v>175</v>
      </c>
      <c r="QCH17" s="7153"/>
      <c r="QCI17" s="7153"/>
      <c r="QCJ17" s="7153"/>
      <c r="QCK17" s="7157"/>
      <c r="QCL17" s="7157"/>
      <c r="QCM17" s="7157"/>
      <c r="QCN17" s="7157"/>
      <c r="QCO17" s="7157"/>
      <c r="QCP17" s="7157"/>
      <c r="QCQ17" s="7158"/>
      <c r="QCR17" s="7158"/>
      <c r="QCS17" s="7158"/>
      <c r="QCT17" s="7158"/>
      <c r="QCU17" s="7158"/>
      <c r="QCV17" s="7159"/>
      <c r="QCW17" s="7152" t="s">
        <v>175</v>
      </c>
      <c r="QCX17" s="7153"/>
      <c r="QCY17" s="7153"/>
      <c r="QCZ17" s="7153"/>
      <c r="QDA17" s="7157"/>
      <c r="QDB17" s="7157"/>
      <c r="QDC17" s="7157"/>
      <c r="QDD17" s="7157"/>
      <c r="QDE17" s="7157"/>
      <c r="QDF17" s="7157"/>
      <c r="QDG17" s="7158"/>
      <c r="QDH17" s="7158"/>
      <c r="QDI17" s="7158"/>
      <c r="QDJ17" s="7158"/>
      <c r="QDK17" s="7158"/>
      <c r="QDL17" s="7159"/>
      <c r="QDM17" s="7152" t="s">
        <v>175</v>
      </c>
      <c r="QDN17" s="7153"/>
      <c r="QDO17" s="7153"/>
      <c r="QDP17" s="7153"/>
      <c r="QDQ17" s="7157"/>
      <c r="QDR17" s="7157"/>
      <c r="QDS17" s="7157"/>
      <c r="QDT17" s="7157"/>
      <c r="QDU17" s="7157"/>
      <c r="QDV17" s="7157"/>
      <c r="QDW17" s="7158"/>
      <c r="QDX17" s="7158"/>
      <c r="QDY17" s="7158"/>
      <c r="QDZ17" s="7158"/>
      <c r="QEA17" s="7158"/>
      <c r="QEB17" s="7159"/>
      <c r="QEC17" s="7152" t="s">
        <v>175</v>
      </c>
      <c r="QED17" s="7153"/>
      <c r="QEE17" s="7153"/>
      <c r="QEF17" s="7153"/>
      <c r="QEG17" s="7157"/>
      <c r="QEH17" s="7157"/>
      <c r="QEI17" s="7157"/>
      <c r="QEJ17" s="7157"/>
      <c r="QEK17" s="7157"/>
      <c r="QEL17" s="7157"/>
      <c r="QEM17" s="7158"/>
      <c r="QEN17" s="7158"/>
      <c r="QEO17" s="7158"/>
      <c r="QEP17" s="7158"/>
      <c r="QEQ17" s="7158"/>
      <c r="QER17" s="7159"/>
      <c r="QES17" s="7152" t="s">
        <v>175</v>
      </c>
      <c r="QET17" s="7153"/>
      <c r="QEU17" s="7153"/>
      <c r="QEV17" s="7153"/>
      <c r="QEW17" s="7157"/>
      <c r="QEX17" s="7157"/>
      <c r="QEY17" s="7157"/>
      <c r="QEZ17" s="7157"/>
      <c r="QFA17" s="7157"/>
      <c r="QFB17" s="7157"/>
      <c r="QFC17" s="7158"/>
      <c r="QFD17" s="7158"/>
      <c r="QFE17" s="7158"/>
      <c r="QFF17" s="7158"/>
      <c r="QFG17" s="7158"/>
      <c r="QFH17" s="7159"/>
      <c r="QFI17" s="7152" t="s">
        <v>175</v>
      </c>
      <c r="QFJ17" s="7153"/>
      <c r="QFK17" s="7153"/>
      <c r="QFL17" s="7153"/>
      <c r="QFM17" s="7157"/>
      <c r="QFN17" s="7157"/>
      <c r="QFO17" s="7157"/>
      <c r="QFP17" s="7157"/>
      <c r="QFQ17" s="7157"/>
      <c r="QFR17" s="7157"/>
      <c r="QFS17" s="7158"/>
      <c r="QFT17" s="7158"/>
      <c r="QFU17" s="7158"/>
      <c r="QFV17" s="7158"/>
      <c r="QFW17" s="7158"/>
      <c r="QFX17" s="7159"/>
      <c r="QFY17" s="7152" t="s">
        <v>175</v>
      </c>
      <c r="QFZ17" s="7153"/>
      <c r="QGA17" s="7153"/>
      <c r="QGB17" s="7153"/>
      <c r="QGC17" s="7157"/>
      <c r="QGD17" s="7157"/>
      <c r="QGE17" s="7157"/>
      <c r="QGF17" s="7157"/>
      <c r="QGG17" s="7157"/>
      <c r="QGH17" s="7157"/>
      <c r="QGI17" s="7158"/>
      <c r="QGJ17" s="7158"/>
      <c r="QGK17" s="7158"/>
      <c r="QGL17" s="7158"/>
      <c r="QGM17" s="7158"/>
      <c r="QGN17" s="7159"/>
      <c r="QGO17" s="7152" t="s">
        <v>175</v>
      </c>
      <c r="QGP17" s="7153"/>
      <c r="QGQ17" s="7153"/>
      <c r="QGR17" s="7153"/>
      <c r="QGS17" s="7157"/>
      <c r="QGT17" s="7157"/>
      <c r="QGU17" s="7157"/>
      <c r="QGV17" s="7157"/>
      <c r="QGW17" s="7157"/>
      <c r="QGX17" s="7157"/>
      <c r="QGY17" s="7158"/>
      <c r="QGZ17" s="7158"/>
      <c r="QHA17" s="7158"/>
      <c r="QHB17" s="7158"/>
      <c r="QHC17" s="7158"/>
      <c r="QHD17" s="7159"/>
      <c r="QHE17" s="7152" t="s">
        <v>175</v>
      </c>
      <c r="QHF17" s="7153"/>
      <c r="QHG17" s="7153"/>
      <c r="QHH17" s="7153"/>
      <c r="QHI17" s="7157"/>
      <c r="QHJ17" s="7157"/>
      <c r="QHK17" s="7157"/>
      <c r="QHL17" s="7157"/>
      <c r="QHM17" s="7157"/>
      <c r="QHN17" s="7157"/>
      <c r="QHO17" s="7158"/>
      <c r="QHP17" s="7158"/>
      <c r="QHQ17" s="7158"/>
      <c r="QHR17" s="7158"/>
      <c r="QHS17" s="7158"/>
      <c r="QHT17" s="7159"/>
      <c r="QHU17" s="7152" t="s">
        <v>175</v>
      </c>
      <c r="QHV17" s="7153"/>
      <c r="QHW17" s="7153"/>
      <c r="QHX17" s="7153"/>
      <c r="QHY17" s="7157"/>
      <c r="QHZ17" s="7157"/>
      <c r="QIA17" s="7157"/>
      <c r="QIB17" s="7157"/>
      <c r="QIC17" s="7157"/>
      <c r="QID17" s="7157"/>
      <c r="QIE17" s="7158"/>
      <c r="QIF17" s="7158"/>
      <c r="QIG17" s="7158"/>
      <c r="QIH17" s="7158"/>
      <c r="QII17" s="7158"/>
      <c r="QIJ17" s="7159"/>
      <c r="QIK17" s="7152" t="s">
        <v>175</v>
      </c>
      <c r="QIL17" s="7153"/>
      <c r="QIM17" s="7153"/>
      <c r="QIN17" s="7153"/>
      <c r="QIO17" s="7157"/>
      <c r="QIP17" s="7157"/>
      <c r="QIQ17" s="7157"/>
      <c r="QIR17" s="7157"/>
      <c r="QIS17" s="7157"/>
      <c r="QIT17" s="7157"/>
      <c r="QIU17" s="7158"/>
      <c r="QIV17" s="7158"/>
      <c r="QIW17" s="7158"/>
      <c r="QIX17" s="7158"/>
      <c r="QIY17" s="7158"/>
      <c r="QIZ17" s="7159"/>
      <c r="QJA17" s="7152" t="s">
        <v>175</v>
      </c>
      <c r="QJB17" s="7153"/>
      <c r="QJC17" s="7153"/>
      <c r="QJD17" s="7153"/>
      <c r="QJE17" s="7157"/>
      <c r="QJF17" s="7157"/>
      <c r="QJG17" s="7157"/>
      <c r="QJH17" s="7157"/>
      <c r="QJI17" s="7157"/>
      <c r="QJJ17" s="7157"/>
      <c r="QJK17" s="7158"/>
      <c r="QJL17" s="7158"/>
      <c r="QJM17" s="7158"/>
      <c r="QJN17" s="7158"/>
      <c r="QJO17" s="7158"/>
      <c r="QJP17" s="7159"/>
      <c r="QJQ17" s="7152" t="s">
        <v>175</v>
      </c>
      <c r="QJR17" s="7153"/>
      <c r="QJS17" s="7153"/>
      <c r="QJT17" s="7153"/>
      <c r="QJU17" s="7157"/>
      <c r="QJV17" s="7157"/>
      <c r="QJW17" s="7157"/>
      <c r="QJX17" s="7157"/>
      <c r="QJY17" s="7157"/>
      <c r="QJZ17" s="7157"/>
      <c r="QKA17" s="7158"/>
      <c r="QKB17" s="7158"/>
      <c r="QKC17" s="7158"/>
      <c r="QKD17" s="7158"/>
      <c r="QKE17" s="7158"/>
      <c r="QKF17" s="7159"/>
      <c r="QKG17" s="7152" t="s">
        <v>175</v>
      </c>
      <c r="QKH17" s="7153"/>
      <c r="QKI17" s="7153"/>
      <c r="QKJ17" s="7153"/>
      <c r="QKK17" s="7157"/>
      <c r="QKL17" s="7157"/>
      <c r="QKM17" s="7157"/>
      <c r="QKN17" s="7157"/>
      <c r="QKO17" s="7157"/>
      <c r="QKP17" s="7157"/>
      <c r="QKQ17" s="7158"/>
      <c r="QKR17" s="7158"/>
      <c r="QKS17" s="7158"/>
      <c r="QKT17" s="7158"/>
      <c r="QKU17" s="7158"/>
      <c r="QKV17" s="7159"/>
      <c r="QKW17" s="7152" t="s">
        <v>175</v>
      </c>
      <c r="QKX17" s="7153"/>
      <c r="QKY17" s="7153"/>
      <c r="QKZ17" s="7153"/>
      <c r="QLA17" s="7157"/>
      <c r="QLB17" s="7157"/>
      <c r="QLC17" s="7157"/>
      <c r="QLD17" s="7157"/>
      <c r="QLE17" s="7157"/>
      <c r="QLF17" s="7157"/>
      <c r="QLG17" s="7158"/>
      <c r="QLH17" s="7158"/>
      <c r="QLI17" s="7158"/>
      <c r="QLJ17" s="7158"/>
      <c r="QLK17" s="7158"/>
      <c r="QLL17" s="7159"/>
      <c r="QLM17" s="7152" t="s">
        <v>175</v>
      </c>
      <c r="QLN17" s="7153"/>
      <c r="QLO17" s="7153"/>
      <c r="QLP17" s="7153"/>
      <c r="QLQ17" s="7157"/>
      <c r="QLR17" s="7157"/>
      <c r="QLS17" s="7157"/>
      <c r="QLT17" s="7157"/>
      <c r="QLU17" s="7157"/>
      <c r="QLV17" s="7157"/>
      <c r="QLW17" s="7158"/>
      <c r="QLX17" s="7158"/>
      <c r="QLY17" s="7158"/>
      <c r="QLZ17" s="7158"/>
      <c r="QMA17" s="7158"/>
      <c r="QMB17" s="7159"/>
      <c r="QMC17" s="7152" t="s">
        <v>175</v>
      </c>
      <c r="QMD17" s="7153"/>
      <c r="QME17" s="7153"/>
      <c r="QMF17" s="7153"/>
      <c r="QMG17" s="7157"/>
      <c r="QMH17" s="7157"/>
      <c r="QMI17" s="7157"/>
      <c r="QMJ17" s="7157"/>
      <c r="QMK17" s="7157"/>
      <c r="QML17" s="7157"/>
      <c r="QMM17" s="7158"/>
      <c r="QMN17" s="7158"/>
      <c r="QMO17" s="7158"/>
      <c r="QMP17" s="7158"/>
      <c r="QMQ17" s="7158"/>
      <c r="QMR17" s="7159"/>
      <c r="QMS17" s="7152" t="s">
        <v>175</v>
      </c>
      <c r="QMT17" s="7153"/>
      <c r="QMU17" s="7153"/>
      <c r="QMV17" s="7153"/>
      <c r="QMW17" s="7157"/>
      <c r="QMX17" s="7157"/>
      <c r="QMY17" s="7157"/>
      <c r="QMZ17" s="7157"/>
      <c r="QNA17" s="7157"/>
      <c r="QNB17" s="7157"/>
      <c r="QNC17" s="7158"/>
      <c r="QND17" s="7158"/>
      <c r="QNE17" s="7158"/>
      <c r="QNF17" s="7158"/>
      <c r="QNG17" s="7158"/>
      <c r="QNH17" s="7159"/>
      <c r="QNI17" s="7152" t="s">
        <v>175</v>
      </c>
      <c r="QNJ17" s="7153"/>
      <c r="QNK17" s="7153"/>
      <c r="QNL17" s="7153"/>
      <c r="QNM17" s="7157"/>
      <c r="QNN17" s="7157"/>
      <c r="QNO17" s="7157"/>
      <c r="QNP17" s="7157"/>
      <c r="QNQ17" s="7157"/>
      <c r="QNR17" s="7157"/>
      <c r="QNS17" s="7158"/>
      <c r="QNT17" s="7158"/>
      <c r="QNU17" s="7158"/>
      <c r="QNV17" s="7158"/>
      <c r="QNW17" s="7158"/>
      <c r="QNX17" s="7159"/>
      <c r="QNY17" s="7152" t="s">
        <v>175</v>
      </c>
      <c r="QNZ17" s="7153"/>
      <c r="QOA17" s="7153"/>
      <c r="QOB17" s="7153"/>
      <c r="QOC17" s="7157"/>
      <c r="QOD17" s="7157"/>
      <c r="QOE17" s="7157"/>
      <c r="QOF17" s="7157"/>
      <c r="QOG17" s="7157"/>
      <c r="QOH17" s="7157"/>
      <c r="QOI17" s="7158"/>
      <c r="QOJ17" s="7158"/>
      <c r="QOK17" s="7158"/>
      <c r="QOL17" s="7158"/>
      <c r="QOM17" s="7158"/>
      <c r="QON17" s="7159"/>
      <c r="QOO17" s="7152" t="s">
        <v>175</v>
      </c>
      <c r="QOP17" s="7153"/>
      <c r="QOQ17" s="7153"/>
      <c r="QOR17" s="7153"/>
      <c r="QOS17" s="7157"/>
      <c r="QOT17" s="7157"/>
      <c r="QOU17" s="7157"/>
      <c r="QOV17" s="7157"/>
      <c r="QOW17" s="7157"/>
      <c r="QOX17" s="7157"/>
      <c r="QOY17" s="7158"/>
      <c r="QOZ17" s="7158"/>
      <c r="QPA17" s="7158"/>
      <c r="QPB17" s="7158"/>
      <c r="QPC17" s="7158"/>
      <c r="QPD17" s="7159"/>
      <c r="QPE17" s="7152" t="s">
        <v>175</v>
      </c>
      <c r="QPF17" s="7153"/>
      <c r="QPG17" s="7153"/>
      <c r="QPH17" s="7153"/>
      <c r="QPI17" s="7157"/>
      <c r="QPJ17" s="7157"/>
      <c r="QPK17" s="7157"/>
      <c r="QPL17" s="7157"/>
      <c r="QPM17" s="7157"/>
      <c r="QPN17" s="7157"/>
      <c r="QPO17" s="7158"/>
      <c r="QPP17" s="7158"/>
      <c r="QPQ17" s="7158"/>
      <c r="QPR17" s="7158"/>
      <c r="QPS17" s="7158"/>
      <c r="QPT17" s="7159"/>
      <c r="QPU17" s="7152" t="s">
        <v>175</v>
      </c>
      <c r="QPV17" s="7153"/>
      <c r="QPW17" s="7153"/>
      <c r="QPX17" s="7153"/>
      <c r="QPY17" s="7157"/>
      <c r="QPZ17" s="7157"/>
      <c r="QQA17" s="7157"/>
      <c r="QQB17" s="7157"/>
      <c r="QQC17" s="7157"/>
      <c r="QQD17" s="7157"/>
      <c r="QQE17" s="7158"/>
      <c r="QQF17" s="7158"/>
      <c r="QQG17" s="7158"/>
      <c r="QQH17" s="7158"/>
      <c r="QQI17" s="7158"/>
      <c r="QQJ17" s="7159"/>
      <c r="QQK17" s="7152" t="s">
        <v>175</v>
      </c>
      <c r="QQL17" s="7153"/>
      <c r="QQM17" s="7153"/>
      <c r="QQN17" s="7153"/>
      <c r="QQO17" s="7157"/>
      <c r="QQP17" s="7157"/>
      <c r="QQQ17" s="7157"/>
      <c r="QQR17" s="7157"/>
      <c r="QQS17" s="7157"/>
      <c r="QQT17" s="7157"/>
      <c r="QQU17" s="7158"/>
      <c r="QQV17" s="7158"/>
      <c r="QQW17" s="7158"/>
      <c r="QQX17" s="7158"/>
      <c r="QQY17" s="7158"/>
      <c r="QQZ17" s="7159"/>
      <c r="QRA17" s="7152" t="s">
        <v>175</v>
      </c>
      <c r="QRB17" s="7153"/>
      <c r="QRC17" s="7153"/>
      <c r="QRD17" s="7153"/>
      <c r="QRE17" s="7157"/>
      <c r="QRF17" s="7157"/>
      <c r="QRG17" s="7157"/>
      <c r="QRH17" s="7157"/>
      <c r="QRI17" s="7157"/>
      <c r="QRJ17" s="7157"/>
      <c r="QRK17" s="7158"/>
      <c r="QRL17" s="7158"/>
      <c r="QRM17" s="7158"/>
      <c r="QRN17" s="7158"/>
      <c r="QRO17" s="7158"/>
      <c r="QRP17" s="7159"/>
      <c r="QRQ17" s="7152" t="s">
        <v>175</v>
      </c>
      <c r="QRR17" s="7153"/>
      <c r="QRS17" s="7153"/>
      <c r="QRT17" s="7153"/>
      <c r="QRU17" s="7157"/>
      <c r="QRV17" s="7157"/>
      <c r="QRW17" s="7157"/>
      <c r="QRX17" s="7157"/>
      <c r="QRY17" s="7157"/>
      <c r="QRZ17" s="7157"/>
      <c r="QSA17" s="7158"/>
      <c r="QSB17" s="7158"/>
      <c r="QSC17" s="7158"/>
      <c r="QSD17" s="7158"/>
      <c r="QSE17" s="7158"/>
      <c r="QSF17" s="7159"/>
      <c r="QSG17" s="7152" t="s">
        <v>175</v>
      </c>
      <c r="QSH17" s="7153"/>
      <c r="QSI17" s="7153"/>
      <c r="QSJ17" s="7153"/>
      <c r="QSK17" s="7157"/>
      <c r="QSL17" s="7157"/>
      <c r="QSM17" s="7157"/>
      <c r="QSN17" s="7157"/>
      <c r="QSO17" s="7157"/>
      <c r="QSP17" s="7157"/>
      <c r="QSQ17" s="7158"/>
      <c r="QSR17" s="7158"/>
      <c r="QSS17" s="7158"/>
      <c r="QST17" s="7158"/>
      <c r="QSU17" s="7158"/>
      <c r="QSV17" s="7159"/>
      <c r="QSW17" s="7152" t="s">
        <v>175</v>
      </c>
      <c r="QSX17" s="7153"/>
      <c r="QSY17" s="7153"/>
      <c r="QSZ17" s="7153"/>
      <c r="QTA17" s="7157"/>
      <c r="QTB17" s="7157"/>
      <c r="QTC17" s="7157"/>
      <c r="QTD17" s="7157"/>
      <c r="QTE17" s="7157"/>
      <c r="QTF17" s="7157"/>
      <c r="QTG17" s="7158"/>
      <c r="QTH17" s="7158"/>
      <c r="QTI17" s="7158"/>
      <c r="QTJ17" s="7158"/>
      <c r="QTK17" s="7158"/>
      <c r="QTL17" s="7159"/>
      <c r="QTM17" s="7152" t="s">
        <v>175</v>
      </c>
      <c r="QTN17" s="7153"/>
      <c r="QTO17" s="7153"/>
      <c r="QTP17" s="7153"/>
      <c r="QTQ17" s="7157"/>
      <c r="QTR17" s="7157"/>
      <c r="QTS17" s="7157"/>
      <c r="QTT17" s="7157"/>
      <c r="QTU17" s="7157"/>
      <c r="QTV17" s="7157"/>
      <c r="QTW17" s="7158"/>
      <c r="QTX17" s="7158"/>
      <c r="QTY17" s="7158"/>
      <c r="QTZ17" s="7158"/>
      <c r="QUA17" s="7158"/>
      <c r="QUB17" s="7159"/>
      <c r="QUC17" s="7152" t="s">
        <v>175</v>
      </c>
      <c r="QUD17" s="7153"/>
      <c r="QUE17" s="7153"/>
      <c r="QUF17" s="7153"/>
      <c r="QUG17" s="7157"/>
      <c r="QUH17" s="7157"/>
      <c r="QUI17" s="7157"/>
      <c r="QUJ17" s="7157"/>
      <c r="QUK17" s="7157"/>
      <c r="QUL17" s="7157"/>
      <c r="QUM17" s="7158"/>
      <c r="QUN17" s="7158"/>
      <c r="QUO17" s="7158"/>
      <c r="QUP17" s="7158"/>
      <c r="QUQ17" s="7158"/>
      <c r="QUR17" s="7159"/>
      <c r="QUS17" s="7152" t="s">
        <v>175</v>
      </c>
      <c r="QUT17" s="7153"/>
      <c r="QUU17" s="7153"/>
      <c r="QUV17" s="7153"/>
      <c r="QUW17" s="7157"/>
      <c r="QUX17" s="7157"/>
      <c r="QUY17" s="7157"/>
      <c r="QUZ17" s="7157"/>
      <c r="QVA17" s="7157"/>
      <c r="QVB17" s="7157"/>
      <c r="QVC17" s="7158"/>
      <c r="QVD17" s="7158"/>
      <c r="QVE17" s="7158"/>
      <c r="QVF17" s="7158"/>
      <c r="QVG17" s="7158"/>
      <c r="QVH17" s="7159"/>
      <c r="QVI17" s="7152" t="s">
        <v>175</v>
      </c>
      <c r="QVJ17" s="7153"/>
      <c r="QVK17" s="7153"/>
      <c r="QVL17" s="7153"/>
      <c r="QVM17" s="7157"/>
      <c r="QVN17" s="7157"/>
      <c r="QVO17" s="7157"/>
      <c r="QVP17" s="7157"/>
      <c r="QVQ17" s="7157"/>
      <c r="QVR17" s="7157"/>
      <c r="QVS17" s="7158"/>
      <c r="QVT17" s="7158"/>
      <c r="QVU17" s="7158"/>
      <c r="QVV17" s="7158"/>
      <c r="QVW17" s="7158"/>
      <c r="QVX17" s="7159"/>
      <c r="QVY17" s="7152" t="s">
        <v>175</v>
      </c>
      <c r="QVZ17" s="7153"/>
      <c r="QWA17" s="7153"/>
      <c r="QWB17" s="7153"/>
      <c r="QWC17" s="7157"/>
      <c r="QWD17" s="7157"/>
      <c r="QWE17" s="7157"/>
      <c r="QWF17" s="7157"/>
      <c r="QWG17" s="7157"/>
      <c r="QWH17" s="7157"/>
      <c r="QWI17" s="7158"/>
      <c r="QWJ17" s="7158"/>
      <c r="QWK17" s="7158"/>
      <c r="QWL17" s="7158"/>
      <c r="QWM17" s="7158"/>
      <c r="QWN17" s="7159"/>
      <c r="QWO17" s="7152" t="s">
        <v>175</v>
      </c>
      <c r="QWP17" s="7153"/>
      <c r="QWQ17" s="7153"/>
      <c r="QWR17" s="7153"/>
      <c r="QWS17" s="7157"/>
      <c r="QWT17" s="7157"/>
      <c r="QWU17" s="7157"/>
      <c r="QWV17" s="7157"/>
      <c r="QWW17" s="7157"/>
      <c r="QWX17" s="7157"/>
      <c r="QWY17" s="7158"/>
      <c r="QWZ17" s="7158"/>
      <c r="QXA17" s="7158"/>
      <c r="QXB17" s="7158"/>
      <c r="QXC17" s="7158"/>
      <c r="QXD17" s="7159"/>
      <c r="QXE17" s="7152" t="s">
        <v>175</v>
      </c>
      <c r="QXF17" s="7153"/>
      <c r="QXG17" s="7153"/>
      <c r="QXH17" s="7153"/>
      <c r="QXI17" s="7157"/>
      <c r="QXJ17" s="7157"/>
      <c r="QXK17" s="7157"/>
      <c r="QXL17" s="7157"/>
      <c r="QXM17" s="7157"/>
      <c r="QXN17" s="7157"/>
      <c r="QXO17" s="7158"/>
      <c r="QXP17" s="7158"/>
      <c r="QXQ17" s="7158"/>
      <c r="QXR17" s="7158"/>
      <c r="QXS17" s="7158"/>
      <c r="QXT17" s="7159"/>
      <c r="QXU17" s="7152" t="s">
        <v>175</v>
      </c>
      <c r="QXV17" s="7153"/>
      <c r="QXW17" s="7153"/>
      <c r="QXX17" s="7153"/>
      <c r="QXY17" s="7157"/>
      <c r="QXZ17" s="7157"/>
      <c r="QYA17" s="7157"/>
      <c r="QYB17" s="7157"/>
      <c r="QYC17" s="7157"/>
      <c r="QYD17" s="7157"/>
      <c r="QYE17" s="7158"/>
      <c r="QYF17" s="7158"/>
      <c r="QYG17" s="7158"/>
      <c r="QYH17" s="7158"/>
      <c r="QYI17" s="7158"/>
      <c r="QYJ17" s="7159"/>
      <c r="QYK17" s="7152" t="s">
        <v>175</v>
      </c>
      <c r="QYL17" s="7153"/>
      <c r="QYM17" s="7153"/>
      <c r="QYN17" s="7153"/>
      <c r="QYO17" s="7157"/>
      <c r="QYP17" s="7157"/>
      <c r="QYQ17" s="7157"/>
      <c r="QYR17" s="7157"/>
      <c r="QYS17" s="7157"/>
      <c r="QYT17" s="7157"/>
      <c r="QYU17" s="7158"/>
      <c r="QYV17" s="7158"/>
      <c r="QYW17" s="7158"/>
      <c r="QYX17" s="7158"/>
      <c r="QYY17" s="7158"/>
      <c r="QYZ17" s="7159"/>
      <c r="QZA17" s="7152" t="s">
        <v>175</v>
      </c>
      <c r="QZB17" s="7153"/>
      <c r="QZC17" s="7153"/>
      <c r="QZD17" s="7153"/>
      <c r="QZE17" s="7157"/>
      <c r="QZF17" s="7157"/>
      <c r="QZG17" s="7157"/>
      <c r="QZH17" s="7157"/>
      <c r="QZI17" s="7157"/>
      <c r="QZJ17" s="7157"/>
      <c r="QZK17" s="7158"/>
      <c r="QZL17" s="7158"/>
      <c r="QZM17" s="7158"/>
      <c r="QZN17" s="7158"/>
      <c r="QZO17" s="7158"/>
      <c r="QZP17" s="7159"/>
      <c r="QZQ17" s="7152" t="s">
        <v>175</v>
      </c>
      <c r="QZR17" s="7153"/>
      <c r="QZS17" s="7153"/>
      <c r="QZT17" s="7153"/>
      <c r="QZU17" s="7157"/>
      <c r="QZV17" s="7157"/>
      <c r="QZW17" s="7157"/>
      <c r="QZX17" s="7157"/>
      <c r="QZY17" s="7157"/>
      <c r="QZZ17" s="7157"/>
      <c r="RAA17" s="7158"/>
      <c r="RAB17" s="7158"/>
      <c r="RAC17" s="7158"/>
      <c r="RAD17" s="7158"/>
      <c r="RAE17" s="7158"/>
      <c r="RAF17" s="7159"/>
      <c r="RAG17" s="7152" t="s">
        <v>175</v>
      </c>
      <c r="RAH17" s="7153"/>
      <c r="RAI17" s="7153"/>
      <c r="RAJ17" s="7153"/>
      <c r="RAK17" s="7157"/>
      <c r="RAL17" s="7157"/>
      <c r="RAM17" s="7157"/>
      <c r="RAN17" s="7157"/>
      <c r="RAO17" s="7157"/>
      <c r="RAP17" s="7157"/>
      <c r="RAQ17" s="7158"/>
      <c r="RAR17" s="7158"/>
      <c r="RAS17" s="7158"/>
      <c r="RAT17" s="7158"/>
      <c r="RAU17" s="7158"/>
      <c r="RAV17" s="7159"/>
      <c r="RAW17" s="7152" t="s">
        <v>175</v>
      </c>
      <c r="RAX17" s="7153"/>
      <c r="RAY17" s="7153"/>
      <c r="RAZ17" s="7153"/>
      <c r="RBA17" s="7157"/>
      <c r="RBB17" s="7157"/>
      <c r="RBC17" s="7157"/>
      <c r="RBD17" s="7157"/>
      <c r="RBE17" s="7157"/>
      <c r="RBF17" s="7157"/>
      <c r="RBG17" s="7158"/>
      <c r="RBH17" s="7158"/>
      <c r="RBI17" s="7158"/>
      <c r="RBJ17" s="7158"/>
      <c r="RBK17" s="7158"/>
      <c r="RBL17" s="7159"/>
      <c r="RBM17" s="7152" t="s">
        <v>175</v>
      </c>
      <c r="RBN17" s="7153"/>
      <c r="RBO17" s="7153"/>
      <c r="RBP17" s="7153"/>
      <c r="RBQ17" s="7157"/>
      <c r="RBR17" s="7157"/>
      <c r="RBS17" s="7157"/>
      <c r="RBT17" s="7157"/>
      <c r="RBU17" s="7157"/>
      <c r="RBV17" s="7157"/>
      <c r="RBW17" s="7158"/>
      <c r="RBX17" s="7158"/>
      <c r="RBY17" s="7158"/>
      <c r="RBZ17" s="7158"/>
      <c r="RCA17" s="7158"/>
      <c r="RCB17" s="7159"/>
      <c r="RCC17" s="7152" t="s">
        <v>175</v>
      </c>
      <c r="RCD17" s="7153"/>
      <c r="RCE17" s="7153"/>
      <c r="RCF17" s="7153"/>
      <c r="RCG17" s="7157"/>
      <c r="RCH17" s="7157"/>
      <c r="RCI17" s="7157"/>
      <c r="RCJ17" s="7157"/>
      <c r="RCK17" s="7157"/>
      <c r="RCL17" s="7157"/>
      <c r="RCM17" s="7158"/>
      <c r="RCN17" s="7158"/>
      <c r="RCO17" s="7158"/>
      <c r="RCP17" s="7158"/>
      <c r="RCQ17" s="7158"/>
      <c r="RCR17" s="7159"/>
      <c r="RCS17" s="7152" t="s">
        <v>175</v>
      </c>
      <c r="RCT17" s="7153"/>
      <c r="RCU17" s="7153"/>
      <c r="RCV17" s="7153"/>
      <c r="RCW17" s="7157"/>
      <c r="RCX17" s="7157"/>
      <c r="RCY17" s="7157"/>
      <c r="RCZ17" s="7157"/>
      <c r="RDA17" s="7157"/>
      <c r="RDB17" s="7157"/>
      <c r="RDC17" s="7158"/>
      <c r="RDD17" s="7158"/>
      <c r="RDE17" s="7158"/>
      <c r="RDF17" s="7158"/>
      <c r="RDG17" s="7158"/>
      <c r="RDH17" s="7159"/>
      <c r="RDI17" s="7152" t="s">
        <v>175</v>
      </c>
      <c r="RDJ17" s="7153"/>
      <c r="RDK17" s="7153"/>
      <c r="RDL17" s="7153"/>
      <c r="RDM17" s="7157"/>
      <c r="RDN17" s="7157"/>
      <c r="RDO17" s="7157"/>
      <c r="RDP17" s="7157"/>
      <c r="RDQ17" s="7157"/>
      <c r="RDR17" s="7157"/>
      <c r="RDS17" s="7158"/>
      <c r="RDT17" s="7158"/>
      <c r="RDU17" s="7158"/>
      <c r="RDV17" s="7158"/>
      <c r="RDW17" s="7158"/>
      <c r="RDX17" s="7159"/>
      <c r="RDY17" s="7152" t="s">
        <v>175</v>
      </c>
      <c r="RDZ17" s="7153"/>
      <c r="REA17" s="7153"/>
      <c r="REB17" s="7153"/>
      <c r="REC17" s="7157"/>
      <c r="RED17" s="7157"/>
      <c r="REE17" s="7157"/>
      <c r="REF17" s="7157"/>
      <c r="REG17" s="7157"/>
      <c r="REH17" s="7157"/>
      <c r="REI17" s="7158"/>
      <c r="REJ17" s="7158"/>
      <c r="REK17" s="7158"/>
      <c r="REL17" s="7158"/>
      <c r="REM17" s="7158"/>
      <c r="REN17" s="7159"/>
      <c r="REO17" s="7152" t="s">
        <v>175</v>
      </c>
      <c r="REP17" s="7153"/>
      <c r="REQ17" s="7153"/>
      <c r="RER17" s="7153"/>
      <c r="RES17" s="7157"/>
      <c r="RET17" s="7157"/>
      <c r="REU17" s="7157"/>
      <c r="REV17" s="7157"/>
      <c r="REW17" s="7157"/>
      <c r="REX17" s="7157"/>
      <c r="REY17" s="7158"/>
      <c r="REZ17" s="7158"/>
      <c r="RFA17" s="7158"/>
      <c r="RFB17" s="7158"/>
      <c r="RFC17" s="7158"/>
      <c r="RFD17" s="7159"/>
      <c r="RFE17" s="7152" t="s">
        <v>175</v>
      </c>
      <c r="RFF17" s="7153"/>
      <c r="RFG17" s="7153"/>
      <c r="RFH17" s="7153"/>
      <c r="RFI17" s="7157"/>
      <c r="RFJ17" s="7157"/>
      <c r="RFK17" s="7157"/>
      <c r="RFL17" s="7157"/>
      <c r="RFM17" s="7157"/>
      <c r="RFN17" s="7157"/>
      <c r="RFO17" s="7158"/>
      <c r="RFP17" s="7158"/>
      <c r="RFQ17" s="7158"/>
      <c r="RFR17" s="7158"/>
      <c r="RFS17" s="7158"/>
      <c r="RFT17" s="7159"/>
      <c r="RFU17" s="7152" t="s">
        <v>175</v>
      </c>
      <c r="RFV17" s="7153"/>
      <c r="RFW17" s="7153"/>
      <c r="RFX17" s="7153"/>
      <c r="RFY17" s="7157"/>
      <c r="RFZ17" s="7157"/>
      <c r="RGA17" s="7157"/>
      <c r="RGB17" s="7157"/>
      <c r="RGC17" s="7157"/>
      <c r="RGD17" s="7157"/>
      <c r="RGE17" s="7158"/>
      <c r="RGF17" s="7158"/>
      <c r="RGG17" s="7158"/>
      <c r="RGH17" s="7158"/>
      <c r="RGI17" s="7158"/>
      <c r="RGJ17" s="7159"/>
      <c r="RGK17" s="7152" t="s">
        <v>175</v>
      </c>
      <c r="RGL17" s="7153"/>
      <c r="RGM17" s="7153"/>
      <c r="RGN17" s="7153"/>
      <c r="RGO17" s="7157"/>
      <c r="RGP17" s="7157"/>
      <c r="RGQ17" s="7157"/>
      <c r="RGR17" s="7157"/>
      <c r="RGS17" s="7157"/>
      <c r="RGT17" s="7157"/>
      <c r="RGU17" s="7158"/>
      <c r="RGV17" s="7158"/>
      <c r="RGW17" s="7158"/>
      <c r="RGX17" s="7158"/>
      <c r="RGY17" s="7158"/>
      <c r="RGZ17" s="7159"/>
      <c r="RHA17" s="7152" t="s">
        <v>175</v>
      </c>
      <c r="RHB17" s="7153"/>
      <c r="RHC17" s="7153"/>
      <c r="RHD17" s="7153"/>
      <c r="RHE17" s="7157"/>
      <c r="RHF17" s="7157"/>
      <c r="RHG17" s="7157"/>
      <c r="RHH17" s="7157"/>
      <c r="RHI17" s="7157"/>
      <c r="RHJ17" s="7157"/>
      <c r="RHK17" s="7158"/>
      <c r="RHL17" s="7158"/>
      <c r="RHM17" s="7158"/>
      <c r="RHN17" s="7158"/>
      <c r="RHO17" s="7158"/>
      <c r="RHP17" s="7159"/>
      <c r="RHQ17" s="7152" t="s">
        <v>175</v>
      </c>
      <c r="RHR17" s="7153"/>
      <c r="RHS17" s="7153"/>
      <c r="RHT17" s="7153"/>
      <c r="RHU17" s="7157"/>
      <c r="RHV17" s="7157"/>
      <c r="RHW17" s="7157"/>
      <c r="RHX17" s="7157"/>
      <c r="RHY17" s="7157"/>
      <c r="RHZ17" s="7157"/>
      <c r="RIA17" s="7158"/>
      <c r="RIB17" s="7158"/>
      <c r="RIC17" s="7158"/>
      <c r="RID17" s="7158"/>
      <c r="RIE17" s="7158"/>
      <c r="RIF17" s="7159"/>
      <c r="RIG17" s="7152" t="s">
        <v>175</v>
      </c>
      <c r="RIH17" s="7153"/>
      <c r="RII17" s="7153"/>
      <c r="RIJ17" s="7153"/>
      <c r="RIK17" s="7157"/>
      <c r="RIL17" s="7157"/>
      <c r="RIM17" s="7157"/>
      <c r="RIN17" s="7157"/>
      <c r="RIO17" s="7157"/>
      <c r="RIP17" s="7157"/>
      <c r="RIQ17" s="7158"/>
      <c r="RIR17" s="7158"/>
      <c r="RIS17" s="7158"/>
      <c r="RIT17" s="7158"/>
      <c r="RIU17" s="7158"/>
      <c r="RIV17" s="7159"/>
      <c r="RIW17" s="7152" t="s">
        <v>175</v>
      </c>
      <c r="RIX17" s="7153"/>
      <c r="RIY17" s="7153"/>
      <c r="RIZ17" s="7153"/>
      <c r="RJA17" s="7157"/>
      <c r="RJB17" s="7157"/>
      <c r="RJC17" s="7157"/>
      <c r="RJD17" s="7157"/>
      <c r="RJE17" s="7157"/>
      <c r="RJF17" s="7157"/>
      <c r="RJG17" s="7158"/>
      <c r="RJH17" s="7158"/>
      <c r="RJI17" s="7158"/>
      <c r="RJJ17" s="7158"/>
      <c r="RJK17" s="7158"/>
      <c r="RJL17" s="7159"/>
      <c r="RJM17" s="7152" t="s">
        <v>175</v>
      </c>
      <c r="RJN17" s="7153"/>
      <c r="RJO17" s="7153"/>
      <c r="RJP17" s="7153"/>
      <c r="RJQ17" s="7157"/>
      <c r="RJR17" s="7157"/>
      <c r="RJS17" s="7157"/>
      <c r="RJT17" s="7157"/>
      <c r="RJU17" s="7157"/>
      <c r="RJV17" s="7157"/>
      <c r="RJW17" s="7158"/>
      <c r="RJX17" s="7158"/>
      <c r="RJY17" s="7158"/>
      <c r="RJZ17" s="7158"/>
      <c r="RKA17" s="7158"/>
      <c r="RKB17" s="7159"/>
      <c r="RKC17" s="7152" t="s">
        <v>175</v>
      </c>
      <c r="RKD17" s="7153"/>
      <c r="RKE17" s="7153"/>
      <c r="RKF17" s="7153"/>
      <c r="RKG17" s="7157"/>
      <c r="RKH17" s="7157"/>
      <c r="RKI17" s="7157"/>
      <c r="RKJ17" s="7157"/>
      <c r="RKK17" s="7157"/>
      <c r="RKL17" s="7157"/>
      <c r="RKM17" s="7158"/>
      <c r="RKN17" s="7158"/>
      <c r="RKO17" s="7158"/>
      <c r="RKP17" s="7158"/>
      <c r="RKQ17" s="7158"/>
      <c r="RKR17" s="7159"/>
      <c r="RKS17" s="7152" t="s">
        <v>175</v>
      </c>
      <c r="RKT17" s="7153"/>
      <c r="RKU17" s="7153"/>
      <c r="RKV17" s="7153"/>
      <c r="RKW17" s="7157"/>
      <c r="RKX17" s="7157"/>
      <c r="RKY17" s="7157"/>
      <c r="RKZ17" s="7157"/>
      <c r="RLA17" s="7157"/>
      <c r="RLB17" s="7157"/>
      <c r="RLC17" s="7158"/>
      <c r="RLD17" s="7158"/>
      <c r="RLE17" s="7158"/>
      <c r="RLF17" s="7158"/>
      <c r="RLG17" s="7158"/>
      <c r="RLH17" s="7159"/>
      <c r="RLI17" s="7152" t="s">
        <v>175</v>
      </c>
      <c r="RLJ17" s="7153"/>
      <c r="RLK17" s="7153"/>
      <c r="RLL17" s="7153"/>
      <c r="RLM17" s="7157"/>
      <c r="RLN17" s="7157"/>
      <c r="RLO17" s="7157"/>
      <c r="RLP17" s="7157"/>
      <c r="RLQ17" s="7157"/>
      <c r="RLR17" s="7157"/>
      <c r="RLS17" s="7158"/>
      <c r="RLT17" s="7158"/>
      <c r="RLU17" s="7158"/>
      <c r="RLV17" s="7158"/>
      <c r="RLW17" s="7158"/>
      <c r="RLX17" s="7159"/>
      <c r="RLY17" s="7152" t="s">
        <v>175</v>
      </c>
      <c r="RLZ17" s="7153"/>
      <c r="RMA17" s="7153"/>
      <c r="RMB17" s="7153"/>
      <c r="RMC17" s="7157"/>
      <c r="RMD17" s="7157"/>
      <c r="RME17" s="7157"/>
      <c r="RMF17" s="7157"/>
      <c r="RMG17" s="7157"/>
      <c r="RMH17" s="7157"/>
      <c r="RMI17" s="7158"/>
      <c r="RMJ17" s="7158"/>
      <c r="RMK17" s="7158"/>
      <c r="RML17" s="7158"/>
      <c r="RMM17" s="7158"/>
      <c r="RMN17" s="7159"/>
      <c r="RMO17" s="7152" t="s">
        <v>175</v>
      </c>
      <c r="RMP17" s="7153"/>
      <c r="RMQ17" s="7153"/>
      <c r="RMR17" s="7153"/>
      <c r="RMS17" s="7157"/>
      <c r="RMT17" s="7157"/>
      <c r="RMU17" s="7157"/>
      <c r="RMV17" s="7157"/>
      <c r="RMW17" s="7157"/>
      <c r="RMX17" s="7157"/>
      <c r="RMY17" s="7158"/>
      <c r="RMZ17" s="7158"/>
      <c r="RNA17" s="7158"/>
      <c r="RNB17" s="7158"/>
      <c r="RNC17" s="7158"/>
      <c r="RND17" s="7159"/>
      <c r="RNE17" s="7152" t="s">
        <v>175</v>
      </c>
      <c r="RNF17" s="7153"/>
      <c r="RNG17" s="7153"/>
      <c r="RNH17" s="7153"/>
      <c r="RNI17" s="7157"/>
      <c r="RNJ17" s="7157"/>
      <c r="RNK17" s="7157"/>
      <c r="RNL17" s="7157"/>
      <c r="RNM17" s="7157"/>
      <c r="RNN17" s="7157"/>
      <c r="RNO17" s="7158"/>
      <c r="RNP17" s="7158"/>
      <c r="RNQ17" s="7158"/>
      <c r="RNR17" s="7158"/>
      <c r="RNS17" s="7158"/>
      <c r="RNT17" s="7159"/>
      <c r="RNU17" s="7152" t="s">
        <v>175</v>
      </c>
      <c r="RNV17" s="7153"/>
      <c r="RNW17" s="7153"/>
      <c r="RNX17" s="7153"/>
      <c r="RNY17" s="7157"/>
      <c r="RNZ17" s="7157"/>
      <c r="ROA17" s="7157"/>
      <c r="ROB17" s="7157"/>
      <c r="ROC17" s="7157"/>
      <c r="ROD17" s="7157"/>
      <c r="ROE17" s="7158"/>
      <c r="ROF17" s="7158"/>
      <c r="ROG17" s="7158"/>
      <c r="ROH17" s="7158"/>
      <c r="ROI17" s="7158"/>
      <c r="ROJ17" s="7159"/>
      <c r="ROK17" s="7152" t="s">
        <v>175</v>
      </c>
      <c r="ROL17" s="7153"/>
      <c r="ROM17" s="7153"/>
      <c r="RON17" s="7153"/>
      <c r="ROO17" s="7157"/>
      <c r="ROP17" s="7157"/>
      <c r="ROQ17" s="7157"/>
      <c r="ROR17" s="7157"/>
      <c r="ROS17" s="7157"/>
      <c r="ROT17" s="7157"/>
      <c r="ROU17" s="7158"/>
      <c r="ROV17" s="7158"/>
      <c r="ROW17" s="7158"/>
      <c r="ROX17" s="7158"/>
      <c r="ROY17" s="7158"/>
      <c r="ROZ17" s="7159"/>
      <c r="RPA17" s="7152" t="s">
        <v>175</v>
      </c>
      <c r="RPB17" s="7153"/>
      <c r="RPC17" s="7153"/>
      <c r="RPD17" s="7153"/>
      <c r="RPE17" s="7157"/>
      <c r="RPF17" s="7157"/>
      <c r="RPG17" s="7157"/>
      <c r="RPH17" s="7157"/>
      <c r="RPI17" s="7157"/>
      <c r="RPJ17" s="7157"/>
      <c r="RPK17" s="7158"/>
      <c r="RPL17" s="7158"/>
      <c r="RPM17" s="7158"/>
      <c r="RPN17" s="7158"/>
      <c r="RPO17" s="7158"/>
      <c r="RPP17" s="7159"/>
      <c r="RPQ17" s="7152" t="s">
        <v>175</v>
      </c>
      <c r="RPR17" s="7153"/>
      <c r="RPS17" s="7153"/>
      <c r="RPT17" s="7153"/>
      <c r="RPU17" s="7157"/>
      <c r="RPV17" s="7157"/>
      <c r="RPW17" s="7157"/>
      <c r="RPX17" s="7157"/>
      <c r="RPY17" s="7157"/>
      <c r="RPZ17" s="7157"/>
      <c r="RQA17" s="7158"/>
      <c r="RQB17" s="7158"/>
      <c r="RQC17" s="7158"/>
      <c r="RQD17" s="7158"/>
      <c r="RQE17" s="7158"/>
      <c r="RQF17" s="7159"/>
      <c r="RQG17" s="7152" t="s">
        <v>175</v>
      </c>
      <c r="RQH17" s="7153"/>
      <c r="RQI17" s="7153"/>
      <c r="RQJ17" s="7153"/>
      <c r="RQK17" s="7157"/>
      <c r="RQL17" s="7157"/>
      <c r="RQM17" s="7157"/>
      <c r="RQN17" s="7157"/>
      <c r="RQO17" s="7157"/>
      <c r="RQP17" s="7157"/>
      <c r="RQQ17" s="7158"/>
      <c r="RQR17" s="7158"/>
      <c r="RQS17" s="7158"/>
      <c r="RQT17" s="7158"/>
      <c r="RQU17" s="7158"/>
      <c r="RQV17" s="7159"/>
      <c r="RQW17" s="7152" t="s">
        <v>175</v>
      </c>
      <c r="RQX17" s="7153"/>
      <c r="RQY17" s="7153"/>
      <c r="RQZ17" s="7153"/>
      <c r="RRA17" s="7157"/>
      <c r="RRB17" s="7157"/>
      <c r="RRC17" s="7157"/>
      <c r="RRD17" s="7157"/>
      <c r="RRE17" s="7157"/>
      <c r="RRF17" s="7157"/>
      <c r="RRG17" s="7158"/>
      <c r="RRH17" s="7158"/>
      <c r="RRI17" s="7158"/>
      <c r="RRJ17" s="7158"/>
      <c r="RRK17" s="7158"/>
      <c r="RRL17" s="7159"/>
      <c r="RRM17" s="7152" t="s">
        <v>175</v>
      </c>
      <c r="RRN17" s="7153"/>
      <c r="RRO17" s="7153"/>
      <c r="RRP17" s="7153"/>
      <c r="RRQ17" s="7157"/>
      <c r="RRR17" s="7157"/>
      <c r="RRS17" s="7157"/>
      <c r="RRT17" s="7157"/>
      <c r="RRU17" s="7157"/>
      <c r="RRV17" s="7157"/>
      <c r="RRW17" s="7158"/>
      <c r="RRX17" s="7158"/>
      <c r="RRY17" s="7158"/>
      <c r="RRZ17" s="7158"/>
      <c r="RSA17" s="7158"/>
      <c r="RSB17" s="7159"/>
      <c r="RSC17" s="7152" t="s">
        <v>175</v>
      </c>
      <c r="RSD17" s="7153"/>
      <c r="RSE17" s="7153"/>
      <c r="RSF17" s="7153"/>
      <c r="RSG17" s="7157"/>
      <c r="RSH17" s="7157"/>
      <c r="RSI17" s="7157"/>
      <c r="RSJ17" s="7157"/>
      <c r="RSK17" s="7157"/>
      <c r="RSL17" s="7157"/>
      <c r="RSM17" s="7158"/>
      <c r="RSN17" s="7158"/>
      <c r="RSO17" s="7158"/>
      <c r="RSP17" s="7158"/>
      <c r="RSQ17" s="7158"/>
      <c r="RSR17" s="7159"/>
      <c r="RSS17" s="7152" t="s">
        <v>175</v>
      </c>
      <c r="RST17" s="7153"/>
      <c r="RSU17" s="7153"/>
      <c r="RSV17" s="7153"/>
      <c r="RSW17" s="7157"/>
      <c r="RSX17" s="7157"/>
      <c r="RSY17" s="7157"/>
      <c r="RSZ17" s="7157"/>
      <c r="RTA17" s="7157"/>
      <c r="RTB17" s="7157"/>
      <c r="RTC17" s="7158"/>
      <c r="RTD17" s="7158"/>
      <c r="RTE17" s="7158"/>
      <c r="RTF17" s="7158"/>
      <c r="RTG17" s="7158"/>
      <c r="RTH17" s="7159"/>
      <c r="RTI17" s="7152" t="s">
        <v>175</v>
      </c>
      <c r="RTJ17" s="7153"/>
      <c r="RTK17" s="7153"/>
      <c r="RTL17" s="7153"/>
      <c r="RTM17" s="7157"/>
      <c r="RTN17" s="7157"/>
      <c r="RTO17" s="7157"/>
      <c r="RTP17" s="7157"/>
      <c r="RTQ17" s="7157"/>
      <c r="RTR17" s="7157"/>
      <c r="RTS17" s="7158"/>
      <c r="RTT17" s="7158"/>
      <c r="RTU17" s="7158"/>
      <c r="RTV17" s="7158"/>
      <c r="RTW17" s="7158"/>
      <c r="RTX17" s="7159"/>
      <c r="RTY17" s="7152" t="s">
        <v>175</v>
      </c>
      <c r="RTZ17" s="7153"/>
      <c r="RUA17" s="7153"/>
      <c r="RUB17" s="7153"/>
      <c r="RUC17" s="7157"/>
      <c r="RUD17" s="7157"/>
      <c r="RUE17" s="7157"/>
      <c r="RUF17" s="7157"/>
      <c r="RUG17" s="7157"/>
      <c r="RUH17" s="7157"/>
      <c r="RUI17" s="7158"/>
      <c r="RUJ17" s="7158"/>
      <c r="RUK17" s="7158"/>
      <c r="RUL17" s="7158"/>
      <c r="RUM17" s="7158"/>
      <c r="RUN17" s="7159"/>
      <c r="RUO17" s="7152" t="s">
        <v>175</v>
      </c>
      <c r="RUP17" s="7153"/>
      <c r="RUQ17" s="7153"/>
      <c r="RUR17" s="7153"/>
      <c r="RUS17" s="7157"/>
      <c r="RUT17" s="7157"/>
      <c r="RUU17" s="7157"/>
      <c r="RUV17" s="7157"/>
      <c r="RUW17" s="7157"/>
      <c r="RUX17" s="7157"/>
      <c r="RUY17" s="7158"/>
      <c r="RUZ17" s="7158"/>
      <c r="RVA17" s="7158"/>
      <c r="RVB17" s="7158"/>
      <c r="RVC17" s="7158"/>
      <c r="RVD17" s="7159"/>
      <c r="RVE17" s="7152" t="s">
        <v>175</v>
      </c>
      <c r="RVF17" s="7153"/>
      <c r="RVG17" s="7153"/>
      <c r="RVH17" s="7153"/>
      <c r="RVI17" s="7157"/>
      <c r="RVJ17" s="7157"/>
      <c r="RVK17" s="7157"/>
      <c r="RVL17" s="7157"/>
      <c r="RVM17" s="7157"/>
      <c r="RVN17" s="7157"/>
      <c r="RVO17" s="7158"/>
      <c r="RVP17" s="7158"/>
      <c r="RVQ17" s="7158"/>
      <c r="RVR17" s="7158"/>
      <c r="RVS17" s="7158"/>
      <c r="RVT17" s="7159"/>
      <c r="RVU17" s="7152" t="s">
        <v>175</v>
      </c>
      <c r="RVV17" s="7153"/>
      <c r="RVW17" s="7153"/>
      <c r="RVX17" s="7153"/>
      <c r="RVY17" s="7157"/>
      <c r="RVZ17" s="7157"/>
      <c r="RWA17" s="7157"/>
      <c r="RWB17" s="7157"/>
      <c r="RWC17" s="7157"/>
      <c r="RWD17" s="7157"/>
      <c r="RWE17" s="7158"/>
      <c r="RWF17" s="7158"/>
      <c r="RWG17" s="7158"/>
      <c r="RWH17" s="7158"/>
      <c r="RWI17" s="7158"/>
      <c r="RWJ17" s="7159"/>
      <c r="RWK17" s="7152" t="s">
        <v>175</v>
      </c>
      <c r="RWL17" s="7153"/>
      <c r="RWM17" s="7153"/>
      <c r="RWN17" s="7153"/>
      <c r="RWO17" s="7157"/>
      <c r="RWP17" s="7157"/>
      <c r="RWQ17" s="7157"/>
      <c r="RWR17" s="7157"/>
      <c r="RWS17" s="7157"/>
      <c r="RWT17" s="7157"/>
      <c r="RWU17" s="7158"/>
      <c r="RWV17" s="7158"/>
      <c r="RWW17" s="7158"/>
      <c r="RWX17" s="7158"/>
      <c r="RWY17" s="7158"/>
      <c r="RWZ17" s="7159"/>
      <c r="RXA17" s="7152" t="s">
        <v>175</v>
      </c>
      <c r="RXB17" s="7153"/>
      <c r="RXC17" s="7153"/>
      <c r="RXD17" s="7153"/>
      <c r="RXE17" s="7157"/>
      <c r="RXF17" s="7157"/>
      <c r="RXG17" s="7157"/>
      <c r="RXH17" s="7157"/>
      <c r="RXI17" s="7157"/>
      <c r="RXJ17" s="7157"/>
      <c r="RXK17" s="7158"/>
      <c r="RXL17" s="7158"/>
      <c r="RXM17" s="7158"/>
      <c r="RXN17" s="7158"/>
      <c r="RXO17" s="7158"/>
      <c r="RXP17" s="7159"/>
      <c r="RXQ17" s="7152" t="s">
        <v>175</v>
      </c>
      <c r="RXR17" s="7153"/>
      <c r="RXS17" s="7153"/>
      <c r="RXT17" s="7153"/>
      <c r="RXU17" s="7157"/>
      <c r="RXV17" s="7157"/>
      <c r="RXW17" s="7157"/>
      <c r="RXX17" s="7157"/>
      <c r="RXY17" s="7157"/>
      <c r="RXZ17" s="7157"/>
      <c r="RYA17" s="7158"/>
      <c r="RYB17" s="7158"/>
      <c r="RYC17" s="7158"/>
      <c r="RYD17" s="7158"/>
      <c r="RYE17" s="7158"/>
      <c r="RYF17" s="7159"/>
      <c r="RYG17" s="7152" t="s">
        <v>175</v>
      </c>
      <c r="RYH17" s="7153"/>
      <c r="RYI17" s="7153"/>
      <c r="RYJ17" s="7153"/>
      <c r="RYK17" s="7157"/>
      <c r="RYL17" s="7157"/>
      <c r="RYM17" s="7157"/>
      <c r="RYN17" s="7157"/>
      <c r="RYO17" s="7157"/>
      <c r="RYP17" s="7157"/>
      <c r="RYQ17" s="7158"/>
      <c r="RYR17" s="7158"/>
      <c r="RYS17" s="7158"/>
      <c r="RYT17" s="7158"/>
      <c r="RYU17" s="7158"/>
      <c r="RYV17" s="7159"/>
      <c r="RYW17" s="7152" t="s">
        <v>175</v>
      </c>
      <c r="RYX17" s="7153"/>
      <c r="RYY17" s="7153"/>
      <c r="RYZ17" s="7153"/>
      <c r="RZA17" s="7157"/>
      <c r="RZB17" s="7157"/>
      <c r="RZC17" s="7157"/>
      <c r="RZD17" s="7157"/>
      <c r="RZE17" s="7157"/>
      <c r="RZF17" s="7157"/>
      <c r="RZG17" s="7158"/>
      <c r="RZH17" s="7158"/>
      <c r="RZI17" s="7158"/>
      <c r="RZJ17" s="7158"/>
      <c r="RZK17" s="7158"/>
      <c r="RZL17" s="7159"/>
      <c r="RZM17" s="7152" t="s">
        <v>175</v>
      </c>
      <c r="RZN17" s="7153"/>
      <c r="RZO17" s="7153"/>
      <c r="RZP17" s="7153"/>
      <c r="RZQ17" s="7157"/>
      <c r="RZR17" s="7157"/>
      <c r="RZS17" s="7157"/>
      <c r="RZT17" s="7157"/>
      <c r="RZU17" s="7157"/>
      <c r="RZV17" s="7157"/>
      <c r="RZW17" s="7158"/>
      <c r="RZX17" s="7158"/>
      <c r="RZY17" s="7158"/>
      <c r="RZZ17" s="7158"/>
      <c r="SAA17" s="7158"/>
      <c r="SAB17" s="7159"/>
      <c r="SAC17" s="7152" t="s">
        <v>175</v>
      </c>
      <c r="SAD17" s="7153"/>
      <c r="SAE17" s="7153"/>
      <c r="SAF17" s="7153"/>
      <c r="SAG17" s="7157"/>
      <c r="SAH17" s="7157"/>
      <c r="SAI17" s="7157"/>
      <c r="SAJ17" s="7157"/>
      <c r="SAK17" s="7157"/>
      <c r="SAL17" s="7157"/>
      <c r="SAM17" s="7158"/>
      <c r="SAN17" s="7158"/>
      <c r="SAO17" s="7158"/>
      <c r="SAP17" s="7158"/>
      <c r="SAQ17" s="7158"/>
      <c r="SAR17" s="7159"/>
      <c r="SAS17" s="7152" t="s">
        <v>175</v>
      </c>
      <c r="SAT17" s="7153"/>
      <c r="SAU17" s="7153"/>
      <c r="SAV17" s="7153"/>
      <c r="SAW17" s="7157"/>
      <c r="SAX17" s="7157"/>
      <c r="SAY17" s="7157"/>
      <c r="SAZ17" s="7157"/>
      <c r="SBA17" s="7157"/>
      <c r="SBB17" s="7157"/>
      <c r="SBC17" s="7158"/>
      <c r="SBD17" s="7158"/>
      <c r="SBE17" s="7158"/>
      <c r="SBF17" s="7158"/>
      <c r="SBG17" s="7158"/>
      <c r="SBH17" s="7159"/>
      <c r="SBI17" s="7152" t="s">
        <v>175</v>
      </c>
      <c r="SBJ17" s="7153"/>
      <c r="SBK17" s="7153"/>
      <c r="SBL17" s="7153"/>
      <c r="SBM17" s="7157"/>
      <c r="SBN17" s="7157"/>
      <c r="SBO17" s="7157"/>
      <c r="SBP17" s="7157"/>
      <c r="SBQ17" s="7157"/>
      <c r="SBR17" s="7157"/>
      <c r="SBS17" s="7158"/>
      <c r="SBT17" s="7158"/>
      <c r="SBU17" s="7158"/>
      <c r="SBV17" s="7158"/>
      <c r="SBW17" s="7158"/>
      <c r="SBX17" s="7159"/>
      <c r="SBY17" s="7152" t="s">
        <v>175</v>
      </c>
      <c r="SBZ17" s="7153"/>
      <c r="SCA17" s="7153"/>
      <c r="SCB17" s="7153"/>
      <c r="SCC17" s="7157"/>
      <c r="SCD17" s="7157"/>
      <c r="SCE17" s="7157"/>
      <c r="SCF17" s="7157"/>
      <c r="SCG17" s="7157"/>
      <c r="SCH17" s="7157"/>
      <c r="SCI17" s="7158"/>
      <c r="SCJ17" s="7158"/>
      <c r="SCK17" s="7158"/>
      <c r="SCL17" s="7158"/>
      <c r="SCM17" s="7158"/>
      <c r="SCN17" s="7159"/>
      <c r="SCO17" s="7152" t="s">
        <v>175</v>
      </c>
      <c r="SCP17" s="7153"/>
      <c r="SCQ17" s="7153"/>
      <c r="SCR17" s="7153"/>
      <c r="SCS17" s="7157"/>
      <c r="SCT17" s="7157"/>
      <c r="SCU17" s="7157"/>
      <c r="SCV17" s="7157"/>
      <c r="SCW17" s="7157"/>
      <c r="SCX17" s="7157"/>
      <c r="SCY17" s="7158"/>
      <c r="SCZ17" s="7158"/>
      <c r="SDA17" s="7158"/>
      <c r="SDB17" s="7158"/>
      <c r="SDC17" s="7158"/>
      <c r="SDD17" s="7159"/>
      <c r="SDE17" s="7152" t="s">
        <v>175</v>
      </c>
      <c r="SDF17" s="7153"/>
      <c r="SDG17" s="7153"/>
      <c r="SDH17" s="7153"/>
      <c r="SDI17" s="7157"/>
      <c r="SDJ17" s="7157"/>
      <c r="SDK17" s="7157"/>
      <c r="SDL17" s="7157"/>
      <c r="SDM17" s="7157"/>
      <c r="SDN17" s="7157"/>
      <c r="SDO17" s="7158"/>
      <c r="SDP17" s="7158"/>
      <c r="SDQ17" s="7158"/>
      <c r="SDR17" s="7158"/>
      <c r="SDS17" s="7158"/>
      <c r="SDT17" s="7159"/>
      <c r="SDU17" s="7152" t="s">
        <v>175</v>
      </c>
      <c r="SDV17" s="7153"/>
      <c r="SDW17" s="7153"/>
      <c r="SDX17" s="7153"/>
      <c r="SDY17" s="7157"/>
      <c r="SDZ17" s="7157"/>
      <c r="SEA17" s="7157"/>
      <c r="SEB17" s="7157"/>
      <c r="SEC17" s="7157"/>
      <c r="SED17" s="7157"/>
      <c r="SEE17" s="7158"/>
      <c r="SEF17" s="7158"/>
      <c r="SEG17" s="7158"/>
      <c r="SEH17" s="7158"/>
      <c r="SEI17" s="7158"/>
      <c r="SEJ17" s="7159"/>
      <c r="SEK17" s="7152" t="s">
        <v>175</v>
      </c>
      <c r="SEL17" s="7153"/>
      <c r="SEM17" s="7153"/>
      <c r="SEN17" s="7153"/>
      <c r="SEO17" s="7157"/>
      <c r="SEP17" s="7157"/>
      <c r="SEQ17" s="7157"/>
      <c r="SER17" s="7157"/>
      <c r="SES17" s="7157"/>
      <c r="SET17" s="7157"/>
      <c r="SEU17" s="7158"/>
      <c r="SEV17" s="7158"/>
      <c r="SEW17" s="7158"/>
      <c r="SEX17" s="7158"/>
      <c r="SEY17" s="7158"/>
      <c r="SEZ17" s="7159"/>
      <c r="SFA17" s="7152" t="s">
        <v>175</v>
      </c>
      <c r="SFB17" s="7153"/>
      <c r="SFC17" s="7153"/>
      <c r="SFD17" s="7153"/>
      <c r="SFE17" s="7157"/>
      <c r="SFF17" s="7157"/>
      <c r="SFG17" s="7157"/>
      <c r="SFH17" s="7157"/>
      <c r="SFI17" s="7157"/>
      <c r="SFJ17" s="7157"/>
      <c r="SFK17" s="7158"/>
      <c r="SFL17" s="7158"/>
      <c r="SFM17" s="7158"/>
      <c r="SFN17" s="7158"/>
      <c r="SFO17" s="7158"/>
      <c r="SFP17" s="7159"/>
      <c r="SFQ17" s="7152" t="s">
        <v>175</v>
      </c>
      <c r="SFR17" s="7153"/>
      <c r="SFS17" s="7153"/>
      <c r="SFT17" s="7153"/>
      <c r="SFU17" s="7157"/>
      <c r="SFV17" s="7157"/>
      <c r="SFW17" s="7157"/>
      <c r="SFX17" s="7157"/>
      <c r="SFY17" s="7157"/>
      <c r="SFZ17" s="7157"/>
      <c r="SGA17" s="7158"/>
      <c r="SGB17" s="7158"/>
      <c r="SGC17" s="7158"/>
      <c r="SGD17" s="7158"/>
      <c r="SGE17" s="7158"/>
      <c r="SGF17" s="7159"/>
      <c r="SGG17" s="7152" t="s">
        <v>175</v>
      </c>
      <c r="SGH17" s="7153"/>
      <c r="SGI17" s="7153"/>
      <c r="SGJ17" s="7153"/>
      <c r="SGK17" s="7157"/>
      <c r="SGL17" s="7157"/>
      <c r="SGM17" s="7157"/>
      <c r="SGN17" s="7157"/>
      <c r="SGO17" s="7157"/>
      <c r="SGP17" s="7157"/>
      <c r="SGQ17" s="7158"/>
      <c r="SGR17" s="7158"/>
      <c r="SGS17" s="7158"/>
      <c r="SGT17" s="7158"/>
      <c r="SGU17" s="7158"/>
      <c r="SGV17" s="7159"/>
      <c r="SGW17" s="7152" t="s">
        <v>175</v>
      </c>
      <c r="SGX17" s="7153"/>
      <c r="SGY17" s="7153"/>
      <c r="SGZ17" s="7153"/>
      <c r="SHA17" s="7157"/>
      <c r="SHB17" s="7157"/>
      <c r="SHC17" s="7157"/>
      <c r="SHD17" s="7157"/>
      <c r="SHE17" s="7157"/>
      <c r="SHF17" s="7157"/>
      <c r="SHG17" s="7158"/>
      <c r="SHH17" s="7158"/>
      <c r="SHI17" s="7158"/>
      <c r="SHJ17" s="7158"/>
      <c r="SHK17" s="7158"/>
      <c r="SHL17" s="7159"/>
      <c r="SHM17" s="7152" t="s">
        <v>175</v>
      </c>
      <c r="SHN17" s="7153"/>
      <c r="SHO17" s="7153"/>
      <c r="SHP17" s="7153"/>
      <c r="SHQ17" s="7157"/>
      <c r="SHR17" s="7157"/>
      <c r="SHS17" s="7157"/>
      <c r="SHT17" s="7157"/>
      <c r="SHU17" s="7157"/>
      <c r="SHV17" s="7157"/>
      <c r="SHW17" s="7158"/>
      <c r="SHX17" s="7158"/>
      <c r="SHY17" s="7158"/>
      <c r="SHZ17" s="7158"/>
      <c r="SIA17" s="7158"/>
      <c r="SIB17" s="7159"/>
      <c r="SIC17" s="7152" t="s">
        <v>175</v>
      </c>
      <c r="SID17" s="7153"/>
      <c r="SIE17" s="7153"/>
      <c r="SIF17" s="7153"/>
      <c r="SIG17" s="7157"/>
      <c r="SIH17" s="7157"/>
      <c r="SII17" s="7157"/>
      <c r="SIJ17" s="7157"/>
      <c r="SIK17" s="7157"/>
      <c r="SIL17" s="7157"/>
      <c r="SIM17" s="7158"/>
      <c r="SIN17" s="7158"/>
      <c r="SIO17" s="7158"/>
      <c r="SIP17" s="7158"/>
      <c r="SIQ17" s="7158"/>
      <c r="SIR17" s="7159"/>
      <c r="SIS17" s="7152" t="s">
        <v>175</v>
      </c>
      <c r="SIT17" s="7153"/>
      <c r="SIU17" s="7153"/>
      <c r="SIV17" s="7153"/>
      <c r="SIW17" s="7157"/>
      <c r="SIX17" s="7157"/>
      <c r="SIY17" s="7157"/>
      <c r="SIZ17" s="7157"/>
      <c r="SJA17" s="7157"/>
      <c r="SJB17" s="7157"/>
      <c r="SJC17" s="7158"/>
      <c r="SJD17" s="7158"/>
      <c r="SJE17" s="7158"/>
      <c r="SJF17" s="7158"/>
      <c r="SJG17" s="7158"/>
      <c r="SJH17" s="7159"/>
      <c r="SJI17" s="7152" t="s">
        <v>175</v>
      </c>
      <c r="SJJ17" s="7153"/>
      <c r="SJK17" s="7153"/>
      <c r="SJL17" s="7153"/>
      <c r="SJM17" s="7157"/>
      <c r="SJN17" s="7157"/>
      <c r="SJO17" s="7157"/>
      <c r="SJP17" s="7157"/>
      <c r="SJQ17" s="7157"/>
      <c r="SJR17" s="7157"/>
      <c r="SJS17" s="7158"/>
      <c r="SJT17" s="7158"/>
      <c r="SJU17" s="7158"/>
      <c r="SJV17" s="7158"/>
      <c r="SJW17" s="7158"/>
      <c r="SJX17" s="7159"/>
      <c r="SJY17" s="7152" t="s">
        <v>175</v>
      </c>
      <c r="SJZ17" s="7153"/>
      <c r="SKA17" s="7153"/>
      <c r="SKB17" s="7153"/>
      <c r="SKC17" s="7157"/>
      <c r="SKD17" s="7157"/>
      <c r="SKE17" s="7157"/>
      <c r="SKF17" s="7157"/>
      <c r="SKG17" s="7157"/>
      <c r="SKH17" s="7157"/>
      <c r="SKI17" s="7158"/>
      <c r="SKJ17" s="7158"/>
      <c r="SKK17" s="7158"/>
      <c r="SKL17" s="7158"/>
      <c r="SKM17" s="7158"/>
      <c r="SKN17" s="7159"/>
      <c r="SKO17" s="7152" t="s">
        <v>175</v>
      </c>
      <c r="SKP17" s="7153"/>
      <c r="SKQ17" s="7153"/>
      <c r="SKR17" s="7153"/>
      <c r="SKS17" s="7157"/>
      <c r="SKT17" s="7157"/>
      <c r="SKU17" s="7157"/>
      <c r="SKV17" s="7157"/>
      <c r="SKW17" s="7157"/>
      <c r="SKX17" s="7157"/>
      <c r="SKY17" s="7158"/>
      <c r="SKZ17" s="7158"/>
      <c r="SLA17" s="7158"/>
      <c r="SLB17" s="7158"/>
      <c r="SLC17" s="7158"/>
      <c r="SLD17" s="7159"/>
      <c r="SLE17" s="7152" t="s">
        <v>175</v>
      </c>
      <c r="SLF17" s="7153"/>
      <c r="SLG17" s="7153"/>
      <c r="SLH17" s="7153"/>
      <c r="SLI17" s="7157"/>
      <c r="SLJ17" s="7157"/>
      <c r="SLK17" s="7157"/>
      <c r="SLL17" s="7157"/>
      <c r="SLM17" s="7157"/>
      <c r="SLN17" s="7157"/>
      <c r="SLO17" s="7158"/>
      <c r="SLP17" s="7158"/>
      <c r="SLQ17" s="7158"/>
      <c r="SLR17" s="7158"/>
      <c r="SLS17" s="7158"/>
      <c r="SLT17" s="7159"/>
      <c r="SLU17" s="7152" t="s">
        <v>175</v>
      </c>
      <c r="SLV17" s="7153"/>
      <c r="SLW17" s="7153"/>
      <c r="SLX17" s="7153"/>
      <c r="SLY17" s="7157"/>
      <c r="SLZ17" s="7157"/>
      <c r="SMA17" s="7157"/>
      <c r="SMB17" s="7157"/>
      <c r="SMC17" s="7157"/>
      <c r="SMD17" s="7157"/>
      <c r="SME17" s="7158"/>
      <c r="SMF17" s="7158"/>
      <c r="SMG17" s="7158"/>
      <c r="SMH17" s="7158"/>
      <c r="SMI17" s="7158"/>
      <c r="SMJ17" s="7159"/>
      <c r="SMK17" s="7152" t="s">
        <v>175</v>
      </c>
      <c r="SML17" s="7153"/>
      <c r="SMM17" s="7153"/>
      <c r="SMN17" s="7153"/>
      <c r="SMO17" s="7157"/>
      <c r="SMP17" s="7157"/>
      <c r="SMQ17" s="7157"/>
      <c r="SMR17" s="7157"/>
      <c r="SMS17" s="7157"/>
      <c r="SMT17" s="7157"/>
      <c r="SMU17" s="7158"/>
      <c r="SMV17" s="7158"/>
      <c r="SMW17" s="7158"/>
      <c r="SMX17" s="7158"/>
      <c r="SMY17" s="7158"/>
      <c r="SMZ17" s="7159"/>
      <c r="SNA17" s="7152" t="s">
        <v>175</v>
      </c>
      <c r="SNB17" s="7153"/>
      <c r="SNC17" s="7153"/>
      <c r="SND17" s="7153"/>
      <c r="SNE17" s="7157"/>
      <c r="SNF17" s="7157"/>
      <c r="SNG17" s="7157"/>
      <c r="SNH17" s="7157"/>
      <c r="SNI17" s="7157"/>
      <c r="SNJ17" s="7157"/>
      <c r="SNK17" s="7158"/>
      <c r="SNL17" s="7158"/>
      <c r="SNM17" s="7158"/>
      <c r="SNN17" s="7158"/>
      <c r="SNO17" s="7158"/>
      <c r="SNP17" s="7159"/>
      <c r="SNQ17" s="7152" t="s">
        <v>175</v>
      </c>
      <c r="SNR17" s="7153"/>
      <c r="SNS17" s="7153"/>
      <c r="SNT17" s="7153"/>
      <c r="SNU17" s="7157"/>
      <c r="SNV17" s="7157"/>
      <c r="SNW17" s="7157"/>
      <c r="SNX17" s="7157"/>
      <c r="SNY17" s="7157"/>
      <c r="SNZ17" s="7157"/>
      <c r="SOA17" s="7158"/>
      <c r="SOB17" s="7158"/>
      <c r="SOC17" s="7158"/>
      <c r="SOD17" s="7158"/>
      <c r="SOE17" s="7158"/>
      <c r="SOF17" s="7159"/>
      <c r="SOG17" s="7152" t="s">
        <v>175</v>
      </c>
      <c r="SOH17" s="7153"/>
      <c r="SOI17" s="7153"/>
      <c r="SOJ17" s="7153"/>
      <c r="SOK17" s="7157"/>
      <c r="SOL17" s="7157"/>
      <c r="SOM17" s="7157"/>
      <c r="SON17" s="7157"/>
      <c r="SOO17" s="7157"/>
      <c r="SOP17" s="7157"/>
      <c r="SOQ17" s="7158"/>
      <c r="SOR17" s="7158"/>
      <c r="SOS17" s="7158"/>
      <c r="SOT17" s="7158"/>
      <c r="SOU17" s="7158"/>
      <c r="SOV17" s="7159"/>
      <c r="SOW17" s="7152" t="s">
        <v>175</v>
      </c>
      <c r="SOX17" s="7153"/>
      <c r="SOY17" s="7153"/>
      <c r="SOZ17" s="7153"/>
      <c r="SPA17" s="7157"/>
      <c r="SPB17" s="7157"/>
      <c r="SPC17" s="7157"/>
      <c r="SPD17" s="7157"/>
      <c r="SPE17" s="7157"/>
      <c r="SPF17" s="7157"/>
      <c r="SPG17" s="7158"/>
      <c r="SPH17" s="7158"/>
      <c r="SPI17" s="7158"/>
      <c r="SPJ17" s="7158"/>
      <c r="SPK17" s="7158"/>
      <c r="SPL17" s="7159"/>
      <c r="SPM17" s="7152" t="s">
        <v>175</v>
      </c>
      <c r="SPN17" s="7153"/>
      <c r="SPO17" s="7153"/>
      <c r="SPP17" s="7153"/>
      <c r="SPQ17" s="7157"/>
      <c r="SPR17" s="7157"/>
      <c r="SPS17" s="7157"/>
      <c r="SPT17" s="7157"/>
      <c r="SPU17" s="7157"/>
      <c r="SPV17" s="7157"/>
      <c r="SPW17" s="7158"/>
      <c r="SPX17" s="7158"/>
      <c r="SPY17" s="7158"/>
      <c r="SPZ17" s="7158"/>
      <c r="SQA17" s="7158"/>
      <c r="SQB17" s="7159"/>
      <c r="SQC17" s="7152" t="s">
        <v>175</v>
      </c>
      <c r="SQD17" s="7153"/>
      <c r="SQE17" s="7153"/>
      <c r="SQF17" s="7153"/>
      <c r="SQG17" s="7157"/>
      <c r="SQH17" s="7157"/>
      <c r="SQI17" s="7157"/>
      <c r="SQJ17" s="7157"/>
      <c r="SQK17" s="7157"/>
      <c r="SQL17" s="7157"/>
      <c r="SQM17" s="7158"/>
      <c r="SQN17" s="7158"/>
      <c r="SQO17" s="7158"/>
      <c r="SQP17" s="7158"/>
      <c r="SQQ17" s="7158"/>
      <c r="SQR17" s="7159"/>
      <c r="SQS17" s="7152" t="s">
        <v>175</v>
      </c>
      <c r="SQT17" s="7153"/>
      <c r="SQU17" s="7153"/>
      <c r="SQV17" s="7153"/>
      <c r="SQW17" s="7157"/>
      <c r="SQX17" s="7157"/>
      <c r="SQY17" s="7157"/>
      <c r="SQZ17" s="7157"/>
      <c r="SRA17" s="7157"/>
      <c r="SRB17" s="7157"/>
      <c r="SRC17" s="7158"/>
      <c r="SRD17" s="7158"/>
      <c r="SRE17" s="7158"/>
      <c r="SRF17" s="7158"/>
      <c r="SRG17" s="7158"/>
      <c r="SRH17" s="7159"/>
      <c r="SRI17" s="7152" t="s">
        <v>175</v>
      </c>
      <c r="SRJ17" s="7153"/>
      <c r="SRK17" s="7153"/>
      <c r="SRL17" s="7153"/>
      <c r="SRM17" s="7157"/>
      <c r="SRN17" s="7157"/>
      <c r="SRO17" s="7157"/>
      <c r="SRP17" s="7157"/>
      <c r="SRQ17" s="7157"/>
      <c r="SRR17" s="7157"/>
      <c r="SRS17" s="7158"/>
      <c r="SRT17" s="7158"/>
      <c r="SRU17" s="7158"/>
      <c r="SRV17" s="7158"/>
      <c r="SRW17" s="7158"/>
      <c r="SRX17" s="7159"/>
      <c r="SRY17" s="7152" t="s">
        <v>175</v>
      </c>
      <c r="SRZ17" s="7153"/>
      <c r="SSA17" s="7153"/>
      <c r="SSB17" s="7153"/>
      <c r="SSC17" s="7157"/>
      <c r="SSD17" s="7157"/>
      <c r="SSE17" s="7157"/>
      <c r="SSF17" s="7157"/>
      <c r="SSG17" s="7157"/>
      <c r="SSH17" s="7157"/>
      <c r="SSI17" s="7158"/>
      <c r="SSJ17" s="7158"/>
      <c r="SSK17" s="7158"/>
      <c r="SSL17" s="7158"/>
      <c r="SSM17" s="7158"/>
      <c r="SSN17" s="7159"/>
      <c r="SSO17" s="7152" t="s">
        <v>175</v>
      </c>
      <c r="SSP17" s="7153"/>
      <c r="SSQ17" s="7153"/>
      <c r="SSR17" s="7153"/>
      <c r="SSS17" s="7157"/>
      <c r="SST17" s="7157"/>
      <c r="SSU17" s="7157"/>
      <c r="SSV17" s="7157"/>
      <c r="SSW17" s="7157"/>
      <c r="SSX17" s="7157"/>
      <c r="SSY17" s="7158"/>
      <c r="SSZ17" s="7158"/>
      <c r="STA17" s="7158"/>
      <c r="STB17" s="7158"/>
      <c r="STC17" s="7158"/>
      <c r="STD17" s="7159"/>
      <c r="STE17" s="7152" t="s">
        <v>175</v>
      </c>
      <c r="STF17" s="7153"/>
      <c r="STG17" s="7153"/>
      <c r="STH17" s="7153"/>
      <c r="STI17" s="7157"/>
      <c r="STJ17" s="7157"/>
      <c r="STK17" s="7157"/>
      <c r="STL17" s="7157"/>
      <c r="STM17" s="7157"/>
      <c r="STN17" s="7157"/>
      <c r="STO17" s="7158"/>
      <c r="STP17" s="7158"/>
      <c r="STQ17" s="7158"/>
      <c r="STR17" s="7158"/>
      <c r="STS17" s="7158"/>
      <c r="STT17" s="7159"/>
      <c r="STU17" s="7152" t="s">
        <v>175</v>
      </c>
      <c r="STV17" s="7153"/>
      <c r="STW17" s="7153"/>
      <c r="STX17" s="7153"/>
      <c r="STY17" s="7157"/>
      <c r="STZ17" s="7157"/>
      <c r="SUA17" s="7157"/>
      <c r="SUB17" s="7157"/>
      <c r="SUC17" s="7157"/>
      <c r="SUD17" s="7157"/>
      <c r="SUE17" s="7158"/>
      <c r="SUF17" s="7158"/>
      <c r="SUG17" s="7158"/>
      <c r="SUH17" s="7158"/>
      <c r="SUI17" s="7158"/>
      <c r="SUJ17" s="7159"/>
      <c r="SUK17" s="7152" t="s">
        <v>175</v>
      </c>
      <c r="SUL17" s="7153"/>
      <c r="SUM17" s="7153"/>
      <c r="SUN17" s="7153"/>
      <c r="SUO17" s="7157"/>
      <c r="SUP17" s="7157"/>
      <c r="SUQ17" s="7157"/>
      <c r="SUR17" s="7157"/>
      <c r="SUS17" s="7157"/>
      <c r="SUT17" s="7157"/>
      <c r="SUU17" s="7158"/>
      <c r="SUV17" s="7158"/>
      <c r="SUW17" s="7158"/>
      <c r="SUX17" s="7158"/>
      <c r="SUY17" s="7158"/>
      <c r="SUZ17" s="7159"/>
      <c r="SVA17" s="7152" t="s">
        <v>175</v>
      </c>
      <c r="SVB17" s="7153"/>
      <c r="SVC17" s="7153"/>
      <c r="SVD17" s="7153"/>
      <c r="SVE17" s="7157"/>
      <c r="SVF17" s="7157"/>
      <c r="SVG17" s="7157"/>
      <c r="SVH17" s="7157"/>
      <c r="SVI17" s="7157"/>
      <c r="SVJ17" s="7157"/>
      <c r="SVK17" s="7158"/>
      <c r="SVL17" s="7158"/>
      <c r="SVM17" s="7158"/>
      <c r="SVN17" s="7158"/>
      <c r="SVO17" s="7158"/>
      <c r="SVP17" s="7159"/>
      <c r="SVQ17" s="7152" t="s">
        <v>175</v>
      </c>
      <c r="SVR17" s="7153"/>
      <c r="SVS17" s="7153"/>
      <c r="SVT17" s="7153"/>
      <c r="SVU17" s="7157"/>
      <c r="SVV17" s="7157"/>
      <c r="SVW17" s="7157"/>
      <c r="SVX17" s="7157"/>
      <c r="SVY17" s="7157"/>
      <c r="SVZ17" s="7157"/>
      <c r="SWA17" s="7158"/>
      <c r="SWB17" s="7158"/>
      <c r="SWC17" s="7158"/>
      <c r="SWD17" s="7158"/>
      <c r="SWE17" s="7158"/>
      <c r="SWF17" s="7159"/>
      <c r="SWG17" s="7152" t="s">
        <v>175</v>
      </c>
      <c r="SWH17" s="7153"/>
      <c r="SWI17" s="7153"/>
      <c r="SWJ17" s="7153"/>
      <c r="SWK17" s="7157"/>
      <c r="SWL17" s="7157"/>
      <c r="SWM17" s="7157"/>
      <c r="SWN17" s="7157"/>
      <c r="SWO17" s="7157"/>
      <c r="SWP17" s="7157"/>
      <c r="SWQ17" s="7158"/>
      <c r="SWR17" s="7158"/>
      <c r="SWS17" s="7158"/>
      <c r="SWT17" s="7158"/>
      <c r="SWU17" s="7158"/>
      <c r="SWV17" s="7159"/>
      <c r="SWW17" s="7152" t="s">
        <v>175</v>
      </c>
      <c r="SWX17" s="7153"/>
      <c r="SWY17" s="7153"/>
      <c r="SWZ17" s="7153"/>
      <c r="SXA17" s="7157"/>
      <c r="SXB17" s="7157"/>
      <c r="SXC17" s="7157"/>
      <c r="SXD17" s="7157"/>
      <c r="SXE17" s="7157"/>
      <c r="SXF17" s="7157"/>
      <c r="SXG17" s="7158"/>
      <c r="SXH17" s="7158"/>
      <c r="SXI17" s="7158"/>
      <c r="SXJ17" s="7158"/>
      <c r="SXK17" s="7158"/>
      <c r="SXL17" s="7159"/>
      <c r="SXM17" s="7152" t="s">
        <v>175</v>
      </c>
      <c r="SXN17" s="7153"/>
      <c r="SXO17" s="7153"/>
      <c r="SXP17" s="7153"/>
      <c r="SXQ17" s="7157"/>
      <c r="SXR17" s="7157"/>
      <c r="SXS17" s="7157"/>
      <c r="SXT17" s="7157"/>
      <c r="SXU17" s="7157"/>
      <c r="SXV17" s="7157"/>
      <c r="SXW17" s="7158"/>
      <c r="SXX17" s="7158"/>
      <c r="SXY17" s="7158"/>
      <c r="SXZ17" s="7158"/>
      <c r="SYA17" s="7158"/>
      <c r="SYB17" s="7159"/>
      <c r="SYC17" s="7152" t="s">
        <v>175</v>
      </c>
      <c r="SYD17" s="7153"/>
      <c r="SYE17" s="7153"/>
      <c r="SYF17" s="7153"/>
      <c r="SYG17" s="7157"/>
      <c r="SYH17" s="7157"/>
      <c r="SYI17" s="7157"/>
      <c r="SYJ17" s="7157"/>
      <c r="SYK17" s="7157"/>
      <c r="SYL17" s="7157"/>
      <c r="SYM17" s="7158"/>
      <c r="SYN17" s="7158"/>
      <c r="SYO17" s="7158"/>
      <c r="SYP17" s="7158"/>
      <c r="SYQ17" s="7158"/>
      <c r="SYR17" s="7159"/>
      <c r="SYS17" s="7152" t="s">
        <v>175</v>
      </c>
      <c r="SYT17" s="7153"/>
      <c r="SYU17" s="7153"/>
      <c r="SYV17" s="7153"/>
      <c r="SYW17" s="7157"/>
      <c r="SYX17" s="7157"/>
      <c r="SYY17" s="7157"/>
      <c r="SYZ17" s="7157"/>
      <c r="SZA17" s="7157"/>
      <c r="SZB17" s="7157"/>
      <c r="SZC17" s="7158"/>
      <c r="SZD17" s="7158"/>
      <c r="SZE17" s="7158"/>
      <c r="SZF17" s="7158"/>
      <c r="SZG17" s="7158"/>
      <c r="SZH17" s="7159"/>
      <c r="SZI17" s="7152" t="s">
        <v>175</v>
      </c>
      <c r="SZJ17" s="7153"/>
      <c r="SZK17" s="7153"/>
      <c r="SZL17" s="7153"/>
      <c r="SZM17" s="7157"/>
      <c r="SZN17" s="7157"/>
      <c r="SZO17" s="7157"/>
      <c r="SZP17" s="7157"/>
      <c r="SZQ17" s="7157"/>
      <c r="SZR17" s="7157"/>
      <c r="SZS17" s="7158"/>
      <c r="SZT17" s="7158"/>
      <c r="SZU17" s="7158"/>
      <c r="SZV17" s="7158"/>
      <c r="SZW17" s="7158"/>
      <c r="SZX17" s="7159"/>
      <c r="SZY17" s="7152" t="s">
        <v>175</v>
      </c>
      <c r="SZZ17" s="7153"/>
      <c r="TAA17" s="7153"/>
      <c r="TAB17" s="7153"/>
      <c r="TAC17" s="7157"/>
      <c r="TAD17" s="7157"/>
      <c r="TAE17" s="7157"/>
      <c r="TAF17" s="7157"/>
      <c r="TAG17" s="7157"/>
      <c r="TAH17" s="7157"/>
      <c r="TAI17" s="7158"/>
      <c r="TAJ17" s="7158"/>
      <c r="TAK17" s="7158"/>
      <c r="TAL17" s="7158"/>
      <c r="TAM17" s="7158"/>
      <c r="TAN17" s="7159"/>
      <c r="TAO17" s="7152" t="s">
        <v>175</v>
      </c>
      <c r="TAP17" s="7153"/>
      <c r="TAQ17" s="7153"/>
      <c r="TAR17" s="7153"/>
      <c r="TAS17" s="7157"/>
      <c r="TAT17" s="7157"/>
      <c r="TAU17" s="7157"/>
      <c r="TAV17" s="7157"/>
      <c r="TAW17" s="7157"/>
      <c r="TAX17" s="7157"/>
      <c r="TAY17" s="7158"/>
      <c r="TAZ17" s="7158"/>
      <c r="TBA17" s="7158"/>
      <c r="TBB17" s="7158"/>
      <c r="TBC17" s="7158"/>
      <c r="TBD17" s="7159"/>
      <c r="TBE17" s="7152" t="s">
        <v>175</v>
      </c>
      <c r="TBF17" s="7153"/>
      <c r="TBG17" s="7153"/>
      <c r="TBH17" s="7153"/>
      <c r="TBI17" s="7157"/>
      <c r="TBJ17" s="7157"/>
      <c r="TBK17" s="7157"/>
      <c r="TBL17" s="7157"/>
      <c r="TBM17" s="7157"/>
      <c r="TBN17" s="7157"/>
      <c r="TBO17" s="7158"/>
      <c r="TBP17" s="7158"/>
      <c r="TBQ17" s="7158"/>
      <c r="TBR17" s="7158"/>
      <c r="TBS17" s="7158"/>
      <c r="TBT17" s="7159"/>
      <c r="TBU17" s="7152" t="s">
        <v>175</v>
      </c>
      <c r="TBV17" s="7153"/>
      <c r="TBW17" s="7153"/>
      <c r="TBX17" s="7153"/>
      <c r="TBY17" s="7157"/>
      <c r="TBZ17" s="7157"/>
      <c r="TCA17" s="7157"/>
      <c r="TCB17" s="7157"/>
      <c r="TCC17" s="7157"/>
      <c r="TCD17" s="7157"/>
      <c r="TCE17" s="7158"/>
      <c r="TCF17" s="7158"/>
      <c r="TCG17" s="7158"/>
      <c r="TCH17" s="7158"/>
      <c r="TCI17" s="7158"/>
      <c r="TCJ17" s="7159"/>
      <c r="TCK17" s="7152" t="s">
        <v>175</v>
      </c>
      <c r="TCL17" s="7153"/>
      <c r="TCM17" s="7153"/>
      <c r="TCN17" s="7153"/>
      <c r="TCO17" s="7157"/>
      <c r="TCP17" s="7157"/>
      <c r="TCQ17" s="7157"/>
      <c r="TCR17" s="7157"/>
      <c r="TCS17" s="7157"/>
      <c r="TCT17" s="7157"/>
      <c r="TCU17" s="7158"/>
      <c r="TCV17" s="7158"/>
      <c r="TCW17" s="7158"/>
      <c r="TCX17" s="7158"/>
      <c r="TCY17" s="7158"/>
      <c r="TCZ17" s="7159"/>
      <c r="TDA17" s="7152" t="s">
        <v>175</v>
      </c>
      <c r="TDB17" s="7153"/>
      <c r="TDC17" s="7153"/>
      <c r="TDD17" s="7153"/>
      <c r="TDE17" s="7157"/>
      <c r="TDF17" s="7157"/>
      <c r="TDG17" s="7157"/>
      <c r="TDH17" s="7157"/>
      <c r="TDI17" s="7157"/>
      <c r="TDJ17" s="7157"/>
      <c r="TDK17" s="7158"/>
      <c r="TDL17" s="7158"/>
      <c r="TDM17" s="7158"/>
      <c r="TDN17" s="7158"/>
      <c r="TDO17" s="7158"/>
      <c r="TDP17" s="7159"/>
      <c r="TDQ17" s="7152" t="s">
        <v>175</v>
      </c>
      <c r="TDR17" s="7153"/>
      <c r="TDS17" s="7153"/>
      <c r="TDT17" s="7153"/>
      <c r="TDU17" s="7157"/>
      <c r="TDV17" s="7157"/>
      <c r="TDW17" s="7157"/>
      <c r="TDX17" s="7157"/>
      <c r="TDY17" s="7157"/>
      <c r="TDZ17" s="7157"/>
      <c r="TEA17" s="7158"/>
      <c r="TEB17" s="7158"/>
      <c r="TEC17" s="7158"/>
      <c r="TED17" s="7158"/>
      <c r="TEE17" s="7158"/>
      <c r="TEF17" s="7159"/>
      <c r="TEG17" s="7152" t="s">
        <v>175</v>
      </c>
      <c r="TEH17" s="7153"/>
      <c r="TEI17" s="7153"/>
      <c r="TEJ17" s="7153"/>
      <c r="TEK17" s="7157"/>
      <c r="TEL17" s="7157"/>
      <c r="TEM17" s="7157"/>
      <c r="TEN17" s="7157"/>
      <c r="TEO17" s="7157"/>
      <c r="TEP17" s="7157"/>
      <c r="TEQ17" s="7158"/>
      <c r="TER17" s="7158"/>
      <c r="TES17" s="7158"/>
      <c r="TET17" s="7158"/>
      <c r="TEU17" s="7158"/>
      <c r="TEV17" s="7159"/>
      <c r="TEW17" s="7152" t="s">
        <v>175</v>
      </c>
      <c r="TEX17" s="7153"/>
      <c r="TEY17" s="7153"/>
      <c r="TEZ17" s="7153"/>
      <c r="TFA17" s="7157"/>
      <c r="TFB17" s="7157"/>
      <c r="TFC17" s="7157"/>
      <c r="TFD17" s="7157"/>
      <c r="TFE17" s="7157"/>
      <c r="TFF17" s="7157"/>
      <c r="TFG17" s="7158"/>
      <c r="TFH17" s="7158"/>
      <c r="TFI17" s="7158"/>
      <c r="TFJ17" s="7158"/>
      <c r="TFK17" s="7158"/>
      <c r="TFL17" s="7159"/>
      <c r="TFM17" s="7152" t="s">
        <v>175</v>
      </c>
      <c r="TFN17" s="7153"/>
      <c r="TFO17" s="7153"/>
      <c r="TFP17" s="7153"/>
      <c r="TFQ17" s="7157"/>
      <c r="TFR17" s="7157"/>
      <c r="TFS17" s="7157"/>
      <c r="TFT17" s="7157"/>
      <c r="TFU17" s="7157"/>
      <c r="TFV17" s="7157"/>
      <c r="TFW17" s="7158"/>
      <c r="TFX17" s="7158"/>
      <c r="TFY17" s="7158"/>
      <c r="TFZ17" s="7158"/>
      <c r="TGA17" s="7158"/>
      <c r="TGB17" s="7159"/>
      <c r="TGC17" s="7152" t="s">
        <v>175</v>
      </c>
      <c r="TGD17" s="7153"/>
      <c r="TGE17" s="7153"/>
      <c r="TGF17" s="7153"/>
      <c r="TGG17" s="7157"/>
      <c r="TGH17" s="7157"/>
      <c r="TGI17" s="7157"/>
      <c r="TGJ17" s="7157"/>
      <c r="TGK17" s="7157"/>
      <c r="TGL17" s="7157"/>
      <c r="TGM17" s="7158"/>
      <c r="TGN17" s="7158"/>
      <c r="TGO17" s="7158"/>
      <c r="TGP17" s="7158"/>
      <c r="TGQ17" s="7158"/>
      <c r="TGR17" s="7159"/>
      <c r="TGS17" s="7152" t="s">
        <v>175</v>
      </c>
      <c r="TGT17" s="7153"/>
      <c r="TGU17" s="7153"/>
      <c r="TGV17" s="7153"/>
      <c r="TGW17" s="7157"/>
      <c r="TGX17" s="7157"/>
      <c r="TGY17" s="7157"/>
      <c r="TGZ17" s="7157"/>
      <c r="THA17" s="7157"/>
      <c r="THB17" s="7157"/>
      <c r="THC17" s="7158"/>
      <c r="THD17" s="7158"/>
      <c r="THE17" s="7158"/>
      <c r="THF17" s="7158"/>
      <c r="THG17" s="7158"/>
      <c r="THH17" s="7159"/>
      <c r="THI17" s="7152" t="s">
        <v>175</v>
      </c>
      <c r="THJ17" s="7153"/>
      <c r="THK17" s="7153"/>
      <c r="THL17" s="7153"/>
      <c r="THM17" s="7157"/>
      <c r="THN17" s="7157"/>
      <c r="THO17" s="7157"/>
      <c r="THP17" s="7157"/>
      <c r="THQ17" s="7157"/>
      <c r="THR17" s="7157"/>
      <c r="THS17" s="7158"/>
      <c r="THT17" s="7158"/>
      <c r="THU17" s="7158"/>
      <c r="THV17" s="7158"/>
      <c r="THW17" s="7158"/>
      <c r="THX17" s="7159"/>
      <c r="THY17" s="7152" t="s">
        <v>175</v>
      </c>
      <c r="THZ17" s="7153"/>
      <c r="TIA17" s="7153"/>
      <c r="TIB17" s="7153"/>
      <c r="TIC17" s="7157"/>
      <c r="TID17" s="7157"/>
      <c r="TIE17" s="7157"/>
      <c r="TIF17" s="7157"/>
      <c r="TIG17" s="7157"/>
      <c r="TIH17" s="7157"/>
      <c r="TII17" s="7158"/>
      <c r="TIJ17" s="7158"/>
      <c r="TIK17" s="7158"/>
      <c r="TIL17" s="7158"/>
      <c r="TIM17" s="7158"/>
      <c r="TIN17" s="7159"/>
      <c r="TIO17" s="7152" t="s">
        <v>175</v>
      </c>
      <c r="TIP17" s="7153"/>
      <c r="TIQ17" s="7153"/>
      <c r="TIR17" s="7153"/>
      <c r="TIS17" s="7157"/>
      <c r="TIT17" s="7157"/>
      <c r="TIU17" s="7157"/>
      <c r="TIV17" s="7157"/>
      <c r="TIW17" s="7157"/>
      <c r="TIX17" s="7157"/>
      <c r="TIY17" s="7158"/>
      <c r="TIZ17" s="7158"/>
      <c r="TJA17" s="7158"/>
      <c r="TJB17" s="7158"/>
      <c r="TJC17" s="7158"/>
      <c r="TJD17" s="7159"/>
      <c r="TJE17" s="7152" t="s">
        <v>175</v>
      </c>
      <c r="TJF17" s="7153"/>
      <c r="TJG17" s="7153"/>
      <c r="TJH17" s="7153"/>
      <c r="TJI17" s="7157"/>
      <c r="TJJ17" s="7157"/>
      <c r="TJK17" s="7157"/>
      <c r="TJL17" s="7157"/>
      <c r="TJM17" s="7157"/>
      <c r="TJN17" s="7157"/>
      <c r="TJO17" s="7158"/>
      <c r="TJP17" s="7158"/>
      <c r="TJQ17" s="7158"/>
      <c r="TJR17" s="7158"/>
      <c r="TJS17" s="7158"/>
      <c r="TJT17" s="7159"/>
      <c r="TJU17" s="7152" t="s">
        <v>175</v>
      </c>
      <c r="TJV17" s="7153"/>
      <c r="TJW17" s="7153"/>
      <c r="TJX17" s="7153"/>
      <c r="TJY17" s="7157"/>
      <c r="TJZ17" s="7157"/>
      <c r="TKA17" s="7157"/>
      <c r="TKB17" s="7157"/>
      <c r="TKC17" s="7157"/>
      <c r="TKD17" s="7157"/>
      <c r="TKE17" s="7158"/>
      <c r="TKF17" s="7158"/>
      <c r="TKG17" s="7158"/>
      <c r="TKH17" s="7158"/>
      <c r="TKI17" s="7158"/>
      <c r="TKJ17" s="7159"/>
      <c r="TKK17" s="7152" t="s">
        <v>175</v>
      </c>
      <c r="TKL17" s="7153"/>
      <c r="TKM17" s="7153"/>
      <c r="TKN17" s="7153"/>
      <c r="TKO17" s="7157"/>
      <c r="TKP17" s="7157"/>
      <c r="TKQ17" s="7157"/>
      <c r="TKR17" s="7157"/>
      <c r="TKS17" s="7157"/>
      <c r="TKT17" s="7157"/>
      <c r="TKU17" s="7158"/>
      <c r="TKV17" s="7158"/>
      <c r="TKW17" s="7158"/>
      <c r="TKX17" s="7158"/>
      <c r="TKY17" s="7158"/>
      <c r="TKZ17" s="7159"/>
      <c r="TLA17" s="7152" t="s">
        <v>175</v>
      </c>
      <c r="TLB17" s="7153"/>
      <c r="TLC17" s="7153"/>
      <c r="TLD17" s="7153"/>
      <c r="TLE17" s="7157"/>
      <c r="TLF17" s="7157"/>
      <c r="TLG17" s="7157"/>
      <c r="TLH17" s="7157"/>
      <c r="TLI17" s="7157"/>
      <c r="TLJ17" s="7157"/>
      <c r="TLK17" s="7158"/>
      <c r="TLL17" s="7158"/>
      <c r="TLM17" s="7158"/>
      <c r="TLN17" s="7158"/>
      <c r="TLO17" s="7158"/>
      <c r="TLP17" s="7159"/>
      <c r="TLQ17" s="7152" t="s">
        <v>175</v>
      </c>
      <c r="TLR17" s="7153"/>
      <c r="TLS17" s="7153"/>
      <c r="TLT17" s="7153"/>
      <c r="TLU17" s="7157"/>
      <c r="TLV17" s="7157"/>
      <c r="TLW17" s="7157"/>
      <c r="TLX17" s="7157"/>
      <c r="TLY17" s="7157"/>
      <c r="TLZ17" s="7157"/>
      <c r="TMA17" s="7158"/>
      <c r="TMB17" s="7158"/>
      <c r="TMC17" s="7158"/>
      <c r="TMD17" s="7158"/>
      <c r="TME17" s="7158"/>
      <c r="TMF17" s="7159"/>
      <c r="TMG17" s="7152" t="s">
        <v>175</v>
      </c>
      <c r="TMH17" s="7153"/>
      <c r="TMI17" s="7153"/>
      <c r="TMJ17" s="7153"/>
      <c r="TMK17" s="7157"/>
      <c r="TML17" s="7157"/>
      <c r="TMM17" s="7157"/>
      <c r="TMN17" s="7157"/>
      <c r="TMO17" s="7157"/>
      <c r="TMP17" s="7157"/>
      <c r="TMQ17" s="7158"/>
      <c r="TMR17" s="7158"/>
      <c r="TMS17" s="7158"/>
      <c r="TMT17" s="7158"/>
      <c r="TMU17" s="7158"/>
      <c r="TMV17" s="7159"/>
      <c r="TMW17" s="7152" t="s">
        <v>175</v>
      </c>
      <c r="TMX17" s="7153"/>
      <c r="TMY17" s="7153"/>
      <c r="TMZ17" s="7153"/>
      <c r="TNA17" s="7157"/>
      <c r="TNB17" s="7157"/>
      <c r="TNC17" s="7157"/>
      <c r="TND17" s="7157"/>
      <c r="TNE17" s="7157"/>
      <c r="TNF17" s="7157"/>
      <c r="TNG17" s="7158"/>
      <c r="TNH17" s="7158"/>
      <c r="TNI17" s="7158"/>
      <c r="TNJ17" s="7158"/>
      <c r="TNK17" s="7158"/>
      <c r="TNL17" s="7159"/>
      <c r="TNM17" s="7152" t="s">
        <v>175</v>
      </c>
      <c r="TNN17" s="7153"/>
      <c r="TNO17" s="7153"/>
      <c r="TNP17" s="7153"/>
      <c r="TNQ17" s="7157"/>
      <c r="TNR17" s="7157"/>
      <c r="TNS17" s="7157"/>
      <c r="TNT17" s="7157"/>
      <c r="TNU17" s="7157"/>
      <c r="TNV17" s="7157"/>
      <c r="TNW17" s="7158"/>
      <c r="TNX17" s="7158"/>
      <c r="TNY17" s="7158"/>
      <c r="TNZ17" s="7158"/>
      <c r="TOA17" s="7158"/>
      <c r="TOB17" s="7159"/>
      <c r="TOC17" s="7152" t="s">
        <v>175</v>
      </c>
      <c r="TOD17" s="7153"/>
      <c r="TOE17" s="7153"/>
      <c r="TOF17" s="7153"/>
      <c r="TOG17" s="7157"/>
      <c r="TOH17" s="7157"/>
      <c r="TOI17" s="7157"/>
      <c r="TOJ17" s="7157"/>
      <c r="TOK17" s="7157"/>
      <c r="TOL17" s="7157"/>
      <c r="TOM17" s="7158"/>
      <c r="TON17" s="7158"/>
      <c r="TOO17" s="7158"/>
      <c r="TOP17" s="7158"/>
      <c r="TOQ17" s="7158"/>
      <c r="TOR17" s="7159"/>
      <c r="TOS17" s="7152" t="s">
        <v>175</v>
      </c>
      <c r="TOT17" s="7153"/>
      <c r="TOU17" s="7153"/>
      <c r="TOV17" s="7153"/>
      <c r="TOW17" s="7157"/>
      <c r="TOX17" s="7157"/>
      <c r="TOY17" s="7157"/>
      <c r="TOZ17" s="7157"/>
      <c r="TPA17" s="7157"/>
      <c r="TPB17" s="7157"/>
      <c r="TPC17" s="7158"/>
      <c r="TPD17" s="7158"/>
      <c r="TPE17" s="7158"/>
      <c r="TPF17" s="7158"/>
      <c r="TPG17" s="7158"/>
      <c r="TPH17" s="7159"/>
      <c r="TPI17" s="7152" t="s">
        <v>175</v>
      </c>
      <c r="TPJ17" s="7153"/>
      <c r="TPK17" s="7153"/>
      <c r="TPL17" s="7153"/>
      <c r="TPM17" s="7157"/>
      <c r="TPN17" s="7157"/>
      <c r="TPO17" s="7157"/>
      <c r="TPP17" s="7157"/>
      <c r="TPQ17" s="7157"/>
      <c r="TPR17" s="7157"/>
      <c r="TPS17" s="7158"/>
      <c r="TPT17" s="7158"/>
      <c r="TPU17" s="7158"/>
      <c r="TPV17" s="7158"/>
      <c r="TPW17" s="7158"/>
      <c r="TPX17" s="7159"/>
      <c r="TPY17" s="7152" t="s">
        <v>175</v>
      </c>
      <c r="TPZ17" s="7153"/>
      <c r="TQA17" s="7153"/>
      <c r="TQB17" s="7153"/>
      <c r="TQC17" s="7157"/>
      <c r="TQD17" s="7157"/>
      <c r="TQE17" s="7157"/>
      <c r="TQF17" s="7157"/>
      <c r="TQG17" s="7157"/>
      <c r="TQH17" s="7157"/>
      <c r="TQI17" s="7158"/>
      <c r="TQJ17" s="7158"/>
      <c r="TQK17" s="7158"/>
      <c r="TQL17" s="7158"/>
      <c r="TQM17" s="7158"/>
      <c r="TQN17" s="7159"/>
      <c r="TQO17" s="7152" t="s">
        <v>175</v>
      </c>
      <c r="TQP17" s="7153"/>
      <c r="TQQ17" s="7153"/>
      <c r="TQR17" s="7153"/>
      <c r="TQS17" s="7157"/>
      <c r="TQT17" s="7157"/>
      <c r="TQU17" s="7157"/>
      <c r="TQV17" s="7157"/>
      <c r="TQW17" s="7157"/>
      <c r="TQX17" s="7157"/>
      <c r="TQY17" s="7158"/>
      <c r="TQZ17" s="7158"/>
      <c r="TRA17" s="7158"/>
      <c r="TRB17" s="7158"/>
      <c r="TRC17" s="7158"/>
      <c r="TRD17" s="7159"/>
      <c r="TRE17" s="7152" t="s">
        <v>175</v>
      </c>
      <c r="TRF17" s="7153"/>
      <c r="TRG17" s="7153"/>
      <c r="TRH17" s="7153"/>
      <c r="TRI17" s="7157"/>
      <c r="TRJ17" s="7157"/>
      <c r="TRK17" s="7157"/>
      <c r="TRL17" s="7157"/>
      <c r="TRM17" s="7157"/>
      <c r="TRN17" s="7157"/>
      <c r="TRO17" s="7158"/>
      <c r="TRP17" s="7158"/>
      <c r="TRQ17" s="7158"/>
      <c r="TRR17" s="7158"/>
      <c r="TRS17" s="7158"/>
      <c r="TRT17" s="7159"/>
      <c r="TRU17" s="7152" t="s">
        <v>175</v>
      </c>
      <c r="TRV17" s="7153"/>
      <c r="TRW17" s="7153"/>
      <c r="TRX17" s="7153"/>
      <c r="TRY17" s="7157"/>
      <c r="TRZ17" s="7157"/>
      <c r="TSA17" s="7157"/>
      <c r="TSB17" s="7157"/>
      <c r="TSC17" s="7157"/>
      <c r="TSD17" s="7157"/>
      <c r="TSE17" s="7158"/>
      <c r="TSF17" s="7158"/>
      <c r="TSG17" s="7158"/>
      <c r="TSH17" s="7158"/>
      <c r="TSI17" s="7158"/>
      <c r="TSJ17" s="7159"/>
      <c r="TSK17" s="7152" t="s">
        <v>175</v>
      </c>
      <c r="TSL17" s="7153"/>
      <c r="TSM17" s="7153"/>
      <c r="TSN17" s="7153"/>
      <c r="TSO17" s="7157"/>
      <c r="TSP17" s="7157"/>
      <c r="TSQ17" s="7157"/>
      <c r="TSR17" s="7157"/>
      <c r="TSS17" s="7157"/>
      <c r="TST17" s="7157"/>
      <c r="TSU17" s="7158"/>
      <c r="TSV17" s="7158"/>
      <c r="TSW17" s="7158"/>
      <c r="TSX17" s="7158"/>
      <c r="TSY17" s="7158"/>
      <c r="TSZ17" s="7159"/>
      <c r="TTA17" s="7152" t="s">
        <v>175</v>
      </c>
      <c r="TTB17" s="7153"/>
      <c r="TTC17" s="7153"/>
      <c r="TTD17" s="7153"/>
      <c r="TTE17" s="7157"/>
      <c r="TTF17" s="7157"/>
      <c r="TTG17" s="7157"/>
      <c r="TTH17" s="7157"/>
      <c r="TTI17" s="7157"/>
      <c r="TTJ17" s="7157"/>
      <c r="TTK17" s="7158"/>
      <c r="TTL17" s="7158"/>
      <c r="TTM17" s="7158"/>
      <c r="TTN17" s="7158"/>
      <c r="TTO17" s="7158"/>
      <c r="TTP17" s="7159"/>
      <c r="TTQ17" s="7152" t="s">
        <v>175</v>
      </c>
      <c r="TTR17" s="7153"/>
      <c r="TTS17" s="7153"/>
      <c r="TTT17" s="7153"/>
      <c r="TTU17" s="7157"/>
      <c r="TTV17" s="7157"/>
      <c r="TTW17" s="7157"/>
      <c r="TTX17" s="7157"/>
      <c r="TTY17" s="7157"/>
      <c r="TTZ17" s="7157"/>
      <c r="TUA17" s="7158"/>
      <c r="TUB17" s="7158"/>
      <c r="TUC17" s="7158"/>
      <c r="TUD17" s="7158"/>
      <c r="TUE17" s="7158"/>
      <c r="TUF17" s="7159"/>
      <c r="TUG17" s="7152" t="s">
        <v>175</v>
      </c>
      <c r="TUH17" s="7153"/>
      <c r="TUI17" s="7153"/>
      <c r="TUJ17" s="7153"/>
      <c r="TUK17" s="7157"/>
      <c r="TUL17" s="7157"/>
      <c r="TUM17" s="7157"/>
      <c r="TUN17" s="7157"/>
      <c r="TUO17" s="7157"/>
      <c r="TUP17" s="7157"/>
      <c r="TUQ17" s="7158"/>
      <c r="TUR17" s="7158"/>
      <c r="TUS17" s="7158"/>
      <c r="TUT17" s="7158"/>
      <c r="TUU17" s="7158"/>
      <c r="TUV17" s="7159"/>
      <c r="TUW17" s="7152" t="s">
        <v>175</v>
      </c>
      <c r="TUX17" s="7153"/>
      <c r="TUY17" s="7153"/>
      <c r="TUZ17" s="7153"/>
      <c r="TVA17" s="7157"/>
      <c r="TVB17" s="7157"/>
      <c r="TVC17" s="7157"/>
      <c r="TVD17" s="7157"/>
      <c r="TVE17" s="7157"/>
      <c r="TVF17" s="7157"/>
      <c r="TVG17" s="7158"/>
      <c r="TVH17" s="7158"/>
      <c r="TVI17" s="7158"/>
      <c r="TVJ17" s="7158"/>
      <c r="TVK17" s="7158"/>
      <c r="TVL17" s="7159"/>
      <c r="TVM17" s="7152" t="s">
        <v>175</v>
      </c>
      <c r="TVN17" s="7153"/>
      <c r="TVO17" s="7153"/>
      <c r="TVP17" s="7153"/>
      <c r="TVQ17" s="7157"/>
      <c r="TVR17" s="7157"/>
      <c r="TVS17" s="7157"/>
      <c r="TVT17" s="7157"/>
      <c r="TVU17" s="7157"/>
      <c r="TVV17" s="7157"/>
      <c r="TVW17" s="7158"/>
      <c r="TVX17" s="7158"/>
      <c r="TVY17" s="7158"/>
      <c r="TVZ17" s="7158"/>
      <c r="TWA17" s="7158"/>
      <c r="TWB17" s="7159"/>
      <c r="TWC17" s="7152" t="s">
        <v>175</v>
      </c>
      <c r="TWD17" s="7153"/>
      <c r="TWE17" s="7153"/>
      <c r="TWF17" s="7153"/>
      <c r="TWG17" s="7157"/>
      <c r="TWH17" s="7157"/>
      <c r="TWI17" s="7157"/>
      <c r="TWJ17" s="7157"/>
      <c r="TWK17" s="7157"/>
      <c r="TWL17" s="7157"/>
      <c r="TWM17" s="7158"/>
      <c r="TWN17" s="7158"/>
      <c r="TWO17" s="7158"/>
      <c r="TWP17" s="7158"/>
      <c r="TWQ17" s="7158"/>
      <c r="TWR17" s="7159"/>
      <c r="TWS17" s="7152" t="s">
        <v>175</v>
      </c>
      <c r="TWT17" s="7153"/>
      <c r="TWU17" s="7153"/>
      <c r="TWV17" s="7153"/>
      <c r="TWW17" s="7157"/>
      <c r="TWX17" s="7157"/>
      <c r="TWY17" s="7157"/>
      <c r="TWZ17" s="7157"/>
      <c r="TXA17" s="7157"/>
      <c r="TXB17" s="7157"/>
      <c r="TXC17" s="7158"/>
      <c r="TXD17" s="7158"/>
      <c r="TXE17" s="7158"/>
      <c r="TXF17" s="7158"/>
      <c r="TXG17" s="7158"/>
      <c r="TXH17" s="7159"/>
      <c r="TXI17" s="7152" t="s">
        <v>175</v>
      </c>
      <c r="TXJ17" s="7153"/>
      <c r="TXK17" s="7153"/>
      <c r="TXL17" s="7153"/>
      <c r="TXM17" s="7157"/>
      <c r="TXN17" s="7157"/>
      <c r="TXO17" s="7157"/>
      <c r="TXP17" s="7157"/>
      <c r="TXQ17" s="7157"/>
      <c r="TXR17" s="7157"/>
      <c r="TXS17" s="7158"/>
      <c r="TXT17" s="7158"/>
      <c r="TXU17" s="7158"/>
      <c r="TXV17" s="7158"/>
      <c r="TXW17" s="7158"/>
      <c r="TXX17" s="7159"/>
      <c r="TXY17" s="7152" t="s">
        <v>175</v>
      </c>
      <c r="TXZ17" s="7153"/>
      <c r="TYA17" s="7153"/>
      <c r="TYB17" s="7153"/>
      <c r="TYC17" s="7157"/>
      <c r="TYD17" s="7157"/>
      <c r="TYE17" s="7157"/>
      <c r="TYF17" s="7157"/>
      <c r="TYG17" s="7157"/>
      <c r="TYH17" s="7157"/>
      <c r="TYI17" s="7158"/>
      <c r="TYJ17" s="7158"/>
      <c r="TYK17" s="7158"/>
      <c r="TYL17" s="7158"/>
      <c r="TYM17" s="7158"/>
      <c r="TYN17" s="7159"/>
      <c r="TYO17" s="7152" t="s">
        <v>175</v>
      </c>
      <c r="TYP17" s="7153"/>
      <c r="TYQ17" s="7153"/>
      <c r="TYR17" s="7153"/>
      <c r="TYS17" s="7157"/>
      <c r="TYT17" s="7157"/>
      <c r="TYU17" s="7157"/>
      <c r="TYV17" s="7157"/>
      <c r="TYW17" s="7157"/>
      <c r="TYX17" s="7157"/>
      <c r="TYY17" s="7158"/>
      <c r="TYZ17" s="7158"/>
      <c r="TZA17" s="7158"/>
      <c r="TZB17" s="7158"/>
      <c r="TZC17" s="7158"/>
      <c r="TZD17" s="7159"/>
      <c r="TZE17" s="7152" t="s">
        <v>175</v>
      </c>
      <c r="TZF17" s="7153"/>
      <c r="TZG17" s="7153"/>
      <c r="TZH17" s="7153"/>
      <c r="TZI17" s="7157"/>
      <c r="TZJ17" s="7157"/>
      <c r="TZK17" s="7157"/>
      <c r="TZL17" s="7157"/>
      <c r="TZM17" s="7157"/>
      <c r="TZN17" s="7157"/>
      <c r="TZO17" s="7158"/>
      <c r="TZP17" s="7158"/>
      <c r="TZQ17" s="7158"/>
      <c r="TZR17" s="7158"/>
      <c r="TZS17" s="7158"/>
      <c r="TZT17" s="7159"/>
      <c r="TZU17" s="7152" t="s">
        <v>175</v>
      </c>
      <c r="TZV17" s="7153"/>
      <c r="TZW17" s="7153"/>
      <c r="TZX17" s="7153"/>
      <c r="TZY17" s="7157"/>
      <c r="TZZ17" s="7157"/>
      <c r="UAA17" s="7157"/>
      <c r="UAB17" s="7157"/>
      <c r="UAC17" s="7157"/>
      <c r="UAD17" s="7157"/>
      <c r="UAE17" s="7158"/>
      <c r="UAF17" s="7158"/>
      <c r="UAG17" s="7158"/>
      <c r="UAH17" s="7158"/>
      <c r="UAI17" s="7158"/>
      <c r="UAJ17" s="7159"/>
      <c r="UAK17" s="7152" t="s">
        <v>175</v>
      </c>
      <c r="UAL17" s="7153"/>
      <c r="UAM17" s="7153"/>
      <c r="UAN17" s="7153"/>
      <c r="UAO17" s="7157"/>
      <c r="UAP17" s="7157"/>
      <c r="UAQ17" s="7157"/>
      <c r="UAR17" s="7157"/>
      <c r="UAS17" s="7157"/>
      <c r="UAT17" s="7157"/>
      <c r="UAU17" s="7158"/>
      <c r="UAV17" s="7158"/>
      <c r="UAW17" s="7158"/>
      <c r="UAX17" s="7158"/>
      <c r="UAY17" s="7158"/>
      <c r="UAZ17" s="7159"/>
      <c r="UBA17" s="7152" t="s">
        <v>175</v>
      </c>
      <c r="UBB17" s="7153"/>
      <c r="UBC17" s="7153"/>
      <c r="UBD17" s="7153"/>
      <c r="UBE17" s="7157"/>
      <c r="UBF17" s="7157"/>
      <c r="UBG17" s="7157"/>
      <c r="UBH17" s="7157"/>
      <c r="UBI17" s="7157"/>
      <c r="UBJ17" s="7157"/>
      <c r="UBK17" s="7158"/>
      <c r="UBL17" s="7158"/>
      <c r="UBM17" s="7158"/>
      <c r="UBN17" s="7158"/>
      <c r="UBO17" s="7158"/>
      <c r="UBP17" s="7159"/>
      <c r="UBQ17" s="7152" t="s">
        <v>175</v>
      </c>
      <c r="UBR17" s="7153"/>
      <c r="UBS17" s="7153"/>
      <c r="UBT17" s="7153"/>
      <c r="UBU17" s="7157"/>
      <c r="UBV17" s="7157"/>
      <c r="UBW17" s="7157"/>
      <c r="UBX17" s="7157"/>
      <c r="UBY17" s="7157"/>
      <c r="UBZ17" s="7157"/>
      <c r="UCA17" s="7158"/>
      <c r="UCB17" s="7158"/>
      <c r="UCC17" s="7158"/>
      <c r="UCD17" s="7158"/>
      <c r="UCE17" s="7158"/>
      <c r="UCF17" s="7159"/>
      <c r="UCG17" s="7152" t="s">
        <v>175</v>
      </c>
      <c r="UCH17" s="7153"/>
      <c r="UCI17" s="7153"/>
      <c r="UCJ17" s="7153"/>
      <c r="UCK17" s="7157"/>
      <c r="UCL17" s="7157"/>
      <c r="UCM17" s="7157"/>
      <c r="UCN17" s="7157"/>
      <c r="UCO17" s="7157"/>
      <c r="UCP17" s="7157"/>
      <c r="UCQ17" s="7158"/>
      <c r="UCR17" s="7158"/>
      <c r="UCS17" s="7158"/>
      <c r="UCT17" s="7158"/>
      <c r="UCU17" s="7158"/>
      <c r="UCV17" s="7159"/>
      <c r="UCW17" s="7152" t="s">
        <v>175</v>
      </c>
      <c r="UCX17" s="7153"/>
      <c r="UCY17" s="7153"/>
      <c r="UCZ17" s="7153"/>
      <c r="UDA17" s="7157"/>
      <c r="UDB17" s="7157"/>
      <c r="UDC17" s="7157"/>
      <c r="UDD17" s="7157"/>
      <c r="UDE17" s="7157"/>
      <c r="UDF17" s="7157"/>
      <c r="UDG17" s="7158"/>
      <c r="UDH17" s="7158"/>
      <c r="UDI17" s="7158"/>
      <c r="UDJ17" s="7158"/>
      <c r="UDK17" s="7158"/>
      <c r="UDL17" s="7159"/>
      <c r="UDM17" s="7152" t="s">
        <v>175</v>
      </c>
      <c r="UDN17" s="7153"/>
      <c r="UDO17" s="7153"/>
      <c r="UDP17" s="7153"/>
      <c r="UDQ17" s="7157"/>
      <c r="UDR17" s="7157"/>
      <c r="UDS17" s="7157"/>
      <c r="UDT17" s="7157"/>
      <c r="UDU17" s="7157"/>
      <c r="UDV17" s="7157"/>
      <c r="UDW17" s="7158"/>
      <c r="UDX17" s="7158"/>
      <c r="UDY17" s="7158"/>
      <c r="UDZ17" s="7158"/>
      <c r="UEA17" s="7158"/>
      <c r="UEB17" s="7159"/>
      <c r="UEC17" s="7152" t="s">
        <v>175</v>
      </c>
      <c r="UED17" s="7153"/>
      <c r="UEE17" s="7153"/>
      <c r="UEF17" s="7153"/>
      <c r="UEG17" s="7157"/>
      <c r="UEH17" s="7157"/>
      <c r="UEI17" s="7157"/>
      <c r="UEJ17" s="7157"/>
      <c r="UEK17" s="7157"/>
      <c r="UEL17" s="7157"/>
      <c r="UEM17" s="7158"/>
      <c r="UEN17" s="7158"/>
      <c r="UEO17" s="7158"/>
      <c r="UEP17" s="7158"/>
      <c r="UEQ17" s="7158"/>
      <c r="UER17" s="7159"/>
      <c r="UES17" s="7152" t="s">
        <v>175</v>
      </c>
      <c r="UET17" s="7153"/>
      <c r="UEU17" s="7153"/>
      <c r="UEV17" s="7153"/>
      <c r="UEW17" s="7157"/>
      <c r="UEX17" s="7157"/>
      <c r="UEY17" s="7157"/>
      <c r="UEZ17" s="7157"/>
      <c r="UFA17" s="7157"/>
      <c r="UFB17" s="7157"/>
      <c r="UFC17" s="7158"/>
      <c r="UFD17" s="7158"/>
      <c r="UFE17" s="7158"/>
      <c r="UFF17" s="7158"/>
      <c r="UFG17" s="7158"/>
      <c r="UFH17" s="7159"/>
      <c r="UFI17" s="7152" t="s">
        <v>175</v>
      </c>
      <c r="UFJ17" s="7153"/>
      <c r="UFK17" s="7153"/>
      <c r="UFL17" s="7153"/>
      <c r="UFM17" s="7157"/>
      <c r="UFN17" s="7157"/>
      <c r="UFO17" s="7157"/>
      <c r="UFP17" s="7157"/>
      <c r="UFQ17" s="7157"/>
      <c r="UFR17" s="7157"/>
      <c r="UFS17" s="7158"/>
      <c r="UFT17" s="7158"/>
      <c r="UFU17" s="7158"/>
      <c r="UFV17" s="7158"/>
      <c r="UFW17" s="7158"/>
      <c r="UFX17" s="7159"/>
      <c r="UFY17" s="7152" t="s">
        <v>175</v>
      </c>
      <c r="UFZ17" s="7153"/>
      <c r="UGA17" s="7153"/>
      <c r="UGB17" s="7153"/>
      <c r="UGC17" s="7157"/>
      <c r="UGD17" s="7157"/>
      <c r="UGE17" s="7157"/>
      <c r="UGF17" s="7157"/>
      <c r="UGG17" s="7157"/>
      <c r="UGH17" s="7157"/>
      <c r="UGI17" s="7158"/>
      <c r="UGJ17" s="7158"/>
      <c r="UGK17" s="7158"/>
      <c r="UGL17" s="7158"/>
      <c r="UGM17" s="7158"/>
      <c r="UGN17" s="7159"/>
      <c r="UGO17" s="7152" t="s">
        <v>175</v>
      </c>
      <c r="UGP17" s="7153"/>
      <c r="UGQ17" s="7153"/>
      <c r="UGR17" s="7153"/>
      <c r="UGS17" s="7157"/>
      <c r="UGT17" s="7157"/>
      <c r="UGU17" s="7157"/>
      <c r="UGV17" s="7157"/>
      <c r="UGW17" s="7157"/>
      <c r="UGX17" s="7157"/>
      <c r="UGY17" s="7158"/>
      <c r="UGZ17" s="7158"/>
      <c r="UHA17" s="7158"/>
      <c r="UHB17" s="7158"/>
      <c r="UHC17" s="7158"/>
      <c r="UHD17" s="7159"/>
      <c r="UHE17" s="7152" t="s">
        <v>175</v>
      </c>
      <c r="UHF17" s="7153"/>
      <c r="UHG17" s="7153"/>
      <c r="UHH17" s="7153"/>
      <c r="UHI17" s="7157"/>
      <c r="UHJ17" s="7157"/>
      <c r="UHK17" s="7157"/>
      <c r="UHL17" s="7157"/>
      <c r="UHM17" s="7157"/>
      <c r="UHN17" s="7157"/>
      <c r="UHO17" s="7158"/>
      <c r="UHP17" s="7158"/>
      <c r="UHQ17" s="7158"/>
      <c r="UHR17" s="7158"/>
      <c r="UHS17" s="7158"/>
      <c r="UHT17" s="7159"/>
      <c r="UHU17" s="7152" t="s">
        <v>175</v>
      </c>
      <c r="UHV17" s="7153"/>
      <c r="UHW17" s="7153"/>
      <c r="UHX17" s="7153"/>
      <c r="UHY17" s="7157"/>
      <c r="UHZ17" s="7157"/>
      <c r="UIA17" s="7157"/>
      <c r="UIB17" s="7157"/>
      <c r="UIC17" s="7157"/>
      <c r="UID17" s="7157"/>
      <c r="UIE17" s="7158"/>
      <c r="UIF17" s="7158"/>
      <c r="UIG17" s="7158"/>
      <c r="UIH17" s="7158"/>
      <c r="UII17" s="7158"/>
      <c r="UIJ17" s="7159"/>
      <c r="UIK17" s="7152" t="s">
        <v>175</v>
      </c>
      <c r="UIL17" s="7153"/>
      <c r="UIM17" s="7153"/>
      <c r="UIN17" s="7153"/>
      <c r="UIO17" s="7157"/>
      <c r="UIP17" s="7157"/>
      <c r="UIQ17" s="7157"/>
      <c r="UIR17" s="7157"/>
      <c r="UIS17" s="7157"/>
      <c r="UIT17" s="7157"/>
      <c r="UIU17" s="7158"/>
      <c r="UIV17" s="7158"/>
      <c r="UIW17" s="7158"/>
      <c r="UIX17" s="7158"/>
      <c r="UIY17" s="7158"/>
      <c r="UIZ17" s="7159"/>
      <c r="UJA17" s="7152" t="s">
        <v>175</v>
      </c>
      <c r="UJB17" s="7153"/>
      <c r="UJC17" s="7153"/>
      <c r="UJD17" s="7153"/>
      <c r="UJE17" s="7157"/>
      <c r="UJF17" s="7157"/>
      <c r="UJG17" s="7157"/>
      <c r="UJH17" s="7157"/>
      <c r="UJI17" s="7157"/>
      <c r="UJJ17" s="7157"/>
      <c r="UJK17" s="7158"/>
      <c r="UJL17" s="7158"/>
      <c r="UJM17" s="7158"/>
      <c r="UJN17" s="7158"/>
      <c r="UJO17" s="7158"/>
      <c r="UJP17" s="7159"/>
      <c r="UJQ17" s="7152" t="s">
        <v>175</v>
      </c>
      <c r="UJR17" s="7153"/>
      <c r="UJS17" s="7153"/>
      <c r="UJT17" s="7153"/>
      <c r="UJU17" s="7157"/>
      <c r="UJV17" s="7157"/>
      <c r="UJW17" s="7157"/>
      <c r="UJX17" s="7157"/>
      <c r="UJY17" s="7157"/>
      <c r="UJZ17" s="7157"/>
      <c r="UKA17" s="7158"/>
      <c r="UKB17" s="7158"/>
      <c r="UKC17" s="7158"/>
      <c r="UKD17" s="7158"/>
      <c r="UKE17" s="7158"/>
      <c r="UKF17" s="7159"/>
      <c r="UKG17" s="7152" t="s">
        <v>175</v>
      </c>
      <c r="UKH17" s="7153"/>
      <c r="UKI17" s="7153"/>
      <c r="UKJ17" s="7153"/>
      <c r="UKK17" s="7157"/>
      <c r="UKL17" s="7157"/>
      <c r="UKM17" s="7157"/>
      <c r="UKN17" s="7157"/>
      <c r="UKO17" s="7157"/>
      <c r="UKP17" s="7157"/>
      <c r="UKQ17" s="7158"/>
      <c r="UKR17" s="7158"/>
      <c r="UKS17" s="7158"/>
      <c r="UKT17" s="7158"/>
      <c r="UKU17" s="7158"/>
      <c r="UKV17" s="7159"/>
      <c r="UKW17" s="7152" t="s">
        <v>175</v>
      </c>
      <c r="UKX17" s="7153"/>
      <c r="UKY17" s="7153"/>
      <c r="UKZ17" s="7153"/>
      <c r="ULA17" s="7157"/>
      <c r="ULB17" s="7157"/>
      <c r="ULC17" s="7157"/>
      <c r="ULD17" s="7157"/>
      <c r="ULE17" s="7157"/>
      <c r="ULF17" s="7157"/>
      <c r="ULG17" s="7158"/>
      <c r="ULH17" s="7158"/>
      <c r="ULI17" s="7158"/>
      <c r="ULJ17" s="7158"/>
      <c r="ULK17" s="7158"/>
      <c r="ULL17" s="7159"/>
      <c r="ULM17" s="7152" t="s">
        <v>175</v>
      </c>
      <c r="ULN17" s="7153"/>
      <c r="ULO17" s="7153"/>
      <c r="ULP17" s="7153"/>
      <c r="ULQ17" s="7157"/>
      <c r="ULR17" s="7157"/>
      <c r="ULS17" s="7157"/>
      <c r="ULT17" s="7157"/>
      <c r="ULU17" s="7157"/>
      <c r="ULV17" s="7157"/>
      <c r="ULW17" s="7158"/>
      <c r="ULX17" s="7158"/>
      <c r="ULY17" s="7158"/>
      <c r="ULZ17" s="7158"/>
      <c r="UMA17" s="7158"/>
      <c r="UMB17" s="7159"/>
      <c r="UMC17" s="7152" t="s">
        <v>175</v>
      </c>
      <c r="UMD17" s="7153"/>
      <c r="UME17" s="7153"/>
      <c r="UMF17" s="7153"/>
      <c r="UMG17" s="7157"/>
      <c r="UMH17" s="7157"/>
      <c r="UMI17" s="7157"/>
      <c r="UMJ17" s="7157"/>
      <c r="UMK17" s="7157"/>
      <c r="UML17" s="7157"/>
      <c r="UMM17" s="7158"/>
      <c r="UMN17" s="7158"/>
      <c r="UMO17" s="7158"/>
      <c r="UMP17" s="7158"/>
      <c r="UMQ17" s="7158"/>
      <c r="UMR17" s="7159"/>
      <c r="UMS17" s="7152" t="s">
        <v>175</v>
      </c>
      <c r="UMT17" s="7153"/>
      <c r="UMU17" s="7153"/>
      <c r="UMV17" s="7153"/>
      <c r="UMW17" s="7157"/>
      <c r="UMX17" s="7157"/>
      <c r="UMY17" s="7157"/>
      <c r="UMZ17" s="7157"/>
      <c r="UNA17" s="7157"/>
      <c r="UNB17" s="7157"/>
      <c r="UNC17" s="7158"/>
      <c r="UND17" s="7158"/>
      <c r="UNE17" s="7158"/>
      <c r="UNF17" s="7158"/>
      <c r="UNG17" s="7158"/>
      <c r="UNH17" s="7159"/>
      <c r="UNI17" s="7152" t="s">
        <v>175</v>
      </c>
      <c r="UNJ17" s="7153"/>
      <c r="UNK17" s="7153"/>
      <c r="UNL17" s="7153"/>
      <c r="UNM17" s="7157"/>
      <c r="UNN17" s="7157"/>
      <c r="UNO17" s="7157"/>
      <c r="UNP17" s="7157"/>
      <c r="UNQ17" s="7157"/>
      <c r="UNR17" s="7157"/>
      <c r="UNS17" s="7158"/>
      <c r="UNT17" s="7158"/>
      <c r="UNU17" s="7158"/>
      <c r="UNV17" s="7158"/>
      <c r="UNW17" s="7158"/>
      <c r="UNX17" s="7159"/>
      <c r="UNY17" s="7152" t="s">
        <v>175</v>
      </c>
      <c r="UNZ17" s="7153"/>
      <c r="UOA17" s="7153"/>
      <c r="UOB17" s="7153"/>
      <c r="UOC17" s="7157"/>
      <c r="UOD17" s="7157"/>
      <c r="UOE17" s="7157"/>
      <c r="UOF17" s="7157"/>
      <c r="UOG17" s="7157"/>
      <c r="UOH17" s="7157"/>
      <c r="UOI17" s="7158"/>
      <c r="UOJ17" s="7158"/>
      <c r="UOK17" s="7158"/>
      <c r="UOL17" s="7158"/>
      <c r="UOM17" s="7158"/>
      <c r="UON17" s="7159"/>
      <c r="UOO17" s="7152" t="s">
        <v>175</v>
      </c>
      <c r="UOP17" s="7153"/>
      <c r="UOQ17" s="7153"/>
      <c r="UOR17" s="7153"/>
      <c r="UOS17" s="7157"/>
      <c r="UOT17" s="7157"/>
      <c r="UOU17" s="7157"/>
      <c r="UOV17" s="7157"/>
      <c r="UOW17" s="7157"/>
      <c r="UOX17" s="7157"/>
      <c r="UOY17" s="7158"/>
      <c r="UOZ17" s="7158"/>
      <c r="UPA17" s="7158"/>
      <c r="UPB17" s="7158"/>
      <c r="UPC17" s="7158"/>
      <c r="UPD17" s="7159"/>
      <c r="UPE17" s="7152" t="s">
        <v>175</v>
      </c>
      <c r="UPF17" s="7153"/>
      <c r="UPG17" s="7153"/>
      <c r="UPH17" s="7153"/>
      <c r="UPI17" s="7157"/>
      <c r="UPJ17" s="7157"/>
      <c r="UPK17" s="7157"/>
      <c r="UPL17" s="7157"/>
      <c r="UPM17" s="7157"/>
      <c r="UPN17" s="7157"/>
      <c r="UPO17" s="7158"/>
      <c r="UPP17" s="7158"/>
      <c r="UPQ17" s="7158"/>
      <c r="UPR17" s="7158"/>
      <c r="UPS17" s="7158"/>
      <c r="UPT17" s="7159"/>
      <c r="UPU17" s="7152" t="s">
        <v>175</v>
      </c>
      <c r="UPV17" s="7153"/>
      <c r="UPW17" s="7153"/>
      <c r="UPX17" s="7153"/>
      <c r="UPY17" s="7157"/>
      <c r="UPZ17" s="7157"/>
      <c r="UQA17" s="7157"/>
      <c r="UQB17" s="7157"/>
      <c r="UQC17" s="7157"/>
      <c r="UQD17" s="7157"/>
      <c r="UQE17" s="7158"/>
      <c r="UQF17" s="7158"/>
      <c r="UQG17" s="7158"/>
      <c r="UQH17" s="7158"/>
      <c r="UQI17" s="7158"/>
      <c r="UQJ17" s="7159"/>
      <c r="UQK17" s="7152" t="s">
        <v>175</v>
      </c>
      <c r="UQL17" s="7153"/>
      <c r="UQM17" s="7153"/>
      <c r="UQN17" s="7153"/>
      <c r="UQO17" s="7157"/>
      <c r="UQP17" s="7157"/>
      <c r="UQQ17" s="7157"/>
      <c r="UQR17" s="7157"/>
      <c r="UQS17" s="7157"/>
      <c r="UQT17" s="7157"/>
      <c r="UQU17" s="7158"/>
      <c r="UQV17" s="7158"/>
      <c r="UQW17" s="7158"/>
      <c r="UQX17" s="7158"/>
      <c r="UQY17" s="7158"/>
      <c r="UQZ17" s="7159"/>
      <c r="URA17" s="7152" t="s">
        <v>175</v>
      </c>
      <c r="URB17" s="7153"/>
      <c r="URC17" s="7153"/>
      <c r="URD17" s="7153"/>
      <c r="URE17" s="7157"/>
      <c r="URF17" s="7157"/>
      <c r="URG17" s="7157"/>
      <c r="URH17" s="7157"/>
      <c r="URI17" s="7157"/>
      <c r="URJ17" s="7157"/>
      <c r="URK17" s="7158"/>
      <c r="URL17" s="7158"/>
      <c r="URM17" s="7158"/>
      <c r="URN17" s="7158"/>
      <c r="URO17" s="7158"/>
      <c r="URP17" s="7159"/>
      <c r="URQ17" s="7152" t="s">
        <v>175</v>
      </c>
      <c r="URR17" s="7153"/>
      <c r="URS17" s="7153"/>
      <c r="URT17" s="7153"/>
      <c r="URU17" s="7157"/>
      <c r="URV17" s="7157"/>
      <c r="URW17" s="7157"/>
      <c r="URX17" s="7157"/>
      <c r="URY17" s="7157"/>
      <c r="URZ17" s="7157"/>
      <c r="USA17" s="7158"/>
      <c r="USB17" s="7158"/>
      <c r="USC17" s="7158"/>
      <c r="USD17" s="7158"/>
      <c r="USE17" s="7158"/>
      <c r="USF17" s="7159"/>
      <c r="USG17" s="7152" t="s">
        <v>175</v>
      </c>
      <c r="USH17" s="7153"/>
      <c r="USI17" s="7153"/>
      <c r="USJ17" s="7153"/>
      <c r="USK17" s="7157"/>
      <c r="USL17" s="7157"/>
      <c r="USM17" s="7157"/>
      <c r="USN17" s="7157"/>
      <c r="USO17" s="7157"/>
      <c r="USP17" s="7157"/>
      <c r="USQ17" s="7158"/>
      <c r="USR17" s="7158"/>
      <c r="USS17" s="7158"/>
      <c r="UST17" s="7158"/>
      <c r="USU17" s="7158"/>
      <c r="USV17" s="7159"/>
      <c r="USW17" s="7152" t="s">
        <v>175</v>
      </c>
      <c r="USX17" s="7153"/>
      <c r="USY17" s="7153"/>
      <c r="USZ17" s="7153"/>
      <c r="UTA17" s="7157"/>
      <c r="UTB17" s="7157"/>
      <c r="UTC17" s="7157"/>
      <c r="UTD17" s="7157"/>
      <c r="UTE17" s="7157"/>
      <c r="UTF17" s="7157"/>
      <c r="UTG17" s="7158"/>
      <c r="UTH17" s="7158"/>
      <c r="UTI17" s="7158"/>
      <c r="UTJ17" s="7158"/>
      <c r="UTK17" s="7158"/>
      <c r="UTL17" s="7159"/>
      <c r="UTM17" s="7152" t="s">
        <v>175</v>
      </c>
      <c r="UTN17" s="7153"/>
      <c r="UTO17" s="7153"/>
      <c r="UTP17" s="7153"/>
      <c r="UTQ17" s="7157"/>
      <c r="UTR17" s="7157"/>
      <c r="UTS17" s="7157"/>
      <c r="UTT17" s="7157"/>
      <c r="UTU17" s="7157"/>
      <c r="UTV17" s="7157"/>
      <c r="UTW17" s="7158"/>
      <c r="UTX17" s="7158"/>
      <c r="UTY17" s="7158"/>
      <c r="UTZ17" s="7158"/>
      <c r="UUA17" s="7158"/>
      <c r="UUB17" s="7159"/>
      <c r="UUC17" s="7152" t="s">
        <v>175</v>
      </c>
      <c r="UUD17" s="7153"/>
      <c r="UUE17" s="7153"/>
      <c r="UUF17" s="7153"/>
      <c r="UUG17" s="7157"/>
      <c r="UUH17" s="7157"/>
      <c r="UUI17" s="7157"/>
      <c r="UUJ17" s="7157"/>
      <c r="UUK17" s="7157"/>
      <c r="UUL17" s="7157"/>
      <c r="UUM17" s="7158"/>
      <c r="UUN17" s="7158"/>
      <c r="UUO17" s="7158"/>
      <c r="UUP17" s="7158"/>
      <c r="UUQ17" s="7158"/>
      <c r="UUR17" s="7159"/>
      <c r="UUS17" s="7152" t="s">
        <v>175</v>
      </c>
      <c r="UUT17" s="7153"/>
      <c r="UUU17" s="7153"/>
      <c r="UUV17" s="7153"/>
      <c r="UUW17" s="7157"/>
      <c r="UUX17" s="7157"/>
      <c r="UUY17" s="7157"/>
      <c r="UUZ17" s="7157"/>
      <c r="UVA17" s="7157"/>
      <c r="UVB17" s="7157"/>
      <c r="UVC17" s="7158"/>
      <c r="UVD17" s="7158"/>
      <c r="UVE17" s="7158"/>
      <c r="UVF17" s="7158"/>
      <c r="UVG17" s="7158"/>
      <c r="UVH17" s="7159"/>
      <c r="UVI17" s="7152" t="s">
        <v>175</v>
      </c>
      <c r="UVJ17" s="7153"/>
      <c r="UVK17" s="7153"/>
      <c r="UVL17" s="7153"/>
      <c r="UVM17" s="7157"/>
      <c r="UVN17" s="7157"/>
      <c r="UVO17" s="7157"/>
      <c r="UVP17" s="7157"/>
      <c r="UVQ17" s="7157"/>
      <c r="UVR17" s="7157"/>
      <c r="UVS17" s="7158"/>
      <c r="UVT17" s="7158"/>
      <c r="UVU17" s="7158"/>
      <c r="UVV17" s="7158"/>
      <c r="UVW17" s="7158"/>
      <c r="UVX17" s="7159"/>
      <c r="UVY17" s="7152" t="s">
        <v>175</v>
      </c>
      <c r="UVZ17" s="7153"/>
      <c r="UWA17" s="7153"/>
      <c r="UWB17" s="7153"/>
      <c r="UWC17" s="7157"/>
      <c r="UWD17" s="7157"/>
      <c r="UWE17" s="7157"/>
      <c r="UWF17" s="7157"/>
      <c r="UWG17" s="7157"/>
      <c r="UWH17" s="7157"/>
      <c r="UWI17" s="7158"/>
      <c r="UWJ17" s="7158"/>
      <c r="UWK17" s="7158"/>
      <c r="UWL17" s="7158"/>
      <c r="UWM17" s="7158"/>
      <c r="UWN17" s="7159"/>
      <c r="UWO17" s="7152" t="s">
        <v>175</v>
      </c>
      <c r="UWP17" s="7153"/>
      <c r="UWQ17" s="7153"/>
      <c r="UWR17" s="7153"/>
      <c r="UWS17" s="7157"/>
      <c r="UWT17" s="7157"/>
      <c r="UWU17" s="7157"/>
      <c r="UWV17" s="7157"/>
      <c r="UWW17" s="7157"/>
      <c r="UWX17" s="7157"/>
      <c r="UWY17" s="7158"/>
      <c r="UWZ17" s="7158"/>
      <c r="UXA17" s="7158"/>
      <c r="UXB17" s="7158"/>
      <c r="UXC17" s="7158"/>
      <c r="UXD17" s="7159"/>
      <c r="UXE17" s="7152" t="s">
        <v>175</v>
      </c>
      <c r="UXF17" s="7153"/>
      <c r="UXG17" s="7153"/>
      <c r="UXH17" s="7153"/>
      <c r="UXI17" s="7157"/>
      <c r="UXJ17" s="7157"/>
      <c r="UXK17" s="7157"/>
      <c r="UXL17" s="7157"/>
      <c r="UXM17" s="7157"/>
      <c r="UXN17" s="7157"/>
      <c r="UXO17" s="7158"/>
      <c r="UXP17" s="7158"/>
      <c r="UXQ17" s="7158"/>
      <c r="UXR17" s="7158"/>
      <c r="UXS17" s="7158"/>
      <c r="UXT17" s="7159"/>
      <c r="UXU17" s="7152" t="s">
        <v>175</v>
      </c>
      <c r="UXV17" s="7153"/>
      <c r="UXW17" s="7153"/>
      <c r="UXX17" s="7153"/>
      <c r="UXY17" s="7157"/>
      <c r="UXZ17" s="7157"/>
      <c r="UYA17" s="7157"/>
      <c r="UYB17" s="7157"/>
      <c r="UYC17" s="7157"/>
      <c r="UYD17" s="7157"/>
      <c r="UYE17" s="7158"/>
      <c r="UYF17" s="7158"/>
      <c r="UYG17" s="7158"/>
      <c r="UYH17" s="7158"/>
      <c r="UYI17" s="7158"/>
      <c r="UYJ17" s="7159"/>
      <c r="UYK17" s="7152" t="s">
        <v>175</v>
      </c>
      <c r="UYL17" s="7153"/>
      <c r="UYM17" s="7153"/>
      <c r="UYN17" s="7153"/>
      <c r="UYO17" s="7157"/>
      <c r="UYP17" s="7157"/>
      <c r="UYQ17" s="7157"/>
      <c r="UYR17" s="7157"/>
      <c r="UYS17" s="7157"/>
      <c r="UYT17" s="7157"/>
      <c r="UYU17" s="7158"/>
      <c r="UYV17" s="7158"/>
      <c r="UYW17" s="7158"/>
      <c r="UYX17" s="7158"/>
      <c r="UYY17" s="7158"/>
      <c r="UYZ17" s="7159"/>
      <c r="UZA17" s="7152" t="s">
        <v>175</v>
      </c>
      <c r="UZB17" s="7153"/>
      <c r="UZC17" s="7153"/>
      <c r="UZD17" s="7153"/>
      <c r="UZE17" s="7157"/>
      <c r="UZF17" s="7157"/>
      <c r="UZG17" s="7157"/>
      <c r="UZH17" s="7157"/>
      <c r="UZI17" s="7157"/>
      <c r="UZJ17" s="7157"/>
      <c r="UZK17" s="7158"/>
      <c r="UZL17" s="7158"/>
      <c r="UZM17" s="7158"/>
      <c r="UZN17" s="7158"/>
      <c r="UZO17" s="7158"/>
      <c r="UZP17" s="7159"/>
      <c r="UZQ17" s="7152" t="s">
        <v>175</v>
      </c>
      <c r="UZR17" s="7153"/>
      <c r="UZS17" s="7153"/>
      <c r="UZT17" s="7153"/>
      <c r="UZU17" s="7157"/>
      <c r="UZV17" s="7157"/>
      <c r="UZW17" s="7157"/>
      <c r="UZX17" s="7157"/>
      <c r="UZY17" s="7157"/>
      <c r="UZZ17" s="7157"/>
      <c r="VAA17" s="7158"/>
      <c r="VAB17" s="7158"/>
      <c r="VAC17" s="7158"/>
      <c r="VAD17" s="7158"/>
      <c r="VAE17" s="7158"/>
      <c r="VAF17" s="7159"/>
      <c r="VAG17" s="7152" t="s">
        <v>175</v>
      </c>
      <c r="VAH17" s="7153"/>
      <c r="VAI17" s="7153"/>
      <c r="VAJ17" s="7153"/>
      <c r="VAK17" s="7157"/>
      <c r="VAL17" s="7157"/>
      <c r="VAM17" s="7157"/>
      <c r="VAN17" s="7157"/>
      <c r="VAO17" s="7157"/>
      <c r="VAP17" s="7157"/>
      <c r="VAQ17" s="7158"/>
      <c r="VAR17" s="7158"/>
      <c r="VAS17" s="7158"/>
      <c r="VAT17" s="7158"/>
      <c r="VAU17" s="7158"/>
      <c r="VAV17" s="7159"/>
      <c r="VAW17" s="7152" t="s">
        <v>175</v>
      </c>
      <c r="VAX17" s="7153"/>
      <c r="VAY17" s="7153"/>
      <c r="VAZ17" s="7153"/>
      <c r="VBA17" s="7157"/>
      <c r="VBB17" s="7157"/>
      <c r="VBC17" s="7157"/>
      <c r="VBD17" s="7157"/>
      <c r="VBE17" s="7157"/>
      <c r="VBF17" s="7157"/>
      <c r="VBG17" s="7158"/>
      <c r="VBH17" s="7158"/>
      <c r="VBI17" s="7158"/>
      <c r="VBJ17" s="7158"/>
      <c r="VBK17" s="7158"/>
      <c r="VBL17" s="7159"/>
      <c r="VBM17" s="7152" t="s">
        <v>175</v>
      </c>
      <c r="VBN17" s="7153"/>
      <c r="VBO17" s="7153"/>
      <c r="VBP17" s="7153"/>
      <c r="VBQ17" s="7157"/>
      <c r="VBR17" s="7157"/>
      <c r="VBS17" s="7157"/>
      <c r="VBT17" s="7157"/>
      <c r="VBU17" s="7157"/>
      <c r="VBV17" s="7157"/>
      <c r="VBW17" s="7158"/>
      <c r="VBX17" s="7158"/>
      <c r="VBY17" s="7158"/>
      <c r="VBZ17" s="7158"/>
      <c r="VCA17" s="7158"/>
      <c r="VCB17" s="7159"/>
      <c r="VCC17" s="7152" t="s">
        <v>175</v>
      </c>
      <c r="VCD17" s="7153"/>
      <c r="VCE17" s="7153"/>
      <c r="VCF17" s="7153"/>
      <c r="VCG17" s="7157"/>
      <c r="VCH17" s="7157"/>
      <c r="VCI17" s="7157"/>
      <c r="VCJ17" s="7157"/>
      <c r="VCK17" s="7157"/>
      <c r="VCL17" s="7157"/>
      <c r="VCM17" s="7158"/>
      <c r="VCN17" s="7158"/>
      <c r="VCO17" s="7158"/>
      <c r="VCP17" s="7158"/>
      <c r="VCQ17" s="7158"/>
      <c r="VCR17" s="7159"/>
      <c r="VCS17" s="7152" t="s">
        <v>175</v>
      </c>
      <c r="VCT17" s="7153"/>
      <c r="VCU17" s="7153"/>
      <c r="VCV17" s="7153"/>
      <c r="VCW17" s="7157"/>
      <c r="VCX17" s="7157"/>
      <c r="VCY17" s="7157"/>
      <c r="VCZ17" s="7157"/>
      <c r="VDA17" s="7157"/>
      <c r="VDB17" s="7157"/>
      <c r="VDC17" s="7158"/>
      <c r="VDD17" s="7158"/>
      <c r="VDE17" s="7158"/>
      <c r="VDF17" s="7158"/>
      <c r="VDG17" s="7158"/>
      <c r="VDH17" s="7159"/>
      <c r="VDI17" s="7152" t="s">
        <v>175</v>
      </c>
      <c r="VDJ17" s="7153"/>
      <c r="VDK17" s="7153"/>
      <c r="VDL17" s="7153"/>
      <c r="VDM17" s="7157"/>
      <c r="VDN17" s="7157"/>
      <c r="VDO17" s="7157"/>
      <c r="VDP17" s="7157"/>
      <c r="VDQ17" s="7157"/>
      <c r="VDR17" s="7157"/>
      <c r="VDS17" s="7158"/>
      <c r="VDT17" s="7158"/>
      <c r="VDU17" s="7158"/>
      <c r="VDV17" s="7158"/>
      <c r="VDW17" s="7158"/>
      <c r="VDX17" s="7159"/>
      <c r="VDY17" s="7152" t="s">
        <v>175</v>
      </c>
      <c r="VDZ17" s="7153"/>
      <c r="VEA17" s="7153"/>
      <c r="VEB17" s="7153"/>
      <c r="VEC17" s="7157"/>
      <c r="VED17" s="7157"/>
      <c r="VEE17" s="7157"/>
      <c r="VEF17" s="7157"/>
      <c r="VEG17" s="7157"/>
      <c r="VEH17" s="7157"/>
      <c r="VEI17" s="7158"/>
      <c r="VEJ17" s="7158"/>
      <c r="VEK17" s="7158"/>
      <c r="VEL17" s="7158"/>
      <c r="VEM17" s="7158"/>
      <c r="VEN17" s="7159"/>
      <c r="VEO17" s="7152" t="s">
        <v>175</v>
      </c>
      <c r="VEP17" s="7153"/>
      <c r="VEQ17" s="7153"/>
      <c r="VER17" s="7153"/>
      <c r="VES17" s="7157"/>
      <c r="VET17" s="7157"/>
      <c r="VEU17" s="7157"/>
      <c r="VEV17" s="7157"/>
      <c r="VEW17" s="7157"/>
      <c r="VEX17" s="7157"/>
      <c r="VEY17" s="7158"/>
      <c r="VEZ17" s="7158"/>
      <c r="VFA17" s="7158"/>
      <c r="VFB17" s="7158"/>
      <c r="VFC17" s="7158"/>
      <c r="VFD17" s="7159"/>
      <c r="VFE17" s="7152" t="s">
        <v>175</v>
      </c>
      <c r="VFF17" s="7153"/>
      <c r="VFG17" s="7153"/>
      <c r="VFH17" s="7153"/>
      <c r="VFI17" s="7157"/>
      <c r="VFJ17" s="7157"/>
      <c r="VFK17" s="7157"/>
      <c r="VFL17" s="7157"/>
      <c r="VFM17" s="7157"/>
      <c r="VFN17" s="7157"/>
      <c r="VFO17" s="7158"/>
      <c r="VFP17" s="7158"/>
      <c r="VFQ17" s="7158"/>
      <c r="VFR17" s="7158"/>
      <c r="VFS17" s="7158"/>
      <c r="VFT17" s="7159"/>
      <c r="VFU17" s="7152" t="s">
        <v>175</v>
      </c>
      <c r="VFV17" s="7153"/>
      <c r="VFW17" s="7153"/>
      <c r="VFX17" s="7153"/>
      <c r="VFY17" s="7157"/>
      <c r="VFZ17" s="7157"/>
      <c r="VGA17" s="7157"/>
      <c r="VGB17" s="7157"/>
      <c r="VGC17" s="7157"/>
      <c r="VGD17" s="7157"/>
      <c r="VGE17" s="7158"/>
      <c r="VGF17" s="7158"/>
      <c r="VGG17" s="7158"/>
      <c r="VGH17" s="7158"/>
      <c r="VGI17" s="7158"/>
      <c r="VGJ17" s="7159"/>
      <c r="VGK17" s="7152" t="s">
        <v>175</v>
      </c>
      <c r="VGL17" s="7153"/>
      <c r="VGM17" s="7153"/>
      <c r="VGN17" s="7153"/>
      <c r="VGO17" s="7157"/>
      <c r="VGP17" s="7157"/>
      <c r="VGQ17" s="7157"/>
      <c r="VGR17" s="7157"/>
      <c r="VGS17" s="7157"/>
      <c r="VGT17" s="7157"/>
      <c r="VGU17" s="7158"/>
      <c r="VGV17" s="7158"/>
      <c r="VGW17" s="7158"/>
      <c r="VGX17" s="7158"/>
      <c r="VGY17" s="7158"/>
      <c r="VGZ17" s="7159"/>
      <c r="VHA17" s="7152" t="s">
        <v>175</v>
      </c>
      <c r="VHB17" s="7153"/>
      <c r="VHC17" s="7153"/>
      <c r="VHD17" s="7153"/>
      <c r="VHE17" s="7157"/>
      <c r="VHF17" s="7157"/>
      <c r="VHG17" s="7157"/>
      <c r="VHH17" s="7157"/>
      <c r="VHI17" s="7157"/>
      <c r="VHJ17" s="7157"/>
      <c r="VHK17" s="7158"/>
      <c r="VHL17" s="7158"/>
      <c r="VHM17" s="7158"/>
      <c r="VHN17" s="7158"/>
      <c r="VHO17" s="7158"/>
      <c r="VHP17" s="7159"/>
      <c r="VHQ17" s="7152" t="s">
        <v>175</v>
      </c>
      <c r="VHR17" s="7153"/>
      <c r="VHS17" s="7153"/>
      <c r="VHT17" s="7153"/>
      <c r="VHU17" s="7157"/>
      <c r="VHV17" s="7157"/>
      <c r="VHW17" s="7157"/>
      <c r="VHX17" s="7157"/>
      <c r="VHY17" s="7157"/>
      <c r="VHZ17" s="7157"/>
      <c r="VIA17" s="7158"/>
      <c r="VIB17" s="7158"/>
      <c r="VIC17" s="7158"/>
      <c r="VID17" s="7158"/>
      <c r="VIE17" s="7158"/>
      <c r="VIF17" s="7159"/>
      <c r="VIG17" s="7152" t="s">
        <v>175</v>
      </c>
      <c r="VIH17" s="7153"/>
      <c r="VII17" s="7153"/>
      <c r="VIJ17" s="7153"/>
      <c r="VIK17" s="7157"/>
      <c r="VIL17" s="7157"/>
      <c r="VIM17" s="7157"/>
      <c r="VIN17" s="7157"/>
      <c r="VIO17" s="7157"/>
      <c r="VIP17" s="7157"/>
      <c r="VIQ17" s="7158"/>
      <c r="VIR17" s="7158"/>
      <c r="VIS17" s="7158"/>
      <c r="VIT17" s="7158"/>
      <c r="VIU17" s="7158"/>
      <c r="VIV17" s="7159"/>
      <c r="VIW17" s="7152" t="s">
        <v>175</v>
      </c>
      <c r="VIX17" s="7153"/>
      <c r="VIY17" s="7153"/>
      <c r="VIZ17" s="7153"/>
      <c r="VJA17" s="7157"/>
      <c r="VJB17" s="7157"/>
      <c r="VJC17" s="7157"/>
      <c r="VJD17" s="7157"/>
      <c r="VJE17" s="7157"/>
      <c r="VJF17" s="7157"/>
      <c r="VJG17" s="7158"/>
      <c r="VJH17" s="7158"/>
      <c r="VJI17" s="7158"/>
      <c r="VJJ17" s="7158"/>
      <c r="VJK17" s="7158"/>
      <c r="VJL17" s="7159"/>
      <c r="VJM17" s="7152" t="s">
        <v>175</v>
      </c>
      <c r="VJN17" s="7153"/>
      <c r="VJO17" s="7153"/>
      <c r="VJP17" s="7153"/>
      <c r="VJQ17" s="7157"/>
      <c r="VJR17" s="7157"/>
      <c r="VJS17" s="7157"/>
      <c r="VJT17" s="7157"/>
      <c r="VJU17" s="7157"/>
      <c r="VJV17" s="7157"/>
      <c r="VJW17" s="7158"/>
      <c r="VJX17" s="7158"/>
      <c r="VJY17" s="7158"/>
      <c r="VJZ17" s="7158"/>
      <c r="VKA17" s="7158"/>
      <c r="VKB17" s="7159"/>
      <c r="VKC17" s="7152" t="s">
        <v>175</v>
      </c>
      <c r="VKD17" s="7153"/>
      <c r="VKE17" s="7153"/>
      <c r="VKF17" s="7153"/>
      <c r="VKG17" s="7157"/>
      <c r="VKH17" s="7157"/>
      <c r="VKI17" s="7157"/>
      <c r="VKJ17" s="7157"/>
      <c r="VKK17" s="7157"/>
      <c r="VKL17" s="7157"/>
      <c r="VKM17" s="7158"/>
      <c r="VKN17" s="7158"/>
      <c r="VKO17" s="7158"/>
      <c r="VKP17" s="7158"/>
      <c r="VKQ17" s="7158"/>
      <c r="VKR17" s="7159"/>
      <c r="VKS17" s="7152" t="s">
        <v>175</v>
      </c>
      <c r="VKT17" s="7153"/>
      <c r="VKU17" s="7153"/>
      <c r="VKV17" s="7153"/>
      <c r="VKW17" s="7157"/>
      <c r="VKX17" s="7157"/>
      <c r="VKY17" s="7157"/>
      <c r="VKZ17" s="7157"/>
      <c r="VLA17" s="7157"/>
      <c r="VLB17" s="7157"/>
      <c r="VLC17" s="7158"/>
      <c r="VLD17" s="7158"/>
      <c r="VLE17" s="7158"/>
      <c r="VLF17" s="7158"/>
      <c r="VLG17" s="7158"/>
      <c r="VLH17" s="7159"/>
      <c r="VLI17" s="7152" t="s">
        <v>175</v>
      </c>
      <c r="VLJ17" s="7153"/>
      <c r="VLK17" s="7153"/>
      <c r="VLL17" s="7153"/>
      <c r="VLM17" s="7157"/>
      <c r="VLN17" s="7157"/>
      <c r="VLO17" s="7157"/>
      <c r="VLP17" s="7157"/>
      <c r="VLQ17" s="7157"/>
      <c r="VLR17" s="7157"/>
      <c r="VLS17" s="7158"/>
      <c r="VLT17" s="7158"/>
      <c r="VLU17" s="7158"/>
      <c r="VLV17" s="7158"/>
      <c r="VLW17" s="7158"/>
      <c r="VLX17" s="7159"/>
      <c r="VLY17" s="7152" t="s">
        <v>175</v>
      </c>
      <c r="VLZ17" s="7153"/>
      <c r="VMA17" s="7153"/>
      <c r="VMB17" s="7153"/>
      <c r="VMC17" s="7157"/>
      <c r="VMD17" s="7157"/>
      <c r="VME17" s="7157"/>
      <c r="VMF17" s="7157"/>
      <c r="VMG17" s="7157"/>
      <c r="VMH17" s="7157"/>
      <c r="VMI17" s="7158"/>
      <c r="VMJ17" s="7158"/>
      <c r="VMK17" s="7158"/>
      <c r="VML17" s="7158"/>
      <c r="VMM17" s="7158"/>
      <c r="VMN17" s="7159"/>
      <c r="VMO17" s="7152" t="s">
        <v>175</v>
      </c>
      <c r="VMP17" s="7153"/>
      <c r="VMQ17" s="7153"/>
      <c r="VMR17" s="7153"/>
      <c r="VMS17" s="7157"/>
      <c r="VMT17" s="7157"/>
      <c r="VMU17" s="7157"/>
      <c r="VMV17" s="7157"/>
      <c r="VMW17" s="7157"/>
      <c r="VMX17" s="7157"/>
      <c r="VMY17" s="7158"/>
      <c r="VMZ17" s="7158"/>
      <c r="VNA17" s="7158"/>
      <c r="VNB17" s="7158"/>
      <c r="VNC17" s="7158"/>
      <c r="VND17" s="7159"/>
      <c r="VNE17" s="7152" t="s">
        <v>175</v>
      </c>
      <c r="VNF17" s="7153"/>
      <c r="VNG17" s="7153"/>
      <c r="VNH17" s="7153"/>
      <c r="VNI17" s="7157"/>
      <c r="VNJ17" s="7157"/>
      <c r="VNK17" s="7157"/>
      <c r="VNL17" s="7157"/>
      <c r="VNM17" s="7157"/>
      <c r="VNN17" s="7157"/>
      <c r="VNO17" s="7158"/>
      <c r="VNP17" s="7158"/>
      <c r="VNQ17" s="7158"/>
      <c r="VNR17" s="7158"/>
      <c r="VNS17" s="7158"/>
      <c r="VNT17" s="7159"/>
      <c r="VNU17" s="7152" t="s">
        <v>175</v>
      </c>
      <c r="VNV17" s="7153"/>
      <c r="VNW17" s="7153"/>
      <c r="VNX17" s="7153"/>
      <c r="VNY17" s="7157"/>
      <c r="VNZ17" s="7157"/>
      <c r="VOA17" s="7157"/>
      <c r="VOB17" s="7157"/>
      <c r="VOC17" s="7157"/>
      <c r="VOD17" s="7157"/>
      <c r="VOE17" s="7158"/>
      <c r="VOF17" s="7158"/>
      <c r="VOG17" s="7158"/>
      <c r="VOH17" s="7158"/>
      <c r="VOI17" s="7158"/>
      <c r="VOJ17" s="7159"/>
      <c r="VOK17" s="7152" t="s">
        <v>175</v>
      </c>
      <c r="VOL17" s="7153"/>
      <c r="VOM17" s="7153"/>
      <c r="VON17" s="7153"/>
      <c r="VOO17" s="7157"/>
      <c r="VOP17" s="7157"/>
      <c r="VOQ17" s="7157"/>
      <c r="VOR17" s="7157"/>
      <c r="VOS17" s="7157"/>
      <c r="VOT17" s="7157"/>
      <c r="VOU17" s="7158"/>
      <c r="VOV17" s="7158"/>
      <c r="VOW17" s="7158"/>
      <c r="VOX17" s="7158"/>
      <c r="VOY17" s="7158"/>
      <c r="VOZ17" s="7159"/>
      <c r="VPA17" s="7152" t="s">
        <v>175</v>
      </c>
      <c r="VPB17" s="7153"/>
      <c r="VPC17" s="7153"/>
      <c r="VPD17" s="7153"/>
      <c r="VPE17" s="7157"/>
      <c r="VPF17" s="7157"/>
      <c r="VPG17" s="7157"/>
      <c r="VPH17" s="7157"/>
      <c r="VPI17" s="7157"/>
      <c r="VPJ17" s="7157"/>
      <c r="VPK17" s="7158"/>
      <c r="VPL17" s="7158"/>
      <c r="VPM17" s="7158"/>
      <c r="VPN17" s="7158"/>
      <c r="VPO17" s="7158"/>
      <c r="VPP17" s="7159"/>
      <c r="VPQ17" s="7152" t="s">
        <v>175</v>
      </c>
      <c r="VPR17" s="7153"/>
      <c r="VPS17" s="7153"/>
      <c r="VPT17" s="7153"/>
      <c r="VPU17" s="7157"/>
      <c r="VPV17" s="7157"/>
      <c r="VPW17" s="7157"/>
      <c r="VPX17" s="7157"/>
      <c r="VPY17" s="7157"/>
      <c r="VPZ17" s="7157"/>
      <c r="VQA17" s="7158"/>
      <c r="VQB17" s="7158"/>
      <c r="VQC17" s="7158"/>
      <c r="VQD17" s="7158"/>
      <c r="VQE17" s="7158"/>
      <c r="VQF17" s="7159"/>
      <c r="VQG17" s="7152" t="s">
        <v>175</v>
      </c>
      <c r="VQH17" s="7153"/>
      <c r="VQI17" s="7153"/>
      <c r="VQJ17" s="7153"/>
      <c r="VQK17" s="7157"/>
      <c r="VQL17" s="7157"/>
      <c r="VQM17" s="7157"/>
      <c r="VQN17" s="7157"/>
      <c r="VQO17" s="7157"/>
      <c r="VQP17" s="7157"/>
      <c r="VQQ17" s="7158"/>
      <c r="VQR17" s="7158"/>
      <c r="VQS17" s="7158"/>
      <c r="VQT17" s="7158"/>
      <c r="VQU17" s="7158"/>
      <c r="VQV17" s="7159"/>
      <c r="VQW17" s="7152" t="s">
        <v>175</v>
      </c>
      <c r="VQX17" s="7153"/>
      <c r="VQY17" s="7153"/>
      <c r="VQZ17" s="7153"/>
      <c r="VRA17" s="7157"/>
      <c r="VRB17" s="7157"/>
      <c r="VRC17" s="7157"/>
      <c r="VRD17" s="7157"/>
      <c r="VRE17" s="7157"/>
      <c r="VRF17" s="7157"/>
      <c r="VRG17" s="7158"/>
      <c r="VRH17" s="7158"/>
      <c r="VRI17" s="7158"/>
      <c r="VRJ17" s="7158"/>
      <c r="VRK17" s="7158"/>
      <c r="VRL17" s="7159"/>
      <c r="VRM17" s="7152" t="s">
        <v>175</v>
      </c>
      <c r="VRN17" s="7153"/>
      <c r="VRO17" s="7153"/>
      <c r="VRP17" s="7153"/>
      <c r="VRQ17" s="7157"/>
      <c r="VRR17" s="7157"/>
      <c r="VRS17" s="7157"/>
      <c r="VRT17" s="7157"/>
      <c r="VRU17" s="7157"/>
      <c r="VRV17" s="7157"/>
      <c r="VRW17" s="7158"/>
      <c r="VRX17" s="7158"/>
      <c r="VRY17" s="7158"/>
      <c r="VRZ17" s="7158"/>
      <c r="VSA17" s="7158"/>
      <c r="VSB17" s="7159"/>
      <c r="VSC17" s="7152" t="s">
        <v>175</v>
      </c>
      <c r="VSD17" s="7153"/>
      <c r="VSE17" s="7153"/>
      <c r="VSF17" s="7153"/>
      <c r="VSG17" s="7157"/>
      <c r="VSH17" s="7157"/>
      <c r="VSI17" s="7157"/>
      <c r="VSJ17" s="7157"/>
      <c r="VSK17" s="7157"/>
      <c r="VSL17" s="7157"/>
      <c r="VSM17" s="7158"/>
      <c r="VSN17" s="7158"/>
      <c r="VSO17" s="7158"/>
      <c r="VSP17" s="7158"/>
      <c r="VSQ17" s="7158"/>
      <c r="VSR17" s="7159"/>
      <c r="VSS17" s="7152" t="s">
        <v>175</v>
      </c>
      <c r="VST17" s="7153"/>
      <c r="VSU17" s="7153"/>
      <c r="VSV17" s="7153"/>
      <c r="VSW17" s="7157"/>
      <c r="VSX17" s="7157"/>
      <c r="VSY17" s="7157"/>
      <c r="VSZ17" s="7157"/>
      <c r="VTA17" s="7157"/>
      <c r="VTB17" s="7157"/>
      <c r="VTC17" s="7158"/>
      <c r="VTD17" s="7158"/>
      <c r="VTE17" s="7158"/>
      <c r="VTF17" s="7158"/>
      <c r="VTG17" s="7158"/>
      <c r="VTH17" s="7159"/>
      <c r="VTI17" s="7152" t="s">
        <v>175</v>
      </c>
      <c r="VTJ17" s="7153"/>
      <c r="VTK17" s="7153"/>
      <c r="VTL17" s="7153"/>
      <c r="VTM17" s="7157"/>
      <c r="VTN17" s="7157"/>
      <c r="VTO17" s="7157"/>
      <c r="VTP17" s="7157"/>
      <c r="VTQ17" s="7157"/>
      <c r="VTR17" s="7157"/>
      <c r="VTS17" s="7158"/>
      <c r="VTT17" s="7158"/>
      <c r="VTU17" s="7158"/>
      <c r="VTV17" s="7158"/>
      <c r="VTW17" s="7158"/>
      <c r="VTX17" s="7159"/>
      <c r="VTY17" s="7152" t="s">
        <v>175</v>
      </c>
      <c r="VTZ17" s="7153"/>
      <c r="VUA17" s="7153"/>
      <c r="VUB17" s="7153"/>
      <c r="VUC17" s="7157"/>
      <c r="VUD17" s="7157"/>
      <c r="VUE17" s="7157"/>
      <c r="VUF17" s="7157"/>
      <c r="VUG17" s="7157"/>
      <c r="VUH17" s="7157"/>
      <c r="VUI17" s="7158"/>
      <c r="VUJ17" s="7158"/>
      <c r="VUK17" s="7158"/>
      <c r="VUL17" s="7158"/>
      <c r="VUM17" s="7158"/>
      <c r="VUN17" s="7159"/>
      <c r="VUO17" s="7152" t="s">
        <v>175</v>
      </c>
      <c r="VUP17" s="7153"/>
      <c r="VUQ17" s="7153"/>
      <c r="VUR17" s="7153"/>
      <c r="VUS17" s="7157"/>
      <c r="VUT17" s="7157"/>
      <c r="VUU17" s="7157"/>
      <c r="VUV17" s="7157"/>
      <c r="VUW17" s="7157"/>
      <c r="VUX17" s="7157"/>
      <c r="VUY17" s="7158"/>
      <c r="VUZ17" s="7158"/>
      <c r="VVA17" s="7158"/>
      <c r="VVB17" s="7158"/>
      <c r="VVC17" s="7158"/>
      <c r="VVD17" s="7159"/>
      <c r="VVE17" s="7152" t="s">
        <v>175</v>
      </c>
      <c r="VVF17" s="7153"/>
      <c r="VVG17" s="7153"/>
      <c r="VVH17" s="7153"/>
      <c r="VVI17" s="7157"/>
      <c r="VVJ17" s="7157"/>
      <c r="VVK17" s="7157"/>
      <c r="VVL17" s="7157"/>
      <c r="VVM17" s="7157"/>
      <c r="VVN17" s="7157"/>
      <c r="VVO17" s="7158"/>
      <c r="VVP17" s="7158"/>
      <c r="VVQ17" s="7158"/>
      <c r="VVR17" s="7158"/>
      <c r="VVS17" s="7158"/>
      <c r="VVT17" s="7159"/>
      <c r="VVU17" s="7152" t="s">
        <v>175</v>
      </c>
      <c r="VVV17" s="7153"/>
      <c r="VVW17" s="7153"/>
      <c r="VVX17" s="7153"/>
      <c r="VVY17" s="7157"/>
      <c r="VVZ17" s="7157"/>
      <c r="VWA17" s="7157"/>
      <c r="VWB17" s="7157"/>
      <c r="VWC17" s="7157"/>
      <c r="VWD17" s="7157"/>
      <c r="VWE17" s="7158"/>
      <c r="VWF17" s="7158"/>
      <c r="VWG17" s="7158"/>
      <c r="VWH17" s="7158"/>
      <c r="VWI17" s="7158"/>
      <c r="VWJ17" s="7159"/>
      <c r="VWK17" s="7152" t="s">
        <v>175</v>
      </c>
      <c r="VWL17" s="7153"/>
      <c r="VWM17" s="7153"/>
      <c r="VWN17" s="7153"/>
      <c r="VWO17" s="7157"/>
      <c r="VWP17" s="7157"/>
      <c r="VWQ17" s="7157"/>
      <c r="VWR17" s="7157"/>
      <c r="VWS17" s="7157"/>
      <c r="VWT17" s="7157"/>
      <c r="VWU17" s="7158"/>
      <c r="VWV17" s="7158"/>
      <c r="VWW17" s="7158"/>
      <c r="VWX17" s="7158"/>
      <c r="VWY17" s="7158"/>
      <c r="VWZ17" s="7159"/>
      <c r="VXA17" s="7152" t="s">
        <v>175</v>
      </c>
      <c r="VXB17" s="7153"/>
      <c r="VXC17" s="7153"/>
      <c r="VXD17" s="7153"/>
      <c r="VXE17" s="7157"/>
      <c r="VXF17" s="7157"/>
      <c r="VXG17" s="7157"/>
      <c r="VXH17" s="7157"/>
      <c r="VXI17" s="7157"/>
      <c r="VXJ17" s="7157"/>
      <c r="VXK17" s="7158"/>
      <c r="VXL17" s="7158"/>
      <c r="VXM17" s="7158"/>
      <c r="VXN17" s="7158"/>
      <c r="VXO17" s="7158"/>
      <c r="VXP17" s="7159"/>
      <c r="VXQ17" s="7152" t="s">
        <v>175</v>
      </c>
      <c r="VXR17" s="7153"/>
      <c r="VXS17" s="7153"/>
      <c r="VXT17" s="7153"/>
      <c r="VXU17" s="7157"/>
      <c r="VXV17" s="7157"/>
      <c r="VXW17" s="7157"/>
      <c r="VXX17" s="7157"/>
      <c r="VXY17" s="7157"/>
      <c r="VXZ17" s="7157"/>
      <c r="VYA17" s="7158"/>
      <c r="VYB17" s="7158"/>
      <c r="VYC17" s="7158"/>
      <c r="VYD17" s="7158"/>
      <c r="VYE17" s="7158"/>
      <c r="VYF17" s="7159"/>
      <c r="VYG17" s="7152" t="s">
        <v>175</v>
      </c>
      <c r="VYH17" s="7153"/>
      <c r="VYI17" s="7153"/>
      <c r="VYJ17" s="7153"/>
      <c r="VYK17" s="7157"/>
      <c r="VYL17" s="7157"/>
      <c r="VYM17" s="7157"/>
      <c r="VYN17" s="7157"/>
      <c r="VYO17" s="7157"/>
      <c r="VYP17" s="7157"/>
      <c r="VYQ17" s="7158"/>
      <c r="VYR17" s="7158"/>
      <c r="VYS17" s="7158"/>
      <c r="VYT17" s="7158"/>
      <c r="VYU17" s="7158"/>
      <c r="VYV17" s="7159"/>
      <c r="VYW17" s="7152" t="s">
        <v>175</v>
      </c>
      <c r="VYX17" s="7153"/>
      <c r="VYY17" s="7153"/>
      <c r="VYZ17" s="7153"/>
      <c r="VZA17" s="7157"/>
      <c r="VZB17" s="7157"/>
      <c r="VZC17" s="7157"/>
      <c r="VZD17" s="7157"/>
      <c r="VZE17" s="7157"/>
      <c r="VZF17" s="7157"/>
      <c r="VZG17" s="7158"/>
      <c r="VZH17" s="7158"/>
      <c r="VZI17" s="7158"/>
      <c r="VZJ17" s="7158"/>
      <c r="VZK17" s="7158"/>
      <c r="VZL17" s="7159"/>
      <c r="VZM17" s="7152" t="s">
        <v>175</v>
      </c>
      <c r="VZN17" s="7153"/>
      <c r="VZO17" s="7153"/>
      <c r="VZP17" s="7153"/>
      <c r="VZQ17" s="7157"/>
      <c r="VZR17" s="7157"/>
      <c r="VZS17" s="7157"/>
      <c r="VZT17" s="7157"/>
      <c r="VZU17" s="7157"/>
      <c r="VZV17" s="7157"/>
      <c r="VZW17" s="7158"/>
      <c r="VZX17" s="7158"/>
      <c r="VZY17" s="7158"/>
      <c r="VZZ17" s="7158"/>
      <c r="WAA17" s="7158"/>
      <c r="WAB17" s="7159"/>
      <c r="WAC17" s="7152" t="s">
        <v>175</v>
      </c>
      <c r="WAD17" s="7153"/>
      <c r="WAE17" s="7153"/>
      <c r="WAF17" s="7153"/>
      <c r="WAG17" s="7157"/>
      <c r="WAH17" s="7157"/>
      <c r="WAI17" s="7157"/>
      <c r="WAJ17" s="7157"/>
      <c r="WAK17" s="7157"/>
      <c r="WAL17" s="7157"/>
      <c r="WAM17" s="7158"/>
      <c r="WAN17" s="7158"/>
      <c r="WAO17" s="7158"/>
      <c r="WAP17" s="7158"/>
      <c r="WAQ17" s="7158"/>
      <c r="WAR17" s="7159"/>
      <c r="WAS17" s="7152" t="s">
        <v>175</v>
      </c>
      <c r="WAT17" s="7153"/>
      <c r="WAU17" s="7153"/>
      <c r="WAV17" s="7153"/>
      <c r="WAW17" s="7157"/>
      <c r="WAX17" s="7157"/>
      <c r="WAY17" s="7157"/>
      <c r="WAZ17" s="7157"/>
      <c r="WBA17" s="7157"/>
      <c r="WBB17" s="7157"/>
      <c r="WBC17" s="7158"/>
      <c r="WBD17" s="7158"/>
      <c r="WBE17" s="7158"/>
      <c r="WBF17" s="7158"/>
      <c r="WBG17" s="7158"/>
      <c r="WBH17" s="7159"/>
      <c r="WBI17" s="7152" t="s">
        <v>175</v>
      </c>
      <c r="WBJ17" s="7153"/>
      <c r="WBK17" s="7153"/>
      <c r="WBL17" s="7153"/>
      <c r="WBM17" s="7157"/>
      <c r="WBN17" s="7157"/>
      <c r="WBO17" s="7157"/>
      <c r="WBP17" s="7157"/>
      <c r="WBQ17" s="7157"/>
      <c r="WBR17" s="7157"/>
      <c r="WBS17" s="7158"/>
      <c r="WBT17" s="7158"/>
      <c r="WBU17" s="7158"/>
      <c r="WBV17" s="7158"/>
      <c r="WBW17" s="7158"/>
      <c r="WBX17" s="7159"/>
      <c r="WBY17" s="7152" t="s">
        <v>175</v>
      </c>
      <c r="WBZ17" s="7153"/>
      <c r="WCA17" s="7153"/>
      <c r="WCB17" s="7153"/>
      <c r="WCC17" s="7157"/>
      <c r="WCD17" s="7157"/>
      <c r="WCE17" s="7157"/>
      <c r="WCF17" s="7157"/>
      <c r="WCG17" s="7157"/>
      <c r="WCH17" s="7157"/>
      <c r="WCI17" s="7158"/>
      <c r="WCJ17" s="7158"/>
      <c r="WCK17" s="7158"/>
      <c r="WCL17" s="7158"/>
      <c r="WCM17" s="7158"/>
      <c r="WCN17" s="7159"/>
      <c r="WCO17" s="7152" t="s">
        <v>175</v>
      </c>
      <c r="WCP17" s="7153"/>
      <c r="WCQ17" s="7153"/>
      <c r="WCR17" s="7153"/>
      <c r="WCS17" s="7157"/>
      <c r="WCT17" s="7157"/>
      <c r="WCU17" s="7157"/>
      <c r="WCV17" s="7157"/>
      <c r="WCW17" s="7157"/>
      <c r="WCX17" s="7157"/>
      <c r="WCY17" s="7158"/>
      <c r="WCZ17" s="7158"/>
      <c r="WDA17" s="7158"/>
      <c r="WDB17" s="7158"/>
      <c r="WDC17" s="7158"/>
      <c r="WDD17" s="7159"/>
      <c r="WDE17" s="7152" t="s">
        <v>175</v>
      </c>
      <c r="WDF17" s="7153"/>
      <c r="WDG17" s="7153"/>
      <c r="WDH17" s="7153"/>
      <c r="WDI17" s="7157"/>
      <c r="WDJ17" s="7157"/>
      <c r="WDK17" s="7157"/>
      <c r="WDL17" s="7157"/>
      <c r="WDM17" s="7157"/>
      <c r="WDN17" s="7157"/>
      <c r="WDO17" s="7158"/>
      <c r="WDP17" s="7158"/>
      <c r="WDQ17" s="7158"/>
      <c r="WDR17" s="7158"/>
      <c r="WDS17" s="7158"/>
      <c r="WDT17" s="7159"/>
      <c r="WDU17" s="7152" t="s">
        <v>175</v>
      </c>
      <c r="WDV17" s="7153"/>
      <c r="WDW17" s="7153"/>
      <c r="WDX17" s="7153"/>
      <c r="WDY17" s="7157"/>
      <c r="WDZ17" s="7157"/>
      <c r="WEA17" s="7157"/>
      <c r="WEB17" s="7157"/>
      <c r="WEC17" s="7157"/>
      <c r="WED17" s="7157"/>
      <c r="WEE17" s="7158"/>
      <c r="WEF17" s="7158"/>
      <c r="WEG17" s="7158"/>
      <c r="WEH17" s="7158"/>
      <c r="WEI17" s="7158"/>
      <c r="WEJ17" s="7159"/>
      <c r="WEK17" s="7152" t="s">
        <v>175</v>
      </c>
      <c r="WEL17" s="7153"/>
      <c r="WEM17" s="7153"/>
      <c r="WEN17" s="7153"/>
      <c r="WEO17" s="7157"/>
      <c r="WEP17" s="7157"/>
      <c r="WEQ17" s="7157"/>
      <c r="WER17" s="7157"/>
      <c r="WES17" s="7157"/>
      <c r="WET17" s="7157"/>
      <c r="WEU17" s="7158"/>
      <c r="WEV17" s="7158"/>
      <c r="WEW17" s="7158"/>
      <c r="WEX17" s="7158"/>
      <c r="WEY17" s="7158"/>
      <c r="WEZ17" s="7159"/>
      <c r="WFA17" s="7152" t="s">
        <v>175</v>
      </c>
      <c r="WFB17" s="7153"/>
      <c r="WFC17" s="7153"/>
      <c r="WFD17" s="7153"/>
      <c r="WFE17" s="7157"/>
      <c r="WFF17" s="7157"/>
      <c r="WFG17" s="7157"/>
      <c r="WFH17" s="7157"/>
      <c r="WFI17" s="7157"/>
      <c r="WFJ17" s="7157"/>
      <c r="WFK17" s="7158"/>
      <c r="WFL17" s="7158"/>
      <c r="WFM17" s="7158"/>
      <c r="WFN17" s="7158"/>
      <c r="WFO17" s="7158"/>
      <c r="WFP17" s="7159"/>
      <c r="WFQ17" s="7152" t="s">
        <v>175</v>
      </c>
      <c r="WFR17" s="7153"/>
      <c r="WFS17" s="7153"/>
      <c r="WFT17" s="7153"/>
      <c r="WFU17" s="7157"/>
      <c r="WFV17" s="7157"/>
      <c r="WFW17" s="7157"/>
      <c r="WFX17" s="7157"/>
      <c r="WFY17" s="7157"/>
      <c r="WFZ17" s="7157"/>
      <c r="WGA17" s="7158"/>
      <c r="WGB17" s="7158"/>
      <c r="WGC17" s="7158"/>
      <c r="WGD17" s="7158"/>
      <c r="WGE17" s="7158"/>
      <c r="WGF17" s="7159"/>
      <c r="WGG17" s="7152" t="s">
        <v>175</v>
      </c>
      <c r="WGH17" s="7153"/>
      <c r="WGI17" s="7153"/>
      <c r="WGJ17" s="7153"/>
      <c r="WGK17" s="7157"/>
      <c r="WGL17" s="7157"/>
      <c r="WGM17" s="7157"/>
      <c r="WGN17" s="7157"/>
      <c r="WGO17" s="7157"/>
      <c r="WGP17" s="7157"/>
      <c r="WGQ17" s="7158"/>
      <c r="WGR17" s="7158"/>
      <c r="WGS17" s="7158"/>
      <c r="WGT17" s="7158"/>
      <c r="WGU17" s="7158"/>
      <c r="WGV17" s="7159"/>
      <c r="WGW17" s="7152" t="s">
        <v>175</v>
      </c>
      <c r="WGX17" s="7153"/>
      <c r="WGY17" s="7153"/>
      <c r="WGZ17" s="7153"/>
      <c r="WHA17" s="7157"/>
      <c r="WHB17" s="7157"/>
      <c r="WHC17" s="7157"/>
      <c r="WHD17" s="7157"/>
      <c r="WHE17" s="7157"/>
      <c r="WHF17" s="7157"/>
      <c r="WHG17" s="7158"/>
      <c r="WHH17" s="7158"/>
      <c r="WHI17" s="7158"/>
      <c r="WHJ17" s="7158"/>
      <c r="WHK17" s="7158"/>
      <c r="WHL17" s="7159"/>
      <c r="WHM17" s="7152" t="s">
        <v>175</v>
      </c>
      <c r="WHN17" s="7153"/>
      <c r="WHO17" s="7153"/>
      <c r="WHP17" s="7153"/>
      <c r="WHQ17" s="7157"/>
      <c r="WHR17" s="7157"/>
      <c r="WHS17" s="7157"/>
      <c r="WHT17" s="7157"/>
      <c r="WHU17" s="7157"/>
      <c r="WHV17" s="7157"/>
      <c r="WHW17" s="7158"/>
      <c r="WHX17" s="7158"/>
      <c r="WHY17" s="7158"/>
      <c r="WHZ17" s="7158"/>
      <c r="WIA17" s="7158"/>
      <c r="WIB17" s="7159"/>
      <c r="WIC17" s="7152" t="s">
        <v>175</v>
      </c>
      <c r="WID17" s="7153"/>
      <c r="WIE17" s="7153"/>
      <c r="WIF17" s="7153"/>
      <c r="WIG17" s="7157"/>
      <c r="WIH17" s="7157"/>
      <c r="WII17" s="7157"/>
      <c r="WIJ17" s="7157"/>
      <c r="WIK17" s="7157"/>
      <c r="WIL17" s="7157"/>
      <c r="WIM17" s="7158"/>
      <c r="WIN17" s="7158"/>
      <c r="WIO17" s="7158"/>
      <c r="WIP17" s="7158"/>
      <c r="WIQ17" s="7158"/>
      <c r="WIR17" s="7159"/>
      <c r="WIS17" s="7152" t="s">
        <v>175</v>
      </c>
      <c r="WIT17" s="7153"/>
      <c r="WIU17" s="7153"/>
      <c r="WIV17" s="7153"/>
      <c r="WIW17" s="7157"/>
      <c r="WIX17" s="7157"/>
      <c r="WIY17" s="7157"/>
      <c r="WIZ17" s="7157"/>
      <c r="WJA17" s="7157"/>
      <c r="WJB17" s="7157"/>
      <c r="WJC17" s="7158"/>
      <c r="WJD17" s="7158"/>
      <c r="WJE17" s="7158"/>
      <c r="WJF17" s="7158"/>
      <c r="WJG17" s="7158"/>
      <c r="WJH17" s="7159"/>
      <c r="WJI17" s="7152" t="s">
        <v>175</v>
      </c>
      <c r="WJJ17" s="7153"/>
      <c r="WJK17" s="7153"/>
      <c r="WJL17" s="7153"/>
      <c r="WJM17" s="7157"/>
      <c r="WJN17" s="7157"/>
      <c r="WJO17" s="7157"/>
      <c r="WJP17" s="7157"/>
      <c r="WJQ17" s="7157"/>
      <c r="WJR17" s="7157"/>
      <c r="WJS17" s="7158"/>
      <c r="WJT17" s="7158"/>
      <c r="WJU17" s="7158"/>
      <c r="WJV17" s="7158"/>
      <c r="WJW17" s="7158"/>
      <c r="WJX17" s="7159"/>
      <c r="WJY17" s="7152" t="s">
        <v>175</v>
      </c>
      <c r="WJZ17" s="7153"/>
      <c r="WKA17" s="7153"/>
      <c r="WKB17" s="7153"/>
      <c r="WKC17" s="7157"/>
      <c r="WKD17" s="7157"/>
      <c r="WKE17" s="7157"/>
      <c r="WKF17" s="7157"/>
      <c r="WKG17" s="7157"/>
      <c r="WKH17" s="7157"/>
      <c r="WKI17" s="7158"/>
      <c r="WKJ17" s="7158"/>
      <c r="WKK17" s="7158"/>
      <c r="WKL17" s="7158"/>
      <c r="WKM17" s="7158"/>
      <c r="WKN17" s="7159"/>
      <c r="WKO17" s="7152" t="s">
        <v>175</v>
      </c>
      <c r="WKP17" s="7153"/>
      <c r="WKQ17" s="7153"/>
      <c r="WKR17" s="7153"/>
      <c r="WKS17" s="7157"/>
      <c r="WKT17" s="7157"/>
      <c r="WKU17" s="7157"/>
      <c r="WKV17" s="7157"/>
      <c r="WKW17" s="7157"/>
      <c r="WKX17" s="7157"/>
      <c r="WKY17" s="7158"/>
      <c r="WKZ17" s="7158"/>
      <c r="WLA17" s="7158"/>
      <c r="WLB17" s="7158"/>
      <c r="WLC17" s="7158"/>
      <c r="WLD17" s="7159"/>
      <c r="WLE17" s="7152" t="s">
        <v>175</v>
      </c>
      <c r="WLF17" s="7153"/>
      <c r="WLG17" s="7153"/>
      <c r="WLH17" s="7153"/>
      <c r="WLI17" s="7157"/>
      <c r="WLJ17" s="7157"/>
      <c r="WLK17" s="7157"/>
      <c r="WLL17" s="7157"/>
      <c r="WLM17" s="7157"/>
      <c r="WLN17" s="7157"/>
      <c r="WLO17" s="7158"/>
      <c r="WLP17" s="7158"/>
      <c r="WLQ17" s="7158"/>
      <c r="WLR17" s="7158"/>
      <c r="WLS17" s="7158"/>
      <c r="WLT17" s="7159"/>
      <c r="WLU17" s="7152" t="s">
        <v>175</v>
      </c>
      <c r="WLV17" s="7153"/>
      <c r="WLW17" s="7153"/>
      <c r="WLX17" s="7153"/>
      <c r="WLY17" s="7157"/>
      <c r="WLZ17" s="7157"/>
      <c r="WMA17" s="7157"/>
      <c r="WMB17" s="7157"/>
      <c r="WMC17" s="7157"/>
      <c r="WMD17" s="7157"/>
      <c r="WME17" s="7158"/>
      <c r="WMF17" s="7158"/>
      <c r="WMG17" s="7158"/>
      <c r="WMH17" s="7158"/>
      <c r="WMI17" s="7158"/>
      <c r="WMJ17" s="7159"/>
      <c r="WMK17" s="7152" t="s">
        <v>175</v>
      </c>
      <c r="WML17" s="7153"/>
      <c r="WMM17" s="7153"/>
      <c r="WMN17" s="7153"/>
      <c r="WMO17" s="7157"/>
      <c r="WMP17" s="7157"/>
      <c r="WMQ17" s="7157"/>
      <c r="WMR17" s="7157"/>
      <c r="WMS17" s="7157"/>
      <c r="WMT17" s="7157"/>
      <c r="WMU17" s="7158"/>
      <c r="WMV17" s="7158"/>
      <c r="WMW17" s="7158"/>
      <c r="WMX17" s="7158"/>
      <c r="WMY17" s="7158"/>
      <c r="WMZ17" s="7159"/>
      <c r="WNA17" s="7152" t="s">
        <v>175</v>
      </c>
      <c r="WNB17" s="7153"/>
      <c r="WNC17" s="7153"/>
      <c r="WND17" s="7153"/>
      <c r="WNE17" s="7157"/>
      <c r="WNF17" s="7157"/>
      <c r="WNG17" s="7157"/>
      <c r="WNH17" s="7157"/>
      <c r="WNI17" s="7157"/>
      <c r="WNJ17" s="7157"/>
      <c r="WNK17" s="7158"/>
      <c r="WNL17" s="7158"/>
      <c r="WNM17" s="7158"/>
      <c r="WNN17" s="7158"/>
      <c r="WNO17" s="7158"/>
      <c r="WNP17" s="7159"/>
      <c r="WNQ17" s="7152" t="s">
        <v>175</v>
      </c>
      <c r="WNR17" s="7153"/>
      <c r="WNS17" s="7153"/>
      <c r="WNT17" s="7153"/>
      <c r="WNU17" s="7157"/>
      <c r="WNV17" s="7157"/>
      <c r="WNW17" s="7157"/>
      <c r="WNX17" s="7157"/>
      <c r="WNY17" s="7157"/>
      <c r="WNZ17" s="7157"/>
      <c r="WOA17" s="7158"/>
      <c r="WOB17" s="7158"/>
      <c r="WOC17" s="7158"/>
      <c r="WOD17" s="7158"/>
      <c r="WOE17" s="7158"/>
      <c r="WOF17" s="7159"/>
      <c r="WOG17" s="7152" t="s">
        <v>175</v>
      </c>
      <c r="WOH17" s="7153"/>
      <c r="WOI17" s="7153"/>
      <c r="WOJ17" s="7153"/>
      <c r="WOK17" s="7157"/>
      <c r="WOL17" s="7157"/>
      <c r="WOM17" s="7157"/>
      <c r="WON17" s="7157"/>
      <c r="WOO17" s="7157"/>
      <c r="WOP17" s="7157"/>
      <c r="WOQ17" s="7158"/>
      <c r="WOR17" s="7158"/>
      <c r="WOS17" s="7158"/>
      <c r="WOT17" s="7158"/>
      <c r="WOU17" s="7158"/>
      <c r="WOV17" s="7159"/>
      <c r="WOW17" s="7152" t="s">
        <v>175</v>
      </c>
      <c r="WOX17" s="7153"/>
      <c r="WOY17" s="7153"/>
      <c r="WOZ17" s="7153"/>
      <c r="WPA17" s="7157"/>
      <c r="WPB17" s="7157"/>
      <c r="WPC17" s="7157"/>
      <c r="WPD17" s="7157"/>
      <c r="WPE17" s="7157"/>
      <c r="WPF17" s="7157"/>
      <c r="WPG17" s="7158"/>
      <c r="WPH17" s="7158"/>
      <c r="WPI17" s="7158"/>
      <c r="WPJ17" s="7158"/>
      <c r="WPK17" s="7158"/>
      <c r="WPL17" s="7159"/>
      <c r="WPM17" s="7152" t="s">
        <v>175</v>
      </c>
      <c r="WPN17" s="7153"/>
      <c r="WPO17" s="7153"/>
      <c r="WPP17" s="7153"/>
      <c r="WPQ17" s="7157"/>
      <c r="WPR17" s="7157"/>
      <c r="WPS17" s="7157"/>
      <c r="WPT17" s="7157"/>
      <c r="WPU17" s="7157"/>
      <c r="WPV17" s="7157"/>
      <c r="WPW17" s="7158"/>
      <c r="WPX17" s="7158"/>
      <c r="WPY17" s="7158"/>
      <c r="WPZ17" s="7158"/>
      <c r="WQA17" s="7158"/>
      <c r="WQB17" s="7159"/>
      <c r="WQC17" s="7152" t="s">
        <v>175</v>
      </c>
      <c r="WQD17" s="7153"/>
      <c r="WQE17" s="7153"/>
      <c r="WQF17" s="7153"/>
      <c r="WQG17" s="7157"/>
      <c r="WQH17" s="7157"/>
      <c r="WQI17" s="7157"/>
      <c r="WQJ17" s="7157"/>
      <c r="WQK17" s="7157"/>
      <c r="WQL17" s="7157"/>
      <c r="WQM17" s="7158"/>
      <c r="WQN17" s="7158"/>
      <c r="WQO17" s="7158"/>
      <c r="WQP17" s="7158"/>
      <c r="WQQ17" s="7158"/>
      <c r="WQR17" s="7159"/>
      <c r="WQS17" s="7152" t="s">
        <v>175</v>
      </c>
      <c r="WQT17" s="7153"/>
      <c r="WQU17" s="7153"/>
      <c r="WQV17" s="7153"/>
      <c r="WQW17" s="7157"/>
      <c r="WQX17" s="7157"/>
      <c r="WQY17" s="7157"/>
      <c r="WQZ17" s="7157"/>
      <c r="WRA17" s="7157"/>
      <c r="WRB17" s="7157"/>
      <c r="WRC17" s="7158"/>
      <c r="WRD17" s="7158"/>
      <c r="WRE17" s="7158"/>
      <c r="WRF17" s="7158"/>
      <c r="WRG17" s="7158"/>
      <c r="WRH17" s="7159"/>
      <c r="WRI17" s="7152" t="s">
        <v>175</v>
      </c>
      <c r="WRJ17" s="7153"/>
      <c r="WRK17" s="7153"/>
      <c r="WRL17" s="7153"/>
      <c r="WRM17" s="7157"/>
      <c r="WRN17" s="7157"/>
      <c r="WRO17" s="7157"/>
      <c r="WRP17" s="7157"/>
      <c r="WRQ17" s="7157"/>
      <c r="WRR17" s="7157"/>
      <c r="WRS17" s="7158"/>
      <c r="WRT17" s="7158"/>
      <c r="WRU17" s="7158"/>
      <c r="WRV17" s="7158"/>
      <c r="WRW17" s="7158"/>
      <c r="WRX17" s="7159"/>
      <c r="WRY17" s="7152" t="s">
        <v>175</v>
      </c>
      <c r="WRZ17" s="7153"/>
      <c r="WSA17" s="7153"/>
      <c r="WSB17" s="7153"/>
      <c r="WSC17" s="7157"/>
      <c r="WSD17" s="7157"/>
      <c r="WSE17" s="7157"/>
      <c r="WSF17" s="7157"/>
      <c r="WSG17" s="7157"/>
      <c r="WSH17" s="7157"/>
      <c r="WSI17" s="7158"/>
      <c r="WSJ17" s="7158"/>
      <c r="WSK17" s="7158"/>
      <c r="WSL17" s="7158"/>
      <c r="WSM17" s="7158"/>
      <c r="WSN17" s="7159"/>
      <c r="WSO17" s="7152" t="s">
        <v>175</v>
      </c>
      <c r="WSP17" s="7153"/>
      <c r="WSQ17" s="7153"/>
      <c r="WSR17" s="7153"/>
      <c r="WSS17" s="7157"/>
      <c r="WST17" s="7157"/>
      <c r="WSU17" s="7157"/>
      <c r="WSV17" s="7157"/>
      <c r="WSW17" s="7157"/>
      <c r="WSX17" s="7157"/>
      <c r="WSY17" s="7158"/>
      <c r="WSZ17" s="7158"/>
      <c r="WTA17" s="7158"/>
      <c r="WTB17" s="7158"/>
      <c r="WTC17" s="7158"/>
      <c r="WTD17" s="7159"/>
      <c r="WTE17" s="7152" t="s">
        <v>175</v>
      </c>
      <c r="WTF17" s="7153"/>
      <c r="WTG17" s="7153"/>
      <c r="WTH17" s="7153"/>
      <c r="WTI17" s="7157"/>
      <c r="WTJ17" s="7157"/>
      <c r="WTK17" s="7157"/>
      <c r="WTL17" s="7157"/>
      <c r="WTM17" s="7157"/>
      <c r="WTN17" s="7157"/>
      <c r="WTO17" s="7158"/>
      <c r="WTP17" s="7158"/>
      <c r="WTQ17" s="7158"/>
      <c r="WTR17" s="7158"/>
      <c r="WTS17" s="7158"/>
      <c r="WTT17" s="7159"/>
      <c r="WTU17" s="7152" t="s">
        <v>175</v>
      </c>
      <c r="WTV17" s="7153"/>
      <c r="WTW17" s="7153"/>
      <c r="WTX17" s="7153"/>
      <c r="WTY17" s="7157"/>
      <c r="WTZ17" s="7157"/>
      <c r="WUA17" s="7157"/>
      <c r="WUB17" s="7157"/>
      <c r="WUC17" s="7157"/>
      <c r="WUD17" s="7157"/>
      <c r="WUE17" s="7158"/>
      <c r="WUF17" s="7158"/>
      <c r="WUG17" s="7158"/>
      <c r="WUH17" s="7158"/>
      <c r="WUI17" s="7158"/>
      <c r="WUJ17" s="7159"/>
      <c r="WUK17" s="7152" t="s">
        <v>175</v>
      </c>
      <c r="WUL17" s="7153"/>
      <c r="WUM17" s="7153"/>
      <c r="WUN17" s="7153"/>
      <c r="WUO17" s="7157"/>
      <c r="WUP17" s="7157"/>
      <c r="WUQ17" s="7157"/>
      <c r="WUR17" s="7157"/>
      <c r="WUS17" s="7157"/>
      <c r="WUT17" s="7157"/>
      <c r="WUU17" s="7158"/>
      <c r="WUV17" s="7158"/>
      <c r="WUW17" s="7158"/>
      <c r="WUX17" s="7158"/>
      <c r="WUY17" s="7158"/>
      <c r="WUZ17" s="7159"/>
      <c r="WVA17" s="7152" t="s">
        <v>175</v>
      </c>
      <c r="WVB17" s="7153"/>
      <c r="WVC17" s="7153"/>
      <c r="WVD17" s="7153"/>
      <c r="WVE17" s="7157"/>
      <c r="WVF17" s="7157"/>
      <c r="WVG17" s="7157"/>
      <c r="WVH17" s="7157"/>
      <c r="WVI17" s="7157"/>
      <c r="WVJ17" s="7157"/>
      <c r="WVK17" s="7158"/>
      <c r="WVL17" s="7158"/>
      <c r="WVM17" s="7158"/>
      <c r="WVN17" s="7158"/>
      <c r="WVO17" s="7158"/>
      <c r="WVP17" s="7159"/>
      <c r="WVQ17" s="7152" t="s">
        <v>175</v>
      </c>
      <c r="WVR17" s="7153"/>
      <c r="WVS17" s="7153"/>
      <c r="WVT17" s="7153"/>
      <c r="WVU17" s="7157"/>
      <c r="WVV17" s="7157"/>
      <c r="WVW17" s="7157"/>
      <c r="WVX17" s="7157"/>
      <c r="WVY17" s="7157"/>
      <c r="WVZ17" s="7157"/>
      <c r="WWA17" s="7158"/>
      <c r="WWB17" s="7158"/>
      <c r="WWC17" s="7158"/>
      <c r="WWD17" s="7158"/>
      <c r="WWE17" s="7158"/>
      <c r="WWF17" s="7159"/>
      <c r="WWG17" s="7152" t="s">
        <v>175</v>
      </c>
      <c r="WWH17" s="7153"/>
      <c r="WWI17" s="7153"/>
      <c r="WWJ17" s="7153"/>
      <c r="WWK17" s="7157"/>
      <c r="WWL17" s="7157"/>
      <c r="WWM17" s="7157"/>
      <c r="WWN17" s="7157"/>
      <c r="WWO17" s="7157"/>
      <c r="WWP17" s="7157"/>
      <c r="WWQ17" s="7158"/>
      <c r="WWR17" s="7158"/>
      <c r="WWS17" s="7158"/>
      <c r="WWT17" s="7158"/>
      <c r="WWU17" s="7158"/>
      <c r="WWV17" s="7159"/>
      <c r="WWW17" s="7152" t="s">
        <v>175</v>
      </c>
      <c r="WWX17" s="7153"/>
      <c r="WWY17" s="7153"/>
      <c r="WWZ17" s="7153"/>
      <c r="WXA17" s="7157"/>
      <c r="WXB17" s="7157"/>
      <c r="WXC17" s="7157"/>
      <c r="WXD17" s="7157"/>
      <c r="WXE17" s="7157"/>
      <c r="WXF17" s="7157"/>
      <c r="WXG17" s="7158"/>
      <c r="WXH17" s="7158"/>
      <c r="WXI17" s="7158"/>
      <c r="WXJ17" s="7158"/>
      <c r="WXK17" s="7158"/>
      <c r="WXL17" s="7159"/>
      <c r="WXM17" s="7152" t="s">
        <v>175</v>
      </c>
      <c r="WXN17" s="7153"/>
      <c r="WXO17" s="7153"/>
      <c r="WXP17" s="7153"/>
      <c r="WXQ17" s="7157"/>
      <c r="WXR17" s="7157"/>
      <c r="WXS17" s="7157"/>
      <c r="WXT17" s="7157"/>
      <c r="WXU17" s="7157"/>
      <c r="WXV17" s="7157"/>
      <c r="WXW17" s="7158"/>
      <c r="WXX17" s="7158"/>
      <c r="WXY17" s="7158"/>
      <c r="WXZ17" s="7158"/>
      <c r="WYA17" s="7158"/>
      <c r="WYB17" s="7159"/>
      <c r="WYC17" s="7152" t="s">
        <v>175</v>
      </c>
      <c r="WYD17" s="7153"/>
      <c r="WYE17" s="7153"/>
      <c r="WYF17" s="7153"/>
      <c r="WYG17" s="7157"/>
      <c r="WYH17" s="7157"/>
      <c r="WYI17" s="7157"/>
      <c r="WYJ17" s="7157"/>
      <c r="WYK17" s="7157"/>
      <c r="WYL17" s="7157"/>
      <c r="WYM17" s="7158"/>
      <c r="WYN17" s="7158"/>
      <c r="WYO17" s="7158"/>
      <c r="WYP17" s="7158"/>
      <c r="WYQ17" s="7158"/>
      <c r="WYR17" s="7159"/>
      <c r="WYS17" s="7152" t="s">
        <v>175</v>
      </c>
      <c r="WYT17" s="7153"/>
      <c r="WYU17" s="7153"/>
      <c r="WYV17" s="7153"/>
      <c r="WYW17" s="7157"/>
      <c r="WYX17" s="7157"/>
      <c r="WYY17" s="7157"/>
      <c r="WYZ17" s="7157"/>
      <c r="WZA17" s="7157"/>
      <c r="WZB17" s="7157"/>
      <c r="WZC17" s="7158"/>
      <c r="WZD17" s="7158"/>
      <c r="WZE17" s="7158"/>
      <c r="WZF17" s="7158"/>
      <c r="WZG17" s="7158"/>
      <c r="WZH17" s="7159"/>
      <c r="WZI17" s="7152" t="s">
        <v>175</v>
      </c>
      <c r="WZJ17" s="7153"/>
      <c r="WZK17" s="7153"/>
      <c r="WZL17" s="7153"/>
      <c r="WZM17" s="7157"/>
      <c r="WZN17" s="7157"/>
      <c r="WZO17" s="7157"/>
      <c r="WZP17" s="7157"/>
      <c r="WZQ17" s="7157"/>
      <c r="WZR17" s="7157"/>
      <c r="WZS17" s="7158"/>
      <c r="WZT17" s="7158"/>
      <c r="WZU17" s="7158"/>
      <c r="WZV17" s="7158"/>
      <c r="WZW17" s="7158"/>
      <c r="WZX17" s="7159"/>
      <c r="WZY17" s="7152" t="s">
        <v>175</v>
      </c>
      <c r="WZZ17" s="7153"/>
      <c r="XAA17" s="7153"/>
      <c r="XAB17" s="7153"/>
      <c r="XAC17" s="7157"/>
      <c r="XAD17" s="7157"/>
      <c r="XAE17" s="7157"/>
      <c r="XAF17" s="7157"/>
      <c r="XAG17" s="7157"/>
      <c r="XAH17" s="7157"/>
      <c r="XAI17" s="7158"/>
      <c r="XAJ17" s="7158"/>
      <c r="XAK17" s="7158"/>
      <c r="XAL17" s="7158"/>
      <c r="XAM17" s="7158"/>
      <c r="XAN17" s="7159"/>
      <c r="XAO17" s="7152" t="s">
        <v>175</v>
      </c>
      <c r="XAP17" s="7153"/>
      <c r="XAQ17" s="7153"/>
      <c r="XAR17" s="7153"/>
      <c r="XAS17" s="7157"/>
      <c r="XAT17" s="7157"/>
      <c r="XAU17" s="7157"/>
      <c r="XAV17" s="7157"/>
      <c r="XAW17" s="7157"/>
      <c r="XAX17" s="7157"/>
      <c r="XAY17" s="7158"/>
      <c r="XAZ17" s="7158"/>
      <c r="XBA17" s="7158"/>
      <c r="XBB17" s="7158"/>
      <c r="XBC17" s="7158"/>
      <c r="XBD17" s="7159"/>
      <c r="XBE17" s="7152" t="s">
        <v>175</v>
      </c>
      <c r="XBF17" s="7153"/>
      <c r="XBG17" s="7153"/>
      <c r="XBH17" s="7153"/>
      <c r="XBI17" s="7157"/>
      <c r="XBJ17" s="7157"/>
      <c r="XBK17" s="7157"/>
      <c r="XBL17" s="7157"/>
      <c r="XBM17" s="7157"/>
      <c r="XBN17" s="7157"/>
      <c r="XBO17" s="7158"/>
      <c r="XBP17" s="7158"/>
      <c r="XBQ17" s="7158"/>
      <c r="XBR17" s="7158"/>
      <c r="XBS17" s="7158"/>
      <c r="XBT17" s="7159"/>
    </row>
    <row r="18" spans="1:16296" ht="18" customHeight="1" x14ac:dyDescent="0.35">
      <c r="A18" s="7152" t="s">
        <v>1015</v>
      </c>
      <c r="B18" s="7153"/>
      <c r="C18" s="7153"/>
      <c r="D18" s="7153"/>
      <c r="E18" s="7166">
        <v>0.25</v>
      </c>
      <c r="F18" s="7167"/>
      <c r="G18" s="7156">
        <f>G17*E18</f>
        <v>52.6875</v>
      </c>
      <c r="H18" s="7156"/>
      <c r="I18" s="7157"/>
      <c r="J18" s="7157"/>
      <c r="K18" s="7158" t="s">
        <v>1235</v>
      </c>
      <c r="L18" s="7158"/>
      <c r="M18" s="7158"/>
      <c r="N18" s="7158"/>
      <c r="O18" s="7158"/>
      <c r="P18" s="7159"/>
      <c r="Q18" s="7178"/>
      <c r="R18" s="7179"/>
      <c r="S18" s="7176"/>
      <c r="T18" s="7176"/>
      <c r="U18" s="7176"/>
      <c r="V18" s="7176"/>
      <c r="W18" s="7176"/>
      <c r="X18" s="7176"/>
      <c r="Y18" s="7180"/>
      <c r="Z18" s="7181"/>
      <c r="AA18" s="7181"/>
      <c r="AB18" s="7181"/>
      <c r="AC18" s="7182"/>
      <c r="AD18" s="7182"/>
      <c r="AE18" s="7175"/>
      <c r="AF18" s="7175"/>
      <c r="AG18" s="7175"/>
      <c r="AH18" s="7175"/>
      <c r="AI18" s="7176"/>
      <c r="AJ18" s="7176"/>
      <c r="AK18" s="7176"/>
      <c r="AL18" s="7176"/>
      <c r="AM18" s="7176"/>
      <c r="AN18" s="7176"/>
      <c r="AO18" s="7177"/>
      <c r="AP18" s="7153"/>
      <c r="AQ18" s="7153"/>
      <c r="AR18" s="7153"/>
      <c r="AS18" s="7163"/>
      <c r="AT18" s="7164"/>
      <c r="AU18" s="7157"/>
      <c r="AV18" s="7157"/>
      <c r="AW18" s="7157"/>
      <c r="AX18" s="7157"/>
      <c r="AY18" s="7158"/>
      <c r="AZ18" s="7158"/>
      <c r="BA18" s="7158"/>
      <c r="BB18" s="7158"/>
      <c r="BC18" s="7158"/>
      <c r="BD18" s="7159"/>
      <c r="BE18" s="7152"/>
      <c r="BF18" s="7153"/>
      <c r="BG18" s="7153"/>
      <c r="BH18" s="7153"/>
      <c r="BI18" s="7163"/>
      <c r="BJ18" s="7164"/>
      <c r="BK18" s="7157"/>
      <c r="BL18" s="7157"/>
      <c r="BM18" s="7157"/>
      <c r="BN18" s="7157"/>
      <c r="BO18" s="7158"/>
      <c r="BP18" s="7158"/>
      <c r="BQ18" s="7158"/>
      <c r="BR18" s="7158"/>
      <c r="BS18" s="7158"/>
      <c r="BT18" s="7159"/>
      <c r="BU18" s="7152"/>
      <c r="BV18" s="7153"/>
      <c r="BW18" s="7153"/>
      <c r="BX18" s="7153"/>
      <c r="BY18" s="7163"/>
      <c r="BZ18" s="7164"/>
      <c r="CA18" s="7157"/>
      <c r="CB18" s="7157"/>
      <c r="CC18" s="7157"/>
      <c r="CD18" s="7157"/>
      <c r="CE18" s="7158"/>
      <c r="CF18" s="7158"/>
      <c r="CG18" s="7158"/>
      <c r="CH18" s="7158"/>
      <c r="CI18" s="7158"/>
      <c r="CJ18" s="7159"/>
      <c r="CK18" s="7152"/>
      <c r="CL18" s="7153"/>
      <c r="CM18" s="7153"/>
      <c r="CN18" s="7153"/>
      <c r="CO18" s="7163"/>
      <c r="CP18" s="7164"/>
      <c r="CQ18" s="7157"/>
      <c r="CR18" s="7157"/>
      <c r="CS18" s="7157"/>
      <c r="CT18" s="7157"/>
      <c r="CU18" s="7158"/>
      <c r="CV18" s="7158"/>
      <c r="CW18" s="7158"/>
      <c r="CX18" s="7158"/>
      <c r="CY18" s="7158"/>
      <c r="CZ18" s="7159"/>
      <c r="DA18" s="7152"/>
      <c r="DB18" s="7153"/>
      <c r="DC18" s="7153"/>
      <c r="DD18" s="7153"/>
      <c r="DE18" s="7163"/>
      <c r="DF18" s="7164"/>
      <c r="DG18" s="7157"/>
      <c r="DH18" s="7157"/>
      <c r="DI18" s="7157"/>
      <c r="DJ18" s="7157"/>
      <c r="DK18" s="7158"/>
      <c r="DL18" s="7158"/>
      <c r="DM18" s="7158"/>
      <c r="DN18" s="7158"/>
      <c r="DO18" s="7158"/>
      <c r="DP18" s="7159"/>
      <c r="DQ18" s="7152"/>
      <c r="DR18" s="7153"/>
      <c r="DS18" s="7153"/>
      <c r="DT18" s="7153"/>
      <c r="DU18" s="7163"/>
      <c r="DV18" s="7164"/>
      <c r="DW18" s="7157"/>
      <c r="DX18" s="7157"/>
      <c r="DY18" s="7157"/>
      <c r="DZ18" s="7157"/>
      <c r="EA18" s="7158"/>
      <c r="EB18" s="7158"/>
      <c r="EC18" s="7158"/>
      <c r="ED18" s="7158"/>
      <c r="EE18" s="7158"/>
      <c r="EF18" s="7159"/>
      <c r="EG18" s="7152"/>
      <c r="EH18" s="7153"/>
      <c r="EI18" s="7153"/>
      <c r="EJ18" s="7153"/>
      <c r="EK18" s="7163"/>
      <c r="EL18" s="7164"/>
      <c r="EM18" s="7157"/>
      <c r="EN18" s="7157"/>
      <c r="EO18" s="7157"/>
      <c r="EP18" s="7157"/>
      <c r="EQ18" s="7158"/>
      <c r="ER18" s="7158"/>
      <c r="ES18" s="7158"/>
      <c r="ET18" s="7158"/>
      <c r="EU18" s="7158"/>
      <c r="EV18" s="7159"/>
      <c r="EW18" s="7152"/>
      <c r="EX18" s="7153"/>
      <c r="EY18" s="7153"/>
      <c r="EZ18" s="7153"/>
      <c r="FA18" s="7163"/>
      <c r="FB18" s="7164"/>
      <c r="FC18" s="7157"/>
      <c r="FD18" s="7157"/>
      <c r="FE18" s="7157"/>
      <c r="FF18" s="7157"/>
      <c r="FG18" s="7158"/>
      <c r="FH18" s="7158"/>
      <c r="FI18" s="7158"/>
      <c r="FJ18" s="7158"/>
      <c r="FK18" s="7158"/>
      <c r="FL18" s="7159"/>
      <c r="FM18" s="7152"/>
      <c r="FN18" s="7153"/>
      <c r="FO18" s="7153"/>
      <c r="FP18" s="7153"/>
      <c r="FQ18" s="7163"/>
      <c r="FR18" s="7164"/>
      <c r="FS18" s="7157"/>
      <c r="FT18" s="7157"/>
      <c r="FU18" s="7157"/>
      <c r="FV18" s="7157"/>
      <c r="FW18" s="7158"/>
      <c r="FX18" s="7158"/>
      <c r="FY18" s="7158"/>
      <c r="FZ18" s="7158"/>
      <c r="GA18" s="7158"/>
      <c r="GB18" s="7159"/>
      <c r="GC18" s="7152"/>
      <c r="GD18" s="7153"/>
      <c r="GE18" s="7153"/>
      <c r="GF18" s="7153"/>
      <c r="GG18" s="7163"/>
      <c r="GH18" s="7164"/>
      <c r="GI18" s="7157"/>
      <c r="GJ18" s="7157"/>
      <c r="GK18" s="7157"/>
      <c r="GL18" s="7157"/>
      <c r="GM18" s="7158"/>
      <c r="GN18" s="7158"/>
      <c r="GO18" s="7158"/>
      <c r="GP18" s="7158"/>
      <c r="GQ18" s="7158"/>
      <c r="GR18" s="7159"/>
      <c r="GS18" s="7152"/>
      <c r="GT18" s="7153"/>
      <c r="GU18" s="7153"/>
      <c r="GV18" s="7153"/>
      <c r="GW18" s="7163"/>
      <c r="GX18" s="7164"/>
      <c r="GY18" s="7157"/>
      <c r="GZ18" s="7157"/>
      <c r="HA18" s="7157"/>
      <c r="HB18" s="7157"/>
      <c r="HC18" s="7158"/>
      <c r="HD18" s="7158"/>
      <c r="HE18" s="7158"/>
      <c r="HF18" s="7158"/>
      <c r="HG18" s="7158"/>
      <c r="HH18" s="7159"/>
      <c r="HI18" s="7152"/>
      <c r="HJ18" s="7153"/>
      <c r="HK18" s="7153"/>
      <c r="HL18" s="7153"/>
      <c r="HM18" s="7163"/>
      <c r="HN18" s="7164"/>
      <c r="HO18" s="7157"/>
      <c r="HP18" s="7157"/>
      <c r="HQ18" s="7157"/>
      <c r="HR18" s="7157"/>
      <c r="HS18" s="7158"/>
      <c r="HT18" s="7158"/>
      <c r="HU18" s="7158"/>
      <c r="HV18" s="7158"/>
      <c r="HW18" s="7158"/>
      <c r="HX18" s="7159"/>
      <c r="HY18" s="7152"/>
      <c r="HZ18" s="7153"/>
      <c r="IA18" s="7153"/>
      <c r="IB18" s="7153"/>
      <c r="IC18" s="7163"/>
      <c r="ID18" s="7164"/>
      <c r="IE18" s="7157"/>
      <c r="IF18" s="7157"/>
      <c r="IG18" s="7157"/>
      <c r="IH18" s="7157"/>
      <c r="II18" s="7158"/>
      <c r="IJ18" s="7158"/>
      <c r="IK18" s="7158"/>
      <c r="IL18" s="7158"/>
      <c r="IM18" s="7158"/>
      <c r="IN18" s="7159"/>
      <c r="IO18" s="7152"/>
      <c r="IP18" s="7153"/>
      <c r="IQ18" s="7153"/>
      <c r="IR18" s="7153"/>
      <c r="IS18" s="7163"/>
      <c r="IT18" s="7164"/>
      <c r="IU18" s="7157"/>
      <c r="IV18" s="7157"/>
      <c r="IW18" s="7157"/>
      <c r="IX18" s="7157"/>
      <c r="IY18" s="7158"/>
      <c r="IZ18" s="7158"/>
      <c r="JA18" s="7158"/>
      <c r="JB18" s="7158"/>
      <c r="JC18" s="7158"/>
      <c r="JD18" s="7159"/>
      <c r="JE18" s="7152"/>
      <c r="JF18" s="7153"/>
      <c r="JG18" s="7153"/>
      <c r="JH18" s="7153"/>
      <c r="JI18" s="7163"/>
      <c r="JJ18" s="7164"/>
      <c r="JK18" s="7157"/>
      <c r="JL18" s="7157"/>
      <c r="JM18" s="7157"/>
      <c r="JN18" s="7157"/>
      <c r="JO18" s="7158"/>
      <c r="JP18" s="7158"/>
      <c r="JQ18" s="7158"/>
      <c r="JR18" s="7158"/>
      <c r="JS18" s="7158"/>
      <c r="JT18" s="7159"/>
      <c r="JU18" s="7152"/>
      <c r="JV18" s="7153"/>
      <c r="JW18" s="7153"/>
      <c r="JX18" s="7153"/>
      <c r="JY18" s="7163"/>
      <c r="JZ18" s="7164"/>
      <c r="KA18" s="7157"/>
      <c r="KB18" s="7157"/>
      <c r="KC18" s="7157"/>
      <c r="KD18" s="7157"/>
      <c r="KE18" s="7158"/>
      <c r="KF18" s="7158"/>
      <c r="KG18" s="7158"/>
      <c r="KH18" s="7158"/>
      <c r="KI18" s="7158"/>
      <c r="KJ18" s="7159"/>
      <c r="KK18" s="7152"/>
      <c r="KL18" s="7153"/>
      <c r="KM18" s="7153"/>
      <c r="KN18" s="7153"/>
      <c r="KO18" s="7163"/>
      <c r="KP18" s="7164"/>
      <c r="KQ18" s="7157"/>
      <c r="KR18" s="7157"/>
      <c r="KS18" s="7157"/>
      <c r="KT18" s="7157"/>
      <c r="KU18" s="7158"/>
      <c r="KV18" s="7158"/>
      <c r="KW18" s="7158"/>
      <c r="KX18" s="7158"/>
      <c r="KY18" s="7158"/>
      <c r="KZ18" s="7159"/>
      <c r="LA18" s="7152"/>
      <c r="LB18" s="7153"/>
      <c r="LC18" s="7153"/>
      <c r="LD18" s="7153"/>
      <c r="LE18" s="7163"/>
      <c r="LF18" s="7164"/>
      <c r="LG18" s="7157"/>
      <c r="LH18" s="7157"/>
      <c r="LI18" s="7157"/>
      <c r="LJ18" s="7157"/>
      <c r="LK18" s="7158"/>
      <c r="LL18" s="7158"/>
      <c r="LM18" s="7158"/>
      <c r="LN18" s="7158"/>
      <c r="LO18" s="7158"/>
      <c r="LP18" s="7159"/>
      <c r="LQ18" s="7152"/>
      <c r="LR18" s="7153"/>
      <c r="LS18" s="7153"/>
      <c r="LT18" s="7153"/>
      <c r="LU18" s="7163"/>
      <c r="LV18" s="7164"/>
      <c r="LW18" s="7157"/>
      <c r="LX18" s="7157"/>
      <c r="LY18" s="7157"/>
      <c r="LZ18" s="7157"/>
      <c r="MA18" s="7158"/>
      <c r="MB18" s="7158"/>
      <c r="MC18" s="7158"/>
      <c r="MD18" s="7158"/>
      <c r="ME18" s="7158"/>
      <c r="MF18" s="7159"/>
      <c r="MG18" s="7152"/>
      <c r="MH18" s="7153"/>
      <c r="MI18" s="7153"/>
      <c r="MJ18" s="7153"/>
      <c r="MK18" s="7163"/>
      <c r="ML18" s="7164"/>
      <c r="MM18" s="7157"/>
      <c r="MN18" s="7157"/>
      <c r="MO18" s="7157"/>
      <c r="MP18" s="7157"/>
      <c r="MQ18" s="7158"/>
      <c r="MR18" s="7158"/>
      <c r="MS18" s="7158"/>
      <c r="MT18" s="7158"/>
      <c r="MU18" s="7158"/>
      <c r="MV18" s="7159"/>
      <c r="MW18" s="7152"/>
      <c r="MX18" s="7153"/>
      <c r="MY18" s="7153"/>
      <c r="MZ18" s="7153"/>
      <c r="NA18" s="7163"/>
      <c r="NB18" s="7164"/>
      <c r="NC18" s="7157"/>
      <c r="ND18" s="7157"/>
      <c r="NE18" s="7157"/>
      <c r="NF18" s="7157"/>
      <c r="NG18" s="7158"/>
      <c r="NH18" s="7158"/>
      <c r="NI18" s="7158"/>
      <c r="NJ18" s="7158"/>
      <c r="NK18" s="7158"/>
      <c r="NL18" s="7159"/>
      <c r="NM18" s="7152"/>
      <c r="NN18" s="7153"/>
      <c r="NO18" s="7153"/>
      <c r="NP18" s="7153"/>
      <c r="NQ18" s="7163"/>
      <c r="NR18" s="7164"/>
      <c r="NS18" s="7157"/>
      <c r="NT18" s="7157"/>
      <c r="NU18" s="7157"/>
      <c r="NV18" s="7157"/>
      <c r="NW18" s="7158"/>
      <c r="NX18" s="7158"/>
      <c r="NY18" s="7158"/>
      <c r="NZ18" s="7158"/>
      <c r="OA18" s="7158"/>
      <c r="OB18" s="7159"/>
      <c r="OC18" s="7152"/>
      <c r="OD18" s="7153"/>
      <c r="OE18" s="7153"/>
      <c r="OF18" s="7153"/>
      <c r="OG18" s="7163"/>
      <c r="OH18" s="7164"/>
      <c r="OI18" s="7157"/>
      <c r="OJ18" s="7157"/>
      <c r="OK18" s="7157"/>
      <c r="OL18" s="7157"/>
      <c r="OM18" s="7158"/>
      <c r="ON18" s="7158"/>
      <c r="OO18" s="7158"/>
      <c r="OP18" s="7158"/>
      <c r="OQ18" s="7158"/>
      <c r="OR18" s="7159"/>
      <c r="OS18" s="7152"/>
      <c r="OT18" s="7153"/>
      <c r="OU18" s="7153"/>
      <c r="OV18" s="7153"/>
      <c r="OW18" s="7163"/>
      <c r="OX18" s="7164"/>
      <c r="OY18" s="7157"/>
      <c r="OZ18" s="7157"/>
      <c r="PA18" s="7157"/>
      <c r="PB18" s="7157"/>
      <c r="PC18" s="7158"/>
      <c r="PD18" s="7158"/>
      <c r="PE18" s="7158"/>
      <c r="PF18" s="7158"/>
      <c r="PG18" s="7158"/>
      <c r="PH18" s="7159"/>
      <c r="PI18" s="7152"/>
      <c r="PJ18" s="7153"/>
      <c r="PK18" s="7153"/>
      <c r="PL18" s="7153"/>
      <c r="PM18" s="7163"/>
      <c r="PN18" s="7164"/>
      <c r="PO18" s="7157"/>
      <c r="PP18" s="7157"/>
      <c r="PQ18" s="7157"/>
      <c r="PR18" s="7157"/>
      <c r="PS18" s="7158"/>
      <c r="PT18" s="7158"/>
      <c r="PU18" s="7158"/>
      <c r="PV18" s="7158"/>
      <c r="PW18" s="7158"/>
      <c r="PX18" s="7159"/>
      <c r="PY18" s="7152"/>
      <c r="PZ18" s="7153"/>
      <c r="QA18" s="7153"/>
      <c r="QB18" s="7153"/>
      <c r="QC18" s="7163"/>
      <c r="QD18" s="7164"/>
      <c r="QE18" s="7157"/>
      <c r="QF18" s="7157"/>
      <c r="QG18" s="7157"/>
      <c r="QH18" s="7157"/>
      <c r="QI18" s="7158"/>
      <c r="QJ18" s="7158"/>
      <c r="QK18" s="7158"/>
      <c r="QL18" s="7158"/>
      <c r="QM18" s="7158"/>
      <c r="QN18" s="7159"/>
      <c r="QO18" s="7152"/>
      <c r="QP18" s="7153"/>
      <c r="QQ18" s="7153"/>
      <c r="QR18" s="7153"/>
      <c r="QS18" s="7163"/>
      <c r="QT18" s="7164"/>
      <c r="QU18" s="7157"/>
      <c r="QV18" s="7157"/>
      <c r="QW18" s="7157"/>
      <c r="QX18" s="7157"/>
      <c r="QY18" s="7158"/>
      <c r="QZ18" s="7158"/>
      <c r="RA18" s="7158"/>
      <c r="RB18" s="7158"/>
      <c r="RC18" s="7158"/>
      <c r="RD18" s="7159"/>
      <c r="RE18" s="7152"/>
      <c r="RF18" s="7153"/>
      <c r="RG18" s="7153"/>
      <c r="RH18" s="7153"/>
      <c r="RI18" s="7163"/>
      <c r="RJ18" s="7164"/>
      <c r="RK18" s="7157"/>
      <c r="RL18" s="7157"/>
      <c r="RM18" s="7157"/>
      <c r="RN18" s="7157"/>
      <c r="RO18" s="7158"/>
      <c r="RP18" s="7158"/>
      <c r="RQ18" s="7158"/>
      <c r="RR18" s="7158"/>
      <c r="RS18" s="7158"/>
      <c r="RT18" s="7159"/>
      <c r="RU18" s="7152"/>
      <c r="RV18" s="7153"/>
      <c r="RW18" s="7153"/>
      <c r="RX18" s="7153"/>
      <c r="RY18" s="7163"/>
      <c r="RZ18" s="7164"/>
      <c r="SA18" s="7157"/>
      <c r="SB18" s="7157"/>
      <c r="SC18" s="7157"/>
      <c r="SD18" s="7157"/>
      <c r="SE18" s="7158"/>
      <c r="SF18" s="7158"/>
      <c r="SG18" s="7158"/>
      <c r="SH18" s="7158"/>
      <c r="SI18" s="7158"/>
      <c r="SJ18" s="7159"/>
      <c r="SK18" s="7152"/>
      <c r="SL18" s="7153"/>
      <c r="SM18" s="7153"/>
      <c r="SN18" s="7153"/>
      <c r="SO18" s="7163"/>
      <c r="SP18" s="7164"/>
      <c r="SQ18" s="7157"/>
      <c r="SR18" s="7157"/>
      <c r="SS18" s="7157"/>
      <c r="ST18" s="7157"/>
      <c r="SU18" s="7158"/>
      <c r="SV18" s="7158"/>
      <c r="SW18" s="7158"/>
      <c r="SX18" s="7158"/>
      <c r="SY18" s="7158"/>
      <c r="SZ18" s="7159"/>
      <c r="TA18" s="7152"/>
      <c r="TB18" s="7153"/>
      <c r="TC18" s="7153"/>
      <c r="TD18" s="7153"/>
      <c r="TE18" s="7163"/>
      <c r="TF18" s="7164"/>
      <c r="TG18" s="7157"/>
      <c r="TH18" s="7157"/>
      <c r="TI18" s="7157"/>
      <c r="TJ18" s="7157"/>
      <c r="TK18" s="7158"/>
      <c r="TL18" s="7158"/>
      <c r="TM18" s="7158"/>
      <c r="TN18" s="7158"/>
      <c r="TO18" s="7158"/>
      <c r="TP18" s="7159"/>
      <c r="TQ18" s="7152"/>
      <c r="TR18" s="7153"/>
      <c r="TS18" s="7153"/>
      <c r="TT18" s="7153"/>
      <c r="TU18" s="7163"/>
      <c r="TV18" s="7164"/>
      <c r="TW18" s="7157"/>
      <c r="TX18" s="7157"/>
      <c r="TY18" s="7157"/>
      <c r="TZ18" s="7157"/>
      <c r="UA18" s="7158"/>
      <c r="UB18" s="7158"/>
      <c r="UC18" s="7158"/>
      <c r="UD18" s="7158"/>
      <c r="UE18" s="7158"/>
      <c r="UF18" s="7159"/>
      <c r="UG18" s="7152"/>
      <c r="UH18" s="7153"/>
      <c r="UI18" s="7153"/>
      <c r="UJ18" s="7153"/>
      <c r="UK18" s="7163"/>
      <c r="UL18" s="7164"/>
      <c r="UM18" s="7157"/>
      <c r="UN18" s="7157"/>
      <c r="UO18" s="7157"/>
      <c r="UP18" s="7157"/>
      <c r="UQ18" s="7158"/>
      <c r="UR18" s="7158"/>
      <c r="US18" s="7158"/>
      <c r="UT18" s="7158"/>
      <c r="UU18" s="7158"/>
      <c r="UV18" s="7159"/>
      <c r="UW18" s="7152"/>
      <c r="UX18" s="7153"/>
      <c r="UY18" s="7153"/>
      <c r="UZ18" s="7153"/>
      <c r="VA18" s="7163"/>
      <c r="VB18" s="7164"/>
      <c r="VC18" s="7157"/>
      <c r="VD18" s="7157"/>
      <c r="VE18" s="7157"/>
      <c r="VF18" s="7157"/>
      <c r="VG18" s="7158"/>
      <c r="VH18" s="7158"/>
      <c r="VI18" s="7158"/>
      <c r="VJ18" s="7158"/>
      <c r="VK18" s="7158"/>
      <c r="VL18" s="7159"/>
      <c r="VM18" s="7152"/>
      <c r="VN18" s="7153"/>
      <c r="VO18" s="7153"/>
      <c r="VP18" s="7153"/>
      <c r="VQ18" s="7163"/>
      <c r="VR18" s="7164"/>
      <c r="VS18" s="7157"/>
      <c r="VT18" s="7157"/>
      <c r="VU18" s="7157"/>
      <c r="VV18" s="7157"/>
      <c r="VW18" s="7158"/>
      <c r="VX18" s="7158"/>
      <c r="VY18" s="7158"/>
      <c r="VZ18" s="7158"/>
      <c r="WA18" s="7158"/>
      <c r="WB18" s="7159"/>
      <c r="WC18" s="7152"/>
      <c r="WD18" s="7153"/>
      <c r="WE18" s="7153"/>
      <c r="WF18" s="7153"/>
      <c r="WG18" s="7163"/>
      <c r="WH18" s="7164"/>
      <c r="WI18" s="7157"/>
      <c r="WJ18" s="7157"/>
      <c r="WK18" s="7157"/>
      <c r="WL18" s="7157"/>
      <c r="WM18" s="7158"/>
      <c r="WN18" s="7158"/>
      <c r="WO18" s="7158"/>
      <c r="WP18" s="7158"/>
      <c r="WQ18" s="7158"/>
      <c r="WR18" s="7159"/>
      <c r="WS18" s="7152"/>
      <c r="WT18" s="7153"/>
      <c r="WU18" s="7153"/>
      <c r="WV18" s="7153"/>
      <c r="WW18" s="7163"/>
      <c r="WX18" s="7164"/>
      <c r="WY18" s="7157"/>
      <c r="WZ18" s="7157"/>
      <c r="XA18" s="7157"/>
      <c r="XB18" s="7157"/>
      <c r="XC18" s="7158"/>
      <c r="XD18" s="7158"/>
      <c r="XE18" s="7158"/>
      <c r="XF18" s="7158"/>
      <c r="XG18" s="7158"/>
      <c r="XH18" s="7159"/>
      <c r="XI18" s="7152"/>
      <c r="XJ18" s="7153"/>
      <c r="XK18" s="7153"/>
      <c r="XL18" s="7153"/>
      <c r="XM18" s="7163"/>
      <c r="XN18" s="7164"/>
      <c r="XO18" s="7157"/>
      <c r="XP18" s="7157"/>
      <c r="XQ18" s="7157"/>
      <c r="XR18" s="7157"/>
      <c r="XS18" s="7158"/>
      <c r="XT18" s="7158"/>
      <c r="XU18" s="7158"/>
      <c r="XV18" s="7158"/>
      <c r="XW18" s="7158"/>
      <c r="XX18" s="7159"/>
      <c r="XY18" s="7152"/>
      <c r="XZ18" s="7153"/>
      <c r="YA18" s="7153"/>
      <c r="YB18" s="7153"/>
      <c r="YC18" s="7163"/>
      <c r="YD18" s="7164"/>
      <c r="YE18" s="7157"/>
      <c r="YF18" s="7157"/>
      <c r="YG18" s="7157"/>
      <c r="YH18" s="7157"/>
      <c r="YI18" s="7158"/>
      <c r="YJ18" s="7158"/>
      <c r="YK18" s="7158"/>
      <c r="YL18" s="7158"/>
      <c r="YM18" s="7158"/>
      <c r="YN18" s="7159"/>
      <c r="YO18" s="7152"/>
      <c r="YP18" s="7153"/>
      <c r="YQ18" s="7153"/>
      <c r="YR18" s="7153"/>
      <c r="YS18" s="7163"/>
      <c r="YT18" s="7164"/>
      <c r="YU18" s="7157"/>
      <c r="YV18" s="7157"/>
      <c r="YW18" s="7157"/>
      <c r="YX18" s="7157"/>
      <c r="YY18" s="7158"/>
      <c r="YZ18" s="7158"/>
      <c r="ZA18" s="7158"/>
      <c r="ZB18" s="7158"/>
      <c r="ZC18" s="7158"/>
      <c r="ZD18" s="7159"/>
      <c r="ZE18" s="7152"/>
      <c r="ZF18" s="7153"/>
      <c r="ZG18" s="7153"/>
      <c r="ZH18" s="7153"/>
      <c r="ZI18" s="7163"/>
      <c r="ZJ18" s="7164"/>
      <c r="ZK18" s="7157"/>
      <c r="ZL18" s="7157"/>
      <c r="ZM18" s="7157"/>
      <c r="ZN18" s="7157"/>
      <c r="ZO18" s="7158"/>
      <c r="ZP18" s="7158"/>
      <c r="ZQ18" s="7158"/>
      <c r="ZR18" s="7158"/>
      <c r="ZS18" s="7158"/>
      <c r="ZT18" s="7159"/>
      <c r="ZU18" s="7152"/>
      <c r="ZV18" s="7153"/>
      <c r="ZW18" s="7153"/>
      <c r="ZX18" s="7153"/>
      <c r="ZY18" s="7163"/>
      <c r="ZZ18" s="7164"/>
      <c r="AAA18" s="7157"/>
      <c r="AAB18" s="7157"/>
      <c r="AAC18" s="7157"/>
      <c r="AAD18" s="7157"/>
      <c r="AAE18" s="7158"/>
      <c r="AAF18" s="7158"/>
      <c r="AAG18" s="7158"/>
      <c r="AAH18" s="7158"/>
      <c r="AAI18" s="7158"/>
      <c r="AAJ18" s="7159"/>
      <c r="AAK18" s="7152"/>
      <c r="AAL18" s="7153"/>
      <c r="AAM18" s="7153"/>
      <c r="AAN18" s="7153"/>
      <c r="AAO18" s="7163"/>
      <c r="AAP18" s="7164"/>
      <c r="AAQ18" s="7157"/>
      <c r="AAR18" s="7157"/>
      <c r="AAS18" s="7157"/>
      <c r="AAT18" s="7157"/>
      <c r="AAU18" s="7158"/>
      <c r="AAV18" s="7158"/>
      <c r="AAW18" s="7158"/>
      <c r="AAX18" s="7158"/>
      <c r="AAY18" s="7158"/>
      <c r="AAZ18" s="7159"/>
      <c r="ABA18" s="7152"/>
      <c r="ABB18" s="7153"/>
      <c r="ABC18" s="7153"/>
      <c r="ABD18" s="7153"/>
      <c r="ABE18" s="7163"/>
      <c r="ABF18" s="7164"/>
      <c r="ABG18" s="7157"/>
      <c r="ABH18" s="7157"/>
      <c r="ABI18" s="7157"/>
      <c r="ABJ18" s="7157"/>
      <c r="ABK18" s="7158"/>
      <c r="ABL18" s="7158"/>
      <c r="ABM18" s="7158"/>
      <c r="ABN18" s="7158"/>
      <c r="ABO18" s="7158"/>
      <c r="ABP18" s="7159"/>
      <c r="ABQ18" s="7152"/>
      <c r="ABR18" s="7153"/>
      <c r="ABS18" s="7153"/>
      <c r="ABT18" s="7153"/>
      <c r="ABU18" s="7163"/>
      <c r="ABV18" s="7164"/>
      <c r="ABW18" s="7157"/>
      <c r="ABX18" s="7157"/>
      <c r="ABY18" s="7157"/>
      <c r="ABZ18" s="7157"/>
      <c r="ACA18" s="7158"/>
      <c r="ACB18" s="7158"/>
      <c r="ACC18" s="7158"/>
      <c r="ACD18" s="7158"/>
      <c r="ACE18" s="7158"/>
      <c r="ACF18" s="7159"/>
      <c r="ACG18" s="7152"/>
      <c r="ACH18" s="7153"/>
      <c r="ACI18" s="7153"/>
      <c r="ACJ18" s="7153"/>
      <c r="ACK18" s="7163"/>
      <c r="ACL18" s="7164"/>
      <c r="ACM18" s="7157"/>
      <c r="ACN18" s="7157"/>
      <c r="ACO18" s="7157"/>
      <c r="ACP18" s="7157"/>
      <c r="ACQ18" s="7158"/>
      <c r="ACR18" s="7158"/>
      <c r="ACS18" s="7158"/>
      <c r="ACT18" s="7158"/>
      <c r="ACU18" s="7158"/>
      <c r="ACV18" s="7159"/>
      <c r="ACW18" s="7152"/>
      <c r="ACX18" s="7153"/>
      <c r="ACY18" s="7153"/>
      <c r="ACZ18" s="7153"/>
      <c r="ADA18" s="7163"/>
      <c r="ADB18" s="7164"/>
      <c r="ADC18" s="7157"/>
      <c r="ADD18" s="7157"/>
      <c r="ADE18" s="7157"/>
      <c r="ADF18" s="7157"/>
      <c r="ADG18" s="7158"/>
      <c r="ADH18" s="7158"/>
      <c r="ADI18" s="7158"/>
      <c r="ADJ18" s="7158"/>
      <c r="ADK18" s="7158"/>
      <c r="ADL18" s="7159"/>
      <c r="ADM18" s="7152"/>
      <c r="ADN18" s="7153"/>
      <c r="ADO18" s="7153"/>
      <c r="ADP18" s="7153"/>
      <c r="ADQ18" s="7163"/>
      <c r="ADR18" s="7164"/>
      <c r="ADS18" s="7157"/>
      <c r="ADT18" s="7157"/>
      <c r="ADU18" s="7157"/>
      <c r="ADV18" s="7157"/>
      <c r="ADW18" s="7158"/>
      <c r="ADX18" s="7158"/>
      <c r="ADY18" s="7158"/>
      <c r="ADZ18" s="7158"/>
      <c r="AEA18" s="7158"/>
      <c r="AEB18" s="7159"/>
      <c r="AEC18" s="7152"/>
      <c r="AED18" s="7153"/>
      <c r="AEE18" s="7153"/>
      <c r="AEF18" s="7153"/>
      <c r="AEG18" s="7163"/>
      <c r="AEH18" s="7164"/>
      <c r="AEI18" s="7157"/>
      <c r="AEJ18" s="7157"/>
      <c r="AEK18" s="7157"/>
      <c r="AEL18" s="7157"/>
      <c r="AEM18" s="7158"/>
      <c r="AEN18" s="7158"/>
      <c r="AEO18" s="7158"/>
      <c r="AEP18" s="7158"/>
      <c r="AEQ18" s="7158"/>
      <c r="AER18" s="7159"/>
      <c r="AES18" s="7152"/>
      <c r="AET18" s="7153"/>
      <c r="AEU18" s="7153"/>
      <c r="AEV18" s="7153"/>
      <c r="AEW18" s="7163"/>
      <c r="AEX18" s="7164"/>
      <c r="AEY18" s="7157"/>
      <c r="AEZ18" s="7157"/>
      <c r="AFA18" s="7157"/>
      <c r="AFB18" s="7157"/>
      <c r="AFC18" s="7158"/>
      <c r="AFD18" s="7158"/>
      <c r="AFE18" s="7158"/>
      <c r="AFF18" s="7158"/>
      <c r="AFG18" s="7158"/>
      <c r="AFH18" s="7159"/>
      <c r="AFI18" s="7152"/>
      <c r="AFJ18" s="7153"/>
      <c r="AFK18" s="7153"/>
      <c r="AFL18" s="7153"/>
      <c r="AFM18" s="7163"/>
      <c r="AFN18" s="7164"/>
      <c r="AFO18" s="7157"/>
      <c r="AFP18" s="7157"/>
      <c r="AFQ18" s="7157"/>
      <c r="AFR18" s="7157"/>
      <c r="AFS18" s="7158"/>
      <c r="AFT18" s="7158"/>
      <c r="AFU18" s="7158"/>
      <c r="AFV18" s="7158"/>
      <c r="AFW18" s="7158"/>
      <c r="AFX18" s="7159"/>
      <c r="AFY18" s="7152"/>
      <c r="AFZ18" s="7153"/>
      <c r="AGA18" s="7153"/>
      <c r="AGB18" s="7153"/>
      <c r="AGC18" s="7163"/>
      <c r="AGD18" s="7164"/>
      <c r="AGE18" s="7157"/>
      <c r="AGF18" s="7157"/>
      <c r="AGG18" s="7157"/>
      <c r="AGH18" s="7157"/>
      <c r="AGI18" s="7158"/>
      <c r="AGJ18" s="7158"/>
      <c r="AGK18" s="7158"/>
      <c r="AGL18" s="7158"/>
      <c r="AGM18" s="7158"/>
      <c r="AGN18" s="7159"/>
      <c r="AGO18" s="7152"/>
      <c r="AGP18" s="7153"/>
      <c r="AGQ18" s="7153"/>
      <c r="AGR18" s="7153"/>
      <c r="AGS18" s="7163"/>
      <c r="AGT18" s="7164"/>
      <c r="AGU18" s="7157"/>
      <c r="AGV18" s="7157"/>
      <c r="AGW18" s="7157"/>
      <c r="AGX18" s="7157"/>
      <c r="AGY18" s="7158"/>
      <c r="AGZ18" s="7158"/>
      <c r="AHA18" s="7158"/>
      <c r="AHB18" s="7158"/>
      <c r="AHC18" s="7158"/>
      <c r="AHD18" s="7159"/>
      <c r="AHE18" s="7152"/>
      <c r="AHF18" s="7153"/>
      <c r="AHG18" s="7153"/>
      <c r="AHH18" s="7153"/>
      <c r="AHI18" s="7163"/>
      <c r="AHJ18" s="7164"/>
      <c r="AHK18" s="7157"/>
      <c r="AHL18" s="7157"/>
      <c r="AHM18" s="7157"/>
      <c r="AHN18" s="7157"/>
      <c r="AHO18" s="7158"/>
      <c r="AHP18" s="7158"/>
      <c r="AHQ18" s="7158"/>
      <c r="AHR18" s="7158"/>
      <c r="AHS18" s="7158"/>
      <c r="AHT18" s="7159"/>
      <c r="AHU18" s="7152"/>
      <c r="AHV18" s="7153"/>
      <c r="AHW18" s="7153"/>
      <c r="AHX18" s="7153"/>
      <c r="AHY18" s="7163"/>
      <c r="AHZ18" s="7164"/>
      <c r="AIA18" s="7157"/>
      <c r="AIB18" s="7157"/>
      <c r="AIC18" s="7157"/>
      <c r="AID18" s="7157"/>
      <c r="AIE18" s="7158"/>
      <c r="AIF18" s="7158"/>
      <c r="AIG18" s="7158"/>
      <c r="AIH18" s="7158"/>
      <c r="AII18" s="7158"/>
      <c r="AIJ18" s="7159"/>
      <c r="AIK18" s="7152"/>
      <c r="AIL18" s="7153"/>
      <c r="AIM18" s="7153"/>
      <c r="AIN18" s="7153"/>
      <c r="AIO18" s="7163"/>
      <c r="AIP18" s="7164"/>
      <c r="AIQ18" s="7157"/>
      <c r="AIR18" s="7157"/>
      <c r="AIS18" s="7157"/>
      <c r="AIT18" s="7157"/>
      <c r="AIU18" s="7158"/>
      <c r="AIV18" s="7158"/>
      <c r="AIW18" s="7158"/>
      <c r="AIX18" s="7158"/>
      <c r="AIY18" s="7158"/>
      <c r="AIZ18" s="7159"/>
      <c r="AJA18" s="7152"/>
      <c r="AJB18" s="7153"/>
      <c r="AJC18" s="7153"/>
      <c r="AJD18" s="7153"/>
      <c r="AJE18" s="7163"/>
      <c r="AJF18" s="7164"/>
      <c r="AJG18" s="7157"/>
      <c r="AJH18" s="7157"/>
      <c r="AJI18" s="7157"/>
      <c r="AJJ18" s="7157"/>
      <c r="AJK18" s="7158"/>
      <c r="AJL18" s="7158"/>
      <c r="AJM18" s="7158"/>
      <c r="AJN18" s="7158"/>
      <c r="AJO18" s="7158"/>
      <c r="AJP18" s="7159"/>
      <c r="AJQ18" s="7152"/>
      <c r="AJR18" s="7153"/>
      <c r="AJS18" s="7153"/>
      <c r="AJT18" s="7153"/>
      <c r="AJU18" s="7163"/>
      <c r="AJV18" s="7164"/>
      <c r="AJW18" s="7157"/>
      <c r="AJX18" s="7157"/>
      <c r="AJY18" s="7157"/>
      <c r="AJZ18" s="7157"/>
      <c r="AKA18" s="7158"/>
      <c r="AKB18" s="7158"/>
      <c r="AKC18" s="7158"/>
      <c r="AKD18" s="7158"/>
      <c r="AKE18" s="7158"/>
      <c r="AKF18" s="7159"/>
      <c r="AKG18" s="7152"/>
      <c r="AKH18" s="7153"/>
      <c r="AKI18" s="7153"/>
      <c r="AKJ18" s="7153"/>
      <c r="AKK18" s="7163"/>
      <c r="AKL18" s="7164"/>
      <c r="AKM18" s="7157"/>
      <c r="AKN18" s="7157"/>
      <c r="AKO18" s="7157"/>
      <c r="AKP18" s="7157"/>
      <c r="AKQ18" s="7158"/>
      <c r="AKR18" s="7158"/>
      <c r="AKS18" s="7158"/>
      <c r="AKT18" s="7158"/>
      <c r="AKU18" s="7158"/>
      <c r="AKV18" s="7159"/>
      <c r="AKW18" s="7152"/>
      <c r="AKX18" s="7153"/>
      <c r="AKY18" s="7153"/>
      <c r="AKZ18" s="7153"/>
      <c r="ALA18" s="7163"/>
      <c r="ALB18" s="7164"/>
      <c r="ALC18" s="7157"/>
      <c r="ALD18" s="7157"/>
      <c r="ALE18" s="7157"/>
      <c r="ALF18" s="7157"/>
      <c r="ALG18" s="7158"/>
      <c r="ALH18" s="7158"/>
      <c r="ALI18" s="7158"/>
      <c r="ALJ18" s="7158"/>
      <c r="ALK18" s="7158"/>
      <c r="ALL18" s="7159"/>
      <c r="ALM18" s="7152"/>
      <c r="ALN18" s="7153"/>
      <c r="ALO18" s="7153"/>
      <c r="ALP18" s="7153"/>
      <c r="ALQ18" s="7163"/>
      <c r="ALR18" s="7164"/>
      <c r="ALS18" s="7157"/>
      <c r="ALT18" s="7157"/>
      <c r="ALU18" s="7157"/>
      <c r="ALV18" s="7157"/>
      <c r="ALW18" s="7158"/>
      <c r="ALX18" s="7158"/>
      <c r="ALY18" s="7158"/>
      <c r="ALZ18" s="7158"/>
      <c r="AMA18" s="7158"/>
      <c r="AMB18" s="7159"/>
      <c r="AMC18" s="7152"/>
      <c r="AMD18" s="7153"/>
      <c r="AME18" s="7153"/>
      <c r="AMF18" s="7153"/>
      <c r="AMG18" s="7163"/>
      <c r="AMH18" s="7164"/>
      <c r="AMI18" s="7157"/>
      <c r="AMJ18" s="7157"/>
      <c r="AMK18" s="7157"/>
      <c r="AML18" s="7157"/>
      <c r="AMM18" s="7158"/>
      <c r="AMN18" s="7158"/>
      <c r="AMO18" s="7158"/>
      <c r="AMP18" s="7158"/>
      <c r="AMQ18" s="7158"/>
      <c r="AMR18" s="7159"/>
      <c r="AMS18" s="7152"/>
      <c r="AMT18" s="7153"/>
      <c r="AMU18" s="7153"/>
      <c r="AMV18" s="7153"/>
      <c r="AMW18" s="7163"/>
      <c r="AMX18" s="7164"/>
      <c r="AMY18" s="7157"/>
      <c r="AMZ18" s="7157"/>
      <c r="ANA18" s="7157"/>
      <c r="ANB18" s="7157"/>
      <c r="ANC18" s="7158"/>
      <c r="AND18" s="7158"/>
      <c r="ANE18" s="7158"/>
      <c r="ANF18" s="7158"/>
      <c r="ANG18" s="7158"/>
      <c r="ANH18" s="7159"/>
      <c r="ANI18" s="7152"/>
      <c r="ANJ18" s="7153"/>
      <c r="ANK18" s="7153"/>
      <c r="ANL18" s="7153"/>
      <c r="ANM18" s="7163"/>
      <c r="ANN18" s="7164"/>
      <c r="ANO18" s="7157"/>
      <c r="ANP18" s="7157"/>
      <c r="ANQ18" s="7157"/>
      <c r="ANR18" s="7157"/>
      <c r="ANS18" s="7158"/>
      <c r="ANT18" s="7158"/>
      <c r="ANU18" s="7158"/>
      <c r="ANV18" s="7158"/>
      <c r="ANW18" s="7158"/>
      <c r="ANX18" s="7159"/>
      <c r="ANY18" s="7152"/>
      <c r="ANZ18" s="7153"/>
      <c r="AOA18" s="7153"/>
      <c r="AOB18" s="7153"/>
      <c r="AOC18" s="7163"/>
      <c r="AOD18" s="7164"/>
      <c r="AOE18" s="7157"/>
      <c r="AOF18" s="7157"/>
      <c r="AOG18" s="7157"/>
      <c r="AOH18" s="7157"/>
      <c r="AOI18" s="7158"/>
      <c r="AOJ18" s="7158"/>
      <c r="AOK18" s="7158"/>
      <c r="AOL18" s="7158"/>
      <c r="AOM18" s="7158"/>
      <c r="AON18" s="7159"/>
      <c r="AOO18" s="7152"/>
      <c r="AOP18" s="7153"/>
      <c r="AOQ18" s="7153"/>
      <c r="AOR18" s="7153"/>
      <c r="AOS18" s="7163"/>
      <c r="AOT18" s="7164"/>
      <c r="AOU18" s="7157"/>
      <c r="AOV18" s="7157"/>
      <c r="AOW18" s="7157"/>
      <c r="AOX18" s="7157"/>
      <c r="AOY18" s="7158"/>
      <c r="AOZ18" s="7158"/>
      <c r="APA18" s="7158"/>
      <c r="APB18" s="7158"/>
      <c r="APC18" s="7158"/>
      <c r="APD18" s="7159"/>
      <c r="APE18" s="7152"/>
      <c r="APF18" s="7153"/>
      <c r="APG18" s="7153"/>
      <c r="APH18" s="7153"/>
      <c r="API18" s="7163"/>
      <c r="APJ18" s="7164"/>
      <c r="APK18" s="7157"/>
      <c r="APL18" s="7157"/>
      <c r="APM18" s="7157"/>
      <c r="APN18" s="7157"/>
      <c r="APO18" s="7158"/>
      <c r="APP18" s="7158"/>
      <c r="APQ18" s="7158"/>
      <c r="APR18" s="7158"/>
      <c r="APS18" s="7158"/>
      <c r="APT18" s="7159"/>
      <c r="APU18" s="7152"/>
      <c r="APV18" s="7153"/>
      <c r="APW18" s="7153"/>
      <c r="APX18" s="7153"/>
      <c r="APY18" s="7163"/>
      <c r="APZ18" s="7164"/>
      <c r="AQA18" s="7157"/>
      <c r="AQB18" s="7157"/>
      <c r="AQC18" s="7157"/>
      <c r="AQD18" s="7157"/>
      <c r="AQE18" s="7158"/>
      <c r="AQF18" s="7158"/>
      <c r="AQG18" s="7158"/>
      <c r="AQH18" s="7158"/>
      <c r="AQI18" s="7158"/>
      <c r="AQJ18" s="7159"/>
      <c r="AQK18" s="7152"/>
      <c r="AQL18" s="7153"/>
      <c r="AQM18" s="7153"/>
      <c r="AQN18" s="7153"/>
      <c r="AQO18" s="7163"/>
      <c r="AQP18" s="7164"/>
      <c r="AQQ18" s="7157"/>
      <c r="AQR18" s="7157"/>
      <c r="AQS18" s="7157"/>
      <c r="AQT18" s="7157"/>
      <c r="AQU18" s="7158"/>
      <c r="AQV18" s="7158"/>
      <c r="AQW18" s="7158"/>
      <c r="AQX18" s="7158"/>
      <c r="AQY18" s="7158"/>
      <c r="AQZ18" s="7159"/>
      <c r="ARA18" s="7152"/>
      <c r="ARB18" s="7153"/>
      <c r="ARC18" s="7153"/>
      <c r="ARD18" s="7153"/>
      <c r="ARE18" s="7163"/>
      <c r="ARF18" s="7164"/>
      <c r="ARG18" s="7157"/>
      <c r="ARH18" s="7157"/>
      <c r="ARI18" s="7157"/>
      <c r="ARJ18" s="7157"/>
      <c r="ARK18" s="7158"/>
      <c r="ARL18" s="7158"/>
      <c r="ARM18" s="7158"/>
      <c r="ARN18" s="7158"/>
      <c r="ARO18" s="7158"/>
      <c r="ARP18" s="7159"/>
      <c r="ARQ18" s="7152"/>
      <c r="ARR18" s="7153"/>
      <c r="ARS18" s="7153"/>
      <c r="ART18" s="7153"/>
      <c r="ARU18" s="7163"/>
      <c r="ARV18" s="7164"/>
      <c r="ARW18" s="7157"/>
      <c r="ARX18" s="7157"/>
      <c r="ARY18" s="7157"/>
      <c r="ARZ18" s="7157"/>
      <c r="ASA18" s="7158"/>
      <c r="ASB18" s="7158"/>
      <c r="ASC18" s="7158"/>
      <c r="ASD18" s="7158"/>
      <c r="ASE18" s="7158"/>
      <c r="ASF18" s="7159"/>
      <c r="ASG18" s="7152"/>
      <c r="ASH18" s="7153"/>
      <c r="ASI18" s="7153"/>
      <c r="ASJ18" s="7153"/>
      <c r="ASK18" s="7163"/>
      <c r="ASL18" s="7164"/>
      <c r="ASM18" s="7157"/>
      <c r="ASN18" s="7157"/>
      <c r="ASO18" s="7157"/>
      <c r="ASP18" s="7157"/>
      <c r="ASQ18" s="7158"/>
      <c r="ASR18" s="7158"/>
      <c r="ASS18" s="7158"/>
      <c r="AST18" s="7158"/>
      <c r="ASU18" s="7158"/>
      <c r="ASV18" s="7159"/>
      <c r="ASW18" s="7152"/>
      <c r="ASX18" s="7153"/>
      <c r="ASY18" s="7153"/>
      <c r="ASZ18" s="7153"/>
      <c r="ATA18" s="7163"/>
      <c r="ATB18" s="7164"/>
      <c r="ATC18" s="7157"/>
      <c r="ATD18" s="7157"/>
      <c r="ATE18" s="7157"/>
      <c r="ATF18" s="7157"/>
      <c r="ATG18" s="7158"/>
      <c r="ATH18" s="7158"/>
      <c r="ATI18" s="7158"/>
      <c r="ATJ18" s="7158"/>
      <c r="ATK18" s="7158"/>
      <c r="ATL18" s="7159"/>
      <c r="ATM18" s="7152"/>
      <c r="ATN18" s="7153"/>
      <c r="ATO18" s="7153"/>
      <c r="ATP18" s="7153"/>
      <c r="ATQ18" s="7163"/>
      <c r="ATR18" s="7164"/>
      <c r="ATS18" s="7157"/>
      <c r="ATT18" s="7157"/>
      <c r="ATU18" s="7157"/>
      <c r="ATV18" s="7157"/>
      <c r="ATW18" s="7158"/>
      <c r="ATX18" s="7158"/>
      <c r="ATY18" s="7158"/>
      <c r="ATZ18" s="7158"/>
      <c r="AUA18" s="7158"/>
      <c r="AUB18" s="7159"/>
      <c r="AUC18" s="7152"/>
      <c r="AUD18" s="7153"/>
      <c r="AUE18" s="7153"/>
      <c r="AUF18" s="7153"/>
      <c r="AUG18" s="7163"/>
      <c r="AUH18" s="7164"/>
      <c r="AUI18" s="7157"/>
      <c r="AUJ18" s="7157"/>
      <c r="AUK18" s="7157"/>
      <c r="AUL18" s="7157"/>
      <c r="AUM18" s="7158"/>
      <c r="AUN18" s="7158"/>
      <c r="AUO18" s="7158"/>
      <c r="AUP18" s="7158"/>
      <c r="AUQ18" s="7158"/>
      <c r="AUR18" s="7159"/>
      <c r="AUS18" s="7152"/>
      <c r="AUT18" s="7153"/>
      <c r="AUU18" s="7153"/>
      <c r="AUV18" s="7153"/>
      <c r="AUW18" s="7163"/>
      <c r="AUX18" s="7164"/>
      <c r="AUY18" s="7157"/>
      <c r="AUZ18" s="7157"/>
      <c r="AVA18" s="7157"/>
      <c r="AVB18" s="7157"/>
      <c r="AVC18" s="7158"/>
      <c r="AVD18" s="7158"/>
      <c r="AVE18" s="7158"/>
      <c r="AVF18" s="7158"/>
      <c r="AVG18" s="7158"/>
      <c r="AVH18" s="7159"/>
      <c r="AVI18" s="7152"/>
      <c r="AVJ18" s="7153"/>
      <c r="AVK18" s="7153"/>
      <c r="AVL18" s="7153"/>
      <c r="AVM18" s="7163"/>
      <c r="AVN18" s="7164"/>
      <c r="AVO18" s="7157"/>
      <c r="AVP18" s="7157"/>
      <c r="AVQ18" s="7157"/>
      <c r="AVR18" s="7157"/>
      <c r="AVS18" s="7158"/>
      <c r="AVT18" s="7158"/>
      <c r="AVU18" s="7158"/>
      <c r="AVV18" s="7158"/>
      <c r="AVW18" s="7158"/>
      <c r="AVX18" s="7159"/>
      <c r="AVY18" s="7152"/>
      <c r="AVZ18" s="7153"/>
      <c r="AWA18" s="7153"/>
      <c r="AWB18" s="7153"/>
      <c r="AWC18" s="7163"/>
      <c r="AWD18" s="7164"/>
      <c r="AWE18" s="7157"/>
      <c r="AWF18" s="7157"/>
      <c r="AWG18" s="7157"/>
      <c r="AWH18" s="7157"/>
      <c r="AWI18" s="7158"/>
      <c r="AWJ18" s="7158"/>
      <c r="AWK18" s="7158"/>
      <c r="AWL18" s="7158"/>
      <c r="AWM18" s="7158"/>
      <c r="AWN18" s="7159"/>
      <c r="AWO18" s="7152"/>
      <c r="AWP18" s="7153"/>
      <c r="AWQ18" s="7153"/>
      <c r="AWR18" s="7153"/>
      <c r="AWS18" s="7163"/>
      <c r="AWT18" s="7164"/>
      <c r="AWU18" s="7157"/>
      <c r="AWV18" s="7157"/>
      <c r="AWW18" s="7157"/>
      <c r="AWX18" s="7157"/>
      <c r="AWY18" s="7158"/>
      <c r="AWZ18" s="7158"/>
      <c r="AXA18" s="7158"/>
      <c r="AXB18" s="7158"/>
      <c r="AXC18" s="7158"/>
      <c r="AXD18" s="7159"/>
      <c r="AXE18" s="7152"/>
      <c r="AXF18" s="7153"/>
      <c r="AXG18" s="7153"/>
      <c r="AXH18" s="7153"/>
      <c r="AXI18" s="7163"/>
      <c r="AXJ18" s="7164"/>
      <c r="AXK18" s="7157"/>
      <c r="AXL18" s="7157"/>
      <c r="AXM18" s="7157"/>
      <c r="AXN18" s="7157"/>
      <c r="AXO18" s="7158"/>
      <c r="AXP18" s="7158"/>
      <c r="AXQ18" s="7158"/>
      <c r="AXR18" s="7158"/>
      <c r="AXS18" s="7158"/>
      <c r="AXT18" s="7159"/>
      <c r="AXU18" s="7152"/>
      <c r="AXV18" s="7153"/>
      <c r="AXW18" s="7153"/>
      <c r="AXX18" s="7153"/>
      <c r="AXY18" s="7163"/>
      <c r="AXZ18" s="7164"/>
      <c r="AYA18" s="7157"/>
      <c r="AYB18" s="7157"/>
      <c r="AYC18" s="7157"/>
      <c r="AYD18" s="7157"/>
      <c r="AYE18" s="7158"/>
      <c r="AYF18" s="7158"/>
      <c r="AYG18" s="7158"/>
      <c r="AYH18" s="7158"/>
      <c r="AYI18" s="7158"/>
      <c r="AYJ18" s="7159"/>
      <c r="AYK18" s="7152"/>
      <c r="AYL18" s="7153"/>
      <c r="AYM18" s="7153"/>
      <c r="AYN18" s="7153"/>
      <c r="AYO18" s="7163"/>
      <c r="AYP18" s="7164"/>
      <c r="AYQ18" s="7157"/>
      <c r="AYR18" s="7157"/>
      <c r="AYS18" s="7157"/>
      <c r="AYT18" s="7157"/>
      <c r="AYU18" s="7158"/>
      <c r="AYV18" s="7158"/>
      <c r="AYW18" s="7158"/>
      <c r="AYX18" s="7158"/>
      <c r="AYY18" s="7158"/>
      <c r="AYZ18" s="7159"/>
      <c r="AZA18" s="7152"/>
      <c r="AZB18" s="7153"/>
      <c r="AZC18" s="7153"/>
      <c r="AZD18" s="7153"/>
      <c r="AZE18" s="7163"/>
      <c r="AZF18" s="7164"/>
      <c r="AZG18" s="7157"/>
      <c r="AZH18" s="7157"/>
      <c r="AZI18" s="7157"/>
      <c r="AZJ18" s="7157"/>
      <c r="AZK18" s="7158"/>
      <c r="AZL18" s="7158"/>
      <c r="AZM18" s="7158"/>
      <c r="AZN18" s="7158"/>
      <c r="AZO18" s="7158"/>
      <c r="AZP18" s="7159"/>
      <c r="AZQ18" s="7152"/>
      <c r="AZR18" s="7153"/>
      <c r="AZS18" s="7153"/>
      <c r="AZT18" s="7153"/>
      <c r="AZU18" s="7163"/>
      <c r="AZV18" s="7164"/>
      <c r="AZW18" s="7157"/>
      <c r="AZX18" s="7157"/>
      <c r="AZY18" s="7157"/>
      <c r="AZZ18" s="7157"/>
      <c r="BAA18" s="7158"/>
      <c r="BAB18" s="7158"/>
      <c r="BAC18" s="7158"/>
      <c r="BAD18" s="7158"/>
      <c r="BAE18" s="7158"/>
      <c r="BAF18" s="7159"/>
      <c r="BAG18" s="7152"/>
      <c r="BAH18" s="7153"/>
      <c r="BAI18" s="7153"/>
      <c r="BAJ18" s="7153"/>
      <c r="BAK18" s="7163"/>
      <c r="BAL18" s="7164"/>
      <c r="BAM18" s="7157"/>
      <c r="BAN18" s="7157"/>
      <c r="BAO18" s="7157"/>
      <c r="BAP18" s="7157"/>
      <c r="BAQ18" s="7158"/>
      <c r="BAR18" s="7158"/>
      <c r="BAS18" s="7158"/>
      <c r="BAT18" s="7158"/>
      <c r="BAU18" s="7158"/>
      <c r="BAV18" s="7159"/>
      <c r="BAW18" s="7152"/>
      <c r="BAX18" s="7153"/>
      <c r="BAY18" s="7153"/>
      <c r="BAZ18" s="7153"/>
      <c r="BBA18" s="7163"/>
      <c r="BBB18" s="7164"/>
      <c r="BBC18" s="7157"/>
      <c r="BBD18" s="7157"/>
      <c r="BBE18" s="7157"/>
      <c r="BBF18" s="7157"/>
      <c r="BBG18" s="7158"/>
      <c r="BBH18" s="7158"/>
      <c r="BBI18" s="7158"/>
      <c r="BBJ18" s="7158"/>
      <c r="BBK18" s="7158"/>
      <c r="BBL18" s="7159"/>
      <c r="BBM18" s="7152"/>
      <c r="BBN18" s="7153"/>
      <c r="BBO18" s="7153"/>
      <c r="BBP18" s="7153"/>
      <c r="BBQ18" s="7163"/>
      <c r="BBR18" s="7164"/>
      <c r="BBS18" s="7157"/>
      <c r="BBT18" s="7157"/>
      <c r="BBU18" s="7157"/>
      <c r="BBV18" s="7157"/>
      <c r="BBW18" s="7158"/>
      <c r="BBX18" s="7158"/>
      <c r="BBY18" s="7158"/>
      <c r="BBZ18" s="7158"/>
      <c r="BCA18" s="7158"/>
      <c r="BCB18" s="7159"/>
      <c r="BCC18" s="7152"/>
      <c r="BCD18" s="7153"/>
      <c r="BCE18" s="7153"/>
      <c r="BCF18" s="7153"/>
      <c r="BCG18" s="7163"/>
      <c r="BCH18" s="7164"/>
      <c r="BCI18" s="7157"/>
      <c r="BCJ18" s="7157"/>
      <c r="BCK18" s="7157"/>
      <c r="BCL18" s="7157"/>
      <c r="BCM18" s="7158"/>
      <c r="BCN18" s="7158"/>
      <c r="BCO18" s="7158"/>
      <c r="BCP18" s="7158"/>
      <c r="BCQ18" s="7158"/>
      <c r="BCR18" s="7159"/>
      <c r="BCS18" s="7152"/>
      <c r="BCT18" s="7153"/>
      <c r="BCU18" s="7153"/>
      <c r="BCV18" s="7153"/>
      <c r="BCW18" s="7163"/>
      <c r="BCX18" s="7164"/>
      <c r="BCY18" s="7157"/>
      <c r="BCZ18" s="7157"/>
      <c r="BDA18" s="7157"/>
      <c r="BDB18" s="7157"/>
      <c r="BDC18" s="7158"/>
      <c r="BDD18" s="7158"/>
      <c r="BDE18" s="7158"/>
      <c r="BDF18" s="7158"/>
      <c r="BDG18" s="7158"/>
      <c r="BDH18" s="7159"/>
      <c r="BDI18" s="7152"/>
      <c r="BDJ18" s="7153"/>
      <c r="BDK18" s="7153"/>
      <c r="BDL18" s="7153"/>
      <c r="BDM18" s="7163"/>
      <c r="BDN18" s="7164"/>
      <c r="BDO18" s="7157"/>
      <c r="BDP18" s="7157"/>
      <c r="BDQ18" s="7157"/>
      <c r="BDR18" s="7157"/>
      <c r="BDS18" s="7158"/>
      <c r="BDT18" s="7158"/>
      <c r="BDU18" s="7158"/>
      <c r="BDV18" s="7158"/>
      <c r="BDW18" s="7158"/>
      <c r="BDX18" s="7159"/>
      <c r="BDY18" s="7152"/>
      <c r="BDZ18" s="7153"/>
      <c r="BEA18" s="7153"/>
      <c r="BEB18" s="7153"/>
      <c r="BEC18" s="7163"/>
      <c r="BED18" s="7164"/>
      <c r="BEE18" s="7157"/>
      <c r="BEF18" s="7157"/>
      <c r="BEG18" s="7157"/>
      <c r="BEH18" s="7157"/>
      <c r="BEI18" s="7158"/>
      <c r="BEJ18" s="7158"/>
      <c r="BEK18" s="7158"/>
      <c r="BEL18" s="7158"/>
      <c r="BEM18" s="7158"/>
      <c r="BEN18" s="7159"/>
      <c r="BEO18" s="7152"/>
      <c r="BEP18" s="7153"/>
      <c r="BEQ18" s="7153"/>
      <c r="BER18" s="7153"/>
      <c r="BES18" s="7163"/>
      <c r="BET18" s="7164"/>
      <c r="BEU18" s="7157"/>
      <c r="BEV18" s="7157"/>
      <c r="BEW18" s="7157"/>
      <c r="BEX18" s="7157"/>
      <c r="BEY18" s="7158"/>
      <c r="BEZ18" s="7158"/>
      <c r="BFA18" s="7158"/>
      <c r="BFB18" s="7158"/>
      <c r="BFC18" s="7158"/>
      <c r="BFD18" s="7159"/>
      <c r="BFE18" s="7152"/>
      <c r="BFF18" s="7153"/>
      <c r="BFG18" s="7153"/>
      <c r="BFH18" s="7153"/>
      <c r="BFI18" s="7163"/>
      <c r="BFJ18" s="7164"/>
      <c r="BFK18" s="7157"/>
      <c r="BFL18" s="7157"/>
      <c r="BFM18" s="7157"/>
      <c r="BFN18" s="7157"/>
      <c r="BFO18" s="7158"/>
      <c r="BFP18" s="7158"/>
      <c r="BFQ18" s="7158"/>
      <c r="BFR18" s="7158"/>
      <c r="BFS18" s="7158"/>
      <c r="BFT18" s="7159"/>
      <c r="BFU18" s="7152"/>
      <c r="BFV18" s="7153"/>
      <c r="BFW18" s="7153"/>
      <c r="BFX18" s="7153"/>
      <c r="BFY18" s="7163"/>
      <c r="BFZ18" s="7164"/>
      <c r="BGA18" s="7157"/>
      <c r="BGB18" s="7157"/>
      <c r="BGC18" s="7157"/>
      <c r="BGD18" s="7157"/>
      <c r="BGE18" s="7158"/>
      <c r="BGF18" s="7158"/>
      <c r="BGG18" s="7158"/>
      <c r="BGH18" s="7158"/>
      <c r="BGI18" s="7158"/>
      <c r="BGJ18" s="7159"/>
      <c r="BGK18" s="7152"/>
      <c r="BGL18" s="7153"/>
      <c r="BGM18" s="7153"/>
      <c r="BGN18" s="7153"/>
      <c r="BGO18" s="7163"/>
      <c r="BGP18" s="7164"/>
      <c r="BGQ18" s="7157"/>
      <c r="BGR18" s="7157"/>
      <c r="BGS18" s="7157"/>
      <c r="BGT18" s="7157"/>
      <c r="BGU18" s="7158"/>
      <c r="BGV18" s="7158"/>
      <c r="BGW18" s="7158"/>
      <c r="BGX18" s="7158"/>
      <c r="BGY18" s="7158"/>
      <c r="BGZ18" s="7159"/>
      <c r="BHA18" s="7152"/>
      <c r="BHB18" s="7153"/>
      <c r="BHC18" s="7153"/>
      <c r="BHD18" s="7153"/>
      <c r="BHE18" s="7163"/>
      <c r="BHF18" s="7164"/>
      <c r="BHG18" s="7157"/>
      <c r="BHH18" s="7157"/>
      <c r="BHI18" s="7157"/>
      <c r="BHJ18" s="7157"/>
      <c r="BHK18" s="7158"/>
      <c r="BHL18" s="7158"/>
      <c r="BHM18" s="7158"/>
      <c r="BHN18" s="7158"/>
      <c r="BHO18" s="7158"/>
      <c r="BHP18" s="7159"/>
      <c r="BHQ18" s="7152"/>
      <c r="BHR18" s="7153"/>
      <c r="BHS18" s="7153"/>
      <c r="BHT18" s="7153"/>
      <c r="BHU18" s="7163"/>
      <c r="BHV18" s="7164"/>
      <c r="BHW18" s="7157"/>
      <c r="BHX18" s="7157"/>
      <c r="BHY18" s="7157"/>
      <c r="BHZ18" s="7157"/>
      <c r="BIA18" s="7158"/>
      <c r="BIB18" s="7158"/>
      <c r="BIC18" s="7158"/>
      <c r="BID18" s="7158"/>
      <c r="BIE18" s="7158"/>
      <c r="BIF18" s="7159"/>
      <c r="BIG18" s="7152"/>
      <c r="BIH18" s="7153"/>
      <c r="BII18" s="7153"/>
      <c r="BIJ18" s="7153"/>
      <c r="BIK18" s="7163"/>
      <c r="BIL18" s="7164"/>
      <c r="BIM18" s="7157"/>
      <c r="BIN18" s="7157"/>
      <c r="BIO18" s="7157"/>
      <c r="BIP18" s="7157"/>
      <c r="BIQ18" s="7158"/>
      <c r="BIR18" s="7158"/>
      <c r="BIS18" s="7158"/>
      <c r="BIT18" s="7158"/>
      <c r="BIU18" s="7158"/>
      <c r="BIV18" s="7159"/>
      <c r="BIW18" s="7152"/>
      <c r="BIX18" s="7153"/>
      <c r="BIY18" s="7153"/>
      <c r="BIZ18" s="7153"/>
      <c r="BJA18" s="7163"/>
      <c r="BJB18" s="7164"/>
      <c r="BJC18" s="7157"/>
      <c r="BJD18" s="7157"/>
      <c r="BJE18" s="7157"/>
      <c r="BJF18" s="7157"/>
      <c r="BJG18" s="7158"/>
      <c r="BJH18" s="7158"/>
      <c r="BJI18" s="7158"/>
      <c r="BJJ18" s="7158"/>
      <c r="BJK18" s="7158"/>
      <c r="BJL18" s="7159"/>
      <c r="BJM18" s="7152"/>
      <c r="BJN18" s="7153"/>
      <c r="BJO18" s="7153"/>
      <c r="BJP18" s="7153"/>
      <c r="BJQ18" s="7163"/>
      <c r="BJR18" s="7164"/>
      <c r="BJS18" s="7157"/>
      <c r="BJT18" s="7157"/>
      <c r="BJU18" s="7157"/>
      <c r="BJV18" s="7157"/>
      <c r="BJW18" s="7158"/>
      <c r="BJX18" s="7158"/>
      <c r="BJY18" s="7158"/>
      <c r="BJZ18" s="7158"/>
      <c r="BKA18" s="7158"/>
      <c r="BKB18" s="7159"/>
      <c r="BKC18" s="7152"/>
      <c r="BKD18" s="7153"/>
      <c r="BKE18" s="7153"/>
      <c r="BKF18" s="7153"/>
      <c r="BKG18" s="7163"/>
      <c r="BKH18" s="7164"/>
      <c r="BKI18" s="7157"/>
      <c r="BKJ18" s="7157"/>
      <c r="BKK18" s="7157"/>
      <c r="BKL18" s="7157"/>
      <c r="BKM18" s="7158"/>
      <c r="BKN18" s="7158"/>
      <c r="BKO18" s="7158"/>
      <c r="BKP18" s="7158"/>
      <c r="BKQ18" s="7158"/>
      <c r="BKR18" s="7159"/>
      <c r="BKS18" s="7152"/>
      <c r="BKT18" s="7153"/>
      <c r="BKU18" s="7153"/>
      <c r="BKV18" s="7153"/>
      <c r="BKW18" s="7163"/>
      <c r="BKX18" s="7164"/>
      <c r="BKY18" s="7157"/>
      <c r="BKZ18" s="7157"/>
      <c r="BLA18" s="7157"/>
      <c r="BLB18" s="7157"/>
      <c r="BLC18" s="7158"/>
      <c r="BLD18" s="7158"/>
      <c r="BLE18" s="7158"/>
      <c r="BLF18" s="7158"/>
      <c r="BLG18" s="7158"/>
      <c r="BLH18" s="7159"/>
      <c r="BLI18" s="7152"/>
      <c r="BLJ18" s="7153"/>
      <c r="BLK18" s="7153"/>
      <c r="BLL18" s="7153"/>
      <c r="BLM18" s="7163"/>
      <c r="BLN18" s="7164"/>
      <c r="BLO18" s="7157"/>
      <c r="BLP18" s="7157"/>
      <c r="BLQ18" s="7157"/>
      <c r="BLR18" s="7157"/>
      <c r="BLS18" s="7158"/>
      <c r="BLT18" s="7158"/>
      <c r="BLU18" s="7158"/>
      <c r="BLV18" s="7158"/>
      <c r="BLW18" s="7158"/>
      <c r="BLX18" s="7159"/>
      <c r="BLY18" s="7152"/>
      <c r="BLZ18" s="7153"/>
      <c r="BMA18" s="7153"/>
      <c r="BMB18" s="7153"/>
      <c r="BMC18" s="7163"/>
      <c r="BMD18" s="7164"/>
      <c r="BME18" s="7157"/>
      <c r="BMF18" s="7157"/>
      <c r="BMG18" s="7157"/>
      <c r="BMH18" s="7157"/>
      <c r="BMI18" s="7158"/>
      <c r="BMJ18" s="7158"/>
      <c r="BMK18" s="7158"/>
      <c r="BML18" s="7158"/>
      <c r="BMM18" s="7158"/>
      <c r="BMN18" s="7159"/>
      <c r="BMO18" s="7152"/>
      <c r="BMP18" s="7153"/>
      <c r="BMQ18" s="7153"/>
      <c r="BMR18" s="7153"/>
      <c r="BMS18" s="7163"/>
      <c r="BMT18" s="7164"/>
      <c r="BMU18" s="7157"/>
      <c r="BMV18" s="7157"/>
      <c r="BMW18" s="7157"/>
      <c r="BMX18" s="7157"/>
      <c r="BMY18" s="7158"/>
      <c r="BMZ18" s="7158"/>
      <c r="BNA18" s="7158"/>
      <c r="BNB18" s="7158"/>
      <c r="BNC18" s="7158"/>
      <c r="BND18" s="7159"/>
      <c r="BNE18" s="7152"/>
      <c r="BNF18" s="7153"/>
      <c r="BNG18" s="7153"/>
      <c r="BNH18" s="7153"/>
      <c r="BNI18" s="7163"/>
      <c r="BNJ18" s="7164"/>
      <c r="BNK18" s="7157"/>
      <c r="BNL18" s="7157"/>
      <c r="BNM18" s="7157"/>
      <c r="BNN18" s="7157"/>
      <c r="BNO18" s="7158"/>
      <c r="BNP18" s="7158"/>
      <c r="BNQ18" s="7158"/>
      <c r="BNR18" s="7158"/>
      <c r="BNS18" s="7158"/>
      <c r="BNT18" s="7159"/>
      <c r="BNU18" s="7152"/>
      <c r="BNV18" s="7153"/>
      <c r="BNW18" s="7153"/>
      <c r="BNX18" s="7153"/>
      <c r="BNY18" s="7163"/>
      <c r="BNZ18" s="7164"/>
      <c r="BOA18" s="7157"/>
      <c r="BOB18" s="7157"/>
      <c r="BOC18" s="7157"/>
      <c r="BOD18" s="7157"/>
      <c r="BOE18" s="7158"/>
      <c r="BOF18" s="7158"/>
      <c r="BOG18" s="7158"/>
      <c r="BOH18" s="7158"/>
      <c r="BOI18" s="7158"/>
      <c r="BOJ18" s="7159"/>
      <c r="BOK18" s="7152"/>
      <c r="BOL18" s="7153"/>
      <c r="BOM18" s="7153"/>
      <c r="BON18" s="7153"/>
      <c r="BOO18" s="7163"/>
      <c r="BOP18" s="7164"/>
      <c r="BOQ18" s="7157"/>
      <c r="BOR18" s="7157"/>
      <c r="BOS18" s="7157"/>
      <c r="BOT18" s="7157"/>
      <c r="BOU18" s="7158"/>
      <c r="BOV18" s="7158"/>
      <c r="BOW18" s="7158"/>
      <c r="BOX18" s="7158"/>
      <c r="BOY18" s="7158"/>
      <c r="BOZ18" s="7159"/>
      <c r="BPA18" s="7152"/>
      <c r="BPB18" s="7153"/>
      <c r="BPC18" s="7153"/>
      <c r="BPD18" s="7153"/>
      <c r="BPE18" s="7163"/>
      <c r="BPF18" s="7164"/>
      <c r="BPG18" s="7157"/>
      <c r="BPH18" s="7157"/>
      <c r="BPI18" s="7157"/>
      <c r="BPJ18" s="7157"/>
      <c r="BPK18" s="7158"/>
      <c r="BPL18" s="7158"/>
      <c r="BPM18" s="7158"/>
      <c r="BPN18" s="7158"/>
      <c r="BPO18" s="7158"/>
      <c r="BPP18" s="7159"/>
      <c r="BPQ18" s="7152"/>
      <c r="BPR18" s="7153"/>
      <c r="BPS18" s="7153"/>
      <c r="BPT18" s="7153"/>
      <c r="BPU18" s="7163"/>
      <c r="BPV18" s="7164"/>
      <c r="BPW18" s="7157"/>
      <c r="BPX18" s="7157"/>
      <c r="BPY18" s="7157"/>
      <c r="BPZ18" s="7157"/>
      <c r="BQA18" s="7158"/>
      <c r="BQB18" s="7158"/>
      <c r="BQC18" s="7158"/>
      <c r="BQD18" s="7158"/>
      <c r="BQE18" s="7158"/>
      <c r="BQF18" s="7159"/>
      <c r="BQG18" s="7152"/>
      <c r="BQH18" s="7153"/>
      <c r="BQI18" s="7153"/>
      <c r="BQJ18" s="7153"/>
      <c r="BQK18" s="7163"/>
      <c r="BQL18" s="7164"/>
      <c r="BQM18" s="7157"/>
      <c r="BQN18" s="7157"/>
      <c r="BQO18" s="7157"/>
      <c r="BQP18" s="7157"/>
      <c r="BQQ18" s="7158"/>
      <c r="BQR18" s="7158"/>
      <c r="BQS18" s="7158"/>
      <c r="BQT18" s="7158"/>
      <c r="BQU18" s="7158"/>
      <c r="BQV18" s="7159"/>
      <c r="BQW18" s="7152"/>
      <c r="BQX18" s="7153"/>
      <c r="BQY18" s="7153"/>
      <c r="BQZ18" s="7153"/>
      <c r="BRA18" s="7163"/>
      <c r="BRB18" s="7164"/>
      <c r="BRC18" s="7157"/>
      <c r="BRD18" s="7157"/>
      <c r="BRE18" s="7157"/>
      <c r="BRF18" s="7157"/>
      <c r="BRG18" s="7158"/>
      <c r="BRH18" s="7158"/>
      <c r="BRI18" s="7158"/>
      <c r="BRJ18" s="7158"/>
      <c r="BRK18" s="7158"/>
      <c r="BRL18" s="7159"/>
      <c r="BRM18" s="7152"/>
      <c r="BRN18" s="7153"/>
      <c r="BRO18" s="7153"/>
      <c r="BRP18" s="7153"/>
      <c r="BRQ18" s="7163"/>
      <c r="BRR18" s="7164"/>
      <c r="BRS18" s="7157"/>
      <c r="BRT18" s="7157"/>
      <c r="BRU18" s="7157"/>
      <c r="BRV18" s="7157"/>
      <c r="BRW18" s="7158"/>
      <c r="BRX18" s="7158"/>
      <c r="BRY18" s="7158"/>
      <c r="BRZ18" s="7158"/>
      <c r="BSA18" s="7158"/>
      <c r="BSB18" s="7159"/>
      <c r="BSC18" s="7152"/>
      <c r="BSD18" s="7153"/>
      <c r="BSE18" s="7153"/>
      <c r="BSF18" s="7153"/>
      <c r="BSG18" s="7163"/>
      <c r="BSH18" s="7164"/>
      <c r="BSI18" s="7157"/>
      <c r="BSJ18" s="7157"/>
      <c r="BSK18" s="7157"/>
      <c r="BSL18" s="7157"/>
      <c r="BSM18" s="7158"/>
      <c r="BSN18" s="7158"/>
      <c r="BSO18" s="7158"/>
      <c r="BSP18" s="7158"/>
      <c r="BSQ18" s="7158"/>
      <c r="BSR18" s="7159"/>
      <c r="BSS18" s="7152"/>
      <c r="BST18" s="7153"/>
      <c r="BSU18" s="7153"/>
      <c r="BSV18" s="7153"/>
      <c r="BSW18" s="7163"/>
      <c r="BSX18" s="7164"/>
      <c r="BSY18" s="7157"/>
      <c r="BSZ18" s="7157"/>
      <c r="BTA18" s="7157"/>
      <c r="BTB18" s="7157"/>
      <c r="BTC18" s="7158"/>
      <c r="BTD18" s="7158"/>
      <c r="BTE18" s="7158"/>
      <c r="BTF18" s="7158"/>
      <c r="BTG18" s="7158"/>
      <c r="BTH18" s="7159"/>
      <c r="BTI18" s="7152"/>
      <c r="BTJ18" s="7153"/>
      <c r="BTK18" s="7153"/>
      <c r="BTL18" s="7153"/>
      <c r="BTM18" s="7163"/>
      <c r="BTN18" s="7164"/>
      <c r="BTO18" s="7157"/>
      <c r="BTP18" s="7157"/>
      <c r="BTQ18" s="7157"/>
      <c r="BTR18" s="7157"/>
      <c r="BTS18" s="7158"/>
      <c r="BTT18" s="7158"/>
      <c r="BTU18" s="7158"/>
      <c r="BTV18" s="7158"/>
      <c r="BTW18" s="7158"/>
      <c r="BTX18" s="7159"/>
      <c r="BTY18" s="7152"/>
      <c r="BTZ18" s="7153"/>
      <c r="BUA18" s="7153"/>
      <c r="BUB18" s="7153"/>
      <c r="BUC18" s="7163"/>
      <c r="BUD18" s="7164"/>
      <c r="BUE18" s="7157"/>
      <c r="BUF18" s="7157"/>
      <c r="BUG18" s="7157"/>
      <c r="BUH18" s="7157"/>
      <c r="BUI18" s="7158"/>
      <c r="BUJ18" s="7158"/>
      <c r="BUK18" s="7158"/>
      <c r="BUL18" s="7158"/>
      <c r="BUM18" s="7158"/>
      <c r="BUN18" s="7159"/>
      <c r="BUO18" s="7152"/>
      <c r="BUP18" s="7153"/>
      <c r="BUQ18" s="7153"/>
      <c r="BUR18" s="7153"/>
      <c r="BUS18" s="7163"/>
      <c r="BUT18" s="7164"/>
      <c r="BUU18" s="7157"/>
      <c r="BUV18" s="7157"/>
      <c r="BUW18" s="7157"/>
      <c r="BUX18" s="7157"/>
      <c r="BUY18" s="7158"/>
      <c r="BUZ18" s="7158"/>
      <c r="BVA18" s="7158"/>
      <c r="BVB18" s="7158"/>
      <c r="BVC18" s="7158"/>
      <c r="BVD18" s="7159"/>
      <c r="BVE18" s="7152"/>
      <c r="BVF18" s="7153"/>
      <c r="BVG18" s="7153"/>
      <c r="BVH18" s="7153"/>
      <c r="BVI18" s="7163"/>
      <c r="BVJ18" s="7164"/>
      <c r="BVK18" s="7157"/>
      <c r="BVL18" s="7157"/>
      <c r="BVM18" s="7157"/>
      <c r="BVN18" s="7157"/>
      <c r="BVO18" s="7158"/>
      <c r="BVP18" s="7158"/>
      <c r="BVQ18" s="7158"/>
      <c r="BVR18" s="7158"/>
      <c r="BVS18" s="7158"/>
      <c r="BVT18" s="7159"/>
      <c r="BVU18" s="7152"/>
      <c r="BVV18" s="7153"/>
      <c r="BVW18" s="7153"/>
      <c r="BVX18" s="7153"/>
      <c r="BVY18" s="7163"/>
      <c r="BVZ18" s="7164"/>
      <c r="BWA18" s="7157"/>
      <c r="BWB18" s="7157"/>
      <c r="BWC18" s="7157"/>
      <c r="BWD18" s="7157"/>
      <c r="BWE18" s="7158"/>
      <c r="BWF18" s="7158"/>
      <c r="BWG18" s="7158"/>
      <c r="BWH18" s="7158"/>
      <c r="BWI18" s="7158"/>
      <c r="BWJ18" s="7159"/>
      <c r="BWK18" s="7152"/>
      <c r="BWL18" s="7153"/>
      <c r="BWM18" s="7153"/>
      <c r="BWN18" s="7153"/>
      <c r="BWO18" s="7163"/>
      <c r="BWP18" s="7164"/>
      <c r="BWQ18" s="7157"/>
      <c r="BWR18" s="7157"/>
      <c r="BWS18" s="7157"/>
      <c r="BWT18" s="7157"/>
      <c r="BWU18" s="7158"/>
      <c r="BWV18" s="7158"/>
      <c r="BWW18" s="7158"/>
      <c r="BWX18" s="7158"/>
      <c r="BWY18" s="7158"/>
      <c r="BWZ18" s="7159"/>
      <c r="BXA18" s="7152"/>
      <c r="BXB18" s="7153"/>
      <c r="BXC18" s="7153"/>
      <c r="BXD18" s="7153"/>
      <c r="BXE18" s="7163"/>
      <c r="BXF18" s="7164"/>
      <c r="BXG18" s="7157"/>
      <c r="BXH18" s="7157"/>
      <c r="BXI18" s="7157"/>
      <c r="BXJ18" s="7157"/>
      <c r="BXK18" s="7158"/>
      <c r="BXL18" s="7158"/>
      <c r="BXM18" s="7158"/>
      <c r="BXN18" s="7158"/>
      <c r="BXO18" s="7158"/>
      <c r="BXP18" s="7159"/>
      <c r="BXQ18" s="7152"/>
      <c r="BXR18" s="7153"/>
      <c r="BXS18" s="7153"/>
      <c r="BXT18" s="7153"/>
      <c r="BXU18" s="7163"/>
      <c r="BXV18" s="7164"/>
      <c r="BXW18" s="7157"/>
      <c r="BXX18" s="7157"/>
      <c r="BXY18" s="7157"/>
      <c r="BXZ18" s="7157"/>
      <c r="BYA18" s="7158"/>
      <c r="BYB18" s="7158"/>
      <c r="BYC18" s="7158"/>
      <c r="BYD18" s="7158"/>
      <c r="BYE18" s="7158"/>
      <c r="BYF18" s="7159"/>
      <c r="BYG18" s="7152"/>
      <c r="BYH18" s="7153"/>
      <c r="BYI18" s="7153"/>
      <c r="BYJ18" s="7153"/>
      <c r="BYK18" s="7163"/>
      <c r="BYL18" s="7164"/>
      <c r="BYM18" s="7157"/>
      <c r="BYN18" s="7157"/>
      <c r="BYO18" s="7157"/>
      <c r="BYP18" s="7157"/>
      <c r="BYQ18" s="7158"/>
      <c r="BYR18" s="7158"/>
      <c r="BYS18" s="7158"/>
      <c r="BYT18" s="7158"/>
      <c r="BYU18" s="7158"/>
      <c r="BYV18" s="7159"/>
      <c r="BYW18" s="7152"/>
      <c r="BYX18" s="7153"/>
      <c r="BYY18" s="7153"/>
      <c r="BYZ18" s="7153"/>
      <c r="BZA18" s="7163"/>
      <c r="BZB18" s="7164"/>
      <c r="BZC18" s="7157"/>
      <c r="BZD18" s="7157"/>
      <c r="BZE18" s="7157"/>
      <c r="BZF18" s="7157"/>
      <c r="BZG18" s="7158"/>
      <c r="BZH18" s="7158"/>
      <c r="BZI18" s="7158"/>
      <c r="BZJ18" s="7158"/>
      <c r="BZK18" s="7158"/>
      <c r="BZL18" s="7159"/>
      <c r="BZM18" s="7152"/>
      <c r="BZN18" s="7153"/>
      <c r="BZO18" s="7153"/>
      <c r="BZP18" s="7153"/>
      <c r="BZQ18" s="7163"/>
      <c r="BZR18" s="7164"/>
      <c r="BZS18" s="7157"/>
      <c r="BZT18" s="7157"/>
      <c r="BZU18" s="7157"/>
      <c r="BZV18" s="7157"/>
      <c r="BZW18" s="7158"/>
      <c r="BZX18" s="7158"/>
      <c r="BZY18" s="7158"/>
      <c r="BZZ18" s="7158"/>
      <c r="CAA18" s="7158"/>
      <c r="CAB18" s="7159"/>
      <c r="CAC18" s="7152"/>
      <c r="CAD18" s="7153"/>
      <c r="CAE18" s="7153"/>
      <c r="CAF18" s="7153"/>
      <c r="CAG18" s="7163"/>
      <c r="CAH18" s="7164"/>
      <c r="CAI18" s="7157"/>
      <c r="CAJ18" s="7157"/>
      <c r="CAK18" s="7157"/>
      <c r="CAL18" s="7157"/>
      <c r="CAM18" s="7158"/>
      <c r="CAN18" s="7158"/>
      <c r="CAO18" s="7158"/>
      <c r="CAP18" s="7158"/>
      <c r="CAQ18" s="7158"/>
      <c r="CAR18" s="7159"/>
      <c r="CAS18" s="7152"/>
      <c r="CAT18" s="7153"/>
      <c r="CAU18" s="7153"/>
      <c r="CAV18" s="7153"/>
      <c r="CAW18" s="7163"/>
      <c r="CAX18" s="7164"/>
      <c r="CAY18" s="7157"/>
      <c r="CAZ18" s="7157"/>
      <c r="CBA18" s="7157"/>
      <c r="CBB18" s="7157"/>
      <c r="CBC18" s="7158"/>
      <c r="CBD18" s="7158"/>
      <c r="CBE18" s="7158"/>
      <c r="CBF18" s="7158"/>
      <c r="CBG18" s="7158"/>
      <c r="CBH18" s="7159"/>
      <c r="CBI18" s="7152"/>
      <c r="CBJ18" s="7153"/>
      <c r="CBK18" s="7153"/>
      <c r="CBL18" s="7153"/>
      <c r="CBM18" s="7163"/>
      <c r="CBN18" s="7164"/>
      <c r="CBO18" s="7157"/>
      <c r="CBP18" s="7157"/>
      <c r="CBQ18" s="7157"/>
      <c r="CBR18" s="7157"/>
      <c r="CBS18" s="7158"/>
      <c r="CBT18" s="7158"/>
      <c r="CBU18" s="7158"/>
      <c r="CBV18" s="7158"/>
      <c r="CBW18" s="7158"/>
      <c r="CBX18" s="7159"/>
      <c r="CBY18" s="7152"/>
      <c r="CBZ18" s="7153"/>
      <c r="CCA18" s="7153"/>
      <c r="CCB18" s="7153"/>
      <c r="CCC18" s="7163"/>
      <c r="CCD18" s="7164"/>
      <c r="CCE18" s="7157"/>
      <c r="CCF18" s="7157"/>
      <c r="CCG18" s="7157"/>
      <c r="CCH18" s="7157"/>
      <c r="CCI18" s="7158"/>
      <c r="CCJ18" s="7158"/>
      <c r="CCK18" s="7158"/>
      <c r="CCL18" s="7158"/>
      <c r="CCM18" s="7158"/>
      <c r="CCN18" s="7159"/>
      <c r="CCO18" s="7152"/>
      <c r="CCP18" s="7153"/>
      <c r="CCQ18" s="7153"/>
      <c r="CCR18" s="7153"/>
      <c r="CCS18" s="7163"/>
      <c r="CCT18" s="7164"/>
      <c r="CCU18" s="7157"/>
      <c r="CCV18" s="7157"/>
      <c r="CCW18" s="7157"/>
      <c r="CCX18" s="7157"/>
      <c r="CCY18" s="7158"/>
      <c r="CCZ18" s="7158"/>
      <c r="CDA18" s="7158"/>
      <c r="CDB18" s="7158"/>
      <c r="CDC18" s="7158"/>
      <c r="CDD18" s="7159"/>
      <c r="CDE18" s="7152"/>
      <c r="CDF18" s="7153"/>
      <c r="CDG18" s="7153"/>
      <c r="CDH18" s="7153"/>
      <c r="CDI18" s="7163"/>
      <c r="CDJ18" s="7164"/>
      <c r="CDK18" s="7157"/>
      <c r="CDL18" s="7157"/>
      <c r="CDM18" s="7157"/>
      <c r="CDN18" s="7157"/>
      <c r="CDO18" s="7158"/>
      <c r="CDP18" s="7158"/>
      <c r="CDQ18" s="7158"/>
      <c r="CDR18" s="7158"/>
      <c r="CDS18" s="7158"/>
      <c r="CDT18" s="7159"/>
      <c r="CDU18" s="7152"/>
      <c r="CDV18" s="7153"/>
      <c r="CDW18" s="7153"/>
      <c r="CDX18" s="7153"/>
      <c r="CDY18" s="7163"/>
      <c r="CDZ18" s="7164"/>
      <c r="CEA18" s="7157"/>
      <c r="CEB18" s="7157"/>
      <c r="CEC18" s="7157"/>
      <c r="CED18" s="7157"/>
      <c r="CEE18" s="7158"/>
      <c r="CEF18" s="7158"/>
      <c r="CEG18" s="7158"/>
      <c r="CEH18" s="7158"/>
      <c r="CEI18" s="7158"/>
      <c r="CEJ18" s="7159"/>
      <c r="CEK18" s="7152"/>
      <c r="CEL18" s="7153"/>
      <c r="CEM18" s="7153"/>
      <c r="CEN18" s="7153"/>
      <c r="CEO18" s="7163"/>
      <c r="CEP18" s="7164"/>
      <c r="CEQ18" s="7157"/>
      <c r="CER18" s="7157"/>
      <c r="CES18" s="7157"/>
      <c r="CET18" s="7157"/>
      <c r="CEU18" s="7158"/>
      <c r="CEV18" s="7158"/>
      <c r="CEW18" s="7158"/>
      <c r="CEX18" s="7158"/>
      <c r="CEY18" s="7158"/>
      <c r="CEZ18" s="7159"/>
      <c r="CFA18" s="7152"/>
      <c r="CFB18" s="7153"/>
      <c r="CFC18" s="7153"/>
      <c r="CFD18" s="7153"/>
      <c r="CFE18" s="7163"/>
      <c r="CFF18" s="7164"/>
      <c r="CFG18" s="7157"/>
      <c r="CFH18" s="7157"/>
      <c r="CFI18" s="7157"/>
      <c r="CFJ18" s="7157"/>
      <c r="CFK18" s="7158"/>
      <c r="CFL18" s="7158"/>
      <c r="CFM18" s="7158"/>
      <c r="CFN18" s="7158"/>
      <c r="CFO18" s="7158"/>
      <c r="CFP18" s="7159"/>
      <c r="CFQ18" s="7152"/>
      <c r="CFR18" s="7153"/>
      <c r="CFS18" s="7153"/>
      <c r="CFT18" s="7153"/>
      <c r="CFU18" s="7163"/>
      <c r="CFV18" s="7164"/>
      <c r="CFW18" s="7157"/>
      <c r="CFX18" s="7157"/>
      <c r="CFY18" s="7157"/>
      <c r="CFZ18" s="7157"/>
      <c r="CGA18" s="7158"/>
      <c r="CGB18" s="7158"/>
      <c r="CGC18" s="7158"/>
      <c r="CGD18" s="7158"/>
      <c r="CGE18" s="7158"/>
      <c r="CGF18" s="7159"/>
      <c r="CGG18" s="7152"/>
      <c r="CGH18" s="7153"/>
      <c r="CGI18" s="7153"/>
      <c r="CGJ18" s="7153"/>
      <c r="CGK18" s="7163"/>
      <c r="CGL18" s="7164"/>
      <c r="CGM18" s="7157"/>
      <c r="CGN18" s="7157"/>
      <c r="CGO18" s="7157"/>
      <c r="CGP18" s="7157"/>
      <c r="CGQ18" s="7158"/>
      <c r="CGR18" s="7158"/>
      <c r="CGS18" s="7158"/>
      <c r="CGT18" s="7158"/>
      <c r="CGU18" s="7158"/>
      <c r="CGV18" s="7159"/>
      <c r="CGW18" s="7152"/>
      <c r="CGX18" s="7153"/>
      <c r="CGY18" s="7153"/>
      <c r="CGZ18" s="7153"/>
      <c r="CHA18" s="7163"/>
      <c r="CHB18" s="7164"/>
      <c r="CHC18" s="7157"/>
      <c r="CHD18" s="7157"/>
      <c r="CHE18" s="7157"/>
      <c r="CHF18" s="7157"/>
      <c r="CHG18" s="7158"/>
      <c r="CHH18" s="7158"/>
      <c r="CHI18" s="7158"/>
      <c r="CHJ18" s="7158"/>
      <c r="CHK18" s="7158"/>
      <c r="CHL18" s="7159"/>
      <c r="CHM18" s="7152"/>
      <c r="CHN18" s="7153"/>
      <c r="CHO18" s="7153"/>
      <c r="CHP18" s="7153"/>
      <c r="CHQ18" s="7163"/>
      <c r="CHR18" s="7164"/>
      <c r="CHS18" s="7157"/>
      <c r="CHT18" s="7157"/>
      <c r="CHU18" s="7157"/>
      <c r="CHV18" s="7157"/>
      <c r="CHW18" s="7158"/>
      <c r="CHX18" s="7158"/>
      <c r="CHY18" s="7158"/>
      <c r="CHZ18" s="7158"/>
      <c r="CIA18" s="7158"/>
      <c r="CIB18" s="7159"/>
      <c r="CIC18" s="7152"/>
      <c r="CID18" s="7153"/>
      <c r="CIE18" s="7153"/>
      <c r="CIF18" s="7153"/>
      <c r="CIG18" s="7163"/>
      <c r="CIH18" s="7164"/>
      <c r="CII18" s="7157"/>
      <c r="CIJ18" s="7157"/>
      <c r="CIK18" s="7157"/>
      <c r="CIL18" s="7157"/>
      <c r="CIM18" s="7158"/>
      <c r="CIN18" s="7158"/>
      <c r="CIO18" s="7158"/>
      <c r="CIP18" s="7158"/>
      <c r="CIQ18" s="7158"/>
      <c r="CIR18" s="7159"/>
      <c r="CIS18" s="7152"/>
      <c r="CIT18" s="7153"/>
      <c r="CIU18" s="7153"/>
      <c r="CIV18" s="7153"/>
      <c r="CIW18" s="7163"/>
      <c r="CIX18" s="7164"/>
      <c r="CIY18" s="7157"/>
      <c r="CIZ18" s="7157"/>
      <c r="CJA18" s="7157"/>
      <c r="CJB18" s="7157"/>
      <c r="CJC18" s="7158"/>
      <c r="CJD18" s="7158"/>
      <c r="CJE18" s="7158"/>
      <c r="CJF18" s="7158"/>
      <c r="CJG18" s="7158"/>
      <c r="CJH18" s="7159"/>
      <c r="CJI18" s="7152"/>
      <c r="CJJ18" s="7153"/>
      <c r="CJK18" s="7153"/>
      <c r="CJL18" s="7153"/>
      <c r="CJM18" s="7163"/>
      <c r="CJN18" s="7164"/>
      <c r="CJO18" s="7157"/>
      <c r="CJP18" s="7157"/>
      <c r="CJQ18" s="7157"/>
      <c r="CJR18" s="7157"/>
      <c r="CJS18" s="7158"/>
      <c r="CJT18" s="7158"/>
      <c r="CJU18" s="7158"/>
      <c r="CJV18" s="7158"/>
      <c r="CJW18" s="7158"/>
      <c r="CJX18" s="7159"/>
      <c r="CJY18" s="7152"/>
      <c r="CJZ18" s="7153"/>
      <c r="CKA18" s="7153"/>
      <c r="CKB18" s="7153"/>
      <c r="CKC18" s="7163"/>
      <c r="CKD18" s="7164"/>
      <c r="CKE18" s="7157"/>
      <c r="CKF18" s="7157"/>
      <c r="CKG18" s="7157"/>
      <c r="CKH18" s="7157"/>
      <c r="CKI18" s="7158"/>
      <c r="CKJ18" s="7158"/>
      <c r="CKK18" s="7158"/>
      <c r="CKL18" s="7158"/>
      <c r="CKM18" s="7158"/>
      <c r="CKN18" s="7159"/>
      <c r="CKO18" s="7152"/>
      <c r="CKP18" s="7153"/>
      <c r="CKQ18" s="7153"/>
      <c r="CKR18" s="7153"/>
      <c r="CKS18" s="7163"/>
      <c r="CKT18" s="7164"/>
      <c r="CKU18" s="7157"/>
      <c r="CKV18" s="7157"/>
      <c r="CKW18" s="7157"/>
      <c r="CKX18" s="7157"/>
      <c r="CKY18" s="7158"/>
      <c r="CKZ18" s="7158"/>
      <c r="CLA18" s="7158"/>
      <c r="CLB18" s="7158"/>
      <c r="CLC18" s="7158"/>
      <c r="CLD18" s="7159"/>
      <c r="CLE18" s="7152"/>
      <c r="CLF18" s="7153"/>
      <c r="CLG18" s="7153"/>
      <c r="CLH18" s="7153"/>
      <c r="CLI18" s="7163"/>
      <c r="CLJ18" s="7164"/>
      <c r="CLK18" s="7157"/>
      <c r="CLL18" s="7157"/>
      <c r="CLM18" s="7157"/>
      <c r="CLN18" s="7157"/>
      <c r="CLO18" s="7158"/>
      <c r="CLP18" s="7158"/>
      <c r="CLQ18" s="7158"/>
      <c r="CLR18" s="7158"/>
      <c r="CLS18" s="7158"/>
      <c r="CLT18" s="7159"/>
      <c r="CLU18" s="7152"/>
      <c r="CLV18" s="7153"/>
      <c r="CLW18" s="7153"/>
      <c r="CLX18" s="7153"/>
      <c r="CLY18" s="7163"/>
      <c r="CLZ18" s="7164"/>
      <c r="CMA18" s="7157"/>
      <c r="CMB18" s="7157"/>
      <c r="CMC18" s="7157"/>
      <c r="CMD18" s="7157"/>
      <c r="CME18" s="7158"/>
      <c r="CMF18" s="7158"/>
      <c r="CMG18" s="7158"/>
      <c r="CMH18" s="7158"/>
      <c r="CMI18" s="7158"/>
      <c r="CMJ18" s="7159"/>
      <c r="CMK18" s="7152"/>
      <c r="CML18" s="7153"/>
      <c r="CMM18" s="7153"/>
      <c r="CMN18" s="7153"/>
      <c r="CMO18" s="7163"/>
      <c r="CMP18" s="7164"/>
      <c r="CMQ18" s="7157"/>
      <c r="CMR18" s="7157"/>
      <c r="CMS18" s="7157"/>
      <c r="CMT18" s="7157"/>
      <c r="CMU18" s="7158"/>
      <c r="CMV18" s="7158"/>
      <c r="CMW18" s="7158"/>
      <c r="CMX18" s="7158"/>
      <c r="CMY18" s="7158"/>
      <c r="CMZ18" s="7159"/>
      <c r="CNA18" s="7152"/>
      <c r="CNB18" s="7153"/>
      <c r="CNC18" s="7153"/>
      <c r="CND18" s="7153"/>
      <c r="CNE18" s="7163"/>
      <c r="CNF18" s="7164"/>
      <c r="CNG18" s="7157"/>
      <c r="CNH18" s="7157"/>
      <c r="CNI18" s="7157"/>
      <c r="CNJ18" s="7157"/>
      <c r="CNK18" s="7158"/>
      <c r="CNL18" s="7158"/>
      <c r="CNM18" s="7158"/>
      <c r="CNN18" s="7158"/>
      <c r="CNO18" s="7158"/>
      <c r="CNP18" s="7159"/>
      <c r="CNQ18" s="7152"/>
      <c r="CNR18" s="7153"/>
      <c r="CNS18" s="7153"/>
      <c r="CNT18" s="7153"/>
      <c r="CNU18" s="7163"/>
      <c r="CNV18" s="7164"/>
      <c r="CNW18" s="7157"/>
      <c r="CNX18" s="7157"/>
      <c r="CNY18" s="7157"/>
      <c r="CNZ18" s="7157"/>
      <c r="COA18" s="7158"/>
      <c r="COB18" s="7158"/>
      <c r="COC18" s="7158"/>
      <c r="COD18" s="7158"/>
      <c r="COE18" s="7158"/>
      <c r="COF18" s="7159"/>
      <c r="COG18" s="7152"/>
      <c r="COH18" s="7153"/>
      <c r="COI18" s="7153"/>
      <c r="COJ18" s="7153"/>
      <c r="COK18" s="7163"/>
      <c r="COL18" s="7164"/>
      <c r="COM18" s="7157"/>
      <c r="CON18" s="7157"/>
      <c r="COO18" s="7157"/>
      <c r="COP18" s="7157"/>
      <c r="COQ18" s="7158"/>
      <c r="COR18" s="7158"/>
      <c r="COS18" s="7158"/>
      <c r="COT18" s="7158"/>
      <c r="COU18" s="7158"/>
      <c r="COV18" s="7159"/>
      <c r="COW18" s="7152"/>
      <c r="COX18" s="7153"/>
      <c r="COY18" s="7153"/>
      <c r="COZ18" s="7153"/>
      <c r="CPA18" s="7163"/>
      <c r="CPB18" s="7164"/>
      <c r="CPC18" s="7157"/>
      <c r="CPD18" s="7157"/>
      <c r="CPE18" s="7157"/>
      <c r="CPF18" s="7157"/>
      <c r="CPG18" s="7158"/>
      <c r="CPH18" s="7158"/>
      <c r="CPI18" s="7158"/>
      <c r="CPJ18" s="7158"/>
      <c r="CPK18" s="7158"/>
      <c r="CPL18" s="7159"/>
      <c r="CPM18" s="7152"/>
      <c r="CPN18" s="7153"/>
      <c r="CPO18" s="7153"/>
      <c r="CPP18" s="7153"/>
      <c r="CPQ18" s="7163"/>
      <c r="CPR18" s="7164"/>
      <c r="CPS18" s="7157"/>
      <c r="CPT18" s="7157"/>
      <c r="CPU18" s="7157"/>
      <c r="CPV18" s="7157"/>
      <c r="CPW18" s="7158"/>
      <c r="CPX18" s="7158"/>
      <c r="CPY18" s="7158"/>
      <c r="CPZ18" s="7158"/>
      <c r="CQA18" s="7158"/>
      <c r="CQB18" s="7159"/>
      <c r="CQC18" s="7152"/>
      <c r="CQD18" s="7153"/>
      <c r="CQE18" s="7153"/>
      <c r="CQF18" s="7153"/>
      <c r="CQG18" s="7163"/>
      <c r="CQH18" s="7164"/>
      <c r="CQI18" s="7157"/>
      <c r="CQJ18" s="7157"/>
      <c r="CQK18" s="7157"/>
      <c r="CQL18" s="7157"/>
      <c r="CQM18" s="7158"/>
      <c r="CQN18" s="7158"/>
      <c r="CQO18" s="7158"/>
      <c r="CQP18" s="7158"/>
      <c r="CQQ18" s="7158"/>
      <c r="CQR18" s="7159"/>
      <c r="CQS18" s="7152"/>
      <c r="CQT18" s="7153"/>
      <c r="CQU18" s="7153"/>
      <c r="CQV18" s="7153"/>
      <c r="CQW18" s="7163"/>
      <c r="CQX18" s="7164"/>
      <c r="CQY18" s="7157"/>
      <c r="CQZ18" s="7157"/>
      <c r="CRA18" s="7157"/>
      <c r="CRB18" s="7157"/>
      <c r="CRC18" s="7158"/>
      <c r="CRD18" s="7158"/>
      <c r="CRE18" s="7158"/>
      <c r="CRF18" s="7158"/>
      <c r="CRG18" s="7158"/>
      <c r="CRH18" s="7159"/>
      <c r="CRI18" s="7152"/>
      <c r="CRJ18" s="7153"/>
      <c r="CRK18" s="7153"/>
      <c r="CRL18" s="7153"/>
      <c r="CRM18" s="7163"/>
      <c r="CRN18" s="7164"/>
      <c r="CRO18" s="7157"/>
      <c r="CRP18" s="7157"/>
      <c r="CRQ18" s="7157"/>
      <c r="CRR18" s="7157"/>
      <c r="CRS18" s="7158"/>
      <c r="CRT18" s="7158"/>
      <c r="CRU18" s="7158"/>
      <c r="CRV18" s="7158"/>
      <c r="CRW18" s="7158"/>
      <c r="CRX18" s="7159"/>
      <c r="CRY18" s="7152"/>
      <c r="CRZ18" s="7153"/>
      <c r="CSA18" s="7153"/>
      <c r="CSB18" s="7153"/>
      <c r="CSC18" s="7163"/>
      <c r="CSD18" s="7164"/>
      <c r="CSE18" s="7157"/>
      <c r="CSF18" s="7157"/>
      <c r="CSG18" s="7157"/>
      <c r="CSH18" s="7157"/>
      <c r="CSI18" s="7158"/>
      <c r="CSJ18" s="7158"/>
      <c r="CSK18" s="7158"/>
      <c r="CSL18" s="7158"/>
      <c r="CSM18" s="7158"/>
      <c r="CSN18" s="7159"/>
      <c r="CSO18" s="7152"/>
      <c r="CSP18" s="7153"/>
      <c r="CSQ18" s="7153"/>
      <c r="CSR18" s="7153"/>
      <c r="CSS18" s="7163"/>
      <c r="CST18" s="7164"/>
      <c r="CSU18" s="7157"/>
      <c r="CSV18" s="7157"/>
      <c r="CSW18" s="7157"/>
      <c r="CSX18" s="7157"/>
      <c r="CSY18" s="7158"/>
      <c r="CSZ18" s="7158"/>
      <c r="CTA18" s="7158"/>
      <c r="CTB18" s="7158"/>
      <c r="CTC18" s="7158"/>
      <c r="CTD18" s="7159"/>
      <c r="CTE18" s="7152"/>
      <c r="CTF18" s="7153"/>
      <c r="CTG18" s="7153"/>
      <c r="CTH18" s="7153"/>
      <c r="CTI18" s="7163"/>
      <c r="CTJ18" s="7164"/>
      <c r="CTK18" s="7157"/>
      <c r="CTL18" s="7157"/>
      <c r="CTM18" s="7157"/>
      <c r="CTN18" s="7157"/>
      <c r="CTO18" s="7158"/>
      <c r="CTP18" s="7158"/>
      <c r="CTQ18" s="7158"/>
      <c r="CTR18" s="7158"/>
      <c r="CTS18" s="7158"/>
      <c r="CTT18" s="7159"/>
      <c r="CTU18" s="7152"/>
      <c r="CTV18" s="7153"/>
      <c r="CTW18" s="7153"/>
      <c r="CTX18" s="7153"/>
      <c r="CTY18" s="7163"/>
      <c r="CTZ18" s="7164"/>
      <c r="CUA18" s="7157"/>
      <c r="CUB18" s="7157"/>
      <c r="CUC18" s="7157"/>
      <c r="CUD18" s="7157"/>
      <c r="CUE18" s="7158"/>
      <c r="CUF18" s="7158"/>
      <c r="CUG18" s="7158"/>
      <c r="CUH18" s="7158"/>
      <c r="CUI18" s="7158"/>
      <c r="CUJ18" s="7159"/>
      <c r="CUK18" s="7152"/>
      <c r="CUL18" s="7153"/>
      <c r="CUM18" s="7153"/>
      <c r="CUN18" s="7153"/>
      <c r="CUO18" s="7163"/>
      <c r="CUP18" s="7164"/>
      <c r="CUQ18" s="7157"/>
      <c r="CUR18" s="7157"/>
      <c r="CUS18" s="7157"/>
      <c r="CUT18" s="7157"/>
      <c r="CUU18" s="7158"/>
      <c r="CUV18" s="7158"/>
      <c r="CUW18" s="7158"/>
      <c r="CUX18" s="7158"/>
      <c r="CUY18" s="7158"/>
      <c r="CUZ18" s="7159"/>
      <c r="CVA18" s="7152"/>
      <c r="CVB18" s="7153"/>
      <c r="CVC18" s="7153"/>
      <c r="CVD18" s="7153"/>
      <c r="CVE18" s="7163"/>
      <c r="CVF18" s="7164"/>
      <c r="CVG18" s="7157"/>
      <c r="CVH18" s="7157"/>
      <c r="CVI18" s="7157"/>
      <c r="CVJ18" s="7157"/>
      <c r="CVK18" s="7158"/>
      <c r="CVL18" s="7158"/>
      <c r="CVM18" s="7158"/>
      <c r="CVN18" s="7158"/>
      <c r="CVO18" s="7158"/>
      <c r="CVP18" s="7159"/>
      <c r="CVQ18" s="7152"/>
      <c r="CVR18" s="7153"/>
      <c r="CVS18" s="7153"/>
      <c r="CVT18" s="7153"/>
      <c r="CVU18" s="7163"/>
      <c r="CVV18" s="7164"/>
      <c r="CVW18" s="7157"/>
      <c r="CVX18" s="7157"/>
      <c r="CVY18" s="7157"/>
      <c r="CVZ18" s="7157"/>
      <c r="CWA18" s="7158"/>
      <c r="CWB18" s="7158"/>
      <c r="CWC18" s="7158"/>
      <c r="CWD18" s="7158"/>
      <c r="CWE18" s="7158"/>
      <c r="CWF18" s="7159"/>
      <c r="CWG18" s="7152"/>
      <c r="CWH18" s="7153"/>
      <c r="CWI18" s="7153"/>
      <c r="CWJ18" s="7153"/>
      <c r="CWK18" s="7163"/>
      <c r="CWL18" s="7164"/>
      <c r="CWM18" s="7157"/>
      <c r="CWN18" s="7157"/>
      <c r="CWO18" s="7157"/>
      <c r="CWP18" s="7157"/>
      <c r="CWQ18" s="7158"/>
      <c r="CWR18" s="7158"/>
      <c r="CWS18" s="7158"/>
      <c r="CWT18" s="7158"/>
      <c r="CWU18" s="7158"/>
      <c r="CWV18" s="7159"/>
      <c r="CWW18" s="7152"/>
      <c r="CWX18" s="7153"/>
      <c r="CWY18" s="7153"/>
      <c r="CWZ18" s="7153"/>
      <c r="CXA18" s="7163"/>
      <c r="CXB18" s="7164"/>
      <c r="CXC18" s="7157"/>
      <c r="CXD18" s="7157"/>
      <c r="CXE18" s="7157"/>
      <c r="CXF18" s="7157"/>
      <c r="CXG18" s="7158"/>
      <c r="CXH18" s="7158"/>
      <c r="CXI18" s="7158"/>
      <c r="CXJ18" s="7158"/>
      <c r="CXK18" s="7158"/>
      <c r="CXL18" s="7159"/>
      <c r="CXM18" s="7152"/>
      <c r="CXN18" s="7153"/>
      <c r="CXO18" s="7153"/>
      <c r="CXP18" s="7153"/>
      <c r="CXQ18" s="7163"/>
      <c r="CXR18" s="7164"/>
      <c r="CXS18" s="7157"/>
      <c r="CXT18" s="7157"/>
      <c r="CXU18" s="7157"/>
      <c r="CXV18" s="7157"/>
      <c r="CXW18" s="7158"/>
      <c r="CXX18" s="7158"/>
      <c r="CXY18" s="7158"/>
      <c r="CXZ18" s="7158"/>
      <c r="CYA18" s="7158"/>
      <c r="CYB18" s="7159"/>
      <c r="CYC18" s="7152"/>
      <c r="CYD18" s="7153"/>
      <c r="CYE18" s="7153"/>
      <c r="CYF18" s="7153"/>
      <c r="CYG18" s="7163"/>
      <c r="CYH18" s="7164"/>
      <c r="CYI18" s="7157"/>
      <c r="CYJ18" s="7157"/>
      <c r="CYK18" s="7157"/>
      <c r="CYL18" s="7157"/>
      <c r="CYM18" s="7158"/>
      <c r="CYN18" s="7158"/>
      <c r="CYO18" s="7158"/>
      <c r="CYP18" s="7158"/>
      <c r="CYQ18" s="7158"/>
      <c r="CYR18" s="7159"/>
      <c r="CYS18" s="7152"/>
      <c r="CYT18" s="7153"/>
      <c r="CYU18" s="7153"/>
      <c r="CYV18" s="7153"/>
      <c r="CYW18" s="7163"/>
      <c r="CYX18" s="7164"/>
      <c r="CYY18" s="7157"/>
      <c r="CYZ18" s="7157"/>
      <c r="CZA18" s="7157"/>
      <c r="CZB18" s="7157"/>
      <c r="CZC18" s="7158"/>
      <c r="CZD18" s="7158"/>
      <c r="CZE18" s="7158"/>
      <c r="CZF18" s="7158"/>
      <c r="CZG18" s="7158"/>
      <c r="CZH18" s="7159"/>
      <c r="CZI18" s="7152"/>
      <c r="CZJ18" s="7153"/>
      <c r="CZK18" s="7153"/>
      <c r="CZL18" s="7153"/>
      <c r="CZM18" s="7163"/>
      <c r="CZN18" s="7164"/>
      <c r="CZO18" s="7157"/>
      <c r="CZP18" s="7157"/>
      <c r="CZQ18" s="7157"/>
      <c r="CZR18" s="7157"/>
      <c r="CZS18" s="7158"/>
      <c r="CZT18" s="7158"/>
      <c r="CZU18" s="7158"/>
      <c r="CZV18" s="7158"/>
      <c r="CZW18" s="7158"/>
      <c r="CZX18" s="7159"/>
      <c r="CZY18" s="7152"/>
      <c r="CZZ18" s="7153"/>
      <c r="DAA18" s="7153"/>
      <c r="DAB18" s="7153"/>
      <c r="DAC18" s="7163"/>
      <c r="DAD18" s="7164"/>
      <c r="DAE18" s="7157"/>
      <c r="DAF18" s="7157"/>
      <c r="DAG18" s="7157"/>
      <c r="DAH18" s="7157"/>
      <c r="DAI18" s="7158"/>
      <c r="DAJ18" s="7158"/>
      <c r="DAK18" s="7158"/>
      <c r="DAL18" s="7158"/>
      <c r="DAM18" s="7158"/>
      <c r="DAN18" s="7159"/>
      <c r="DAO18" s="7152"/>
      <c r="DAP18" s="7153"/>
      <c r="DAQ18" s="7153"/>
      <c r="DAR18" s="7153"/>
      <c r="DAS18" s="7163"/>
      <c r="DAT18" s="7164"/>
      <c r="DAU18" s="7157"/>
      <c r="DAV18" s="7157"/>
      <c r="DAW18" s="7157"/>
      <c r="DAX18" s="7157"/>
      <c r="DAY18" s="7158"/>
      <c r="DAZ18" s="7158"/>
      <c r="DBA18" s="7158"/>
      <c r="DBB18" s="7158"/>
      <c r="DBC18" s="7158"/>
      <c r="DBD18" s="7159"/>
      <c r="DBE18" s="7152"/>
      <c r="DBF18" s="7153"/>
      <c r="DBG18" s="7153"/>
      <c r="DBH18" s="7153"/>
      <c r="DBI18" s="7163"/>
      <c r="DBJ18" s="7164"/>
      <c r="DBK18" s="7157"/>
      <c r="DBL18" s="7157"/>
      <c r="DBM18" s="7157"/>
      <c r="DBN18" s="7157"/>
      <c r="DBO18" s="7158"/>
      <c r="DBP18" s="7158"/>
      <c r="DBQ18" s="7158"/>
      <c r="DBR18" s="7158"/>
      <c r="DBS18" s="7158"/>
      <c r="DBT18" s="7159"/>
      <c r="DBU18" s="7152"/>
      <c r="DBV18" s="7153"/>
      <c r="DBW18" s="7153"/>
      <c r="DBX18" s="7153"/>
      <c r="DBY18" s="7163"/>
      <c r="DBZ18" s="7164"/>
      <c r="DCA18" s="7157"/>
      <c r="DCB18" s="7157"/>
      <c r="DCC18" s="7157"/>
      <c r="DCD18" s="7157"/>
      <c r="DCE18" s="7158"/>
      <c r="DCF18" s="7158"/>
      <c r="DCG18" s="7158"/>
      <c r="DCH18" s="7158"/>
      <c r="DCI18" s="7158"/>
      <c r="DCJ18" s="7159"/>
      <c r="DCK18" s="7152"/>
      <c r="DCL18" s="7153"/>
      <c r="DCM18" s="7153"/>
      <c r="DCN18" s="7153"/>
      <c r="DCO18" s="7163"/>
      <c r="DCP18" s="7164"/>
      <c r="DCQ18" s="7157"/>
      <c r="DCR18" s="7157"/>
      <c r="DCS18" s="7157"/>
      <c r="DCT18" s="7157"/>
      <c r="DCU18" s="7158"/>
      <c r="DCV18" s="7158"/>
      <c r="DCW18" s="7158"/>
      <c r="DCX18" s="7158"/>
      <c r="DCY18" s="7158"/>
      <c r="DCZ18" s="7159"/>
      <c r="DDA18" s="7152"/>
      <c r="DDB18" s="7153"/>
      <c r="DDC18" s="7153"/>
      <c r="DDD18" s="7153"/>
      <c r="DDE18" s="7163"/>
      <c r="DDF18" s="7164"/>
      <c r="DDG18" s="7157"/>
      <c r="DDH18" s="7157"/>
      <c r="DDI18" s="7157"/>
      <c r="DDJ18" s="7157"/>
      <c r="DDK18" s="7158"/>
      <c r="DDL18" s="7158"/>
      <c r="DDM18" s="7158"/>
      <c r="DDN18" s="7158"/>
      <c r="DDO18" s="7158"/>
      <c r="DDP18" s="7159"/>
      <c r="DDQ18" s="7152"/>
      <c r="DDR18" s="7153"/>
      <c r="DDS18" s="7153"/>
      <c r="DDT18" s="7153"/>
      <c r="DDU18" s="7163"/>
      <c r="DDV18" s="7164"/>
      <c r="DDW18" s="7157"/>
      <c r="DDX18" s="7157"/>
      <c r="DDY18" s="7157"/>
      <c r="DDZ18" s="7157"/>
      <c r="DEA18" s="7158"/>
      <c r="DEB18" s="7158"/>
      <c r="DEC18" s="7158"/>
      <c r="DED18" s="7158"/>
      <c r="DEE18" s="7158"/>
      <c r="DEF18" s="7159"/>
      <c r="DEG18" s="7152"/>
      <c r="DEH18" s="7153"/>
      <c r="DEI18" s="7153"/>
      <c r="DEJ18" s="7153"/>
      <c r="DEK18" s="7163"/>
      <c r="DEL18" s="7164"/>
      <c r="DEM18" s="7157"/>
      <c r="DEN18" s="7157"/>
      <c r="DEO18" s="7157"/>
      <c r="DEP18" s="7157"/>
      <c r="DEQ18" s="7158"/>
      <c r="DER18" s="7158"/>
      <c r="DES18" s="7158"/>
      <c r="DET18" s="7158"/>
      <c r="DEU18" s="7158"/>
      <c r="DEV18" s="7159"/>
      <c r="DEW18" s="7152"/>
      <c r="DEX18" s="7153"/>
      <c r="DEY18" s="7153"/>
      <c r="DEZ18" s="7153"/>
      <c r="DFA18" s="7163"/>
      <c r="DFB18" s="7164"/>
      <c r="DFC18" s="7157"/>
      <c r="DFD18" s="7157"/>
      <c r="DFE18" s="7157"/>
      <c r="DFF18" s="7157"/>
      <c r="DFG18" s="7158"/>
      <c r="DFH18" s="7158"/>
      <c r="DFI18" s="7158"/>
      <c r="DFJ18" s="7158"/>
      <c r="DFK18" s="7158"/>
      <c r="DFL18" s="7159"/>
      <c r="DFM18" s="7152"/>
      <c r="DFN18" s="7153"/>
      <c r="DFO18" s="7153"/>
      <c r="DFP18" s="7153"/>
      <c r="DFQ18" s="7163"/>
      <c r="DFR18" s="7164"/>
      <c r="DFS18" s="7157"/>
      <c r="DFT18" s="7157"/>
      <c r="DFU18" s="7157"/>
      <c r="DFV18" s="7157"/>
      <c r="DFW18" s="7158"/>
      <c r="DFX18" s="7158"/>
      <c r="DFY18" s="7158"/>
      <c r="DFZ18" s="7158"/>
      <c r="DGA18" s="7158"/>
      <c r="DGB18" s="7159"/>
      <c r="DGC18" s="7152"/>
      <c r="DGD18" s="7153"/>
      <c r="DGE18" s="7153"/>
      <c r="DGF18" s="7153"/>
      <c r="DGG18" s="7163"/>
      <c r="DGH18" s="7164"/>
      <c r="DGI18" s="7157"/>
      <c r="DGJ18" s="7157"/>
      <c r="DGK18" s="7157"/>
      <c r="DGL18" s="7157"/>
      <c r="DGM18" s="7158"/>
      <c r="DGN18" s="7158"/>
      <c r="DGO18" s="7158"/>
      <c r="DGP18" s="7158"/>
      <c r="DGQ18" s="7158"/>
      <c r="DGR18" s="7159"/>
      <c r="DGS18" s="7152"/>
      <c r="DGT18" s="7153"/>
      <c r="DGU18" s="7153"/>
      <c r="DGV18" s="7153"/>
      <c r="DGW18" s="7163"/>
      <c r="DGX18" s="7164"/>
      <c r="DGY18" s="7157"/>
      <c r="DGZ18" s="7157"/>
      <c r="DHA18" s="7157"/>
      <c r="DHB18" s="7157"/>
      <c r="DHC18" s="7158"/>
      <c r="DHD18" s="7158"/>
      <c r="DHE18" s="7158"/>
      <c r="DHF18" s="7158"/>
      <c r="DHG18" s="7158"/>
      <c r="DHH18" s="7159"/>
      <c r="DHI18" s="7152"/>
      <c r="DHJ18" s="7153"/>
      <c r="DHK18" s="7153"/>
      <c r="DHL18" s="7153"/>
      <c r="DHM18" s="7163"/>
      <c r="DHN18" s="7164"/>
      <c r="DHO18" s="7157"/>
      <c r="DHP18" s="7157"/>
      <c r="DHQ18" s="7157"/>
      <c r="DHR18" s="7157"/>
      <c r="DHS18" s="7158"/>
      <c r="DHT18" s="7158"/>
      <c r="DHU18" s="7158"/>
      <c r="DHV18" s="7158"/>
      <c r="DHW18" s="7158"/>
      <c r="DHX18" s="7159"/>
      <c r="DHY18" s="7152"/>
      <c r="DHZ18" s="7153"/>
      <c r="DIA18" s="7153"/>
      <c r="DIB18" s="7153"/>
      <c r="DIC18" s="7163"/>
      <c r="DID18" s="7164"/>
      <c r="DIE18" s="7157"/>
      <c r="DIF18" s="7157"/>
      <c r="DIG18" s="7157"/>
      <c r="DIH18" s="7157"/>
      <c r="DII18" s="7158"/>
      <c r="DIJ18" s="7158"/>
      <c r="DIK18" s="7158"/>
      <c r="DIL18" s="7158"/>
      <c r="DIM18" s="7158"/>
      <c r="DIN18" s="7159"/>
      <c r="DIO18" s="7152"/>
      <c r="DIP18" s="7153"/>
      <c r="DIQ18" s="7153"/>
      <c r="DIR18" s="7153"/>
      <c r="DIS18" s="7163"/>
      <c r="DIT18" s="7164"/>
      <c r="DIU18" s="7157"/>
      <c r="DIV18" s="7157"/>
      <c r="DIW18" s="7157"/>
      <c r="DIX18" s="7157"/>
      <c r="DIY18" s="7158"/>
      <c r="DIZ18" s="7158"/>
      <c r="DJA18" s="7158"/>
      <c r="DJB18" s="7158"/>
      <c r="DJC18" s="7158"/>
      <c r="DJD18" s="7159"/>
      <c r="DJE18" s="7152"/>
      <c r="DJF18" s="7153"/>
      <c r="DJG18" s="7153"/>
      <c r="DJH18" s="7153"/>
      <c r="DJI18" s="7163"/>
      <c r="DJJ18" s="7164"/>
      <c r="DJK18" s="7157"/>
      <c r="DJL18" s="7157"/>
      <c r="DJM18" s="7157"/>
      <c r="DJN18" s="7157"/>
      <c r="DJO18" s="7158"/>
      <c r="DJP18" s="7158"/>
      <c r="DJQ18" s="7158"/>
      <c r="DJR18" s="7158"/>
      <c r="DJS18" s="7158"/>
      <c r="DJT18" s="7159"/>
      <c r="DJU18" s="7152"/>
      <c r="DJV18" s="7153"/>
      <c r="DJW18" s="7153"/>
      <c r="DJX18" s="7153"/>
      <c r="DJY18" s="7163"/>
      <c r="DJZ18" s="7164"/>
      <c r="DKA18" s="7157"/>
      <c r="DKB18" s="7157"/>
      <c r="DKC18" s="7157"/>
      <c r="DKD18" s="7157"/>
      <c r="DKE18" s="7158"/>
      <c r="DKF18" s="7158"/>
      <c r="DKG18" s="7158"/>
      <c r="DKH18" s="7158"/>
      <c r="DKI18" s="7158"/>
      <c r="DKJ18" s="7159"/>
      <c r="DKK18" s="7152"/>
      <c r="DKL18" s="7153"/>
      <c r="DKM18" s="7153"/>
      <c r="DKN18" s="7153"/>
      <c r="DKO18" s="7163"/>
      <c r="DKP18" s="7164"/>
      <c r="DKQ18" s="7157"/>
      <c r="DKR18" s="7157"/>
      <c r="DKS18" s="7157"/>
      <c r="DKT18" s="7157"/>
      <c r="DKU18" s="7158"/>
      <c r="DKV18" s="7158"/>
      <c r="DKW18" s="7158"/>
      <c r="DKX18" s="7158"/>
      <c r="DKY18" s="7158"/>
      <c r="DKZ18" s="7159"/>
      <c r="DLA18" s="7152"/>
      <c r="DLB18" s="7153"/>
      <c r="DLC18" s="7153"/>
      <c r="DLD18" s="7153"/>
      <c r="DLE18" s="7163"/>
      <c r="DLF18" s="7164"/>
      <c r="DLG18" s="7157"/>
      <c r="DLH18" s="7157"/>
      <c r="DLI18" s="7157"/>
      <c r="DLJ18" s="7157"/>
      <c r="DLK18" s="7158"/>
      <c r="DLL18" s="7158"/>
      <c r="DLM18" s="7158"/>
      <c r="DLN18" s="7158"/>
      <c r="DLO18" s="7158"/>
      <c r="DLP18" s="7159"/>
      <c r="DLQ18" s="7152"/>
      <c r="DLR18" s="7153"/>
      <c r="DLS18" s="7153"/>
      <c r="DLT18" s="7153"/>
      <c r="DLU18" s="7163"/>
      <c r="DLV18" s="7164"/>
      <c r="DLW18" s="7157"/>
      <c r="DLX18" s="7157"/>
      <c r="DLY18" s="7157"/>
      <c r="DLZ18" s="7157"/>
      <c r="DMA18" s="7158"/>
      <c r="DMB18" s="7158"/>
      <c r="DMC18" s="7158"/>
      <c r="DMD18" s="7158"/>
      <c r="DME18" s="7158"/>
      <c r="DMF18" s="7159"/>
      <c r="DMG18" s="7152"/>
      <c r="DMH18" s="7153"/>
      <c r="DMI18" s="7153"/>
      <c r="DMJ18" s="7153"/>
      <c r="DMK18" s="7163"/>
      <c r="DML18" s="7164"/>
      <c r="DMM18" s="7157"/>
      <c r="DMN18" s="7157"/>
      <c r="DMO18" s="7157"/>
      <c r="DMP18" s="7157"/>
      <c r="DMQ18" s="7158"/>
      <c r="DMR18" s="7158"/>
      <c r="DMS18" s="7158"/>
      <c r="DMT18" s="7158"/>
      <c r="DMU18" s="7158"/>
      <c r="DMV18" s="7159"/>
      <c r="DMW18" s="7152"/>
      <c r="DMX18" s="7153"/>
      <c r="DMY18" s="7153"/>
      <c r="DMZ18" s="7153"/>
      <c r="DNA18" s="7163"/>
      <c r="DNB18" s="7164"/>
      <c r="DNC18" s="7157"/>
      <c r="DND18" s="7157"/>
      <c r="DNE18" s="7157"/>
      <c r="DNF18" s="7157"/>
      <c r="DNG18" s="7158"/>
      <c r="DNH18" s="7158"/>
      <c r="DNI18" s="7158"/>
      <c r="DNJ18" s="7158"/>
      <c r="DNK18" s="7158"/>
      <c r="DNL18" s="7159"/>
      <c r="DNM18" s="7152"/>
      <c r="DNN18" s="7153"/>
      <c r="DNO18" s="7153"/>
      <c r="DNP18" s="7153"/>
      <c r="DNQ18" s="7163"/>
      <c r="DNR18" s="7164"/>
      <c r="DNS18" s="7157"/>
      <c r="DNT18" s="7157"/>
      <c r="DNU18" s="7157"/>
      <c r="DNV18" s="7157"/>
      <c r="DNW18" s="7158"/>
      <c r="DNX18" s="7158"/>
      <c r="DNY18" s="7158"/>
      <c r="DNZ18" s="7158"/>
      <c r="DOA18" s="7158"/>
      <c r="DOB18" s="7159"/>
      <c r="DOC18" s="7152"/>
      <c r="DOD18" s="7153"/>
      <c r="DOE18" s="7153"/>
      <c r="DOF18" s="7153"/>
      <c r="DOG18" s="7163"/>
      <c r="DOH18" s="7164"/>
      <c r="DOI18" s="7157"/>
      <c r="DOJ18" s="7157"/>
      <c r="DOK18" s="7157"/>
      <c r="DOL18" s="7157"/>
      <c r="DOM18" s="7158"/>
      <c r="DON18" s="7158"/>
      <c r="DOO18" s="7158"/>
      <c r="DOP18" s="7158"/>
      <c r="DOQ18" s="7158"/>
      <c r="DOR18" s="7159"/>
      <c r="DOS18" s="7152"/>
      <c r="DOT18" s="7153"/>
      <c r="DOU18" s="7153"/>
      <c r="DOV18" s="7153"/>
      <c r="DOW18" s="7163"/>
      <c r="DOX18" s="7164"/>
      <c r="DOY18" s="7157"/>
      <c r="DOZ18" s="7157"/>
      <c r="DPA18" s="7157"/>
      <c r="DPB18" s="7157"/>
      <c r="DPC18" s="7158"/>
      <c r="DPD18" s="7158"/>
      <c r="DPE18" s="7158"/>
      <c r="DPF18" s="7158"/>
      <c r="DPG18" s="7158"/>
      <c r="DPH18" s="7159"/>
      <c r="DPI18" s="7152"/>
      <c r="DPJ18" s="7153"/>
      <c r="DPK18" s="7153"/>
      <c r="DPL18" s="7153"/>
      <c r="DPM18" s="7163"/>
      <c r="DPN18" s="7164"/>
      <c r="DPO18" s="7157"/>
      <c r="DPP18" s="7157"/>
      <c r="DPQ18" s="7157"/>
      <c r="DPR18" s="7157"/>
      <c r="DPS18" s="7158"/>
      <c r="DPT18" s="7158"/>
      <c r="DPU18" s="7158"/>
      <c r="DPV18" s="7158"/>
      <c r="DPW18" s="7158"/>
      <c r="DPX18" s="7159"/>
      <c r="DPY18" s="7152"/>
      <c r="DPZ18" s="7153"/>
      <c r="DQA18" s="7153"/>
      <c r="DQB18" s="7153"/>
      <c r="DQC18" s="7163"/>
      <c r="DQD18" s="7164"/>
      <c r="DQE18" s="7157"/>
      <c r="DQF18" s="7157"/>
      <c r="DQG18" s="7157"/>
      <c r="DQH18" s="7157"/>
      <c r="DQI18" s="7158"/>
      <c r="DQJ18" s="7158"/>
      <c r="DQK18" s="7158"/>
      <c r="DQL18" s="7158"/>
      <c r="DQM18" s="7158"/>
      <c r="DQN18" s="7159"/>
      <c r="DQO18" s="7152"/>
      <c r="DQP18" s="7153"/>
      <c r="DQQ18" s="7153"/>
      <c r="DQR18" s="7153"/>
      <c r="DQS18" s="7163"/>
      <c r="DQT18" s="7164"/>
      <c r="DQU18" s="7157"/>
      <c r="DQV18" s="7157"/>
      <c r="DQW18" s="7157"/>
      <c r="DQX18" s="7157"/>
      <c r="DQY18" s="7158"/>
      <c r="DQZ18" s="7158"/>
      <c r="DRA18" s="7158"/>
      <c r="DRB18" s="7158"/>
      <c r="DRC18" s="7158"/>
      <c r="DRD18" s="7159"/>
      <c r="DRE18" s="7152"/>
      <c r="DRF18" s="7153"/>
      <c r="DRG18" s="7153"/>
      <c r="DRH18" s="7153"/>
      <c r="DRI18" s="7163"/>
      <c r="DRJ18" s="7164"/>
      <c r="DRK18" s="7157"/>
      <c r="DRL18" s="7157"/>
      <c r="DRM18" s="7157"/>
      <c r="DRN18" s="7157"/>
      <c r="DRO18" s="7158"/>
      <c r="DRP18" s="7158"/>
      <c r="DRQ18" s="7158"/>
      <c r="DRR18" s="7158"/>
      <c r="DRS18" s="7158"/>
      <c r="DRT18" s="7159"/>
      <c r="DRU18" s="7152"/>
      <c r="DRV18" s="7153"/>
      <c r="DRW18" s="7153"/>
      <c r="DRX18" s="7153"/>
      <c r="DRY18" s="7163"/>
      <c r="DRZ18" s="7164"/>
      <c r="DSA18" s="7157"/>
      <c r="DSB18" s="7157"/>
      <c r="DSC18" s="7157"/>
      <c r="DSD18" s="7157"/>
      <c r="DSE18" s="7158"/>
      <c r="DSF18" s="7158"/>
      <c r="DSG18" s="7158"/>
      <c r="DSH18" s="7158"/>
      <c r="DSI18" s="7158"/>
      <c r="DSJ18" s="7159"/>
      <c r="DSK18" s="7152"/>
      <c r="DSL18" s="7153"/>
      <c r="DSM18" s="7153"/>
      <c r="DSN18" s="7153"/>
      <c r="DSO18" s="7163"/>
      <c r="DSP18" s="7164"/>
      <c r="DSQ18" s="7157"/>
      <c r="DSR18" s="7157"/>
      <c r="DSS18" s="7157"/>
      <c r="DST18" s="7157"/>
      <c r="DSU18" s="7158"/>
      <c r="DSV18" s="7158"/>
      <c r="DSW18" s="7158"/>
      <c r="DSX18" s="7158"/>
      <c r="DSY18" s="7158"/>
      <c r="DSZ18" s="7159"/>
      <c r="DTA18" s="7152"/>
      <c r="DTB18" s="7153"/>
      <c r="DTC18" s="7153"/>
      <c r="DTD18" s="7153"/>
      <c r="DTE18" s="7163"/>
      <c r="DTF18" s="7164"/>
      <c r="DTG18" s="7157"/>
      <c r="DTH18" s="7157"/>
      <c r="DTI18" s="7157"/>
      <c r="DTJ18" s="7157"/>
      <c r="DTK18" s="7158"/>
      <c r="DTL18" s="7158"/>
      <c r="DTM18" s="7158"/>
      <c r="DTN18" s="7158"/>
      <c r="DTO18" s="7158"/>
      <c r="DTP18" s="7159"/>
      <c r="DTQ18" s="7152"/>
      <c r="DTR18" s="7153"/>
      <c r="DTS18" s="7153"/>
      <c r="DTT18" s="7153"/>
      <c r="DTU18" s="7163"/>
      <c r="DTV18" s="7164"/>
      <c r="DTW18" s="7157"/>
      <c r="DTX18" s="7157"/>
      <c r="DTY18" s="7157"/>
      <c r="DTZ18" s="7157"/>
      <c r="DUA18" s="7158"/>
      <c r="DUB18" s="7158"/>
      <c r="DUC18" s="7158"/>
      <c r="DUD18" s="7158"/>
      <c r="DUE18" s="7158"/>
      <c r="DUF18" s="7159"/>
      <c r="DUG18" s="7152"/>
      <c r="DUH18" s="7153"/>
      <c r="DUI18" s="7153"/>
      <c r="DUJ18" s="7153"/>
      <c r="DUK18" s="7163"/>
      <c r="DUL18" s="7164"/>
      <c r="DUM18" s="7157"/>
      <c r="DUN18" s="7157"/>
      <c r="DUO18" s="7157"/>
      <c r="DUP18" s="7157"/>
      <c r="DUQ18" s="7158"/>
      <c r="DUR18" s="7158"/>
      <c r="DUS18" s="7158"/>
      <c r="DUT18" s="7158"/>
      <c r="DUU18" s="7158"/>
      <c r="DUV18" s="7159"/>
      <c r="DUW18" s="7152"/>
      <c r="DUX18" s="7153"/>
      <c r="DUY18" s="7153"/>
      <c r="DUZ18" s="7153"/>
      <c r="DVA18" s="7163"/>
      <c r="DVB18" s="7164"/>
      <c r="DVC18" s="7157"/>
      <c r="DVD18" s="7157"/>
      <c r="DVE18" s="7157"/>
      <c r="DVF18" s="7157"/>
      <c r="DVG18" s="7158"/>
      <c r="DVH18" s="7158"/>
      <c r="DVI18" s="7158"/>
      <c r="DVJ18" s="7158"/>
      <c r="DVK18" s="7158"/>
      <c r="DVL18" s="7159"/>
      <c r="DVM18" s="7152"/>
      <c r="DVN18" s="7153"/>
      <c r="DVO18" s="7153"/>
      <c r="DVP18" s="7153"/>
      <c r="DVQ18" s="7163"/>
      <c r="DVR18" s="7164"/>
      <c r="DVS18" s="7157"/>
      <c r="DVT18" s="7157"/>
      <c r="DVU18" s="7157"/>
      <c r="DVV18" s="7157"/>
      <c r="DVW18" s="7158"/>
      <c r="DVX18" s="7158"/>
      <c r="DVY18" s="7158"/>
      <c r="DVZ18" s="7158"/>
      <c r="DWA18" s="7158"/>
      <c r="DWB18" s="7159"/>
      <c r="DWC18" s="7152"/>
      <c r="DWD18" s="7153"/>
      <c r="DWE18" s="7153"/>
      <c r="DWF18" s="7153"/>
      <c r="DWG18" s="7163"/>
      <c r="DWH18" s="7164"/>
      <c r="DWI18" s="7157"/>
      <c r="DWJ18" s="7157"/>
      <c r="DWK18" s="7157"/>
      <c r="DWL18" s="7157"/>
      <c r="DWM18" s="7158"/>
      <c r="DWN18" s="7158"/>
      <c r="DWO18" s="7158"/>
      <c r="DWP18" s="7158"/>
      <c r="DWQ18" s="7158"/>
      <c r="DWR18" s="7159"/>
      <c r="DWS18" s="7152"/>
      <c r="DWT18" s="7153"/>
      <c r="DWU18" s="7153"/>
      <c r="DWV18" s="7153"/>
      <c r="DWW18" s="7163"/>
      <c r="DWX18" s="7164"/>
      <c r="DWY18" s="7157"/>
      <c r="DWZ18" s="7157"/>
      <c r="DXA18" s="7157"/>
      <c r="DXB18" s="7157"/>
      <c r="DXC18" s="7158"/>
      <c r="DXD18" s="7158"/>
      <c r="DXE18" s="7158"/>
      <c r="DXF18" s="7158"/>
      <c r="DXG18" s="7158"/>
      <c r="DXH18" s="7159"/>
      <c r="DXI18" s="7152"/>
      <c r="DXJ18" s="7153"/>
      <c r="DXK18" s="7153"/>
      <c r="DXL18" s="7153"/>
      <c r="DXM18" s="7163"/>
      <c r="DXN18" s="7164"/>
      <c r="DXO18" s="7157"/>
      <c r="DXP18" s="7157"/>
      <c r="DXQ18" s="7157"/>
      <c r="DXR18" s="7157"/>
      <c r="DXS18" s="7158"/>
      <c r="DXT18" s="7158"/>
      <c r="DXU18" s="7158"/>
      <c r="DXV18" s="7158"/>
      <c r="DXW18" s="7158"/>
      <c r="DXX18" s="7159"/>
      <c r="DXY18" s="7152"/>
      <c r="DXZ18" s="7153"/>
      <c r="DYA18" s="7153"/>
      <c r="DYB18" s="7153"/>
      <c r="DYC18" s="7163"/>
      <c r="DYD18" s="7164"/>
      <c r="DYE18" s="7157"/>
      <c r="DYF18" s="7157"/>
      <c r="DYG18" s="7157"/>
      <c r="DYH18" s="7157"/>
      <c r="DYI18" s="7158"/>
      <c r="DYJ18" s="7158"/>
      <c r="DYK18" s="7158"/>
      <c r="DYL18" s="7158"/>
      <c r="DYM18" s="7158"/>
      <c r="DYN18" s="7159"/>
      <c r="DYO18" s="7152"/>
      <c r="DYP18" s="7153"/>
      <c r="DYQ18" s="7153"/>
      <c r="DYR18" s="7153"/>
      <c r="DYS18" s="7163"/>
      <c r="DYT18" s="7164"/>
      <c r="DYU18" s="7157"/>
      <c r="DYV18" s="7157"/>
      <c r="DYW18" s="7157"/>
      <c r="DYX18" s="7157"/>
      <c r="DYY18" s="7158"/>
      <c r="DYZ18" s="7158"/>
      <c r="DZA18" s="7158"/>
      <c r="DZB18" s="7158"/>
      <c r="DZC18" s="7158"/>
      <c r="DZD18" s="7159"/>
      <c r="DZE18" s="7152"/>
      <c r="DZF18" s="7153"/>
      <c r="DZG18" s="7153"/>
      <c r="DZH18" s="7153"/>
      <c r="DZI18" s="7163"/>
      <c r="DZJ18" s="7164"/>
      <c r="DZK18" s="7157"/>
      <c r="DZL18" s="7157"/>
      <c r="DZM18" s="7157"/>
      <c r="DZN18" s="7157"/>
      <c r="DZO18" s="7158"/>
      <c r="DZP18" s="7158"/>
      <c r="DZQ18" s="7158"/>
      <c r="DZR18" s="7158"/>
      <c r="DZS18" s="7158"/>
      <c r="DZT18" s="7159"/>
      <c r="DZU18" s="7152"/>
      <c r="DZV18" s="7153"/>
      <c r="DZW18" s="7153"/>
      <c r="DZX18" s="7153"/>
      <c r="DZY18" s="7163"/>
      <c r="DZZ18" s="7164"/>
      <c r="EAA18" s="7157"/>
      <c r="EAB18" s="7157"/>
      <c r="EAC18" s="7157"/>
      <c r="EAD18" s="7157"/>
      <c r="EAE18" s="7158"/>
      <c r="EAF18" s="7158"/>
      <c r="EAG18" s="7158"/>
      <c r="EAH18" s="7158"/>
      <c r="EAI18" s="7158"/>
      <c r="EAJ18" s="7159"/>
      <c r="EAK18" s="7152"/>
      <c r="EAL18" s="7153"/>
      <c r="EAM18" s="7153"/>
      <c r="EAN18" s="7153"/>
      <c r="EAO18" s="7163"/>
      <c r="EAP18" s="7164"/>
      <c r="EAQ18" s="7157"/>
      <c r="EAR18" s="7157"/>
      <c r="EAS18" s="7157"/>
      <c r="EAT18" s="7157"/>
      <c r="EAU18" s="7158"/>
      <c r="EAV18" s="7158"/>
      <c r="EAW18" s="7158"/>
      <c r="EAX18" s="7158"/>
      <c r="EAY18" s="7158"/>
      <c r="EAZ18" s="7159"/>
      <c r="EBA18" s="7152"/>
      <c r="EBB18" s="7153"/>
      <c r="EBC18" s="7153"/>
      <c r="EBD18" s="7153"/>
      <c r="EBE18" s="7163"/>
      <c r="EBF18" s="7164"/>
      <c r="EBG18" s="7157"/>
      <c r="EBH18" s="7157"/>
      <c r="EBI18" s="7157"/>
      <c r="EBJ18" s="7157"/>
      <c r="EBK18" s="7158"/>
      <c r="EBL18" s="7158"/>
      <c r="EBM18" s="7158"/>
      <c r="EBN18" s="7158"/>
      <c r="EBO18" s="7158"/>
      <c r="EBP18" s="7159"/>
      <c r="EBQ18" s="7152"/>
      <c r="EBR18" s="7153"/>
      <c r="EBS18" s="7153"/>
      <c r="EBT18" s="7153"/>
      <c r="EBU18" s="7163"/>
      <c r="EBV18" s="7164"/>
      <c r="EBW18" s="7157"/>
      <c r="EBX18" s="7157"/>
      <c r="EBY18" s="7157"/>
      <c r="EBZ18" s="7157"/>
      <c r="ECA18" s="7158"/>
      <c r="ECB18" s="7158"/>
      <c r="ECC18" s="7158"/>
      <c r="ECD18" s="7158"/>
      <c r="ECE18" s="7158"/>
      <c r="ECF18" s="7159"/>
      <c r="ECG18" s="7152"/>
      <c r="ECH18" s="7153"/>
      <c r="ECI18" s="7153"/>
      <c r="ECJ18" s="7153"/>
      <c r="ECK18" s="7163"/>
      <c r="ECL18" s="7164"/>
      <c r="ECM18" s="7157"/>
      <c r="ECN18" s="7157"/>
      <c r="ECO18" s="7157"/>
      <c r="ECP18" s="7157"/>
      <c r="ECQ18" s="7158"/>
      <c r="ECR18" s="7158"/>
      <c r="ECS18" s="7158"/>
      <c r="ECT18" s="7158"/>
      <c r="ECU18" s="7158"/>
      <c r="ECV18" s="7159"/>
      <c r="ECW18" s="7152"/>
      <c r="ECX18" s="7153"/>
      <c r="ECY18" s="7153"/>
      <c r="ECZ18" s="7153"/>
      <c r="EDA18" s="7163"/>
      <c r="EDB18" s="7164"/>
      <c r="EDC18" s="7157"/>
      <c r="EDD18" s="7157"/>
      <c r="EDE18" s="7157"/>
      <c r="EDF18" s="7157"/>
      <c r="EDG18" s="7158"/>
      <c r="EDH18" s="7158"/>
      <c r="EDI18" s="7158"/>
      <c r="EDJ18" s="7158"/>
      <c r="EDK18" s="7158"/>
      <c r="EDL18" s="7159"/>
      <c r="EDM18" s="7152"/>
      <c r="EDN18" s="7153"/>
      <c r="EDO18" s="7153"/>
      <c r="EDP18" s="7153"/>
      <c r="EDQ18" s="7163"/>
      <c r="EDR18" s="7164"/>
      <c r="EDS18" s="7157"/>
      <c r="EDT18" s="7157"/>
      <c r="EDU18" s="7157"/>
      <c r="EDV18" s="7157"/>
      <c r="EDW18" s="7158"/>
      <c r="EDX18" s="7158"/>
      <c r="EDY18" s="7158"/>
      <c r="EDZ18" s="7158"/>
      <c r="EEA18" s="7158"/>
      <c r="EEB18" s="7159"/>
      <c r="EEC18" s="7152"/>
      <c r="EED18" s="7153"/>
      <c r="EEE18" s="7153"/>
      <c r="EEF18" s="7153"/>
      <c r="EEG18" s="7163"/>
      <c r="EEH18" s="7164"/>
      <c r="EEI18" s="7157"/>
      <c r="EEJ18" s="7157"/>
      <c r="EEK18" s="7157"/>
      <c r="EEL18" s="7157"/>
      <c r="EEM18" s="7158"/>
      <c r="EEN18" s="7158"/>
      <c r="EEO18" s="7158"/>
      <c r="EEP18" s="7158"/>
      <c r="EEQ18" s="7158"/>
      <c r="EER18" s="7159"/>
      <c r="EES18" s="7152"/>
      <c r="EET18" s="7153"/>
      <c r="EEU18" s="7153"/>
      <c r="EEV18" s="7153"/>
      <c r="EEW18" s="7163"/>
      <c r="EEX18" s="7164"/>
      <c r="EEY18" s="7157"/>
      <c r="EEZ18" s="7157"/>
      <c r="EFA18" s="7157"/>
      <c r="EFB18" s="7157"/>
      <c r="EFC18" s="7158"/>
      <c r="EFD18" s="7158"/>
      <c r="EFE18" s="7158"/>
      <c r="EFF18" s="7158"/>
      <c r="EFG18" s="7158"/>
      <c r="EFH18" s="7159"/>
      <c r="EFI18" s="7152"/>
      <c r="EFJ18" s="7153"/>
      <c r="EFK18" s="7153"/>
      <c r="EFL18" s="7153"/>
      <c r="EFM18" s="7163"/>
      <c r="EFN18" s="7164"/>
      <c r="EFO18" s="7157"/>
      <c r="EFP18" s="7157"/>
      <c r="EFQ18" s="7157"/>
      <c r="EFR18" s="7157"/>
      <c r="EFS18" s="7158"/>
      <c r="EFT18" s="7158"/>
      <c r="EFU18" s="7158"/>
      <c r="EFV18" s="7158"/>
      <c r="EFW18" s="7158"/>
      <c r="EFX18" s="7159"/>
      <c r="EFY18" s="7152"/>
      <c r="EFZ18" s="7153"/>
      <c r="EGA18" s="7153"/>
      <c r="EGB18" s="7153"/>
      <c r="EGC18" s="7163"/>
      <c r="EGD18" s="7164"/>
      <c r="EGE18" s="7157"/>
      <c r="EGF18" s="7157"/>
      <c r="EGG18" s="7157"/>
      <c r="EGH18" s="7157"/>
      <c r="EGI18" s="7158"/>
      <c r="EGJ18" s="7158"/>
      <c r="EGK18" s="7158"/>
      <c r="EGL18" s="7158"/>
      <c r="EGM18" s="7158"/>
      <c r="EGN18" s="7159"/>
      <c r="EGO18" s="7152"/>
      <c r="EGP18" s="7153"/>
      <c r="EGQ18" s="7153"/>
      <c r="EGR18" s="7153"/>
      <c r="EGS18" s="7163"/>
      <c r="EGT18" s="7164"/>
      <c r="EGU18" s="7157"/>
      <c r="EGV18" s="7157"/>
      <c r="EGW18" s="7157"/>
      <c r="EGX18" s="7157"/>
      <c r="EGY18" s="7158"/>
      <c r="EGZ18" s="7158"/>
      <c r="EHA18" s="7158"/>
      <c r="EHB18" s="7158"/>
      <c r="EHC18" s="7158"/>
      <c r="EHD18" s="7159"/>
      <c r="EHE18" s="7152"/>
      <c r="EHF18" s="7153"/>
      <c r="EHG18" s="7153"/>
      <c r="EHH18" s="7153"/>
      <c r="EHI18" s="7163"/>
      <c r="EHJ18" s="7164"/>
      <c r="EHK18" s="7157"/>
      <c r="EHL18" s="7157"/>
      <c r="EHM18" s="7157"/>
      <c r="EHN18" s="7157"/>
      <c r="EHO18" s="7158"/>
      <c r="EHP18" s="7158"/>
      <c r="EHQ18" s="7158"/>
      <c r="EHR18" s="7158"/>
      <c r="EHS18" s="7158"/>
      <c r="EHT18" s="7159"/>
      <c r="EHU18" s="7152"/>
      <c r="EHV18" s="7153"/>
      <c r="EHW18" s="7153"/>
      <c r="EHX18" s="7153"/>
      <c r="EHY18" s="7163"/>
      <c r="EHZ18" s="7164"/>
      <c r="EIA18" s="7157"/>
      <c r="EIB18" s="7157"/>
      <c r="EIC18" s="7157"/>
      <c r="EID18" s="7157"/>
      <c r="EIE18" s="7158"/>
      <c r="EIF18" s="7158"/>
      <c r="EIG18" s="7158"/>
      <c r="EIH18" s="7158"/>
      <c r="EII18" s="7158"/>
      <c r="EIJ18" s="7159"/>
      <c r="EIK18" s="7152"/>
      <c r="EIL18" s="7153"/>
      <c r="EIM18" s="7153"/>
      <c r="EIN18" s="7153"/>
      <c r="EIO18" s="7163"/>
      <c r="EIP18" s="7164"/>
      <c r="EIQ18" s="7157"/>
      <c r="EIR18" s="7157"/>
      <c r="EIS18" s="7157"/>
      <c r="EIT18" s="7157"/>
      <c r="EIU18" s="7158"/>
      <c r="EIV18" s="7158"/>
      <c r="EIW18" s="7158"/>
      <c r="EIX18" s="7158"/>
      <c r="EIY18" s="7158"/>
      <c r="EIZ18" s="7159"/>
      <c r="EJA18" s="7152"/>
      <c r="EJB18" s="7153"/>
      <c r="EJC18" s="7153"/>
      <c r="EJD18" s="7153"/>
      <c r="EJE18" s="7163"/>
      <c r="EJF18" s="7164"/>
      <c r="EJG18" s="7157"/>
      <c r="EJH18" s="7157"/>
      <c r="EJI18" s="7157"/>
      <c r="EJJ18" s="7157"/>
      <c r="EJK18" s="7158"/>
      <c r="EJL18" s="7158"/>
      <c r="EJM18" s="7158"/>
      <c r="EJN18" s="7158"/>
      <c r="EJO18" s="7158"/>
      <c r="EJP18" s="7159"/>
      <c r="EJQ18" s="7152"/>
      <c r="EJR18" s="7153"/>
      <c r="EJS18" s="7153"/>
      <c r="EJT18" s="7153"/>
      <c r="EJU18" s="7163"/>
      <c r="EJV18" s="7164"/>
      <c r="EJW18" s="7157"/>
      <c r="EJX18" s="7157"/>
      <c r="EJY18" s="7157"/>
      <c r="EJZ18" s="7157"/>
      <c r="EKA18" s="7158"/>
      <c r="EKB18" s="7158"/>
      <c r="EKC18" s="7158"/>
      <c r="EKD18" s="7158"/>
      <c r="EKE18" s="7158"/>
      <c r="EKF18" s="7159"/>
      <c r="EKG18" s="7152"/>
      <c r="EKH18" s="7153"/>
      <c r="EKI18" s="7153"/>
      <c r="EKJ18" s="7153"/>
      <c r="EKK18" s="7163"/>
      <c r="EKL18" s="7164"/>
      <c r="EKM18" s="7157"/>
      <c r="EKN18" s="7157"/>
      <c r="EKO18" s="7157"/>
      <c r="EKP18" s="7157"/>
      <c r="EKQ18" s="7158"/>
      <c r="EKR18" s="7158"/>
      <c r="EKS18" s="7158"/>
      <c r="EKT18" s="7158"/>
      <c r="EKU18" s="7158"/>
      <c r="EKV18" s="7159"/>
      <c r="EKW18" s="7152"/>
      <c r="EKX18" s="7153"/>
      <c r="EKY18" s="7153"/>
      <c r="EKZ18" s="7153"/>
      <c r="ELA18" s="7163"/>
      <c r="ELB18" s="7164"/>
      <c r="ELC18" s="7157"/>
      <c r="ELD18" s="7157"/>
      <c r="ELE18" s="7157"/>
      <c r="ELF18" s="7157"/>
      <c r="ELG18" s="7158"/>
      <c r="ELH18" s="7158"/>
      <c r="ELI18" s="7158"/>
      <c r="ELJ18" s="7158"/>
      <c r="ELK18" s="7158"/>
      <c r="ELL18" s="7159"/>
      <c r="ELM18" s="7152"/>
      <c r="ELN18" s="7153"/>
      <c r="ELO18" s="7153"/>
      <c r="ELP18" s="7153"/>
      <c r="ELQ18" s="7163"/>
      <c r="ELR18" s="7164"/>
      <c r="ELS18" s="7157"/>
      <c r="ELT18" s="7157"/>
      <c r="ELU18" s="7157"/>
      <c r="ELV18" s="7157"/>
      <c r="ELW18" s="7158"/>
      <c r="ELX18" s="7158"/>
      <c r="ELY18" s="7158"/>
      <c r="ELZ18" s="7158"/>
      <c r="EMA18" s="7158"/>
      <c r="EMB18" s="7159"/>
      <c r="EMC18" s="7152"/>
      <c r="EMD18" s="7153"/>
      <c r="EME18" s="7153"/>
      <c r="EMF18" s="7153"/>
      <c r="EMG18" s="7163"/>
      <c r="EMH18" s="7164"/>
      <c r="EMI18" s="7157"/>
      <c r="EMJ18" s="7157"/>
      <c r="EMK18" s="7157"/>
      <c r="EML18" s="7157"/>
      <c r="EMM18" s="7158"/>
      <c r="EMN18" s="7158"/>
      <c r="EMO18" s="7158"/>
      <c r="EMP18" s="7158"/>
      <c r="EMQ18" s="7158"/>
      <c r="EMR18" s="7159"/>
      <c r="EMS18" s="7152"/>
      <c r="EMT18" s="7153"/>
      <c r="EMU18" s="7153"/>
      <c r="EMV18" s="7153"/>
      <c r="EMW18" s="7163"/>
      <c r="EMX18" s="7164"/>
      <c r="EMY18" s="7157"/>
      <c r="EMZ18" s="7157"/>
      <c r="ENA18" s="7157"/>
      <c r="ENB18" s="7157"/>
      <c r="ENC18" s="7158"/>
      <c r="END18" s="7158"/>
      <c r="ENE18" s="7158"/>
      <c r="ENF18" s="7158"/>
      <c r="ENG18" s="7158"/>
      <c r="ENH18" s="7159"/>
      <c r="ENI18" s="7152"/>
      <c r="ENJ18" s="7153"/>
      <c r="ENK18" s="7153"/>
      <c r="ENL18" s="7153"/>
      <c r="ENM18" s="7163"/>
      <c r="ENN18" s="7164"/>
      <c r="ENO18" s="7157"/>
      <c r="ENP18" s="7157"/>
      <c r="ENQ18" s="7157"/>
      <c r="ENR18" s="7157"/>
      <c r="ENS18" s="7158"/>
      <c r="ENT18" s="7158"/>
      <c r="ENU18" s="7158"/>
      <c r="ENV18" s="7158"/>
      <c r="ENW18" s="7158"/>
      <c r="ENX18" s="7159"/>
      <c r="ENY18" s="7152"/>
      <c r="ENZ18" s="7153"/>
      <c r="EOA18" s="7153"/>
      <c r="EOB18" s="7153"/>
      <c r="EOC18" s="7163"/>
      <c r="EOD18" s="7164"/>
      <c r="EOE18" s="7157"/>
      <c r="EOF18" s="7157"/>
      <c r="EOG18" s="7157"/>
      <c r="EOH18" s="7157"/>
      <c r="EOI18" s="7158"/>
      <c r="EOJ18" s="7158"/>
      <c r="EOK18" s="7158"/>
      <c r="EOL18" s="7158"/>
      <c r="EOM18" s="7158"/>
      <c r="EON18" s="7159"/>
      <c r="EOO18" s="7152"/>
      <c r="EOP18" s="7153"/>
      <c r="EOQ18" s="7153"/>
      <c r="EOR18" s="7153"/>
      <c r="EOS18" s="7163"/>
      <c r="EOT18" s="7164"/>
      <c r="EOU18" s="7157"/>
      <c r="EOV18" s="7157"/>
      <c r="EOW18" s="7157"/>
      <c r="EOX18" s="7157"/>
      <c r="EOY18" s="7158"/>
      <c r="EOZ18" s="7158"/>
      <c r="EPA18" s="7158"/>
      <c r="EPB18" s="7158"/>
      <c r="EPC18" s="7158"/>
      <c r="EPD18" s="7159"/>
      <c r="EPE18" s="7152"/>
      <c r="EPF18" s="7153"/>
      <c r="EPG18" s="7153"/>
      <c r="EPH18" s="7153"/>
      <c r="EPI18" s="7163"/>
      <c r="EPJ18" s="7164"/>
      <c r="EPK18" s="7157"/>
      <c r="EPL18" s="7157"/>
      <c r="EPM18" s="7157"/>
      <c r="EPN18" s="7157"/>
      <c r="EPO18" s="7158"/>
      <c r="EPP18" s="7158"/>
      <c r="EPQ18" s="7158"/>
      <c r="EPR18" s="7158"/>
      <c r="EPS18" s="7158"/>
      <c r="EPT18" s="7159"/>
      <c r="EPU18" s="7152"/>
      <c r="EPV18" s="7153"/>
      <c r="EPW18" s="7153"/>
      <c r="EPX18" s="7153"/>
      <c r="EPY18" s="7163"/>
      <c r="EPZ18" s="7164"/>
      <c r="EQA18" s="7157"/>
      <c r="EQB18" s="7157"/>
      <c r="EQC18" s="7157"/>
      <c r="EQD18" s="7157"/>
      <c r="EQE18" s="7158"/>
      <c r="EQF18" s="7158"/>
      <c r="EQG18" s="7158"/>
      <c r="EQH18" s="7158"/>
      <c r="EQI18" s="7158"/>
      <c r="EQJ18" s="7159"/>
      <c r="EQK18" s="7152"/>
      <c r="EQL18" s="7153"/>
      <c r="EQM18" s="7153"/>
      <c r="EQN18" s="7153"/>
      <c r="EQO18" s="7163"/>
      <c r="EQP18" s="7164"/>
      <c r="EQQ18" s="7157"/>
      <c r="EQR18" s="7157"/>
      <c r="EQS18" s="7157"/>
      <c r="EQT18" s="7157"/>
      <c r="EQU18" s="7158"/>
      <c r="EQV18" s="7158"/>
      <c r="EQW18" s="7158"/>
      <c r="EQX18" s="7158"/>
      <c r="EQY18" s="7158"/>
      <c r="EQZ18" s="7159"/>
      <c r="ERA18" s="7152"/>
      <c r="ERB18" s="7153"/>
      <c r="ERC18" s="7153"/>
      <c r="ERD18" s="7153"/>
      <c r="ERE18" s="7163"/>
      <c r="ERF18" s="7164"/>
      <c r="ERG18" s="7157"/>
      <c r="ERH18" s="7157"/>
      <c r="ERI18" s="7157"/>
      <c r="ERJ18" s="7157"/>
      <c r="ERK18" s="7158"/>
      <c r="ERL18" s="7158"/>
      <c r="ERM18" s="7158"/>
      <c r="ERN18" s="7158"/>
      <c r="ERO18" s="7158"/>
      <c r="ERP18" s="7159"/>
      <c r="ERQ18" s="7152"/>
      <c r="ERR18" s="7153"/>
      <c r="ERS18" s="7153"/>
      <c r="ERT18" s="7153"/>
      <c r="ERU18" s="7163"/>
      <c r="ERV18" s="7164"/>
      <c r="ERW18" s="7157"/>
      <c r="ERX18" s="7157"/>
      <c r="ERY18" s="7157"/>
      <c r="ERZ18" s="7157"/>
      <c r="ESA18" s="7158"/>
      <c r="ESB18" s="7158"/>
      <c r="ESC18" s="7158"/>
      <c r="ESD18" s="7158"/>
      <c r="ESE18" s="7158"/>
      <c r="ESF18" s="7159"/>
      <c r="ESG18" s="7152"/>
      <c r="ESH18" s="7153"/>
      <c r="ESI18" s="7153"/>
      <c r="ESJ18" s="7153"/>
      <c r="ESK18" s="7163"/>
      <c r="ESL18" s="7164"/>
      <c r="ESM18" s="7157"/>
      <c r="ESN18" s="7157"/>
      <c r="ESO18" s="7157"/>
      <c r="ESP18" s="7157"/>
      <c r="ESQ18" s="7158"/>
      <c r="ESR18" s="7158"/>
      <c r="ESS18" s="7158"/>
      <c r="EST18" s="7158"/>
      <c r="ESU18" s="7158"/>
      <c r="ESV18" s="7159"/>
      <c r="ESW18" s="7152"/>
      <c r="ESX18" s="7153"/>
      <c r="ESY18" s="7153"/>
      <c r="ESZ18" s="7153"/>
      <c r="ETA18" s="7163"/>
      <c r="ETB18" s="7164"/>
      <c r="ETC18" s="7157"/>
      <c r="ETD18" s="7157"/>
      <c r="ETE18" s="7157"/>
      <c r="ETF18" s="7157"/>
      <c r="ETG18" s="7158"/>
      <c r="ETH18" s="7158"/>
      <c r="ETI18" s="7158"/>
      <c r="ETJ18" s="7158"/>
      <c r="ETK18" s="7158"/>
      <c r="ETL18" s="7159"/>
      <c r="ETM18" s="7152"/>
      <c r="ETN18" s="7153"/>
      <c r="ETO18" s="7153"/>
      <c r="ETP18" s="7153"/>
      <c r="ETQ18" s="7163"/>
      <c r="ETR18" s="7164"/>
      <c r="ETS18" s="7157"/>
      <c r="ETT18" s="7157"/>
      <c r="ETU18" s="7157"/>
      <c r="ETV18" s="7157"/>
      <c r="ETW18" s="7158"/>
      <c r="ETX18" s="7158"/>
      <c r="ETY18" s="7158"/>
      <c r="ETZ18" s="7158"/>
      <c r="EUA18" s="7158"/>
      <c r="EUB18" s="7159"/>
      <c r="EUC18" s="7152"/>
      <c r="EUD18" s="7153"/>
      <c r="EUE18" s="7153"/>
      <c r="EUF18" s="7153"/>
      <c r="EUG18" s="7163"/>
      <c r="EUH18" s="7164"/>
      <c r="EUI18" s="7157"/>
      <c r="EUJ18" s="7157"/>
      <c r="EUK18" s="7157"/>
      <c r="EUL18" s="7157"/>
      <c r="EUM18" s="7158"/>
      <c r="EUN18" s="7158"/>
      <c r="EUO18" s="7158"/>
      <c r="EUP18" s="7158"/>
      <c r="EUQ18" s="7158"/>
      <c r="EUR18" s="7159"/>
      <c r="EUS18" s="7152"/>
      <c r="EUT18" s="7153"/>
      <c r="EUU18" s="7153"/>
      <c r="EUV18" s="7153"/>
      <c r="EUW18" s="7163"/>
      <c r="EUX18" s="7164"/>
      <c r="EUY18" s="7157"/>
      <c r="EUZ18" s="7157"/>
      <c r="EVA18" s="7157"/>
      <c r="EVB18" s="7157"/>
      <c r="EVC18" s="7158"/>
      <c r="EVD18" s="7158"/>
      <c r="EVE18" s="7158"/>
      <c r="EVF18" s="7158"/>
      <c r="EVG18" s="7158"/>
      <c r="EVH18" s="7159"/>
      <c r="EVI18" s="7152"/>
      <c r="EVJ18" s="7153"/>
      <c r="EVK18" s="7153"/>
      <c r="EVL18" s="7153"/>
      <c r="EVM18" s="7163"/>
      <c r="EVN18" s="7164"/>
      <c r="EVO18" s="7157"/>
      <c r="EVP18" s="7157"/>
      <c r="EVQ18" s="7157"/>
      <c r="EVR18" s="7157"/>
      <c r="EVS18" s="7158"/>
      <c r="EVT18" s="7158"/>
      <c r="EVU18" s="7158"/>
      <c r="EVV18" s="7158"/>
      <c r="EVW18" s="7158"/>
      <c r="EVX18" s="7159"/>
      <c r="EVY18" s="7152"/>
      <c r="EVZ18" s="7153"/>
      <c r="EWA18" s="7153"/>
      <c r="EWB18" s="7153"/>
      <c r="EWC18" s="7163"/>
      <c r="EWD18" s="7164"/>
      <c r="EWE18" s="7157"/>
      <c r="EWF18" s="7157"/>
      <c r="EWG18" s="7157"/>
      <c r="EWH18" s="7157"/>
      <c r="EWI18" s="7158"/>
      <c r="EWJ18" s="7158"/>
      <c r="EWK18" s="7158"/>
      <c r="EWL18" s="7158"/>
      <c r="EWM18" s="7158"/>
      <c r="EWN18" s="7159"/>
      <c r="EWO18" s="7152"/>
      <c r="EWP18" s="7153"/>
      <c r="EWQ18" s="7153"/>
      <c r="EWR18" s="7153"/>
      <c r="EWS18" s="7163"/>
      <c r="EWT18" s="7164"/>
      <c r="EWU18" s="7157"/>
      <c r="EWV18" s="7157"/>
      <c r="EWW18" s="7157"/>
      <c r="EWX18" s="7157"/>
      <c r="EWY18" s="7158"/>
      <c r="EWZ18" s="7158"/>
      <c r="EXA18" s="7158"/>
      <c r="EXB18" s="7158"/>
      <c r="EXC18" s="7158"/>
      <c r="EXD18" s="7159"/>
      <c r="EXE18" s="7152"/>
      <c r="EXF18" s="7153"/>
      <c r="EXG18" s="7153"/>
      <c r="EXH18" s="7153"/>
      <c r="EXI18" s="7163"/>
      <c r="EXJ18" s="7164"/>
      <c r="EXK18" s="7157"/>
      <c r="EXL18" s="7157"/>
      <c r="EXM18" s="7157"/>
      <c r="EXN18" s="7157"/>
      <c r="EXO18" s="7158"/>
      <c r="EXP18" s="7158"/>
      <c r="EXQ18" s="7158"/>
      <c r="EXR18" s="7158"/>
      <c r="EXS18" s="7158"/>
      <c r="EXT18" s="7159"/>
      <c r="EXU18" s="7152"/>
      <c r="EXV18" s="7153"/>
      <c r="EXW18" s="7153"/>
      <c r="EXX18" s="7153"/>
      <c r="EXY18" s="7163"/>
      <c r="EXZ18" s="7164"/>
      <c r="EYA18" s="7157"/>
      <c r="EYB18" s="7157"/>
      <c r="EYC18" s="7157"/>
      <c r="EYD18" s="7157"/>
      <c r="EYE18" s="7158"/>
      <c r="EYF18" s="7158"/>
      <c r="EYG18" s="7158"/>
      <c r="EYH18" s="7158"/>
      <c r="EYI18" s="7158"/>
      <c r="EYJ18" s="7159"/>
      <c r="EYK18" s="7152"/>
      <c r="EYL18" s="7153"/>
      <c r="EYM18" s="7153"/>
      <c r="EYN18" s="7153"/>
      <c r="EYO18" s="7163"/>
      <c r="EYP18" s="7164"/>
      <c r="EYQ18" s="7157"/>
      <c r="EYR18" s="7157"/>
      <c r="EYS18" s="7157"/>
      <c r="EYT18" s="7157"/>
      <c r="EYU18" s="7158"/>
      <c r="EYV18" s="7158"/>
      <c r="EYW18" s="7158"/>
      <c r="EYX18" s="7158"/>
      <c r="EYY18" s="7158"/>
      <c r="EYZ18" s="7159"/>
      <c r="EZA18" s="7152"/>
      <c r="EZB18" s="7153"/>
      <c r="EZC18" s="7153"/>
      <c r="EZD18" s="7153"/>
      <c r="EZE18" s="7163"/>
      <c r="EZF18" s="7164"/>
      <c r="EZG18" s="7157"/>
      <c r="EZH18" s="7157"/>
      <c r="EZI18" s="7157"/>
      <c r="EZJ18" s="7157"/>
      <c r="EZK18" s="7158"/>
      <c r="EZL18" s="7158"/>
      <c r="EZM18" s="7158"/>
      <c r="EZN18" s="7158"/>
      <c r="EZO18" s="7158"/>
      <c r="EZP18" s="7159"/>
      <c r="EZQ18" s="7152"/>
      <c r="EZR18" s="7153"/>
      <c r="EZS18" s="7153"/>
      <c r="EZT18" s="7153"/>
      <c r="EZU18" s="7163"/>
      <c r="EZV18" s="7164"/>
      <c r="EZW18" s="7157"/>
      <c r="EZX18" s="7157"/>
      <c r="EZY18" s="7157"/>
      <c r="EZZ18" s="7157"/>
      <c r="FAA18" s="7158"/>
      <c r="FAB18" s="7158"/>
      <c r="FAC18" s="7158"/>
      <c r="FAD18" s="7158"/>
      <c r="FAE18" s="7158"/>
      <c r="FAF18" s="7159"/>
      <c r="FAG18" s="7152"/>
      <c r="FAH18" s="7153"/>
      <c r="FAI18" s="7153"/>
      <c r="FAJ18" s="7153"/>
      <c r="FAK18" s="7163"/>
      <c r="FAL18" s="7164"/>
      <c r="FAM18" s="7157"/>
      <c r="FAN18" s="7157"/>
      <c r="FAO18" s="7157"/>
      <c r="FAP18" s="7157"/>
      <c r="FAQ18" s="7158"/>
      <c r="FAR18" s="7158"/>
      <c r="FAS18" s="7158"/>
      <c r="FAT18" s="7158"/>
      <c r="FAU18" s="7158"/>
      <c r="FAV18" s="7159"/>
      <c r="FAW18" s="7152"/>
      <c r="FAX18" s="7153"/>
      <c r="FAY18" s="7153"/>
      <c r="FAZ18" s="7153"/>
      <c r="FBA18" s="7163"/>
      <c r="FBB18" s="7164"/>
      <c r="FBC18" s="7157"/>
      <c r="FBD18" s="7157"/>
      <c r="FBE18" s="7157"/>
      <c r="FBF18" s="7157"/>
      <c r="FBG18" s="7158"/>
      <c r="FBH18" s="7158"/>
      <c r="FBI18" s="7158"/>
      <c r="FBJ18" s="7158"/>
      <c r="FBK18" s="7158"/>
      <c r="FBL18" s="7159"/>
      <c r="FBM18" s="7152"/>
      <c r="FBN18" s="7153"/>
      <c r="FBO18" s="7153"/>
      <c r="FBP18" s="7153"/>
      <c r="FBQ18" s="7163"/>
      <c r="FBR18" s="7164"/>
      <c r="FBS18" s="7157"/>
      <c r="FBT18" s="7157"/>
      <c r="FBU18" s="7157"/>
      <c r="FBV18" s="7157"/>
      <c r="FBW18" s="7158"/>
      <c r="FBX18" s="7158"/>
      <c r="FBY18" s="7158"/>
      <c r="FBZ18" s="7158"/>
      <c r="FCA18" s="7158"/>
      <c r="FCB18" s="7159"/>
      <c r="FCC18" s="7152"/>
      <c r="FCD18" s="7153"/>
      <c r="FCE18" s="7153"/>
      <c r="FCF18" s="7153"/>
      <c r="FCG18" s="7163"/>
      <c r="FCH18" s="7164"/>
      <c r="FCI18" s="7157"/>
      <c r="FCJ18" s="7157"/>
      <c r="FCK18" s="7157"/>
      <c r="FCL18" s="7157"/>
      <c r="FCM18" s="7158"/>
      <c r="FCN18" s="7158"/>
      <c r="FCO18" s="7158"/>
      <c r="FCP18" s="7158"/>
      <c r="FCQ18" s="7158"/>
      <c r="FCR18" s="7159"/>
      <c r="FCS18" s="7152"/>
      <c r="FCT18" s="7153"/>
      <c r="FCU18" s="7153"/>
      <c r="FCV18" s="7153"/>
      <c r="FCW18" s="7163"/>
      <c r="FCX18" s="7164"/>
      <c r="FCY18" s="7157"/>
      <c r="FCZ18" s="7157"/>
      <c r="FDA18" s="7157"/>
      <c r="FDB18" s="7157"/>
      <c r="FDC18" s="7158"/>
      <c r="FDD18" s="7158"/>
      <c r="FDE18" s="7158"/>
      <c r="FDF18" s="7158"/>
      <c r="FDG18" s="7158"/>
      <c r="FDH18" s="7159"/>
      <c r="FDI18" s="7152"/>
      <c r="FDJ18" s="7153"/>
      <c r="FDK18" s="7153"/>
      <c r="FDL18" s="7153"/>
      <c r="FDM18" s="7163"/>
      <c r="FDN18" s="7164"/>
      <c r="FDO18" s="7157"/>
      <c r="FDP18" s="7157"/>
      <c r="FDQ18" s="7157"/>
      <c r="FDR18" s="7157"/>
      <c r="FDS18" s="7158"/>
      <c r="FDT18" s="7158"/>
      <c r="FDU18" s="7158"/>
      <c r="FDV18" s="7158"/>
      <c r="FDW18" s="7158"/>
      <c r="FDX18" s="7159"/>
      <c r="FDY18" s="7152"/>
      <c r="FDZ18" s="7153"/>
      <c r="FEA18" s="7153"/>
      <c r="FEB18" s="7153"/>
      <c r="FEC18" s="7163"/>
      <c r="FED18" s="7164"/>
      <c r="FEE18" s="7157"/>
      <c r="FEF18" s="7157"/>
      <c r="FEG18" s="7157"/>
      <c r="FEH18" s="7157"/>
      <c r="FEI18" s="7158"/>
      <c r="FEJ18" s="7158"/>
      <c r="FEK18" s="7158"/>
      <c r="FEL18" s="7158"/>
      <c r="FEM18" s="7158"/>
      <c r="FEN18" s="7159"/>
      <c r="FEO18" s="7152"/>
      <c r="FEP18" s="7153"/>
      <c r="FEQ18" s="7153"/>
      <c r="FER18" s="7153"/>
      <c r="FES18" s="7163"/>
      <c r="FET18" s="7164"/>
      <c r="FEU18" s="7157"/>
      <c r="FEV18" s="7157"/>
      <c r="FEW18" s="7157"/>
      <c r="FEX18" s="7157"/>
      <c r="FEY18" s="7158"/>
      <c r="FEZ18" s="7158"/>
      <c r="FFA18" s="7158"/>
      <c r="FFB18" s="7158"/>
      <c r="FFC18" s="7158"/>
      <c r="FFD18" s="7159"/>
      <c r="FFE18" s="7152"/>
      <c r="FFF18" s="7153"/>
      <c r="FFG18" s="7153"/>
      <c r="FFH18" s="7153"/>
      <c r="FFI18" s="7163"/>
      <c r="FFJ18" s="7164"/>
      <c r="FFK18" s="7157"/>
      <c r="FFL18" s="7157"/>
      <c r="FFM18" s="7157"/>
      <c r="FFN18" s="7157"/>
      <c r="FFO18" s="7158"/>
      <c r="FFP18" s="7158"/>
      <c r="FFQ18" s="7158"/>
      <c r="FFR18" s="7158"/>
      <c r="FFS18" s="7158"/>
      <c r="FFT18" s="7159"/>
      <c r="FFU18" s="7152"/>
      <c r="FFV18" s="7153"/>
      <c r="FFW18" s="7153"/>
      <c r="FFX18" s="7153"/>
      <c r="FFY18" s="7163"/>
      <c r="FFZ18" s="7164"/>
      <c r="FGA18" s="7157"/>
      <c r="FGB18" s="7157"/>
      <c r="FGC18" s="7157"/>
      <c r="FGD18" s="7157"/>
      <c r="FGE18" s="7158"/>
      <c r="FGF18" s="7158"/>
      <c r="FGG18" s="7158"/>
      <c r="FGH18" s="7158"/>
      <c r="FGI18" s="7158"/>
      <c r="FGJ18" s="7159"/>
      <c r="FGK18" s="7152"/>
      <c r="FGL18" s="7153"/>
      <c r="FGM18" s="7153"/>
      <c r="FGN18" s="7153"/>
      <c r="FGO18" s="7163"/>
      <c r="FGP18" s="7164"/>
      <c r="FGQ18" s="7157"/>
      <c r="FGR18" s="7157"/>
      <c r="FGS18" s="7157"/>
      <c r="FGT18" s="7157"/>
      <c r="FGU18" s="7158"/>
      <c r="FGV18" s="7158"/>
      <c r="FGW18" s="7158"/>
      <c r="FGX18" s="7158"/>
      <c r="FGY18" s="7158"/>
      <c r="FGZ18" s="7159"/>
      <c r="FHA18" s="7152"/>
      <c r="FHB18" s="7153"/>
      <c r="FHC18" s="7153"/>
      <c r="FHD18" s="7153"/>
      <c r="FHE18" s="7163"/>
      <c r="FHF18" s="7164"/>
      <c r="FHG18" s="7157"/>
      <c r="FHH18" s="7157"/>
      <c r="FHI18" s="7157"/>
      <c r="FHJ18" s="7157"/>
      <c r="FHK18" s="7158"/>
      <c r="FHL18" s="7158"/>
      <c r="FHM18" s="7158"/>
      <c r="FHN18" s="7158"/>
      <c r="FHO18" s="7158"/>
      <c r="FHP18" s="7159"/>
      <c r="FHQ18" s="7152"/>
      <c r="FHR18" s="7153"/>
      <c r="FHS18" s="7153"/>
      <c r="FHT18" s="7153"/>
      <c r="FHU18" s="7163"/>
      <c r="FHV18" s="7164"/>
      <c r="FHW18" s="7157"/>
      <c r="FHX18" s="7157"/>
      <c r="FHY18" s="7157"/>
      <c r="FHZ18" s="7157"/>
      <c r="FIA18" s="7158"/>
      <c r="FIB18" s="7158"/>
      <c r="FIC18" s="7158"/>
      <c r="FID18" s="7158"/>
      <c r="FIE18" s="7158"/>
      <c r="FIF18" s="7159"/>
      <c r="FIG18" s="7152"/>
      <c r="FIH18" s="7153"/>
      <c r="FII18" s="7153"/>
      <c r="FIJ18" s="7153"/>
      <c r="FIK18" s="7163"/>
      <c r="FIL18" s="7164"/>
      <c r="FIM18" s="7157"/>
      <c r="FIN18" s="7157"/>
      <c r="FIO18" s="7157"/>
      <c r="FIP18" s="7157"/>
      <c r="FIQ18" s="7158"/>
      <c r="FIR18" s="7158"/>
      <c r="FIS18" s="7158"/>
      <c r="FIT18" s="7158"/>
      <c r="FIU18" s="7158"/>
      <c r="FIV18" s="7159"/>
      <c r="FIW18" s="7152"/>
      <c r="FIX18" s="7153"/>
      <c r="FIY18" s="7153"/>
      <c r="FIZ18" s="7153"/>
      <c r="FJA18" s="7163"/>
      <c r="FJB18" s="7164"/>
      <c r="FJC18" s="7157"/>
      <c r="FJD18" s="7157"/>
      <c r="FJE18" s="7157"/>
      <c r="FJF18" s="7157"/>
      <c r="FJG18" s="7158"/>
      <c r="FJH18" s="7158"/>
      <c r="FJI18" s="7158"/>
      <c r="FJJ18" s="7158"/>
      <c r="FJK18" s="7158"/>
      <c r="FJL18" s="7159"/>
      <c r="FJM18" s="7152"/>
      <c r="FJN18" s="7153"/>
      <c r="FJO18" s="7153"/>
      <c r="FJP18" s="7153"/>
      <c r="FJQ18" s="7163"/>
      <c r="FJR18" s="7164"/>
      <c r="FJS18" s="7157"/>
      <c r="FJT18" s="7157"/>
      <c r="FJU18" s="7157"/>
      <c r="FJV18" s="7157"/>
      <c r="FJW18" s="7158"/>
      <c r="FJX18" s="7158"/>
      <c r="FJY18" s="7158"/>
      <c r="FJZ18" s="7158"/>
      <c r="FKA18" s="7158"/>
      <c r="FKB18" s="7159"/>
      <c r="FKC18" s="7152"/>
      <c r="FKD18" s="7153"/>
      <c r="FKE18" s="7153"/>
      <c r="FKF18" s="7153"/>
      <c r="FKG18" s="7163"/>
      <c r="FKH18" s="7164"/>
      <c r="FKI18" s="7157"/>
      <c r="FKJ18" s="7157"/>
      <c r="FKK18" s="7157"/>
      <c r="FKL18" s="7157"/>
      <c r="FKM18" s="7158"/>
      <c r="FKN18" s="7158"/>
      <c r="FKO18" s="7158"/>
      <c r="FKP18" s="7158"/>
      <c r="FKQ18" s="7158"/>
      <c r="FKR18" s="7159"/>
      <c r="FKS18" s="7152"/>
      <c r="FKT18" s="7153"/>
      <c r="FKU18" s="7153"/>
      <c r="FKV18" s="7153"/>
      <c r="FKW18" s="7163"/>
      <c r="FKX18" s="7164"/>
      <c r="FKY18" s="7157"/>
      <c r="FKZ18" s="7157"/>
      <c r="FLA18" s="7157"/>
      <c r="FLB18" s="7157"/>
      <c r="FLC18" s="7158"/>
      <c r="FLD18" s="7158"/>
      <c r="FLE18" s="7158"/>
      <c r="FLF18" s="7158"/>
      <c r="FLG18" s="7158"/>
      <c r="FLH18" s="7159"/>
      <c r="FLI18" s="7152"/>
      <c r="FLJ18" s="7153"/>
      <c r="FLK18" s="7153"/>
      <c r="FLL18" s="7153"/>
      <c r="FLM18" s="7163"/>
      <c r="FLN18" s="7164"/>
      <c r="FLO18" s="7157"/>
      <c r="FLP18" s="7157"/>
      <c r="FLQ18" s="7157"/>
      <c r="FLR18" s="7157"/>
      <c r="FLS18" s="7158"/>
      <c r="FLT18" s="7158"/>
      <c r="FLU18" s="7158"/>
      <c r="FLV18" s="7158"/>
      <c r="FLW18" s="7158"/>
      <c r="FLX18" s="7159"/>
      <c r="FLY18" s="7152"/>
      <c r="FLZ18" s="7153"/>
      <c r="FMA18" s="7153"/>
      <c r="FMB18" s="7153"/>
      <c r="FMC18" s="7163"/>
      <c r="FMD18" s="7164"/>
      <c r="FME18" s="7157"/>
      <c r="FMF18" s="7157"/>
      <c r="FMG18" s="7157"/>
      <c r="FMH18" s="7157"/>
      <c r="FMI18" s="7158"/>
      <c r="FMJ18" s="7158"/>
      <c r="FMK18" s="7158"/>
      <c r="FML18" s="7158"/>
      <c r="FMM18" s="7158"/>
      <c r="FMN18" s="7159"/>
      <c r="FMO18" s="7152"/>
      <c r="FMP18" s="7153"/>
      <c r="FMQ18" s="7153"/>
      <c r="FMR18" s="7153"/>
      <c r="FMS18" s="7163"/>
      <c r="FMT18" s="7164"/>
      <c r="FMU18" s="7157"/>
      <c r="FMV18" s="7157"/>
      <c r="FMW18" s="7157"/>
      <c r="FMX18" s="7157"/>
      <c r="FMY18" s="7158"/>
      <c r="FMZ18" s="7158"/>
      <c r="FNA18" s="7158"/>
      <c r="FNB18" s="7158"/>
      <c r="FNC18" s="7158"/>
      <c r="FND18" s="7159"/>
      <c r="FNE18" s="7152"/>
      <c r="FNF18" s="7153"/>
      <c r="FNG18" s="7153"/>
      <c r="FNH18" s="7153"/>
      <c r="FNI18" s="7163"/>
      <c r="FNJ18" s="7164"/>
      <c r="FNK18" s="7157"/>
      <c r="FNL18" s="7157"/>
      <c r="FNM18" s="7157"/>
      <c r="FNN18" s="7157"/>
      <c r="FNO18" s="7158"/>
      <c r="FNP18" s="7158"/>
      <c r="FNQ18" s="7158"/>
      <c r="FNR18" s="7158"/>
      <c r="FNS18" s="7158"/>
      <c r="FNT18" s="7159"/>
      <c r="FNU18" s="7152"/>
      <c r="FNV18" s="7153"/>
      <c r="FNW18" s="7153"/>
      <c r="FNX18" s="7153"/>
      <c r="FNY18" s="7163"/>
      <c r="FNZ18" s="7164"/>
      <c r="FOA18" s="7157"/>
      <c r="FOB18" s="7157"/>
      <c r="FOC18" s="7157"/>
      <c r="FOD18" s="7157"/>
      <c r="FOE18" s="7158"/>
      <c r="FOF18" s="7158"/>
      <c r="FOG18" s="7158"/>
      <c r="FOH18" s="7158"/>
      <c r="FOI18" s="7158"/>
      <c r="FOJ18" s="7159"/>
      <c r="FOK18" s="7152"/>
      <c r="FOL18" s="7153"/>
      <c r="FOM18" s="7153"/>
      <c r="FON18" s="7153"/>
      <c r="FOO18" s="7163"/>
      <c r="FOP18" s="7164"/>
      <c r="FOQ18" s="7157"/>
      <c r="FOR18" s="7157"/>
      <c r="FOS18" s="7157"/>
      <c r="FOT18" s="7157"/>
      <c r="FOU18" s="7158"/>
      <c r="FOV18" s="7158"/>
      <c r="FOW18" s="7158"/>
      <c r="FOX18" s="7158"/>
      <c r="FOY18" s="7158"/>
      <c r="FOZ18" s="7159"/>
      <c r="FPA18" s="7152"/>
      <c r="FPB18" s="7153"/>
      <c r="FPC18" s="7153"/>
      <c r="FPD18" s="7153"/>
      <c r="FPE18" s="7163"/>
      <c r="FPF18" s="7164"/>
      <c r="FPG18" s="7157"/>
      <c r="FPH18" s="7157"/>
      <c r="FPI18" s="7157"/>
      <c r="FPJ18" s="7157"/>
      <c r="FPK18" s="7158"/>
      <c r="FPL18" s="7158"/>
      <c r="FPM18" s="7158"/>
      <c r="FPN18" s="7158"/>
      <c r="FPO18" s="7158"/>
      <c r="FPP18" s="7159"/>
      <c r="FPQ18" s="7152"/>
      <c r="FPR18" s="7153"/>
      <c r="FPS18" s="7153"/>
      <c r="FPT18" s="7153"/>
      <c r="FPU18" s="7163"/>
      <c r="FPV18" s="7164"/>
      <c r="FPW18" s="7157"/>
      <c r="FPX18" s="7157"/>
      <c r="FPY18" s="7157"/>
      <c r="FPZ18" s="7157"/>
      <c r="FQA18" s="7158"/>
      <c r="FQB18" s="7158"/>
      <c r="FQC18" s="7158"/>
      <c r="FQD18" s="7158"/>
      <c r="FQE18" s="7158"/>
      <c r="FQF18" s="7159"/>
      <c r="FQG18" s="7152"/>
      <c r="FQH18" s="7153"/>
      <c r="FQI18" s="7153"/>
      <c r="FQJ18" s="7153"/>
      <c r="FQK18" s="7163"/>
      <c r="FQL18" s="7164"/>
      <c r="FQM18" s="7157"/>
      <c r="FQN18" s="7157"/>
      <c r="FQO18" s="7157"/>
      <c r="FQP18" s="7157"/>
      <c r="FQQ18" s="7158"/>
      <c r="FQR18" s="7158"/>
      <c r="FQS18" s="7158"/>
      <c r="FQT18" s="7158"/>
      <c r="FQU18" s="7158"/>
      <c r="FQV18" s="7159"/>
      <c r="FQW18" s="7152"/>
      <c r="FQX18" s="7153"/>
      <c r="FQY18" s="7153"/>
      <c r="FQZ18" s="7153"/>
      <c r="FRA18" s="7163"/>
      <c r="FRB18" s="7164"/>
      <c r="FRC18" s="7157"/>
      <c r="FRD18" s="7157"/>
      <c r="FRE18" s="7157"/>
      <c r="FRF18" s="7157"/>
      <c r="FRG18" s="7158"/>
      <c r="FRH18" s="7158"/>
      <c r="FRI18" s="7158"/>
      <c r="FRJ18" s="7158"/>
      <c r="FRK18" s="7158"/>
      <c r="FRL18" s="7159"/>
      <c r="FRM18" s="7152"/>
      <c r="FRN18" s="7153"/>
      <c r="FRO18" s="7153"/>
      <c r="FRP18" s="7153"/>
      <c r="FRQ18" s="7163"/>
      <c r="FRR18" s="7164"/>
      <c r="FRS18" s="7157"/>
      <c r="FRT18" s="7157"/>
      <c r="FRU18" s="7157"/>
      <c r="FRV18" s="7157"/>
      <c r="FRW18" s="7158"/>
      <c r="FRX18" s="7158"/>
      <c r="FRY18" s="7158"/>
      <c r="FRZ18" s="7158"/>
      <c r="FSA18" s="7158"/>
      <c r="FSB18" s="7159"/>
      <c r="FSC18" s="7152"/>
      <c r="FSD18" s="7153"/>
      <c r="FSE18" s="7153"/>
      <c r="FSF18" s="7153"/>
      <c r="FSG18" s="7163"/>
      <c r="FSH18" s="7164"/>
      <c r="FSI18" s="7157"/>
      <c r="FSJ18" s="7157"/>
      <c r="FSK18" s="7157"/>
      <c r="FSL18" s="7157"/>
      <c r="FSM18" s="7158"/>
      <c r="FSN18" s="7158"/>
      <c r="FSO18" s="7158"/>
      <c r="FSP18" s="7158"/>
      <c r="FSQ18" s="7158"/>
      <c r="FSR18" s="7159"/>
      <c r="FSS18" s="7152"/>
      <c r="FST18" s="7153"/>
      <c r="FSU18" s="7153"/>
      <c r="FSV18" s="7153"/>
      <c r="FSW18" s="7163"/>
      <c r="FSX18" s="7164"/>
      <c r="FSY18" s="7157"/>
      <c r="FSZ18" s="7157"/>
      <c r="FTA18" s="7157"/>
      <c r="FTB18" s="7157"/>
      <c r="FTC18" s="7158"/>
      <c r="FTD18" s="7158"/>
      <c r="FTE18" s="7158"/>
      <c r="FTF18" s="7158"/>
      <c r="FTG18" s="7158"/>
      <c r="FTH18" s="7159"/>
      <c r="FTI18" s="7152"/>
      <c r="FTJ18" s="7153"/>
      <c r="FTK18" s="7153"/>
      <c r="FTL18" s="7153"/>
      <c r="FTM18" s="7163"/>
      <c r="FTN18" s="7164"/>
      <c r="FTO18" s="7157"/>
      <c r="FTP18" s="7157"/>
      <c r="FTQ18" s="7157"/>
      <c r="FTR18" s="7157"/>
      <c r="FTS18" s="7158"/>
      <c r="FTT18" s="7158"/>
      <c r="FTU18" s="7158"/>
      <c r="FTV18" s="7158"/>
      <c r="FTW18" s="7158"/>
      <c r="FTX18" s="7159"/>
      <c r="FTY18" s="7152"/>
      <c r="FTZ18" s="7153"/>
      <c r="FUA18" s="7153"/>
      <c r="FUB18" s="7153"/>
      <c r="FUC18" s="7163"/>
      <c r="FUD18" s="7164"/>
      <c r="FUE18" s="7157"/>
      <c r="FUF18" s="7157"/>
      <c r="FUG18" s="7157"/>
      <c r="FUH18" s="7157"/>
      <c r="FUI18" s="7158"/>
      <c r="FUJ18" s="7158"/>
      <c r="FUK18" s="7158"/>
      <c r="FUL18" s="7158"/>
      <c r="FUM18" s="7158"/>
      <c r="FUN18" s="7159"/>
      <c r="FUO18" s="7152"/>
      <c r="FUP18" s="7153"/>
      <c r="FUQ18" s="7153"/>
      <c r="FUR18" s="7153"/>
      <c r="FUS18" s="7163"/>
      <c r="FUT18" s="7164"/>
      <c r="FUU18" s="7157"/>
      <c r="FUV18" s="7157"/>
      <c r="FUW18" s="7157"/>
      <c r="FUX18" s="7157"/>
      <c r="FUY18" s="7158"/>
      <c r="FUZ18" s="7158"/>
      <c r="FVA18" s="7158"/>
      <c r="FVB18" s="7158"/>
      <c r="FVC18" s="7158"/>
      <c r="FVD18" s="7159"/>
      <c r="FVE18" s="7152"/>
      <c r="FVF18" s="7153"/>
      <c r="FVG18" s="7153"/>
      <c r="FVH18" s="7153"/>
      <c r="FVI18" s="7163"/>
      <c r="FVJ18" s="7164"/>
      <c r="FVK18" s="7157"/>
      <c r="FVL18" s="7157"/>
      <c r="FVM18" s="7157"/>
      <c r="FVN18" s="7157"/>
      <c r="FVO18" s="7158"/>
      <c r="FVP18" s="7158"/>
      <c r="FVQ18" s="7158"/>
      <c r="FVR18" s="7158"/>
      <c r="FVS18" s="7158"/>
      <c r="FVT18" s="7159"/>
      <c r="FVU18" s="7152"/>
      <c r="FVV18" s="7153"/>
      <c r="FVW18" s="7153"/>
      <c r="FVX18" s="7153"/>
      <c r="FVY18" s="7163"/>
      <c r="FVZ18" s="7164"/>
      <c r="FWA18" s="7157"/>
      <c r="FWB18" s="7157"/>
      <c r="FWC18" s="7157"/>
      <c r="FWD18" s="7157"/>
      <c r="FWE18" s="7158"/>
      <c r="FWF18" s="7158"/>
      <c r="FWG18" s="7158"/>
      <c r="FWH18" s="7158"/>
      <c r="FWI18" s="7158"/>
      <c r="FWJ18" s="7159"/>
      <c r="FWK18" s="7152"/>
      <c r="FWL18" s="7153"/>
      <c r="FWM18" s="7153"/>
      <c r="FWN18" s="7153"/>
      <c r="FWO18" s="7163"/>
      <c r="FWP18" s="7164"/>
      <c r="FWQ18" s="7157"/>
      <c r="FWR18" s="7157"/>
      <c r="FWS18" s="7157"/>
      <c r="FWT18" s="7157"/>
      <c r="FWU18" s="7158"/>
      <c r="FWV18" s="7158"/>
      <c r="FWW18" s="7158"/>
      <c r="FWX18" s="7158"/>
      <c r="FWY18" s="7158"/>
      <c r="FWZ18" s="7159"/>
      <c r="FXA18" s="7152"/>
      <c r="FXB18" s="7153"/>
      <c r="FXC18" s="7153"/>
      <c r="FXD18" s="7153"/>
      <c r="FXE18" s="7163"/>
      <c r="FXF18" s="7164"/>
      <c r="FXG18" s="7157"/>
      <c r="FXH18" s="7157"/>
      <c r="FXI18" s="7157"/>
      <c r="FXJ18" s="7157"/>
      <c r="FXK18" s="7158"/>
      <c r="FXL18" s="7158"/>
      <c r="FXM18" s="7158"/>
      <c r="FXN18" s="7158"/>
      <c r="FXO18" s="7158"/>
      <c r="FXP18" s="7159"/>
      <c r="FXQ18" s="7152"/>
      <c r="FXR18" s="7153"/>
      <c r="FXS18" s="7153"/>
      <c r="FXT18" s="7153"/>
      <c r="FXU18" s="7163"/>
      <c r="FXV18" s="7164"/>
      <c r="FXW18" s="7157"/>
      <c r="FXX18" s="7157"/>
      <c r="FXY18" s="7157"/>
      <c r="FXZ18" s="7157"/>
      <c r="FYA18" s="7158"/>
      <c r="FYB18" s="7158"/>
      <c r="FYC18" s="7158"/>
      <c r="FYD18" s="7158"/>
      <c r="FYE18" s="7158"/>
      <c r="FYF18" s="7159"/>
      <c r="FYG18" s="7152"/>
      <c r="FYH18" s="7153"/>
      <c r="FYI18" s="7153"/>
      <c r="FYJ18" s="7153"/>
      <c r="FYK18" s="7163"/>
      <c r="FYL18" s="7164"/>
      <c r="FYM18" s="7157"/>
      <c r="FYN18" s="7157"/>
      <c r="FYO18" s="7157"/>
      <c r="FYP18" s="7157"/>
      <c r="FYQ18" s="7158"/>
      <c r="FYR18" s="7158"/>
      <c r="FYS18" s="7158"/>
      <c r="FYT18" s="7158"/>
      <c r="FYU18" s="7158"/>
      <c r="FYV18" s="7159"/>
      <c r="FYW18" s="7152"/>
      <c r="FYX18" s="7153"/>
      <c r="FYY18" s="7153"/>
      <c r="FYZ18" s="7153"/>
      <c r="FZA18" s="7163"/>
      <c r="FZB18" s="7164"/>
      <c r="FZC18" s="7157"/>
      <c r="FZD18" s="7157"/>
      <c r="FZE18" s="7157"/>
      <c r="FZF18" s="7157"/>
      <c r="FZG18" s="7158"/>
      <c r="FZH18" s="7158"/>
      <c r="FZI18" s="7158"/>
      <c r="FZJ18" s="7158"/>
      <c r="FZK18" s="7158"/>
      <c r="FZL18" s="7159"/>
      <c r="FZM18" s="7152"/>
      <c r="FZN18" s="7153"/>
      <c r="FZO18" s="7153"/>
      <c r="FZP18" s="7153"/>
      <c r="FZQ18" s="7163"/>
      <c r="FZR18" s="7164"/>
      <c r="FZS18" s="7157"/>
      <c r="FZT18" s="7157"/>
      <c r="FZU18" s="7157"/>
      <c r="FZV18" s="7157"/>
      <c r="FZW18" s="7158"/>
      <c r="FZX18" s="7158"/>
      <c r="FZY18" s="7158"/>
      <c r="FZZ18" s="7158"/>
      <c r="GAA18" s="7158"/>
      <c r="GAB18" s="7159"/>
      <c r="GAC18" s="7152"/>
      <c r="GAD18" s="7153"/>
      <c r="GAE18" s="7153"/>
      <c r="GAF18" s="7153"/>
      <c r="GAG18" s="7163"/>
      <c r="GAH18" s="7164"/>
      <c r="GAI18" s="7157"/>
      <c r="GAJ18" s="7157"/>
      <c r="GAK18" s="7157"/>
      <c r="GAL18" s="7157"/>
      <c r="GAM18" s="7158"/>
      <c r="GAN18" s="7158"/>
      <c r="GAO18" s="7158"/>
      <c r="GAP18" s="7158"/>
      <c r="GAQ18" s="7158"/>
      <c r="GAR18" s="7159"/>
      <c r="GAS18" s="7152"/>
      <c r="GAT18" s="7153"/>
      <c r="GAU18" s="7153"/>
      <c r="GAV18" s="7153"/>
      <c r="GAW18" s="7163"/>
      <c r="GAX18" s="7164"/>
      <c r="GAY18" s="7157"/>
      <c r="GAZ18" s="7157"/>
      <c r="GBA18" s="7157"/>
      <c r="GBB18" s="7157"/>
      <c r="GBC18" s="7158"/>
      <c r="GBD18" s="7158"/>
      <c r="GBE18" s="7158"/>
      <c r="GBF18" s="7158"/>
      <c r="GBG18" s="7158"/>
      <c r="GBH18" s="7159"/>
      <c r="GBI18" s="7152"/>
      <c r="GBJ18" s="7153"/>
      <c r="GBK18" s="7153"/>
      <c r="GBL18" s="7153"/>
      <c r="GBM18" s="7163"/>
      <c r="GBN18" s="7164"/>
      <c r="GBO18" s="7157"/>
      <c r="GBP18" s="7157"/>
      <c r="GBQ18" s="7157"/>
      <c r="GBR18" s="7157"/>
      <c r="GBS18" s="7158"/>
      <c r="GBT18" s="7158"/>
      <c r="GBU18" s="7158"/>
      <c r="GBV18" s="7158"/>
      <c r="GBW18" s="7158"/>
      <c r="GBX18" s="7159"/>
      <c r="GBY18" s="7152"/>
      <c r="GBZ18" s="7153"/>
      <c r="GCA18" s="7153"/>
      <c r="GCB18" s="7153"/>
      <c r="GCC18" s="7163"/>
      <c r="GCD18" s="7164"/>
      <c r="GCE18" s="7157"/>
      <c r="GCF18" s="7157"/>
      <c r="GCG18" s="7157"/>
      <c r="GCH18" s="7157"/>
      <c r="GCI18" s="7158"/>
      <c r="GCJ18" s="7158"/>
      <c r="GCK18" s="7158"/>
      <c r="GCL18" s="7158"/>
      <c r="GCM18" s="7158"/>
      <c r="GCN18" s="7159"/>
      <c r="GCO18" s="7152"/>
      <c r="GCP18" s="7153"/>
      <c r="GCQ18" s="7153"/>
      <c r="GCR18" s="7153"/>
      <c r="GCS18" s="7163"/>
      <c r="GCT18" s="7164"/>
      <c r="GCU18" s="7157"/>
      <c r="GCV18" s="7157"/>
      <c r="GCW18" s="7157"/>
      <c r="GCX18" s="7157"/>
      <c r="GCY18" s="7158"/>
      <c r="GCZ18" s="7158"/>
      <c r="GDA18" s="7158"/>
      <c r="GDB18" s="7158"/>
      <c r="GDC18" s="7158"/>
      <c r="GDD18" s="7159"/>
      <c r="GDE18" s="7152"/>
      <c r="GDF18" s="7153"/>
      <c r="GDG18" s="7153"/>
      <c r="GDH18" s="7153"/>
      <c r="GDI18" s="7163"/>
      <c r="GDJ18" s="7164"/>
      <c r="GDK18" s="7157"/>
      <c r="GDL18" s="7157"/>
      <c r="GDM18" s="7157"/>
      <c r="GDN18" s="7157"/>
      <c r="GDO18" s="7158"/>
      <c r="GDP18" s="7158"/>
      <c r="GDQ18" s="7158"/>
      <c r="GDR18" s="7158"/>
      <c r="GDS18" s="7158"/>
      <c r="GDT18" s="7159"/>
      <c r="GDU18" s="7152"/>
      <c r="GDV18" s="7153"/>
      <c r="GDW18" s="7153"/>
      <c r="GDX18" s="7153"/>
      <c r="GDY18" s="7163"/>
      <c r="GDZ18" s="7164"/>
      <c r="GEA18" s="7157"/>
      <c r="GEB18" s="7157"/>
      <c r="GEC18" s="7157"/>
      <c r="GED18" s="7157"/>
      <c r="GEE18" s="7158"/>
      <c r="GEF18" s="7158"/>
      <c r="GEG18" s="7158"/>
      <c r="GEH18" s="7158"/>
      <c r="GEI18" s="7158"/>
      <c r="GEJ18" s="7159"/>
      <c r="GEK18" s="7152"/>
      <c r="GEL18" s="7153"/>
      <c r="GEM18" s="7153"/>
      <c r="GEN18" s="7153"/>
      <c r="GEO18" s="7163"/>
      <c r="GEP18" s="7164"/>
      <c r="GEQ18" s="7157"/>
      <c r="GER18" s="7157"/>
      <c r="GES18" s="7157"/>
      <c r="GET18" s="7157"/>
      <c r="GEU18" s="7158"/>
      <c r="GEV18" s="7158"/>
      <c r="GEW18" s="7158"/>
      <c r="GEX18" s="7158"/>
      <c r="GEY18" s="7158"/>
      <c r="GEZ18" s="7159"/>
      <c r="GFA18" s="7152"/>
      <c r="GFB18" s="7153"/>
      <c r="GFC18" s="7153"/>
      <c r="GFD18" s="7153"/>
      <c r="GFE18" s="7163"/>
      <c r="GFF18" s="7164"/>
      <c r="GFG18" s="7157"/>
      <c r="GFH18" s="7157"/>
      <c r="GFI18" s="7157"/>
      <c r="GFJ18" s="7157"/>
      <c r="GFK18" s="7158"/>
      <c r="GFL18" s="7158"/>
      <c r="GFM18" s="7158"/>
      <c r="GFN18" s="7158"/>
      <c r="GFO18" s="7158"/>
      <c r="GFP18" s="7159"/>
      <c r="GFQ18" s="7152"/>
      <c r="GFR18" s="7153"/>
      <c r="GFS18" s="7153"/>
      <c r="GFT18" s="7153"/>
      <c r="GFU18" s="7163"/>
      <c r="GFV18" s="7164"/>
      <c r="GFW18" s="7157"/>
      <c r="GFX18" s="7157"/>
      <c r="GFY18" s="7157"/>
      <c r="GFZ18" s="7157"/>
      <c r="GGA18" s="7158"/>
      <c r="GGB18" s="7158"/>
      <c r="GGC18" s="7158"/>
      <c r="GGD18" s="7158"/>
      <c r="GGE18" s="7158"/>
      <c r="GGF18" s="7159"/>
      <c r="GGG18" s="7152"/>
      <c r="GGH18" s="7153"/>
      <c r="GGI18" s="7153"/>
      <c r="GGJ18" s="7153"/>
      <c r="GGK18" s="7163"/>
      <c r="GGL18" s="7164"/>
      <c r="GGM18" s="7157"/>
      <c r="GGN18" s="7157"/>
      <c r="GGO18" s="7157"/>
      <c r="GGP18" s="7157"/>
      <c r="GGQ18" s="7158"/>
      <c r="GGR18" s="7158"/>
      <c r="GGS18" s="7158"/>
      <c r="GGT18" s="7158"/>
      <c r="GGU18" s="7158"/>
      <c r="GGV18" s="7159"/>
      <c r="GGW18" s="7152"/>
      <c r="GGX18" s="7153"/>
      <c r="GGY18" s="7153"/>
      <c r="GGZ18" s="7153"/>
      <c r="GHA18" s="7163"/>
      <c r="GHB18" s="7164"/>
      <c r="GHC18" s="7157"/>
      <c r="GHD18" s="7157"/>
      <c r="GHE18" s="7157"/>
      <c r="GHF18" s="7157"/>
      <c r="GHG18" s="7158"/>
      <c r="GHH18" s="7158"/>
      <c r="GHI18" s="7158"/>
      <c r="GHJ18" s="7158"/>
      <c r="GHK18" s="7158"/>
      <c r="GHL18" s="7159"/>
      <c r="GHM18" s="7152"/>
      <c r="GHN18" s="7153"/>
      <c r="GHO18" s="7153"/>
      <c r="GHP18" s="7153"/>
      <c r="GHQ18" s="7163"/>
      <c r="GHR18" s="7164"/>
      <c r="GHS18" s="7157"/>
      <c r="GHT18" s="7157"/>
      <c r="GHU18" s="7157"/>
      <c r="GHV18" s="7157"/>
      <c r="GHW18" s="7158"/>
      <c r="GHX18" s="7158"/>
      <c r="GHY18" s="7158"/>
      <c r="GHZ18" s="7158"/>
      <c r="GIA18" s="7158"/>
      <c r="GIB18" s="7159"/>
      <c r="GIC18" s="7152"/>
      <c r="GID18" s="7153"/>
      <c r="GIE18" s="7153"/>
      <c r="GIF18" s="7153"/>
      <c r="GIG18" s="7163"/>
      <c r="GIH18" s="7164"/>
      <c r="GII18" s="7157"/>
      <c r="GIJ18" s="7157"/>
      <c r="GIK18" s="7157"/>
      <c r="GIL18" s="7157"/>
      <c r="GIM18" s="7158"/>
      <c r="GIN18" s="7158"/>
      <c r="GIO18" s="7158"/>
      <c r="GIP18" s="7158"/>
      <c r="GIQ18" s="7158"/>
      <c r="GIR18" s="7159"/>
      <c r="GIS18" s="7152"/>
      <c r="GIT18" s="7153"/>
      <c r="GIU18" s="7153"/>
      <c r="GIV18" s="7153"/>
      <c r="GIW18" s="7163"/>
      <c r="GIX18" s="7164"/>
      <c r="GIY18" s="7157"/>
      <c r="GIZ18" s="7157"/>
      <c r="GJA18" s="7157"/>
      <c r="GJB18" s="7157"/>
      <c r="GJC18" s="7158"/>
      <c r="GJD18" s="7158"/>
      <c r="GJE18" s="7158"/>
      <c r="GJF18" s="7158"/>
      <c r="GJG18" s="7158"/>
      <c r="GJH18" s="7159"/>
      <c r="GJI18" s="7152"/>
      <c r="GJJ18" s="7153"/>
      <c r="GJK18" s="7153"/>
      <c r="GJL18" s="7153"/>
      <c r="GJM18" s="7163"/>
      <c r="GJN18" s="7164"/>
      <c r="GJO18" s="7157"/>
      <c r="GJP18" s="7157"/>
      <c r="GJQ18" s="7157"/>
      <c r="GJR18" s="7157"/>
      <c r="GJS18" s="7158"/>
      <c r="GJT18" s="7158"/>
      <c r="GJU18" s="7158"/>
      <c r="GJV18" s="7158"/>
      <c r="GJW18" s="7158"/>
      <c r="GJX18" s="7159"/>
      <c r="GJY18" s="7152"/>
      <c r="GJZ18" s="7153"/>
      <c r="GKA18" s="7153"/>
      <c r="GKB18" s="7153"/>
      <c r="GKC18" s="7163"/>
      <c r="GKD18" s="7164"/>
      <c r="GKE18" s="7157"/>
      <c r="GKF18" s="7157"/>
      <c r="GKG18" s="7157"/>
      <c r="GKH18" s="7157"/>
      <c r="GKI18" s="7158"/>
      <c r="GKJ18" s="7158"/>
      <c r="GKK18" s="7158"/>
      <c r="GKL18" s="7158"/>
      <c r="GKM18" s="7158"/>
      <c r="GKN18" s="7159"/>
      <c r="GKO18" s="7152"/>
      <c r="GKP18" s="7153"/>
      <c r="GKQ18" s="7153"/>
      <c r="GKR18" s="7153"/>
      <c r="GKS18" s="7163"/>
      <c r="GKT18" s="7164"/>
      <c r="GKU18" s="7157"/>
      <c r="GKV18" s="7157"/>
      <c r="GKW18" s="7157"/>
      <c r="GKX18" s="7157"/>
      <c r="GKY18" s="7158"/>
      <c r="GKZ18" s="7158"/>
      <c r="GLA18" s="7158"/>
      <c r="GLB18" s="7158"/>
      <c r="GLC18" s="7158"/>
      <c r="GLD18" s="7159"/>
      <c r="GLE18" s="7152"/>
      <c r="GLF18" s="7153"/>
      <c r="GLG18" s="7153"/>
      <c r="GLH18" s="7153"/>
      <c r="GLI18" s="7163"/>
      <c r="GLJ18" s="7164"/>
      <c r="GLK18" s="7157"/>
      <c r="GLL18" s="7157"/>
      <c r="GLM18" s="7157"/>
      <c r="GLN18" s="7157"/>
      <c r="GLO18" s="7158"/>
      <c r="GLP18" s="7158"/>
      <c r="GLQ18" s="7158"/>
      <c r="GLR18" s="7158"/>
      <c r="GLS18" s="7158"/>
      <c r="GLT18" s="7159"/>
      <c r="GLU18" s="7152"/>
      <c r="GLV18" s="7153"/>
      <c r="GLW18" s="7153"/>
      <c r="GLX18" s="7153"/>
      <c r="GLY18" s="7163"/>
      <c r="GLZ18" s="7164"/>
      <c r="GMA18" s="7157"/>
      <c r="GMB18" s="7157"/>
      <c r="GMC18" s="7157"/>
      <c r="GMD18" s="7157"/>
      <c r="GME18" s="7158"/>
      <c r="GMF18" s="7158"/>
      <c r="GMG18" s="7158"/>
      <c r="GMH18" s="7158"/>
      <c r="GMI18" s="7158"/>
      <c r="GMJ18" s="7159"/>
      <c r="GMK18" s="7152"/>
      <c r="GML18" s="7153"/>
      <c r="GMM18" s="7153"/>
      <c r="GMN18" s="7153"/>
      <c r="GMO18" s="7163"/>
      <c r="GMP18" s="7164"/>
      <c r="GMQ18" s="7157"/>
      <c r="GMR18" s="7157"/>
      <c r="GMS18" s="7157"/>
      <c r="GMT18" s="7157"/>
      <c r="GMU18" s="7158"/>
      <c r="GMV18" s="7158"/>
      <c r="GMW18" s="7158"/>
      <c r="GMX18" s="7158"/>
      <c r="GMY18" s="7158"/>
      <c r="GMZ18" s="7159"/>
      <c r="GNA18" s="7152"/>
      <c r="GNB18" s="7153"/>
      <c r="GNC18" s="7153"/>
      <c r="GND18" s="7153"/>
      <c r="GNE18" s="7163"/>
      <c r="GNF18" s="7164"/>
      <c r="GNG18" s="7157"/>
      <c r="GNH18" s="7157"/>
      <c r="GNI18" s="7157"/>
      <c r="GNJ18" s="7157"/>
      <c r="GNK18" s="7158"/>
      <c r="GNL18" s="7158"/>
      <c r="GNM18" s="7158"/>
      <c r="GNN18" s="7158"/>
      <c r="GNO18" s="7158"/>
      <c r="GNP18" s="7159"/>
      <c r="GNQ18" s="7152"/>
      <c r="GNR18" s="7153"/>
      <c r="GNS18" s="7153"/>
      <c r="GNT18" s="7153"/>
      <c r="GNU18" s="7163"/>
      <c r="GNV18" s="7164"/>
      <c r="GNW18" s="7157"/>
      <c r="GNX18" s="7157"/>
      <c r="GNY18" s="7157"/>
      <c r="GNZ18" s="7157"/>
      <c r="GOA18" s="7158"/>
      <c r="GOB18" s="7158"/>
      <c r="GOC18" s="7158"/>
      <c r="GOD18" s="7158"/>
      <c r="GOE18" s="7158"/>
      <c r="GOF18" s="7159"/>
      <c r="GOG18" s="7152"/>
      <c r="GOH18" s="7153"/>
      <c r="GOI18" s="7153"/>
      <c r="GOJ18" s="7153"/>
      <c r="GOK18" s="7163"/>
      <c r="GOL18" s="7164"/>
      <c r="GOM18" s="7157"/>
      <c r="GON18" s="7157"/>
      <c r="GOO18" s="7157"/>
      <c r="GOP18" s="7157"/>
      <c r="GOQ18" s="7158"/>
      <c r="GOR18" s="7158"/>
      <c r="GOS18" s="7158"/>
      <c r="GOT18" s="7158"/>
      <c r="GOU18" s="7158"/>
      <c r="GOV18" s="7159"/>
      <c r="GOW18" s="7152"/>
      <c r="GOX18" s="7153"/>
      <c r="GOY18" s="7153"/>
      <c r="GOZ18" s="7153"/>
      <c r="GPA18" s="7163"/>
      <c r="GPB18" s="7164"/>
      <c r="GPC18" s="7157"/>
      <c r="GPD18" s="7157"/>
      <c r="GPE18" s="7157"/>
      <c r="GPF18" s="7157"/>
      <c r="GPG18" s="7158"/>
      <c r="GPH18" s="7158"/>
      <c r="GPI18" s="7158"/>
      <c r="GPJ18" s="7158"/>
      <c r="GPK18" s="7158"/>
      <c r="GPL18" s="7159"/>
      <c r="GPM18" s="7152"/>
      <c r="GPN18" s="7153"/>
      <c r="GPO18" s="7153"/>
      <c r="GPP18" s="7153"/>
      <c r="GPQ18" s="7163"/>
      <c r="GPR18" s="7164"/>
      <c r="GPS18" s="7157"/>
      <c r="GPT18" s="7157"/>
      <c r="GPU18" s="7157"/>
      <c r="GPV18" s="7157"/>
      <c r="GPW18" s="7158"/>
      <c r="GPX18" s="7158"/>
      <c r="GPY18" s="7158"/>
      <c r="GPZ18" s="7158"/>
      <c r="GQA18" s="7158"/>
      <c r="GQB18" s="7159"/>
      <c r="GQC18" s="7152"/>
      <c r="GQD18" s="7153"/>
      <c r="GQE18" s="7153"/>
      <c r="GQF18" s="7153"/>
      <c r="GQG18" s="7163"/>
      <c r="GQH18" s="7164"/>
      <c r="GQI18" s="7157"/>
      <c r="GQJ18" s="7157"/>
      <c r="GQK18" s="7157"/>
      <c r="GQL18" s="7157"/>
      <c r="GQM18" s="7158"/>
      <c r="GQN18" s="7158"/>
      <c r="GQO18" s="7158"/>
      <c r="GQP18" s="7158"/>
      <c r="GQQ18" s="7158"/>
      <c r="GQR18" s="7159"/>
      <c r="GQS18" s="7152"/>
      <c r="GQT18" s="7153"/>
      <c r="GQU18" s="7153"/>
      <c r="GQV18" s="7153"/>
      <c r="GQW18" s="7163"/>
      <c r="GQX18" s="7164"/>
      <c r="GQY18" s="7157"/>
      <c r="GQZ18" s="7157"/>
      <c r="GRA18" s="7157"/>
      <c r="GRB18" s="7157"/>
      <c r="GRC18" s="7158"/>
      <c r="GRD18" s="7158"/>
      <c r="GRE18" s="7158"/>
      <c r="GRF18" s="7158"/>
      <c r="GRG18" s="7158"/>
      <c r="GRH18" s="7159"/>
      <c r="GRI18" s="7152"/>
      <c r="GRJ18" s="7153"/>
      <c r="GRK18" s="7153"/>
      <c r="GRL18" s="7153"/>
      <c r="GRM18" s="7163"/>
      <c r="GRN18" s="7164"/>
      <c r="GRO18" s="7157"/>
      <c r="GRP18" s="7157"/>
      <c r="GRQ18" s="7157"/>
      <c r="GRR18" s="7157"/>
      <c r="GRS18" s="7158"/>
      <c r="GRT18" s="7158"/>
      <c r="GRU18" s="7158"/>
      <c r="GRV18" s="7158"/>
      <c r="GRW18" s="7158"/>
      <c r="GRX18" s="7159"/>
      <c r="GRY18" s="7152"/>
      <c r="GRZ18" s="7153"/>
      <c r="GSA18" s="7153"/>
      <c r="GSB18" s="7153"/>
      <c r="GSC18" s="7163"/>
      <c r="GSD18" s="7164"/>
      <c r="GSE18" s="7157"/>
      <c r="GSF18" s="7157"/>
      <c r="GSG18" s="7157"/>
      <c r="GSH18" s="7157"/>
      <c r="GSI18" s="7158"/>
      <c r="GSJ18" s="7158"/>
      <c r="GSK18" s="7158"/>
      <c r="GSL18" s="7158"/>
      <c r="GSM18" s="7158"/>
      <c r="GSN18" s="7159"/>
      <c r="GSO18" s="7152"/>
      <c r="GSP18" s="7153"/>
      <c r="GSQ18" s="7153"/>
      <c r="GSR18" s="7153"/>
      <c r="GSS18" s="7163"/>
      <c r="GST18" s="7164"/>
      <c r="GSU18" s="7157"/>
      <c r="GSV18" s="7157"/>
      <c r="GSW18" s="7157"/>
      <c r="GSX18" s="7157"/>
      <c r="GSY18" s="7158"/>
      <c r="GSZ18" s="7158"/>
      <c r="GTA18" s="7158"/>
      <c r="GTB18" s="7158"/>
      <c r="GTC18" s="7158"/>
      <c r="GTD18" s="7159"/>
      <c r="GTE18" s="7152"/>
      <c r="GTF18" s="7153"/>
      <c r="GTG18" s="7153"/>
      <c r="GTH18" s="7153"/>
      <c r="GTI18" s="7163"/>
      <c r="GTJ18" s="7164"/>
      <c r="GTK18" s="7157"/>
      <c r="GTL18" s="7157"/>
      <c r="GTM18" s="7157"/>
      <c r="GTN18" s="7157"/>
      <c r="GTO18" s="7158"/>
      <c r="GTP18" s="7158"/>
      <c r="GTQ18" s="7158"/>
      <c r="GTR18" s="7158"/>
      <c r="GTS18" s="7158"/>
      <c r="GTT18" s="7159"/>
      <c r="GTU18" s="7152"/>
      <c r="GTV18" s="7153"/>
      <c r="GTW18" s="7153"/>
      <c r="GTX18" s="7153"/>
      <c r="GTY18" s="7163"/>
      <c r="GTZ18" s="7164"/>
      <c r="GUA18" s="7157"/>
      <c r="GUB18" s="7157"/>
      <c r="GUC18" s="7157"/>
      <c r="GUD18" s="7157"/>
      <c r="GUE18" s="7158"/>
      <c r="GUF18" s="7158"/>
      <c r="GUG18" s="7158"/>
      <c r="GUH18" s="7158"/>
      <c r="GUI18" s="7158"/>
      <c r="GUJ18" s="7159"/>
      <c r="GUK18" s="7152"/>
      <c r="GUL18" s="7153"/>
      <c r="GUM18" s="7153"/>
      <c r="GUN18" s="7153"/>
      <c r="GUO18" s="7163"/>
      <c r="GUP18" s="7164"/>
      <c r="GUQ18" s="7157"/>
      <c r="GUR18" s="7157"/>
      <c r="GUS18" s="7157"/>
      <c r="GUT18" s="7157"/>
      <c r="GUU18" s="7158"/>
      <c r="GUV18" s="7158"/>
      <c r="GUW18" s="7158"/>
      <c r="GUX18" s="7158"/>
      <c r="GUY18" s="7158"/>
      <c r="GUZ18" s="7159"/>
      <c r="GVA18" s="7152"/>
      <c r="GVB18" s="7153"/>
      <c r="GVC18" s="7153"/>
      <c r="GVD18" s="7153"/>
      <c r="GVE18" s="7163"/>
      <c r="GVF18" s="7164"/>
      <c r="GVG18" s="7157"/>
      <c r="GVH18" s="7157"/>
      <c r="GVI18" s="7157"/>
      <c r="GVJ18" s="7157"/>
      <c r="GVK18" s="7158"/>
      <c r="GVL18" s="7158"/>
      <c r="GVM18" s="7158"/>
      <c r="GVN18" s="7158"/>
      <c r="GVO18" s="7158"/>
      <c r="GVP18" s="7159"/>
      <c r="GVQ18" s="7152"/>
      <c r="GVR18" s="7153"/>
      <c r="GVS18" s="7153"/>
      <c r="GVT18" s="7153"/>
      <c r="GVU18" s="7163"/>
      <c r="GVV18" s="7164"/>
      <c r="GVW18" s="7157"/>
      <c r="GVX18" s="7157"/>
      <c r="GVY18" s="7157"/>
      <c r="GVZ18" s="7157"/>
      <c r="GWA18" s="7158"/>
      <c r="GWB18" s="7158"/>
      <c r="GWC18" s="7158"/>
      <c r="GWD18" s="7158"/>
      <c r="GWE18" s="7158"/>
      <c r="GWF18" s="7159"/>
      <c r="GWG18" s="7152"/>
      <c r="GWH18" s="7153"/>
      <c r="GWI18" s="7153"/>
      <c r="GWJ18" s="7153"/>
      <c r="GWK18" s="7163"/>
      <c r="GWL18" s="7164"/>
      <c r="GWM18" s="7157"/>
      <c r="GWN18" s="7157"/>
      <c r="GWO18" s="7157"/>
      <c r="GWP18" s="7157"/>
      <c r="GWQ18" s="7158"/>
      <c r="GWR18" s="7158"/>
      <c r="GWS18" s="7158"/>
      <c r="GWT18" s="7158"/>
      <c r="GWU18" s="7158"/>
      <c r="GWV18" s="7159"/>
      <c r="GWW18" s="7152"/>
      <c r="GWX18" s="7153"/>
      <c r="GWY18" s="7153"/>
      <c r="GWZ18" s="7153"/>
      <c r="GXA18" s="7163"/>
      <c r="GXB18" s="7164"/>
      <c r="GXC18" s="7157"/>
      <c r="GXD18" s="7157"/>
      <c r="GXE18" s="7157"/>
      <c r="GXF18" s="7157"/>
      <c r="GXG18" s="7158"/>
      <c r="GXH18" s="7158"/>
      <c r="GXI18" s="7158"/>
      <c r="GXJ18" s="7158"/>
      <c r="GXK18" s="7158"/>
      <c r="GXL18" s="7159"/>
      <c r="GXM18" s="7152"/>
      <c r="GXN18" s="7153"/>
      <c r="GXO18" s="7153"/>
      <c r="GXP18" s="7153"/>
      <c r="GXQ18" s="7163"/>
      <c r="GXR18" s="7164"/>
      <c r="GXS18" s="7157"/>
      <c r="GXT18" s="7157"/>
      <c r="GXU18" s="7157"/>
      <c r="GXV18" s="7157"/>
      <c r="GXW18" s="7158"/>
      <c r="GXX18" s="7158"/>
      <c r="GXY18" s="7158"/>
      <c r="GXZ18" s="7158"/>
      <c r="GYA18" s="7158"/>
      <c r="GYB18" s="7159"/>
      <c r="GYC18" s="7152"/>
      <c r="GYD18" s="7153"/>
      <c r="GYE18" s="7153"/>
      <c r="GYF18" s="7153"/>
      <c r="GYG18" s="7163"/>
      <c r="GYH18" s="7164"/>
      <c r="GYI18" s="7157"/>
      <c r="GYJ18" s="7157"/>
      <c r="GYK18" s="7157"/>
      <c r="GYL18" s="7157"/>
      <c r="GYM18" s="7158"/>
      <c r="GYN18" s="7158"/>
      <c r="GYO18" s="7158"/>
      <c r="GYP18" s="7158"/>
      <c r="GYQ18" s="7158"/>
      <c r="GYR18" s="7159"/>
      <c r="GYS18" s="7152"/>
      <c r="GYT18" s="7153"/>
      <c r="GYU18" s="7153"/>
      <c r="GYV18" s="7153"/>
      <c r="GYW18" s="7163"/>
      <c r="GYX18" s="7164"/>
      <c r="GYY18" s="7157"/>
      <c r="GYZ18" s="7157"/>
      <c r="GZA18" s="7157"/>
      <c r="GZB18" s="7157"/>
      <c r="GZC18" s="7158"/>
      <c r="GZD18" s="7158"/>
      <c r="GZE18" s="7158"/>
      <c r="GZF18" s="7158"/>
      <c r="GZG18" s="7158"/>
      <c r="GZH18" s="7159"/>
      <c r="GZI18" s="7152"/>
      <c r="GZJ18" s="7153"/>
      <c r="GZK18" s="7153"/>
      <c r="GZL18" s="7153"/>
      <c r="GZM18" s="7163"/>
      <c r="GZN18" s="7164"/>
      <c r="GZO18" s="7157"/>
      <c r="GZP18" s="7157"/>
      <c r="GZQ18" s="7157"/>
      <c r="GZR18" s="7157"/>
      <c r="GZS18" s="7158"/>
      <c r="GZT18" s="7158"/>
      <c r="GZU18" s="7158"/>
      <c r="GZV18" s="7158"/>
      <c r="GZW18" s="7158"/>
      <c r="GZX18" s="7159"/>
      <c r="GZY18" s="7152"/>
      <c r="GZZ18" s="7153"/>
      <c r="HAA18" s="7153"/>
      <c r="HAB18" s="7153"/>
      <c r="HAC18" s="7163"/>
      <c r="HAD18" s="7164"/>
      <c r="HAE18" s="7157"/>
      <c r="HAF18" s="7157"/>
      <c r="HAG18" s="7157"/>
      <c r="HAH18" s="7157"/>
      <c r="HAI18" s="7158"/>
      <c r="HAJ18" s="7158"/>
      <c r="HAK18" s="7158"/>
      <c r="HAL18" s="7158"/>
      <c r="HAM18" s="7158"/>
      <c r="HAN18" s="7159"/>
      <c r="HAO18" s="7152"/>
      <c r="HAP18" s="7153"/>
      <c r="HAQ18" s="7153"/>
      <c r="HAR18" s="7153"/>
      <c r="HAS18" s="7163"/>
      <c r="HAT18" s="7164"/>
      <c r="HAU18" s="7157"/>
      <c r="HAV18" s="7157"/>
      <c r="HAW18" s="7157"/>
      <c r="HAX18" s="7157"/>
      <c r="HAY18" s="7158"/>
      <c r="HAZ18" s="7158"/>
      <c r="HBA18" s="7158"/>
      <c r="HBB18" s="7158"/>
      <c r="HBC18" s="7158"/>
      <c r="HBD18" s="7159"/>
      <c r="HBE18" s="7152"/>
      <c r="HBF18" s="7153"/>
      <c r="HBG18" s="7153"/>
      <c r="HBH18" s="7153"/>
      <c r="HBI18" s="7163"/>
      <c r="HBJ18" s="7164"/>
      <c r="HBK18" s="7157"/>
      <c r="HBL18" s="7157"/>
      <c r="HBM18" s="7157"/>
      <c r="HBN18" s="7157"/>
      <c r="HBO18" s="7158"/>
      <c r="HBP18" s="7158"/>
      <c r="HBQ18" s="7158"/>
      <c r="HBR18" s="7158"/>
      <c r="HBS18" s="7158"/>
      <c r="HBT18" s="7159"/>
      <c r="HBU18" s="7152"/>
      <c r="HBV18" s="7153"/>
      <c r="HBW18" s="7153"/>
      <c r="HBX18" s="7153"/>
      <c r="HBY18" s="7163"/>
      <c r="HBZ18" s="7164"/>
      <c r="HCA18" s="7157"/>
      <c r="HCB18" s="7157"/>
      <c r="HCC18" s="7157"/>
      <c r="HCD18" s="7157"/>
      <c r="HCE18" s="7158"/>
      <c r="HCF18" s="7158"/>
      <c r="HCG18" s="7158"/>
      <c r="HCH18" s="7158"/>
      <c r="HCI18" s="7158"/>
      <c r="HCJ18" s="7159"/>
      <c r="HCK18" s="7152"/>
      <c r="HCL18" s="7153"/>
      <c r="HCM18" s="7153"/>
      <c r="HCN18" s="7153"/>
      <c r="HCO18" s="7163"/>
      <c r="HCP18" s="7164"/>
      <c r="HCQ18" s="7157"/>
      <c r="HCR18" s="7157"/>
      <c r="HCS18" s="7157"/>
      <c r="HCT18" s="7157"/>
      <c r="HCU18" s="7158"/>
      <c r="HCV18" s="7158"/>
      <c r="HCW18" s="7158"/>
      <c r="HCX18" s="7158"/>
      <c r="HCY18" s="7158"/>
      <c r="HCZ18" s="7159"/>
      <c r="HDA18" s="7152"/>
      <c r="HDB18" s="7153"/>
      <c r="HDC18" s="7153"/>
      <c r="HDD18" s="7153"/>
      <c r="HDE18" s="7163"/>
      <c r="HDF18" s="7164"/>
      <c r="HDG18" s="7157"/>
      <c r="HDH18" s="7157"/>
      <c r="HDI18" s="7157"/>
      <c r="HDJ18" s="7157"/>
      <c r="HDK18" s="7158"/>
      <c r="HDL18" s="7158"/>
      <c r="HDM18" s="7158"/>
      <c r="HDN18" s="7158"/>
      <c r="HDO18" s="7158"/>
      <c r="HDP18" s="7159"/>
      <c r="HDQ18" s="7152"/>
      <c r="HDR18" s="7153"/>
      <c r="HDS18" s="7153"/>
      <c r="HDT18" s="7153"/>
      <c r="HDU18" s="7163"/>
      <c r="HDV18" s="7164"/>
      <c r="HDW18" s="7157"/>
      <c r="HDX18" s="7157"/>
      <c r="HDY18" s="7157"/>
      <c r="HDZ18" s="7157"/>
      <c r="HEA18" s="7158"/>
      <c r="HEB18" s="7158"/>
      <c r="HEC18" s="7158"/>
      <c r="HED18" s="7158"/>
      <c r="HEE18" s="7158"/>
      <c r="HEF18" s="7159"/>
      <c r="HEG18" s="7152"/>
      <c r="HEH18" s="7153"/>
      <c r="HEI18" s="7153"/>
      <c r="HEJ18" s="7153"/>
      <c r="HEK18" s="7163"/>
      <c r="HEL18" s="7164"/>
      <c r="HEM18" s="7157"/>
      <c r="HEN18" s="7157"/>
      <c r="HEO18" s="7157"/>
      <c r="HEP18" s="7157"/>
      <c r="HEQ18" s="7158"/>
      <c r="HER18" s="7158"/>
      <c r="HES18" s="7158"/>
      <c r="HET18" s="7158"/>
      <c r="HEU18" s="7158"/>
      <c r="HEV18" s="7159"/>
      <c r="HEW18" s="7152"/>
      <c r="HEX18" s="7153"/>
      <c r="HEY18" s="7153"/>
      <c r="HEZ18" s="7153"/>
      <c r="HFA18" s="7163"/>
      <c r="HFB18" s="7164"/>
      <c r="HFC18" s="7157"/>
      <c r="HFD18" s="7157"/>
      <c r="HFE18" s="7157"/>
      <c r="HFF18" s="7157"/>
      <c r="HFG18" s="7158"/>
      <c r="HFH18" s="7158"/>
      <c r="HFI18" s="7158"/>
      <c r="HFJ18" s="7158"/>
      <c r="HFK18" s="7158"/>
      <c r="HFL18" s="7159"/>
      <c r="HFM18" s="7152"/>
      <c r="HFN18" s="7153"/>
      <c r="HFO18" s="7153"/>
      <c r="HFP18" s="7153"/>
      <c r="HFQ18" s="7163"/>
      <c r="HFR18" s="7164"/>
      <c r="HFS18" s="7157"/>
      <c r="HFT18" s="7157"/>
      <c r="HFU18" s="7157"/>
      <c r="HFV18" s="7157"/>
      <c r="HFW18" s="7158"/>
      <c r="HFX18" s="7158"/>
      <c r="HFY18" s="7158"/>
      <c r="HFZ18" s="7158"/>
      <c r="HGA18" s="7158"/>
      <c r="HGB18" s="7159"/>
      <c r="HGC18" s="7152"/>
      <c r="HGD18" s="7153"/>
      <c r="HGE18" s="7153"/>
      <c r="HGF18" s="7153"/>
      <c r="HGG18" s="7163"/>
      <c r="HGH18" s="7164"/>
      <c r="HGI18" s="7157"/>
      <c r="HGJ18" s="7157"/>
      <c r="HGK18" s="7157"/>
      <c r="HGL18" s="7157"/>
      <c r="HGM18" s="7158"/>
      <c r="HGN18" s="7158"/>
      <c r="HGO18" s="7158"/>
      <c r="HGP18" s="7158"/>
      <c r="HGQ18" s="7158"/>
      <c r="HGR18" s="7159"/>
      <c r="HGS18" s="7152"/>
      <c r="HGT18" s="7153"/>
      <c r="HGU18" s="7153"/>
      <c r="HGV18" s="7153"/>
      <c r="HGW18" s="7163"/>
      <c r="HGX18" s="7164"/>
      <c r="HGY18" s="7157"/>
      <c r="HGZ18" s="7157"/>
      <c r="HHA18" s="7157"/>
      <c r="HHB18" s="7157"/>
      <c r="HHC18" s="7158"/>
      <c r="HHD18" s="7158"/>
      <c r="HHE18" s="7158"/>
      <c r="HHF18" s="7158"/>
      <c r="HHG18" s="7158"/>
      <c r="HHH18" s="7159"/>
      <c r="HHI18" s="7152"/>
      <c r="HHJ18" s="7153"/>
      <c r="HHK18" s="7153"/>
      <c r="HHL18" s="7153"/>
      <c r="HHM18" s="7163"/>
      <c r="HHN18" s="7164"/>
      <c r="HHO18" s="7157"/>
      <c r="HHP18" s="7157"/>
      <c r="HHQ18" s="7157"/>
      <c r="HHR18" s="7157"/>
      <c r="HHS18" s="7158"/>
      <c r="HHT18" s="7158"/>
      <c r="HHU18" s="7158"/>
      <c r="HHV18" s="7158"/>
      <c r="HHW18" s="7158"/>
      <c r="HHX18" s="7159"/>
      <c r="HHY18" s="7152"/>
      <c r="HHZ18" s="7153"/>
      <c r="HIA18" s="7153"/>
      <c r="HIB18" s="7153"/>
      <c r="HIC18" s="7163"/>
      <c r="HID18" s="7164"/>
      <c r="HIE18" s="7157"/>
      <c r="HIF18" s="7157"/>
      <c r="HIG18" s="7157"/>
      <c r="HIH18" s="7157"/>
      <c r="HII18" s="7158"/>
      <c r="HIJ18" s="7158"/>
      <c r="HIK18" s="7158"/>
      <c r="HIL18" s="7158"/>
      <c r="HIM18" s="7158"/>
      <c r="HIN18" s="7159"/>
      <c r="HIO18" s="7152"/>
      <c r="HIP18" s="7153"/>
      <c r="HIQ18" s="7153"/>
      <c r="HIR18" s="7153"/>
      <c r="HIS18" s="7163"/>
      <c r="HIT18" s="7164"/>
      <c r="HIU18" s="7157"/>
      <c r="HIV18" s="7157"/>
      <c r="HIW18" s="7157"/>
      <c r="HIX18" s="7157"/>
      <c r="HIY18" s="7158"/>
      <c r="HIZ18" s="7158"/>
      <c r="HJA18" s="7158"/>
      <c r="HJB18" s="7158"/>
      <c r="HJC18" s="7158"/>
      <c r="HJD18" s="7159"/>
      <c r="HJE18" s="7152"/>
      <c r="HJF18" s="7153"/>
      <c r="HJG18" s="7153"/>
      <c r="HJH18" s="7153"/>
      <c r="HJI18" s="7163"/>
      <c r="HJJ18" s="7164"/>
      <c r="HJK18" s="7157"/>
      <c r="HJL18" s="7157"/>
      <c r="HJM18" s="7157"/>
      <c r="HJN18" s="7157"/>
      <c r="HJO18" s="7158"/>
      <c r="HJP18" s="7158"/>
      <c r="HJQ18" s="7158"/>
      <c r="HJR18" s="7158"/>
      <c r="HJS18" s="7158"/>
      <c r="HJT18" s="7159"/>
      <c r="HJU18" s="7152"/>
      <c r="HJV18" s="7153"/>
      <c r="HJW18" s="7153"/>
      <c r="HJX18" s="7153"/>
      <c r="HJY18" s="7163"/>
      <c r="HJZ18" s="7164"/>
      <c r="HKA18" s="7157"/>
      <c r="HKB18" s="7157"/>
      <c r="HKC18" s="7157"/>
      <c r="HKD18" s="7157"/>
      <c r="HKE18" s="7158"/>
      <c r="HKF18" s="7158"/>
      <c r="HKG18" s="7158"/>
      <c r="HKH18" s="7158"/>
      <c r="HKI18" s="7158"/>
      <c r="HKJ18" s="7159"/>
      <c r="HKK18" s="7152"/>
      <c r="HKL18" s="7153"/>
      <c r="HKM18" s="7153"/>
      <c r="HKN18" s="7153"/>
      <c r="HKO18" s="7163"/>
      <c r="HKP18" s="7164"/>
      <c r="HKQ18" s="7157"/>
      <c r="HKR18" s="7157"/>
      <c r="HKS18" s="7157"/>
      <c r="HKT18" s="7157"/>
      <c r="HKU18" s="7158"/>
      <c r="HKV18" s="7158"/>
      <c r="HKW18" s="7158"/>
      <c r="HKX18" s="7158"/>
      <c r="HKY18" s="7158"/>
      <c r="HKZ18" s="7159"/>
      <c r="HLA18" s="7152"/>
      <c r="HLB18" s="7153"/>
      <c r="HLC18" s="7153"/>
      <c r="HLD18" s="7153"/>
      <c r="HLE18" s="7163"/>
      <c r="HLF18" s="7164"/>
      <c r="HLG18" s="7157"/>
      <c r="HLH18" s="7157"/>
      <c r="HLI18" s="7157"/>
      <c r="HLJ18" s="7157"/>
      <c r="HLK18" s="7158"/>
      <c r="HLL18" s="7158"/>
      <c r="HLM18" s="7158"/>
      <c r="HLN18" s="7158"/>
      <c r="HLO18" s="7158"/>
      <c r="HLP18" s="7159"/>
      <c r="HLQ18" s="7152"/>
      <c r="HLR18" s="7153"/>
      <c r="HLS18" s="7153"/>
      <c r="HLT18" s="7153"/>
      <c r="HLU18" s="7163"/>
      <c r="HLV18" s="7164"/>
      <c r="HLW18" s="7157"/>
      <c r="HLX18" s="7157"/>
      <c r="HLY18" s="7157"/>
      <c r="HLZ18" s="7157"/>
      <c r="HMA18" s="7158"/>
      <c r="HMB18" s="7158"/>
      <c r="HMC18" s="7158"/>
      <c r="HMD18" s="7158"/>
      <c r="HME18" s="7158"/>
      <c r="HMF18" s="7159"/>
      <c r="HMG18" s="7152"/>
      <c r="HMH18" s="7153"/>
      <c r="HMI18" s="7153"/>
      <c r="HMJ18" s="7153"/>
      <c r="HMK18" s="7163"/>
      <c r="HML18" s="7164"/>
      <c r="HMM18" s="7157"/>
      <c r="HMN18" s="7157"/>
      <c r="HMO18" s="7157"/>
      <c r="HMP18" s="7157"/>
      <c r="HMQ18" s="7158"/>
      <c r="HMR18" s="7158"/>
      <c r="HMS18" s="7158"/>
      <c r="HMT18" s="7158"/>
      <c r="HMU18" s="7158"/>
      <c r="HMV18" s="7159"/>
      <c r="HMW18" s="7152"/>
      <c r="HMX18" s="7153"/>
      <c r="HMY18" s="7153"/>
      <c r="HMZ18" s="7153"/>
      <c r="HNA18" s="7163"/>
      <c r="HNB18" s="7164"/>
      <c r="HNC18" s="7157"/>
      <c r="HND18" s="7157"/>
      <c r="HNE18" s="7157"/>
      <c r="HNF18" s="7157"/>
      <c r="HNG18" s="7158"/>
      <c r="HNH18" s="7158"/>
      <c r="HNI18" s="7158"/>
      <c r="HNJ18" s="7158"/>
      <c r="HNK18" s="7158"/>
      <c r="HNL18" s="7159"/>
      <c r="HNM18" s="7152"/>
      <c r="HNN18" s="7153"/>
      <c r="HNO18" s="7153"/>
      <c r="HNP18" s="7153"/>
      <c r="HNQ18" s="7163"/>
      <c r="HNR18" s="7164"/>
      <c r="HNS18" s="7157"/>
      <c r="HNT18" s="7157"/>
      <c r="HNU18" s="7157"/>
      <c r="HNV18" s="7157"/>
      <c r="HNW18" s="7158"/>
      <c r="HNX18" s="7158"/>
      <c r="HNY18" s="7158"/>
      <c r="HNZ18" s="7158"/>
      <c r="HOA18" s="7158"/>
      <c r="HOB18" s="7159"/>
      <c r="HOC18" s="7152"/>
      <c r="HOD18" s="7153"/>
      <c r="HOE18" s="7153"/>
      <c r="HOF18" s="7153"/>
      <c r="HOG18" s="7163"/>
      <c r="HOH18" s="7164"/>
      <c r="HOI18" s="7157"/>
      <c r="HOJ18" s="7157"/>
      <c r="HOK18" s="7157"/>
      <c r="HOL18" s="7157"/>
      <c r="HOM18" s="7158"/>
      <c r="HON18" s="7158"/>
      <c r="HOO18" s="7158"/>
      <c r="HOP18" s="7158"/>
      <c r="HOQ18" s="7158"/>
      <c r="HOR18" s="7159"/>
      <c r="HOS18" s="7152"/>
      <c r="HOT18" s="7153"/>
      <c r="HOU18" s="7153"/>
      <c r="HOV18" s="7153"/>
      <c r="HOW18" s="7163"/>
      <c r="HOX18" s="7164"/>
      <c r="HOY18" s="7157"/>
      <c r="HOZ18" s="7157"/>
      <c r="HPA18" s="7157"/>
      <c r="HPB18" s="7157"/>
      <c r="HPC18" s="7158"/>
      <c r="HPD18" s="7158"/>
      <c r="HPE18" s="7158"/>
      <c r="HPF18" s="7158"/>
      <c r="HPG18" s="7158"/>
      <c r="HPH18" s="7159"/>
      <c r="HPI18" s="7152"/>
      <c r="HPJ18" s="7153"/>
      <c r="HPK18" s="7153"/>
      <c r="HPL18" s="7153"/>
      <c r="HPM18" s="7163"/>
      <c r="HPN18" s="7164"/>
      <c r="HPO18" s="7157"/>
      <c r="HPP18" s="7157"/>
      <c r="HPQ18" s="7157"/>
      <c r="HPR18" s="7157"/>
      <c r="HPS18" s="7158"/>
      <c r="HPT18" s="7158"/>
      <c r="HPU18" s="7158"/>
      <c r="HPV18" s="7158"/>
      <c r="HPW18" s="7158"/>
      <c r="HPX18" s="7159"/>
      <c r="HPY18" s="7152"/>
      <c r="HPZ18" s="7153"/>
      <c r="HQA18" s="7153"/>
      <c r="HQB18" s="7153"/>
      <c r="HQC18" s="7163"/>
      <c r="HQD18" s="7164"/>
      <c r="HQE18" s="7157"/>
      <c r="HQF18" s="7157"/>
      <c r="HQG18" s="7157"/>
      <c r="HQH18" s="7157"/>
      <c r="HQI18" s="7158"/>
      <c r="HQJ18" s="7158"/>
      <c r="HQK18" s="7158"/>
      <c r="HQL18" s="7158"/>
      <c r="HQM18" s="7158"/>
      <c r="HQN18" s="7159"/>
      <c r="HQO18" s="7152"/>
      <c r="HQP18" s="7153"/>
      <c r="HQQ18" s="7153"/>
      <c r="HQR18" s="7153"/>
      <c r="HQS18" s="7163"/>
      <c r="HQT18" s="7164"/>
      <c r="HQU18" s="7157"/>
      <c r="HQV18" s="7157"/>
      <c r="HQW18" s="7157"/>
      <c r="HQX18" s="7157"/>
      <c r="HQY18" s="7158"/>
      <c r="HQZ18" s="7158"/>
      <c r="HRA18" s="7158"/>
      <c r="HRB18" s="7158"/>
      <c r="HRC18" s="7158"/>
      <c r="HRD18" s="7159"/>
      <c r="HRE18" s="7152"/>
      <c r="HRF18" s="7153"/>
      <c r="HRG18" s="7153"/>
      <c r="HRH18" s="7153"/>
      <c r="HRI18" s="7163"/>
      <c r="HRJ18" s="7164"/>
      <c r="HRK18" s="7157"/>
      <c r="HRL18" s="7157"/>
      <c r="HRM18" s="7157"/>
      <c r="HRN18" s="7157"/>
      <c r="HRO18" s="7158"/>
      <c r="HRP18" s="7158"/>
      <c r="HRQ18" s="7158"/>
      <c r="HRR18" s="7158"/>
      <c r="HRS18" s="7158"/>
      <c r="HRT18" s="7159"/>
      <c r="HRU18" s="7152"/>
      <c r="HRV18" s="7153"/>
      <c r="HRW18" s="7153"/>
      <c r="HRX18" s="7153"/>
      <c r="HRY18" s="7163"/>
      <c r="HRZ18" s="7164"/>
      <c r="HSA18" s="7157"/>
      <c r="HSB18" s="7157"/>
      <c r="HSC18" s="7157"/>
      <c r="HSD18" s="7157"/>
      <c r="HSE18" s="7158"/>
      <c r="HSF18" s="7158"/>
      <c r="HSG18" s="7158"/>
      <c r="HSH18" s="7158"/>
      <c r="HSI18" s="7158"/>
      <c r="HSJ18" s="7159"/>
      <c r="HSK18" s="7152"/>
      <c r="HSL18" s="7153"/>
      <c r="HSM18" s="7153"/>
      <c r="HSN18" s="7153"/>
      <c r="HSO18" s="7163"/>
      <c r="HSP18" s="7164"/>
      <c r="HSQ18" s="7157"/>
      <c r="HSR18" s="7157"/>
      <c r="HSS18" s="7157"/>
      <c r="HST18" s="7157"/>
      <c r="HSU18" s="7158"/>
      <c r="HSV18" s="7158"/>
      <c r="HSW18" s="7158"/>
      <c r="HSX18" s="7158"/>
      <c r="HSY18" s="7158"/>
      <c r="HSZ18" s="7159"/>
      <c r="HTA18" s="7152"/>
      <c r="HTB18" s="7153"/>
      <c r="HTC18" s="7153"/>
      <c r="HTD18" s="7153"/>
      <c r="HTE18" s="7163"/>
      <c r="HTF18" s="7164"/>
      <c r="HTG18" s="7157"/>
      <c r="HTH18" s="7157"/>
      <c r="HTI18" s="7157"/>
      <c r="HTJ18" s="7157"/>
      <c r="HTK18" s="7158"/>
      <c r="HTL18" s="7158"/>
      <c r="HTM18" s="7158"/>
      <c r="HTN18" s="7158"/>
      <c r="HTO18" s="7158"/>
      <c r="HTP18" s="7159"/>
      <c r="HTQ18" s="7152"/>
      <c r="HTR18" s="7153"/>
      <c r="HTS18" s="7153"/>
      <c r="HTT18" s="7153"/>
      <c r="HTU18" s="7163"/>
      <c r="HTV18" s="7164"/>
      <c r="HTW18" s="7157"/>
      <c r="HTX18" s="7157"/>
      <c r="HTY18" s="7157"/>
      <c r="HTZ18" s="7157"/>
      <c r="HUA18" s="7158"/>
      <c r="HUB18" s="7158"/>
      <c r="HUC18" s="7158"/>
      <c r="HUD18" s="7158"/>
      <c r="HUE18" s="7158"/>
      <c r="HUF18" s="7159"/>
      <c r="HUG18" s="7152"/>
      <c r="HUH18" s="7153"/>
      <c r="HUI18" s="7153"/>
      <c r="HUJ18" s="7153"/>
      <c r="HUK18" s="7163"/>
      <c r="HUL18" s="7164"/>
      <c r="HUM18" s="7157"/>
      <c r="HUN18" s="7157"/>
      <c r="HUO18" s="7157"/>
      <c r="HUP18" s="7157"/>
      <c r="HUQ18" s="7158"/>
      <c r="HUR18" s="7158"/>
      <c r="HUS18" s="7158"/>
      <c r="HUT18" s="7158"/>
      <c r="HUU18" s="7158"/>
      <c r="HUV18" s="7159"/>
      <c r="HUW18" s="7152"/>
      <c r="HUX18" s="7153"/>
      <c r="HUY18" s="7153"/>
      <c r="HUZ18" s="7153"/>
      <c r="HVA18" s="7163"/>
      <c r="HVB18" s="7164"/>
      <c r="HVC18" s="7157"/>
      <c r="HVD18" s="7157"/>
      <c r="HVE18" s="7157"/>
      <c r="HVF18" s="7157"/>
      <c r="HVG18" s="7158"/>
      <c r="HVH18" s="7158"/>
      <c r="HVI18" s="7158"/>
      <c r="HVJ18" s="7158"/>
      <c r="HVK18" s="7158"/>
      <c r="HVL18" s="7159"/>
      <c r="HVM18" s="7152"/>
      <c r="HVN18" s="7153"/>
      <c r="HVO18" s="7153"/>
      <c r="HVP18" s="7153"/>
      <c r="HVQ18" s="7163"/>
      <c r="HVR18" s="7164"/>
      <c r="HVS18" s="7157"/>
      <c r="HVT18" s="7157"/>
      <c r="HVU18" s="7157"/>
      <c r="HVV18" s="7157"/>
      <c r="HVW18" s="7158"/>
      <c r="HVX18" s="7158"/>
      <c r="HVY18" s="7158"/>
      <c r="HVZ18" s="7158"/>
      <c r="HWA18" s="7158"/>
      <c r="HWB18" s="7159"/>
      <c r="HWC18" s="7152"/>
      <c r="HWD18" s="7153"/>
      <c r="HWE18" s="7153"/>
      <c r="HWF18" s="7153"/>
      <c r="HWG18" s="7163"/>
      <c r="HWH18" s="7164"/>
      <c r="HWI18" s="7157"/>
      <c r="HWJ18" s="7157"/>
      <c r="HWK18" s="7157"/>
      <c r="HWL18" s="7157"/>
      <c r="HWM18" s="7158"/>
      <c r="HWN18" s="7158"/>
      <c r="HWO18" s="7158"/>
      <c r="HWP18" s="7158"/>
      <c r="HWQ18" s="7158"/>
      <c r="HWR18" s="7159"/>
      <c r="HWS18" s="7152"/>
      <c r="HWT18" s="7153"/>
      <c r="HWU18" s="7153"/>
      <c r="HWV18" s="7153"/>
      <c r="HWW18" s="7163"/>
      <c r="HWX18" s="7164"/>
      <c r="HWY18" s="7157"/>
      <c r="HWZ18" s="7157"/>
      <c r="HXA18" s="7157"/>
      <c r="HXB18" s="7157"/>
      <c r="HXC18" s="7158"/>
      <c r="HXD18" s="7158"/>
      <c r="HXE18" s="7158"/>
      <c r="HXF18" s="7158"/>
      <c r="HXG18" s="7158"/>
      <c r="HXH18" s="7159"/>
      <c r="HXI18" s="7152"/>
      <c r="HXJ18" s="7153"/>
      <c r="HXK18" s="7153"/>
      <c r="HXL18" s="7153"/>
      <c r="HXM18" s="7163"/>
      <c r="HXN18" s="7164"/>
      <c r="HXO18" s="7157"/>
      <c r="HXP18" s="7157"/>
      <c r="HXQ18" s="7157"/>
      <c r="HXR18" s="7157"/>
      <c r="HXS18" s="7158"/>
      <c r="HXT18" s="7158"/>
      <c r="HXU18" s="7158"/>
      <c r="HXV18" s="7158"/>
      <c r="HXW18" s="7158"/>
      <c r="HXX18" s="7159"/>
      <c r="HXY18" s="7152"/>
      <c r="HXZ18" s="7153"/>
      <c r="HYA18" s="7153"/>
      <c r="HYB18" s="7153"/>
      <c r="HYC18" s="7163"/>
      <c r="HYD18" s="7164"/>
      <c r="HYE18" s="7157"/>
      <c r="HYF18" s="7157"/>
      <c r="HYG18" s="7157"/>
      <c r="HYH18" s="7157"/>
      <c r="HYI18" s="7158"/>
      <c r="HYJ18" s="7158"/>
      <c r="HYK18" s="7158"/>
      <c r="HYL18" s="7158"/>
      <c r="HYM18" s="7158"/>
      <c r="HYN18" s="7159"/>
      <c r="HYO18" s="7152"/>
      <c r="HYP18" s="7153"/>
      <c r="HYQ18" s="7153"/>
      <c r="HYR18" s="7153"/>
      <c r="HYS18" s="7163"/>
      <c r="HYT18" s="7164"/>
      <c r="HYU18" s="7157"/>
      <c r="HYV18" s="7157"/>
      <c r="HYW18" s="7157"/>
      <c r="HYX18" s="7157"/>
      <c r="HYY18" s="7158"/>
      <c r="HYZ18" s="7158"/>
      <c r="HZA18" s="7158"/>
      <c r="HZB18" s="7158"/>
      <c r="HZC18" s="7158"/>
      <c r="HZD18" s="7159"/>
      <c r="HZE18" s="7152"/>
      <c r="HZF18" s="7153"/>
      <c r="HZG18" s="7153"/>
      <c r="HZH18" s="7153"/>
      <c r="HZI18" s="7163"/>
      <c r="HZJ18" s="7164"/>
      <c r="HZK18" s="7157"/>
      <c r="HZL18" s="7157"/>
      <c r="HZM18" s="7157"/>
      <c r="HZN18" s="7157"/>
      <c r="HZO18" s="7158"/>
      <c r="HZP18" s="7158"/>
      <c r="HZQ18" s="7158"/>
      <c r="HZR18" s="7158"/>
      <c r="HZS18" s="7158"/>
      <c r="HZT18" s="7159"/>
      <c r="HZU18" s="7152"/>
      <c r="HZV18" s="7153"/>
      <c r="HZW18" s="7153"/>
      <c r="HZX18" s="7153"/>
      <c r="HZY18" s="7163"/>
      <c r="HZZ18" s="7164"/>
      <c r="IAA18" s="7157"/>
      <c r="IAB18" s="7157"/>
      <c r="IAC18" s="7157"/>
      <c r="IAD18" s="7157"/>
      <c r="IAE18" s="7158"/>
      <c r="IAF18" s="7158"/>
      <c r="IAG18" s="7158"/>
      <c r="IAH18" s="7158"/>
      <c r="IAI18" s="7158"/>
      <c r="IAJ18" s="7159"/>
      <c r="IAK18" s="7152"/>
      <c r="IAL18" s="7153"/>
      <c r="IAM18" s="7153"/>
      <c r="IAN18" s="7153"/>
      <c r="IAO18" s="7163"/>
      <c r="IAP18" s="7164"/>
      <c r="IAQ18" s="7157"/>
      <c r="IAR18" s="7157"/>
      <c r="IAS18" s="7157"/>
      <c r="IAT18" s="7157"/>
      <c r="IAU18" s="7158"/>
      <c r="IAV18" s="7158"/>
      <c r="IAW18" s="7158"/>
      <c r="IAX18" s="7158"/>
      <c r="IAY18" s="7158"/>
      <c r="IAZ18" s="7159"/>
      <c r="IBA18" s="7152"/>
      <c r="IBB18" s="7153"/>
      <c r="IBC18" s="7153"/>
      <c r="IBD18" s="7153"/>
      <c r="IBE18" s="7163"/>
      <c r="IBF18" s="7164"/>
      <c r="IBG18" s="7157"/>
      <c r="IBH18" s="7157"/>
      <c r="IBI18" s="7157"/>
      <c r="IBJ18" s="7157"/>
      <c r="IBK18" s="7158"/>
      <c r="IBL18" s="7158"/>
      <c r="IBM18" s="7158"/>
      <c r="IBN18" s="7158"/>
      <c r="IBO18" s="7158"/>
      <c r="IBP18" s="7159"/>
      <c r="IBQ18" s="7152"/>
      <c r="IBR18" s="7153"/>
      <c r="IBS18" s="7153"/>
      <c r="IBT18" s="7153"/>
      <c r="IBU18" s="7163"/>
      <c r="IBV18" s="7164"/>
      <c r="IBW18" s="7157"/>
      <c r="IBX18" s="7157"/>
      <c r="IBY18" s="7157"/>
      <c r="IBZ18" s="7157"/>
      <c r="ICA18" s="7158"/>
      <c r="ICB18" s="7158"/>
      <c r="ICC18" s="7158"/>
      <c r="ICD18" s="7158"/>
      <c r="ICE18" s="7158"/>
      <c r="ICF18" s="7159"/>
      <c r="ICG18" s="7152"/>
      <c r="ICH18" s="7153"/>
      <c r="ICI18" s="7153"/>
      <c r="ICJ18" s="7153"/>
      <c r="ICK18" s="7163"/>
      <c r="ICL18" s="7164"/>
      <c r="ICM18" s="7157"/>
      <c r="ICN18" s="7157"/>
      <c r="ICO18" s="7157"/>
      <c r="ICP18" s="7157"/>
      <c r="ICQ18" s="7158"/>
      <c r="ICR18" s="7158"/>
      <c r="ICS18" s="7158"/>
      <c r="ICT18" s="7158"/>
      <c r="ICU18" s="7158"/>
      <c r="ICV18" s="7159"/>
      <c r="ICW18" s="7152"/>
      <c r="ICX18" s="7153"/>
      <c r="ICY18" s="7153"/>
      <c r="ICZ18" s="7153"/>
      <c r="IDA18" s="7163"/>
      <c r="IDB18" s="7164"/>
      <c r="IDC18" s="7157"/>
      <c r="IDD18" s="7157"/>
      <c r="IDE18" s="7157"/>
      <c r="IDF18" s="7157"/>
      <c r="IDG18" s="7158"/>
      <c r="IDH18" s="7158"/>
      <c r="IDI18" s="7158"/>
      <c r="IDJ18" s="7158"/>
      <c r="IDK18" s="7158"/>
      <c r="IDL18" s="7159"/>
      <c r="IDM18" s="7152"/>
      <c r="IDN18" s="7153"/>
      <c r="IDO18" s="7153"/>
      <c r="IDP18" s="7153"/>
      <c r="IDQ18" s="7163"/>
      <c r="IDR18" s="7164"/>
      <c r="IDS18" s="7157"/>
      <c r="IDT18" s="7157"/>
      <c r="IDU18" s="7157"/>
      <c r="IDV18" s="7157"/>
      <c r="IDW18" s="7158"/>
      <c r="IDX18" s="7158"/>
      <c r="IDY18" s="7158"/>
      <c r="IDZ18" s="7158"/>
      <c r="IEA18" s="7158"/>
      <c r="IEB18" s="7159"/>
      <c r="IEC18" s="7152"/>
      <c r="IED18" s="7153"/>
      <c r="IEE18" s="7153"/>
      <c r="IEF18" s="7153"/>
      <c r="IEG18" s="7163"/>
      <c r="IEH18" s="7164"/>
      <c r="IEI18" s="7157"/>
      <c r="IEJ18" s="7157"/>
      <c r="IEK18" s="7157"/>
      <c r="IEL18" s="7157"/>
      <c r="IEM18" s="7158"/>
      <c r="IEN18" s="7158"/>
      <c r="IEO18" s="7158"/>
      <c r="IEP18" s="7158"/>
      <c r="IEQ18" s="7158"/>
      <c r="IER18" s="7159"/>
      <c r="IES18" s="7152"/>
      <c r="IET18" s="7153"/>
      <c r="IEU18" s="7153"/>
      <c r="IEV18" s="7153"/>
      <c r="IEW18" s="7163"/>
      <c r="IEX18" s="7164"/>
      <c r="IEY18" s="7157"/>
      <c r="IEZ18" s="7157"/>
      <c r="IFA18" s="7157"/>
      <c r="IFB18" s="7157"/>
      <c r="IFC18" s="7158"/>
      <c r="IFD18" s="7158"/>
      <c r="IFE18" s="7158"/>
      <c r="IFF18" s="7158"/>
      <c r="IFG18" s="7158"/>
      <c r="IFH18" s="7159"/>
      <c r="IFI18" s="7152"/>
      <c r="IFJ18" s="7153"/>
      <c r="IFK18" s="7153"/>
      <c r="IFL18" s="7153"/>
      <c r="IFM18" s="7163"/>
      <c r="IFN18" s="7164"/>
      <c r="IFO18" s="7157"/>
      <c r="IFP18" s="7157"/>
      <c r="IFQ18" s="7157"/>
      <c r="IFR18" s="7157"/>
      <c r="IFS18" s="7158"/>
      <c r="IFT18" s="7158"/>
      <c r="IFU18" s="7158"/>
      <c r="IFV18" s="7158"/>
      <c r="IFW18" s="7158"/>
      <c r="IFX18" s="7159"/>
      <c r="IFY18" s="7152"/>
      <c r="IFZ18" s="7153"/>
      <c r="IGA18" s="7153"/>
      <c r="IGB18" s="7153"/>
      <c r="IGC18" s="7163"/>
      <c r="IGD18" s="7164"/>
      <c r="IGE18" s="7157"/>
      <c r="IGF18" s="7157"/>
      <c r="IGG18" s="7157"/>
      <c r="IGH18" s="7157"/>
      <c r="IGI18" s="7158"/>
      <c r="IGJ18" s="7158"/>
      <c r="IGK18" s="7158"/>
      <c r="IGL18" s="7158"/>
      <c r="IGM18" s="7158"/>
      <c r="IGN18" s="7159"/>
      <c r="IGO18" s="7152"/>
      <c r="IGP18" s="7153"/>
      <c r="IGQ18" s="7153"/>
      <c r="IGR18" s="7153"/>
      <c r="IGS18" s="7163"/>
      <c r="IGT18" s="7164"/>
      <c r="IGU18" s="7157"/>
      <c r="IGV18" s="7157"/>
      <c r="IGW18" s="7157"/>
      <c r="IGX18" s="7157"/>
      <c r="IGY18" s="7158"/>
      <c r="IGZ18" s="7158"/>
      <c r="IHA18" s="7158"/>
      <c r="IHB18" s="7158"/>
      <c r="IHC18" s="7158"/>
      <c r="IHD18" s="7159"/>
      <c r="IHE18" s="7152"/>
      <c r="IHF18" s="7153"/>
      <c r="IHG18" s="7153"/>
      <c r="IHH18" s="7153"/>
      <c r="IHI18" s="7163"/>
      <c r="IHJ18" s="7164"/>
      <c r="IHK18" s="7157"/>
      <c r="IHL18" s="7157"/>
      <c r="IHM18" s="7157"/>
      <c r="IHN18" s="7157"/>
      <c r="IHO18" s="7158"/>
      <c r="IHP18" s="7158"/>
      <c r="IHQ18" s="7158"/>
      <c r="IHR18" s="7158"/>
      <c r="IHS18" s="7158"/>
      <c r="IHT18" s="7159"/>
      <c r="IHU18" s="7152"/>
      <c r="IHV18" s="7153"/>
      <c r="IHW18" s="7153"/>
      <c r="IHX18" s="7153"/>
      <c r="IHY18" s="7163"/>
      <c r="IHZ18" s="7164"/>
      <c r="IIA18" s="7157"/>
      <c r="IIB18" s="7157"/>
      <c r="IIC18" s="7157"/>
      <c r="IID18" s="7157"/>
      <c r="IIE18" s="7158"/>
      <c r="IIF18" s="7158"/>
      <c r="IIG18" s="7158"/>
      <c r="IIH18" s="7158"/>
      <c r="III18" s="7158"/>
      <c r="IIJ18" s="7159"/>
      <c r="IIK18" s="7152"/>
      <c r="IIL18" s="7153"/>
      <c r="IIM18" s="7153"/>
      <c r="IIN18" s="7153"/>
      <c r="IIO18" s="7163"/>
      <c r="IIP18" s="7164"/>
      <c r="IIQ18" s="7157"/>
      <c r="IIR18" s="7157"/>
      <c r="IIS18" s="7157"/>
      <c r="IIT18" s="7157"/>
      <c r="IIU18" s="7158"/>
      <c r="IIV18" s="7158"/>
      <c r="IIW18" s="7158"/>
      <c r="IIX18" s="7158"/>
      <c r="IIY18" s="7158"/>
      <c r="IIZ18" s="7159"/>
      <c r="IJA18" s="7152"/>
      <c r="IJB18" s="7153"/>
      <c r="IJC18" s="7153"/>
      <c r="IJD18" s="7153"/>
      <c r="IJE18" s="7163"/>
      <c r="IJF18" s="7164"/>
      <c r="IJG18" s="7157"/>
      <c r="IJH18" s="7157"/>
      <c r="IJI18" s="7157"/>
      <c r="IJJ18" s="7157"/>
      <c r="IJK18" s="7158"/>
      <c r="IJL18" s="7158"/>
      <c r="IJM18" s="7158"/>
      <c r="IJN18" s="7158"/>
      <c r="IJO18" s="7158"/>
      <c r="IJP18" s="7159"/>
      <c r="IJQ18" s="7152"/>
      <c r="IJR18" s="7153"/>
      <c r="IJS18" s="7153"/>
      <c r="IJT18" s="7153"/>
      <c r="IJU18" s="7163"/>
      <c r="IJV18" s="7164"/>
      <c r="IJW18" s="7157"/>
      <c r="IJX18" s="7157"/>
      <c r="IJY18" s="7157"/>
      <c r="IJZ18" s="7157"/>
      <c r="IKA18" s="7158"/>
      <c r="IKB18" s="7158"/>
      <c r="IKC18" s="7158"/>
      <c r="IKD18" s="7158"/>
      <c r="IKE18" s="7158"/>
      <c r="IKF18" s="7159"/>
      <c r="IKG18" s="7152"/>
      <c r="IKH18" s="7153"/>
      <c r="IKI18" s="7153"/>
      <c r="IKJ18" s="7153"/>
      <c r="IKK18" s="7163"/>
      <c r="IKL18" s="7164"/>
      <c r="IKM18" s="7157"/>
      <c r="IKN18" s="7157"/>
      <c r="IKO18" s="7157"/>
      <c r="IKP18" s="7157"/>
      <c r="IKQ18" s="7158"/>
      <c r="IKR18" s="7158"/>
      <c r="IKS18" s="7158"/>
      <c r="IKT18" s="7158"/>
      <c r="IKU18" s="7158"/>
      <c r="IKV18" s="7159"/>
      <c r="IKW18" s="7152"/>
      <c r="IKX18" s="7153"/>
      <c r="IKY18" s="7153"/>
      <c r="IKZ18" s="7153"/>
      <c r="ILA18" s="7163"/>
      <c r="ILB18" s="7164"/>
      <c r="ILC18" s="7157"/>
      <c r="ILD18" s="7157"/>
      <c r="ILE18" s="7157"/>
      <c r="ILF18" s="7157"/>
      <c r="ILG18" s="7158"/>
      <c r="ILH18" s="7158"/>
      <c r="ILI18" s="7158"/>
      <c r="ILJ18" s="7158"/>
      <c r="ILK18" s="7158"/>
      <c r="ILL18" s="7159"/>
      <c r="ILM18" s="7152"/>
      <c r="ILN18" s="7153"/>
      <c r="ILO18" s="7153"/>
      <c r="ILP18" s="7153"/>
      <c r="ILQ18" s="7163"/>
      <c r="ILR18" s="7164"/>
      <c r="ILS18" s="7157"/>
      <c r="ILT18" s="7157"/>
      <c r="ILU18" s="7157"/>
      <c r="ILV18" s="7157"/>
      <c r="ILW18" s="7158"/>
      <c r="ILX18" s="7158"/>
      <c r="ILY18" s="7158"/>
      <c r="ILZ18" s="7158"/>
      <c r="IMA18" s="7158"/>
      <c r="IMB18" s="7159"/>
      <c r="IMC18" s="7152"/>
      <c r="IMD18" s="7153"/>
      <c r="IME18" s="7153"/>
      <c r="IMF18" s="7153"/>
      <c r="IMG18" s="7163"/>
      <c r="IMH18" s="7164"/>
      <c r="IMI18" s="7157"/>
      <c r="IMJ18" s="7157"/>
      <c r="IMK18" s="7157"/>
      <c r="IML18" s="7157"/>
      <c r="IMM18" s="7158"/>
      <c r="IMN18" s="7158"/>
      <c r="IMO18" s="7158"/>
      <c r="IMP18" s="7158"/>
      <c r="IMQ18" s="7158"/>
      <c r="IMR18" s="7159"/>
      <c r="IMS18" s="7152"/>
      <c r="IMT18" s="7153"/>
      <c r="IMU18" s="7153"/>
      <c r="IMV18" s="7153"/>
      <c r="IMW18" s="7163"/>
      <c r="IMX18" s="7164"/>
      <c r="IMY18" s="7157"/>
      <c r="IMZ18" s="7157"/>
      <c r="INA18" s="7157"/>
      <c r="INB18" s="7157"/>
      <c r="INC18" s="7158"/>
      <c r="IND18" s="7158"/>
      <c r="INE18" s="7158"/>
      <c r="INF18" s="7158"/>
      <c r="ING18" s="7158"/>
      <c r="INH18" s="7159"/>
      <c r="INI18" s="7152"/>
      <c r="INJ18" s="7153"/>
      <c r="INK18" s="7153"/>
      <c r="INL18" s="7153"/>
      <c r="INM18" s="7163"/>
      <c r="INN18" s="7164"/>
      <c r="INO18" s="7157"/>
      <c r="INP18" s="7157"/>
      <c r="INQ18" s="7157"/>
      <c r="INR18" s="7157"/>
      <c r="INS18" s="7158"/>
      <c r="INT18" s="7158"/>
      <c r="INU18" s="7158"/>
      <c r="INV18" s="7158"/>
      <c r="INW18" s="7158"/>
      <c r="INX18" s="7159"/>
      <c r="INY18" s="7152"/>
      <c r="INZ18" s="7153"/>
      <c r="IOA18" s="7153"/>
      <c r="IOB18" s="7153"/>
      <c r="IOC18" s="7163"/>
      <c r="IOD18" s="7164"/>
      <c r="IOE18" s="7157"/>
      <c r="IOF18" s="7157"/>
      <c r="IOG18" s="7157"/>
      <c r="IOH18" s="7157"/>
      <c r="IOI18" s="7158"/>
      <c r="IOJ18" s="7158"/>
      <c r="IOK18" s="7158"/>
      <c r="IOL18" s="7158"/>
      <c r="IOM18" s="7158"/>
      <c r="ION18" s="7159"/>
      <c r="IOO18" s="7152"/>
      <c r="IOP18" s="7153"/>
      <c r="IOQ18" s="7153"/>
      <c r="IOR18" s="7153"/>
      <c r="IOS18" s="7163"/>
      <c r="IOT18" s="7164"/>
      <c r="IOU18" s="7157"/>
      <c r="IOV18" s="7157"/>
      <c r="IOW18" s="7157"/>
      <c r="IOX18" s="7157"/>
      <c r="IOY18" s="7158"/>
      <c r="IOZ18" s="7158"/>
      <c r="IPA18" s="7158"/>
      <c r="IPB18" s="7158"/>
      <c r="IPC18" s="7158"/>
      <c r="IPD18" s="7159"/>
      <c r="IPE18" s="7152"/>
      <c r="IPF18" s="7153"/>
      <c r="IPG18" s="7153"/>
      <c r="IPH18" s="7153"/>
      <c r="IPI18" s="7163"/>
      <c r="IPJ18" s="7164"/>
      <c r="IPK18" s="7157"/>
      <c r="IPL18" s="7157"/>
      <c r="IPM18" s="7157"/>
      <c r="IPN18" s="7157"/>
      <c r="IPO18" s="7158"/>
      <c r="IPP18" s="7158"/>
      <c r="IPQ18" s="7158"/>
      <c r="IPR18" s="7158"/>
      <c r="IPS18" s="7158"/>
      <c r="IPT18" s="7159"/>
      <c r="IPU18" s="7152"/>
      <c r="IPV18" s="7153"/>
      <c r="IPW18" s="7153"/>
      <c r="IPX18" s="7153"/>
      <c r="IPY18" s="7163"/>
      <c r="IPZ18" s="7164"/>
      <c r="IQA18" s="7157"/>
      <c r="IQB18" s="7157"/>
      <c r="IQC18" s="7157"/>
      <c r="IQD18" s="7157"/>
      <c r="IQE18" s="7158"/>
      <c r="IQF18" s="7158"/>
      <c r="IQG18" s="7158"/>
      <c r="IQH18" s="7158"/>
      <c r="IQI18" s="7158"/>
      <c r="IQJ18" s="7159"/>
      <c r="IQK18" s="7152"/>
      <c r="IQL18" s="7153"/>
      <c r="IQM18" s="7153"/>
      <c r="IQN18" s="7153"/>
      <c r="IQO18" s="7163"/>
      <c r="IQP18" s="7164"/>
      <c r="IQQ18" s="7157"/>
      <c r="IQR18" s="7157"/>
      <c r="IQS18" s="7157"/>
      <c r="IQT18" s="7157"/>
      <c r="IQU18" s="7158"/>
      <c r="IQV18" s="7158"/>
      <c r="IQW18" s="7158"/>
      <c r="IQX18" s="7158"/>
      <c r="IQY18" s="7158"/>
      <c r="IQZ18" s="7159"/>
      <c r="IRA18" s="7152"/>
      <c r="IRB18" s="7153"/>
      <c r="IRC18" s="7153"/>
      <c r="IRD18" s="7153"/>
      <c r="IRE18" s="7163"/>
      <c r="IRF18" s="7164"/>
      <c r="IRG18" s="7157"/>
      <c r="IRH18" s="7157"/>
      <c r="IRI18" s="7157"/>
      <c r="IRJ18" s="7157"/>
      <c r="IRK18" s="7158"/>
      <c r="IRL18" s="7158"/>
      <c r="IRM18" s="7158"/>
      <c r="IRN18" s="7158"/>
      <c r="IRO18" s="7158"/>
      <c r="IRP18" s="7159"/>
      <c r="IRQ18" s="7152"/>
      <c r="IRR18" s="7153"/>
      <c r="IRS18" s="7153"/>
      <c r="IRT18" s="7153"/>
      <c r="IRU18" s="7163"/>
      <c r="IRV18" s="7164"/>
      <c r="IRW18" s="7157"/>
      <c r="IRX18" s="7157"/>
      <c r="IRY18" s="7157"/>
      <c r="IRZ18" s="7157"/>
      <c r="ISA18" s="7158"/>
      <c r="ISB18" s="7158"/>
      <c r="ISC18" s="7158"/>
      <c r="ISD18" s="7158"/>
      <c r="ISE18" s="7158"/>
      <c r="ISF18" s="7159"/>
      <c r="ISG18" s="7152"/>
      <c r="ISH18" s="7153"/>
      <c r="ISI18" s="7153"/>
      <c r="ISJ18" s="7153"/>
      <c r="ISK18" s="7163"/>
      <c r="ISL18" s="7164"/>
      <c r="ISM18" s="7157"/>
      <c r="ISN18" s="7157"/>
      <c r="ISO18" s="7157"/>
      <c r="ISP18" s="7157"/>
      <c r="ISQ18" s="7158"/>
      <c r="ISR18" s="7158"/>
      <c r="ISS18" s="7158"/>
      <c r="IST18" s="7158"/>
      <c r="ISU18" s="7158"/>
      <c r="ISV18" s="7159"/>
      <c r="ISW18" s="7152"/>
      <c r="ISX18" s="7153"/>
      <c r="ISY18" s="7153"/>
      <c r="ISZ18" s="7153"/>
      <c r="ITA18" s="7163"/>
      <c r="ITB18" s="7164"/>
      <c r="ITC18" s="7157"/>
      <c r="ITD18" s="7157"/>
      <c r="ITE18" s="7157"/>
      <c r="ITF18" s="7157"/>
      <c r="ITG18" s="7158"/>
      <c r="ITH18" s="7158"/>
      <c r="ITI18" s="7158"/>
      <c r="ITJ18" s="7158"/>
      <c r="ITK18" s="7158"/>
      <c r="ITL18" s="7159"/>
      <c r="ITM18" s="7152"/>
      <c r="ITN18" s="7153"/>
      <c r="ITO18" s="7153"/>
      <c r="ITP18" s="7153"/>
      <c r="ITQ18" s="7163"/>
      <c r="ITR18" s="7164"/>
      <c r="ITS18" s="7157"/>
      <c r="ITT18" s="7157"/>
      <c r="ITU18" s="7157"/>
      <c r="ITV18" s="7157"/>
      <c r="ITW18" s="7158"/>
      <c r="ITX18" s="7158"/>
      <c r="ITY18" s="7158"/>
      <c r="ITZ18" s="7158"/>
      <c r="IUA18" s="7158"/>
      <c r="IUB18" s="7159"/>
      <c r="IUC18" s="7152"/>
      <c r="IUD18" s="7153"/>
      <c r="IUE18" s="7153"/>
      <c r="IUF18" s="7153"/>
      <c r="IUG18" s="7163"/>
      <c r="IUH18" s="7164"/>
      <c r="IUI18" s="7157"/>
      <c r="IUJ18" s="7157"/>
      <c r="IUK18" s="7157"/>
      <c r="IUL18" s="7157"/>
      <c r="IUM18" s="7158"/>
      <c r="IUN18" s="7158"/>
      <c r="IUO18" s="7158"/>
      <c r="IUP18" s="7158"/>
      <c r="IUQ18" s="7158"/>
      <c r="IUR18" s="7159"/>
      <c r="IUS18" s="7152"/>
      <c r="IUT18" s="7153"/>
      <c r="IUU18" s="7153"/>
      <c r="IUV18" s="7153"/>
      <c r="IUW18" s="7163"/>
      <c r="IUX18" s="7164"/>
      <c r="IUY18" s="7157"/>
      <c r="IUZ18" s="7157"/>
      <c r="IVA18" s="7157"/>
      <c r="IVB18" s="7157"/>
      <c r="IVC18" s="7158"/>
      <c r="IVD18" s="7158"/>
      <c r="IVE18" s="7158"/>
      <c r="IVF18" s="7158"/>
      <c r="IVG18" s="7158"/>
      <c r="IVH18" s="7159"/>
      <c r="IVI18" s="7152"/>
      <c r="IVJ18" s="7153"/>
      <c r="IVK18" s="7153"/>
      <c r="IVL18" s="7153"/>
      <c r="IVM18" s="7163"/>
      <c r="IVN18" s="7164"/>
      <c r="IVO18" s="7157"/>
      <c r="IVP18" s="7157"/>
      <c r="IVQ18" s="7157"/>
      <c r="IVR18" s="7157"/>
      <c r="IVS18" s="7158"/>
      <c r="IVT18" s="7158"/>
      <c r="IVU18" s="7158"/>
      <c r="IVV18" s="7158"/>
      <c r="IVW18" s="7158"/>
      <c r="IVX18" s="7159"/>
      <c r="IVY18" s="7152"/>
      <c r="IVZ18" s="7153"/>
      <c r="IWA18" s="7153"/>
      <c r="IWB18" s="7153"/>
      <c r="IWC18" s="7163"/>
      <c r="IWD18" s="7164"/>
      <c r="IWE18" s="7157"/>
      <c r="IWF18" s="7157"/>
      <c r="IWG18" s="7157"/>
      <c r="IWH18" s="7157"/>
      <c r="IWI18" s="7158"/>
      <c r="IWJ18" s="7158"/>
      <c r="IWK18" s="7158"/>
      <c r="IWL18" s="7158"/>
      <c r="IWM18" s="7158"/>
      <c r="IWN18" s="7159"/>
      <c r="IWO18" s="7152"/>
      <c r="IWP18" s="7153"/>
      <c r="IWQ18" s="7153"/>
      <c r="IWR18" s="7153"/>
      <c r="IWS18" s="7163"/>
      <c r="IWT18" s="7164"/>
      <c r="IWU18" s="7157"/>
      <c r="IWV18" s="7157"/>
      <c r="IWW18" s="7157"/>
      <c r="IWX18" s="7157"/>
      <c r="IWY18" s="7158"/>
      <c r="IWZ18" s="7158"/>
      <c r="IXA18" s="7158"/>
      <c r="IXB18" s="7158"/>
      <c r="IXC18" s="7158"/>
      <c r="IXD18" s="7159"/>
      <c r="IXE18" s="7152"/>
      <c r="IXF18" s="7153"/>
      <c r="IXG18" s="7153"/>
      <c r="IXH18" s="7153"/>
      <c r="IXI18" s="7163"/>
      <c r="IXJ18" s="7164"/>
      <c r="IXK18" s="7157"/>
      <c r="IXL18" s="7157"/>
      <c r="IXM18" s="7157"/>
      <c r="IXN18" s="7157"/>
      <c r="IXO18" s="7158"/>
      <c r="IXP18" s="7158"/>
      <c r="IXQ18" s="7158"/>
      <c r="IXR18" s="7158"/>
      <c r="IXS18" s="7158"/>
      <c r="IXT18" s="7159"/>
      <c r="IXU18" s="7152"/>
      <c r="IXV18" s="7153"/>
      <c r="IXW18" s="7153"/>
      <c r="IXX18" s="7153"/>
      <c r="IXY18" s="7163"/>
      <c r="IXZ18" s="7164"/>
      <c r="IYA18" s="7157"/>
      <c r="IYB18" s="7157"/>
      <c r="IYC18" s="7157"/>
      <c r="IYD18" s="7157"/>
      <c r="IYE18" s="7158"/>
      <c r="IYF18" s="7158"/>
      <c r="IYG18" s="7158"/>
      <c r="IYH18" s="7158"/>
      <c r="IYI18" s="7158"/>
      <c r="IYJ18" s="7159"/>
      <c r="IYK18" s="7152"/>
      <c r="IYL18" s="7153"/>
      <c r="IYM18" s="7153"/>
      <c r="IYN18" s="7153"/>
      <c r="IYO18" s="7163"/>
      <c r="IYP18" s="7164"/>
      <c r="IYQ18" s="7157"/>
      <c r="IYR18" s="7157"/>
      <c r="IYS18" s="7157"/>
      <c r="IYT18" s="7157"/>
      <c r="IYU18" s="7158"/>
      <c r="IYV18" s="7158"/>
      <c r="IYW18" s="7158"/>
      <c r="IYX18" s="7158"/>
      <c r="IYY18" s="7158"/>
      <c r="IYZ18" s="7159"/>
      <c r="IZA18" s="7152"/>
      <c r="IZB18" s="7153"/>
      <c r="IZC18" s="7153"/>
      <c r="IZD18" s="7153"/>
      <c r="IZE18" s="7163"/>
      <c r="IZF18" s="7164"/>
      <c r="IZG18" s="7157"/>
      <c r="IZH18" s="7157"/>
      <c r="IZI18" s="7157"/>
      <c r="IZJ18" s="7157"/>
      <c r="IZK18" s="7158"/>
      <c r="IZL18" s="7158"/>
      <c r="IZM18" s="7158"/>
      <c r="IZN18" s="7158"/>
      <c r="IZO18" s="7158"/>
      <c r="IZP18" s="7159"/>
      <c r="IZQ18" s="7152"/>
      <c r="IZR18" s="7153"/>
      <c r="IZS18" s="7153"/>
      <c r="IZT18" s="7153"/>
      <c r="IZU18" s="7163"/>
      <c r="IZV18" s="7164"/>
      <c r="IZW18" s="7157"/>
      <c r="IZX18" s="7157"/>
      <c r="IZY18" s="7157"/>
      <c r="IZZ18" s="7157"/>
      <c r="JAA18" s="7158"/>
      <c r="JAB18" s="7158"/>
      <c r="JAC18" s="7158"/>
      <c r="JAD18" s="7158"/>
      <c r="JAE18" s="7158"/>
      <c r="JAF18" s="7159"/>
      <c r="JAG18" s="7152"/>
      <c r="JAH18" s="7153"/>
      <c r="JAI18" s="7153"/>
      <c r="JAJ18" s="7153"/>
      <c r="JAK18" s="7163"/>
      <c r="JAL18" s="7164"/>
      <c r="JAM18" s="7157"/>
      <c r="JAN18" s="7157"/>
      <c r="JAO18" s="7157"/>
      <c r="JAP18" s="7157"/>
      <c r="JAQ18" s="7158"/>
      <c r="JAR18" s="7158"/>
      <c r="JAS18" s="7158"/>
      <c r="JAT18" s="7158"/>
      <c r="JAU18" s="7158"/>
      <c r="JAV18" s="7159"/>
      <c r="JAW18" s="7152"/>
      <c r="JAX18" s="7153"/>
      <c r="JAY18" s="7153"/>
      <c r="JAZ18" s="7153"/>
      <c r="JBA18" s="7163"/>
      <c r="JBB18" s="7164"/>
      <c r="JBC18" s="7157"/>
      <c r="JBD18" s="7157"/>
      <c r="JBE18" s="7157"/>
      <c r="JBF18" s="7157"/>
      <c r="JBG18" s="7158"/>
      <c r="JBH18" s="7158"/>
      <c r="JBI18" s="7158"/>
      <c r="JBJ18" s="7158"/>
      <c r="JBK18" s="7158"/>
      <c r="JBL18" s="7159"/>
      <c r="JBM18" s="7152"/>
      <c r="JBN18" s="7153"/>
      <c r="JBO18" s="7153"/>
      <c r="JBP18" s="7153"/>
      <c r="JBQ18" s="7163"/>
      <c r="JBR18" s="7164"/>
      <c r="JBS18" s="7157"/>
      <c r="JBT18" s="7157"/>
      <c r="JBU18" s="7157"/>
      <c r="JBV18" s="7157"/>
      <c r="JBW18" s="7158"/>
      <c r="JBX18" s="7158"/>
      <c r="JBY18" s="7158"/>
      <c r="JBZ18" s="7158"/>
      <c r="JCA18" s="7158"/>
      <c r="JCB18" s="7159"/>
      <c r="JCC18" s="7152"/>
      <c r="JCD18" s="7153"/>
      <c r="JCE18" s="7153"/>
      <c r="JCF18" s="7153"/>
      <c r="JCG18" s="7163"/>
      <c r="JCH18" s="7164"/>
      <c r="JCI18" s="7157"/>
      <c r="JCJ18" s="7157"/>
      <c r="JCK18" s="7157"/>
      <c r="JCL18" s="7157"/>
      <c r="JCM18" s="7158"/>
      <c r="JCN18" s="7158"/>
      <c r="JCO18" s="7158"/>
      <c r="JCP18" s="7158"/>
      <c r="JCQ18" s="7158"/>
      <c r="JCR18" s="7159"/>
      <c r="JCS18" s="7152"/>
      <c r="JCT18" s="7153"/>
      <c r="JCU18" s="7153"/>
      <c r="JCV18" s="7153"/>
      <c r="JCW18" s="7163"/>
      <c r="JCX18" s="7164"/>
      <c r="JCY18" s="7157"/>
      <c r="JCZ18" s="7157"/>
      <c r="JDA18" s="7157"/>
      <c r="JDB18" s="7157"/>
      <c r="JDC18" s="7158"/>
      <c r="JDD18" s="7158"/>
      <c r="JDE18" s="7158"/>
      <c r="JDF18" s="7158"/>
      <c r="JDG18" s="7158"/>
      <c r="JDH18" s="7159"/>
      <c r="JDI18" s="7152"/>
      <c r="JDJ18" s="7153"/>
      <c r="JDK18" s="7153"/>
      <c r="JDL18" s="7153"/>
      <c r="JDM18" s="7163"/>
      <c r="JDN18" s="7164"/>
      <c r="JDO18" s="7157"/>
      <c r="JDP18" s="7157"/>
      <c r="JDQ18" s="7157"/>
      <c r="JDR18" s="7157"/>
      <c r="JDS18" s="7158"/>
      <c r="JDT18" s="7158"/>
      <c r="JDU18" s="7158"/>
      <c r="JDV18" s="7158"/>
      <c r="JDW18" s="7158"/>
      <c r="JDX18" s="7159"/>
      <c r="JDY18" s="7152"/>
      <c r="JDZ18" s="7153"/>
      <c r="JEA18" s="7153"/>
      <c r="JEB18" s="7153"/>
      <c r="JEC18" s="7163"/>
      <c r="JED18" s="7164"/>
      <c r="JEE18" s="7157"/>
      <c r="JEF18" s="7157"/>
      <c r="JEG18" s="7157"/>
      <c r="JEH18" s="7157"/>
      <c r="JEI18" s="7158"/>
      <c r="JEJ18" s="7158"/>
      <c r="JEK18" s="7158"/>
      <c r="JEL18" s="7158"/>
      <c r="JEM18" s="7158"/>
      <c r="JEN18" s="7159"/>
      <c r="JEO18" s="7152"/>
      <c r="JEP18" s="7153"/>
      <c r="JEQ18" s="7153"/>
      <c r="JER18" s="7153"/>
      <c r="JES18" s="7163"/>
      <c r="JET18" s="7164"/>
      <c r="JEU18" s="7157"/>
      <c r="JEV18" s="7157"/>
      <c r="JEW18" s="7157"/>
      <c r="JEX18" s="7157"/>
      <c r="JEY18" s="7158"/>
      <c r="JEZ18" s="7158"/>
      <c r="JFA18" s="7158"/>
      <c r="JFB18" s="7158"/>
      <c r="JFC18" s="7158"/>
      <c r="JFD18" s="7159"/>
      <c r="JFE18" s="7152"/>
      <c r="JFF18" s="7153"/>
      <c r="JFG18" s="7153"/>
      <c r="JFH18" s="7153"/>
      <c r="JFI18" s="7163"/>
      <c r="JFJ18" s="7164"/>
      <c r="JFK18" s="7157"/>
      <c r="JFL18" s="7157"/>
      <c r="JFM18" s="7157"/>
      <c r="JFN18" s="7157"/>
      <c r="JFO18" s="7158"/>
      <c r="JFP18" s="7158"/>
      <c r="JFQ18" s="7158"/>
      <c r="JFR18" s="7158"/>
      <c r="JFS18" s="7158"/>
      <c r="JFT18" s="7159"/>
      <c r="JFU18" s="7152"/>
      <c r="JFV18" s="7153"/>
      <c r="JFW18" s="7153"/>
      <c r="JFX18" s="7153"/>
      <c r="JFY18" s="7163"/>
      <c r="JFZ18" s="7164"/>
      <c r="JGA18" s="7157"/>
      <c r="JGB18" s="7157"/>
      <c r="JGC18" s="7157"/>
      <c r="JGD18" s="7157"/>
      <c r="JGE18" s="7158"/>
      <c r="JGF18" s="7158"/>
      <c r="JGG18" s="7158"/>
      <c r="JGH18" s="7158"/>
      <c r="JGI18" s="7158"/>
      <c r="JGJ18" s="7159"/>
      <c r="JGK18" s="7152"/>
      <c r="JGL18" s="7153"/>
      <c r="JGM18" s="7153"/>
      <c r="JGN18" s="7153"/>
      <c r="JGO18" s="7163"/>
      <c r="JGP18" s="7164"/>
      <c r="JGQ18" s="7157"/>
      <c r="JGR18" s="7157"/>
      <c r="JGS18" s="7157"/>
      <c r="JGT18" s="7157"/>
      <c r="JGU18" s="7158"/>
      <c r="JGV18" s="7158"/>
      <c r="JGW18" s="7158"/>
      <c r="JGX18" s="7158"/>
      <c r="JGY18" s="7158"/>
      <c r="JGZ18" s="7159"/>
      <c r="JHA18" s="7152"/>
      <c r="JHB18" s="7153"/>
      <c r="JHC18" s="7153"/>
      <c r="JHD18" s="7153"/>
      <c r="JHE18" s="7163"/>
      <c r="JHF18" s="7164"/>
      <c r="JHG18" s="7157"/>
      <c r="JHH18" s="7157"/>
      <c r="JHI18" s="7157"/>
      <c r="JHJ18" s="7157"/>
      <c r="JHK18" s="7158"/>
      <c r="JHL18" s="7158"/>
      <c r="JHM18" s="7158"/>
      <c r="JHN18" s="7158"/>
      <c r="JHO18" s="7158"/>
      <c r="JHP18" s="7159"/>
      <c r="JHQ18" s="7152"/>
      <c r="JHR18" s="7153"/>
      <c r="JHS18" s="7153"/>
      <c r="JHT18" s="7153"/>
      <c r="JHU18" s="7163"/>
      <c r="JHV18" s="7164"/>
      <c r="JHW18" s="7157"/>
      <c r="JHX18" s="7157"/>
      <c r="JHY18" s="7157"/>
      <c r="JHZ18" s="7157"/>
      <c r="JIA18" s="7158"/>
      <c r="JIB18" s="7158"/>
      <c r="JIC18" s="7158"/>
      <c r="JID18" s="7158"/>
      <c r="JIE18" s="7158"/>
      <c r="JIF18" s="7159"/>
      <c r="JIG18" s="7152"/>
      <c r="JIH18" s="7153"/>
      <c r="JII18" s="7153"/>
      <c r="JIJ18" s="7153"/>
      <c r="JIK18" s="7163"/>
      <c r="JIL18" s="7164"/>
      <c r="JIM18" s="7157"/>
      <c r="JIN18" s="7157"/>
      <c r="JIO18" s="7157"/>
      <c r="JIP18" s="7157"/>
      <c r="JIQ18" s="7158"/>
      <c r="JIR18" s="7158"/>
      <c r="JIS18" s="7158"/>
      <c r="JIT18" s="7158"/>
      <c r="JIU18" s="7158"/>
      <c r="JIV18" s="7159"/>
      <c r="JIW18" s="7152"/>
      <c r="JIX18" s="7153"/>
      <c r="JIY18" s="7153"/>
      <c r="JIZ18" s="7153"/>
      <c r="JJA18" s="7163"/>
      <c r="JJB18" s="7164"/>
      <c r="JJC18" s="7157"/>
      <c r="JJD18" s="7157"/>
      <c r="JJE18" s="7157"/>
      <c r="JJF18" s="7157"/>
      <c r="JJG18" s="7158"/>
      <c r="JJH18" s="7158"/>
      <c r="JJI18" s="7158"/>
      <c r="JJJ18" s="7158"/>
      <c r="JJK18" s="7158"/>
      <c r="JJL18" s="7159"/>
      <c r="JJM18" s="7152"/>
      <c r="JJN18" s="7153"/>
      <c r="JJO18" s="7153"/>
      <c r="JJP18" s="7153"/>
      <c r="JJQ18" s="7163"/>
      <c r="JJR18" s="7164"/>
      <c r="JJS18" s="7157"/>
      <c r="JJT18" s="7157"/>
      <c r="JJU18" s="7157"/>
      <c r="JJV18" s="7157"/>
      <c r="JJW18" s="7158"/>
      <c r="JJX18" s="7158"/>
      <c r="JJY18" s="7158"/>
      <c r="JJZ18" s="7158"/>
      <c r="JKA18" s="7158"/>
      <c r="JKB18" s="7159"/>
      <c r="JKC18" s="7152"/>
      <c r="JKD18" s="7153"/>
      <c r="JKE18" s="7153"/>
      <c r="JKF18" s="7153"/>
      <c r="JKG18" s="7163"/>
      <c r="JKH18" s="7164"/>
      <c r="JKI18" s="7157"/>
      <c r="JKJ18" s="7157"/>
      <c r="JKK18" s="7157"/>
      <c r="JKL18" s="7157"/>
      <c r="JKM18" s="7158"/>
      <c r="JKN18" s="7158"/>
      <c r="JKO18" s="7158"/>
      <c r="JKP18" s="7158"/>
      <c r="JKQ18" s="7158"/>
      <c r="JKR18" s="7159"/>
      <c r="JKS18" s="7152"/>
      <c r="JKT18" s="7153"/>
      <c r="JKU18" s="7153"/>
      <c r="JKV18" s="7153"/>
      <c r="JKW18" s="7163"/>
      <c r="JKX18" s="7164"/>
      <c r="JKY18" s="7157"/>
      <c r="JKZ18" s="7157"/>
      <c r="JLA18" s="7157"/>
      <c r="JLB18" s="7157"/>
      <c r="JLC18" s="7158"/>
      <c r="JLD18" s="7158"/>
      <c r="JLE18" s="7158"/>
      <c r="JLF18" s="7158"/>
      <c r="JLG18" s="7158"/>
      <c r="JLH18" s="7159"/>
      <c r="JLI18" s="7152"/>
      <c r="JLJ18" s="7153"/>
      <c r="JLK18" s="7153"/>
      <c r="JLL18" s="7153"/>
      <c r="JLM18" s="7163"/>
      <c r="JLN18" s="7164"/>
      <c r="JLO18" s="7157"/>
      <c r="JLP18" s="7157"/>
      <c r="JLQ18" s="7157"/>
      <c r="JLR18" s="7157"/>
      <c r="JLS18" s="7158"/>
      <c r="JLT18" s="7158"/>
      <c r="JLU18" s="7158"/>
      <c r="JLV18" s="7158"/>
      <c r="JLW18" s="7158"/>
      <c r="JLX18" s="7159"/>
      <c r="JLY18" s="7152"/>
      <c r="JLZ18" s="7153"/>
      <c r="JMA18" s="7153"/>
      <c r="JMB18" s="7153"/>
      <c r="JMC18" s="7163"/>
      <c r="JMD18" s="7164"/>
      <c r="JME18" s="7157"/>
      <c r="JMF18" s="7157"/>
      <c r="JMG18" s="7157"/>
      <c r="JMH18" s="7157"/>
      <c r="JMI18" s="7158"/>
      <c r="JMJ18" s="7158"/>
      <c r="JMK18" s="7158"/>
      <c r="JML18" s="7158"/>
      <c r="JMM18" s="7158"/>
      <c r="JMN18" s="7159"/>
      <c r="JMO18" s="7152"/>
      <c r="JMP18" s="7153"/>
      <c r="JMQ18" s="7153"/>
      <c r="JMR18" s="7153"/>
      <c r="JMS18" s="7163"/>
      <c r="JMT18" s="7164"/>
      <c r="JMU18" s="7157"/>
      <c r="JMV18" s="7157"/>
      <c r="JMW18" s="7157"/>
      <c r="JMX18" s="7157"/>
      <c r="JMY18" s="7158"/>
      <c r="JMZ18" s="7158"/>
      <c r="JNA18" s="7158"/>
      <c r="JNB18" s="7158"/>
      <c r="JNC18" s="7158"/>
      <c r="JND18" s="7159"/>
      <c r="JNE18" s="7152"/>
      <c r="JNF18" s="7153"/>
      <c r="JNG18" s="7153"/>
      <c r="JNH18" s="7153"/>
      <c r="JNI18" s="7163"/>
      <c r="JNJ18" s="7164"/>
      <c r="JNK18" s="7157"/>
      <c r="JNL18" s="7157"/>
      <c r="JNM18" s="7157"/>
      <c r="JNN18" s="7157"/>
      <c r="JNO18" s="7158"/>
      <c r="JNP18" s="7158"/>
      <c r="JNQ18" s="7158"/>
      <c r="JNR18" s="7158"/>
      <c r="JNS18" s="7158"/>
      <c r="JNT18" s="7159"/>
      <c r="JNU18" s="7152"/>
      <c r="JNV18" s="7153"/>
      <c r="JNW18" s="7153"/>
      <c r="JNX18" s="7153"/>
      <c r="JNY18" s="7163"/>
      <c r="JNZ18" s="7164"/>
      <c r="JOA18" s="7157"/>
      <c r="JOB18" s="7157"/>
      <c r="JOC18" s="7157"/>
      <c r="JOD18" s="7157"/>
      <c r="JOE18" s="7158"/>
      <c r="JOF18" s="7158"/>
      <c r="JOG18" s="7158"/>
      <c r="JOH18" s="7158"/>
      <c r="JOI18" s="7158"/>
      <c r="JOJ18" s="7159"/>
      <c r="JOK18" s="7152"/>
      <c r="JOL18" s="7153"/>
      <c r="JOM18" s="7153"/>
      <c r="JON18" s="7153"/>
      <c r="JOO18" s="7163"/>
      <c r="JOP18" s="7164"/>
      <c r="JOQ18" s="7157"/>
      <c r="JOR18" s="7157"/>
      <c r="JOS18" s="7157"/>
      <c r="JOT18" s="7157"/>
      <c r="JOU18" s="7158"/>
      <c r="JOV18" s="7158"/>
      <c r="JOW18" s="7158"/>
      <c r="JOX18" s="7158"/>
      <c r="JOY18" s="7158"/>
      <c r="JOZ18" s="7159"/>
      <c r="JPA18" s="7152"/>
      <c r="JPB18" s="7153"/>
      <c r="JPC18" s="7153"/>
      <c r="JPD18" s="7153"/>
      <c r="JPE18" s="7163"/>
      <c r="JPF18" s="7164"/>
      <c r="JPG18" s="7157"/>
      <c r="JPH18" s="7157"/>
      <c r="JPI18" s="7157"/>
      <c r="JPJ18" s="7157"/>
      <c r="JPK18" s="7158"/>
      <c r="JPL18" s="7158"/>
      <c r="JPM18" s="7158"/>
      <c r="JPN18" s="7158"/>
      <c r="JPO18" s="7158"/>
      <c r="JPP18" s="7159"/>
      <c r="JPQ18" s="7152"/>
      <c r="JPR18" s="7153"/>
      <c r="JPS18" s="7153"/>
      <c r="JPT18" s="7153"/>
      <c r="JPU18" s="7163"/>
      <c r="JPV18" s="7164"/>
      <c r="JPW18" s="7157"/>
      <c r="JPX18" s="7157"/>
      <c r="JPY18" s="7157"/>
      <c r="JPZ18" s="7157"/>
      <c r="JQA18" s="7158"/>
      <c r="JQB18" s="7158"/>
      <c r="JQC18" s="7158"/>
      <c r="JQD18" s="7158"/>
      <c r="JQE18" s="7158"/>
      <c r="JQF18" s="7159"/>
      <c r="JQG18" s="7152"/>
      <c r="JQH18" s="7153"/>
      <c r="JQI18" s="7153"/>
      <c r="JQJ18" s="7153"/>
      <c r="JQK18" s="7163"/>
      <c r="JQL18" s="7164"/>
      <c r="JQM18" s="7157"/>
      <c r="JQN18" s="7157"/>
      <c r="JQO18" s="7157"/>
      <c r="JQP18" s="7157"/>
      <c r="JQQ18" s="7158"/>
      <c r="JQR18" s="7158"/>
      <c r="JQS18" s="7158"/>
      <c r="JQT18" s="7158"/>
      <c r="JQU18" s="7158"/>
      <c r="JQV18" s="7159"/>
      <c r="JQW18" s="7152"/>
      <c r="JQX18" s="7153"/>
      <c r="JQY18" s="7153"/>
      <c r="JQZ18" s="7153"/>
      <c r="JRA18" s="7163"/>
      <c r="JRB18" s="7164"/>
      <c r="JRC18" s="7157"/>
      <c r="JRD18" s="7157"/>
      <c r="JRE18" s="7157"/>
      <c r="JRF18" s="7157"/>
      <c r="JRG18" s="7158"/>
      <c r="JRH18" s="7158"/>
      <c r="JRI18" s="7158"/>
      <c r="JRJ18" s="7158"/>
      <c r="JRK18" s="7158"/>
      <c r="JRL18" s="7159"/>
      <c r="JRM18" s="7152"/>
      <c r="JRN18" s="7153"/>
      <c r="JRO18" s="7153"/>
      <c r="JRP18" s="7153"/>
      <c r="JRQ18" s="7163"/>
      <c r="JRR18" s="7164"/>
      <c r="JRS18" s="7157"/>
      <c r="JRT18" s="7157"/>
      <c r="JRU18" s="7157"/>
      <c r="JRV18" s="7157"/>
      <c r="JRW18" s="7158"/>
      <c r="JRX18" s="7158"/>
      <c r="JRY18" s="7158"/>
      <c r="JRZ18" s="7158"/>
      <c r="JSA18" s="7158"/>
      <c r="JSB18" s="7159"/>
      <c r="JSC18" s="7152"/>
      <c r="JSD18" s="7153"/>
      <c r="JSE18" s="7153"/>
      <c r="JSF18" s="7153"/>
      <c r="JSG18" s="7163"/>
      <c r="JSH18" s="7164"/>
      <c r="JSI18" s="7157"/>
      <c r="JSJ18" s="7157"/>
      <c r="JSK18" s="7157"/>
      <c r="JSL18" s="7157"/>
      <c r="JSM18" s="7158"/>
      <c r="JSN18" s="7158"/>
      <c r="JSO18" s="7158"/>
      <c r="JSP18" s="7158"/>
      <c r="JSQ18" s="7158"/>
      <c r="JSR18" s="7159"/>
      <c r="JSS18" s="7152"/>
      <c r="JST18" s="7153"/>
      <c r="JSU18" s="7153"/>
      <c r="JSV18" s="7153"/>
      <c r="JSW18" s="7163"/>
      <c r="JSX18" s="7164"/>
      <c r="JSY18" s="7157"/>
      <c r="JSZ18" s="7157"/>
      <c r="JTA18" s="7157"/>
      <c r="JTB18" s="7157"/>
      <c r="JTC18" s="7158"/>
      <c r="JTD18" s="7158"/>
      <c r="JTE18" s="7158"/>
      <c r="JTF18" s="7158"/>
      <c r="JTG18" s="7158"/>
      <c r="JTH18" s="7159"/>
      <c r="JTI18" s="7152"/>
      <c r="JTJ18" s="7153"/>
      <c r="JTK18" s="7153"/>
      <c r="JTL18" s="7153"/>
      <c r="JTM18" s="7163"/>
      <c r="JTN18" s="7164"/>
      <c r="JTO18" s="7157"/>
      <c r="JTP18" s="7157"/>
      <c r="JTQ18" s="7157"/>
      <c r="JTR18" s="7157"/>
      <c r="JTS18" s="7158"/>
      <c r="JTT18" s="7158"/>
      <c r="JTU18" s="7158"/>
      <c r="JTV18" s="7158"/>
      <c r="JTW18" s="7158"/>
      <c r="JTX18" s="7159"/>
      <c r="JTY18" s="7152"/>
      <c r="JTZ18" s="7153"/>
      <c r="JUA18" s="7153"/>
      <c r="JUB18" s="7153"/>
      <c r="JUC18" s="7163"/>
      <c r="JUD18" s="7164"/>
      <c r="JUE18" s="7157"/>
      <c r="JUF18" s="7157"/>
      <c r="JUG18" s="7157"/>
      <c r="JUH18" s="7157"/>
      <c r="JUI18" s="7158"/>
      <c r="JUJ18" s="7158"/>
      <c r="JUK18" s="7158"/>
      <c r="JUL18" s="7158"/>
      <c r="JUM18" s="7158"/>
      <c r="JUN18" s="7159"/>
      <c r="JUO18" s="7152"/>
      <c r="JUP18" s="7153"/>
      <c r="JUQ18" s="7153"/>
      <c r="JUR18" s="7153"/>
      <c r="JUS18" s="7163"/>
      <c r="JUT18" s="7164"/>
      <c r="JUU18" s="7157"/>
      <c r="JUV18" s="7157"/>
      <c r="JUW18" s="7157"/>
      <c r="JUX18" s="7157"/>
      <c r="JUY18" s="7158"/>
      <c r="JUZ18" s="7158"/>
      <c r="JVA18" s="7158"/>
      <c r="JVB18" s="7158"/>
      <c r="JVC18" s="7158"/>
      <c r="JVD18" s="7159"/>
      <c r="JVE18" s="7152"/>
      <c r="JVF18" s="7153"/>
      <c r="JVG18" s="7153"/>
      <c r="JVH18" s="7153"/>
      <c r="JVI18" s="7163"/>
      <c r="JVJ18" s="7164"/>
      <c r="JVK18" s="7157"/>
      <c r="JVL18" s="7157"/>
      <c r="JVM18" s="7157"/>
      <c r="JVN18" s="7157"/>
      <c r="JVO18" s="7158"/>
      <c r="JVP18" s="7158"/>
      <c r="JVQ18" s="7158"/>
      <c r="JVR18" s="7158"/>
      <c r="JVS18" s="7158"/>
      <c r="JVT18" s="7159"/>
      <c r="JVU18" s="7152"/>
      <c r="JVV18" s="7153"/>
      <c r="JVW18" s="7153"/>
      <c r="JVX18" s="7153"/>
      <c r="JVY18" s="7163"/>
      <c r="JVZ18" s="7164"/>
      <c r="JWA18" s="7157"/>
      <c r="JWB18" s="7157"/>
      <c r="JWC18" s="7157"/>
      <c r="JWD18" s="7157"/>
      <c r="JWE18" s="7158"/>
      <c r="JWF18" s="7158"/>
      <c r="JWG18" s="7158"/>
      <c r="JWH18" s="7158"/>
      <c r="JWI18" s="7158"/>
      <c r="JWJ18" s="7159"/>
      <c r="JWK18" s="7152"/>
      <c r="JWL18" s="7153"/>
      <c r="JWM18" s="7153"/>
      <c r="JWN18" s="7153"/>
      <c r="JWO18" s="7163"/>
      <c r="JWP18" s="7164"/>
      <c r="JWQ18" s="7157"/>
      <c r="JWR18" s="7157"/>
      <c r="JWS18" s="7157"/>
      <c r="JWT18" s="7157"/>
      <c r="JWU18" s="7158"/>
      <c r="JWV18" s="7158"/>
      <c r="JWW18" s="7158"/>
      <c r="JWX18" s="7158"/>
      <c r="JWY18" s="7158"/>
      <c r="JWZ18" s="7159"/>
      <c r="JXA18" s="7152"/>
      <c r="JXB18" s="7153"/>
      <c r="JXC18" s="7153"/>
      <c r="JXD18" s="7153"/>
      <c r="JXE18" s="7163"/>
      <c r="JXF18" s="7164"/>
      <c r="JXG18" s="7157"/>
      <c r="JXH18" s="7157"/>
      <c r="JXI18" s="7157"/>
      <c r="JXJ18" s="7157"/>
      <c r="JXK18" s="7158"/>
      <c r="JXL18" s="7158"/>
      <c r="JXM18" s="7158"/>
      <c r="JXN18" s="7158"/>
      <c r="JXO18" s="7158"/>
      <c r="JXP18" s="7159"/>
      <c r="JXQ18" s="7152"/>
      <c r="JXR18" s="7153"/>
      <c r="JXS18" s="7153"/>
      <c r="JXT18" s="7153"/>
      <c r="JXU18" s="7163"/>
      <c r="JXV18" s="7164"/>
      <c r="JXW18" s="7157"/>
      <c r="JXX18" s="7157"/>
      <c r="JXY18" s="7157"/>
      <c r="JXZ18" s="7157"/>
      <c r="JYA18" s="7158"/>
      <c r="JYB18" s="7158"/>
      <c r="JYC18" s="7158"/>
      <c r="JYD18" s="7158"/>
      <c r="JYE18" s="7158"/>
      <c r="JYF18" s="7159"/>
      <c r="JYG18" s="7152"/>
      <c r="JYH18" s="7153"/>
      <c r="JYI18" s="7153"/>
      <c r="JYJ18" s="7153"/>
      <c r="JYK18" s="7163"/>
      <c r="JYL18" s="7164"/>
      <c r="JYM18" s="7157"/>
      <c r="JYN18" s="7157"/>
      <c r="JYO18" s="7157"/>
      <c r="JYP18" s="7157"/>
      <c r="JYQ18" s="7158"/>
      <c r="JYR18" s="7158"/>
      <c r="JYS18" s="7158"/>
      <c r="JYT18" s="7158"/>
      <c r="JYU18" s="7158"/>
      <c r="JYV18" s="7159"/>
      <c r="JYW18" s="7152"/>
      <c r="JYX18" s="7153"/>
      <c r="JYY18" s="7153"/>
      <c r="JYZ18" s="7153"/>
      <c r="JZA18" s="7163"/>
      <c r="JZB18" s="7164"/>
      <c r="JZC18" s="7157"/>
      <c r="JZD18" s="7157"/>
      <c r="JZE18" s="7157"/>
      <c r="JZF18" s="7157"/>
      <c r="JZG18" s="7158"/>
      <c r="JZH18" s="7158"/>
      <c r="JZI18" s="7158"/>
      <c r="JZJ18" s="7158"/>
      <c r="JZK18" s="7158"/>
      <c r="JZL18" s="7159"/>
      <c r="JZM18" s="7152"/>
      <c r="JZN18" s="7153"/>
      <c r="JZO18" s="7153"/>
      <c r="JZP18" s="7153"/>
      <c r="JZQ18" s="7163"/>
      <c r="JZR18" s="7164"/>
      <c r="JZS18" s="7157"/>
      <c r="JZT18" s="7157"/>
      <c r="JZU18" s="7157"/>
      <c r="JZV18" s="7157"/>
      <c r="JZW18" s="7158"/>
      <c r="JZX18" s="7158"/>
      <c r="JZY18" s="7158"/>
      <c r="JZZ18" s="7158"/>
      <c r="KAA18" s="7158"/>
      <c r="KAB18" s="7159"/>
      <c r="KAC18" s="7152"/>
      <c r="KAD18" s="7153"/>
      <c r="KAE18" s="7153"/>
      <c r="KAF18" s="7153"/>
      <c r="KAG18" s="7163"/>
      <c r="KAH18" s="7164"/>
      <c r="KAI18" s="7157"/>
      <c r="KAJ18" s="7157"/>
      <c r="KAK18" s="7157"/>
      <c r="KAL18" s="7157"/>
      <c r="KAM18" s="7158"/>
      <c r="KAN18" s="7158"/>
      <c r="KAO18" s="7158"/>
      <c r="KAP18" s="7158"/>
      <c r="KAQ18" s="7158"/>
      <c r="KAR18" s="7159"/>
      <c r="KAS18" s="7152"/>
      <c r="KAT18" s="7153"/>
      <c r="KAU18" s="7153"/>
      <c r="KAV18" s="7153"/>
      <c r="KAW18" s="7163"/>
      <c r="KAX18" s="7164"/>
      <c r="KAY18" s="7157"/>
      <c r="KAZ18" s="7157"/>
      <c r="KBA18" s="7157"/>
      <c r="KBB18" s="7157"/>
      <c r="KBC18" s="7158"/>
      <c r="KBD18" s="7158"/>
      <c r="KBE18" s="7158"/>
      <c r="KBF18" s="7158"/>
      <c r="KBG18" s="7158"/>
      <c r="KBH18" s="7159"/>
      <c r="KBI18" s="7152"/>
      <c r="KBJ18" s="7153"/>
      <c r="KBK18" s="7153"/>
      <c r="KBL18" s="7153"/>
      <c r="KBM18" s="7163"/>
      <c r="KBN18" s="7164"/>
      <c r="KBO18" s="7157"/>
      <c r="KBP18" s="7157"/>
      <c r="KBQ18" s="7157"/>
      <c r="KBR18" s="7157"/>
      <c r="KBS18" s="7158"/>
      <c r="KBT18" s="7158"/>
      <c r="KBU18" s="7158"/>
      <c r="KBV18" s="7158"/>
      <c r="KBW18" s="7158"/>
      <c r="KBX18" s="7159"/>
      <c r="KBY18" s="7152"/>
      <c r="KBZ18" s="7153"/>
      <c r="KCA18" s="7153"/>
      <c r="KCB18" s="7153"/>
      <c r="KCC18" s="7163"/>
      <c r="KCD18" s="7164"/>
      <c r="KCE18" s="7157"/>
      <c r="KCF18" s="7157"/>
      <c r="KCG18" s="7157"/>
      <c r="KCH18" s="7157"/>
      <c r="KCI18" s="7158"/>
      <c r="KCJ18" s="7158"/>
      <c r="KCK18" s="7158"/>
      <c r="KCL18" s="7158"/>
      <c r="KCM18" s="7158"/>
      <c r="KCN18" s="7159"/>
      <c r="KCO18" s="7152"/>
      <c r="KCP18" s="7153"/>
      <c r="KCQ18" s="7153"/>
      <c r="KCR18" s="7153"/>
      <c r="KCS18" s="7163"/>
      <c r="KCT18" s="7164"/>
      <c r="KCU18" s="7157"/>
      <c r="KCV18" s="7157"/>
      <c r="KCW18" s="7157"/>
      <c r="KCX18" s="7157"/>
      <c r="KCY18" s="7158"/>
      <c r="KCZ18" s="7158"/>
      <c r="KDA18" s="7158"/>
      <c r="KDB18" s="7158"/>
      <c r="KDC18" s="7158"/>
      <c r="KDD18" s="7159"/>
      <c r="KDE18" s="7152"/>
      <c r="KDF18" s="7153"/>
      <c r="KDG18" s="7153"/>
      <c r="KDH18" s="7153"/>
      <c r="KDI18" s="7163"/>
      <c r="KDJ18" s="7164"/>
      <c r="KDK18" s="7157"/>
      <c r="KDL18" s="7157"/>
      <c r="KDM18" s="7157"/>
      <c r="KDN18" s="7157"/>
      <c r="KDO18" s="7158"/>
      <c r="KDP18" s="7158"/>
      <c r="KDQ18" s="7158"/>
      <c r="KDR18" s="7158"/>
      <c r="KDS18" s="7158"/>
      <c r="KDT18" s="7159"/>
      <c r="KDU18" s="7152"/>
      <c r="KDV18" s="7153"/>
      <c r="KDW18" s="7153"/>
      <c r="KDX18" s="7153"/>
      <c r="KDY18" s="7163"/>
      <c r="KDZ18" s="7164"/>
      <c r="KEA18" s="7157"/>
      <c r="KEB18" s="7157"/>
      <c r="KEC18" s="7157"/>
      <c r="KED18" s="7157"/>
      <c r="KEE18" s="7158"/>
      <c r="KEF18" s="7158"/>
      <c r="KEG18" s="7158"/>
      <c r="KEH18" s="7158"/>
      <c r="KEI18" s="7158"/>
      <c r="KEJ18" s="7159"/>
      <c r="KEK18" s="7152"/>
      <c r="KEL18" s="7153"/>
      <c r="KEM18" s="7153"/>
      <c r="KEN18" s="7153"/>
      <c r="KEO18" s="7163"/>
      <c r="KEP18" s="7164"/>
      <c r="KEQ18" s="7157"/>
      <c r="KER18" s="7157"/>
      <c r="KES18" s="7157"/>
      <c r="KET18" s="7157"/>
      <c r="KEU18" s="7158"/>
      <c r="KEV18" s="7158"/>
      <c r="KEW18" s="7158"/>
      <c r="KEX18" s="7158"/>
      <c r="KEY18" s="7158"/>
      <c r="KEZ18" s="7159"/>
      <c r="KFA18" s="7152"/>
      <c r="KFB18" s="7153"/>
      <c r="KFC18" s="7153"/>
      <c r="KFD18" s="7153"/>
      <c r="KFE18" s="7163"/>
      <c r="KFF18" s="7164"/>
      <c r="KFG18" s="7157"/>
      <c r="KFH18" s="7157"/>
      <c r="KFI18" s="7157"/>
      <c r="KFJ18" s="7157"/>
      <c r="KFK18" s="7158"/>
      <c r="KFL18" s="7158"/>
      <c r="KFM18" s="7158"/>
      <c r="KFN18" s="7158"/>
      <c r="KFO18" s="7158"/>
      <c r="KFP18" s="7159"/>
      <c r="KFQ18" s="7152"/>
      <c r="KFR18" s="7153"/>
      <c r="KFS18" s="7153"/>
      <c r="KFT18" s="7153"/>
      <c r="KFU18" s="7163"/>
      <c r="KFV18" s="7164"/>
      <c r="KFW18" s="7157"/>
      <c r="KFX18" s="7157"/>
      <c r="KFY18" s="7157"/>
      <c r="KFZ18" s="7157"/>
      <c r="KGA18" s="7158"/>
      <c r="KGB18" s="7158"/>
      <c r="KGC18" s="7158"/>
      <c r="KGD18" s="7158"/>
      <c r="KGE18" s="7158"/>
      <c r="KGF18" s="7159"/>
      <c r="KGG18" s="7152"/>
      <c r="KGH18" s="7153"/>
      <c r="KGI18" s="7153"/>
      <c r="KGJ18" s="7153"/>
      <c r="KGK18" s="7163"/>
      <c r="KGL18" s="7164"/>
      <c r="KGM18" s="7157"/>
      <c r="KGN18" s="7157"/>
      <c r="KGO18" s="7157"/>
      <c r="KGP18" s="7157"/>
      <c r="KGQ18" s="7158"/>
      <c r="KGR18" s="7158"/>
      <c r="KGS18" s="7158"/>
      <c r="KGT18" s="7158"/>
      <c r="KGU18" s="7158"/>
      <c r="KGV18" s="7159"/>
      <c r="KGW18" s="7152"/>
      <c r="KGX18" s="7153"/>
      <c r="KGY18" s="7153"/>
      <c r="KGZ18" s="7153"/>
      <c r="KHA18" s="7163"/>
      <c r="KHB18" s="7164"/>
      <c r="KHC18" s="7157"/>
      <c r="KHD18" s="7157"/>
      <c r="KHE18" s="7157"/>
      <c r="KHF18" s="7157"/>
      <c r="KHG18" s="7158"/>
      <c r="KHH18" s="7158"/>
      <c r="KHI18" s="7158"/>
      <c r="KHJ18" s="7158"/>
      <c r="KHK18" s="7158"/>
      <c r="KHL18" s="7159"/>
      <c r="KHM18" s="7152"/>
      <c r="KHN18" s="7153"/>
      <c r="KHO18" s="7153"/>
      <c r="KHP18" s="7153"/>
      <c r="KHQ18" s="7163"/>
      <c r="KHR18" s="7164"/>
      <c r="KHS18" s="7157"/>
      <c r="KHT18" s="7157"/>
      <c r="KHU18" s="7157"/>
      <c r="KHV18" s="7157"/>
      <c r="KHW18" s="7158"/>
      <c r="KHX18" s="7158"/>
      <c r="KHY18" s="7158"/>
      <c r="KHZ18" s="7158"/>
      <c r="KIA18" s="7158"/>
      <c r="KIB18" s="7159"/>
      <c r="KIC18" s="7152"/>
      <c r="KID18" s="7153"/>
      <c r="KIE18" s="7153"/>
      <c r="KIF18" s="7153"/>
      <c r="KIG18" s="7163"/>
      <c r="KIH18" s="7164"/>
      <c r="KII18" s="7157"/>
      <c r="KIJ18" s="7157"/>
      <c r="KIK18" s="7157"/>
      <c r="KIL18" s="7157"/>
      <c r="KIM18" s="7158"/>
      <c r="KIN18" s="7158"/>
      <c r="KIO18" s="7158"/>
      <c r="KIP18" s="7158"/>
      <c r="KIQ18" s="7158"/>
      <c r="KIR18" s="7159"/>
      <c r="KIS18" s="7152"/>
      <c r="KIT18" s="7153"/>
      <c r="KIU18" s="7153"/>
      <c r="KIV18" s="7153"/>
      <c r="KIW18" s="7163"/>
      <c r="KIX18" s="7164"/>
      <c r="KIY18" s="7157"/>
      <c r="KIZ18" s="7157"/>
      <c r="KJA18" s="7157"/>
      <c r="KJB18" s="7157"/>
      <c r="KJC18" s="7158"/>
      <c r="KJD18" s="7158"/>
      <c r="KJE18" s="7158"/>
      <c r="KJF18" s="7158"/>
      <c r="KJG18" s="7158"/>
      <c r="KJH18" s="7159"/>
      <c r="KJI18" s="7152"/>
      <c r="KJJ18" s="7153"/>
      <c r="KJK18" s="7153"/>
      <c r="KJL18" s="7153"/>
      <c r="KJM18" s="7163"/>
      <c r="KJN18" s="7164"/>
      <c r="KJO18" s="7157"/>
      <c r="KJP18" s="7157"/>
      <c r="KJQ18" s="7157"/>
      <c r="KJR18" s="7157"/>
      <c r="KJS18" s="7158"/>
      <c r="KJT18" s="7158"/>
      <c r="KJU18" s="7158"/>
      <c r="KJV18" s="7158"/>
      <c r="KJW18" s="7158"/>
      <c r="KJX18" s="7159"/>
      <c r="KJY18" s="7152"/>
      <c r="KJZ18" s="7153"/>
      <c r="KKA18" s="7153"/>
      <c r="KKB18" s="7153"/>
      <c r="KKC18" s="7163"/>
      <c r="KKD18" s="7164"/>
      <c r="KKE18" s="7157"/>
      <c r="KKF18" s="7157"/>
      <c r="KKG18" s="7157"/>
      <c r="KKH18" s="7157"/>
      <c r="KKI18" s="7158"/>
      <c r="KKJ18" s="7158"/>
      <c r="KKK18" s="7158"/>
      <c r="KKL18" s="7158"/>
      <c r="KKM18" s="7158"/>
      <c r="KKN18" s="7159"/>
      <c r="KKO18" s="7152"/>
      <c r="KKP18" s="7153"/>
      <c r="KKQ18" s="7153"/>
      <c r="KKR18" s="7153"/>
      <c r="KKS18" s="7163"/>
      <c r="KKT18" s="7164"/>
      <c r="KKU18" s="7157"/>
      <c r="KKV18" s="7157"/>
      <c r="KKW18" s="7157"/>
      <c r="KKX18" s="7157"/>
      <c r="KKY18" s="7158"/>
      <c r="KKZ18" s="7158"/>
      <c r="KLA18" s="7158"/>
      <c r="KLB18" s="7158"/>
      <c r="KLC18" s="7158"/>
      <c r="KLD18" s="7159"/>
      <c r="KLE18" s="7152"/>
      <c r="KLF18" s="7153"/>
      <c r="KLG18" s="7153"/>
      <c r="KLH18" s="7153"/>
      <c r="KLI18" s="7163"/>
      <c r="KLJ18" s="7164"/>
      <c r="KLK18" s="7157"/>
      <c r="KLL18" s="7157"/>
      <c r="KLM18" s="7157"/>
      <c r="KLN18" s="7157"/>
      <c r="KLO18" s="7158"/>
      <c r="KLP18" s="7158"/>
      <c r="KLQ18" s="7158"/>
      <c r="KLR18" s="7158"/>
      <c r="KLS18" s="7158"/>
      <c r="KLT18" s="7159"/>
      <c r="KLU18" s="7152"/>
      <c r="KLV18" s="7153"/>
      <c r="KLW18" s="7153"/>
      <c r="KLX18" s="7153"/>
      <c r="KLY18" s="7163"/>
      <c r="KLZ18" s="7164"/>
      <c r="KMA18" s="7157"/>
      <c r="KMB18" s="7157"/>
      <c r="KMC18" s="7157"/>
      <c r="KMD18" s="7157"/>
      <c r="KME18" s="7158"/>
      <c r="KMF18" s="7158"/>
      <c r="KMG18" s="7158"/>
      <c r="KMH18" s="7158"/>
      <c r="KMI18" s="7158"/>
      <c r="KMJ18" s="7159"/>
      <c r="KMK18" s="7152"/>
      <c r="KML18" s="7153"/>
      <c r="KMM18" s="7153"/>
      <c r="KMN18" s="7153"/>
      <c r="KMO18" s="7163"/>
      <c r="KMP18" s="7164"/>
      <c r="KMQ18" s="7157"/>
      <c r="KMR18" s="7157"/>
      <c r="KMS18" s="7157"/>
      <c r="KMT18" s="7157"/>
      <c r="KMU18" s="7158"/>
      <c r="KMV18" s="7158"/>
      <c r="KMW18" s="7158"/>
      <c r="KMX18" s="7158"/>
      <c r="KMY18" s="7158"/>
      <c r="KMZ18" s="7159"/>
      <c r="KNA18" s="7152"/>
      <c r="KNB18" s="7153"/>
      <c r="KNC18" s="7153"/>
      <c r="KND18" s="7153"/>
      <c r="KNE18" s="7163"/>
      <c r="KNF18" s="7164"/>
      <c r="KNG18" s="7157"/>
      <c r="KNH18" s="7157"/>
      <c r="KNI18" s="7157"/>
      <c r="KNJ18" s="7157"/>
      <c r="KNK18" s="7158"/>
      <c r="KNL18" s="7158"/>
      <c r="KNM18" s="7158"/>
      <c r="KNN18" s="7158"/>
      <c r="KNO18" s="7158"/>
      <c r="KNP18" s="7159"/>
      <c r="KNQ18" s="7152"/>
      <c r="KNR18" s="7153"/>
      <c r="KNS18" s="7153"/>
      <c r="KNT18" s="7153"/>
      <c r="KNU18" s="7163"/>
      <c r="KNV18" s="7164"/>
      <c r="KNW18" s="7157"/>
      <c r="KNX18" s="7157"/>
      <c r="KNY18" s="7157"/>
      <c r="KNZ18" s="7157"/>
      <c r="KOA18" s="7158"/>
      <c r="KOB18" s="7158"/>
      <c r="KOC18" s="7158"/>
      <c r="KOD18" s="7158"/>
      <c r="KOE18" s="7158"/>
      <c r="KOF18" s="7159"/>
      <c r="KOG18" s="7152"/>
      <c r="KOH18" s="7153"/>
      <c r="KOI18" s="7153"/>
      <c r="KOJ18" s="7153"/>
      <c r="KOK18" s="7163"/>
      <c r="KOL18" s="7164"/>
      <c r="KOM18" s="7157"/>
      <c r="KON18" s="7157"/>
      <c r="KOO18" s="7157"/>
      <c r="KOP18" s="7157"/>
      <c r="KOQ18" s="7158"/>
      <c r="KOR18" s="7158"/>
      <c r="KOS18" s="7158"/>
      <c r="KOT18" s="7158"/>
      <c r="KOU18" s="7158"/>
      <c r="KOV18" s="7159"/>
      <c r="KOW18" s="7152"/>
      <c r="KOX18" s="7153"/>
      <c r="KOY18" s="7153"/>
      <c r="KOZ18" s="7153"/>
      <c r="KPA18" s="7163"/>
      <c r="KPB18" s="7164"/>
      <c r="KPC18" s="7157"/>
      <c r="KPD18" s="7157"/>
      <c r="KPE18" s="7157"/>
      <c r="KPF18" s="7157"/>
      <c r="KPG18" s="7158"/>
      <c r="KPH18" s="7158"/>
      <c r="KPI18" s="7158"/>
      <c r="KPJ18" s="7158"/>
      <c r="KPK18" s="7158"/>
      <c r="KPL18" s="7159"/>
      <c r="KPM18" s="7152"/>
      <c r="KPN18" s="7153"/>
      <c r="KPO18" s="7153"/>
      <c r="KPP18" s="7153"/>
      <c r="KPQ18" s="7163"/>
      <c r="KPR18" s="7164"/>
      <c r="KPS18" s="7157"/>
      <c r="KPT18" s="7157"/>
      <c r="KPU18" s="7157"/>
      <c r="KPV18" s="7157"/>
      <c r="KPW18" s="7158"/>
      <c r="KPX18" s="7158"/>
      <c r="KPY18" s="7158"/>
      <c r="KPZ18" s="7158"/>
      <c r="KQA18" s="7158"/>
      <c r="KQB18" s="7159"/>
      <c r="KQC18" s="7152"/>
      <c r="KQD18" s="7153"/>
      <c r="KQE18" s="7153"/>
      <c r="KQF18" s="7153"/>
      <c r="KQG18" s="7163"/>
      <c r="KQH18" s="7164"/>
      <c r="KQI18" s="7157"/>
      <c r="KQJ18" s="7157"/>
      <c r="KQK18" s="7157"/>
      <c r="KQL18" s="7157"/>
      <c r="KQM18" s="7158"/>
      <c r="KQN18" s="7158"/>
      <c r="KQO18" s="7158"/>
      <c r="KQP18" s="7158"/>
      <c r="KQQ18" s="7158"/>
      <c r="KQR18" s="7159"/>
      <c r="KQS18" s="7152"/>
      <c r="KQT18" s="7153"/>
      <c r="KQU18" s="7153"/>
      <c r="KQV18" s="7153"/>
      <c r="KQW18" s="7163"/>
      <c r="KQX18" s="7164"/>
      <c r="KQY18" s="7157"/>
      <c r="KQZ18" s="7157"/>
      <c r="KRA18" s="7157"/>
      <c r="KRB18" s="7157"/>
      <c r="KRC18" s="7158"/>
      <c r="KRD18" s="7158"/>
      <c r="KRE18" s="7158"/>
      <c r="KRF18" s="7158"/>
      <c r="KRG18" s="7158"/>
      <c r="KRH18" s="7159"/>
      <c r="KRI18" s="7152"/>
      <c r="KRJ18" s="7153"/>
      <c r="KRK18" s="7153"/>
      <c r="KRL18" s="7153"/>
      <c r="KRM18" s="7163"/>
      <c r="KRN18" s="7164"/>
      <c r="KRO18" s="7157"/>
      <c r="KRP18" s="7157"/>
      <c r="KRQ18" s="7157"/>
      <c r="KRR18" s="7157"/>
      <c r="KRS18" s="7158"/>
      <c r="KRT18" s="7158"/>
      <c r="KRU18" s="7158"/>
      <c r="KRV18" s="7158"/>
      <c r="KRW18" s="7158"/>
      <c r="KRX18" s="7159"/>
      <c r="KRY18" s="7152"/>
      <c r="KRZ18" s="7153"/>
      <c r="KSA18" s="7153"/>
      <c r="KSB18" s="7153"/>
      <c r="KSC18" s="7163"/>
      <c r="KSD18" s="7164"/>
      <c r="KSE18" s="7157"/>
      <c r="KSF18" s="7157"/>
      <c r="KSG18" s="7157"/>
      <c r="KSH18" s="7157"/>
      <c r="KSI18" s="7158"/>
      <c r="KSJ18" s="7158"/>
      <c r="KSK18" s="7158"/>
      <c r="KSL18" s="7158"/>
      <c r="KSM18" s="7158"/>
      <c r="KSN18" s="7159"/>
      <c r="KSO18" s="7152"/>
      <c r="KSP18" s="7153"/>
      <c r="KSQ18" s="7153"/>
      <c r="KSR18" s="7153"/>
      <c r="KSS18" s="7163"/>
      <c r="KST18" s="7164"/>
      <c r="KSU18" s="7157"/>
      <c r="KSV18" s="7157"/>
      <c r="KSW18" s="7157"/>
      <c r="KSX18" s="7157"/>
      <c r="KSY18" s="7158"/>
      <c r="KSZ18" s="7158"/>
      <c r="KTA18" s="7158"/>
      <c r="KTB18" s="7158"/>
      <c r="KTC18" s="7158"/>
      <c r="KTD18" s="7159"/>
      <c r="KTE18" s="7152"/>
      <c r="KTF18" s="7153"/>
      <c r="KTG18" s="7153"/>
      <c r="KTH18" s="7153"/>
      <c r="KTI18" s="7163"/>
      <c r="KTJ18" s="7164"/>
      <c r="KTK18" s="7157"/>
      <c r="KTL18" s="7157"/>
      <c r="KTM18" s="7157"/>
      <c r="KTN18" s="7157"/>
      <c r="KTO18" s="7158"/>
      <c r="KTP18" s="7158"/>
      <c r="KTQ18" s="7158"/>
      <c r="KTR18" s="7158"/>
      <c r="KTS18" s="7158"/>
      <c r="KTT18" s="7159"/>
      <c r="KTU18" s="7152"/>
      <c r="KTV18" s="7153"/>
      <c r="KTW18" s="7153"/>
      <c r="KTX18" s="7153"/>
      <c r="KTY18" s="7163"/>
      <c r="KTZ18" s="7164"/>
      <c r="KUA18" s="7157"/>
      <c r="KUB18" s="7157"/>
      <c r="KUC18" s="7157"/>
      <c r="KUD18" s="7157"/>
      <c r="KUE18" s="7158"/>
      <c r="KUF18" s="7158"/>
      <c r="KUG18" s="7158"/>
      <c r="KUH18" s="7158"/>
      <c r="KUI18" s="7158"/>
      <c r="KUJ18" s="7159"/>
      <c r="KUK18" s="7152"/>
      <c r="KUL18" s="7153"/>
      <c r="KUM18" s="7153"/>
      <c r="KUN18" s="7153"/>
      <c r="KUO18" s="7163"/>
      <c r="KUP18" s="7164"/>
      <c r="KUQ18" s="7157"/>
      <c r="KUR18" s="7157"/>
      <c r="KUS18" s="7157"/>
      <c r="KUT18" s="7157"/>
      <c r="KUU18" s="7158"/>
      <c r="KUV18" s="7158"/>
      <c r="KUW18" s="7158"/>
      <c r="KUX18" s="7158"/>
      <c r="KUY18" s="7158"/>
      <c r="KUZ18" s="7159"/>
      <c r="KVA18" s="7152"/>
      <c r="KVB18" s="7153"/>
      <c r="KVC18" s="7153"/>
      <c r="KVD18" s="7153"/>
      <c r="KVE18" s="7163"/>
      <c r="KVF18" s="7164"/>
      <c r="KVG18" s="7157"/>
      <c r="KVH18" s="7157"/>
      <c r="KVI18" s="7157"/>
      <c r="KVJ18" s="7157"/>
      <c r="KVK18" s="7158"/>
      <c r="KVL18" s="7158"/>
      <c r="KVM18" s="7158"/>
      <c r="KVN18" s="7158"/>
      <c r="KVO18" s="7158"/>
      <c r="KVP18" s="7159"/>
      <c r="KVQ18" s="7152"/>
      <c r="KVR18" s="7153"/>
      <c r="KVS18" s="7153"/>
      <c r="KVT18" s="7153"/>
      <c r="KVU18" s="7163"/>
      <c r="KVV18" s="7164"/>
      <c r="KVW18" s="7157"/>
      <c r="KVX18" s="7157"/>
      <c r="KVY18" s="7157"/>
      <c r="KVZ18" s="7157"/>
      <c r="KWA18" s="7158"/>
      <c r="KWB18" s="7158"/>
      <c r="KWC18" s="7158"/>
      <c r="KWD18" s="7158"/>
      <c r="KWE18" s="7158"/>
      <c r="KWF18" s="7159"/>
      <c r="KWG18" s="7152"/>
      <c r="KWH18" s="7153"/>
      <c r="KWI18" s="7153"/>
      <c r="KWJ18" s="7153"/>
      <c r="KWK18" s="7163"/>
      <c r="KWL18" s="7164"/>
      <c r="KWM18" s="7157"/>
      <c r="KWN18" s="7157"/>
      <c r="KWO18" s="7157"/>
      <c r="KWP18" s="7157"/>
      <c r="KWQ18" s="7158"/>
      <c r="KWR18" s="7158"/>
      <c r="KWS18" s="7158"/>
      <c r="KWT18" s="7158"/>
      <c r="KWU18" s="7158"/>
      <c r="KWV18" s="7159"/>
      <c r="KWW18" s="7152"/>
      <c r="KWX18" s="7153"/>
      <c r="KWY18" s="7153"/>
      <c r="KWZ18" s="7153"/>
      <c r="KXA18" s="7163"/>
      <c r="KXB18" s="7164"/>
      <c r="KXC18" s="7157"/>
      <c r="KXD18" s="7157"/>
      <c r="KXE18" s="7157"/>
      <c r="KXF18" s="7157"/>
      <c r="KXG18" s="7158"/>
      <c r="KXH18" s="7158"/>
      <c r="KXI18" s="7158"/>
      <c r="KXJ18" s="7158"/>
      <c r="KXK18" s="7158"/>
      <c r="KXL18" s="7159"/>
      <c r="KXM18" s="7152"/>
      <c r="KXN18" s="7153"/>
      <c r="KXO18" s="7153"/>
      <c r="KXP18" s="7153"/>
      <c r="KXQ18" s="7163"/>
      <c r="KXR18" s="7164"/>
      <c r="KXS18" s="7157"/>
      <c r="KXT18" s="7157"/>
      <c r="KXU18" s="7157"/>
      <c r="KXV18" s="7157"/>
      <c r="KXW18" s="7158"/>
      <c r="KXX18" s="7158"/>
      <c r="KXY18" s="7158"/>
      <c r="KXZ18" s="7158"/>
      <c r="KYA18" s="7158"/>
      <c r="KYB18" s="7159"/>
      <c r="KYC18" s="7152"/>
      <c r="KYD18" s="7153"/>
      <c r="KYE18" s="7153"/>
      <c r="KYF18" s="7153"/>
      <c r="KYG18" s="7163"/>
      <c r="KYH18" s="7164"/>
      <c r="KYI18" s="7157"/>
      <c r="KYJ18" s="7157"/>
      <c r="KYK18" s="7157"/>
      <c r="KYL18" s="7157"/>
      <c r="KYM18" s="7158"/>
      <c r="KYN18" s="7158"/>
      <c r="KYO18" s="7158"/>
      <c r="KYP18" s="7158"/>
      <c r="KYQ18" s="7158"/>
      <c r="KYR18" s="7159"/>
      <c r="KYS18" s="7152"/>
      <c r="KYT18" s="7153"/>
      <c r="KYU18" s="7153"/>
      <c r="KYV18" s="7153"/>
      <c r="KYW18" s="7163"/>
      <c r="KYX18" s="7164"/>
      <c r="KYY18" s="7157"/>
      <c r="KYZ18" s="7157"/>
      <c r="KZA18" s="7157"/>
      <c r="KZB18" s="7157"/>
      <c r="KZC18" s="7158"/>
      <c r="KZD18" s="7158"/>
      <c r="KZE18" s="7158"/>
      <c r="KZF18" s="7158"/>
      <c r="KZG18" s="7158"/>
      <c r="KZH18" s="7159"/>
      <c r="KZI18" s="7152"/>
      <c r="KZJ18" s="7153"/>
      <c r="KZK18" s="7153"/>
      <c r="KZL18" s="7153"/>
      <c r="KZM18" s="7163"/>
      <c r="KZN18" s="7164"/>
      <c r="KZO18" s="7157"/>
      <c r="KZP18" s="7157"/>
      <c r="KZQ18" s="7157"/>
      <c r="KZR18" s="7157"/>
      <c r="KZS18" s="7158"/>
      <c r="KZT18" s="7158"/>
      <c r="KZU18" s="7158"/>
      <c r="KZV18" s="7158"/>
      <c r="KZW18" s="7158"/>
      <c r="KZX18" s="7159"/>
      <c r="KZY18" s="7152"/>
      <c r="KZZ18" s="7153"/>
      <c r="LAA18" s="7153"/>
      <c r="LAB18" s="7153"/>
      <c r="LAC18" s="7163"/>
      <c r="LAD18" s="7164"/>
      <c r="LAE18" s="7157"/>
      <c r="LAF18" s="7157"/>
      <c r="LAG18" s="7157"/>
      <c r="LAH18" s="7157"/>
      <c r="LAI18" s="7158"/>
      <c r="LAJ18" s="7158"/>
      <c r="LAK18" s="7158"/>
      <c r="LAL18" s="7158"/>
      <c r="LAM18" s="7158"/>
      <c r="LAN18" s="7159"/>
      <c r="LAO18" s="7152"/>
      <c r="LAP18" s="7153"/>
      <c r="LAQ18" s="7153"/>
      <c r="LAR18" s="7153"/>
      <c r="LAS18" s="7163"/>
      <c r="LAT18" s="7164"/>
      <c r="LAU18" s="7157"/>
      <c r="LAV18" s="7157"/>
      <c r="LAW18" s="7157"/>
      <c r="LAX18" s="7157"/>
      <c r="LAY18" s="7158"/>
      <c r="LAZ18" s="7158"/>
      <c r="LBA18" s="7158"/>
      <c r="LBB18" s="7158"/>
      <c r="LBC18" s="7158"/>
      <c r="LBD18" s="7159"/>
      <c r="LBE18" s="7152"/>
      <c r="LBF18" s="7153"/>
      <c r="LBG18" s="7153"/>
      <c r="LBH18" s="7153"/>
      <c r="LBI18" s="7163"/>
      <c r="LBJ18" s="7164"/>
      <c r="LBK18" s="7157"/>
      <c r="LBL18" s="7157"/>
      <c r="LBM18" s="7157"/>
      <c r="LBN18" s="7157"/>
      <c r="LBO18" s="7158"/>
      <c r="LBP18" s="7158"/>
      <c r="LBQ18" s="7158"/>
      <c r="LBR18" s="7158"/>
      <c r="LBS18" s="7158"/>
      <c r="LBT18" s="7159"/>
      <c r="LBU18" s="7152"/>
      <c r="LBV18" s="7153"/>
      <c r="LBW18" s="7153"/>
      <c r="LBX18" s="7153"/>
      <c r="LBY18" s="7163"/>
      <c r="LBZ18" s="7164"/>
      <c r="LCA18" s="7157"/>
      <c r="LCB18" s="7157"/>
      <c r="LCC18" s="7157"/>
      <c r="LCD18" s="7157"/>
      <c r="LCE18" s="7158"/>
      <c r="LCF18" s="7158"/>
      <c r="LCG18" s="7158"/>
      <c r="LCH18" s="7158"/>
      <c r="LCI18" s="7158"/>
      <c r="LCJ18" s="7159"/>
      <c r="LCK18" s="7152"/>
      <c r="LCL18" s="7153"/>
      <c r="LCM18" s="7153"/>
      <c r="LCN18" s="7153"/>
      <c r="LCO18" s="7163"/>
      <c r="LCP18" s="7164"/>
      <c r="LCQ18" s="7157"/>
      <c r="LCR18" s="7157"/>
      <c r="LCS18" s="7157"/>
      <c r="LCT18" s="7157"/>
      <c r="LCU18" s="7158"/>
      <c r="LCV18" s="7158"/>
      <c r="LCW18" s="7158"/>
      <c r="LCX18" s="7158"/>
      <c r="LCY18" s="7158"/>
      <c r="LCZ18" s="7159"/>
      <c r="LDA18" s="7152"/>
      <c r="LDB18" s="7153"/>
      <c r="LDC18" s="7153"/>
      <c r="LDD18" s="7153"/>
      <c r="LDE18" s="7163"/>
      <c r="LDF18" s="7164"/>
      <c r="LDG18" s="7157"/>
      <c r="LDH18" s="7157"/>
      <c r="LDI18" s="7157"/>
      <c r="LDJ18" s="7157"/>
      <c r="LDK18" s="7158"/>
      <c r="LDL18" s="7158"/>
      <c r="LDM18" s="7158"/>
      <c r="LDN18" s="7158"/>
      <c r="LDO18" s="7158"/>
      <c r="LDP18" s="7159"/>
      <c r="LDQ18" s="7152"/>
      <c r="LDR18" s="7153"/>
      <c r="LDS18" s="7153"/>
      <c r="LDT18" s="7153"/>
      <c r="LDU18" s="7163"/>
      <c r="LDV18" s="7164"/>
      <c r="LDW18" s="7157"/>
      <c r="LDX18" s="7157"/>
      <c r="LDY18" s="7157"/>
      <c r="LDZ18" s="7157"/>
      <c r="LEA18" s="7158"/>
      <c r="LEB18" s="7158"/>
      <c r="LEC18" s="7158"/>
      <c r="LED18" s="7158"/>
      <c r="LEE18" s="7158"/>
      <c r="LEF18" s="7159"/>
      <c r="LEG18" s="7152"/>
      <c r="LEH18" s="7153"/>
      <c r="LEI18" s="7153"/>
      <c r="LEJ18" s="7153"/>
      <c r="LEK18" s="7163"/>
      <c r="LEL18" s="7164"/>
      <c r="LEM18" s="7157"/>
      <c r="LEN18" s="7157"/>
      <c r="LEO18" s="7157"/>
      <c r="LEP18" s="7157"/>
      <c r="LEQ18" s="7158"/>
      <c r="LER18" s="7158"/>
      <c r="LES18" s="7158"/>
      <c r="LET18" s="7158"/>
      <c r="LEU18" s="7158"/>
      <c r="LEV18" s="7159"/>
      <c r="LEW18" s="7152"/>
      <c r="LEX18" s="7153"/>
      <c r="LEY18" s="7153"/>
      <c r="LEZ18" s="7153"/>
      <c r="LFA18" s="7163"/>
      <c r="LFB18" s="7164"/>
      <c r="LFC18" s="7157"/>
      <c r="LFD18" s="7157"/>
      <c r="LFE18" s="7157"/>
      <c r="LFF18" s="7157"/>
      <c r="LFG18" s="7158"/>
      <c r="LFH18" s="7158"/>
      <c r="LFI18" s="7158"/>
      <c r="LFJ18" s="7158"/>
      <c r="LFK18" s="7158"/>
      <c r="LFL18" s="7159"/>
      <c r="LFM18" s="7152"/>
      <c r="LFN18" s="7153"/>
      <c r="LFO18" s="7153"/>
      <c r="LFP18" s="7153"/>
      <c r="LFQ18" s="7163"/>
      <c r="LFR18" s="7164"/>
      <c r="LFS18" s="7157"/>
      <c r="LFT18" s="7157"/>
      <c r="LFU18" s="7157"/>
      <c r="LFV18" s="7157"/>
      <c r="LFW18" s="7158"/>
      <c r="LFX18" s="7158"/>
      <c r="LFY18" s="7158"/>
      <c r="LFZ18" s="7158"/>
      <c r="LGA18" s="7158"/>
      <c r="LGB18" s="7159"/>
      <c r="LGC18" s="7152"/>
      <c r="LGD18" s="7153"/>
      <c r="LGE18" s="7153"/>
      <c r="LGF18" s="7153"/>
      <c r="LGG18" s="7163"/>
      <c r="LGH18" s="7164"/>
      <c r="LGI18" s="7157"/>
      <c r="LGJ18" s="7157"/>
      <c r="LGK18" s="7157"/>
      <c r="LGL18" s="7157"/>
      <c r="LGM18" s="7158"/>
      <c r="LGN18" s="7158"/>
      <c r="LGO18" s="7158"/>
      <c r="LGP18" s="7158"/>
      <c r="LGQ18" s="7158"/>
      <c r="LGR18" s="7159"/>
      <c r="LGS18" s="7152"/>
      <c r="LGT18" s="7153"/>
      <c r="LGU18" s="7153"/>
      <c r="LGV18" s="7153"/>
      <c r="LGW18" s="7163"/>
      <c r="LGX18" s="7164"/>
      <c r="LGY18" s="7157"/>
      <c r="LGZ18" s="7157"/>
      <c r="LHA18" s="7157"/>
      <c r="LHB18" s="7157"/>
      <c r="LHC18" s="7158"/>
      <c r="LHD18" s="7158"/>
      <c r="LHE18" s="7158"/>
      <c r="LHF18" s="7158"/>
      <c r="LHG18" s="7158"/>
      <c r="LHH18" s="7159"/>
      <c r="LHI18" s="7152"/>
      <c r="LHJ18" s="7153"/>
      <c r="LHK18" s="7153"/>
      <c r="LHL18" s="7153"/>
      <c r="LHM18" s="7163"/>
      <c r="LHN18" s="7164"/>
      <c r="LHO18" s="7157"/>
      <c r="LHP18" s="7157"/>
      <c r="LHQ18" s="7157"/>
      <c r="LHR18" s="7157"/>
      <c r="LHS18" s="7158"/>
      <c r="LHT18" s="7158"/>
      <c r="LHU18" s="7158"/>
      <c r="LHV18" s="7158"/>
      <c r="LHW18" s="7158"/>
      <c r="LHX18" s="7159"/>
      <c r="LHY18" s="7152"/>
      <c r="LHZ18" s="7153"/>
      <c r="LIA18" s="7153"/>
      <c r="LIB18" s="7153"/>
      <c r="LIC18" s="7163"/>
      <c r="LID18" s="7164"/>
      <c r="LIE18" s="7157"/>
      <c r="LIF18" s="7157"/>
      <c r="LIG18" s="7157"/>
      <c r="LIH18" s="7157"/>
      <c r="LII18" s="7158"/>
      <c r="LIJ18" s="7158"/>
      <c r="LIK18" s="7158"/>
      <c r="LIL18" s="7158"/>
      <c r="LIM18" s="7158"/>
      <c r="LIN18" s="7159"/>
      <c r="LIO18" s="7152"/>
      <c r="LIP18" s="7153"/>
      <c r="LIQ18" s="7153"/>
      <c r="LIR18" s="7153"/>
      <c r="LIS18" s="7163"/>
      <c r="LIT18" s="7164"/>
      <c r="LIU18" s="7157"/>
      <c r="LIV18" s="7157"/>
      <c r="LIW18" s="7157"/>
      <c r="LIX18" s="7157"/>
      <c r="LIY18" s="7158"/>
      <c r="LIZ18" s="7158"/>
      <c r="LJA18" s="7158"/>
      <c r="LJB18" s="7158"/>
      <c r="LJC18" s="7158"/>
      <c r="LJD18" s="7159"/>
      <c r="LJE18" s="7152"/>
      <c r="LJF18" s="7153"/>
      <c r="LJG18" s="7153"/>
      <c r="LJH18" s="7153"/>
      <c r="LJI18" s="7163"/>
      <c r="LJJ18" s="7164"/>
      <c r="LJK18" s="7157"/>
      <c r="LJL18" s="7157"/>
      <c r="LJM18" s="7157"/>
      <c r="LJN18" s="7157"/>
      <c r="LJO18" s="7158"/>
      <c r="LJP18" s="7158"/>
      <c r="LJQ18" s="7158"/>
      <c r="LJR18" s="7158"/>
      <c r="LJS18" s="7158"/>
      <c r="LJT18" s="7159"/>
      <c r="LJU18" s="7152"/>
      <c r="LJV18" s="7153"/>
      <c r="LJW18" s="7153"/>
      <c r="LJX18" s="7153"/>
      <c r="LJY18" s="7163"/>
      <c r="LJZ18" s="7164"/>
      <c r="LKA18" s="7157"/>
      <c r="LKB18" s="7157"/>
      <c r="LKC18" s="7157"/>
      <c r="LKD18" s="7157"/>
      <c r="LKE18" s="7158"/>
      <c r="LKF18" s="7158"/>
      <c r="LKG18" s="7158"/>
      <c r="LKH18" s="7158"/>
      <c r="LKI18" s="7158"/>
      <c r="LKJ18" s="7159"/>
      <c r="LKK18" s="7152"/>
      <c r="LKL18" s="7153"/>
      <c r="LKM18" s="7153"/>
      <c r="LKN18" s="7153"/>
      <c r="LKO18" s="7163"/>
      <c r="LKP18" s="7164"/>
      <c r="LKQ18" s="7157"/>
      <c r="LKR18" s="7157"/>
      <c r="LKS18" s="7157"/>
      <c r="LKT18" s="7157"/>
      <c r="LKU18" s="7158"/>
      <c r="LKV18" s="7158"/>
      <c r="LKW18" s="7158"/>
      <c r="LKX18" s="7158"/>
      <c r="LKY18" s="7158"/>
      <c r="LKZ18" s="7159"/>
      <c r="LLA18" s="7152"/>
      <c r="LLB18" s="7153"/>
      <c r="LLC18" s="7153"/>
      <c r="LLD18" s="7153"/>
      <c r="LLE18" s="7163"/>
      <c r="LLF18" s="7164"/>
      <c r="LLG18" s="7157"/>
      <c r="LLH18" s="7157"/>
      <c r="LLI18" s="7157"/>
      <c r="LLJ18" s="7157"/>
      <c r="LLK18" s="7158"/>
      <c r="LLL18" s="7158"/>
      <c r="LLM18" s="7158"/>
      <c r="LLN18" s="7158"/>
      <c r="LLO18" s="7158"/>
      <c r="LLP18" s="7159"/>
      <c r="LLQ18" s="7152"/>
      <c r="LLR18" s="7153"/>
      <c r="LLS18" s="7153"/>
      <c r="LLT18" s="7153"/>
      <c r="LLU18" s="7163"/>
      <c r="LLV18" s="7164"/>
      <c r="LLW18" s="7157"/>
      <c r="LLX18" s="7157"/>
      <c r="LLY18" s="7157"/>
      <c r="LLZ18" s="7157"/>
      <c r="LMA18" s="7158"/>
      <c r="LMB18" s="7158"/>
      <c r="LMC18" s="7158"/>
      <c r="LMD18" s="7158"/>
      <c r="LME18" s="7158"/>
      <c r="LMF18" s="7159"/>
      <c r="LMG18" s="7152"/>
      <c r="LMH18" s="7153"/>
      <c r="LMI18" s="7153"/>
      <c r="LMJ18" s="7153"/>
      <c r="LMK18" s="7163"/>
      <c r="LML18" s="7164"/>
      <c r="LMM18" s="7157"/>
      <c r="LMN18" s="7157"/>
      <c r="LMO18" s="7157"/>
      <c r="LMP18" s="7157"/>
      <c r="LMQ18" s="7158"/>
      <c r="LMR18" s="7158"/>
      <c r="LMS18" s="7158"/>
      <c r="LMT18" s="7158"/>
      <c r="LMU18" s="7158"/>
      <c r="LMV18" s="7159"/>
      <c r="LMW18" s="7152"/>
      <c r="LMX18" s="7153"/>
      <c r="LMY18" s="7153"/>
      <c r="LMZ18" s="7153"/>
      <c r="LNA18" s="7163"/>
      <c r="LNB18" s="7164"/>
      <c r="LNC18" s="7157"/>
      <c r="LND18" s="7157"/>
      <c r="LNE18" s="7157"/>
      <c r="LNF18" s="7157"/>
      <c r="LNG18" s="7158"/>
      <c r="LNH18" s="7158"/>
      <c r="LNI18" s="7158"/>
      <c r="LNJ18" s="7158"/>
      <c r="LNK18" s="7158"/>
      <c r="LNL18" s="7159"/>
      <c r="LNM18" s="7152"/>
      <c r="LNN18" s="7153"/>
      <c r="LNO18" s="7153"/>
      <c r="LNP18" s="7153"/>
      <c r="LNQ18" s="7163"/>
      <c r="LNR18" s="7164"/>
      <c r="LNS18" s="7157"/>
      <c r="LNT18" s="7157"/>
      <c r="LNU18" s="7157"/>
      <c r="LNV18" s="7157"/>
      <c r="LNW18" s="7158"/>
      <c r="LNX18" s="7158"/>
      <c r="LNY18" s="7158"/>
      <c r="LNZ18" s="7158"/>
      <c r="LOA18" s="7158"/>
      <c r="LOB18" s="7159"/>
      <c r="LOC18" s="7152"/>
      <c r="LOD18" s="7153"/>
      <c r="LOE18" s="7153"/>
      <c r="LOF18" s="7153"/>
      <c r="LOG18" s="7163"/>
      <c r="LOH18" s="7164"/>
      <c r="LOI18" s="7157"/>
      <c r="LOJ18" s="7157"/>
      <c r="LOK18" s="7157"/>
      <c r="LOL18" s="7157"/>
      <c r="LOM18" s="7158"/>
      <c r="LON18" s="7158"/>
      <c r="LOO18" s="7158"/>
      <c r="LOP18" s="7158"/>
      <c r="LOQ18" s="7158"/>
      <c r="LOR18" s="7159"/>
      <c r="LOS18" s="7152"/>
      <c r="LOT18" s="7153"/>
      <c r="LOU18" s="7153"/>
      <c r="LOV18" s="7153"/>
      <c r="LOW18" s="7163"/>
      <c r="LOX18" s="7164"/>
      <c r="LOY18" s="7157"/>
      <c r="LOZ18" s="7157"/>
      <c r="LPA18" s="7157"/>
      <c r="LPB18" s="7157"/>
      <c r="LPC18" s="7158"/>
      <c r="LPD18" s="7158"/>
      <c r="LPE18" s="7158"/>
      <c r="LPF18" s="7158"/>
      <c r="LPG18" s="7158"/>
      <c r="LPH18" s="7159"/>
      <c r="LPI18" s="7152"/>
      <c r="LPJ18" s="7153"/>
      <c r="LPK18" s="7153"/>
      <c r="LPL18" s="7153"/>
      <c r="LPM18" s="7163"/>
      <c r="LPN18" s="7164"/>
      <c r="LPO18" s="7157"/>
      <c r="LPP18" s="7157"/>
      <c r="LPQ18" s="7157"/>
      <c r="LPR18" s="7157"/>
      <c r="LPS18" s="7158"/>
      <c r="LPT18" s="7158"/>
      <c r="LPU18" s="7158"/>
      <c r="LPV18" s="7158"/>
      <c r="LPW18" s="7158"/>
      <c r="LPX18" s="7159"/>
      <c r="LPY18" s="7152"/>
      <c r="LPZ18" s="7153"/>
      <c r="LQA18" s="7153"/>
      <c r="LQB18" s="7153"/>
      <c r="LQC18" s="7163"/>
      <c r="LQD18" s="7164"/>
      <c r="LQE18" s="7157"/>
      <c r="LQF18" s="7157"/>
      <c r="LQG18" s="7157"/>
      <c r="LQH18" s="7157"/>
      <c r="LQI18" s="7158"/>
      <c r="LQJ18" s="7158"/>
      <c r="LQK18" s="7158"/>
      <c r="LQL18" s="7158"/>
      <c r="LQM18" s="7158"/>
      <c r="LQN18" s="7159"/>
      <c r="LQO18" s="7152"/>
      <c r="LQP18" s="7153"/>
      <c r="LQQ18" s="7153"/>
      <c r="LQR18" s="7153"/>
      <c r="LQS18" s="7163"/>
      <c r="LQT18" s="7164"/>
      <c r="LQU18" s="7157"/>
      <c r="LQV18" s="7157"/>
      <c r="LQW18" s="7157"/>
      <c r="LQX18" s="7157"/>
      <c r="LQY18" s="7158"/>
      <c r="LQZ18" s="7158"/>
      <c r="LRA18" s="7158"/>
      <c r="LRB18" s="7158"/>
      <c r="LRC18" s="7158"/>
      <c r="LRD18" s="7159"/>
      <c r="LRE18" s="7152"/>
      <c r="LRF18" s="7153"/>
      <c r="LRG18" s="7153"/>
      <c r="LRH18" s="7153"/>
      <c r="LRI18" s="7163"/>
      <c r="LRJ18" s="7164"/>
      <c r="LRK18" s="7157"/>
      <c r="LRL18" s="7157"/>
      <c r="LRM18" s="7157"/>
      <c r="LRN18" s="7157"/>
      <c r="LRO18" s="7158"/>
      <c r="LRP18" s="7158"/>
      <c r="LRQ18" s="7158"/>
      <c r="LRR18" s="7158"/>
      <c r="LRS18" s="7158"/>
      <c r="LRT18" s="7159"/>
      <c r="LRU18" s="7152"/>
      <c r="LRV18" s="7153"/>
      <c r="LRW18" s="7153"/>
      <c r="LRX18" s="7153"/>
      <c r="LRY18" s="7163"/>
      <c r="LRZ18" s="7164"/>
      <c r="LSA18" s="7157"/>
      <c r="LSB18" s="7157"/>
      <c r="LSC18" s="7157"/>
      <c r="LSD18" s="7157"/>
      <c r="LSE18" s="7158"/>
      <c r="LSF18" s="7158"/>
      <c r="LSG18" s="7158"/>
      <c r="LSH18" s="7158"/>
      <c r="LSI18" s="7158"/>
      <c r="LSJ18" s="7159"/>
      <c r="LSK18" s="7152"/>
      <c r="LSL18" s="7153"/>
      <c r="LSM18" s="7153"/>
      <c r="LSN18" s="7153"/>
      <c r="LSO18" s="7163"/>
      <c r="LSP18" s="7164"/>
      <c r="LSQ18" s="7157"/>
      <c r="LSR18" s="7157"/>
      <c r="LSS18" s="7157"/>
      <c r="LST18" s="7157"/>
      <c r="LSU18" s="7158"/>
      <c r="LSV18" s="7158"/>
      <c r="LSW18" s="7158"/>
      <c r="LSX18" s="7158"/>
      <c r="LSY18" s="7158"/>
      <c r="LSZ18" s="7159"/>
      <c r="LTA18" s="7152"/>
      <c r="LTB18" s="7153"/>
      <c r="LTC18" s="7153"/>
      <c r="LTD18" s="7153"/>
      <c r="LTE18" s="7163"/>
      <c r="LTF18" s="7164"/>
      <c r="LTG18" s="7157"/>
      <c r="LTH18" s="7157"/>
      <c r="LTI18" s="7157"/>
      <c r="LTJ18" s="7157"/>
      <c r="LTK18" s="7158"/>
      <c r="LTL18" s="7158"/>
      <c r="LTM18" s="7158"/>
      <c r="LTN18" s="7158"/>
      <c r="LTO18" s="7158"/>
      <c r="LTP18" s="7159"/>
      <c r="LTQ18" s="7152"/>
      <c r="LTR18" s="7153"/>
      <c r="LTS18" s="7153"/>
      <c r="LTT18" s="7153"/>
      <c r="LTU18" s="7163"/>
      <c r="LTV18" s="7164"/>
      <c r="LTW18" s="7157"/>
      <c r="LTX18" s="7157"/>
      <c r="LTY18" s="7157"/>
      <c r="LTZ18" s="7157"/>
      <c r="LUA18" s="7158"/>
      <c r="LUB18" s="7158"/>
      <c r="LUC18" s="7158"/>
      <c r="LUD18" s="7158"/>
      <c r="LUE18" s="7158"/>
      <c r="LUF18" s="7159"/>
      <c r="LUG18" s="7152"/>
      <c r="LUH18" s="7153"/>
      <c r="LUI18" s="7153"/>
      <c r="LUJ18" s="7153"/>
      <c r="LUK18" s="7163"/>
      <c r="LUL18" s="7164"/>
      <c r="LUM18" s="7157"/>
      <c r="LUN18" s="7157"/>
      <c r="LUO18" s="7157"/>
      <c r="LUP18" s="7157"/>
      <c r="LUQ18" s="7158"/>
      <c r="LUR18" s="7158"/>
      <c r="LUS18" s="7158"/>
      <c r="LUT18" s="7158"/>
      <c r="LUU18" s="7158"/>
      <c r="LUV18" s="7159"/>
      <c r="LUW18" s="7152"/>
      <c r="LUX18" s="7153"/>
      <c r="LUY18" s="7153"/>
      <c r="LUZ18" s="7153"/>
      <c r="LVA18" s="7163"/>
      <c r="LVB18" s="7164"/>
      <c r="LVC18" s="7157"/>
      <c r="LVD18" s="7157"/>
      <c r="LVE18" s="7157"/>
      <c r="LVF18" s="7157"/>
      <c r="LVG18" s="7158"/>
      <c r="LVH18" s="7158"/>
      <c r="LVI18" s="7158"/>
      <c r="LVJ18" s="7158"/>
      <c r="LVK18" s="7158"/>
      <c r="LVL18" s="7159"/>
      <c r="LVM18" s="7152"/>
      <c r="LVN18" s="7153"/>
      <c r="LVO18" s="7153"/>
      <c r="LVP18" s="7153"/>
      <c r="LVQ18" s="7163"/>
      <c r="LVR18" s="7164"/>
      <c r="LVS18" s="7157"/>
      <c r="LVT18" s="7157"/>
      <c r="LVU18" s="7157"/>
      <c r="LVV18" s="7157"/>
      <c r="LVW18" s="7158"/>
      <c r="LVX18" s="7158"/>
      <c r="LVY18" s="7158"/>
      <c r="LVZ18" s="7158"/>
      <c r="LWA18" s="7158"/>
      <c r="LWB18" s="7159"/>
      <c r="LWC18" s="7152"/>
      <c r="LWD18" s="7153"/>
      <c r="LWE18" s="7153"/>
      <c r="LWF18" s="7153"/>
      <c r="LWG18" s="7163"/>
      <c r="LWH18" s="7164"/>
      <c r="LWI18" s="7157"/>
      <c r="LWJ18" s="7157"/>
      <c r="LWK18" s="7157"/>
      <c r="LWL18" s="7157"/>
      <c r="LWM18" s="7158"/>
      <c r="LWN18" s="7158"/>
      <c r="LWO18" s="7158"/>
      <c r="LWP18" s="7158"/>
      <c r="LWQ18" s="7158"/>
      <c r="LWR18" s="7159"/>
      <c r="LWS18" s="7152"/>
      <c r="LWT18" s="7153"/>
      <c r="LWU18" s="7153"/>
      <c r="LWV18" s="7153"/>
      <c r="LWW18" s="7163"/>
      <c r="LWX18" s="7164"/>
      <c r="LWY18" s="7157"/>
      <c r="LWZ18" s="7157"/>
      <c r="LXA18" s="7157"/>
      <c r="LXB18" s="7157"/>
      <c r="LXC18" s="7158"/>
      <c r="LXD18" s="7158"/>
      <c r="LXE18" s="7158"/>
      <c r="LXF18" s="7158"/>
      <c r="LXG18" s="7158"/>
      <c r="LXH18" s="7159"/>
      <c r="LXI18" s="7152"/>
      <c r="LXJ18" s="7153"/>
      <c r="LXK18" s="7153"/>
      <c r="LXL18" s="7153"/>
      <c r="LXM18" s="7163"/>
      <c r="LXN18" s="7164"/>
      <c r="LXO18" s="7157"/>
      <c r="LXP18" s="7157"/>
      <c r="LXQ18" s="7157"/>
      <c r="LXR18" s="7157"/>
      <c r="LXS18" s="7158"/>
      <c r="LXT18" s="7158"/>
      <c r="LXU18" s="7158"/>
      <c r="LXV18" s="7158"/>
      <c r="LXW18" s="7158"/>
      <c r="LXX18" s="7159"/>
      <c r="LXY18" s="7152"/>
      <c r="LXZ18" s="7153"/>
      <c r="LYA18" s="7153"/>
      <c r="LYB18" s="7153"/>
      <c r="LYC18" s="7163"/>
      <c r="LYD18" s="7164"/>
      <c r="LYE18" s="7157"/>
      <c r="LYF18" s="7157"/>
      <c r="LYG18" s="7157"/>
      <c r="LYH18" s="7157"/>
      <c r="LYI18" s="7158"/>
      <c r="LYJ18" s="7158"/>
      <c r="LYK18" s="7158"/>
      <c r="LYL18" s="7158"/>
      <c r="LYM18" s="7158"/>
      <c r="LYN18" s="7159"/>
      <c r="LYO18" s="7152"/>
      <c r="LYP18" s="7153"/>
      <c r="LYQ18" s="7153"/>
      <c r="LYR18" s="7153"/>
      <c r="LYS18" s="7163"/>
      <c r="LYT18" s="7164"/>
      <c r="LYU18" s="7157"/>
      <c r="LYV18" s="7157"/>
      <c r="LYW18" s="7157"/>
      <c r="LYX18" s="7157"/>
      <c r="LYY18" s="7158"/>
      <c r="LYZ18" s="7158"/>
      <c r="LZA18" s="7158"/>
      <c r="LZB18" s="7158"/>
      <c r="LZC18" s="7158"/>
      <c r="LZD18" s="7159"/>
      <c r="LZE18" s="7152"/>
      <c r="LZF18" s="7153"/>
      <c r="LZG18" s="7153"/>
      <c r="LZH18" s="7153"/>
      <c r="LZI18" s="7163"/>
      <c r="LZJ18" s="7164"/>
      <c r="LZK18" s="7157"/>
      <c r="LZL18" s="7157"/>
      <c r="LZM18" s="7157"/>
      <c r="LZN18" s="7157"/>
      <c r="LZO18" s="7158"/>
      <c r="LZP18" s="7158"/>
      <c r="LZQ18" s="7158"/>
      <c r="LZR18" s="7158"/>
      <c r="LZS18" s="7158"/>
      <c r="LZT18" s="7159"/>
      <c r="LZU18" s="7152"/>
      <c r="LZV18" s="7153"/>
      <c r="LZW18" s="7153"/>
      <c r="LZX18" s="7153"/>
      <c r="LZY18" s="7163"/>
      <c r="LZZ18" s="7164"/>
      <c r="MAA18" s="7157"/>
      <c r="MAB18" s="7157"/>
      <c r="MAC18" s="7157"/>
      <c r="MAD18" s="7157"/>
      <c r="MAE18" s="7158"/>
      <c r="MAF18" s="7158"/>
      <c r="MAG18" s="7158"/>
      <c r="MAH18" s="7158"/>
      <c r="MAI18" s="7158"/>
      <c r="MAJ18" s="7159"/>
      <c r="MAK18" s="7152"/>
      <c r="MAL18" s="7153"/>
      <c r="MAM18" s="7153"/>
      <c r="MAN18" s="7153"/>
      <c r="MAO18" s="7163"/>
      <c r="MAP18" s="7164"/>
      <c r="MAQ18" s="7157"/>
      <c r="MAR18" s="7157"/>
      <c r="MAS18" s="7157"/>
      <c r="MAT18" s="7157"/>
      <c r="MAU18" s="7158"/>
      <c r="MAV18" s="7158"/>
      <c r="MAW18" s="7158"/>
      <c r="MAX18" s="7158"/>
      <c r="MAY18" s="7158"/>
      <c r="MAZ18" s="7159"/>
      <c r="MBA18" s="7152"/>
      <c r="MBB18" s="7153"/>
      <c r="MBC18" s="7153"/>
      <c r="MBD18" s="7153"/>
      <c r="MBE18" s="7163"/>
      <c r="MBF18" s="7164"/>
      <c r="MBG18" s="7157"/>
      <c r="MBH18" s="7157"/>
      <c r="MBI18" s="7157"/>
      <c r="MBJ18" s="7157"/>
      <c r="MBK18" s="7158"/>
      <c r="MBL18" s="7158"/>
      <c r="MBM18" s="7158"/>
      <c r="MBN18" s="7158"/>
      <c r="MBO18" s="7158"/>
      <c r="MBP18" s="7159"/>
      <c r="MBQ18" s="7152"/>
      <c r="MBR18" s="7153"/>
      <c r="MBS18" s="7153"/>
      <c r="MBT18" s="7153"/>
      <c r="MBU18" s="7163"/>
      <c r="MBV18" s="7164"/>
      <c r="MBW18" s="7157"/>
      <c r="MBX18" s="7157"/>
      <c r="MBY18" s="7157"/>
      <c r="MBZ18" s="7157"/>
      <c r="MCA18" s="7158"/>
      <c r="MCB18" s="7158"/>
      <c r="MCC18" s="7158"/>
      <c r="MCD18" s="7158"/>
      <c r="MCE18" s="7158"/>
      <c r="MCF18" s="7159"/>
      <c r="MCG18" s="7152"/>
      <c r="MCH18" s="7153"/>
      <c r="MCI18" s="7153"/>
      <c r="MCJ18" s="7153"/>
      <c r="MCK18" s="7163"/>
      <c r="MCL18" s="7164"/>
      <c r="MCM18" s="7157"/>
      <c r="MCN18" s="7157"/>
      <c r="MCO18" s="7157"/>
      <c r="MCP18" s="7157"/>
      <c r="MCQ18" s="7158"/>
      <c r="MCR18" s="7158"/>
      <c r="MCS18" s="7158"/>
      <c r="MCT18" s="7158"/>
      <c r="MCU18" s="7158"/>
      <c r="MCV18" s="7159"/>
      <c r="MCW18" s="7152"/>
      <c r="MCX18" s="7153"/>
      <c r="MCY18" s="7153"/>
      <c r="MCZ18" s="7153"/>
      <c r="MDA18" s="7163"/>
      <c r="MDB18" s="7164"/>
      <c r="MDC18" s="7157"/>
      <c r="MDD18" s="7157"/>
      <c r="MDE18" s="7157"/>
      <c r="MDF18" s="7157"/>
      <c r="MDG18" s="7158"/>
      <c r="MDH18" s="7158"/>
      <c r="MDI18" s="7158"/>
      <c r="MDJ18" s="7158"/>
      <c r="MDK18" s="7158"/>
      <c r="MDL18" s="7159"/>
      <c r="MDM18" s="7152"/>
      <c r="MDN18" s="7153"/>
      <c r="MDO18" s="7153"/>
      <c r="MDP18" s="7153"/>
      <c r="MDQ18" s="7163"/>
      <c r="MDR18" s="7164"/>
      <c r="MDS18" s="7157"/>
      <c r="MDT18" s="7157"/>
      <c r="MDU18" s="7157"/>
      <c r="MDV18" s="7157"/>
      <c r="MDW18" s="7158"/>
      <c r="MDX18" s="7158"/>
      <c r="MDY18" s="7158"/>
      <c r="MDZ18" s="7158"/>
      <c r="MEA18" s="7158"/>
      <c r="MEB18" s="7159"/>
      <c r="MEC18" s="7152"/>
      <c r="MED18" s="7153"/>
      <c r="MEE18" s="7153"/>
      <c r="MEF18" s="7153"/>
      <c r="MEG18" s="7163"/>
      <c r="MEH18" s="7164"/>
      <c r="MEI18" s="7157"/>
      <c r="MEJ18" s="7157"/>
      <c r="MEK18" s="7157"/>
      <c r="MEL18" s="7157"/>
      <c r="MEM18" s="7158"/>
      <c r="MEN18" s="7158"/>
      <c r="MEO18" s="7158"/>
      <c r="MEP18" s="7158"/>
      <c r="MEQ18" s="7158"/>
      <c r="MER18" s="7159"/>
      <c r="MES18" s="7152"/>
      <c r="MET18" s="7153"/>
      <c r="MEU18" s="7153"/>
      <c r="MEV18" s="7153"/>
      <c r="MEW18" s="7163"/>
      <c r="MEX18" s="7164"/>
      <c r="MEY18" s="7157"/>
      <c r="MEZ18" s="7157"/>
      <c r="MFA18" s="7157"/>
      <c r="MFB18" s="7157"/>
      <c r="MFC18" s="7158"/>
      <c r="MFD18" s="7158"/>
      <c r="MFE18" s="7158"/>
      <c r="MFF18" s="7158"/>
      <c r="MFG18" s="7158"/>
      <c r="MFH18" s="7159"/>
      <c r="MFI18" s="7152"/>
      <c r="MFJ18" s="7153"/>
      <c r="MFK18" s="7153"/>
      <c r="MFL18" s="7153"/>
      <c r="MFM18" s="7163"/>
      <c r="MFN18" s="7164"/>
      <c r="MFO18" s="7157"/>
      <c r="MFP18" s="7157"/>
      <c r="MFQ18" s="7157"/>
      <c r="MFR18" s="7157"/>
      <c r="MFS18" s="7158"/>
      <c r="MFT18" s="7158"/>
      <c r="MFU18" s="7158"/>
      <c r="MFV18" s="7158"/>
      <c r="MFW18" s="7158"/>
      <c r="MFX18" s="7159"/>
      <c r="MFY18" s="7152"/>
      <c r="MFZ18" s="7153"/>
      <c r="MGA18" s="7153"/>
      <c r="MGB18" s="7153"/>
      <c r="MGC18" s="7163"/>
      <c r="MGD18" s="7164"/>
      <c r="MGE18" s="7157"/>
      <c r="MGF18" s="7157"/>
      <c r="MGG18" s="7157"/>
      <c r="MGH18" s="7157"/>
      <c r="MGI18" s="7158"/>
      <c r="MGJ18" s="7158"/>
      <c r="MGK18" s="7158"/>
      <c r="MGL18" s="7158"/>
      <c r="MGM18" s="7158"/>
      <c r="MGN18" s="7159"/>
      <c r="MGO18" s="7152"/>
      <c r="MGP18" s="7153"/>
      <c r="MGQ18" s="7153"/>
      <c r="MGR18" s="7153"/>
      <c r="MGS18" s="7163"/>
      <c r="MGT18" s="7164"/>
      <c r="MGU18" s="7157"/>
      <c r="MGV18" s="7157"/>
      <c r="MGW18" s="7157"/>
      <c r="MGX18" s="7157"/>
      <c r="MGY18" s="7158"/>
      <c r="MGZ18" s="7158"/>
      <c r="MHA18" s="7158"/>
      <c r="MHB18" s="7158"/>
      <c r="MHC18" s="7158"/>
      <c r="MHD18" s="7159"/>
      <c r="MHE18" s="7152"/>
      <c r="MHF18" s="7153"/>
      <c r="MHG18" s="7153"/>
      <c r="MHH18" s="7153"/>
      <c r="MHI18" s="7163"/>
      <c r="MHJ18" s="7164"/>
      <c r="MHK18" s="7157"/>
      <c r="MHL18" s="7157"/>
      <c r="MHM18" s="7157"/>
      <c r="MHN18" s="7157"/>
      <c r="MHO18" s="7158"/>
      <c r="MHP18" s="7158"/>
      <c r="MHQ18" s="7158"/>
      <c r="MHR18" s="7158"/>
      <c r="MHS18" s="7158"/>
      <c r="MHT18" s="7159"/>
      <c r="MHU18" s="7152"/>
      <c r="MHV18" s="7153"/>
      <c r="MHW18" s="7153"/>
      <c r="MHX18" s="7153"/>
      <c r="MHY18" s="7163"/>
      <c r="MHZ18" s="7164"/>
      <c r="MIA18" s="7157"/>
      <c r="MIB18" s="7157"/>
      <c r="MIC18" s="7157"/>
      <c r="MID18" s="7157"/>
      <c r="MIE18" s="7158"/>
      <c r="MIF18" s="7158"/>
      <c r="MIG18" s="7158"/>
      <c r="MIH18" s="7158"/>
      <c r="MII18" s="7158"/>
      <c r="MIJ18" s="7159"/>
      <c r="MIK18" s="7152"/>
      <c r="MIL18" s="7153"/>
      <c r="MIM18" s="7153"/>
      <c r="MIN18" s="7153"/>
      <c r="MIO18" s="7163"/>
      <c r="MIP18" s="7164"/>
      <c r="MIQ18" s="7157"/>
      <c r="MIR18" s="7157"/>
      <c r="MIS18" s="7157"/>
      <c r="MIT18" s="7157"/>
      <c r="MIU18" s="7158"/>
      <c r="MIV18" s="7158"/>
      <c r="MIW18" s="7158"/>
      <c r="MIX18" s="7158"/>
      <c r="MIY18" s="7158"/>
      <c r="MIZ18" s="7159"/>
      <c r="MJA18" s="7152"/>
      <c r="MJB18" s="7153"/>
      <c r="MJC18" s="7153"/>
      <c r="MJD18" s="7153"/>
      <c r="MJE18" s="7163"/>
      <c r="MJF18" s="7164"/>
      <c r="MJG18" s="7157"/>
      <c r="MJH18" s="7157"/>
      <c r="MJI18" s="7157"/>
      <c r="MJJ18" s="7157"/>
      <c r="MJK18" s="7158"/>
      <c r="MJL18" s="7158"/>
      <c r="MJM18" s="7158"/>
      <c r="MJN18" s="7158"/>
      <c r="MJO18" s="7158"/>
      <c r="MJP18" s="7159"/>
      <c r="MJQ18" s="7152"/>
      <c r="MJR18" s="7153"/>
      <c r="MJS18" s="7153"/>
      <c r="MJT18" s="7153"/>
      <c r="MJU18" s="7163"/>
      <c r="MJV18" s="7164"/>
      <c r="MJW18" s="7157"/>
      <c r="MJX18" s="7157"/>
      <c r="MJY18" s="7157"/>
      <c r="MJZ18" s="7157"/>
      <c r="MKA18" s="7158"/>
      <c r="MKB18" s="7158"/>
      <c r="MKC18" s="7158"/>
      <c r="MKD18" s="7158"/>
      <c r="MKE18" s="7158"/>
      <c r="MKF18" s="7159"/>
      <c r="MKG18" s="7152"/>
      <c r="MKH18" s="7153"/>
      <c r="MKI18" s="7153"/>
      <c r="MKJ18" s="7153"/>
      <c r="MKK18" s="7163"/>
      <c r="MKL18" s="7164"/>
      <c r="MKM18" s="7157"/>
      <c r="MKN18" s="7157"/>
      <c r="MKO18" s="7157"/>
      <c r="MKP18" s="7157"/>
      <c r="MKQ18" s="7158"/>
      <c r="MKR18" s="7158"/>
      <c r="MKS18" s="7158"/>
      <c r="MKT18" s="7158"/>
      <c r="MKU18" s="7158"/>
      <c r="MKV18" s="7159"/>
      <c r="MKW18" s="7152"/>
      <c r="MKX18" s="7153"/>
      <c r="MKY18" s="7153"/>
      <c r="MKZ18" s="7153"/>
      <c r="MLA18" s="7163"/>
      <c r="MLB18" s="7164"/>
      <c r="MLC18" s="7157"/>
      <c r="MLD18" s="7157"/>
      <c r="MLE18" s="7157"/>
      <c r="MLF18" s="7157"/>
      <c r="MLG18" s="7158"/>
      <c r="MLH18" s="7158"/>
      <c r="MLI18" s="7158"/>
      <c r="MLJ18" s="7158"/>
      <c r="MLK18" s="7158"/>
      <c r="MLL18" s="7159"/>
      <c r="MLM18" s="7152"/>
      <c r="MLN18" s="7153"/>
      <c r="MLO18" s="7153"/>
      <c r="MLP18" s="7153"/>
      <c r="MLQ18" s="7163"/>
      <c r="MLR18" s="7164"/>
      <c r="MLS18" s="7157"/>
      <c r="MLT18" s="7157"/>
      <c r="MLU18" s="7157"/>
      <c r="MLV18" s="7157"/>
      <c r="MLW18" s="7158"/>
      <c r="MLX18" s="7158"/>
      <c r="MLY18" s="7158"/>
      <c r="MLZ18" s="7158"/>
      <c r="MMA18" s="7158"/>
      <c r="MMB18" s="7159"/>
      <c r="MMC18" s="7152"/>
      <c r="MMD18" s="7153"/>
      <c r="MME18" s="7153"/>
      <c r="MMF18" s="7153"/>
      <c r="MMG18" s="7163"/>
      <c r="MMH18" s="7164"/>
      <c r="MMI18" s="7157"/>
      <c r="MMJ18" s="7157"/>
      <c r="MMK18" s="7157"/>
      <c r="MML18" s="7157"/>
      <c r="MMM18" s="7158"/>
      <c r="MMN18" s="7158"/>
      <c r="MMO18" s="7158"/>
      <c r="MMP18" s="7158"/>
      <c r="MMQ18" s="7158"/>
      <c r="MMR18" s="7159"/>
      <c r="MMS18" s="7152"/>
      <c r="MMT18" s="7153"/>
      <c r="MMU18" s="7153"/>
      <c r="MMV18" s="7153"/>
      <c r="MMW18" s="7163"/>
      <c r="MMX18" s="7164"/>
      <c r="MMY18" s="7157"/>
      <c r="MMZ18" s="7157"/>
      <c r="MNA18" s="7157"/>
      <c r="MNB18" s="7157"/>
      <c r="MNC18" s="7158"/>
      <c r="MND18" s="7158"/>
      <c r="MNE18" s="7158"/>
      <c r="MNF18" s="7158"/>
      <c r="MNG18" s="7158"/>
      <c r="MNH18" s="7159"/>
      <c r="MNI18" s="7152"/>
      <c r="MNJ18" s="7153"/>
      <c r="MNK18" s="7153"/>
      <c r="MNL18" s="7153"/>
      <c r="MNM18" s="7163"/>
      <c r="MNN18" s="7164"/>
      <c r="MNO18" s="7157"/>
      <c r="MNP18" s="7157"/>
      <c r="MNQ18" s="7157"/>
      <c r="MNR18" s="7157"/>
      <c r="MNS18" s="7158"/>
      <c r="MNT18" s="7158"/>
      <c r="MNU18" s="7158"/>
      <c r="MNV18" s="7158"/>
      <c r="MNW18" s="7158"/>
      <c r="MNX18" s="7159"/>
      <c r="MNY18" s="7152"/>
      <c r="MNZ18" s="7153"/>
      <c r="MOA18" s="7153"/>
      <c r="MOB18" s="7153"/>
      <c r="MOC18" s="7163"/>
      <c r="MOD18" s="7164"/>
      <c r="MOE18" s="7157"/>
      <c r="MOF18" s="7157"/>
      <c r="MOG18" s="7157"/>
      <c r="MOH18" s="7157"/>
      <c r="MOI18" s="7158"/>
      <c r="MOJ18" s="7158"/>
      <c r="MOK18" s="7158"/>
      <c r="MOL18" s="7158"/>
      <c r="MOM18" s="7158"/>
      <c r="MON18" s="7159"/>
      <c r="MOO18" s="7152"/>
      <c r="MOP18" s="7153"/>
      <c r="MOQ18" s="7153"/>
      <c r="MOR18" s="7153"/>
      <c r="MOS18" s="7163"/>
      <c r="MOT18" s="7164"/>
      <c r="MOU18" s="7157"/>
      <c r="MOV18" s="7157"/>
      <c r="MOW18" s="7157"/>
      <c r="MOX18" s="7157"/>
      <c r="MOY18" s="7158"/>
      <c r="MOZ18" s="7158"/>
      <c r="MPA18" s="7158"/>
      <c r="MPB18" s="7158"/>
      <c r="MPC18" s="7158"/>
      <c r="MPD18" s="7159"/>
      <c r="MPE18" s="7152"/>
      <c r="MPF18" s="7153"/>
      <c r="MPG18" s="7153"/>
      <c r="MPH18" s="7153"/>
      <c r="MPI18" s="7163"/>
      <c r="MPJ18" s="7164"/>
      <c r="MPK18" s="7157"/>
      <c r="MPL18" s="7157"/>
      <c r="MPM18" s="7157"/>
      <c r="MPN18" s="7157"/>
      <c r="MPO18" s="7158"/>
      <c r="MPP18" s="7158"/>
      <c r="MPQ18" s="7158"/>
      <c r="MPR18" s="7158"/>
      <c r="MPS18" s="7158"/>
      <c r="MPT18" s="7159"/>
      <c r="MPU18" s="7152"/>
      <c r="MPV18" s="7153"/>
      <c r="MPW18" s="7153"/>
      <c r="MPX18" s="7153"/>
      <c r="MPY18" s="7163"/>
      <c r="MPZ18" s="7164"/>
      <c r="MQA18" s="7157"/>
      <c r="MQB18" s="7157"/>
      <c r="MQC18" s="7157"/>
      <c r="MQD18" s="7157"/>
      <c r="MQE18" s="7158"/>
      <c r="MQF18" s="7158"/>
      <c r="MQG18" s="7158"/>
      <c r="MQH18" s="7158"/>
      <c r="MQI18" s="7158"/>
      <c r="MQJ18" s="7159"/>
      <c r="MQK18" s="7152"/>
      <c r="MQL18" s="7153"/>
      <c r="MQM18" s="7153"/>
      <c r="MQN18" s="7153"/>
      <c r="MQO18" s="7163"/>
      <c r="MQP18" s="7164"/>
      <c r="MQQ18" s="7157"/>
      <c r="MQR18" s="7157"/>
      <c r="MQS18" s="7157"/>
      <c r="MQT18" s="7157"/>
      <c r="MQU18" s="7158"/>
      <c r="MQV18" s="7158"/>
      <c r="MQW18" s="7158"/>
      <c r="MQX18" s="7158"/>
      <c r="MQY18" s="7158"/>
      <c r="MQZ18" s="7159"/>
      <c r="MRA18" s="7152"/>
      <c r="MRB18" s="7153"/>
      <c r="MRC18" s="7153"/>
      <c r="MRD18" s="7153"/>
      <c r="MRE18" s="7163"/>
      <c r="MRF18" s="7164"/>
      <c r="MRG18" s="7157"/>
      <c r="MRH18" s="7157"/>
      <c r="MRI18" s="7157"/>
      <c r="MRJ18" s="7157"/>
      <c r="MRK18" s="7158"/>
      <c r="MRL18" s="7158"/>
      <c r="MRM18" s="7158"/>
      <c r="MRN18" s="7158"/>
      <c r="MRO18" s="7158"/>
      <c r="MRP18" s="7159"/>
      <c r="MRQ18" s="7152"/>
      <c r="MRR18" s="7153"/>
      <c r="MRS18" s="7153"/>
      <c r="MRT18" s="7153"/>
      <c r="MRU18" s="7163"/>
      <c r="MRV18" s="7164"/>
      <c r="MRW18" s="7157"/>
      <c r="MRX18" s="7157"/>
      <c r="MRY18" s="7157"/>
      <c r="MRZ18" s="7157"/>
      <c r="MSA18" s="7158"/>
      <c r="MSB18" s="7158"/>
      <c r="MSC18" s="7158"/>
      <c r="MSD18" s="7158"/>
      <c r="MSE18" s="7158"/>
      <c r="MSF18" s="7159"/>
      <c r="MSG18" s="7152"/>
      <c r="MSH18" s="7153"/>
      <c r="MSI18" s="7153"/>
      <c r="MSJ18" s="7153"/>
      <c r="MSK18" s="7163"/>
      <c r="MSL18" s="7164"/>
      <c r="MSM18" s="7157"/>
      <c r="MSN18" s="7157"/>
      <c r="MSO18" s="7157"/>
      <c r="MSP18" s="7157"/>
      <c r="MSQ18" s="7158"/>
      <c r="MSR18" s="7158"/>
      <c r="MSS18" s="7158"/>
      <c r="MST18" s="7158"/>
      <c r="MSU18" s="7158"/>
      <c r="MSV18" s="7159"/>
      <c r="MSW18" s="7152"/>
      <c r="MSX18" s="7153"/>
      <c r="MSY18" s="7153"/>
      <c r="MSZ18" s="7153"/>
      <c r="MTA18" s="7163"/>
      <c r="MTB18" s="7164"/>
      <c r="MTC18" s="7157"/>
      <c r="MTD18" s="7157"/>
      <c r="MTE18" s="7157"/>
      <c r="MTF18" s="7157"/>
      <c r="MTG18" s="7158"/>
      <c r="MTH18" s="7158"/>
      <c r="MTI18" s="7158"/>
      <c r="MTJ18" s="7158"/>
      <c r="MTK18" s="7158"/>
      <c r="MTL18" s="7159"/>
      <c r="MTM18" s="7152"/>
      <c r="MTN18" s="7153"/>
      <c r="MTO18" s="7153"/>
      <c r="MTP18" s="7153"/>
      <c r="MTQ18" s="7163"/>
      <c r="MTR18" s="7164"/>
      <c r="MTS18" s="7157"/>
      <c r="MTT18" s="7157"/>
      <c r="MTU18" s="7157"/>
      <c r="MTV18" s="7157"/>
      <c r="MTW18" s="7158"/>
      <c r="MTX18" s="7158"/>
      <c r="MTY18" s="7158"/>
      <c r="MTZ18" s="7158"/>
      <c r="MUA18" s="7158"/>
      <c r="MUB18" s="7159"/>
      <c r="MUC18" s="7152"/>
      <c r="MUD18" s="7153"/>
      <c r="MUE18" s="7153"/>
      <c r="MUF18" s="7153"/>
      <c r="MUG18" s="7163"/>
      <c r="MUH18" s="7164"/>
      <c r="MUI18" s="7157"/>
      <c r="MUJ18" s="7157"/>
      <c r="MUK18" s="7157"/>
      <c r="MUL18" s="7157"/>
      <c r="MUM18" s="7158"/>
      <c r="MUN18" s="7158"/>
      <c r="MUO18" s="7158"/>
      <c r="MUP18" s="7158"/>
      <c r="MUQ18" s="7158"/>
      <c r="MUR18" s="7159"/>
      <c r="MUS18" s="7152"/>
      <c r="MUT18" s="7153"/>
      <c r="MUU18" s="7153"/>
      <c r="MUV18" s="7153"/>
      <c r="MUW18" s="7163"/>
      <c r="MUX18" s="7164"/>
      <c r="MUY18" s="7157"/>
      <c r="MUZ18" s="7157"/>
      <c r="MVA18" s="7157"/>
      <c r="MVB18" s="7157"/>
      <c r="MVC18" s="7158"/>
      <c r="MVD18" s="7158"/>
      <c r="MVE18" s="7158"/>
      <c r="MVF18" s="7158"/>
      <c r="MVG18" s="7158"/>
      <c r="MVH18" s="7159"/>
      <c r="MVI18" s="7152"/>
      <c r="MVJ18" s="7153"/>
      <c r="MVK18" s="7153"/>
      <c r="MVL18" s="7153"/>
      <c r="MVM18" s="7163"/>
      <c r="MVN18" s="7164"/>
      <c r="MVO18" s="7157"/>
      <c r="MVP18" s="7157"/>
      <c r="MVQ18" s="7157"/>
      <c r="MVR18" s="7157"/>
      <c r="MVS18" s="7158"/>
      <c r="MVT18" s="7158"/>
      <c r="MVU18" s="7158"/>
      <c r="MVV18" s="7158"/>
      <c r="MVW18" s="7158"/>
      <c r="MVX18" s="7159"/>
      <c r="MVY18" s="7152"/>
      <c r="MVZ18" s="7153"/>
      <c r="MWA18" s="7153"/>
      <c r="MWB18" s="7153"/>
      <c r="MWC18" s="7163"/>
      <c r="MWD18" s="7164"/>
      <c r="MWE18" s="7157"/>
      <c r="MWF18" s="7157"/>
      <c r="MWG18" s="7157"/>
      <c r="MWH18" s="7157"/>
      <c r="MWI18" s="7158"/>
      <c r="MWJ18" s="7158"/>
      <c r="MWK18" s="7158"/>
      <c r="MWL18" s="7158"/>
      <c r="MWM18" s="7158"/>
      <c r="MWN18" s="7159"/>
      <c r="MWO18" s="7152"/>
      <c r="MWP18" s="7153"/>
      <c r="MWQ18" s="7153"/>
      <c r="MWR18" s="7153"/>
      <c r="MWS18" s="7163"/>
      <c r="MWT18" s="7164"/>
      <c r="MWU18" s="7157"/>
      <c r="MWV18" s="7157"/>
      <c r="MWW18" s="7157"/>
      <c r="MWX18" s="7157"/>
      <c r="MWY18" s="7158"/>
      <c r="MWZ18" s="7158"/>
      <c r="MXA18" s="7158"/>
      <c r="MXB18" s="7158"/>
      <c r="MXC18" s="7158"/>
      <c r="MXD18" s="7159"/>
      <c r="MXE18" s="7152"/>
      <c r="MXF18" s="7153"/>
      <c r="MXG18" s="7153"/>
      <c r="MXH18" s="7153"/>
      <c r="MXI18" s="7163"/>
      <c r="MXJ18" s="7164"/>
      <c r="MXK18" s="7157"/>
      <c r="MXL18" s="7157"/>
      <c r="MXM18" s="7157"/>
      <c r="MXN18" s="7157"/>
      <c r="MXO18" s="7158"/>
      <c r="MXP18" s="7158"/>
      <c r="MXQ18" s="7158"/>
      <c r="MXR18" s="7158"/>
      <c r="MXS18" s="7158"/>
      <c r="MXT18" s="7159"/>
      <c r="MXU18" s="7152"/>
      <c r="MXV18" s="7153"/>
      <c r="MXW18" s="7153"/>
      <c r="MXX18" s="7153"/>
      <c r="MXY18" s="7163"/>
      <c r="MXZ18" s="7164"/>
      <c r="MYA18" s="7157"/>
      <c r="MYB18" s="7157"/>
      <c r="MYC18" s="7157"/>
      <c r="MYD18" s="7157"/>
      <c r="MYE18" s="7158"/>
      <c r="MYF18" s="7158"/>
      <c r="MYG18" s="7158"/>
      <c r="MYH18" s="7158"/>
      <c r="MYI18" s="7158"/>
      <c r="MYJ18" s="7159"/>
      <c r="MYK18" s="7152"/>
      <c r="MYL18" s="7153"/>
      <c r="MYM18" s="7153"/>
      <c r="MYN18" s="7153"/>
      <c r="MYO18" s="7163"/>
      <c r="MYP18" s="7164"/>
      <c r="MYQ18" s="7157"/>
      <c r="MYR18" s="7157"/>
      <c r="MYS18" s="7157"/>
      <c r="MYT18" s="7157"/>
      <c r="MYU18" s="7158"/>
      <c r="MYV18" s="7158"/>
      <c r="MYW18" s="7158"/>
      <c r="MYX18" s="7158"/>
      <c r="MYY18" s="7158"/>
      <c r="MYZ18" s="7159"/>
      <c r="MZA18" s="7152"/>
      <c r="MZB18" s="7153"/>
      <c r="MZC18" s="7153"/>
      <c r="MZD18" s="7153"/>
      <c r="MZE18" s="7163"/>
      <c r="MZF18" s="7164"/>
      <c r="MZG18" s="7157"/>
      <c r="MZH18" s="7157"/>
      <c r="MZI18" s="7157"/>
      <c r="MZJ18" s="7157"/>
      <c r="MZK18" s="7158"/>
      <c r="MZL18" s="7158"/>
      <c r="MZM18" s="7158"/>
      <c r="MZN18" s="7158"/>
      <c r="MZO18" s="7158"/>
      <c r="MZP18" s="7159"/>
      <c r="MZQ18" s="7152"/>
      <c r="MZR18" s="7153"/>
      <c r="MZS18" s="7153"/>
      <c r="MZT18" s="7153"/>
      <c r="MZU18" s="7163"/>
      <c r="MZV18" s="7164"/>
      <c r="MZW18" s="7157"/>
      <c r="MZX18" s="7157"/>
      <c r="MZY18" s="7157"/>
      <c r="MZZ18" s="7157"/>
      <c r="NAA18" s="7158"/>
      <c r="NAB18" s="7158"/>
      <c r="NAC18" s="7158"/>
      <c r="NAD18" s="7158"/>
      <c r="NAE18" s="7158"/>
      <c r="NAF18" s="7159"/>
      <c r="NAG18" s="7152"/>
      <c r="NAH18" s="7153"/>
      <c r="NAI18" s="7153"/>
      <c r="NAJ18" s="7153"/>
      <c r="NAK18" s="7163"/>
      <c r="NAL18" s="7164"/>
      <c r="NAM18" s="7157"/>
      <c r="NAN18" s="7157"/>
      <c r="NAO18" s="7157"/>
      <c r="NAP18" s="7157"/>
      <c r="NAQ18" s="7158"/>
      <c r="NAR18" s="7158"/>
      <c r="NAS18" s="7158"/>
      <c r="NAT18" s="7158"/>
      <c r="NAU18" s="7158"/>
      <c r="NAV18" s="7159"/>
      <c r="NAW18" s="7152"/>
      <c r="NAX18" s="7153"/>
      <c r="NAY18" s="7153"/>
      <c r="NAZ18" s="7153"/>
      <c r="NBA18" s="7163"/>
      <c r="NBB18" s="7164"/>
      <c r="NBC18" s="7157"/>
      <c r="NBD18" s="7157"/>
      <c r="NBE18" s="7157"/>
      <c r="NBF18" s="7157"/>
      <c r="NBG18" s="7158"/>
      <c r="NBH18" s="7158"/>
      <c r="NBI18" s="7158"/>
      <c r="NBJ18" s="7158"/>
      <c r="NBK18" s="7158"/>
      <c r="NBL18" s="7159"/>
      <c r="NBM18" s="7152"/>
      <c r="NBN18" s="7153"/>
      <c r="NBO18" s="7153"/>
      <c r="NBP18" s="7153"/>
      <c r="NBQ18" s="7163"/>
      <c r="NBR18" s="7164"/>
      <c r="NBS18" s="7157"/>
      <c r="NBT18" s="7157"/>
      <c r="NBU18" s="7157"/>
      <c r="NBV18" s="7157"/>
      <c r="NBW18" s="7158"/>
      <c r="NBX18" s="7158"/>
      <c r="NBY18" s="7158"/>
      <c r="NBZ18" s="7158"/>
      <c r="NCA18" s="7158"/>
      <c r="NCB18" s="7159"/>
      <c r="NCC18" s="7152"/>
      <c r="NCD18" s="7153"/>
      <c r="NCE18" s="7153"/>
      <c r="NCF18" s="7153"/>
      <c r="NCG18" s="7163"/>
      <c r="NCH18" s="7164"/>
      <c r="NCI18" s="7157"/>
      <c r="NCJ18" s="7157"/>
      <c r="NCK18" s="7157"/>
      <c r="NCL18" s="7157"/>
      <c r="NCM18" s="7158"/>
      <c r="NCN18" s="7158"/>
      <c r="NCO18" s="7158"/>
      <c r="NCP18" s="7158"/>
      <c r="NCQ18" s="7158"/>
      <c r="NCR18" s="7159"/>
      <c r="NCS18" s="7152"/>
      <c r="NCT18" s="7153"/>
      <c r="NCU18" s="7153"/>
      <c r="NCV18" s="7153"/>
      <c r="NCW18" s="7163"/>
      <c r="NCX18" s="7164"/>
      <c r="NCY18" s="7157"/>
      <c r="NCZ18" s="7157"/>
      <c r="NDA18" s="7157"/>
      <c r="NDB18" s="7157"/>
      <c r="NDC18" s="7158"/>
      <c r="NDD18" s="7158"/>
      <c r="NDE18" s="7158"/>
      <c r="NDF18" s="7158"/>
      <c r="NDG18" s="7158"/>
      <c r="NDH18" s="7159"/>
      <c r="NDI18" s="7152"/>
      <c r="NDJ18" s="7153"/>
      <c r="NDK18" s="7153"/>
      <c r="NDL18" s="7153"/>
      <c r="NDM18" s="7163"/>
      <c r="NDN18" s="7164"/>
      <c r="NDO18" s="7157"/>
      <c r="NDP18" s="7157"/>
      <c r="NDQ18" s="7157"/>
      <c r="NDR18" s="7157"/>
      <c r="NDS18" s="7158"/>
      <c r="NDT18" s="7158"/>
      <c r="NDU18" s="7158"/>
      <c r="NDV18" s="7158"/>
      <c r="NDW18" s="7158"/>
      <c r="NDX18" s="7159"/>
      <c r="NDY18" s="7152"/>
      <c r="NDZ18" s="7153"/>
      <c r="NEA18" s="7153"/>
      <c r="NEB18" s="7153"/>
      <c r="NEC18" s="7163"/>
      <c r="NED18" s="7164"/>
      <c r="NEE18" s="7157"/>
      <c r="NEF18" s="7157"/>
      <c r="NEG18" s="7157"/>
      <c r="NEH18" s="7157"/>
      <c r="NEI18" s="7158"/>
      <c r="NEJ18" s="7158"/>
      <c r="NEK18" s="7158"/>
      <c r="NEL18" s="7158"/>
      <c r="NEM18" s="7158"/>
      <c r="NEN18" s="7159"/>
      <c r="NEO18" s="7152"/>
      <c r="NEP18" s="7153"/>
      <c r="NEQ18" s="7153"/>
      <c r="NER18" s="7153"/>
      <c r="NES18" s="7163"/>
      <c r="NET18" s="7164"/>
      <c r="NEU18" s="7157"/>
      <c r="NEV18" s="7157"/>
      <c r="NEW18" s="7157"/>
      <c r="NEX18" s="7157"/>
      <c r="NEY18" s="7158"/>
      <c r="NEZ18" s="7158"/>
      <c r="NFA18" s="7158"/>
      <c r="NFB18" s="7158"/>
      <c r="NFC18" s="7158"/>
      <c r="NFD18" s="7159"/>
      <c r="NFE18" s="7152"/>
      <c r="NFF18" s="7153"/>
      <c r="NFG18" s="7153"/>
      <c r="NFH18" s="7153"/>
      <c r="NFI18" s="7163"/>
      <c r="NFJ18" s="7164"/>
      <c r="NFK18" s="7157"/>
      <c r="NFL18" s="7157"/>
      <c r="NFM18" s="7157"/>
      <c r="NFN18" s="7157"/>
      <c r="NFO18" s="7158"/>
      <c r="NFP18" s="7158"/>
      <c r="NFQ18" s="7158"/>
      <c r="NFR18" s="7158"/>
      <c r="NFS18" s="7158"/>
      <c r="NFT18" s="7159"/>
      <c r="NFU18" s="7152"/>
      <c r="NFV18" s="7153"/>
      <c r="NFW18" s="7153"/>
      <c r="NFX18" s="7153"/>
      <c r="NFY18" s="7163"/>
      <c r="NFZ18" s="7164"/>
      <c r="NGA18" s="7157"/>
      <c r="NGB18" s="7157"/>
      <c r="NGC18" s="7157"/>
      <c r="NGD18" s="7157"/>
      <c r="NGE18" s="7158"/>
      <c r="NGF18" s="7158"/>
      <c r="NGG18" s="7158"/>
      <c r="NGH18" s="7158"/>
      <c r="NGI18" s="7158"/>
      <c r="NGJ18" s="7159"/>
      <c r="NGK18" s="7152"/>
      <c r="NGL18" s="7153"/>
      <c r="NGM18" s="7153"/>
      <c r="NGN18" s="7153"/>
      <c r="NGO18" s="7163"/>
      <c r="NGP18" s="7164"/>
      <c r="NGQ18" s="7157"/>
      <c r="NGR18" s="7157"/>
      <c r="NGS18" s="7157"/>
      <c r="NGT18" s="7157"/>
      <c r="NGU18" s="7158"/>
      <c r="NGV18" s="7158"/>
      <c r="NGW18" s="7158"/>
      <c r="NGX18" s="7158"/>
      <c r="NGY18" s="7158"/>
      <c r="NGZ18" s="7159"/>
      <c r="NHA18" s="7152"/>
      <c r="NHB18" s="7153"/>
      <c r="NHC18" s="7153"/>
      <c r="NHD18" s="7153"/>
      <c r="NHE18" s="7163"/>
      <c r="NHF18" s="7164"/>
      <c r="NHG18" s="7157"/>
      <c r="NHH18" s="7157"/>
      <c r="NHI18" s="7157"/>
      <c r="NHJ18" s="7157"/>
      <c r="NHK18" s="7158"/>
      <c r="NHL18" s="7158"/>
      <c r="NHM18" s="7158"/>
      <c r="NHN18" s="7158"/>
      <c r="NHO18" s="7158"/>
      <c r="NHP18" s="7159"/>
      <c r="NHQ18" s="7152"/>
      <c r="NHR18" s="7153"/>
      <c r="NHS18" s="7153"/>
      <c r="NHT18" s="7153"/>
      <c r="NHU18" s="7163"/>
      <c r="NHV18" s="7164"/>
      <c r="NHW18" s="7157"/>
      <c r="NHX18" s="7157"/>
      <c r="NHY18" s="7157"/>
      <c r="NHZ18" s="7157"/>
      <c r="NIA18" s="7158"/>
      <c r="NIB18" s="7158"/>
      <c r="NIC18" s="7158"/>
      <c r="NID18" s="7158"/>
      <c r="NIE18" s="7158"/>
      <c r="NIF18" s="7159"/>
      <c r="NIG18" s="7152"/>
      <c r="NIH18" s="7153"/>
      <c r="NII18" s="7153"/>
      <c r="NIJ18" s="7153"/>
      <c r="NIK18" s="7163"/>
      <c r="NIL18" s="7164"/>
      <c r="NIM18" s="7157"/>
      <c r="NIN18" s="7157"/>
      <c r="NIO18" s="7157"/>
      <c r="NIP18" s="7157"/>
      <c r="NIQ18" s="7158"/>
      <c r="NIR18" s="7158"/>
      <c r="NIS18" s="7158"/>
      <c r="NIT18" s="7158"/>
      <c r="NIU18" s="7158"/>
      <c r="NIV18" s="7159"/>
      <c r="NIW18" s="7152"/>
      <c r="NIX18" s="7153"/>
      <c r="NIY18" s="7153"/>
      <c r="NIZ18" s="7153"/>
      <c r="NJA18" s="7163"/>
      <c r="NJB18" s="7164"/>
      <c r="NJC18" s="7157"/>
      <c r="NJD18" s="7157"/>
      <c r="NJE18" s="7157"/>
      <c r="NJF18" s="7157"/>
      <c r="NJG18" s="7158"/>
      <c r="NJH18" s="7158"/>
      <c r="NJI18" s="7158"/>
      <c r="NJJ18" s="7158"/>
      <c r="NJK18" s="7158"/>
      <c r="NJL18" s="7159"/>
      <c r="NJM18" s="7152"/>
      <c r="NJN18" s="7153"/>
      <c r="NJO18" s="7153"/>
      <c r="NJP18" s="7153"/>
      <c r="NJQ18" s="7163"/>
      <c r="NJR18" s="7164"/>
      <c r="NJS18" s="7157"/>
      <c r="NJT18" s="7157"/>
      <c r="NJU18" s="7157"/>
      <c r="NJV18" s="7157"/>
      <c r="NJW18" s="7158"/>
      <c r="NJX18" s="7158"/>
      <c r="NJY18" s="7158"/>
      <c r="NJZ18" s="7158"/>
      <c r="NKA18" s="7158"/>
      <c r="NKB18" s="7159"/>
      <c r="NKC18" s="7152"/>
      <c r="NKD18" s="7153"/>
      <c r="NKE18" s="7153"/>
      <c r="NKF18" s="7153"/>
      <c r="NKG18" s="7163"/>
      <c r="NKH18" s="7164"/>
      <c r="NKI18" s="7157"/>
      <c r="NKJ18" s="7157"/>
      <c r="NKK18" s="7157"/>
      <c r="NKL18" s="7157"/>
      <c r="NKM18" s="7158"/>
      <c r="NKN18" s="7158"/>
      <c r="NKO18" s="7158"/>
      <c r="NKP18" s="7158"/>
      <c r="NKQ18" s="7158"/>
      <c r="NKR18" s="7159"/>
      <c r="NKS18" s="7152"/>
      <c r="NKT18" s="7153"/>
      <c r="NKU18" s="7153"/>
      <c r="NKV18" s="7153"/>
      <c r="NKW18" s="7163"/>
      <c r="NKX18" s="7164"/>
      <c r="NKY18" s="7157"/>
      <c r="NKZ18" s="7157"/>
      <c r="NLA18" s="7157"/>
      <c r="NLB18" s="7157"/>
      <c r="NLC18" s="7158"/>
      <c r="NLD18" s="7158"/>
      <c r="NLE18" s="7158"/>
      <c r="NLF18" s="7158"/>
      <c r="NLG18" s="7158"/>
      <c r="NLH18" s="7159"/>
      <c r="NLI18" s="7152"/>
      <c r="NLJ18" s="7153"/>
      <c r="NLK18" s="7153"/>
      <c r="NLL18" s="7153"/>
      <c r="NLM18" s="7163"/>
      <c r="NLN18" s="7164"/>
      <c r="NLO18" s="7157"/>
      <c r="NLP18" s="7157"/>
      <c r="NLQ18" s="7157"/>
      <c r="NLR18" s="7157"/>
      <c r="NLS18" s="7158"/>
      <c r="NLT18" s="7158"/>
      <c r="NLU18" s="7158"/>
      <c r="NLV18" s="7158"/>
      <c r="NLW18" s="7158"/>
      <c r="NLX18" s="7159"/>
      <c r="NLY18" s="7152"/>
      <c r="NLZ18" s="7153"/>
      <c r="NMA18" s="7153"/>
      <c r="NMB18" s="7153"/>
      <c r="NMC18" s="7163"/>
      <c r="NMD18" s="7164"/>
      <c r="NME18" s="7157"/>
      <c r="NMF18" s="7157"/>
      <c r="NMG18" s="7157"/>
      <c r="NMH18" s="7157"/>
      <c r="NMI18" s="7158"/>
      <c r="NMJ18" s="7158"/>
      <c r="NMK18" s="7158"/>
      <c r="NML18" s="7158"/>
      <c r="NMM18" s="7158"/>
      <c r="NMN18" s="7159"/>
      <c r="NMO18" s="7152"/>
      <c r="NMP18" s="7153"/>
      <c r="NMQ18" s="7153"/>
      <c r="NMR18" s="7153"/>
      <c r="NMS18" s="7163"/>
      <c r="NMT18" s="7164"/>
      <c r="NMU18" s="7157"/>
      <c r="NMV18" s="7157"/>
      <c r="NMW18" s="7157"/>
      <c r="NMX18" s="7157"/>
      <c r="NMY18" s="7158"/>
      <c r="NMZ18" s="7158"/>
      <c r="NNA18" s="7158"/>
      <c r="NNB18" s="7158"/>
      <c r="NNC18" s="7158"/>
      <c r="NND18" s="7159"/>
      <c r="NNE18" s="7152"/>
      <c r="NNF18" s="7153"/>
      <c r="NNG18" s="7153"/>
      <c r="NNH18" s="7153"/>
      <c r="NNI18" s="7163"/>
      <c r="NNJ18" s="7164"/>
      <c r="NNK18" s="7157"/>
      <c r="NNL18" s="7157"/>
      <c r="NNM18" s="7157"/>
      <c r="NNN18" s="7157"/>
      <c r="NNO18" s="7158"/>
      <c r="NNP18" s="7158"/>
      <c r="NNQ18" s="7158"/>
      <c r="NNR18" s="7158"/>
      <c r="NNS18" s="7158"/>
      <c r="NNT18" s="7159"/>
      <c r="NNU18" s="7152"/>
      <c r="NNV18" s="7153"/>
      <c r="NNW18" s="7153"/>
      <c r="NNX18" s="7153"/>
      <c r="NNY18" s="7163"/>
      <c r="NNZ18" s="7164"/>
      <c r="NOA18" s="7157"/>
      <c r="NOB18" s="7157"/>
      <c r="NOC18" s="7157"/>
      <c r="NOD18" s="7157"/>
      <c r="NOE18" s="7158"/>
      <c r="NOF18" s="7158"/>
      <c r="NOG18" s="7158"/>
      <c r="NOH18" s="7158"/>
      <c r="NOI18" s="7158"/>
      <c r="NOJ18" s="7159"/>
      <c r="NOK18" s="7152"/>
      <c r="NOL18" s="7153"/>
      <c r="NOM18" s="7153"/>
      <c r="NON18" s="7153"/>
      <c r="NOO18" s="7163"/>
      <c r="NOP18" s="7164"/>
      <c r="NOQ18" s="7157"/>
      <c r="NOR18" s="7157"/>
      <c r="NOS18" s="7157"/>
      <c r="NOT18" s="7157"/>
      <c r="NOU18" s="7158"/>
      <c r="NOV18" s="7158"/>
      <c r="NOW18" s="7158"/>
      <c r="NOX18" s="7158"/>
      <c r="NOY18" s="7158"/>
      <c r="NOZ18" s="7159"/>
      <c r="NPA18" s="7152"/>
      <c r="NPB18" s="7153"/>
      <c r="NPC18" s="7153"/>
      <c r="NPD18" s="7153"/>
      <c r="NPE18" s="7163"/>
      <c r="NPF18" s="7164"/>
      <c r="NPG18" s="7157"/>
      <c r="NPH18" s="7157"/>
      <c r="NPI18" s="7157"/>
      <c r="NPJ18" s="7157"/>
      <c r="NPK18" s="7158"/>
      <c r="NPL18" s="7158"/>
      <c r="NPM18" s="7158"/>
      <c r="NPN18" s="7158"/>
      <c r="NPO18" s="7158"/>
      <c r="NPP18" s="7159"/>
      <c r="NPQ18" s="7152"/>
      <c r="NPR18" s="7153"/>
      <c r="NPS18" s="7153"/>
      <c r="NPT18" s="7153"/>
      <c r="NPU18" s="7163"/>
      <c r="NPV18" s="7164"/>
      <c r="NPW18" s="7157"/>
      <c r="NPX18" s="7157"/>
      <c r="NPY18" s="7157"/>
      <c r="NPZ18" s="7157"/>
      <c r="NQA18" s="7158"/>
      <c r="NQB18" s="7158"/>
      <c r="NQC18" s="7158"/>
      <c r="NQD18" s="7158"/>
      <c r="NQE18" s="7158"/>
      <c r="NQF18" s="7159"/>
      <c r="NQG18" s="7152"/>
      <c r="NQH18" s="7153"/>
      <c r="NQI18" s="7153"/>
      <c r="NQJ18" s="7153"/>
      <c r="NQK18" s="7163"/>
      <c r="NQL18" s="7164"/>
      <c r="NQM18" s="7157"/>
      <c r="NQN18" s="7157"/>
      <c r="NQO18" s="7157"/>
      <c r="NQP18" s="7157"/>
      <c r="NQQ18" s="7158"/>
      <c r="NQR18" s="7158"/>
      <c r="NQS18" s="7158"/>
      <c r="NQT18" s="7158"/>
      <c r="NQU18" s="7158"/>
      <c r="NQV18" s="7159"/>
      <c r="NQW18" s="7152"/>
      <c r="NQX18" s="7153"/>
      <c r="NQY18" s="7153"/>
      <c r="NQZ18" s="7153"/>
      <c r="NRA18" s="7163"/>
      <c r="NRB18" s="7164"/>
      <c r="NRC18" s="7157"/>
      <c r="NRD18" s="7157"/>
      <c r="NRE18" s="7157"/>
      <c r="NRF18" s="7157"/>
      <c r="NRG18" s="7158"/>
      <c r="NRH18" s="7158"/>
      <c r="NRI18" s="7158"/>
      <c r="NRJ18" s="7158"/>
      <c r="NRK18" s="7158"/>
      <c r="NRL18" s="7159"/>
      <c r="NRM18" s="7152"/>
      <c r="NRN18" s="7153"/>
      <c r="NRO18" s="7153"/>
      <c r="NRP18" s="7153"/>
      <c r="NRQ18" s="7163"/>
      <c r="NRR18" s="7164"/>
      <c r="NRS18" s="7157"/>
      <c r="NRT18" s="7157"/>
      <c r="NRU18" s="7157"/>
      <c r="NRV18" s="7157"/>
      <c r="NRW18" s="7158"/>
      <c r="NRX18" s="7158"/>
      <c r="NRY18" s="7158"/>
      <c r="NRZ18" s="7158"/>
      <c r="NSA18" s="7158"/>
      <c r="NSB18" s="7159"/>
      <c r="NSC18" s="7152"/>
      <c r="NSD18" s="7153"/>
      <c r="NSE18" s="7153"/>
      <c r="NSF18" s="7153"/>
      <c r="NSG18" s="7163"/>
      <c r="NSH18" s="7164"/>
      <c r="NSI18" s="7157"/>
      <c r="NSJ18" s="7157"/>
      <c r="NSK18" s="7157"/>
      <c r="NSL18" s="7157"/>
      <c r="NSM18" s="7158"/>
      <c r="NSN18" s="7158"/>
      <c r="NSO18" s="7158"/>
      <c r="NSP18" s="7158"/>
      <c r="NSQ18" s="7158"/>
      <c r="NSR18" s="7159"/>
      <c r="NSS18" s="7152"/>
      <c r="NST18" s="7153"/>
      <c r="NSU18" s="7153"/>
      <c r="NSV18" s="7153"/>
      <c r="NSW18" s="7163"/>
      <c r="NSX18" s="7164"/>
      <c r="NSY18" s="7157"/>
      <c r="NSZ18" s="7157"/>
      <c r="NTA18" s="7157"/>
      <c r="NTB18" s="7157"/>
      <c r="NTC18" s="7158"/>
      <c r="NTD18" s="7158"/>
      <c r="NTE18" s="7158"/>
      <c r="NTF18" s="7158"/>
      <c r="NTG18" s="7158"/>
      <c r="NTH18" s="7159"/>
      <c r="NTI18" s="7152"/>
      <c r="NTJ18" s="7153"/>
      <c r="NTK18" s="7153"/>
      <c r="NTL18" s="7153"/>
      <c r="NTM18" s="7163"/>
      <c r="NTN18" s="7164"/>
      <c r="NTO18" s="7157"/>
      <c r="NTP18" s="7157"/>
      <c r="NTQ18" s="7157"/>
      <c r="NTR18" s="7157"/>
      <c r="NTS18" s="7158"/>
      <c r="NTT18" s="7158"/>
      <c r="NTU18" s="7158"/>
      <c r="NTV18" s="7158"/>
      <c r="NTW18" s="7158"/>
      <c r="NTX18" s="7159"/>
      <c r="NTY18" s="7152"/>
      <c r="NTZ18" s="7153"/>
      <c r="NUA18" s="7153"/>
      <c r="NUB18" s="7153"/>
      <c r="NUC18" s="7163"/>
      <c r="NUD18" s="7164"/>
      <c r="NUE18" s="7157"/>
      <c r="NUF18" s="7157"/>
      <c r="NUG18" s="7157"/>
      <c r="NUH18" s="7157"/>
      <c r="NUI18" s="7158"/>
      <c r="NUJ18" s="7158"/>
      <c r="NUK18" s="7158"/>
      <c r="NUL18" s="7158"/>
      <c r="NUM18" s="7158"/>
      <c r="NUN18" s="7159"/>
      <c r="NUO18" s="7152"/>
      <c r="NUP18" s="7153"/>
      <c r="NUQ18" s="7153"/>
      <c r="NUR18" s="7153"/>
      <c r="NUS18" s="7163"/>
      <c r="NUT18" s="7164"/>
      <c r="NUU18" s="7157"/>
      <c r="NUV18" s="7157"/>
      <c r="NUW18" s="7157"/>
      <c r="NUX18" s="7157"/>
      <c r="NUY18" s="7158"/>
      <c r="NUZ18" s="7158"/>
      <c r="NVA18" s="7158"/>
      <c r="NVB18" s="7158"/>
      <c r="NVC18" s="7158"/>
      <c r="NVD18" s="7159"/>
      <c r="NVE18" s="7152"/>
      <c r="NVF18" s="7153"/>
      <c r="NVG18" s="7153"/>
      <c r="NVH18" s="7153"/>
      <c r="NVI18" s="7163"/>
      <c r="NVJ18" s="7164"/>
      <c r="NVK18" s="7157"/>
      <c r="NVL18" s="7157"/>
      <c r="NVM18" s="7157"/>
      <c r="NVN18" s="7157"/>
      <c r="NVO18" s="7158"/>
      <c r="NVP18" s="7158"/>
      <c r="NVQ18" s="7158"/>
      <c r="NVR18" s="7158"/>
      <c r="NVS18" s="7158"/>
      <c r="NVT18" s="7159"/>
      <c r="NVU18" s="7152"/>
      <c r="NVV18" s="7153"/>
      <c r="NVW18" s="7153"/>
      <c r="NVX18" s="7153"/>
      <c r="NVY18" s="7163"/>
      <c r="NVZ18" s="7164"/>
      <c r="NWA18" s="7157"/>
      <c r="NWB18" s="7157"/>
      <c r="NWC18" s="7157"/>
      <c r="NWD18" s="7157"/>
      <c r="NWE18" s="7158"/>
      <c r="NWF18" s="7158"/>
      <c r="NWG18" s="7158"/>
      <c r="NWH18" s="7158"/>
      <c r="NWI18" s="7158"/>
      <c r="NWJ18" s="7159"/>
      <c r="NWK18" s="7152"/>
      <c r="NWL18" s="7153"/>
      <c r="NWM18" s="7153"/>
      <c r="NWN18" s="7153"/>
      <c r="NWO18" s="7163"/>
      <c r="NWP18" s="7164"/>
      <c r="NWQ18" s="7157"/>
      <c r="NWR18" s="7157"/>
      <c r="NWS18" s="7157"/>
      <c r="NWT18" s="7157"/>
      <c r="NWU18" s="7158"/>
      <c r="NWV18" s="7158"/>
      <c r="NWW18" s="7158"/>
      <c r="NWX18" s="7158"/>
      <c r="NWY18" s="7158"/>
      <c r="NWZ18" s="7159"/>
      <c r="NXA18" s="7152"/>
      <c r="NXB18" s="7153"/>
      <c r="NXC18" s="7153"/>
      <c r="NXD18" s="7153"/>
      <c r="NXE18" s="7163"/>
      <c r="NXF18" s="7164"/>
      <c r="NXG18" s="7157"/>
      <c r="NXH18" s="7157"/>
      <c r="NXI18" s="7157"/>
      <c r="NXJ18" s="7157"/>
      <c r="NXK18" s="7158"/>
      <c r="NXL18" s="7158"/>
      <c r="NXM18" s="7158"/>
      <c r="NXN18" s="7158"/>
      <c r="NXO18" s="7158"/>
      <c r="NXP18" s="7159"/>
      <c r="NXQ18" s="7152"/>
      <c r="NXR18" s="7153"/>
      <c r="NXS18" s="7153"/>
      <c r="NXT18" s="7153"/>
      <c r="NXU18" s="7163"/>
      <c r="NXV18" s="7164"/>
      <c r="NXW18" s="7157"/>
      <c r="NXX18" s="7157"/>
      <c r="NXY18" s="7157"/>
      <c r="NXZ18" s="7157"/>
      <c r="NYA18" s="7158"/>
      <c r="NYB18" s="7158"/>
      <c r="NYC18" s="7158"/>
      <c r="NYD18" s="7158"/>
      <c r="NYE18" s="7158"/>
      <c r="NYF18" s="7159"/>
      <c r="NYG18" s="7152"/>
      <c r="NYH18" s="7153"/>
      <c r="NYI18" s="7153"/>
      <c r="NYJ18" s="7153"/>
      <c r="NYK18" s="7163"/>
      <c r="NYL18" s="7164"/>
      <c r="NYM18" s="7157"/>
      <c r="NYN18" s="7157"/>
      <c r="NYO18" s="7157"/>
      <c r="NYP18" s="7157"/>
      <c r="NYQ18" s="7158"/>
      <c r="NYR18" s="7158"/>
      <c r="NYS18" s="7158"/>
      <c r="NYT18" s="7158"/>
      <c r="NYU18" s="7158"/>
      <c r="NYV18" s="7159"/>
      <c r="NYW18" s="7152"/>
      <c r="NYX18" s="7153"/>
      <c r="NYY18" s="7153"/>
      <c r="NYZ18" s="7153"/>
      <c r="NZA18" s="7163"/>
      <c r="NZB18" s="7164"/>
      <c r="NZC18" s="7157"/>
      <c r="NZD18" s="7157"/>
      <c r="NZE18" s="7157"/>
      <c r="NZF18" s="7157"/>
      <c r="NZG18" s="7158"/>
      <c r="NZH18" s="7158"/>
      <c r="NZI18" s="7158"/>
      <c r="NZJ18" s="7158"/>
      <c r="NZK18" s="7158"/>
      <c r="NZL18" s="7159"/>
      <c r="NZM18" s="7152"/>
      <c r="NZN18" s="7153"/>
      <c r="NZO18" s="7153"/>
      <c r="NZP18" s="7153"/>
      <c r="NZQ18" s="7163"/>
      <c r="NZR18" s="7164"/>
      <c r="NZS18" s="7157"/>
      <c r="NZT18" s="7157"/>
      <c r="NZU18" s="7157"/>
      <c r="NZV18" s="7157"/>
      <c r="NZW18" s="7158"/>
      <c r="NZX18" s="7158"/>
      <c r="NZY18" s="7158"/>
      <c r="NZZ18" s="7158"/>
      <c r="OAA18" s="7158"/>
      <c r="OAB18" s="7159"/>
      <c r="OAC18" s="7152"/>
      <c r="OAD18" s="7153"/>
      <c r="OAE18" s="7153"/>
      <c r="OAF18" s="7153"/>
      <c r="OAG18" s="7163"/>
      <c r="OAH18" s="7164"/>
      <c r="OAI18" s="7157"/>
      <c r="OAJ18" s="7157"/>
      <c r="OAK18" s="7157"/>
      <c r="OAL18" s="7157"/>
      <c r="OAM18" s="7158"/>
      <c r="OAN18" s="7158"/>
      <c r="OAO18" s="7158"/>
      <c r="OAP18" s="7158"/>
      <c r="OAQ18" s="7158"/>
      <c r="OAR18" s="7159"/>
      <c r="OAS18" s="7152"/>
      <c r="OAT18" s="7153"/>
      <c r="OAU18" s="7153"/>
      <c r="OAV18" s="7153"/>
      <c r="OAW18" s="7163"/>
      <c r="OAX18" s="7164"/>
      <c r="OAY18" s="7157"/>
      <c r="OAZ18" s="7157"/>
      <c r="OBA18" s="7157"/>
      <c r="OBB18" s="7157"/>
      <c r="OBC18" s="7158"/>
      <c r="OBD18" s="7158"/>
      <c r="OBE18" s="7158"/>
      <c r="OBF18" s="7158"/>
      <c r="OBG18" s="7158"/>
      <c r="OBH18" s="7159"/>
      <c r="OBI18" s="7152"/>
      <c r="OBJ18" s="7153"/>
      <c r="OBK18" s="7153"/>
      <c r="OBL18" s="7153"/>
      <c r="OBM18" s="7163"/>
      <c r="OBN18" s="7164"/>
      <c r="OBO18" s="7157"/>
      <c r="OBP18" s="7157"/>
      <c r="OBQ18" s="7157"/>
      <c r="OBR18" s="7157"/>
      <c r="OBS18" s="7158"/>
      <c r="OBT18" s="7158"/>
      <c r="OBU18" s="7158"/>
      <c r="OBV18" s="7158"/>
      <c r="OBW18" s="7158"/>
      <c r="OBX18" s="7159"/>
      <c r="OBY18" s="7152"/>
      <c r="OBZ18" s="7153"/>
      <c r="OCA18" s="7153"/>
      <c r="OCB18" s="7153"/>
      <c r="OCC18" s="7163"/>
      <c r="OCD18" s="7164"/>
      <c r="OCE18" s="7157"/>
      <c r="OCF18" s="7157"/>
      <c r="OCG18" s="7157"/>
      <c r="OCH18" s="7157"/>
      <c r="OCI18" s="7158"/>
      <c r="OCJ18" s="7158"/>
      <c r="OCK18" s="7158"/>
      <c r="OCL18" s="7158"/>
      <c r="OCM18" s="7158"/>
      <c r="OCN18" s="7159"/>
      <c r="OCO18" s="7152"/>
      <c r="OCP18" s="7153"/>
      <c r="OCQ18" s="7153"/>
      <c r="OCR18" s="7153"/>
      <c r="OCS18" s="7163"/>
      <c r="OCT18" s="7164"/>
      <c r="OCU18" s="7157"/>
      <c r="OCV18" s="7157"/>
      <c r="OCW18" s="7157"/>
      <c r="OCX18" s="7157"/>
      <c r="OCY18" s="7158"/>
      <c r="OCZ18" s="7158"/>
      <c r="ODA18" s="7158"/>
      <c r="ODB18" s="7158"/>
      <c r="ODC18" s="7158"/>
      <c r="ODD18" s="7159"/>
      <c r="ODE18" s="7152"/>
      <c r="ODF18" s="7153"/>
      <c r="ODG18" s="7153"/>
      <c r="ODH18" s="7153"/>
      <c r="ODI18" s="7163"/>
      <c r="ODJ18" s="7164"/>
      <c r="ODK18" s="7157"/>
      <c r="ODL18" s="7157"/>
      <c r="ODM18" s="7157"/>
      <c r="ODN18" s="7157"/>
      <c r="ODO18" s="7158"/>
      <c r="ODP18" s="7158"/>
      <c r="ODQ18" s="7158"/>
      <c r="ODR18" s="7158"/>
      <c r="ODS18" s="7158"/>
      <c r="ODT18" s="7159"/>
      <c r="ODU18" s="7152"/>
      <c r="ODV18" s="7153"/>
      <c r="ODW18" s="7153"/>
      <c r="ODX18" s="7153"/>
      <c r="ODY18" s="7163"/>
      <c r="ODZ18" s="7164"/>
      <c r="OEA18" s="7157"/>
      <c r="OEB18" s="7157"/>
      <c r="OEC18" s="7157"/>
      <c r="OED18" s="7157"/>
      <c r="OEE18" s="7158"/>
      <c r="OEF18" s="7158"/>
      <c r="OEG18" s="7158"/>
      <c r="OEH18" s="7158"/>
      <c r="OEI18" s="7158"/>
      <c r="OEJ18" s="7159"/>
      <c r="OEK18" s="7152"/>
      <c r="OEL18" s="7153"/>
      <c r="OEM18" s="7153"/>
      <c r="OEN18" s="7153"/>
      <c r="OEO18" s="7163"/>
      <c r="OEP18" s="7164"/>
      <c r="OEQ18" s="7157"/>
      <c r="OER18" s="7157"/>
      <c r="OES18" s="7157"/>
      <c r="OET18" s="7157"/>
      <c r="OEU18" s="7158"/>
      <c r="OEV18" s="7158"/>
      <c r="OEW18" s="7158"/>
      <c r="OEX18" s="7158"/>
      <c r="OEY18" s="7158"/>
      <c r="OEZ18" s="7159"/>
      <c r="OFA18" s="7152"/>
      <c r="OFB18" s="7153"/>
      <c r="OFC18" s="7153"/>
      <c r="OFD18" s="7153"/>
      <c r="OFE18" s="7163"/>
      <c r="OFF18" s="7164"/>
      <c r="OFG18" s="7157"/>
      <c r="OFH18" s="7157"/>
      <c r="OFI18" s="7157"/>
      <c r="OFJ18" s="7157"/>
      <c r="OFK18" s="7158"/>
      <c r="OFL18" s="7158"/>
      <c r="OFM18" s="7158"/>
      <c r="OFN18" s="7158"/>
      <c r="OFO18" s="7158"/>
      <c r="OFP18" s="7159"/>
      <c r="OFQ18" s="7152"/>
      <c r="OFR18" s="7153"/>
      <c r="OFS18" s="7153"/>
      <c r="OFT18" s="7153"/>
      <c r="OFU18" s="7163"/>
      <c r="OFV18" s="7164"/>
      <c r="OFW18" s="7157"/>
      <c r="OFX18" s="7157"/>
      <c r="OFY18" s="7157"/>
      <c r="OFZ18" s="7157"/>
      <c r="OGA18" s="7158"/>
      <c r="OGB18" s="7158"/>
      <c r="OGC18" s="7158"/>
      <c r="OGD18" s="7158"/>
      <c r="OGE18" s="7158"/>
      <c r="OGF18" s="7159"/>
      <c r="OGG18" s="7152"/>
      <c r="OGH18" s="7153"/>
      <c r="OGI18" s="7153"/>
      <c r="OGJ18" s="7153"/>
      <c r="OGK18" s="7163"/>
      <c r="OGL18" s="7164"/>
      <c r="OGM18" s="7157"/>
      <c r="OGN18" s="7157"/>
      <c r="OGO18" s="7157"/>
      <c r="OGP18" s="7157"/>
      <c r="OGQ18" s="7158"/>
      <c r="OGR18" s="7158"/>
      <c r="OGS18" s="7158"/>
      <c r="OGT18" s="7158"/>
      <c r="OGU18" s="7158"/>
      <c r="OGV18" s="7159"/>
      <c r="OGW18" s="7152"/>
      <c r="OGX18" s="7153"/>
      <c r="OGY18" s="7153"/>
      <c r="OGZ18" s="7153"/>
      <c r="OHA18" s="7163"/>
      <c r="OHB18" s="7164"/>
      <c r="OHC18" s="7157"/>
      <c r="OHD18" s="7157"/>
      <c r="OHE18" s="7157"/>
      <c r="OHF18" s="7157"/>
      <c r="OHG18" s="7158"/>
      <c r="OHH18" s="7158"/>
      <c r="OHI18" s="7158"/>
      <c r="OHJ18" s="7158"/>
      <c r="OHK18" s="7158"/>
      <c r="OHL18" s="7159"/>
      <c r="OHM18" s="7152"/>
      <c r="OHN18" s="7153"/>
      <c r="OHO18" s="7153"/>
      <c r="OHP18" s="7153"/>
      <c r="OHQ18" s="7163"/>
      <c r="OHR18" s="7164"/>
      <c r="OHS18" s="7157"/>
      <c r="OHT18" s="7157"/>
      <c r="OHU18" s="7157"/>
      <c r="OHV18" s="7157"/>
      <c r="OHW18" s="7158"/>
      <c r="OHX18" s="7158"/>
      <c r="OHY18" s="7158"/>
      <c r="OHZ18" s="7158"/>
      <c r="OIA18" s="7158"/>
      <c r="OIB18" s="7159"/>
      <c r="OIC18" s="7152"/>
      <c r="OID18" s="7153"/>
      <c r="OIE18" s="7153"/>
      <c r="OIF18" s="7153"/>
      <c r="OIG18" s="7163"/>
      <c r="OIH18" s="7164"/>
      <c r="OII18" s="7157"/>
      <c r="OIJ18" s="7157"/>
      <c r="OIK18" s="7157"/>
      <c r="OIL18" s="7157"/>
      <c r="OIM18" s="7158"/>
      <c r="OIN18" s="7158"/>
      <c r="OIO18" s="7158"/>
      <c r="OIP18" s="7158"/>
      <c r="OIQ18" s="7158"/>
      <c r="OIR18" s="7159"/>
      <c r="OIS18" s="7152"/>
      <c r="OIT18" s="7153"/>
      <c r="OIU18" s="7153"/>
      <c r="OIV18" s="7153"/>
      <c r="OIW18" s="7163"/>
      <c r="OIX18" s="7164"/>
      <c r="OIY18" s="7157"/>
      <c r="OIZ18" s="7157"/>
      <c r="OJA18" s="7157"/>
      <c r="OJB18" s="7157"/>
      <c r="OJC18" s="7158"/>
      <c r="OJD18" s="7158"/>
      <c r="OJE18" s="7158"/>
      <c r="OJF18" s="7158"/>
      <c r="OJG18" s="7158"/>
      <c r="OJH18" s="7159"/>
      <c r="OJI18" s="7152"/>
      <c r="OJJ18" s="7153"/>
      <c r="OJK18" s="7153"/>
      <c r="OJL18" s="7153"/>
      <c r="OJM18" s="7163"/>
      <c r="OJN18" s="7164"/>
      <c r="OJO18" s="7157"/>
      <c r="OJP18" s="7157"/>
      <c r="OJQ18" s="7157"/>
      <c r="OJR18" s="7157"/>
      <c r="OJS18" s="7158"/>
      <c r="OJT18" s="7158"/>
      <c r="OJU18" s="7158"/>
      <c r="OJV18" s="7158"/>
      <c r="OJW18" s="7158"/>
      <c r="OJX18" s="7159"/>
      <c r="OJY18" s="7152"/>
      <c r="OJZ18" s="7153"/>
      <c r="OKA18" s="7153"/>
      <c r="OKB18" s="7153"/>
      <c r="OKC18" s="7163"/>
      <c r="OKD18" s="7164"/>
      <c r="OKE18" s="7157"/>
      <c r="OKF18" s="7157"/>
      <c r="OKG18" s="7157"/>
      <c r="OKH18" s="7157"/>
      <c r="OKI18" s="7158"/>
      <c r="OKJ18" s="7158"/>
      <c r="OKK18" s="7158"/>
      <c r="OKL18" s="7158"/>
      <c r="OKM18" s="7158"/>
      <c r="OKN18" s="7159"/>
      <c r="OKO18" s="7152"/>
      <c r="OKP18" s="7153"/>
      <c r="OKQ18" s="7153"/>
      <c r="OKR18" s="7153"/>
      <c r="OKS18" s="7163"/>
      <c r="OKT18" s="7164"/>
      <c r="OKU18" s="7157"/>
      <c r="OKV18" s="7157"/>
      <c r="OKW18" s="7157"/>
      <c r="OKX18" s="7157"/>
      <c r="OKY18" s="7158"/>
      <c r="OKZ18" s="7158"/>
      <c r="OLA18" s="7158"/>
      <c r="OLB18" s="7158"/>
      <c r="OLC18" s="7158"/>
      <c r="OLD18" s="7159"/>
      <c r="OLE18" s="7152"/>
      <c r="OLF18" s="7153"/>
      <c r="OLG18" s="7153"/>
      <c r="OLH18" s="7153"/>
      <c r="OLI18" s="7163"/>
      <c r="OLJ18" s="7164"/>
      <c r="OLK18" s="7157"/>
      <c r="OLL18" s="7157"/>
      <c r="OLM18" s="7157"/>
      <c r="OLN18" s="7157"/>
      <c r="OLO18" s="7158"/>
      <c r="OLP18" s="7158"/>
      <c r="OLQ18" s="7158"/>
      <c r="OLR18" s="7158"/>
      <c r="OLS18" s="7158"/>
      <c r="OLT18" s="7159"/>
      <c r="OLU18" s="7152"/>
      <c r="OLV18" s="7153"/>
      <c r="OLW18" s="7153"/>
      <c r="OLX18" s="7153"/>
      <c r="OLY18" s="7163"/>
      <c r="OLZ18" s="7164"/>
      <c r="OMA18" s="7157"/>
      <c r="OMB18" s="7157"/>
      <c r="OMC18" s="7157"/>
      <c r="OMD18" s="7157"/>
      <c r="OME18" s="7158"/>
      <c r="OMF18" s="7158"/>
      <c r="OMG18" s="7158"/>
      <c r="OMH18" s="7158"/>
      <c r="OMI18" s="7158"/>
      <c r="OMJ18" s="7159"/>
      <c r="OMK18" s="7152"/>
      <c r="OML18" s="7153"/>
      <c r="OMM18" s="7153"/>
      <c r="OMN18" s="7153"/>
      <c r="OMO18" s="7163"/>
      <c r="OMP18" s="7164"/>
      <c r="OMQ18" s="7157"/>
      <c r="OMR18" s="7157"/>
      <c r="OMS18" s="7157"/>
      <c r="OMT18" s="7157"/>
      <c r="OMU18" s="7158"/>
      <c r="OMV18" s="7158"/>
      <c r="OMW18" s="7158"/>
      <c r="OMX18" s="7158"/>
      <c r="OMY18" s="7158"/>
      <c r="OMZ18" s="7159"/>
      <c r="ONA18" s="7152"/>
      <c r="ONB18" s="7153"/>
      <c r="ONC18" s="7153"/>
      <c r="OND18" s="7153"/>
      <c r="ONE18" s="7163"/>
      <c r="ONF18" s="7164"/>
      <c r="ONG18" s="7157"/>
      <c r="ONH18" s="7157"/>
      <c r="ONI18" s="7157"/>
      <c r="ONJ18" s="7157"/>
      <c r="ONK18" s="7158"/>
      <c r="ONL18" s="7158"/>
      <c r="ONM18" s="7158"/>
      <c r="ONN18" s="7158"/>
      <c r="ONO18" s="7158"/>
      <c r="ONP18" s="7159"/>
      <c r="ONQ18" s="7152"/>
      <c r="ONR18" s="7153"/>
      <c r="ONS18" s="7153"/>
      <c r="ONT18" s="7153"/>
      <c r="ONU18" s="7163"/>
      <c r="ONV18" s="7164"/>
      <c r="ONW18" s="7157"/>
      <c r="ONX18" s="7157"/>
      <c r="ONY18" s="7157"/>
      <c r="ONZ18" s="7157"/>
      <c r="OOA18" s="7158"/>
      <c r="OOB18" s="7158"/>
      <c r="OOC18" s="7158"/>
      <c r="OOD18" s="7158"/>
      <c r="OOE18" s="7158"/>
      <c r="OOF18" s="7159"/>
      <c r="OOG18" s="7152"/>
      <c r="OOH18" s="7153"/>
      <c r="OOI18" s="7153"/>
      <c r="OOJ18" s="7153"/>
      <c r="OOK18" s="7163"/>
      <c r="OOL18" s="7164"/>
      <c r="OOM18" s="7157"/>
      <c r="OON18" s="7157"/>
      <c r="OOO18" s="7157"/>
      <c r="OOP18" s="7157"/>
      <c r="OOQ18" s="7158"/>
      <c r="OOR18" s="7158"/>
      <c r="OOS18" s="7158"/>
      <c r="OOT18" s="7158"/>
      <c r="OOU18" s="7158"/>
      <c r="OOV18" s="7159"/>
      <c r="OOW18" s="7152"/>
      <c r="OOX18" s="7153"/>
      <c r="OOY18" s="7153"/>
      <c r="OOZ18" s="7153"/>
      <c r="OPA18" s="7163"/>
      <c r="OPB18" s="7164"/>
      <c r="OPC18" s="7157"/>
      <c r="OPD18" s="7157"/>
      <c r="OPE18" s="7157"/>
      <c r="OPF18" s="7157"/>
      <c r="OPG18" s="7158"/>
      <c r="OPH18" s="7158"/>
      <c r="OPI18" s="7158"/>
      <c r="OPJ18" s="7158"/>
      <c r="OPK18" s="7158"/>
      <c r="OPL18" s="7159"/>
      <c r="OPM18" s="7152"/>
      <c r="OPN18" s="7153"/>
      <c r="OPO18" s="7153"/>
      <c r="OPP18" s="7153"/>
      <c r="OPQ18" s="7163"/>
      <c r="OPR18" s="7164"/>
      <c r="OPS18" s="7157"/>
      <c r="OPT18" s="7157"/>
      <c r="OPU18" s="7157"/>
      <c r="OPV18" s="7157"/>
      <c r="OPW18" s="7158"/>
      <c r="OPX18" s="7158"/>
      <c r="OPY18" s="7158"/>
      <c r="OPZ18" s="7158"/>
      <c r="OQA18" s="7158"/>
      <c r="OQB18" s="7159"/>
      <c r="OQC18" s="7152"/>
      <c r="OQD18" s="7153"/>
      <c r="OQE18" s="7153"/>
      <c r="OQF18" s="7153"/>
      <c r="OQG18" s="7163"/>
      <c r="OQH18" s="7164"/>
      <c r="OQI18" s="7157"/>
      <c r="OQJ18" s="7157"/>
      <c r="OQK18" s="7157"/>
      <c r="OQL18" s="7157"/>
      <c r="OQM18" s="7158"/>
      <c r="OQN18" s="7158"/>
      <c r="OQO18" s="7158"/>
      <c r="OQP18" s="7158"/>
      <c r="OQQ18" s="7158"/>
      <c r="OQR18" s="7159"/>
      <c r="OQS18" s="7152"/>
      <c r="OQT18" s="7153"/>
      <c r="OQU18" s="7153"/>
      <c r="OQV18" s="7153"/>
      <c r="OQW18" s="7163"/>
      <c r="OQX18" s="7164"/>
      <c r="OQY18" s="7157"/>
      <c r="OQZ18" s="7157"/>
      <c r="ORA18" s="7157"/>
      <c r="ORB18" s="7157"/>
      <c r="ORC18" s="7158"/>
      <c r="ORD18" s="7158"/>
      <c r="ORE18" s="7158"/>
      <c r="ORF18" s="7158"/>
      <c r="ORG18" s="7158"/>
      <c r="ORH18" s="7159"/>
      <c r="ORI18" s="7152"/>
      <c r="ORJ18" s="7153"/>
      <c r="ORK18" s="7153"/>
      <c r="ORL18" s="7153"/>
      <c r="ORM18" s="7163"/>
      <c r="ORN18" s="7164"/>
      <c r="ORO18" s="7157"/>
      <c r="ORP18" s="7157"/>
      <c r="ORQ18" s="7157"/>
      <c r="ORR18" s="7157"/>
      <c r="ORS18" s="7158"/>
      <c r="ORT18" s="7158"/>
      <c r="ORU18" s="7158"/>
      <c r="ORV18" s="7158"/>
      <c r="ORW18" s="7158"/>
      <c r="ORX18" s="7159"/>
      <c r="ORY18" s="7152"/>
      <c r="ORZ18" s="7153"/>
      <c r="OSA18" s="7153"/>
      <c r="OSB18" s="7153"/>
      <c r="OSC18" s="7163"/>
      <c r="OSD18" s="7164"/>
      <c r="OSE18" s="7157"/>
      <c r="OSF18" s="7157"/>
      <c r="OSG18" s="7157"/>
      <c r="OSH18" s="7157"/>
      <c r="OSI18" s="7158"/>
      <c r="OSJ18" s="7158"/>
      <c r="OSK18" s="7158"/>
      <c r="OSL18" s="7158"/>
      <c r="OSM18" s="7158"/>
      <c r="OSN18" s="7159"/>
      <c r="OSO18" s="7152"/>
      <c r="OSP18" s="7153"/>
      <c r="OSQ18" s="7153"/>
      <c r="OSR18" s="7153"/>
      <c r="OSS18" s="7163"/>
      <c r="OST18" s="7164"/>
      <c r="OSU18" s="7157"/>
      <c r="OSV18" s="7157"/>
      <c r="OSW18" s="7157"/>
      <c r="OSX18" s="7157"/>
      <c r="OSY18" s="7158"/>
      <c r="OSZ18" s="7158"/>
      <c r="OTA18" s="7158"/>
      <c r="OTB18" s="7158"/>
      <c r="OTC18" s="7158"/>
      <c r="OTD18" s="7159"/>
      <c r="OTE18" s="7152"/>
      <c r="OTF18" s="7153"/>
      <c r="OTG18" s="7153"/>
      <c r="OTH18" s="7153"/>
      <c r="OTI18" s="7163"/>
      <c r="OTJ18" s="7164"/>
      <c r="OTK18" s="7157"/>
      <c r="OTL18" s="7157"/>
      <c r="OTM18" s="7157"/>
      <c r="OTN18" s="7157"/>
      <c r="OTO18" s="7158"/>
      <c r="OTP18" s="7158"/>
      <c r="OTQ18" s="7158"/>
      <c r="OTR18" s="7158"/>
      <c r="OTS18" s="7158"/>
      <c r="OTT18" s="7159"/>
      <c r="OTU18" s="7152"/>
      <c r="OTV18" s="7153"/>
      <c r="OTW18" s="7153"/>
      <c r="OTX18" s="7153"/>
      <c r="OTY18" s="7163"/>
      <c r="OTZ18" s="7164"/>
      <c r="OUA18" s="7157"/>
      <c r="OUB18" s="7157"/>
      <c r="OUC18" s="7157"/>
      <c r="OUD18" s="7157"/>
      <c r="OUE18" s="7158"/>
      <c r="OUF18" s="7158"/>
      <c r="OUG18" s="7158"/>
      <c r="OUH18" s="7158"/>
      <c r="OUI18" s="7158"/>
      <c r="OUJ18" s="7159"/>
      <c r="OUK18" s="7152"/>
      <c r="OUL18" s="7153"/>
      <c r="OUM18" s="7153"/>
      <c r="OUN18" s="7153"/>
      <c r="OUO18" s="7163"/>
      <c r="OUP18" s="7164"/>
      <c r="OUQ18" s="7157"/>
      <c r="OUR18" s="7157"/>
      <c r="OUS18" s="7157"/>
      <c r="OUT18" s="7157"/>
      <c r="OUU18" s="7158"/>
      <c r="OUV18" s="7158"/>
      <c r="OUW18" s="7158"/>
      <c r="OUX18" s="7158"/>
      <c r="OUY18" s="7158"/>
      <c r="OUZ18" s="7159"/>
      <c r="OVA18" s="7152"/>
      <c r="OVB18" s="7153"/>
      <c r="OVC18" s="7153"/>
      <c r="OVD18" s="7153"/>
      <c r="OVE18" s="7163"/>
      <c r="OVF18" s="7164"/>
      <c r="OVG18" s="7157"/>
      <c r="OVH18" s="7157"/>
      <c r="OVI18" s="7157"/>
      <c r="OVJ18" s="7157"/>
      <c r="OVK18" s="7158"/>
      <c r="OVL18" s="7158"/>
      <c r="OVM18" s="7158"/>
      <c r="OVN18" s="7158"/>
      <c r="OVO18" s="7158"/>
      <c r="OVP18" s="7159"/>
      <c r="OVQ18" s="7152"/>
      <c r="OVR18" s="7153"/>
      <c r="OVS18" s="7153"/>
      <c r="OVT18" s="7153"/>
      <c r="OVU18" s="7163"/>
      <c r="OVV18" s="7164"/>
      <c r="OVW18" s="7157"/>
      <c r="OVX18" s="7157"/>
      <c r="OVY18" s="7157"/>
      <c r="OVZ18" s="7157"/>
      <c r="OWA18" s="7158"/>
      <c r="OWB18" s="7158"/>
      <c r="OWC18" s="7158"/>
      <c r="OWD18" s="7158"/>
      <c r="OWE18" s="7158"/>
      <c r="OWF18" s="7159"/>
      <c r="OWG18" s="7152"/>
      <c r="OWH18" s="7153"/>
      <c r="OWI18" s="7153"/>
      <c r="OWJ18" s="7153"/>
      <c r="OWK18" s="7163"/>
      <c r="OWL18" s="7164"/>
      <c r="OWM18" s="7157"/>
      <c r="OWN18" s="7157"/>
      <c r="OWO18" s="7157"/>
      <c r="OWP18" s="7157"/>
      <c r="OWQ18" s="7158"/>
      <c r="OWR18" s="7158"/>
      <c r="OWS18" s="7158"/>
      <c r="OWT18" s="7158"/>
      <c r="OWU18" s="7158"/>
      <c r="OWV18" s="7159"/>
      <c r="OWW18" s="7152"/>
      <c r="OWX18" s="7153"/>
      <c r="OWY18" s="7153"/>
      <c r="OWZ18" s="7153"/>
      <c r="OXA18" s="7163"/>
      <c r="OXB18" s="7164"/>
      <c r="OXC18" s="7157"/>
      <c r="OXD18" s="7157"/>
      <c r="OXE18" s="7157"/>
      <c r="OXF18" s="7157"/>
      <c r="OXG18" s="7158"/>
      <c r="OXH18" s="7158"/>
      <c r="OXI18" s="7158"/>
      <c r="OXJ18" s="7158"/>
      <c r="OXK18" s="7158"/>
      <c r="OXL18" s="7159"/>
      <c r="OXM18" s="7152"/>
      <c r="OXN18" s="7153"/>
      <c r="OXO18" s="7153"/>
      <c r="OXP18" s="7153"/>
      <c r="OXQ18" s="7163"/>
      <c r="OXR18" s="7164"/>
      <c r="OXS18" s="7157"/>
      <c r="OXT18" s="7157"/>
      <c r="OXU18" s="7157"/>
      <c r="OXV18" s="7157"/>
      <c r="OXW18" s="7158"/>
      <c r="OXX18" s="7158"/>
      <c r="OXY18" s="7158"/>
      <c r="OXZ18" s="7158"/>
      <c r="OYA18" s="7158"/>
      <c r="OYB18" s="7159"/>
      <c r="OYC18" s="7152"/>
      <c r="OYD18" s="7153"/>
      <c r="OYE18" s="7153"/>
      <c r="OYF18" s="7153"/>
      <c r="OYG18" s="7163"/>
      <c r="OYH18" s="7164"/>
      <c r="OYI18" s="7157"/>
      <c r="OYJ18" s="7157"/>
      <c r="OYK18" s="7157"/>
      <c r="OYL18" s="7157"/>
      <c r="OYM18" s="7158"/>
      <c r="OYN18" s="7158"/>
      <c r="OYO18" s="7158"/>
      <c r="OYP18" s="7158"/>
      <c r="OYQ18" s="7158"/>
      <c r="OYR18" s="7159"/>
      <c r="OYS18" s="7152"/>
      <c r="OYT18" s="7153"/>
      <c r="OYU18" s="7153"/>
      <c r="OYV18" s="7153"/>
      <c r="OYW18" s="7163"/>
      <c r="OYX18" s="7164"/>
      <c r="OYY18" s="7157"/>
      <c r="OYZ18" s="7157"/>
      <c r="OZA18" s="7157"/>
      <c r="OZB18" s="7157"/>
      <c r="OZC18" s="7158"/>
      <c r="OZD18" s="7158"/>
      <c r="OZE18" s="7158"/>
      <c r="OZF18" s="7158"/>
      <c r="OZG18" s="7158"/>
      <c r="OZH18" s="7159"/>
      <c r="OZI18" s="7152"/>
      <c r="OZJ18" s="7153"/>
      <c r="OZK18" s="7153"/>
      <c r="OZL18" s="7153"/>
      <c r="OZM18" s="7163"/>
      <c r="OZN18" s="7164"/>
      <c r="OZO18" s="7157"/>
      <c r="OZP18" s="7157"/>
      <c r="OZQ18" s="7157"/>
      <c r="OZR18" s="7157"/>
      <c r="OZS18" s="7158"/>
      <c r="OZT18" s="7158"/>
      <c r="OZU18" s="7158"/>
      <c r="OZV18" s="7158"/>
      <c r="OZW18" s="7158"/>
      <c r="OZX18" s="7159"/>
      <c r="OZY18" s="7152"/>
      <c r="OZZ18" s="7153"/>
      <c r="PAA18" s="7153"/>
      <c r="PAB18" s="7153"/>
      <c r="PAC18" s="7163"/>
      <c r="PAD18" s="7164"/>
      <c r="PAE18" s="7157"/>
      <c r="PAF18" s="7157"/>
      <c r="PAG18" s="7157"/>
      <c r="PAH18" s="7157"/>
      <c r="PAI18" s="7158"/>
      <c r="PAJ18" s="7158"/>
      <c r="PAK18" s="7158"/>
      <c r="PAL18" s="7158"/>
      <c r="PAM18" s="7158"/>
      <c r="PAN18" s="7159"/>
      <c r="PAO18" s="7152"/>
      <c r="PAP18" s="7153"/>
      <c r="PAQ18" s="7153"/>
      <c r="PAR18" s="7153"/>
      <c r="PAS18" s="7163"/>
      <c r="PAT18" s="7164"/>
      <c r="PAU18" s="7157"/>
      <c r="PAV18" s="7157"/>
      <c r="PAW18" s="7157"/>
      <c r="PAX18" s="7157"/>
      <c r="PAY18" s="7158"/>
      <c r="PAZ18" s="7158"/>
      <c r="PBA18" s="7158"/>
      <c r="PBB18" s="7158"/>
      <c r="PBC18" s="7158"/>
      <c r="PBD18" s="7159"/>
      <c r="PBE18" s="7152"/>
      <c r="PBF18" s="7153"/>
      <c r="PBG18" s="7153"/>
      <c r="PBH18" s="7153"/>
      <c r="PBI18" s="7163"/>
      <c r="PBJ18" s="7164"/>
      <c r="PBK18" s="7157"/>
      <c r="PBL18" s="7157"/>
      <c r="PBM18" s="7157"/>
      <c r="PBN18" s="7157"/>
      <c r="PBO18" s="7158"/>
      <c r="PBP18" s="7158"/>
      <c r="PBQ18" s="7158"/>
      <c r="PBR18" s="7158"/>
      <c r="PBS18" s="7158"/>
      <c r="PBT18" s="7159"/>
      <c r="PBU18" s="7152"/>
      <c r="PBV18" s="7153"/>
      <c r="PBW18" s="7153"/>
      <c r="PBX18" s="7153"/>
      <c r="PBY18" s="7163"/>
      <c r="PBZ18" s="7164"/>
      <c r="PCA18" s="7157"/>
      <c r="PCB18" s="7157"/>
      <c r="PCC18" s="7157"/>
      <c r="PCD18" s="7157"/>
      <c r="PCE18" s="7158"/>
      <c r="PCF18" s="7158"/>
      <c r="PCG18" s="7158"/>
      <c r="PCH18" s="7158"/>
      <c r="PCI18" s="7158"/>
      <c r="PCJ18" s="7159"/>
      <c r="PCK18" s="7152"/>
      <c r="PCL18" s="7153"/>
      <c r="PCM18" s="7153"/>
      <c r="PCN18" s="7153"/>
      <c r="PCO18" s="7163"/>
      <c r="PCP18" s="7164"/>
      <c r="PCQ18" s="7157"/>
      <c r="PCR18" s="7157"/>
      <c r="PCS18" s="7157"/>
      <c r="PCT18" s="7157"/>
      <c r="PCU18" s="7158"/>
      <c r="PCV18" s="7158"/>
      <c r="PCW18" s="7158"/>
      <c r="PCX18" s="7158"/>
      <c r="PCY18" s="7158"/>
      <c r="PCZ18" s="7159"/>
      <c r="PDA18" s="7152"/>
      <c r="PDB18" s="7153"/>
      <c r="PDC18" s="7153"/>
      <c r="PDD18" s="7153"/>
      <c r="PDE18" s="7163"/>
      <c r="PDF18" s="7164"/>
      <c r="PDG18" s="7157"/>
      <c r="PDH18" s="7157"/>
      <c r="PDI18" s="7157"/>
      <c r="PDJ18" s="7157"/>
      <c r="PDK18" s="7158"/>
      <c r="PDL18" s="7158"/>
      <c r="PDM18" s="7158"/>
      <c r="PDN18" s="7158"/>
      <c r="PDO18" s="7158"/>
      <c r="PDP18" s="7159"/>
      <c r="PDQ18" s="7152"/>
      <c r="PDR18" s="7153"/>
      <c r="PDS18" s="7153"/>
      <c r="PDT18" s="7153"/>
      <c r="PDU18" s="7163"/>
      <c r="PDV18" s="7164"/>
      <c r="PDW18" s="7157"/>
      <c r="PDX18" s="7157"/>
      <c r="PDY18" s="7157"/>
      <c r="PDZ18" s="7157"/>
      <c r="PEA18" s="7158"/>
      <c r="PEB18" s="7158"/>
      <c r="PEC18" s="7158"/>
      <c r="PED18" s="7158"/>
      <c r="PEE18" s="7158"/>
      <c r="PEF18" s="7159"/>
      <c r="PEG18" s="7152"/>
      <c r="PEH18" s="7153"/>
      <c r="PEI18" s="7153"/>
      <c r="PEJ18" s="7153"/>
      <c r="PEK18" s="7163"/>
      <c r="PEL18" s="7164"/>
      <c r="PEM18" s="7157"/>
      <c r="PEN18" s="7157"/>
      <c r="PEO18" s="7157"/>
      <c r="PEP18" s="7157"/>
      <c r="PEQ18" s="7158"/>
      <c r="PER18" s="7158"/>
      <c r="PES18" s="7158"/>
      <c r="PET18" s="7158"/>
      <c r="PEU18" s="7158"/>
      <c r="PEV18" s="7159"/>
      <c r="PEW18" s="7152"/>
      <c r="PEX18" s="7153"/>
      <c r="PEY18" s="7153"/>
      <c r="PEZ18" s="7153"/>
      <c r="PFA18" s="7163"/>
      <c r="PFB18" s="7164"/>
      <c r="PFC18" s="7157"/>
      <c r="PFD18" s="7157"/>
      <c r="PFE18" s="7157"/>
      <c r="PFF18" s="7157"/>
      <c r="PFG18" s="7158"/>
      <c r="PFH18" s="7158"/>
      <c r="PFI18" s="7158"/>
      <c r="PFJ18" s="7158"/>
      <c r="PFK18" s="7158"/>
      <c r="PFL18" s="7159"/>
      <c r="PFM18" s="7152"/>
      <c r="PFN18" s="7153"/>
      <c r="PFO18" s="7153"/>
      <c r="PFP18" s="7153"/>
      <c r="PFQ18" s="7163"/>
      <c r="PFR18" s="7164"/>
      <c r="PFS18" s="7157"/>
      <c r="PFT18" s="7157"/>
      <c r="PFU18" s="7157"/>
      <c r="PFV18" s="7157"/>
      <c r="PFW18" s="7158"/>
      <c r="PFX18" s="7158"/>
      <c r="PFY18" s="7158"/>
      <c r="PFZ18" s="7158"/>
      <c r="PGA18" s="7158"/>
      <c r="PGB18" s="7159"/>
      <c r="PGC18" s="7152"/>
      <c r="PGD18" s="7153"/>
      <c r="PGE18" s="7153"/>
      <c r="PGF18" s="7153"/>
      <c r="PGG18" s="7163"/>
      <c r="PGH18" s="7164"/>
      <c r="PGI18" s="7157"/>
      <c r="PGJ18" s="7157"/>
      <c r="PGK18" s="7157"/>
      <c r="PGL18" s="7157"/>
      <c r="PGM18" s="7158"/>
      <c r="PGN18" s="7158"/>
      <c r="PGO18" s="7158"/>
      <c r="PGP18" s="7158"/>
      <c r="PGQ18" s="7158"/>
      <c r="PGR18" s="7159"/>
      <c r="PGS18" s="7152"/>
      <c r="PGT18" s="7153"/>
      <c r="PGU18" s="7153"/>
      <c r="PGV18" s="7153"/>
      <c r="PGW18" s="7163"/>
      <c r="PGX18" s="7164"/>
      <c r="PGY18" s="7157"/>
      <c r="PGZ18" s="7157"/>
      <c r="PHA18" s="7157"/>
      <c r="PHB18" s="7157"/>
      <c r="PHC18" s="7158"/>
      <c r="PHD18" s="7158"/>
      <c r="PHE18" s="7158"/>
      <c r="PHF18" s="7158"/>
      <c r="PHG18" s="7158"/>
      <c r="PHH18" s="7159"/>
      <c r="PHI18" s="7152"/>
      <c r="PHJ18" s="7153"/>
      <c r="PHK18" s="7153"/>
      <c r="PHL18" s="7153"/>
      <c r="PHM18" s="7163"/>
      <c r="PHN18" s="7164"/>
      <c r="PHO18" s="7157"/>
      <c r="PHP18" s="7157"/>
      <c r="PHQ18" s="7157"/>
      <c r="PHR18" s="7157"/>
      <c r="PHS18" s="7158"/>
      <c r="PHT18" s="7158"/>
      <c r="PHU18" s="7158"/>
      <c r="PHV18" s="7158"/>
      <c r="PHW18" s="7158"/>
      <c r="PHX18" s="7159"/>
      <c r="PHY18" s="7152"/>
      <c r="PHZ18" s="7153"/>
      <c r="PIA18" s="7153"/>
      <c r="PIB18" s="7153"/>
      <c r="PIC18" s="7163"/>
      <c r="PID18" s="7164"/>
      <c r="PIE18" s="7157"/>
      <c r="PIF18" s="7157"/>
      <c r="PIG18" s="7157"/>
      <c r="PIH18" s="7157"/>
      <c r="PII18" s="7158"/>
      <c r="PIJ18" s="7158"/>
      <c r="PIK18" s="7158"/>
      <c r="PIL18" s="7158"/>
      <c r="PIM18" s="7158"/>
      <c r="PIN18" s="7159"/>
      <c r="PIO18" s="7152"/>
      <c r="PIP18" s="7153"/>
      <c r="PIQ18" s="7153"/>
      <c r="PIR18" s="7153"/>
      <c r="PIS18" s="7163"/>
      <c r="PIT18" s="7164"/>
      <c r="PIU18" s="7157"/>
      <c r="PIV18" s="7157"/>
      <c r="PIW18" s="7157"/>
      <c r="PIX18" s="7157"/>
      <c r="PIY18" s="7158"/>
      <c r="PIZ18" s="7158"/>
      <c r="PJA18" s="7158"/>
      <c r="PJB18" s="7158"/>
      <c r="PJC18" s="7158"/>
      <c r="PJD18" s="7159"/>
      <c r="PJE18" s="7152"/>
      <c r="PJF18" s="7153"/>
      <c r="PJG18" s="7153"/>
      <c r="PJH18" s="7153"/>
      <c r="PJI18" s="7163"/>
      <c r="PJJ18" s="7164"/>
      <c r="PJK18" s="7157"/>
      <c r="PJL18" s="7157"/>
      <c r="PJM18" s="7157"/>
      <c r="PJN18" s="7157"/>
      <c r="PJO18" s="7158"/>
      <c r="PJP18" s="7158"/>
      <c r="PJQ18" s="7158"/>
      <c r="PJR18" s="7158"/>
      <c r="PJS18" s="7158"/>
      <c r="PJT18" s="7159"/>
      <c r="PJU18" s="7152"/>
      <c r="PJV18" s="7153"/>
      <c r="PJW18" s="7153"/>
      <c r="PJX18" s="7153"/>
      <c r="PJY18" s="7163"/>
      <c r="PJZ18" s="7164"/>
      <c r="PKA18" s="7157"/>
      <c r="PKB18" s="7157"/>
      <c r="PKC18" s="7157"/>
      <c r="PKD18" s="7157"/>
      <c r="PKE18" s="7158"/>
      <c r="PKF18" s="7158"/>
      <c r="PKG18" s="7158"/>
      <c r="PKH18" s="7158"/>
      <c r="PKI18" s="7158"/>
      <c r="PKJ18" s="7159"/>
      <c r="PKK18" s="7152"/>
      <c r="PKL18" s="7153"/>
      <c r="PKM18" s="7153"/>
      <c r="PKN18" s="7153"/>
      <c r="PKO18" s="7163"/>
      <c r="PKP18" s="7164"/>
      <c r="PKQ18" s="7157"/>
      <c r="PKR18" s="7157"/>
      <c r="PKS18" s="7157"/>
      <c r="PKT18" s="7157"/>
      <c r="PKU18" s="7158"/>
      <c r="PKV18" s="7158"/>
      <c r="PKW18" s="7158"/>
      <c r="PKX18" s="7158"/>
      <c r="PKY18" s="7158"/>
      <c r="PKZ18" s="7159"/>
      <c r="PLA18" s="7152"/>
      <c r="PLB18" s="7153"/>
      <c r="PLC18" s="7153"/>
      <c r="PLD18" s="7153"/>
      <c r="PLE18" s="7163"/>
      <c r="PLF18" s="7164"/>
      <c r="PLG18" s="7157"/>
      <c r="PLH18" s="7157"/>
      <c r="PLI18" s="7157"/>
      <c r="PLJ18" s="7157"/>
      <c r="PLK18" s="7158"/>
      <c r="PLL18" s="7158"/>
      <c r="PLM18" s="7158"/>
      <c r="PLN18" s="7158"/>
      <c r="PLO18" s="7158"/>
      <c r="PLP18" s="7159"/>
      <c r="PLQ18" s="7152"/>
      <c r="PLR18" s="7153"/>
      <c r="PLS18" s="7153"/>
      <c r="PLT18" s="7153"/>
      <c r="PLU18" s="7163"/>
      <c r="PLV18" s="7164"/>
      <c r="PLW18" s="7157"/>
      <c r="PLX18" s="7157"/>
      <c r="PLY18" s="7157"/>
      <c r="PLZ18" s="7157"/>
      <c r="PMA18" s="7158"/>
      <c r="PMB18" s="7158"/>
      <c r="PMC18" s="7158"/>
      <c r="PMD18" s="7158"/>
      <c r="PME18" s="7158"/>
      <c r="PMF18" s="7159"/>
      <c r="PMG18" s="7152"/>
      <c r="PMH18" s="7153"/>
      <c r="PMI18" s="7153"/>
      <c r="PMJ18" s="7153"/>
      <c r="PMK18" s="7163"/>
      <c r="PML18" s="7164"/>
      <c r="PMM18" s="7157"/>
      <c r="PMN18" s="7157"/>
      <c r="PMO18" s="7157"/>
      <c r="PMP18" s="7157"/>
      <c r="PMQ18" s="7158"/>
      <c r="PMR18" s="7158"/>
      <c r="PMS18" s="7158"/>
      <c r="PMT18" s="7158"/>
      <c r="PMU18" s="7158"/>
      <c r="PMV18" s="7159"/>
      <c r="PMW18" s="7152"/>
      <c r="PMX18" s="7153"/>
      <c r="PMY18" s="7153"/>
      <c r="PMZ18" s="7153"/>
      <c r="PNA18" s="7163"/>
      <c r="PNB18" s="7164"/>
      <c r="PNC18" s="7157"/>
      <c r="PND18" s="7157"/>
      <c r="PNE18" s="7157"/>
      <c r="PNF18" s="7157"/>
      <c r="PNG18" s="7158"/>
      <c r="PNH18" s="7158"/>
      <c r="PNI18" s="7158"/>
      <c r="PNJ18" s="7158"/>
      <c r="PNK18" s="7158"/>
      <c r="PNL18" s="7159"/>
      <c r="PNM18" s="7152"/>
      <c r="PNN18" s="7153"/>
      <c r="PNO18" s="7153"/>
      <c r="PNP18" s="7153"/>
      <c r="PNQ18" s="7163"/>
      <c r="PNR18" s="7164"/>
      <c r="PNS18" s="7157"/>
      <c r="PNT18" s="7157"/>
      <c r="PNU18" s="7157"/>
      <c r="PNV18" s="7157"/>
      <c r="PNW18" s="7158"/>
      <c r="PNX18" s="7158"/>
      <c r="PNY18" s="7158"/>
      <c r="PNZ18" s="7158"/>
      <c r="POA18" s="7158"/>
      <c r="POB18" s="7159"/>
      <c r="POC18" s="7152"/>
      <c r="POD18" s="7153"/>
      <c r="POE18" s="7153"/>
      <c r="POF18" s="7153"/>
      <c r="POG18" s="7163"/>
      <c r="POH18" s="7164"/>
      <c r="POI18" s="7157"/>
      <c r="POJ18" s="7157"/>
      <c r="POK18" s="7157"/>
      <c r="POL18" s="7157"/>
      <c r="POM18" s="7158"/>
      <c r="PON18" s="7158"/>
      <c r="POO18" s="7158"/>
      <c r="POP18" s="7158"/>
      <c r="POQ18" s="7158"/>
      <c r="POR18" s="7159"/>
      <c r="POS18" s="7152"/>
      <c r="POT18" s="7153"/>
      <c r="POU18" s="7153"/>
      <c r="POV18" s="7153"/>
      <c r="POW18" s="7163"/>
      <c r="POX18" s="7164"/>
      <c r="POY18" s="7157"/>
      <c r="POZ18" s="7157"/>
      <c r="PPA18" s="7157"/>
      <c r="PPB18" s="7157"/>
      <c r="PPC18" s="7158"/>
      <c r="PPD18" s="7158"/>
      <c r="PPE18" s="7158"/>
      <c r="PPF18" s="7158"/>
      <c r="PPG18" s="7158"/>
      <c r="PPH18" s="7159"/>
      <c r="PPI18" s="7152"/>
      <c r="PPJ18" s="7153"/>
      <c r="PPK18" s="7153"/>
      <c r="PPL18" s="7153"/>
      <c r="PPM18" s="7163"/>
      <c r="PPN18" s="7164"/>
      <c r="PPO18" s="7157"/>
      <c r="PPP18" s="7157"/>
      <c r="PPQ18" s="7157"/>
      <c r="PPR18" s="7157"/>
      <c r="PPS18" s="7158"/>
      <c r="PPT18" s="7158"/>
      <c r="PPU18" s="7158"/>
      <c r="PPV18" s="7158"/>
      <c r="PPW18" s="7158"/>
      <c r="PPX18" s="7159"/>
      <c r="PPY18" s="7152"/>
      <c r="PPZ18" s="7153"/>
      <c r="PQA18" s="7153"/>
      <c r="PQB18" s="7153"/>
      <c r="PQC18" s="7163"/>
      <c r="PQD18" s="7164"/>
      <c r="PQE18" s="7157"/>
      <c r="PQF18" s="7157"/>
      <c r="PQG18" s="7157"/>
      <c r="PQH18" s="7157"/>
      <c r="PQI18" s="7158"/>
      <c r="PQJ18" s="7158"/>
      <c r="PQK18" s="7158"/>
      <c r="PQL18" s="7158"/>
      <c r="PQM18" s="7158"/>
      <c r="PQN18" s="7159"/>
      <c r="PQO18" s="7152"/>
      <c r="PQP18" s="7153"/>
      <c r="PQQ18" s="7153"/>
      <c r="PQR18" s="7153"/>
      <c r="PQS18" s="7163"/>
      <c r="PQT18" s="7164"/>
      <c r="PQU18" s="7157"/>
      <c r="PQV18" s="7157"/>
      <c r="PQW18" s="7157"/>
      <c r="PQX18" s="7157"/>
      <c r="PQY18" s="7158"/>
      <c r="PQZ18" s="7158"/>
      <c r="PRA18" s="7158"/>
      <c r="PRB18" s="7158"/>
      <c r="PRC18" s="7158"/>
      <c r="PRD18" s="7159"/>
      <c r="PRE18" s="7152"/>
      <c r="PRF18" s="7153"/>
      <c r="PRG18" s="7153"/>
      <c r="PRH18" s="7153"/>
      <c r="PRI18" s="7163"/>
      <c r="PRJ18" s="7164"/>
      <c r="PRK18" s="7157"/>
      <c r="PRL18" s="7157"/>
      <c r="PRM18" s="7157"/>
      <c r="PRN18" s="7157"/>
      <c r="PRO18" s="7158"/>
      <c r="PRP18" s="7158"/>
      <c r="PRQ18" s="7158"/>
      <c r="PRR18" s="7158"/>
      <c r="PRS18" s="7158"/>
      <c r="PRT18" s="7159"/>
      <c r="PRU18" s="7152"/>
      <c r="PRV18" s="7153"/>
      <c r="PRW18" s="7153"/>
      <c r="PRX18" s="7153"/>
      <c r="PRY18" s="7163"/>
      <c r="PRZ18" s="7164"/>
      <c r="PSA18" s="7157"/>
      <c r="PSB18" s="7157"/>
      <c r="PSC18" s="7157"/>
      <c r="PSD18" s="7157"/>
      <c r="PSE18" s="7158"/>
      <c r="PSF18" s="7158"/>
      <c r="PSG18" s="7158"/>
      <c r="PSH18" s="7158"/>
      <c r="PSI18" s="7158"/>
      <c r="PSJ18" s="7159"/>
      <c r="PSK18" s="7152"/>
      <c r="PSL18" s="7153"/>
      <c r="PSM18" s="7153"/>
      <c r="PSN18" s="7153"/>
      <c r="PSO18" s="7163"/>
      <c r="PSP18" s="7164"/>
      <c r="PSQ18" s="7157"/>
      <c r="PSR18" s="7157"/>
      <c r="PSS18" s="7157"/>
      <c r="PST18" s="7157"/>
      <c r="PSU18" s="7158"/>
      <c r="PSV18" s="7158"/>
      <c r="PSW18" s="7158"/>
      <c r="PSX18" s="7158"/>
      <c r="PSY18" s="7158"/>
      <c r="PSZ18" s="7159"/>
      <c r="PTA18" s="7152"/>
      <c r="PTB18" s="7153"/>
      <c r="PTC18" s="7153"/>
      <c r="PTD18" s="7153"/>
      <c r="PTE18" s="7163"/>
      <c r="PTF18" s="7164"/>
      <c r="PTG18" s="7157"/>
      <c r="PTH18" s="7157"/>
      <c r="PTI18" s="7157"/>
      <c r="PTJ18" s="7157"/>
      <c r="PTK18" s="7158"/>
      <c r="PTL18" s="7158"/>
      <c r="PTM18" s="7158"/>
      <c r="PTN18" s="7158"/>
      <c r="PTO18" s="7158"/>
      <c r="PTP18" s="7159"/>
      <c r="PTQ18" s="7152"/>
      <c r="PTR18" s="7153"/>
      <c r="PTS18" s="7153"/>
      <c r="PTT18" s="7153"/>
      <c r="PTU18" s="7163"/>
      <c r="PTV18" s="7164"/>
      <c r="PTW18" s="7157"/>
      <c r="PTX18" s="7157"/>
      <c r="PTY18" s="7157"/>
      <c r="PTZ18" s="7157"/>
      <c r="PUA18" s="7158"/>
      <c r="PUB18" s="7158"/>
      <c r="PUC18" s="7158"/>
      <c r="PUD18" s="7158"/>
      <c r="PUE18" s="7158"/>
      <c r="PUF18" s="7159"/>
      <c r="PUG18" s="7152"/>
      <c r="PUH18" s="7153"/>
      <c r="PUI18" s="7153"/>
      <c r="PUJ18" s="7153"/>
      <c r="PUK18" s="7163"/>
      <c r="PUL18" s="7164"/>
      <c r="PUM18" s="7157"/>
      <c r="PUN18" s="7157"/>
      <c r="PUO18" s="7157"/>
      <c r="PUP18" s="7157"/>
      <c r="PUQ18" s="7158"/>
      <c r="PUR18" s="7158"/>
      <c r="PUS18" s="7158"/>
      <c r="PUT18" s="7158"/>
      <c r="PUU18" s="7158"/>
      <c r="PUV18" s="7159"/>
      <c r="PUW18" s="7152"/>
      <c r="PUX18" s="7153"/>
      <c r="PUY18" s="7153"/>
      <c r="PUZ18" s="7153"/>
      <c r="PVA18" s="7163"/>
      <c r="PVB18" s="7164"/>
      <c r="PVC18" s="7157"/>
      <c r="PVD18" s="7157"/>
      <c r="PVE18" s="7157"/>
      <c r="PVF18" s="7157"/>
      <c r="PVG18" s="7158"/>
      <c r="PVH18" s="7158"/>
      <c r="PVI18" s="7158"/>
      <c r="PVJ18" s="7158"/>
      <c r="PVK18" s="7158"/>
      <c r="PVL18" s="7159"/>
      <c r="PVM18" s="7152"/>
      <c r="PVN18" s="7153"/>
      <c r="PVO18" s="7153"/>
      <c r="PVP18" s="7153"/>
      <c r="PVQ18" s="7163"/>
      <c r="PVR18" s="7164"/>
      <c r="PVS18" s="7157"/>
      <c r="PVT18" s="7157"/>
      <c r="PVU18" s="7157"/>
      <c r="PVV18" s="7157"/>
      <c r="PVW18" s="7158"/>
      <c r="PVX18" s="7158"/>
      <c r="PVY18" s="7158"/>
      <c r="PVZ18" s="7158"/>
      <c r="PWA18" s="7158"/>
      <c r="PWB18" s="7159"/>
      <c r="PWC18" s="7152"/>
      <c r="PWD18" s="7153"/>
      <c r="PWE18" s="7153"/>
      <c r="PWF18" s="7153"/>
      <c r="PWG18" s="7163"/>
      <c r="PWH18" s="7164"/>
      <c r="PWI18" s="7157"/>
      <c r="PWJ18" s="7157"/>
      <c r="PWK18" s="7157"/>
      <c r="PWL18" s="7157"/>
      <c r="PWM18" s="7158"/>
      <c r="PWN18" s="7158"/>
      <c r="PWO18" s="7158"/>
      <c r="PWP18" s="7158"/>
      <c r="PWQ18" s="7158"/>
      <c r="PWR18" s="7159"/>
      <c r="PWS18" s="7152"/>
      <c r="PWT18" s="7153"/>
      <c r="PWU18" s="7153"/>
      <c r="PWV18" s="7153"/>
      <c r="PWW18" s="7163"/>
      <c r="PWX18" s="7164"/>
      <c r="PWY18" s="7157"/>
      <c r="PWZ18" s="7157"/>
      <c r="PXA18" s="7157"/>
      <c r="PXB18" s="7157"/>
      <c r="PXC18" s="7158"/>
      <c r="PXD18" s="7158"/>
      <c r="PXE18" s="7158"/>
      <c r="PXF18" s="7158"/>
      <c r="PXG18" s="7158"/>
      <c r="PXH18" s="7159"/>
      <c r="PXI18" s="7152"/>
      <c r="PXJ18" s="7153"/>
      <c r="PXK18" s="7153"/>
      <c r="PXL18" s="7153"/>
      <c r="PXM18" s="7163"/>
      <c r="PXN18" s="7164"/>
      <c r="PXO18" s="7157"/>
      <c r="PXP18" s="7157"/>
      <c r="PXQ18" s="7157"/>
      <c r="PXR18" s="7157"/>
      <c r="PXS18" s="7158"/>
      <c r="PXT18" s="7158"/>
      <c r="PXU18" s="7158"/>
      <c r="PXV18" s="7158"/>
      <c r="PXW18" s="7158"/>
      <c r="PXX18" s="7159"/>
      <c r="PXY18" s="7152"/>
      <c r="PXZ18" s="7153"/>
      <c r="PYA18" s="7153"/>
      <c r="PYB18" s="7153"/>
      <c r="PYC18" s="7163"/>
      <c r="PYD18" s="7164"/>
      <c r="PYE18" s="7157"/>
      <c r="PYF18" s="7157"/>
      <c r="PYG18" s="7157"/>
      <c r="PYH18" s="7157"/>
      <c r="PYI18" s="7158"/>
      <c r="PYJ18" s="7158"/>
      <c r="PYK18" s="7158"/>
      <c r="PYL18" s="7158"/>
      <c r="PYM18" s="7158"/>
      <c r="PYN18" s="7159"/>
      <c r="PYO18" s="7152"/>
      <c r="PYP18" s="7153"/>
      <c r="PYQ18" s="7153"/>
      <c r="PYR18" s="7153"/>
      <c r="PYS18" s="7163"/>
      <c r="PYT18" s="7164"/>
      <c r="PYU18" s="7157"/>
      <c r="PYV18" s="7157"/>
      <c r="PYW18" s="7157"/>
      <c r="PYX18" s="7157"/>
      <c r="PYY18" s="7158"/>
      <c r="PYZ18" s="7158"/>
      <c r="PZA18" s="7158"/>
      <c r="PZB18" s="7158"/>
      <c r="PZC18" s="7158"/>
      <c r="PZD18" s="7159"/>
      <c r="PZE18" s="7152"/>
      <c r="PZF18" s="7153"/>
      <c r="PZG18" s="7153"/>
      <c r="PZH18" s="7153"/>
      <c r="PZI18" s="7163"/>
      <c r="PZJ18" s="7164"/>
      <c r="PZK18" s="7157"/>
      <c r="PZL18" s="7157"/>
      <c r="PZM18" s="7157"/>
      <c r="PZN18" s="7157"/>
      <c r="PZO18" s="7158"/>
      <c r="PZP18" s="7158"/>
      <c r="PZQ18" s="7158"/>
      <c r="PZR18" s="7158"/>
      <c r="PZS18" s="7158"/>
      <c r="PZT18" s="7159"/>
      <c r="PZU18" s="7152"/>
      <c r="PZV18" s="7153"/>
      <c r="PZW18" s="7153"/>
      <c r="PZX18" s="7153"/>
      <c r="PZY18" s="7163"/>
      <c r="PZZ18" s="7164"/>
      <c r="QAA18" s="7157"/>
      <c r="QAB18" s="7157"/>
      <c r="QAC18" s="7157"/>
      <c r="QAD18" s="7157"/>
      <c r="QAE18" s="7158"/>
      <c r="QAF18" s="7158"/>
      <c r="QAG18" s="7158"/>
      <c r="QAH18" s="7158"/>
      <c r="QAI18" s="7158"/>
      <c r="QAJ18" s="7159"/>
      <c r="QAK18" s="7152"/>
      <c r="QAL18" s="7153"/>
      <c r="QAM18" s="7153"/>
      <c r="QAN18" s="7153"/>
      <c r="QAO18" s="7163"/>
      <c r="QAP18" s="7164"/>
      <c r="QAQ18" s="7157"/>
      <c r="QAR18" s="7157"/>
      <c r="QAS18" s="7157"/>
      <c r="QAT18" s="7157"/>
      <c r="QAU18" s="7158"/>
      <c r="QAV18" s="7158"/>
      <c r="QAW18" s="7158"/>
      <c r="QAX18" s="7158"/>
      <c r="QAY18" s="7158"/>
      <c r="QAZ18" s="7159"/>
      <c r="QBA18" s="7152"/>
      <c r="QBB18" s="7153"/>
      <c r="QBC18" s="7153"/>
      <c r="QBD18" s="7153"/>
      <c r="QBE18" s="7163"/>
      <c r="QBF18" s="7164"/>
      <c r="QBG18" s="7157"/>
      <c r="QBH18" s="7157"/>
      <c r="QBI18" s="7157"/>
      <c r="QBJ18" s="7157"/>
      <c r="QBK18" s="7158"/>
      <c r="QBL18" s="7158"/>
      <c r="QBM18" s="7158"/>
      <c r="QBN18" s="7158"/>
      <c r="QBO18" s="7158"/>
      <c r="QBP18" s="7159"/>
      <c r="QBQ18" s="7152"/>
      <c r="QBR18" s="7153"/>
      <c r="QBS18" s="7153"/>
      <c r="QBT18" s="7153"/>
      <c r="QBU18" s="7163"/>
      <c r="QBV18" s="7164"/>
      <c r="QBW18" s="7157"/>
      <c r="QBX18" s="7157"/>
      <c r="QBY18" s="7157"/>
      <c r="QBZ18" s="7157"/>
      <c r="QCA18" s="7158"/>
      <c r="QCB18" s="7158"/>
      <c r="QCC18" s="7158"/>
      <c r="QCD18" s="7158"/>
      <c r="QCE18" s="7158"/>
      <c r="QCF18" s="7159"/>
      <c r="QCG18" s="7152"/>
      <c r="QCH18" s="7153"/>
      <c r="QCI18" s="7153"/>
      <c r="QCJ18" s="7153"/>
      <c r="QCK18" s="7163"/>
      <c r="QCL18" s="7164"/>
      <c r="QCM18" s="7157"/>
      <c r="QCN18" s="7157"/>
      <c r="QCO18" s="7157"/>
      <c r="QCP18" s="7157"/>
      <c r="QCQ18" s="7158"/>
      <c r="QCR18" s="7158"/>
      <c r="QCS18" s="7158"/>
      <c r="QCT18" s="7158"/>
      <c r="QCU18" s="7158"/>
      <c r="QCV18" s="7159"/>
      <c r="QCW18" s="7152"/>
      <c r="QCX18" s="7153"/>
      <c r="QCY18" s="7153"/>
      <c r="QCZ18" s="7153"/>
      <c r="QDA18" s="7163"/>
      <c r="QDB18" s="7164"/>
      <c r="QDC18" s="7157"/>
      <c r="QDD18" s="7157"/>
      <c r="QDE18" s="7157"/>
      <c r="QDF18" s="7157"/>
      <c r="QDG18" s="7158"/>
      <c r="QDH18" s="7158"/>
      <c r="QDI18" s="7158"/>
      <c r="QDJ18" s="7158"/>
      <c r="QDK18" s="7158"/>
      <c r="QDL18" s="7159"/>
      <c r="QDM18" s="7152"/>
      <c r="QDN18" s="7153"/>
      <c r="QDO18" s="7153"/>
      <c r="QDP18" s="7153"/>
      <c r="QDQ18" s="7163"/>
      <c r="QDR18" s="7164"/>
      <c r="QDS18" s="7157"/>
      <c r="QDT18" s="7157"/>
      <c r="QDU18" s="7157"/>
      <c r="QDV18" s="7157"/>
      <c r="QDW18" s="7158"/>
      <c r="QDX18" s="7158"/>
      <c r="QDY18" s="7158"/>
      <c r="QDZ18" s="7158"/>
      <c r="QEA18" s="7158"/>
      <c r="QEB18" s="7159"/>
      <c r="QEC18" s="7152"/>
      <c r="QED18" s="7153"/>
      <c r="QEE18" s="7153"/>
      <c r="QEF18" s="7153"/>
      <c r="QEG18" s="7163"/>
      <c r="QEH18" s="7164"/>
      <c r="QEI18" s="7157"/>
      <c r="QEJ18" s="7157"/>
      <c r="QEK18" s="7157"/>
      <c r="QEL18" s="7157"/>
      <c r="QEM18" s="7158"/>
      <c r="QEN18" s="7158"/>
      <c r="QEO18" s="7158"/>
      <c r="QEP18" s="7158"/>
      <c r="QEQ18" s="7158"/>
      <c r="QER18" s="7159"/>
      <c r="QES18" s="7152"/>
      <c r="QET18" s="7153"/>
      <c r="QEU18" s="7153"/>
      <c r="QEV18" s="7153"/>
      <c r="QEW18" s="7163"/>
      <c r="QEX18" s="7164"/>
      <c r="QEY18" s="7157"/>
      <c r="QEZ18" s="7157"/>
      <c r="QFA18" s="7157"/>
      <c r="QFB18" s="7157"/>
      <c r="QFC18" s="7158"/>
      <c r="QFD18" s="7158"/>
      <c r="QFE18" s="7158"/>
      <c r="QFF18" s="7158"/>
      <c r="QFG18" s="7158"/>
      <c r="QFH18" s="7159"/>
      <c r="QFI18" s="7152"/>
      <c r="QFJ18" s="7153"/>
      <c r="QFK18" s="7153"/>
      <c r="QFL18" s="7153"/>
      <c r="QFM18" s="7163"/>
      <c r="QFN18" s="7164"/>
      <c r="QFO18" s="7157"/>
      <c r="QFP18" s="7157"/>
      <c r="QFQ18" s="7157"/>
      <c r="QFR18" s="7157"/>
      <c r="QFS18" s="7158"/>
      <c r="QFT18" s="7158"/>
      <c r="QFU18" s="7158"/>
      <c r="QFV18" s="7158"/>
      <c r="QFW18" s="7158"/>
      <c r="QFX18" s="7159"/>
      <c r="QFY18" s="7152"/>
      <c r="QFZ18" s="7153"/>
      <c r="QGA18" s="7153"/>
      <c r="QGB18" s="7153"/>
      <c r="QGC18" s="7163"/>
      <c r="QGD18" s="7164"/>
      <c r="QGE18" s="7157"/>
      <c r="QGF18" s="7157"/>
      <c r="QGG18" s="7157"/>
      <c r="QGH18" s="7157"/>
      <c r="QGI18" s="7158"/>
      <c r="QGJ18" s="7158"/>
      <c r="QGK18" s="7158"/>
      <c r="QGL18" s="7158"/>
      <c r="QGM18" s="7158"/>
      <c r="QGN18" s="7159"/>
      <c r="QGO18" s="7152"/>
      <c r="QGP18" s="7153"/>
      <c r="QGQ18" s="7153"/>
      <c r="QGR18" s="7153"/>
      <c r="QGS18" s="7163"/>
      <c r="QGT18" s="7164"/>
      <c r="QGU18" s="7157"/>
      <c r="QGV18" s="7157"/>
      <c r="QGW18" s="7157"/>
      <c r="QGX18" s="7157"/>
      <c r="QGY18" s="7158"/>
      <c r="QGZ18" s="7158"/>
      <c r="QHA18" s="7158"/>
      <c r="QHB18" s="7158"/>
      <c r="QHC18" s="7158"/>
      <c r="QHD18" s="7159"/>
      <c r="QHE18" s="7152"/>
      <c r="QHF18" s="7153"/>
      <c r="QHG18" s="7153"/>
      <c r="QHH18" s="7153"/>
      <c r="QHI18" s="7163"/>
      <c r="QHJ18" s="7164"/>
      <c r="QHK18" s="7157"/>
      <c r="QHL18" s="7157"/>
      <c r="QHM18" s="7157"/>
      <c r="QHN18" s="7157"/>
      <c r="QHO18" s="7158"/>
      <c r="QHP18" s="7158"/>
      <c r="QHQ18" s="7158"/>
      <c r="QHR18" s="7158"/>
      <c r="QHS18" s="7158"/>
      <c r="QHT18" s="7159"/>
      <c r="QHU18" s="7152"/>
      <c r="QHV18" s="7153"/>
      <c r="QHW18" s="7153"/>
      <c r="QHX18" s="7153"/>
      <c r="QHY18" s="7163"/>
      <c r="QHZ18" s="7164"/>
      <c r="QIA18" s="7157"/>
      <c r="QIB18" s="7157"/>
      <c r="QIC18" s="7157"/>
      <c r="QID18" s="7157"/>
      <c r="QIE18" s="7158"/>
      <c r="QIF18" s="7158"/>
      <c r="QIG18" s="7158"/>
      <c r="QIH18" s="7158"/>
      <c r="QII18" s="7158"/>
      <c r="QIJ18" s="7159"/>
      <c r="QIK18" s="7152"/>
      <c r="QIL18" s="7153"/>
      <c r="QIM18" s="7153"/>
      <c r="QIN18" s="7153"/>
      <c r="QIO18" s="7163"/>
      <c r="QIP18" s="7164"/>
      <c r="QIQ18" s="7157"/>
      <c r="QIR18" s="7157"/>
      <c r="QIS18" s="7157"/>
      <c r="QIT18" s="7157"/>
      <c r="QIU18" s="7158"/>
      <c r="QIV18" s="7158"/>
      <c r="QIW18" s="7158"/>
      <c r="QIX18" s="7158"/>
      <c r="QIY18" s="7158"/>
      <c r="QIZ18" s="7159"/>
      <c r="QJA18" s="7152"/>
      <c r="QJB18" s="7153"/>
      <c r="QJC18" s="7153"/>
      <c r="QJD18" s="7153"/>
      <c r="QJE18" s="7163"/>
      <c r="QJF18" s="7164"/>
      <c r="QJG18" s="7157"/>
      <c r="QJH18" s="7157"/>
      <c r="QJI18" s="7157"/>
      <c r="QJJ18" s="7157"/>
      <c r="QJK18" s="7158"/>
      <c r="QJL18" s="7158"/>
      <c r="QJM18" s="7158"/>
      <c r="QJN18" s="7158"/>
      <c r="QJO18" s="7158"/>
      <c r="QJP18" s="7159"/>
      <c r="QJQ18" s="7152"/>
      <c r="QJR18" s="7153"/>
      <c r="QJS18" s="7153"/>
      <c r="QJT18" s="7153"/>
      <c r="QJU18" s="7163"/>
      <c r="QJV18" s="7164"/>
      <c r="QJW18" s="7157"/>
      <c r="QJX18" s="7157"/>
      <c r="QJY18" s="7157"/>
      <c r="QJZ18" s="7157"/>
      <c r="QKA18" s="7158"/>
      <c r="QKB18" s="7158"/>
      <c r="QKC18" s="7158"/>
      <c r="QKD18" s="7158"/>
      <c r="QKE18" s="7158"/>
      <c r="QKF18" s="7159"/>
      <c r="QKG18" s="7152"/>
      <c r="QKH18" s="7153"/>
      <c r="QKI18" s="7153"/>
      <c r="QKJ18" s="7153"/>
      <c r="QKK18" s="7163"/>
      <c r="QKL18" s="7164"/>
      <c r="QKM18" s="7157"/>
      <c r="QKN18" s="7157"/>
      <c r="QKO18" s="7157"/>
      <c r="QKP18" s="7157"/>
      <c r="QKQ18" s="7158"/>
      <c r="QKR18" s="7158"/>
      <c r="QKS18" s="7158"/>
      <c r="QKT18" s="7158"/>
      <c r="QKU18" s="7158"/>
      <c r="QKV18" s="7159"/>
      <c r="QKW18" s="7152"/>
      <c r="QKX18" s="7153"/>
      <c r="QKY18" s="7153"/>
      <c r="QKZ18" s="7153"/>
      <c r="QLA18" s="7163"/>
      <c r="QLB18" s="7164"/>
      <c r="QLC18" s="7157"/>
      <c r="QLD18" s="7157"/>
      <c r="QLE18" s="7157"/>
      <c r="QLF18" s="7157"/>
      <c r="QLG18" s="7158"/>
      <c r="QLH18" s="7158"/>
      <c r="QLI18" s="7158"/>
      <c r="QLJ18" s="7158"/>
      <c r="QLK18" s="7158"/>
      <c r="QLL18" s="7159"/>
      <c r="QLM18" s="7152"/>
      <c r="QLN18" s="7153"/>
      <c r="QLO18" s="7153"/>
      <c r="QLP18" s="7153"/>
      <c r="QLQ18" s="7163"/>
      <c r="QLR18" s="7164"/>
      <c r="QLS18" s="7157"/>
      <c r="QLT18" s="7157"/>
      <c r="QLU18" s="7157"/>
      <c r="QLV18" s="7157"/>
      <c r="QLW18" s="7158"/>
      <c r="QLX18" s="7158"/>
      <c r="QLY18" s="7158"/>
      <c r="QLZ18" s="7158"/>
      <c r="QMA18" s="7158"/>
      <c r="QMB18" s="7159"/>
      <c r="QMC18" s="7152"/>
      <c r="QMD18" s="7153"/>
      <c r="QME18" s="7153"/>
      <c r="QMF18" s="7153"/>
      <c r="QMG18" s="7163"/>
      <c r="QMH18" s="7164"/>
      <c r="QMI18" s="7157"/>
      <c r="QMJ18" s="7157"/>
      <c r="QMK18" s="7157"/>
      <c r="QML18" s="7157"/>
      <c r="QMM18" s="7158"/>
      <c r="QMN18" s="7158"/>
      <c r="QMO18" s="7158"/>
      <c r="QMP18" s="7158"/>
      <c r="QMQ18" s="7158"/>
      <c r="QMR18" s="7159"/>
      <c r="QMS18" s="7152"/>
      <c r="QMT18" s="7153"/>
      <c r="QMU18" s="7153"/>
      <c r="QMV18" s="7153"/>
      <c r="QMW18" s="7163"/>
      <c r="QMX18" s="7164"/>
      <c r="QMY18" s="7157"/>
      <c r="QMZ18" s="7157"/>
      <c r="QNA18" s="7157"/>
      <c r="QNB18" s="7157"/>
      <c r="QNC18" s="7158"/>
      <c r="QND18" s="7158"/>
      <c r="QNE18" s="7158"/>
      <c r="QNF18" s="7158"/>
      <c r="QNG18" s="7158"/>
      <c r="QNH18" s="7159"/>
      <c r="QNI18" s="7152"/>
      <c r="QNJ18" s="7153"/>
      <c r="QNK18" s="7153"/>
      <c r="QNL18" s="7153"/>
      <c r="QNM18" s="7163"/>
      <c r="QNN18" s="7164"/>
      <c r="QNO18" s="7157"/>
      <c r="QNP18" s="7157"/>
      <c r="QNQ18" s="7157"/>
      <c r="QNR18" s="7157"/>
      <c r="QNS18" s="7158"/>
      <c r="QNT18" s="7158"/>
      <c r="QNU18" s="7158"/>
      <c r="QNV18" s="7158"/>
      <c r="QNW18" s="7158"/>
      <c r="QNX18" s="7159"/>
      <c r="QNY18" s="7152"/>
      <c r="QNZ18" s="7153"/>
      <c r="QOA18" s="7153"/>
      <c r="QOB18" s="7153"/>
      <c r="QOC18" s="7163"/>
      <c r="QOD18" s="7164"/>
      <c r="QOE18" s="7157"/>
      <c r="QOF18" s="7157"/>
      <c r="QOG18" s="7157"/>
      <c r="QOH18" s="7157"/>
      <c r="QOI18" s="7158"/>
      <c r="QOJ18" s="7158"/>
      <c r="QOK18" s="7158"/>
      <c r="QOL18" s="7158"/>
      <c r="QOM18" s="7158"/>
      <c r="QON18" s="7159"/>
      <c r="QOO18" s="7152"/>
      <c r="QOP18" s="7153"/>
      <c r="QOQ18" s="7153"/>
      <c r="QOR18" s="7153"/>
      <c r="QOS18" s="7163"/>
      <c r="QOT18" s="7164"/>
      <c r="QOU18" s="7157"/>
      <c r="QOV18" s="7157"/>
      <c r="QOW18" s="7157"/>
      <c r="QOX18" s="7157"/>
      <c r="QOY18" s="7158"/>
      <c r="QOZ18" s="7158"/>
      <c r="QPA18" s="7158"/>
      <c r="QPB18" s="7158"/>
      <c r="QPC18" s="7158"/>
      <c r="QPD18" s="7159"/>
      <c r="QPE18" s="7152"/>
      <c r="QPF18" s="7153"/>
      <c r="QPG18" s="7153"/>
      <c r="QPH18" s="7153"/>
      <c r="QPI18" s="7163"/>
      <c r="QPJ18" s="7164"/>
      <c r="QPK18" s="7157"/>
      <c r="QPL18" s="7157"/>
      <c r="QPM18" s="7157"/>
      <c r="QPN18" s="7157"/>
      <c r="QPO18" s="7158"/>
      <c r="QPP18" s="7158"/>
      <c r="QPQ18" s="7158"/>
      <c r="QPR18" s="7158"/>
      <c r="QPS18" s="7158"/>
      <c r="QPT18" s="7159"/>
      <c r="QPU18" s="7152"/>
      <c r="QPV18" s="7153"/>
      <c r="QPW18" s="7153"/>
      <c r="QPX18" s="7153"/>
      <c r="QPY18" s="7163"/>
      <c r="QPZ18" s="7164"/>
      <c r="QQA18" s="7157"/>
      <c r="QQB18" s="7157"/>
      <c r="QQC18" s="7157"/>
      <c r="QQD18" s="7157"/>
      <c r="QQE18" s="7158"/>
      <c r="QQF18" s="7158"/>
      <c r="QQG18" s="7158"/>
      <c r="QQH18" s="7158"/>
      <c r="QQI18" s="7158"/>
      <c r="QQJ18" s="7159"/>
      <c r="QQK18" s="7152"/>
      <c r="QQL18" s="7153"/>
      <c r="QQM18" s="7153"/>
      <c r="QQN18" s="7153"/>
      <c r="QQO18" s="7163"/>
      <c r="QQP18" s="7164"/>
      <c r="QQQ18" s="7157"/>
      <c r="QQR18" s="7157"/>
      <c r="QQS18" s="7157"/>
      <c r="QQT18" s="7157"/>
      <c r="QQU18" s="7158"/>
      <c r="QQV18" s="7158"/>
      <c r="QQW18" s="7158"/>
      <c r="QQX18" s="7158"/>
      <c r="QQY18" s="7158"/>
      <c r="QQZ18" s="7159"/>
      <c r="QRA18" s="7152"/>
      <c r="QRB18" s="7153"/>
      <c r="QRC18" s="7153"/>
      <c r="QRD18" s="7153"/>
      <c r="QRE18" s="7163"/>
      <c r="QRF18" s="7164"/>
      <c r="QRG18" s="7157"/>
      <c r="QRH18" s="7157"/>
      <c r="QRI18" s="7157"/>
      <c r="QRJ18" s="7157"/>
      <c r="QRK18" s="7158"/>
      <c r="QRL18" s="7158"/>
      <c r="QRM18" s="7158"/>
      <c r="QRN18" s="7158"/>
      <c r="QRO18" s="7158"/>
      <c r="QRP18" s="7159"/>
      <c r="QRQ18" s="7152"/>
      <c r="QRR18" s="7153"/>
      <c r="QRS18" s="7153"/>
      <c r="QRT18" s="7153"/>
      <c r="QRU18" s="7163"/>
      <c r="QRV18" s="7164"/>
      <c r="QRW18" s="7157"/>
      <c r="QRX18" s="7157"/>
      <c r="QRY18" s="7157"/>
      <c r="QRZ18" s="7157"/>
      <c r="QSA18" s="7158"/>
      <c r="QSB18" s="7158"/>
      <c r="QSC18" s="7158"/>
      <c r="QSD18" s="7158"/>
      <c r="QSE18" s="7158"/>
      <c r="QSF18" s="7159"/>
      <c r="QSG18" s="7152"/>
      <c r="QSH18" s="7153"/>
      <c r="QSI18" s="7153"/>
      <c r="QSJ18" s="7153"/>
      <c r="QSK18" s="7163"/>
      <c r="QSL18" s="7164"/>
      <c r="QSM18" s="7157"/>
      <c r="QSN18" s="7157"/>
      <c r="QSO18" s="7157"/>
      <c r="QSP18" s="7157"/>
      <c r="QSQ18" s="7158"/>
      <c r="QSR18" s="7158"/>
      <c r="QSS18" s="7158"/>
      <c r="QST18" s="7158"/>
      <c r="QSU18" s="7158"/>
      <c r="QSV18" s="7159"/>
      <c r="QSW18" s="7152"/>
      <c r="QSX18" s="7153"/>
      <c r="QSY18" s="7153"/>
      <c r="QSZ18" s="7153"/>
      <c r="QTA18" s="7163"/>
      <c r="QTB18" s="7164"/>
      <c r="QTC18" s="7157"/>
      <c r="QTD18" s="7157"/>
      <c r="QTE18" s="7157"/>
      <c r="QTF18" s="7157"/>
      <c r="QTG18" s="7158"/>
      <c r="QTH18" s="7158"/>
      <c r="QTI18" s="7158"/>
      <c r="QTJ18" s="7158"/>
      <c r="QTK18" s="7158"/>
      <c r="QTL18" s="7159"/>
      <c r="QTM18" s="7152"/>
      <c r="QTN18" s="7153"/>
      <c r="QTO18" s="7153"/>
      <c r="QTP18" s="7153"/>
      <c r="QTQ18" s="7163"/>
      <c r="QTR18" s="7164"/>
      <c r="QTS18" s="7157"/>
      <c r="QTT18" s="7157"/>
      <c r="QTU18" s="7157"/>
      <c r="QTV18" s="7157"/>
      <c r="QTW18" s="7158"/>
      <c r="QTX18" s="7158"/>
      <c r="QTY18" s="7158"/>
      <c r="QTZ18" s="7158"/>
      <c r="QUA18" s="7158"/>
      <c r="QUB18" s="7159"/>
      <c r="QUC18" s="7152"/>
      <c r="QUD18" s="7153"/>
      <c r="QUE18" s="7153"/>
      <c r="QUF18" s="7153"/>
      <c r="QUG18" s="7163"/>
      <c r="QUH18" s="7164"/>
      <c r="QUI18" s="7157"/>
      <c r="QUJ18" s="7157"/>
      <c r="QUK18" s="7157"/>
      <c r="QUL18" s="7157"/>
      <c r="QUM18" s="7158"/>
      <c r="QUN18" s="7158"/>
      <c r="QUO18" s="7158"/>
      <c r="QUP18" s="7158"/>
      <c r="QUQ18" s="7158"/>
      <c r="QUR18" s="7159"/>
      <c r="QUS18" s="7152"/>
      <c r="QUT18" s="7153"/>
      <c r="QUU18" s="7153"/>
      <c r="QUV18" s="7153"/>
      <c r="QUW18" s="7163"/>
      <c r="QUX18" s="7164"/>
      <c r="QUY18" s="7157"/>
      <c r="QUZ18" s="7157"/>
      <c r="QVA18" s="7157"/>
      <c r="QVB18" s="7157"/>
      <c r="QVC18" s="7158"/>
      <c r="QVD18" s="7158"/>
      <c r="QVE18" s="7158"/>
      <c r="QVF18" s="7158"/>
      <c r="QVG18" s="7158"/>
      <c r="QVH18" s="7159"/>
      <c r="QVI18" s="7152"/>
      <c r="QVJ18" s="7153"/>
      <c r="QVK18" s="7153"/>
      <c r="QVL18" s="7153"/>
      <c r="QVM18" s="7163"/>
      <c r="QVN18" s="7164"/>
      <c r="QVO18" s="7157"/>
      <c r="QVP18" s="7157"/>
      <c r="QVQ18" s="7157"/>
      <c r="QVR18" s="7157"/>
      <c r="QVS18" s="7158"/>
      <c r="QVT18" s="7158"/>
      <c r="QVU18" s="7158"/>
      <c r="QVV18" s="7158"/>
      <c r="QVW18" s="7158"/>
      <c r="QVX18" s="7159"/>
      <c r="QVY18" s="7152"/>
      <c r="QVZ18" s="7153"/>
      <c r="QWA18" s="7153"/>
      <c r="QWB18" s="7153"/>
      <c r="QWC18" s="7163"/>
      <c r="QWD18" s="7164"/>
      <c r="QWE18" s="7157"/>
      <c r="QWF18" s="7157"/>
      <c r="QWG18" s="7157"/>
      <c r="QWH18" s="7157"/>
      <c r="QWI18" s="7158"/>
      <c r="QWJ18" s="7158"/>
      <c r="QWK18" s="7158"/>
      <c r="QWL18" s="7158"/>
      <c r="QWM18" s="7158"/>
      <c r="QWN18" s="7159"/>
      <c r="QWO18" s="7152"/>
      <c r="QWP18" s="7153"/>
      <c r="QWQ18" s="7153"/>
      <c r="QWR18" s="7153"/>
      <c r="QWS18" s="7163"/>
      <c r="QWT18" s="7164"/>
      <c r="QWU18" s="7157"/>
      <c r="QWV18" s="7157"/>
      <c r="QWW18" s="7157"/>
      <c r="QWX18" s="7157"/>
      <c r="QWY18" s="7158"/>
      <c r="QWZ18" s="7158"/>
      <c r="QXA18" s="7158"/>
      <c r="QXB18" s="7158"/>
      <c r="QXC18" s="7158"/>
      <c r="QXD18" s="7159"/>
      <c r="QXE18" s="7152"/>
      <c r="QXF18" s="7153"/>
      <c r="QXG18" s="7153"/>
      <c r="QXH18" s="7153"/>
      <c r="QXI18" s="7163"/>
      <c r="QXJ18" s="7164"/>
      <c r="QXK18" s="7157"/>
      <c r="QXL18" s="7157"/>
      <c r="QXM18" s="7157"/>
      <c r="QXN18" s="7157"/>
      <c r="QXO18" s="7158"/>
      <c r="QXP18" s="7158"/>
      <c r="QXQ18" s="7158"/>
      <c r="QXR18" s="7158"/>
      <c r="QXS18" s="7158"/>
      <c r="QXT18" s="7159"/>
      <c r="QXU18" s="7152"/>
      <c r="QXV18" s="7153"/>
      <c r="QXW18" s="7153"/>
      <c r="QXX18" s="7153"/>
      <c r="QXY18" s="7163"/>
      <c r="QXZ18" s="7164"/>
      <c r="QYA18" s="7157"/>
      <c r="QYB18" s="7157"/>
      <c r="QYC18" s="7157"/>
      <c r="QYD18" s="7157"/>
      <c r="QYE18" s="7158"/>
      <c r="QYF18" s="7158"/>
      <c r="QYG18" s="7158"/>
      <c r="QYH18" s="7158"/>
      <c r="QYI18" s="7158"/>
      <c r="QYJ18" s="7159"/>
      <c r="QYK18" s="7152"/>
      <c r="QYL18" s="7153"/>
      <c r="QYM18" s="7153"/>
      <c r="QYN18" s="7153"/>
      <c r="QYO18" s="7163"/>
      <c r="QYP18" s="7164"/>
      <c r="QYQ18" s="7157"/>
      <c r="QYR18" s="7157"/>
      <c r="QYS18" s="7157"/>
      <c r="QYT18" s="7157"/>
      <c r="QYU18" s="7158"/>
      <c r="QYV18" s="7158"/>
      <c r="QYW18" s="7158"/>
      <c r="QYX18" s="7158"/>
      <c r="QYY18" s="7158"/>
      <c r="QYZ18" s="7159"/>
      <c r="QZA18" s="7152"/>
      <c r="QZB18" s="7153"/>
      <c r="QZC18" s="7153"/>
      <c r="QZD18" s="7153"/>
      <c r="QZE18" s="7163"/>
      <c r="QZF18" s="7164"/>
      <c r="QZG18" s="7157"/>
      <c r="QZH18" s="7157"/>
      <c r="QZI18" s="7157"/>
      <c r="QZJ18" s="7157"/>
      <c r="QZK18" s="7158"/>
      <c r="QZL18" s="7158"/>
      <c r="QZM18" s="7158"/>
      <c r="QZN18" s="7158"/>
      <c r="QZO18" s="7158"/>
      <c r="QZP18" s="7159"/>
      <c r="QZQ18" s="7152"/>
      <c r="QZR18" s="7153"/>
      <c r="QZS18" s="7153"/>
      <c r="QZT18" s="7153"/>
      <c r="QZU18" s="7163"/>
      <c r="QZV18" s="7164"/>
      <c r="QZW18" s="7157"/>
      <c r="QZX18" s="7157"/>
      <c r="QZY18" s="7157"/>
      <c r="QZZ18" s="7157"/>
      <c r="RAA18" s="7158"/>
      <c r="RAB18" s="7158"/>
      <c r="RAC18" s="7158"/>
      <c r="RAD18" s="7158"/>
      <c r="RAE18" s="7158"/>
      <c r="RAF18" s="7159"/>
      <c r="RAG18" s="7152"/>
      <c r="RAH18" s="7153"/>
      <c r="RAI18" s="7153"/>
      <c r="RAJ18" s="7153"/>
      <c r="RAK18" s="7163"/>
      <c r="RAL18" s="7164"/>
      <c r="RAM18" s="7157"/>
      <c r="RAN18" s="7157"/>
      <c r="RAO18" s="7157"/>
      <c r="RAP18" s="7157"/>
      <c r="RAQ18" s="7158"/>
      <c r="RAR18" s="7158"/>
      <c r="RAS18" s="7158"/>
      <c r="RAT18" s="7158"/>
      <c r="RAU18" s="7158"/>
      <c r="RAV18" s="7159"/>
      <c r="RAW18" s="7152"/>
      <c r="RAX18" s="7153"/>
      <c r="RAY18" s="7153"/>
      <c r="RAZ18" s="7153"/>
      <c r="RBA18" s="7163"/>
      <c r="RBB18" s="7164"/>
      <c r="RBC18" s="7157"/>
      <c r="RBD18" s="7157"/>
      <c r="RBE18" s="7157"/>
      <c r="RBF18" s="7157"/>
      <c r="RBG18" s="7158"/>
      <c r="RBH18" s="7158"/>
      <c r="RBI18" s="7158"/>
      <c r="RBJ18" s="7158"/>
      <c r="RBK18" s="7158"/>
      <c r="RBL18" s="7159"/>
      <c r="RBM18" s="7152"/>
      <c r="RBN18" s="7153"/>
      <c r="RBO18" s="7153"/>
      <c r="RBP18" s="7153"/>
      <c r="RBQ18" s="7163"/>
      <c r="RBR18" s="7164"/>
      <c r="RBS18" s="7157"/>
      <c r="RBT18" s="7157"/>
      <c r="RBU18" s="7157"/>
      <c r="RBV18" s="7157"/>
      <c r="RBW18" s="7158"/>
      <c r="RBX18" s="7158"/>
      <c r="RBY18" s="7158"/>
      <c r="RBZ18" s="7158"/>
      <c r="RCA18" s="7158"/>
      <c r="RCB18" s="7159"/>
      <c r="RCC18" s="7152"/>
      <c r="RCD18" s="7153"/>
      <c r="RCE18" s="7153"/>
      <c r="RCF18" s="7153"/>
      <c r="RCG18" s="7163"/>
      <c r="RCH18" s="7164"/>
      <c r="RCI18" s="7157"/>
      <c r="RCJ18" s="7157"/>
      <c r="RCK18" s="7157"/>
      <c r="RCL18" s="7157"/>
      <c r="RCM18" s="7158"/>
      <c r="RCN18" s="7158"/>
      <c r="RCO18" s="7158"/>
      <c r="RCP18" s="7158"/>
      <c r="RCQ18" s="7158"/>
      <c r="RCR18" s="7159"/>
      <c r="RCS18" s="7152"/>
      <c r="RCT18" s="7153"/>
      <c r="RCU18" s="7153"/>
      <c r="RCV18" s="7153"/>
      <c r="RCW18" s="7163"/>
      <c r="RCX18" s="7164"/>
      <c r="RCY18" s="7157"/>
      <c r="RCZ18" s="7157"/>
      <c r="RDA18" s="7157"/>
      <c r="RDB18" s="7157"/>
      <c r="RDC18" s="7158"/>
      <c r="RDD18" s="7158"/>
      <c r="RDE18" s="7158"/>
      <c r="RDF18" s="7158"/>
      <c r="RDG18" s="7158"/>
      <c r="RDH18" s="7159"/>
      <c r="RDI18" s="7152"/>
      <c r="RDJ18" s="7153"/>
      <c r="RDK18" s="7153"/>
      <c r="RDL18" s="7153"/>
      <c r="RDM18" s="7163"/>
      <c r="RDN18" s="7164"/>
      <c r="RDO18" s="7157"/>
      <c r="RDP18" s="7157"/>
      <c r="RDQ18" s="7157"/>
      <c r="RDR18" s="7157"/>
      <c r="RDS18" s="7158"/>
      <c r="RDT18" s="7158"/>
      <c r="RDU18" s="7158"/>
      <c r="RDV18" s="7158"/>
      <c r="RDW18" s="7158"/>
      <c r="RDX18" s="7159"/>
      <c r="RDY18" s="7152"/>
      <c r="RDZ18" s="7153"/>
      <c r="REA18" s="7153"/>
      <c r="REB18" s="7153"/>
      <c r="REC18" s="7163"/>
      <c r="RED18" s="7164"/>
      <c r="REE18" s="7157"/>
      <c r="REF18" s="7157"/>
      <c r="REG18" s="7157"/>
      <c r="REH18" s="7157"/>
      <c r="REI18" s="7158"/>
      <c r="REJ18" s="7158"/>
      <c r="REK18" s="7158"/>
      <c r="REL18" s="7158"/>
      <c r="REM18" s="7158"/>
      <c r="REN18" s="7159"/>
      <c r="REO18" s="7152"/>
      <c r="REP18" s="7153"/>
      <c r="REQ18" s="7153"/>
      <c r="RER18" s="7153"/>
      <c r="RES18" s="7163"/>
      <c r="RET18" s="7164"/>
      <c r="REU18" s="7157"/>
      <c r="REV18" s="7157"/>
      <c r="REW18" s="7157"/>
      <c r="REX18" s="7157"/>
      <c r="REY18" s="7158"/>
      <c r="REZ18" s="7158"/>
      <c r="RFA18" s="7158"/>
      <c r="RFB18" s="7158"/>
      <c r="RFC18" s="7158"/>
      <c r="RFD18" s="7159"/>
      <c r="RFE18" s="7152"/>
      <c r="RFF18" s="7153"/>
      <c r="RFG18" s="7153"/>
      <c r="RFH18" s="7153"/>
      <c r="RFI18" s="7163"/>
      <c r="RFJ18" s="7164"/>
      <c r="RFK18" s="7157"/>
      <c r="RFL18" s="7157"/>
      <c r="RFM18" s="7157"/>
      <c r="RFN18" s="7157"/>
      <c r="RFO18" s="7158"/>
      <c r="RFP18" s="7158"/>
      <c r="RFQ18" s="7158"/>
      <c r="RFR18" s="7158"/>
      <c r="RFS18" s="7158"/>
      <c r="RFT18" s="7159"/>
      <c r="RFU18" s="7152"/>
      <c r="RFV18" s="7153"/>
      <c r="RFW18" s="7153"/>
      <c r="RFX18" s="7153"/>
      <c r="RFY18" s="7163"/>
      <c r="RFZ18" s="7164"/>
      <c r="RGA18" s="7157"/>
      <c r="RGB18" s="7157"/>
      <c r="RGC18" s="7157"/>
      <c r="RGD18" s="7157"/>
      <c r="RGE18" s="7158"/>
      <c r="RGF18" s="7158"/>
      <c r="RGG18" s="7158"/>
      <c r="RGH18" s="7158"/>
      <c r="RGI18" s="7158"/>
      <c r="RGJ18" s="7159"/>
      <c r="RGK18" s="7152"/>
      <c r="RGL18" s="7153"/>
      <c r="RGM18" s="7153"/>
      <c r="RGN18" s="7153"/>
      <c r="RGO18" s="7163"/>
      <c r="RGP18" s="7164"/>
      <c r="RGQ18" s="7157"/>
      <c r="RGR18" s="7157"/>
      <c r="RGS18" s="7157"/>
      <c r="RGT18" s="7157"/>
      <c r="RGU18" s="7158"/>
      <c r="RGV18" s="7158"/>
      <c r="RGW18" s="7158"/>
      <c r="RGX18" s="7158"/>
      <c r="RGY18" s="7158"/>
      <c r="RGZ18" s="7159"/>
      <c r="RHA18" s="7152"/>
      <c r="RHB18" s="7153"/>
      <c r="RHC18" s="7153"/>
      <c r="RHD18" s="7153"/>
      <c r="RHE18" s="7163"/>
      <c r="RHF18" s="7164"/>
      <c r="RHG18" s="7157"/>
      <c r="RHH18" s="7157"/>
      <c r="RHI18" s="7157"/>
      <c r="RHJ18" s="7157"/>
      <c r="RHK18" s="7158"/>
      <c r="RHL18" s="7158"/>
      <c r="RHM18" s="7158"/>
      <c r="RHN18" s="7158"/>
      <c r="RHO18" s="7158"/>
      <c r="RHP18" s="7159"/>
      <c r="RHQ18" s="7152"/>
      <c r="RHR18" s="7153"/>
      <c r="RHS18" s="7153"/>
      <c r="RHT18" s="7153"/>
      <c r="RHU18" s="7163"/>
      <c r="RHV18" s="7164"/>
      <c r="RHW18" s="7157"/>
      <c r="RHX18" s="7157"/>
      <c r="RHY18" s="7157"/>
      <c r="RHZ18" s="7157"/>
      <c r="RIA18" s="7158"/>
      <c r="RIB18" s="7158"/>
      <c r="RIC18" s="7158"/>
      <c r="RID18" s="7158"/>
      <c r="RIE18" s="7158"/>
      <c r="RIF18" s="7159"/>
      <c r="RIG18" s="7152"/>
      <c r="RIH18" s="7153"/>
      <c r="RII18" s="7153"/>
      <c r="RIJ18" s="7153"/>
      <c r="RIK18" s="7163"/>
      <c r="RIL18" s="7164"/>
      <c r="RIM18" s="7157"/>
      <c r="RIN18" s="7157"/>
      <c r="RIO18" s="7157"/>
      <c r="RIP18" s="7157"/>
      <c r="RIQ18" s="7158"/>
      <c r="RIR18" s="7158"/>
      <c r="RIS18" s="7158"/>
      <c r="RIT18" s="7158"/>
      <c r="RIU18" s="7158"/>
      <c r="RIV18" s="7159"/>
      <c r="RIW18" s="7152"/>
      <c r="RIX18" s="7153"/>
      <c r="RIY18" s="7153"/>
      <c r="RIZ18" s="7153"/>
      <c r="RJA18" s="7163"/>
      <c r="RJB18" s="7164"/>
      <c r="RJC18" s="7157"/>
      <c r="RJD18" s="7157"/>
      <c r="RJE18" s="7157"/>
      <c r="RJF18" s="7157"/>
      <c r="RJG18" s="7158"/>
      <c r="RJH18" s="7158"/>
      <c r="RJI18" s="7158"/>
      <c r="RJJ18" s="7158"/>
      <c r="RJK18" s="7158"/>
      <c r="RJL18" s="7159"/>
      <c r="RJM18" s="7152"/>
      <c r="RJN18" s="7153"/>
      <c r="RJO18" s="7153"/>
      <c r="RJP18" s="7153"/>
      <c r="RJQ18" s="7163"/>
      <c r="RJR18" s="7164"/>
      <c r="RJS18" s="7157"/>
      <c r="RJT18" s="7157"/>
      <c r="RJU18" s="7157"/>
      <c r="RJV18" s="7157"/>
      <c r="RJW18" s="7158"/>
      <c r="RJX18" s="7158"/>
      <c r="RJY18" s="7158"/>
      <c r="RJZ18" s="7158"/>
      <c r="RKA18" s="7158"/>
      <c r="RKB18" s="7159"/>
      <c r="RKC18" s="7152"/>
      <c r="RKD18" s="7153"/>
      <c r="RKE18" s="7153"/>
      <c r="RKF18" s="7153"/>
      <c r="RKG18" s="7163"/>
      <c r="RKH18" s="7164"/>
      <c r="RKI18" s="7157"/>
      <c r="RKJ18" s="7157"/>
      <c r="RKK18" s="7157"/>
      <c r="RKL18" s="7157"/>
      <c r="RKM18" s="7158"/>
      <c r="RKN18" s="7158"/>
      <c r="RKO18" s="7158"/>
      <c r="RKP18" s="7158"/>
      <c r="RKQ18" s="7158"/>
      <c r="RKR18" s="7159"/>
      <c r="RKS18" s="7152"/>
      <c r="RKT18" s="7153"/>
      <c r="RKU18" s="7153"/>
      <c r="RKV18" s="7153"/>
      <c r="RKW18" s="7163"/>
      <c r="RKX18" s="7164"/>
      <c r="RKY18" s="7157"/>
      <c r="RKZ18" s="7157"/>
      <c r="RLA18" s="7157"/>
      <c r="RLB18" s="7157"/>
      <c r="RLC18" s="7158"/>
      <c r="RLD18" s="7158"/>
      <c r="RLE18" s="7158"/>
      <c r="RLF18" s="7158"/>
      <c r="RLG18" s="7158"/>
      <c r="RLH18" s="7159"/>
      <c r="RLI18" s="7152"/>
      <c r="RLJ18" s="7153"/>
      <c r="RLK18" s="7153"/>
      <c r="RLL18" s="7153"/>
      <c r="RLM18" s="7163"/>
      <c r="RLN18" s="7164"/>
      <c r="RLO18" s="7157"/>
      <c r="RLP18" s="7157"/>
      <c r="RLQ18" s="7157"/>
      <c r="RLR18" s="7157"/>
      <c r="RLS18" s="7158"/>
      <c r="RLT18" s="7158"/>
      <c r="RLU18" s="7158"/>
      <c r="RLV18" s="7158"/>
      <c r="RLW18" s="7158"/>
      <c r="RLX18" s="7159"/>
      <c r="RLY18" s="7152"/>
      <c r="RLZ18" s="7153"/>
      <c r="RMA18" s="7153"/>
      <c r="RMB18" s="7153"/>
      <c r="RMC18" s="7163"/>
      <c r="RMD18" s="7164"/>
      <c r="RME18" s="7157"/>
      <c r="RMF18" s="7157"/>
      <c r="RMG18" s="7157"/>
      <c r="RMH18" s="7157"/>
      <c r="RMI18" s="7158"/>
      <c r="RMJ18" s="7158"/>
      <c r="RMK18" s="7158"/>
      <c r="RML18" s="7158"/>
      <c r="RMM18" s="7158"/>
      <c r="RMN18" s="7159"/>
      <c r="RMO18" s="7152"/>
      <c r="RMP18" s="7153"/>
      <c r="RMQ18" s="7153"/>
      <c r="RMR18" s="7153"/>
      <c r="RMS18" s="7163"/>
      <c r="RMT18" s="7164"/>
      <c r="RMU18" s="7157"/>
      <c r="RMV18" s="7157"/>
      <c r="RMW18" s="7157"/>
      <c r="RMX18" s="7157"/>
      <c r="RMY18" s="7158"/>
      <c r="RMZ18" s="7158"/>
      <c r="RNA18" s="7158"/>
      <c r="RNB18" s="7158"/>
      <c r="RNC18" s="7158"/>
      <c r="RND18" s="7159"/>
      <c r="RNE18" s="7152"/>
      <c r="RNF18" s="7153"/>
      <c r="RNG18" s="7153"/>
      <c r="RNH18" s="7153"/>
      <c r="RNI18" s="7163"/>
      <c r="RNJ18" s="7164"/>
      <c r="RNK18" s="7157"/>
      <c r="RNL18" s="7157"/>
      <c r="RNM18" s="7157"/>
      <c r="RNN18" s="7157"/>
      <c r="RNO18" s="7158"/>
      <c r="RNP18" s="7158"/>
      <c r="RNQ18" s="7158"/>
      <c r="RNR18" s="7158"/>
      <c r="RNS18" s="7158"/>
      <c r="RNT18" s="7159"/>
      <c r="RNU18" s="7152"/>
      <c r="RNV18" s="7153"/>
      <c r="RNW18" s="7153"/>
      <c r="RNX18" s="7153"/>
      <c r="RNY18" s="7163"/>
      <c r="RNZ18" s="7164"/>
      <c r="ROA18" s="7157"/>
      <c r="ROB18" s="7157"/>
      <c r="ROC18" s="7157"/>
      <c r="ROD18" s="7157"/>
      <c r="ROE18" s="7158"/>
      <c r="ROF18" s="7158"/>
      <c r="ROG18" s="7158"/>
      <c r="ROH18" s="7158"/>
      <c r="ROI18" s="7158"/>
      <c r="ROJ18" s="7159"/>
      <c r="ROK18" s="7152"/>
      <c r="ROL18" s="7153"/>
      <c r="ROM18" s="7153"/>
      <c r="RON18" s="7153"/>
      <c r="ROO18" s="7163"/>
      <c r="ROP18" s="7164"/>
      <c r="ROQ18" s="7157"/>
      <c r="ROR18" s="7157"/>
      <c r="ROS18" s="7157"/>
      <c r="ROT18" s="7157"/>
      <c r="ROU18" s="7158"/>
      <c r="ROV18" s="7158"/>
      <c r="ROW18" s="7158"/>
      <c r="ROX18" s="7158"/>
      <c r="ROY18" s="7158"/>
      <c r="ROZ18" s="7159"/>
      <c r="RPA18" s="7152"/>
      <c r="RPB18" s="7153"/>
      <c r="RPC18" s="7153"/>
      <c r="RPD18" s="7153"/>
      <c r="RPE18" s="7163"/>
      <c r="RPF18" s="7164"/>
      <c r="RPG18" s="7157"/>
      <c r="RPH18" s="7157"/>
      <c r="RPI18" s="7157"/>
      <c r="RPJ18" s="7157"/>
      <c r="RPK18" s="7158"/>
      <c r="RPL18" s="7158"/>
      <c r="RPM18" s="7158"/>
      <c r="RPN18" s="7158"/>
      <c r="RPO18" s="7158"/>
      <c r="RPP18" s="7159"/>
      <c r="RPQ18" s="7152"/>
      <c r="RPR18" s="7153"/>
      <c r="RPS18" s="7153"/>
      <c r="RPT18" s="7153"/>
      <c r="RPU18" s="7163"/>
      <c r="RPV18" s="7164"/>
      <c r="RPW18" s="7157"/>
      <c r="RPX18" s="7157"/>
      <c r="RPY18" s="7157"/>
      <c r="RPZ18" s="7157"/>
      <c r="RQA18" s="7158"/>
      <c r="RQB18" s="7158"/>
      <c r="RQC18" s="7158"/>
      <c r="RQD18" s="7158"/>
      <c r="RQE18" s="7158"/>
      <c r="RQF18" s="7159"/>
      <c r="RQG18" s="7152"/>
      <c r="RQH18" s="7153"/>
      <c r="RQI18" s="7153"/>
      <c r="RQJ18" s="7153"/>
      <c r="RQK18" s="7163"/>
      <c r="RQL18" s="7164"/>
      <c r="RQM18" s="7157"/>
      <c r="RQN18" s="7157"/>
      <c r="RQO18" s="7157"/>
      <c r="RQP18" s="7157"/>
      <c r="RQQ18" s="7158"/>
      <c r="RQR18" s="7158"/>
      <c r="RQS18" s="7158"/>
      <c r="RQT18" s="7158"/>
      <c r="RQU18" s="7158"/>
      <c r="RQV18" s="7159"/>
      <c r="RQW18" s="7152"/>
      <c r="RQX18" s="7153"/>
      <c r="RQY18" s="7153"/>
      <c r="RQZ18" s="7153"/>
      <c r="RRA18" s="7163"/>
      <c r="RRB18" s="7164"/>
      <c r="RRC18" s="7157"/>
      <c r="RRD18" s="7157"/>
      <c r="RRE18" s="7157"/>
      <c r="RRF18" s="7157"/>
      <c r="RRG18" s="7158"/>
      <c r="RRH18" s="7158"/>
      <c r="RRI18" s="7158"/>
      <c r="RRJ18" s="7158"/>
      <c r="RRK18" s="7158"/>
      <c r="RRL18" s="7159"/>
      <c r="RRM18" s="7152"/>
      <c r="RRN18" s="7153"/>
      <c r="RRO18" s="7153"/>
      <c r="RRP18" s="7153"/>
      <c r="RRQ18" s="7163"/>
      <c r="RRR18" s="7164"/>
      <c r="RRS18" s="7157"/>
      <c r="RRT18" s="7157"/>
      <c r="RRU18" s="7157"/>
      <c r="RRV18" s="7157"/>
      <c r="RRW18" s="7158"/>
      <c r="RRX18" s="7158"/>
      <c r="RRY18" s="7158"/>
      <c r="RRZ18" s="7158"/>
      <c r="RSA18" s="7158"/>
      <c r="RSB18" s="7159"/>
      <c r="RSC18" s="7152"/>
      <c r="RSD18" s="7153"/>
      <c r="RSE18" s="7153"/>
      <c r="RSF18" s="7153"/>
      <c r="RSG18" s="7163"/>
      <c r="RSH18" s="7164"/>
      <c r="RSI18" s="7157"/>
      <c r="RSJ18" s="7157"/>
      <c r="RSK18" s="7157"/>
      <c r="RSL18" s="7157"/>
      <c r="RSM18" s="7158"/>
      <c r="RSN18" s="7158"/>
      <c r="RSO18" s="7158"/>
      <c r="RSP18" s="7158"/>
      <c r="RSQ18" s="7158"/>
      <c r="RSR18" s="7159"/>
      <c r="RSS18" s="7152"/>
      <c r="RST18" s="7153"/>
      <c r="RSU18" s="7153"/>
      <c r="RSV18" s="7153"/>
      <c r="RSW18" s="7163"/>
      <c r="RSX18" s="7164"/>
      <c r="RSY18" s="7157"/>
      <c r="RSZ18" s="7157"/>
      <c r="RTA18" s="7157"/>
      <c r="RTB18" s="7157"/>
      <c r="RTC18" s="7158"/>
      <c r="RTD18" s="7158"/>
      <c r="RTE18" s="7158"/>
      <c r="RTF18" s="7158"/>
      <c r="RTG18" s="7158"/>
      <c r="RTH18" s="7159"/>
      <c r="RTI18" s="7152"/>
      <c r="RTJ18" s="7153"/>
      <c r="RTK18" s="7153"/>
      <c r="RTL18" s="7153"/>
      <c r="RTM18" s="7163"/>
      <c r="RTN18" s="7164"/>
      <c r="RTO18" s="7157"/>
      <c r="RTP18" s="7157"/>
      <c r="RTQ18" s="7157"/>
      <c r="RTR18" s="7157"/>
      <c r="RTS18" s="7158"/>
      <c r="RTT18" s="7158"/>
      <c r="RTU18" s="7158"/>
      <c r="RTV18" s="7158"/>
      <c r="RTW18" s="7158"/>
      <c r="RTX18" s="7159"/>
      <c r="RTY18" s="7152"/>
      <c r="RTZ18" s="7153"/>
      <c r="RUA18" s="7153"/>
      <c r="RUB18" s="7153"/>
      <c r="RUC18" s="7163"/>
      <c r="RUD18" s="7164"/>
      <c r="RUE18" s="7157"/>
      <c r="RUF18" s="7157"/>
      <c r="RUG18" s="7157"/>
      <c r="RUH18" s="7157"/>
      <c r="RUI18" s="7158"/>
      <c r="RUJ18" s="7158"/>
      <c r="RUK18" s="7158"/>
      <c r="RUL18" s="7158"/>
      <c r="RUM18" s="7158"/>
      <c r="RUN18" s="7159"/>
      <c r="RUO18" s="7152"/>
      <c r="RUP18" s="7153"/>
      <c r="RUQ18" s="7153"/>
      <c r="RUR18" s="7153"/>
      <c r="RUS18" s="7163"/>
      <c r="RUT18" s="7164"/>
      <c r="RUU18" s="7157"/>
      <c r="RUV18" s="7157"/>
      <c r="RUW18" s="7157"/>
      <c r="RUX18" s="7157"/>
      <c r="RUY18" s="7158"/>
      <c r="RUZ18" s="7158"/>
      <c r="RVA18" s="7158"/>
      <c r="RVB18" s="7158"/>
      <c r="RVC18" s="7158"/>
      <c r="RVD18" s="7159"/>
      <c r="RVE18" s="7152"/>
      <c r="RVF18" s="7153"/>
      <c r="RVG18" s="7153"/>
      <c r="RVH18" s="7153"/>
      <c r="RVI18" s="7163"/>
      <c r="RVJ18" s="7164"/>
      <c r="RVK18" s="7157"/>
      <c r="RVL18" s="7157"/>
      <c r="RVM18" s="7157"/>
      <c r="RVN18" s="7157"/>
      <c r="RVO18" s="7158"/>
      <c r="RVP18" s="7158"/>
      <c r="RVQ18" s="7158"/>
      <c r="RVR18" s="7158"/>
      <c r="RVS18" s="7158"/>
      <c r="RVT18" s="7159"/>
      <c r="RVU18" s="7152"/>
      <c r="RVV18" s="7153"/>
      <c r="RVW18" s="7153"/>
      <c r="RVX18" s="7153"/>
      <c r="RVY18" s="7163"/>
      <c r="RVZ18" s="7164"/>
      <c r="RWA18" s="7157"/>
      <c r="RWB18" s="7157"/>
      <c r="RWC18" s="7157"/>
      <c r="RWD18" s="7157"/>
      <c r="RWE18" s="7158"/>
      <c r="RWF18" s="7158"/>
      <c r="RWG18" s="7158"/>
      <c r="RWH18" s="7158"/>
      <c r="RWI18" s="7158"/>
      <c r="RWJ18" s="7159"/>
      <c r="RWK18" s="7152"/>
      <c r="RWL18" s="7153"/>
      <c r="RWM18" s="7153"/>
      <c r="RWN18" s="7153"/>
      <c r="RWO18" s="7163"/>
      <c r="RWP18" s="7164"/>
      <c r="RWQ18" s="7157"/>
      <c r="RWR18" s="7157"/>
      <c r="RWS18" s="7157"/>
      <c r="RWT18" s="7157"/>
      <c r="RWU18" s="7158"/>
      <c r="RWV18" s="7158"/>
      <c r="RWW18" s="7158"/>
      <c r="RWX18" s="7158"/>
      <c r="RWY18" s="7158"/>
      <c r="RWZ18" s="7159"/>
      <c r="RXA18" s="7152"/>
      <c r="RXB18" s="7153"/>
      <c r="RXC18" s="7153"/>
      <c r="RXD18" s="7153"/>
      <c r="RXE18" s="7163"/>
      <c r="RXF18" s="7164"/>
      <c r="RXG18" s="7157"/>
      <c r="RXH18" s="7157"/>
      <c r="RXI18" s="7157"/>
      <c r="RXJ18" s="7157"/>
      <c r="RXK18" s="7158"/>
      <c r="RXL18" s="7158"/>
      <c r="RXM18" s="7158"/>
      <c r="RXN18" s="7158"/>
      <c r="RXO18" s="7158"/>
      <c r="RXP18" s="7159"/>
      <c r="RXQ18" s="7152"/>
      <c r="RXR18" s="7153"/>
      <c r="RXS18" s="7153"/>
      <c r="RXT18" s="7153"/>
      <c r="RXU18" s="7163"/>
      <c r="RXV18" s="7164"/>
      <c r="RXW18" s="7157"/>
      <c r="RXX18" s="7157"/>
      <c r="RXY18" s="7157"/>
      <c r="RXZ18" s="7157"/>
      <c r="RYA18" s="7158"/>
      <c r="RYB18" s="7158"/>
      <c r="RYC18" s="7158"/>
      <c r="RYD18" s="7158"/>
      <c r="RYE18" s="7158"/>
      <c r="RYF18" s="7159"/>
      <c r="RYG18" s="7152"/>
      <c r="RYH18" s="7153"/>
      <c r="RYI18" s="7153"/>
      <c r="RYJ18" s="7153"/>
      <c r="RYK18" s="7163"/>
      <c r="RYL18" s="7164"/>
      <c r="RYM18" s="7157"/>
      <c r="RYN18" s="7157"/>
      <c r="RYO18" s="7157"/>
      <c r="RYP18" s="7157"/>
      <c r="RYQ18" s="7158"/>
      <c r="RYR18" s="7158"/>
      <c r="RYS18" s="7158"/>
      <c r="RYT18" s="7158"/>
      <c r="RYU18" s="7158"/>
      <c r="RYV18" s="7159"/>
      <c r="RYW18" s="7152"/>
      <c r="RYX18" s="7153"/>
      <c r="RYY18" s="7153"/>
      <c r="RYZ18" s="7153"/>
      <c r="RZA18" s="7163"/>
      <c r="RZB18" s="7164"/>
      <c r="RZC18" s="7157"/>
      <c r="RZD18" s="7157"/>
      <c r="RZE18" s="7157"/>
      <c r="RZF18" s="7157"/>
      <c r="RZG18" s="7158"/>
      <c r="RZH18" s="7158"/>
      <c r="RZI18" s="7158"/>
      <c r="RZJ18" s="7158"/>
      <c r="RZK18" s="7158"/>
      <c r="RZL18" s="7159"/>
      <c r="RZM18" s="7152"/>
      <c r="RZN18" s="7153"/>
      <c r="RZO18" s="7153"/>
      <c r="RZP18" s="7153"/>
      <c r="RZQ18" s="7163"/>
      <c r="RZR18" s="7164"/>
      <c r="RZS18" s="7157"/>
      <c r="RZT18" s="7157"/>
      <c r="RZU18" s="7157"/>
      <c r="RZV18" s="7157"/>
      <c r="RZW18" s="7158"/>
      <c r="RZX18" s="7158"/>
      <c r="RZY18" s="7158"/>
      <c r="RZZ18" s="7158"/>
      <c r="SAA18" s="7158"/>
      <c r="SAB18" s="7159"/>
      <c r="SAC18" s="7152"/>
      <c r="SAD18" s="7153"/>
      <c r="SAE18" s="7153"/>
      <c r="SAF18" s="7153"/>
      <c r="SAG18" s="7163"/>
      <c r="SAH18" s="7164"/>
      <c r="SAI18" s="7157"/>
      <c r="SAJ18" s="7157"/>
      <c r="SAK18" s="7157"/>
      <c r="SAL18" s="7157"/>
      <c r="SAM18" s="7158"/>
      <c r="SAN18" s="7158"/>
      <c r="SAO18" s="7158"/>
      <c r="SAP18" s="7158"/>
      <c r="SAQ18" s="7158"/>
      <c r="SAR18" s="7159"/>
      <c r="SAS18" s="7152"/>
      <c r="SAT18" s="7153"/>
      <c r="SAU18" s="7153"/>
      <c r="SAV18" s="7153"/>
      <c r="SAW18" s="7163"/>
      <c r="SAX18" s="7164"/>
      <c r="SAY18" s="7157"/>
      <c r="SAZ18" s="7157"/>
      <c r="SBA18" s="7157"/>
      <c r="SBB18" s="7157"/>
      <c r="SBC18" s="7158"/>
      <c r="SBD18" s="7158"/>
      <c r="SBE18" s="7158"/>
      <c r="SBF18" s="7158"/>
      <c r="SBG18" s="7158"/>
      <c r="SBH18" s="7159"/>
      <c r="SBI18" s="7152"/>
      <c r="SBJ18" s="7153"/>
      <c r="SBK18" s="7153"/>
      <c r="SBL18" s="7153"/>
      <c r="SBM18" s="7163"/>
      <c r="SBN18" s="7164"/>
      <c r="SBO18" s="7157"/>
      <c r="SBP18" s="7157"/>
      <c r="SBQ18" s="7157"/>
      <c r="SBR18" s="7157"/>
      <c r="SBS18" s="7158"/>
      <c r="SBT18" s="7158"/>
      <c r="SBU18" s="7158"/>
      <c r="SBV18" s="7158"/>
      <c r="SBW18" s="7158"/>
      <c r="SBX18" s="7159"/>
      <c r="SBY18" s="7152"/>
      <c r="SBZ18" s="7153"/>
      <c r="SCA18" s="7153"/>
      <c r="SCB18" s="7153"/>
      <c r="SCC18" s="7163"/>
      <c r="SCD18" s="7164"/>
      <c r="SCE18" s="7157"/>
      <c r="SCF18" s="7157"/>
      <c r="SCG18" s="7157"/>
      <c r="SCH18" s="7157"/>
      <c r="SCI18" s="7158"/>
      <c r="SCJ18" s="7158"/>
      <c r="SCK18" s="7158"/>
      <c r="SCL18" s="7158"/>
      <c r="SCM18" s="7158"/>
      <c r="SCN18" s="7159"/>
      <c r="SCO18" s="7152"/>
      <c r="SCP18" s="7153"/>
      <c r="SCQ18" s="7153"/>
      <c r="SCR18" s="7153"/>
      <c r="SCS18" s="7163"/>
      <c r="SCT18" s="7164"/>
      <c r="SCU18" s="7157"/>
      <c r="SCV18" s="7157"/>
      <c r="SCW18" s="7157"/>
      <c r="SCX18" s="7157"/>
      <c r="SCY18" s="7158"/>
      <c r="SCZ18" s="7158"/>
      <c r="SDA18" s="7158"/>
      <c r="SDB18" s="7158"/>
      <c r="SDC18" s="7158"/>
      <c r="SDD18" s="7159"/>
      <c r="SDE18" s="7152"/>
      <c r="SDF18" s="7153"/>
      <c r="SDG18" s="7153"/>
      <c r="SDH18" s="7153"/>
      <c r="SDI18" s="7163"/>
      <c r="SDJ18" s="7164"/>
      <c r="SDK18" s="7157"/>
      <c r="SDL18" s="7157"/>
      <c r="SDM18" s="7157"/>
      <c r="SDN18" s="7157"/>
      <c r="SDO18" s="7158"/>
      <c r="SDP18" s="7158"/>
      <c r="SDQ18" s="7158"/>
      <c r="SDR18" s="7158"/>
      <c r="SDS18" s="7158"/>
      <c r="SDT18" s="7159"/>
      <c r="SDU18" s="7152"/>
      <c r="SDV18" s="7153"/>
      <c r="SDW18" s="7153"/>
      <c r="SDX18" s="7153"/>
      <c r="SDY18" s="7163"/>
      <c r="SDZ18" s="7164"/>
      <c r="SEA18" s="7157"/>
      <c r="SEB18" s="7157"/>
      <c r="SEC18" s="7157"/>
      <c r="SED18" s="7157"/>
      <c r="SEE18" s="7158"/>
      <c r="SEF18" s="7158"/>
      <c r="SEG18" s="7158"/>
      <c r="SEH18" s="7158"/>
      <c r="SEI18" s="7158"/>
      <c r="SEJ18" s="7159"/>
      <c r="SEK18" s="7152"/>
      <c r="SEL18" s="7153"/>
      <c r="SEM18" s="7153"/>
      <c r="SEN18" s="7153"/>
      <c r="SEO18" s="7163"/>
      <c r="SEP18" s="7164"/>
      <c r="SEQ18" s="7157"/>
      <c r="SER18" s="7157"/>
      <c r="SES18" s="7157"/>
      <c r="SET18" s="7157"/>
      <c r="SEU18" s="7158"/>
      <c r="SEV18" s="7158"/>
      <c r="SEW18" s="7158"/>
      <c r="SEX18" s="7158"/>
      <c r="SEY18" s="7158"/>
      <c r="SEZ18" s="7159"/>
      <c r="SFA18" s="7152"/>
      <c r="SFB18" s="7153"/>
      <c r="SFC18" s="7153"/>
      <c r="SFD18" s="7153"/>
      <c r="SFE18" s="7163"/>
      <c r="SFF18" s="7164"/>
      <c r="SFG18" s="7157"/>
      <c r="SFH18" s="7157"/>
      <c r="SFI18" s="7157"/>
      <c r="SFJ18" s="7157"/>
      <c r="SFK18" s="7158"/>
      <c r="SFL18" s="7158"/>
      <c r="SFM18" s="7158"/>
      <c r="SFN18" s="7158"/>
      <c r="SFO18" s="7158"/>
      <c r="SFP18" s="7159"/>
      <c r="SFQ18" s="7152"/>
      <c r="SFR18" s="7153"/>
      <c r="SFS18" s="7153"/>
      <c r="SFT18" s="7153"/>
      <c r="SFU18" s="7163"/>
      <c r="SFV18" s="7164"/>
      <c r="SFW18" s="7157"/>
      <c r="SFX18" s="7157"/>
      <c r="SFY18" s="7157"/>
      <c r="SFZ18" s="7157"/>
      <c r="SGA18" s="7158"/>
      <c r="SGB18" s="7158"/>
      <c r="SGC18" s="7158"/>
      <c r="SGD18" s="7158"/>
      <c r="SGE18" s="7158"/>
      <c r="SGF18" s="7159"/>
      <c r="SGG18" s="7152"/>
      <c r="SGH18" s="7153"/>
      <c r="SGI18" s="7153"/>
      <c r="SGJ18" s="7153"/>
      <c r="SGK18" s="7163"/>
      <c r="SGL18" s="7164"/>
      <c r="SGM18" s="7157"/>
      <c r="SGN18" s="7157"/>
      <c r="SGO18" s="7157"/>
      <c r="SGP18" s="7157"/>
      <c r="SGQ18" s="7158"/>
      <c r="SGR18" s="7158"/>
      <c r="SGS18" s="7158"/>
      <c r="SGT18" s="7158"/>
      <c r="SGU18" s="7158"/>
      <c r="SGV18" s="7159"/>
      <c r="SGW18" s="7152"/>
      <c r="SGX18" s="7153"/>
      <c r="SGY18" s="7153"/>
      <c r="SGZ18" s="7153"/>
      <c r="SHA18" s="7163"/>
      <c r="SHB18" s="7164"/>
      <c r="SHC18" s="7157"/>
      <c r="SHD18" s="7157"/>
      <c r="SHE18" s="7157"/>
      <c r="SHF18" s="7157"/>
      <c r="SHG18" s="7158"/>
      <c r="SHH18" s="7158"/>
      <c r="SHI18" s="7158"/>
      <c r="SHJ18" s="7158"/>
      <c r="SHK18" s="7158"/>
      <c r="SHL18" s="7159"/>
      <c r="SHM18" s="7152"/>
      <c r="SHN18" s="7153"/>
      <c r="SHO18" s="7153"/>
      <c r="SHP18" s="7153"/>
      <c r="SHQ18" s="7163"/>
      <c r="SHR18" s="7164"/>
      <c r="SHS18" s="7157"/>
      <c r="SHT18" s="7157"/>
      <c r="SHU18" s="7157"/>
      <c r="SHV18" s="7157"/>
      <c r="SHW18" s="7158"/>
      <c r="SHX18" s="7158"/>
      <c r="SHY18" s="7158"/>
      <c r="SHZ18" s="7158"/>
      <c r="SIA18" s="7158"/>
      <c r="SIB18" s="7159"/>
      <c r="SIC18" s="7152"/>
      <c r="SID18" s="7153"/>
      <c r="SIE18" s="7153"/>
      <c r="SIF18" s="7153"/>
      <c r="SIG18" s="7163"/>
      <c r="SIH18" s="7164"/>
      <c r="SII18" s="7157"/>
      <c r="SIJ18" s="7157"/>
      <c r="SIK18" s="7157"/>
      <c r="SIL18" s="7157"/>
      <c r="SIM18" s="7158"/>
      <c r="SIN18" s="7158"/>
      <c r="SIO18" s="7158"/>
      <c r="SIP18" s="7158"/>
      <c r="SIQ18" s="7158"/>
      <c r="SIR18" s="7159"/>
      <c r="SIS18" s="7152"/>
      <c r="SIT18" s="7153"/>
      <c r="SIU18" s="7153"/>
      <c r="SIV18" s="7153"/>
      <c r="SIW18" s="7163"/>
      <c r="SIX18" s="7164"/>
      <c r="SIY18" s="7157"/>
      <c r="SIZ18" s="7157"/>
      <c r="SJA18" s="7157"/>
      <c r="SJB18" s="7157"/>
      <c r="SJC18" s="7158"/>
      <c r="SJD18" s="7158"/>
      <c r="SJE18" s="7158"/>
      <c r="SJF18" s="7158"/>
      <c r="SJG18" s="7158"/>
      <c r="SJH18" s="7159"/>
      <c r="SJI18" s="7152"/>
      <c r="SJJ18" s="7153"/>
      <c r="SJK18" s="7153"/>
      <c r="SJL18" s="7153"/>
      <c r="SJM18" s="7163"/>
      <c r="SJN18" s="7164"/>
      <c r="SJO18" s="7157"/>
      <c r="SJP18" s="7157"/>
      <c r="SJQ18" s="7157"/>
      <c r="SJR18" s="7157"/>
      <c r="SJS18" s="7158"/>
      <c r="SJT18" s="7158"/>
      <c r="SJU18" s="7158"/>
      <c r="SJV18" s="7158"/>
      <c r="SJW18" s="7158"/>
      <c r="SJX18" s="7159"/>
      <c r="SJY18" s="7152"/>
      <c r="SJZ18" s="7153"/>
      <c r="SKA18" s="7153"/>
      <c r="SKB18" s="7153"/>
      <c r="SKC18" s="7163"/>
      <c r="SKD18" s="7164"/>
      <c r="SKE18" s="7157"/>
      <c r="SKF18" s="7157"/>
      <c r="SKG18" s="7157"/>
      <c r="SKH18" s="7157"/>
      <c r="SKI18" s="7158"/>
      <c r="SKJ18" s="7158"/>
      <c r="SKK18" s="7158"/>
      <c r="SKL18" s="7158"/>
      <c r="SKM18" s="7158"/>
      <c r="SKN18" s="7159"/>
      <c r="SKO18" s="7152"/>
      <c r="SKP18" s="7153"/>
      <c r="SKQ18" s="7153"/>
      <c r="SKR18" s="7153"/>
      <c r="SKS18" s="7163"/>
      <c r="SKT18" s="7164"/>
      <c r="SKU18" s="7157"/>
      <c r="SKV18" s="7157"/>
      <c r="SKW18" s="7157"/>
      <c r="SKX18" s="7157"/>
      <c r="SKY18" s="7158"/>
      <c r="SKZ18" s="7158"/>
      <c r="SLA18" s="7158"/>
      <c r="SLB18" s="7158"/>
      <c r="SLC18" s="7158"/>
      <c r="SLD18" s="7159"/>
      <c r="SLE18" s="7152"/>
      <c r="SLF18" s="7153"/>
      <c r="SLG18" s="7153"/>
      <c r="SLH18" s="7153"/>
      <c r="SLI18" s="7163"/>
      <c r="SLJ18" s="7164"/>
      <c r="SLK18" s="7157"/>
      <c r="SLL18" s="7157"/>
      <c r="SLM18" s="7157"/>
      <c r="SLN18" s="7157"/>
      <c r="SLO18" s="7158"/>
      <c r="SLP18" s="7158"/>
      <c r="SLQ18" s="7158"/>
      <c r="SLR18" s="7158"/>
      <c r="SLS18" s="7158"/>
      <c r="SLT18" s="7159"/>
      <c r="SLU18" s="7152"/>
      <c r="SLV18" s="7153"/>
      <c r="SLW18" s="7153"/>
      <c r="SLX18" s="7153"/>
      <c r="SLY18" s="7163"/>
      <c r="SLZ18" s="7164"/>
      <c r="SMA18" s="7157"/>
      <c r="SMB18" s="7157"/>
      <c r="SMC18" s="7157"/>
      <c r="SMD18" s="7157"/>
      <c r="SME18" s="7158"/>
      <c r="SMF18" s="7158"/>
      <c r="SMG18" s="7158"/>
      <c r="SMH18" s="7158"/>
      <c r="SMI18" s="7158"/>
      <c r="SMJ18" s="7159"/>
      <c r="SMK18" s="7152"/>
      <c r="SML18" s="7153"/>
      <c r="SMM18" s="7153"/>
      <c r="SMN18" s="7153"/>
      <c r="SMO18" s="7163"/>
      <c r="SMP18" s="7164"/>
      <c r="SMQ18" s="7157"/>
      <c r="SMR18" s="7157"/>
      <c r="SMS18" s="7157"/>
      <c r="SMT18" s="7157"/>
      <c r="SMU18" s="7158"/>
      <c r="SMV18" s="7158"/>
      <c r="SMW18" s="7158"/>
      <c r="SMX18" s="7158"/>
      <c r="SMY18" s="7158"/>
      <c r="SMZ18" s="7159"/>
      <c r="SNA18" s="7152"/>
      <c r="SNB18" s="7153"/>
      <c r="SNC18" s="7153"/>
      <c r="SND18" s="7153"/>
      <c r="SNE18" s="7163"/>
      <c r="SNF18" s="7164"/>
      <c r="SNG18" s="7157"/>
      <c r="SNH18" s="7157"/>
      <c r="SNI18" s="7157"/>
      <c r="SNJ18" s="7157"/>
      <c r="SNK18" s="7158"/>
      <c r="SNL18" s="7158"/>
      <c r="SNM18" s="7158"/>
      <c r="SNN18" s="7158"/>
      <c r="SNO18" s="7158"/>
      <c r="SNP18" s="7159"/>
      <c r="SNQ18" s="7152"/>
      <c r="SNR18" s="7153"/>
      <c r="SNS18" s="7153"/>
      <c r="SNT18" s="7153"/>
      <c r="SNU18" s="7163"/>
      <c r="SNV18" s="7164"/>
      <c r="SNW18" s="7157"/>
      <c r="SNX18" s="7157"/>
      <c r="SNY18" s="7157"/>
      <c r="SNZ18" s="7157"/>
      <c r="SOA18" s="7158"/>
      <c r="SOB18" s="7158"/>
      <c r="SOC18" s="7158"/>
      <c r="SOD18" s="7158"/>
      <c r="SOE18" s="7158"/>
      <c r="SOF18" s="7159"/>
      <c r="SOG18" s="7152"/>
      <c r="SOH18" s="7153"/>
      <c r="SOI18" s="7153"/>
      <c r="SOJ18" s="7153"/>
      <c r="SOK18" s="7163"/>
      <c r="SOL18" s="7164"/>
      <c r="SOM18" s="7157"/>
      <c r="SON18" s="7157"/>
      <c r="SOO18" s="7157"/>
      <c r="SOP18" s="7157"/>
      <c r="SOQ18" s="7158"/>
      <c r="SOR18" s="7158"/>
      <c r="SOS18" s="7158"/>
      <c r="SOT18" s="7158"/>
      <c r="SOU18" s="7158"/>
      <c r="SOV18" s="7159"/>
      <c r="SOW18" s="7152"/>
      <c r="SOX18" s="7153"/>
      <c r="SOY18" s="7153"/>
      <c r="SOZ18" s="7153"/>
      <c r="SPA18" s="7163"/>
      <c r="SPB18" s="7164"/>
      <c r="SPC18" s="7157"/>
      <c r="SPD18" s="7157"/>
      <c r="SPE18" s="7157"/>
      <c r="SPF18" s="7157"/>
      <c r="SPG18" s="7158"/>
      <c r="SPH18" s="7158"/>
      <c r="SPI18" s="7158"/>
      <c r="SPJ18" s="7158"/>
      <c r="SPK18" s="7158"/>
      <c r="SPL18" s="7159"/>
      <c r="SPM18" s="7152"/>
      <c r="SPN18" s="7153"/>
      <c r="SPO18" s="7153"/>
      <c r="SPP18" s="7153"/>
      <c r="SPQ18" s="7163"/>
      <c r="SPR18" s="7164"/>
      <c r="SPS18" s="7157"/>
      <c r="SPT18" s="7157"/>
      <c r="SPU18" s="7157"/>
      <c r="SPV18" s="7157"/>
      <c r="SPW18" s="7158"/>
      <c r="SPX18" s="7158"/>
      <c r="SPY18" s="7158"/>
      <c r="SPZ18" s="7158"/>
      <c r="SQA18" s="7158"/>
      <c r="SQB18" s="7159"/>
      <c r="SQC18" s="7152"/>
      <c r="SQD18" s="7153"/>
      <c r="SQE18" s="7153"/>
      <c r="SQF18" s="7153"/>
      <c r="SQG18" s="7163"/>
      <c r="SQH18" s="7164"/>
      <c r="SQI18" s="7157"/>
      <c r="SQJ18" s="7157"/>
      <c r="SQK18" s="7157"/>
      <c r="SQL18" s="7157"/>
      <c r="SQM18" s="7158"/>
      <c r="SQN18" s="7158"/>
      <c r="SQO18" s="7158"/>
      <c r="SQP18" s="7158"/>
      <c r="SQQ18" s="7158"/>
      <c r="SQR18" s="7159"/>
      <c r="SQS18" s="7152"/>
      <c r="SQT18" s="7153"/>
      <c r="SQU18" s="7153"/>
      <c r="SQV18" s="7153"/>
      <c r="SQW18" s="7163"/>
      <c r="SQX18" s="7164"/>
      <c r="SQY18" s="7157"/>
      <c r="SQZ18" s="7157"/>
      <c r="SRA18" s="7157"/>
      <c r="SRB18" s="7157"/>
      <c r="SRC18" s="7158"/>
      <c r="SRD18" s="7158"/>
      <c r="SRE18" s="7158"/>
      <c r="SRF18" s="7158"/>
      <c r="SRG18" s="7158"/>
      <c r="SRH18" s="7159"/>
      <c r="SRI18" s="7152"/>
      <c r="SRJ18" s="7153"/>
      <c r="SRK18" s="7153"/>
      <c r="SRL18" s="7153"/>
      <c r="SRM18" s="7163"/>
      <c r="SRN18" s="7164"/>
      <c r="SRO18" s="7157"/>
      <c r="SRP18" s="7157"/>
      <c r="SRQ18" s="7157"/>
      <c r="SRR18" s="7157"/>
      <c r="SRS18" s="7158"/>
      <c r="SRT18" s="7158"/>
      <c r="SRU18" s="7158"/>
      <c r="SRV18" s="7158"/>
      <c r="SRW18" s="7158"/>
      <c r="SRX18" s="7159"/>
      <c r="SRY18" s="7152"/>
      <c r="SRZ18" s="7153"/>
      <c r="SSA18" s="7153"/>
      <c r="SSB18" s="7153"/>
      <c r="SSC18" s="7163"/>
      <c r="SSD18" s="7164"/>
      <c r="SSE18" s="7157"/>
      <c r="SSF18" s="7157"/>
      <c r="SSG18" s="7157"/>
      <c r="SSH18" s="7157"/>
      <c r="SSI18" s="7158"/>
      <c r="SSJ18" s="7158"/>
      <c r="SSK18" s="7158"/>
      <c r="SSL18" s="7158"/>
      <c r="SSM18" s="7158"/>
      <c r="SSN18" s="7159"/>
      <c r="SSO18" s="7152"/>
      <c r="SSP18" s="7153"/>
      <c r="SSQ18" s="7153"/>
      <c r="SSR18" s="7153"/>
      <c r="SSS18" s="7163"/>
      <c r="SST18" s="7164"/>
      <c r="SSU18" s="7157"/>
      <c r="SSV18" s="7157"/>
      <c r="SSW18" s="7157"/>
      <c r="SSX18" s="7157"/>
      <c r="SSY18" s="7158"/>
      <c r="SSZ18" s="7158"/>
      <c r="STA18" s="7158"/>
      <c r="STB18" s="7158"/>
      <c r="STC18" s="7158"/>
      <c r="STD18" s="7159"/>
      <c r="STE18" s="7152"/>
      <c r="STF18" s="7153"/>
      <c r="STG18" s="7153"/>
      <c r="STH18" s="7153"/>
      <c r="STI18" s="7163"/>
      <c r="STJ18" s="7164"/>
      <c r="STK18" s="7157"/>
      <c r="STL18" s="7157"/>
      <c r="STM18" s="7157"/>
      <c r="STN18" s="7157"/>
      <c r="STO18" s="7158"/>
      <c r="STP18" s="7158"/>
      <c r="STQ18" s="7158"/>
      <c r="STR18" s="7158"/>
      <c r="STS18" s="7158"/>
      <c r="STT18" s="7159"/>
      <c r="STU18" s="7152"/>
      <c r="STV18" s="7153"/>
      <c r="STW18" s="7153"/>
      <c r="STX18" s="7153"/>
      <c r="STY18" s="7163"/>
      <c r="STZ18" s="7164"/>
      <c r="SUA18" s="7157"/>
      <c r="SUB18" s="7157"/>
      <c r="SUC18" s="7157"/>
      <c r="SUD18" s="7157"/>
      <c r="SUE18" s="7158"/>
      <c r="SUF18" s="7158"/>
      <c r="SUG18" s="7158"/>
      <c r="SUH18" s="7158"/>
      <c r="SUI18" s="7158"/>
      <c r="SUJ18" s="7159"/>
      <c r="SUK18" s="7152"/>
      <c r="SUL18" s="7153"/>
      <c r="SUM18" s="7153"/>
      <c r="SUN18" s="7153"/>
      <c r="SUO18" s="7163"/>
      <c r="SUP18" s="7164"/>
      <c r="SUQ18" s="7157"/>
      <c r="SUR18" s="7157"/>
      <c r="SUS18" s="7157"/>
      <c r="SUT18" s="7157"/>
      <c r="SUU18" s="7158"/>
      <c r="SUV18" s="7158"/>
      <c r="SUW18" s="7158"/>
      <c r="SUX18" s="7158"/>
      <c r="SUY18" s="7158"/>
      <c r="SUZ18" s="7159"/>
      <c r="SVA18" s="7152"/>
      <c r="SVB18" s="7153"/>
      <c r="SVC18" s="7153"/>
      <c r="SVD18" s="7153"/>
      <c r="SVE18" s="7163"/>
      <c r="SVF18" s="7164"/>
      <c r="SVG18" s="7157"/>
      <c r="SVH18" s="7157"/>
      <c r="SVI18" s="7157"/>
      <c r="SVJ18" s="7157"/>
      <c r="SVK18" s="7158"/>
      <c r="SVL18" s="7158"/>
      <c r="SVM18" s="7158"/>
      <c r="SVN18" s="7158"/>
      <c r="SVO18" s="7158"/>
      <c r="SVP18" s="7159"/>
      <c r="SVQ18" s="7152"/>
      <c r="SVR18" s="7153"/>
      <c r="SVS18" s="7153"/>
      <c r="SVT18" s="7153"/>
      <c r="SVU18" s="7163"/>
      <c r="SVV18" s="7164"/>
      <c r="SVW18" s="7157"/>
      <c r="SVX18" s="7157"/>
      <c r="SVY18" s="7157"/>
      <c r="SVZ18" s="7157"/>
      <c r="SWA18" s="7158"/>
      <c r="SWB18" s="7158"/>
      <c r="SWC18" s="7158"/>
      <c r="SWD18" s="7158"/>
      <c r="SWE18" s="7158"/>
      <c r="SWF18" s="7159"/>
      <c r="SWG18" s="7152"/>
      <c r="SWH18" s="7153"/>
      <c r="SWI18" s="7153"/>
      <c r="SWJ18" s="7153"/>
      <c r="SWK18" s="7163"/>
      <c r="SWL18" s="7164"/>
      <c r="SWM18" s="7157"/>
      <c r="SWN18" s="7157"/>
      <c r="SWO18" s="7157"/>
      <c r="SWP18" s="7157"/>
      <c r="SWQ18" s="7158"/>
      <c r="SWR18" s="7158"/>
      <c r="SWS18" s="7158"/>
      <c r="SWT18" s="7158"/>
      <c r="SWU18" s="7158"/>
      <c r="SWV18" s="7159"/>
      <c r="SWW18" s="7152"/>
      <c r="SWX18" s="7153"/>
      <c r="SWY18" s="7153"/>
      <c r="SWZ18" s="7153"/>
      <c r="SXA18" s="7163"/>
      <c r="SXB18" s="7164"/>
      <c r="SXC18" s="7157"/>
      <c r="SXD18" s="7157"/>
      <c r="SXE18" s="7157"/>
      <c r="SXF18" s="7157"/>
      <c r="SXG18" s="7158"/>
      <c r="SXH18" s="7158"/>
      <c r="SXI18" s="7158"/>
      <c r="SXJ18" s="7158"/>
      <c r="SXK18" s="7158"/>
      <c r="SXL18" s="7159"/>
      <c r="SXM18" s="7152"/>
      <c r="SXN18" s="7153"/>
      <c r="SXO18" s="7153"/>
      <c r="SXP18" s="7153"/>
      <c r="SXQ18" s="7163"/>
      <c r="SXR18" s="7164"/>
      <c r="SXS18" s="7157"/>
      <c r="SXT18" s="7157"/>
      <c r="SXU18" s="7157"/>
      <c r="SXV18" s="7157"/>
      <c r="SXW18" s="7158"/>
      <c r="SXX18" s="7158"/>
      <c r="SXY18" s="7158"/>
      <c r="SXZ18" s="7158"/>
      <c r="SYA18" s="7158"/>
      <c r="SYB18" s="7159"/>
      <c r="SYC18" s="7152"/>
      <c r="SYD18" s="7153"/>
      <c r="SYE18" s="7153"/>
      <c r="SYF18" s="7153"/>
      <c r="SYG18" s="7163"/>
      <c r="SYH18" s="7164"/>
      <c r="SYI18" s="7157"/>
      <c r="SYJ18" s="7157"/>
      <c r="SYK18" s="7157"/>
      <c r="SYL18" s="7157"/>
      <c r="SYM18" s="7158"/>
      <c r="SYN18" s="7158"/>
      <c r="SYO18" s="7158"/>
      <c r="SYP18" s="7158"/>
      <c r="SYQ18" s="7158"/>
      <c r="SYR18" s="7159"/>
      <c r="SYS18" s="7152"/>
      <c r="SYT18" s="7153"/>
      <c r="SYU18" s="7153"/>
      <c r="SYV18" s="7153"/>
      <c r="SYW18" s="7163"/>
      <c r="SYX18" s="7164"/>
      <c r="SYY18" s="7157"/>
      <c r="SYZ18" s="7157"/>
      <c r="SZA18" s="7157"/>
      <c r="SZB18" s="7157"/>
      <c r="SZC18" s="7158"/>
      <c r="SZD18" s="7158"/>
      <c r="SZE18" s="7158"/>
      <c r="SZF18" s="7158"/>
      <c r="SZG18" s="7158"/>
      <c r="SZH18" s="7159"/>
      <c r="SZI18" s="7152"/>
      <c r="SZJ18" s="7153"/>
      <c r="SZK18" s="7153"/>
      <c r="SZL18" s="7153"/>
      <c r="SZM18" s="7163"/>
      <c r="SZN18" s="7164"/>
      <c r="SZO18" s="7157"/>
      <c r="SZP18" s="7157"/>
      <c r="SZQ18" s="7157"/>
      <c r="SZR18" s="7157"/>
      <c r="SZS18" s="7158"/>
      <c r="SZT18" s="7158"/>
      <c r="SZU18" s="7158"/>
      <c r="SZV18" s="7158"/>
      <c r="SZW18" s="7158"/>
      <c r="SZX18" s="7159"/>
      <c r="SZY18" s="7152"/>
      <c r="SZZ18" s="7153"/>
      <c r="TAA18" s="7153"/>
      <c r="TAB18" s="7153"/>
      <c r="TAC18" s="7163"/>
      <c r="TAD18" s="7164"/>
      <c r="TAE18" s="7157"/>
      <c r="TAF18" s="7157"/>
      <c r="TAG18" s="7157"/>
      <c r="TAH18" s="7157"/>
      <c r="TAI18" s="7158"/>
      <c r="TAJ18" s="7158"/>
      <c r="TAK18" s="7158"/>
      <c r="TAL18" s="7158"/>
      <c r="TAM18" s="7158"/>
      <c r="TAN18" s="7159"/>
      <c r="TAO18" s="7152"/>
      <c r="TAP18" s="7153"/>
      <c r="TAQ18" s="7153"/>
      <c r="TAR18" s="7153"/>
      <c r="TAS18" s="7163"/>
      <c r="TAT18" s="7164"/>
      <c r="TAU18" s="7157"/>
      <c r="TAV18" s="7157"/>
      <c r="TAW18" s="7157"/>
      <c r="TAX18" s="7157"/>
      <c r="TAY18" s="7158"/>
      <c r="TAZ18" s="7158"/>
      <c r="TBA18" s="7158"/>
      <c r="TBB18" s="7158"/>
      <c r="TBC18" s="7158"/>
      <c r="TBD18" s="7159"/>
      <c r="TBE18" s="7152"/>
      <c r="TBF18" s="7153"/>
      <c r="TBG18" s="7153"/>
      <c r="TBH18" s="7153"/>
      <c r="TBI18" s="7163"/>
      <c r="TBJ18" s="7164"/>
      <c r="TBK18" s="7157"/>
      <c r="TBL18" s="7157"/>
      <c r="TBM18" s="7157"/>
      <c r="TBN18" s="7157"/>
      <c r="TBO18" s="7158"/>
      <c r="TBP18" s="7158"/>
      <c r="TBQ18" s="7158"/>
      <c r="TBR18" s="7158"/>
      <c r="TBS18" s="7158"/>
      <c r="TBT18" s="7159"/>
      <c r="TBU18" s="7152"/>
      <c r="TBV18" s="7153"/>
      <c r="TBW18" s="7153"/>
      <c r="TBX18" s="7153"/>
      <c r="TBY18" s="7163"/>
      <c r="TBZ18" s="7164"/>
      <c r="TCA18" s="7157"/>
      <c r="TCB18" s="7157"/>
      <c r="TCC18" s="7157"/>
      <c r="TCD18" s="7157"/>
      <c r="TCE18" s="7158"/>
      <c r="TCF18" s="7158"/>
      <c r="TCG18" s="7158"/>
      <c r="TCH18" s="7158"/>
      <c r="TCI18" s="7158"/>
      <c r="TCJ18" s="7159"/>
      <c r="TCK18" s="7152"/>
      <c r="TCL18" s="7153"/>
      <c r="TCM18" s="7153"/>
      <c r="TCN18" s="7153"/>
      <c r="TCO18" s="7163"/>
      <c r="TCP18" s="7164"/>
      <c r="TCQ18" s="7157"/>
      <c r="TCR18" s="7157"/>
      <c r="TCS18" s="7157"/>
      <c r="TCT18" s="7157"/>
      <c r="TCU18" s="7158"/>
      <c r="TCV18" s="7158"/>
      <c r="TCW18" s="7158"/>
      <c r="TCX18" s="7158"/>
      <c r="TCY18" s="7158"/>
      <c r="TCZ18" s="7159"/>
      <c r="TDA18" s="7152"/>
      <c r="TDB18" s="7153"/>
      <c r="TDC18" s="7153"/>
      <c r="TDD18" s="7153"/>
      <c r="TDE18" s="7163"/>
      <c r="TDF18" s="7164"/>
      <c r="TDG18" s="7157"/>
      <c r="TDH18" s="7157"/>
      <c r="TDI18" s="7157"/>
      <c r="TDJ18" s="7157"/>
      <c r="TDK18" s="7158"/>
      <c r="TDL18" s="7158"/>
      <c r="TDM18" s="7158"/>
      <c r="TDN18" s="7158"/>
      <c r="TDO18" s="7158"/>
      <c r="TDP18" s="7159"/>
      <c r="TDQ18" s="7152"/>
      <c r="TDR18" s="7153"/>
      <c r="TDS18" s="7153"/>
      <c r="TDT18" s="7153"/>
      <c r="TDU18" s="7163"/>
      <c r="TDV18" s="7164"/>
      <c r="TDW18" s="7157"/>
      <c r="TDX18" s="7157"/>
      <c r="TDY18" s="7157"/>
      <c r="TDZ18" s="7157"/>
      <c r="TEA18" s="7158"/>
      <c r="TEB18" s="7158"/>
      <c r="TEC18" s="7158"/>
      <c r="TED18" s="7158"/>
      <c r="TEE18" s="7158"/>
      <c r="TEF18" s="7159"/>
      <c r="TEG18" s="7152"/>
      <c r="TEH18" s="7153"/>
      <c r="TEI18" s="7153"/>
      <c r="TEJ18" s="7153"/>
      <c r="TEK18" s="7163"/>
      <c r="TEL18" s="7164"/>
      <c r="TEM18" s="7157"/>
      <c r="TEN18" s="7157"/>
      <c r="TEO18" s="7157"/>
      <c r="TEP18" s="7157"/>
      <c r="TEQ18" s="7158"/>
      <c r="TER18" s="7158"/>
      <c r="TES18" s="7158"/>
      <c r="TET18" s="7158"/>
      <c r="TEU18" s="7158"/>
      <c r="TEV18" s="7159"/>
      <c r="TEW18" s="7152"/>
      <c r="TEX18" s="7153"/>
      <c r="TEY18" s="7153"/>
      <c r="TEZ18" s="7153"/>
      <c r="TFA18" s="7163"/>
      <c r="TFB18" s="7164"/>
      <c r="TFC18" s="7157"/>
      <c r="TFD18" s="7157"/>
      <c r="TFE18" s="7157"/>
      <c r="TFF18" s="7157"/>
      <c r="TFG18" s="7158"/>
      <c r="TFH18" s="7158"/>
      <c r="TFI18" s="7158"/>
      <c r="TFJ18" s="7158"/>
      <c r="TFK18" s="7158"/>
      <c r="TFL18" s="7159"/>
      <c r="TFM18" s="7152"/>
      <c r="TFN18" s="7153"/>
      <c r="TFO18" s="7153"/>
      <c r="TFP18" s="7153"/>
      <c r="TFQ18" s="7163"/>
      <c r="TFR18" s="7164"/>
      <c r="TFS18" s="7157"/>
      <c r="TFT18" s="7157"/>
      <c r="TFU18" s="7157"/>
      <c r="TFV18" s="7157"/>
      <c r="TFW18" s="7158"/>
      <c r="TFX18" s="7158"/>
      <c r="TFY18" s="7158"/>
      <c r="TFZ18" s="7158"/>
      <c r="TGA18" s="7158"/>
      <c r="TGB18" s="7159"/>
      <c r="TGC18" s="7152"/>
      <c r="TGD18" s="7153"/>
      <c r="TGE18" s="7153"/>
      <c r="TGF18" s="7153"/>
      <c r="TGG18" s="7163"/>
      <c r="TGH18" s="7164"/>
      <c r="TGI18" s="7157"/>
      <c r="TGJ18" s="7157"/>
      <c r="TGK18" s="7157"/>
      <c r="TGL18" s="7157"/>
      <c r="TGM18" s="7158"/>
      <c r="TGN18" s="7158"/>
      <c r="TGO18" s="7158"/>
      <c r="TGP18" s="7158"/>
      <c r="TGQ18" s="7158"/>
      <c r="TGR18" s="7159"/>
      <c r="TGS18" s="7152"/>
      <c r="TGT18" s="7153"/>
      <c r="TGU18" s="7153"/>
      <c r="TGV18" s="7153"/>
      <c r="TGW18" s="7163"/>
      <c r="TGX18" s="7164"/>
      <c r="TGY18" s="7157"/>
      <c r="TGZ18" s="7157"/>
      <c r="THA18" s="7157"/>
      <c r="THB18" s="7157"/>
      <c r="THC18" s="7158"/>
      <c r="THD18" s="7158"/>
      <c r="THE18" s="7158"/>
      <c r="THF18" s="7158"/>
      <c r="THG18" s="7158"/>
      <c r="THH18" s="7159"/>
      <c r="THI18" s="7152"/>
      <c r="THJ18" s="7153"/>
      <c r="THK18" s="7153"/>
      <c r="THL18" s="7153"/>
      <c r="THM18" s="7163"/>
      <c r="THN18" s="7164"/>
      <c r="THO18" s="7157"/>
      <c r="THP18" s="7157"/>
      <c r="THQ18" s="7157"/>
      <c r="THR18" s="7157"/>
      <c r="THS18" s="7158"/>
      <c r="THT18" s="7158"/>
      <c r="THU18" s="7158"/>
      <c r="THV18" s="7158"/>
      <c r="THW18" s="7158"/>
      <c r="THX18" s="7159"/>
      <c r="THY18" s="7152"/>
      <c r="THZ18" s="7153"/>
      <c r="TIA18" s="7153"/>
      <c r="TIB18" s="7153"/>
      <c r="TIC18" s="7163"/>
      <c r="TID18" s="7164"/>
      <c r="TIE18" s="7157"/>
      <c r="TIF18" s="7157"/>
      <c r="TIG18" s="7157"/>
      <c r="TIH18" s="7157"/>
      <c r="TII18" s="7158"/>
      <c r="TIJ18" s="7158"/>
      <c r="TIK18" s="7158"/>
      <c r="TIL18" s="7158"/>
      <c r="TIM18" s="7158"/>
      <c r="TIN18" s="7159"/>
      <c r="TIO18" s="7152"/>
      <c r="TIP18" s="7153"/>
      <c r="TIQ18" s="7153"/>
      <c r="TIR18" s="7153"/>
      <c r="TIS18" s="7163"/>
      <c r="TIT18" s="7164"/>
      <c r="TIU18" s="7157"/>
      <c r="TIV18" s="7157"/>
      <c r="TIW18" s="7157"/>
      <c r="TIX18" s="7157"/>
      <c r="TIY18" s="7158"/>
      <c r="TIZ18" s="7158"/>
      <c r="TJA18" s="7158"/>
      <c r="TJB18" s="7158"/>
      <c r="TJC18" s="7158"/>
      <c r="TJD18" s="7159"/>
      <c r="TJE18" s="7152"/>
      <c r="TJF18" s="7153"/>
      <c r="TJG18" s="7153"/>
      <c r="TJH18" s="7153"/>
      <c r="TJI18" s="7163"/>
      <c r="TJJ18" s="7164"/>
      <c r="TJK18" s="7157"/>
      <c r="TJL18" s="7157"/>
      <c r="TJM18" s="7157"/>
      <c r="TJN18" s="7157"/>
      <c r="TJO18" s="7158"/>
      <c r="TJP18" s="7158"/>
      <c r="TJQ18" s="7158"/>
      <c r="TJR18" s="7158"/>
      <c r="TJS18" s="7158"/>
      <c r="TJT18" s="7159"/>
      <c r="TJU18" s="7152"/>
      <c r="TJV18" s="7153"/>
      <c r="TJW18" s="7153"/>
      <c r="TJX18" s="7153"/>
      <c r="TJY18" s="7163"/>
      <c r="TJZ18" s="7164"/>
      <c r="TKA18" s="7157"/>
      <c r="TKB18" s="7157"/>
      <c r="TKC18" s="7157"/>
      <c r="TKD18" s="7157"/>
      <c r="TKE18" s="7158"/>
      <c r="TKF18" s="7158"/>
      <c r="TKG18" s="7158"/>
      <c r="TKH18" s="7158"/>
      <c r="TKI18" s="7158"/>
      <c r="TKJ18" s="7159"/>
      <c r="TKK18" s="7152"/>
      <c r="TKL18" s="7153"/>
      <c r="TKM18" s="7153"/>
      <c r="TKN18" s="7153"/>
      <c r="TKO18" s="7163"/>
      <c r="TKP18" s="7164"/>
      <c r="TKQ18" s="7157"/>
      <c r="TKR18" s="7157"/>
      <c r="TKS18" s="7157"/>
      <c r="TKT18" s="7157"/>
      <c r="TKU18" s="7158"/>
      <c r="TKV18" s="7158"/>
      <c r="TKW18" s="7158"/>
      <c r="TKX18" s="7158"/>
      <c r="TKY18" s="7158"/>
      <c r="TKZ18" s="7159"/>
      <c r="TLA18" s="7152"/>
      <c r="TLB18" s="7153"/>
      <c r="TLC18" s="7153"/>
      <c r="TLD18" s="7153"/>
      <c r="TLE18" s="7163"/>
      <c r="TLF18" s="7164"/>
      <c r="TLG18" s="7157"/>
      <c r="TLH18" s="7157"/>
      <c r="TLI18" s="7157"/>
      <c r="TLJ18" s="7157"/>
      <c r="TLK18" s="7158"/>
      <c r="TLL18" s="7158"/>
      <c r="TLM18" s="7158"/>
      <c r="TLN18" s="7158"/>
      <c r="TLO18" s="7158"/>
      <c r="TLP18" s="7159"/>
      <c r="TLQ18" s="7152"/>
      <c r="TLR18" s="7153"/>
      <c r="TLS18" s="7153"/>
      <c r="TLT18" s="7153"/>
      <c r="TLU18" s="7163"/>
      <c r="TLV18" s="7164"/>
      <c r="TLW18" s="7157"/>
      <c r="TLX18" s="7157"/>
      <c r="TLY18" s="7157"/>
      <c r="TLZ18" s="7157"/>
      <c r="TMA18" s="7158"/>
      <c r="TMB18" s="7158"/>
      <c r="TMC18" s="7158"/>
      <c r="TMD18" s="7158"/>
      <c r="TME18" s="7158"/>
      <c r="TMF18" s="7159"/>
      <c r="TMG18" s="7152"/>
      <c r="TMH18" s="7153"/>
      <c r="TMI18" s="7153"/>
      <c r="TMJ18" s="7153"/>
      <c r="TMK18" s="7163"/>
      <c r="TML18" s="7164"/>
      <c r="TMM18" s="7157"/>
      <c r="TMN18" s="7157"/>
      <c r="TMO18" s="7157"/>
      <c r="TMP18" s="7157"/>
      <c r="TMQ18" s="7158"/>
      <c r="TMR18" s="7158"/>
      <c r="TMS18" s="7158"/>
      <c r="TMT18" s="7158"/>
      <c r="TMU18" s="7158"/>
      <c r="TMV18" s="7159"/>
      <c r="TMW18" s="7152"/>
      <c r="TMX18" s="7153"/>
      <c r="TMY18" s="7153"/>
      <c r="TMZ18" s="7153"/>
      <c r="TNA18" s="7163"/>
      <c r="TNB18" s="7164"/>
      <c r="TNC18" s="7157"/>
      <c r="TND18" s="7157"/>
      <c r="TNE18" s="7157"/>
      <c r="TNF18" s="7157"/>
      <c r="TNG18" s="7158"/>
      <c r="TNH18" s="7158"/>
      <c r="TNI18" s="7158"/>
      <c r="TNJ18" s="7158"/>
      <c r="TNK18" s="7158"/>
      <c r="TNL18" s="7159"/>
      <c r="TNM18" s="7152"/>
      <c r="TNN18" s="7153"/>
      <c r="TNO18" s="7153"/>
      <c r="TNP18" s="7153"/>
      <c r="TNQ18" s="7163"/>
      <c r="TNR18" s="7164"/>
      <c r="TNS18" s="7157"/>
      <c r="TNT18" s="7157"/>
      <c r="TNU18" s="7157"/>
      <c r="TNV18" s="7157"/>
      <c r="TNW18" s="7158"/>
      <c r="TNX18" s="7158"/>
      <c r="TNY18" s="7158"/>
      <c r="TNZ18" s="7158"/>
      <c r="TOA18" s="7158"/>
      <c r="TOB18" s="7159"/>
      <c r="TOC18" s="7152"/>
      <c r="TOD18" s="7153"/>
      <c r="TOE18" s="7153"/>
      <c r="TOF18" s="7153"/>
      <c r="TOG18" s="7163"/>
      <c r="TOH18" s="7164"/>
      <c r="TOI18" s="7157"/>
      <c r="TOJ18" s="7157"/>
      <c r="TOK18" s="7157"/>
      <c r="TOL18" s="7157"/>
      <c r="TOM18" s="7158"/>
      <c r="TON18" s="7158"/>
      <c r="TOO18" s="7158"/>
      <c r="TOP18" s="7158"/>
      <c r="TOQ18" s="7158"/>
      <c r="TOR18" s="7159"/>
      <c r="TOS18" s="7152"/>
      <c r="TOT18" s="7153"/>
      <c r="TOU18" s="7153"/>
      <c r="TOV18" s="7153"/>
      <c r="TOW18" s="7163"/>
      <c r="TOX18" s="7164"/>
      <c r="TOY18" s="7157"/>
      <c r="TOZ18" s="7157"/>
      <c r="TPA18" s="7157"/>
      <c r="TPB18" s="7157"/>
      <c r="TPC18" s="7158"/>
      <c r="TPD18" s="7158"/>
      <c r="TPE18" s="7158"/>
      <c r="TPF18" s="7158"/>
      <c r="TPG18" s="7158"/>
      <c r="TPH18" s="7159"/>
      <c r="TPI18" s="7152"/>
      <c r="TPJ18" s="7153"/>
      <c r="TPK18" s="7153"/>
      <c r="TPL18" s="7153"/>
      <c r="TPM18" s="7163"/>
      <c r="TPN18" s="7164"/>
      <c r="TPO18" s="7157"/>
      <c r="TPP18" s="7157"/>
      <c r="TPQ18" s="7157"/>
      <c r="TPR18" s="7157"/>
      <c r="TPS18" s="7158"/>
      <c r="TPT18" s="7158"/>
      <c r="TPU18" s="7158"/>
      <c r="TPV18" s="7158"/>
      <c r="TPW18" s="7158"/>
      <c r="TPX18" s="7159"/>
      <c r="TPY18" s="7152"/>
      <c r="TPZ18" s="7153"/>
      <c r="TQA18" s="7153"/>
      <c r="TQB18" s="7153"/>
      <c r="TQC18" s="7163"/>
      <c r="TQD18" s="7164"/>
      <c r="TQE18" s="7157"/>
      <c r="TQF18" s="7157"/>
      <c r="TQG18" s="7157"/>
      <c r="TQH18" s="7157"/>
      <c r="TQI18" s="7158"/>
      <c r="TQJ18" s="7158"/>
      <c r="TQK18" s="7158"/>
      <c r="TQL18" s="7158"/>
      <c r="TQM18" s="7158"/>
      <c r="TQN18" s="7159"/>
      <c r="TQO18" s="7152"/>
      <c r="TQP18" s="7153"/>
      <c r="TQQ18" s="7153"/>
      <c r="TQR18" s="7153"/>
      <c r="TQS18" s="7163"/>
      <c r="TQT18" s="7164"/>
      <c r="TQU18" s="7157"/>
      <c r="TQV18" s="7157"/>
      <c r="TQW18" s="7157"/>
      <c r="TQX18" s="7157"/>
      <c r="TQY18" s="7158"/>
      <c r="TQZ18" s="7158"/>
      <c r="TRA18" s="7158"/>
      <c r="TRB18" s="7158"/>
      <c r="TRC18" s="7158"/>
      <c r="TRD18" s="7159"/>
      <c r="TRE18" s="7152"/>
      <c r="TRF18" s="7153"/>
      <c r="TRG18" s="7153"/>
      <c r="TRH18" s="7153"/>
      <c r="TRI18" s="7163"/>
      <c r="TRJ18" s="7164"/>
      <c r="TRK18" s="7157"/>
      <c r="TRL18" s="7157"/>
      <c r="TRM18" s="7157"/>
      <c r="TRN18" s="7157"/>
      <c r="TRO18" s="7158"/>
      <c r="TRP18" s="7158"/>
      <c r="TRQ18" s="7158"/>
      <c r="TRR18" s="7158"/>
      <c r="TRS18" s="7158"/>
      <c r="TRT18" s="7159"/>
      <c r="TRU18" s="7152"/>
      <c r="TRV18" s="7153"/>
      <c r="TRW18" s="7153"/>
      <c r="TRX18" s="7153"/>
      <c r="TRY18" s="7163"/>
      <c r="TRZ18" s="7164"/>
      <c r="TSA18" s="7157"/>
      <c r="TSB18" s="7157"/>
      <c r="TSC18" s="7157"/>
      <c r="TSD18" s="7157"/>
      <c r="TSE18" s="7158"/>
      <c r="TSF18" s="7158"/>
      <c r="TSG18" s="7158"/>
      <c r="TSH18" s="7158"/>
      <c r="TSI18" s="7158"/>
      <c r="TSJ18" s="7159"/>
      <c r="TSK18" s="7152"/>
      <c r="TSL18" s="7153"/>
      <c r="TSM18" s="7153"/>
      <c r="TSN18" s="7153"/>
      <c r="TSO18" s="7163"/>
      <c r="TSP18" s="7164"/>
      <c r="TSQ18" s="7157"/>
      <c r="TSR18" s="7157"/>
      <c r="TSS18" s="7157"/>
      <c r="TST18" s="7157"/>
      <c r="TSU18" s="7158"/>
      <c r="TSV18" s="7158"/>
      <c r="TSW18" s="7158"/>
      <c r="TSX18" s="7158"/>
      <c r="TSY18" s="7158"/>
      <c r="TSZ18" s="7159"/>
      <c r="TTA18" s="7152"/>
      <c r="TTB18" s="7153"/>
      <c r="TTC18" s="7153"/>
      <c r="TTD18" s="7153"/>
      <c r="TTE18" s="7163"/>
      <c r="TTF18" s="7164"/>
      <c r="TTG18" s="7157"/>
      <c r="TTH18" s="7157"/>
      <c r="TTI18" s="7157"/>
      <c r="TTJ18" s="7157"/>
      <c r="TTK18" s="7158"/>
      <c r="TTL18" s="7158"/>
      <c r="TTM18" s="7158"/>
      <c r="TTN18" s="7158"/>
      <c r="TTO18" s="7158"/>
      <c r="TTP18" s="7159"/>
      <c r="TTQ18" s="7152"/>
      <c r="TTR18" s="7153"/>
      <c r="TTS18" s="7153"/>
      <c r="TTT18" s="7153"/>
      <c r="TTU18" s="7163"/>
      <c r="TTV18" s="7164"/>
      <c r="TTW18" s="7157"/>
      <c r="TTX18" s="7157"/>
      <c r="TTY18" s="7157"/>
      <c r="TTZ18" s="7157"/>
      <c r="TUA18" s="7158"/>
      <c r="TUB18" s="7158"/>
      <c r="TUC18" s="7158"/>
      <c r="TUD18" s="7158"/>
      <c r="TUE18" s="7158"/>
      <c r="TUF18" s="7159"/>
      <c r="TUG18" s="7152"/>
      <c r="TUH18" s="7153"/>
      <c r="TUI18" s="7153"/>
      <c r="TUJ18" s="7153"/>
      <c r="TUK18" s="7163"/>
      <c r="TUL18" s="7164"/>
      <c r="TUM18" s="7157"/>
      <c r="TUN18" s="7157"/>
      <c r="TUO18" s="7157"/>
      <c r="TUP18" s="7157"/>
      <c r="TUQ18" s="7158"/>
      <c r="TUR18" s="7158"/>
      <c r="TUS18" s="7158"/>
      <c r="TUT18" s="7158"/>
      <c r="TUU18" s="7158"/>
      <c r="TUV18" s="7159"/>
      <c r="TUW18" s="7152"/>
      <c r="TUX18" s="7153"/>
      <c r="TUY18" s="7153"/>
      <c r="TUZ18" s="7153"/>
      <c r="TVA18" s="7163"/>
      <c r="TVB18" s="7164"/>
      <c r="TVC18" s="7157"/>
      <c r="TVD18" s="7157"/>
      <c r="TVE18" s="7157"/>
      <c r="TVF18" s="7157"/>
      <c r="TVG18" s="7158"/>
      <c r="TVH18" s="7158"/>
      <c r="TVI18" s="7158"/>
      <c r="TVJ18" s="7158"/>
      <c r="TVK18" s="7158"/>
      <c r="TVL18" s="7159"/>
      <c r="TVM18" s="7152"/>
      <c r="TVN18" s="7153"/>
      <c r="TVO18" s="7153"/>
      <c r="TVP18" s="7153"/>
      <c r="TVQ18" s="7163"/>
      <c r="TVR18" s="7164"/>
      <c r="TVS18" s="7157"/>
      <c r="TVT18" s="7157"/>
      <c r="TVU18" s="7157"/>
      <c r="TVV18" s="7157"/>
      <c r="TVW18" s="7158"/>
      <c r="TVX18" s="7158"/>
      <c r="TVY18" s="7158"/>
      <c r="TVZ18" s="7158"/>
      <c r="TWA18" s="7158"/>
      <c r="TWB18" s="7159"/>
      <c r="TWC18" s="7152"/>
      <c r="TWD18" s="7153"/>
      <c r="TWE18" s="7153"/>
      <c r="TWF18" s="7153"/>
      <c r="TWG18" s="7163"/>
      <c r="TWH18" s="7164"/>
      <c r="TWI18" s="7157"/>
      <c r="TWJ18" s="7157"/>
      <c r="TWK18" s="7157"/>
      <c r="TWL18" s="7157"/>
      <c r="TWM18" s="7158"/>
      <c r="TWN18" s="7158"/>
      <c r="TWO18" s="7158"/>
      <c r="TWP18" s="7158"/>
      <c r="TWQ18" s="7158"/>
      <c r="TWR18" s="7159"/>
      <c r="TWS18" s="7152"/>
      <c r="TWT18" s="7153"/>
      <c r="TWU18" s="7153"/>
      <c r="TWV18" s="7153"/>
      <c r="TWW18" s="7163"/>
      <c r="TWX18" s="7164"/>
      <c r="TWY18" s="7157"/>
      <c r="TWZ18" s="7157"/>
      <c r="TXA18" s="7157"/>
      <c r="TXB18" s="7157"/>
      <c r="TXC18" s="7158"/>
      <c r="TXD18" s="7158"/>
      <c r="TXE18" s="7158"/>
      <c r="TXF18" s="7158"/>
      <c r="TXG18" s="7158"/>
      <c r="TXH18" s="7159"/>
      <c r="TXI18" s="7152"/>
      <c r="TXJ18" s="7153"/>
      <c r="TXK18" s="7153"/>
      <c r="TXL18" s="7153"/>
      <c r="TXM18" s="7163"/>
      <c r="TXN18" s="7164"/>
      <c r="TXO18" s="7157"/>
      <c r="TXP18" s="7157"/>
      <c r="TXQ18" s="7157"/>
      <c r="TXR18" s="7157"/>
      <c r="TXS18" s="7158"/>
      <c r="TXT18" s="7158"/>
      <c r="TXU18" s="7158"/>
      <c r="TXV18" s="7158"/>
      <c r="TXW18" s="7158"/>
      <c r="TXX18" s="7159"/>
      <c r="TXY18" s="7152"/>
      <c r="TXZ18" s="7153"/>
      <c r="TYA18" s="7153"/>
      <c r="TYB18" s="7153"/>
      <c r="TYC18" s="7163"/>
      <c r="TYD18" s="7164"/>
      <c r="TYE18" s="7157"/>
      <c r="TYF18" s="7157"/>
      <c r="TYG18" s="7157"/>
      <c r="TYH18" s="7157"/>
      <c r="TYI18" s="7158"/>
      <c r="TYJ18" s="7158"/>
      <c r="TYK18" s="7158"/>
      <c r="TYL18" s="7158"/>
      <c r="TYM18" s="7158"/>
      <c r="TYN18" s="7159"/>
      <c r="TYO18" s="7152"/>
      <c r="TYP18" s="7153"/>
      <c r="TYQ18" s="7153"/>
      <c r="TYR18" s="7153"/>
      <c r="TYS18" s="7163"/>
      <c r="TYT18" s="7164"/>
      <c r="TYU18" s="7157"/>
      <c r="TYV18" s="7157"/>
      <c r="TYW18" s="7157"/>
      <c r="TYX18" s="7157"/>
      <c r="TYY18" s="7158"/>
      <c r="TYZ18" s="7158"/>
      <c r="TZA18" s="7158"/>
      <c r="TZB18" s="7158"/>
      <c r="TZC18" s="7158"/>
      <c r="TZD18" s="7159"/>
      <c r="TZE18" s="7152"/>
      <c r="TZF18" s="7153"/>
      <c r="TZG18" s="7153"/>
      <c r="TZH18" s="7153"/>
      <c r="TZI18" s="7163"/>
      <c r="TZJ18" s="7164"/>
      <c r="TZK18" s="7157"/>
      <c r="TZL18" s="7157"/>
      <c r="TZM18" s="7157"/>
      <c r="TZN18" s="7157"/>
      <c r="TZO18" s="7158"/>
      <c r="TZP18" s="7158"/>
      <c r="TZQ18" s="7158"/>
      <c r="TZR18" s="7158"/>
      <c r="TZS18" s="7158"/>
      <c r="TZT18" s="7159"/>
      <c r="TZU18" s="7152"/>
      <c r="TZV18" s="7153"/>
      <c r="TZW18" s="7153"/>
      <c r="TZX18" s="7153"/>
      <c r="TZY18" s="7163"/>
      <c r="TZZ18" s="7164"/>
      <c r="UAA18" s="7157"/>
      <c r="UAB18" s="7157"/>
      <c r="UAC18" s="7157"/>
      <c r="UAD18" s="7157"/>
      <c r="UAE18" s="7158"/>
      <c r="UAF18" s="7158"/>
      <c r="UAG18" s="7158"/>
      <c r="UAH18" s="7158"/>
      <c r="UAI18" s="7158"/>
      <c r="UAJ18" s="7159"/>
      <c r="UAK18" s="7152"/>
      <c r="UAL18" s="7153"/>
      <c r="UAM18" s="7153"/>
      <c r="UAN18" s="7153"/>
      <c r="UAO18" s="7163"/>
      <c r="UAP18" s="7164"/>
      <c r="UAQ18" s="7157"/>
      <c r="UAR18" s="7157"/>
      <c r="UAS18" s="7157"/>
      <c r="UAT18" s="7157"/>
      <c r="UAU18" s="7158"/>
      <c r="UAV18" s="7158"/>
      <c r="UAW18" s="7158"/>
      <c r="UAX18" s="7158"/>
      <c r="UAY18" s="7158"/>
      <c r="UAZ18" s="7159"/>
      <c r="UBA18" s="7152"/>
      <c r="UBB18" s="7153"/>
      <c r="UBC18" s="7153"/>
      <c r="UBD18" s="7153"/>
      <c r="UBE18" s="7163"/>
      <c r="UBF18" s="7164"/>
      <c r="UBG18" s="7157"/>
      <c r="UBH18" s="7157"/>
      <c r="UBI18" s="7157"/>
      <c r="UBJ18" s="7157"/>
      <c r="UBK18" s="7158"/>
      <c r="UBL18" s="7158"/>
      <c r="UBM18" s="7158"/>
      <c r="UBN18" s="7158"/>
      <c r="UBO18" s="7158"/>
      <c r="UBP18" s="7159"/>
      <c r="UBQ18" s="7152"/>
      <c r="UBR18" s="7153"/>
      <c r="UBS18" s="7153"/>
      <c r="UBT18" s="7153"/>
      <c r="UBU18" s="7163"/>
      <c r="UBV18" s="7164"/>
      <c r="UBW18" s="7157"/>
      <c r="UBX18" s="7157"/>
      <c r="UBY18" s="7157"/>
      <c r="UBZ18" s="7157"/>
      <c r="UCA18" s="7158"/>
      <c r="UCB18" s="7158"/>
      <c r="UCC18" s="7158"/>
      <c r="UCD18" s="7158"/>
      <c r="UCE18" s="7158"/>
      <c r="UCF18" s="7159"/>
      <c r="UCG18" s="7152"/>
      <c r="UCH18" s="7153"/>
      <c r="UCI18" s="7153"/>
      <c r="UCJ18" s="7153"/>
      <c r="UCK18" s="7163"/>
      <c r="UCL18" s="7164"/>
      <c r="UCM18" s="7157"/>
      <c r="UCN18" s="7157"/>
      <c r="UCO18" s="7157"/>
      <c r="UCP18" s="7157"/>
      <c r="UCQ18" s="7158"/>
      <c r="UCR18" s="7158"/>
      <c r="UCS18" s="7158"/>
      <c r="UCT18" s="7158"/>
      <c r="UCU18" s="7158"/>
      <c r="UCV18" s="7159"/>
      <c r="UCW18" s="7152"/>
      <c r="UCX18" s="7153"/>
      <c r="UCY18" s="7153"/>
      <c r="UCZ18" s="7153"/>
      <c r="UDA18" s="7163"/>
      <c r="UDB18" s="7164"/>
      <c r="UDC18" s="7157"/>
      <c r="UDD18" s="7157"/>
      <c r="UDE18" s="7157"/>
      <c r="UDF18" s="7157"/>
      <c r="UDG18" s="7158"/>
      <c r="UDH18" s="7158"/>
      <c r="UDI18" s="7158"/>
      <c r="UDJ18" s="7158"/>
      <c r="UDK18" s="7158"/>
      <c r="UDL18" s="7159"/>
      <c r="UDM18" s="7152"/>
      <c r="UDN18" s="7153"/>
      <c r="UDO18" s="7153"/>
      <c r="UDP18" s="7153"/>
      <c r="UDQ18" s="7163"/>
      <c r="UDR18" s="7164"/>
      <c r="UDS18" s="7157"/>
      <c r="UDT18" s="7157"/>
      <c r="UDU18" s="7157"/>
      <c r="UDV18" s="7157"/>
      <c r="UDW18" s="7158"/>
      <c r="UDX18" s="7158"/>
      <c r="UDY18" s="7158"/>
      <c r="UDZ18" s="7158"/>
      <c r="UEA18" s="7158"/>
      <c r="UEB18" s="7159"/>
      <c r="UEC18" s="7152"/>
      <c r="UED18" s="7153"/>
      <c r="UEE18" s="7153"/>
      <c r="UEF18" s="7153"/>
      <c r="UEG18" s="7163"/>
      <c r="UEH18" s="7164"/>
      <c r="UEI18" s="7157"/>
      <c r="UEJ18" s="7157"/>
      <c r="UEK18" s="7157"/>
      <c r="UEL18" s="7157"/>
      <c r="UEM18" s="7158"/>
      <c r="UEN18" s="7158"/>
      <c r="UEO18" s="7158"/>
      <c r="UEP18" s="7158"/>
      <c r="UEQ18" s="7158"/>
      <c r="UER18" s="7159"/>
      <c r="UES18" s="7152"/>
      <c r="UET18" s="7153"/>
      <c r="UEU18" s="7153"/>
      <c r="UEV18" s="7153"/>
      <c r="UEW18" s="7163"/>
      <c r="UEX18" s="7164"/>
      <c r="UEY18" s="7157"/>
      <c r="UEZ18" s="7157"/>
      <c r="UFA18" s="7157"/>
      <c r="UFB18" s="7157"/>
      <c r="UFC18" s="7158"/>
      <c r="UFD18" s="7158"/>
      <c r="UFE18" s="7158"/>
      <c r="UFF18" s="7158"/>
      <c r="UFG18" s="7158"/>
      <c r="UFH18" s="7159"/>
      <c r="UFI18" s="7152"/>
      <c r="UFJ18" s="7153"/>
      <c r="UFK18" s="7153"/>
      <c r="UFL18" s="7153"/>
      <c r="UFM18" s="7163"/>
      <c r="UFN18" s="7164"/>
      <c r="UFO18" s="7157"/>
      <c r="UFP18" s="7157"/>
      <c r="UFQ18" s="7157"/>
      <c r="UFR18" s="7157"/>
      <c r="UFS18" s="7158"/>
      <c r="UFT18" s="7158"/>
      <c r="UFU18" s="7158"/>
      <c r="UFV18" s="7158"/>
      <c r="UFW18" s="7158"/>
      <c r="UFX18" s="7159"/>
      <c r="UFY18" s="7152"/>
      <c r="UFZ18" s="7153"/>
      <c r="UGA18" s="7153"/>
      <c r="UGB18" s="7153"/>
      <c r="UGC18" s="7163"/>
      <c r="UGD18" s="7164"/>
      <c r="UGE18" s="7157"/>
      <c r="UGF18" s="7157"/>
      <c r="UGG18" s="7157"/>
      <c r="UGH18" s="7157"/>
      <c r="UGI18" s="7158"/>
      <c r="UGJ18" s="7158"/>
      <c r="UGK18" s="7158"/>
      <c r="UGL18" s="7158"/>
      <c r="UGM18" s="7158"/>
      <c r="UGN18" s="7159"/>
      <c r="UGO18" s="7152"/>
      <c r="UGP18" s="7153"/>
      <c r="UGQ18" s="7153"/>
      <c r="UGR18" s="7153"/>
      <c r="UGS18" s="7163"/>
      <c r="UGT18" s="7164"/>
      <c r="UGU18" s="7157"/>
      <c r="UGV18" s="7157"/>
      <c r="UGW18" s="7157"/>
      <c r="UGX18" s="7157"/>
      <c r="UGY18" s="7158"/>
      <c r="UGZ18" s="7158"/>
      <c r="UHA18" s="7158"/>
      <c r="UHB18" s="7158"/>
      <c r="UHC18" s="7158"/>
      <c r="UHD18" s="7159"/>
      <c r="UHE18" s="7152"/>
      <c r="UHF18" s="7153"/>
      <c r="UHG18" s="7153"/>
      <c r="UHH18" s="7153"/>
      <c r="UHI18" s="7163"/>
      <c r="UHJ18" s="7164"/>
      <c r="UHK18" s="7157"/>
      <c r="UHL18" s="7157"/>
      <c r="UHM18" s="7157"/>
      <c r="UHN18" s="7157"/>
      <c r="UHO18" s="7158"/>
      <c r="UHP18" s="7158"/>
      <c r="UHQ18" s="7158"/>
      <c r="UHR18" s="7158"/>
      <c r="UHS18" s="7158"/>
      <c r="UHT18" s="7159"/>
      <c r="UHU18" s="7152"/>
      <c r="UHV18" s="7153"/>
      <c r="UHW18" s="7153"/>
      <c r="UHX18" s="7153"/>
      <c r="UHY18" s="7163"/>
      <c r="UHZ18" s="7164"/>
      <c r="UIA18" s="7157"/>
      <c r="UIB18" s="7157"/>
      <c r="UIC18" s="7157"/>
      <c r="UID18" s="7157"/>
      <c r="UIE18" s="7158"/>
      <c r="UIF18" s="7158"/>
      <c r="UIG18" s="7158"/>
      <c r="UIH18" s="7158"/>
      <c r="UII18" s="7158"/>
      <c r="UIJ18" s="7159"/>
      <c r="UIK18" s="7152"/>
      <c r="UIL18" s="7153"/>
      <c r="UIM18" s="7153"/>
      <c r="UIN18" s="7153"/>
      <c r="UIO18" s="7163"/>
      <c r="UIP18" s="7164"/>
      <c r="UIQ18" s="7157"/>
      <c r="UIR18" s="7157"/>
      <c r="UIS18" s="7157"/>
      <c r="UIT18" s="7157"/>
      <c r="UIU18" s="7158"/>
      <c r="UIV18" s="7158"/>
      <c r="UIW18" s="7158"/>
      <c r="UIX18" s="7158"/>
      <c r="UIY18" s="7158"/>
      <c r="UIZ18" s="7159"/>
      <c r="UJA18" s="7152"/>
      <c r="UJB18" s="7153"/>
      <c r="UJC18" s="7153"/>
      <c r="UJD18" s="7153"/>
      <c r="UJE18" s="7163"/>
      <c r="UJF18" s="7164"/>
      <c r="UJG18" s="7157"/>
      <c r="UJH18" s="7157"/>
      <c r="UJI18" s="7157"/>
      <c r="UJJ18" s="7157"/>
      <c r="UJK18" s="7158"/>
      <c r="UJL18" s="7158"/>
      <c r="UJM18" s="7158"/>
      <c r="UJN18" s="7158"/>
      <c r="UJO18" s="7158"/>
      <c r="UJP18" s="7159"/>
      <c r="UJQ18" s="7152"/>
      <c r="UJR18" s="7153"/>
      <c r="UJS18" s="7153"/>
      <c r="UJT18" s="7153"/>
      <c r="UJU18" s="7163"/>
      <c r="UJV18" s="7164"/>
      <c r="UJW18" s="7157"/>
      <c r="UJX18" s="7157"/>
      <c r="UJY18" s="7157"/>
      <c r="UJZ18" s="7157"/>
      <c r="UKA18" s="7158"/>
      <c r="UKB18" s="7158"/>
      <c r="UKC18" s="7158"/>
      <c r="UKD18" s="7158"/>
      <c r="UKE18" s="7158"/>
      <c r="UKF18" s="7159"/>
      <c r="UKG18" s="7152"/>
      <c r="UKH18" s="7153"/>
      <c r="UKI18" s="7153"/>
      <c r="UKJ18" s="7153"/>
      <c r="UKK18" s="7163"/>
      <c r="UKL18" s="7164"/>
      <c r="UKM18" s="7157"/>
      <c r="UKN18" s="7157"/>
      <c r="UKO18" s="7157"/>
      <c r="UKP18" s="7157"/>
      <c r="UKQ18" s="7158"/>
      <c r="UKR18" s="7158"/>
      <c r="UKS18" s="7158"/>
      <c r="UKT18" s="7158"/>
      <c r="UKU18" s="7158"/>
      <c r="UKV18" s="7159"/>
      <c r="UKW18" s="7152"/>
      <c r="UKX18" s="7153"/>
      <c r="UKY18" s="7153"/>
      <c r="UKZ18" s="7153"/>
      <c r="ULA18" s="7163"/>
      <c r="ULB18" s="7164"/>
      <c r="ULC18" s="7157"/>
      <c r="ULD18" s="7157"/>
      <c r="ULE18" s="7157"/>
      <c r="ULF18" s="7157"/>
      <c r="ULG18" s="7158"/>
      <c r="ULH18" s="7158"/>
      <c r="ULI18" s="7158"/>
      <c r="ULJ18" s="7158"/>
      <c r="ULK18" s="7158"/>
      <c r="ULL18" s="7159"/>
      <c r="ULM18" s="7152"/>
      <c r="ULN18" s="7153"/>
      <c r="ULO18" s="7153"/>
      <c r="ULP18" s="7153"/>
      <c r="ULQ18" s="7163"/>
      <c r="ULR18" s="7164"/>
      <c r="ULS18" s="7157"/>
      <c r="ULT18" s="7157"/>
      <c r="ULU18" s="7157"/>
      <c r="ULV18" s="7157"/>
      <c r="ULW18" s="7158"/>
      <c r="ULX18" s="7158"/>
      <c r="ULY18" s="7158"/>
      <c r="ULZ18" s="7158"/>
      <c r="UMA18" s="7158"/>
      <c r="UMB18" s="7159"/>
      <c r="UMC18" s="7152"/>
      <c r="UMD18" s="7153"/>
      <c r="UME18" s="7153"/>
      <c r="UMF18" s="7153"/>
      <c r="UMG18" s="7163"/>
      <c r="UMH18" s="7164"/>
      <c r="UMI18" s="7157"/>
      <c r="UMJ18" s="7157"/>
      <c r="UMK18" s="7157"/>
      <c r="UML18" s="7157"/>
      <c r="UMM18" s="7158"/>
      <c r="UMN18" s="7158"/>
      <c r="UMO18" s="7158"/>
      <c r="UMP18" s="7158"/>
      <c r="UMQ18" s="7158"/>
      <c r="UMR18" s="7159"/>
      <c r="UMS18" s="7152"/>
      <c r="UMT18" s="7153"/>
      <c r="UMU18" s="7153"/>
      <c r="UMV18" s="7153"/>
      <c r="UMW18" s="7163"/>
      <c r="UMX18" s="7164"/>
      <c r="UMY18" s="7157"/>
      <c r="UMZ18" s="7157"/>
      <c r="UNA18" s="7157"/>
      <c r="UNB18" s="7157"/>
      <c r="UNC18" s="7158"/>
      <c r="UND18" s="7158"/>
      <c r="UNE18" s="7158"/>
      <c r="UNF18" s="7158"/>
      <c r="UNG18" s="7158"/>
      <c r="UNH18" s="7159"/>
      <c r="UNI18" s="7152"/>
      <c r="UNJ18" s="7153"/>
      <c r="UNK18" s="7153"/>
      <c r="UNL18" s="7153"/>
      <c r="UNM18" s="7163"/>
      <c r="UNN18" s="7164"/>
      <c r="UNO18" s="7157"/>
      <c r="UNP18" s="7157"/>
      <c r="UNQ18" s="7157"/>
      <c r="UNR18" s="7157"/>
      <c r="UNS18" s="7158"/>
      <c r="UNT18" s="7158"/>
      <c r="UNU18" s="7158"/>
      <c r="UNV18" s="7158"/>
      <c r="UNW18" s="7158"/>
      <c r="UNX18" s="7159"/>
      <c r="UNY18" s="7152"/>
      <c r="UNZ18" s="7153"/>
      <c r="UOA18" s="7153"/>
      <c r="UOB18" s="7153"/>
      <c r="UOC18" s="7163"/>
      <c r="UOD18" s="7164"/>
      <c r="UOE18" s="7157"/>
      <c r="UOF18" s="7157"/>
      <c r="UOG18" s="7157"/>
      <c r="UOH18" s="7157"/>
      <c r="UOI18" s="7158"/>
      <c r="UOJ18" s="7158"/>
      <c r="UOK18" s="7158"/>
      <c r="UOL18" s="7158"/>
      <c r="UOM18" s="7158"/>
      <c r="UON18" s="7159"/>
      <c r="UOO18" s="7152"/>
      <c r="UOP18" s="7153"/>
      <c r="UOQ18" s="7153"/>
      <c r="UOR18" s="7153"/>
      <c r="UOS18" s="7163"/>
      <c r="UOT18" s="7164"/>
      <c r="UOU18" s="7157"/>
      <c r="UOV18" s="7157"/>
      <c r="UOW18" s="7157"/>
      <c r="UOX18" s="7157"/>
      <c r="UOY18" s="7158"/>
      <c r="UOZ18" s="7158"/>
      <c r="UPA18" s="7158"/>
      <c r="UPB18" s="7158"/>
      <c r="UPC18" s="7158"/>
      <c r="UPD18" s="7159"/>
      <c r="UPE18" s="7152"/>
      <c r="UPF18" s="7153"/>
      <c r="UPG18" s="7153"/>
      <c r="UPH18" s="7153"/>
      <c r="UPI18" s="7163"/>
      <c r="UPJ18" s="7164"/>
      <c r="UPK18" s="7157"/>
      <c r="UPL18" s="7157"/>
      <c r="UPM18" s="7157"/>
      <c r="UPN18" s="7157"/>
      <c r="UPO18" s="7158"/>
      <c r="UPP18" s="7158"/>
      <c r="UPQ18" s="7158"/>
      <c r="UPR18" s="7158"/>
      <c r="UPS18" s="7158"/>
      <c r="UPT18" s="7159"/>
      <c r="UPU18" s="7152"/>
      <c r="UPV18" s="7153"/>
      <c r="UPW18" s="7153"/>
      <c r="UPX18" s="7153"/>
      <c r="UPY18" s="7163"/>
      <c r="UPZ18" s="7164"/>
      <c r="UQA18" s="7157"/>
      <c r="UQB18" s="7157"/>
      <c r="UQC18" s="7157"/>
      <c r="UQD18" s="7157"/>
      <c r="UQE18" s="7158"/>
      <c r="UQF18" s="7158"/>
      <c r="UQG18" s="7158"/>
      <c r="UQH18" s="7158"/>
      <c r="UQI18" s="7158"/>
      <c r="UQJ18" s="7159"/>
      <c r="UQK18" s="7152"/>
      <c r="UQL18" s="7153"/>
      <c r="UQM18" s="7153"/>
      <c r="UQN18" s="7153"/>
      <c r="UQO18" s="7163"/>
      <c r="UQP18" s="7164"/>
      <c r="UQQ18" s="7157"/>
      <c r="UQR18" s="7157"/>
      <c r="UQS18" s="7157"/>
      <c r="UQT18" s="7157"/>
      <c r="UQU18" s="7158"/>
      <c r="UQV18" s="7158"/>
      <c r="UQW18" s="7158"/>
      <c r="UQX18" s="7158"/>
      <c r="UQY18" s="7158"/>
      <c r="UQZ18" s="7159"/>
      <c r="URA18" s="7152"/>
      <c r="URB18" s="7153"/>
      <c r="URC18" s="7153"/>
      <c r="URD18" s="7153"/>
      <c r="URE18" s="7163"/>
      <c r="URF18" s="7164"/>
      <c r="URG18" s="7157"/>
      <c r="URH18" s="7157"/>
      <c r="URI18" s="7157"/>
      <c r="URJ18" s="7157"/>
      <c r="URK18" s="7158"/>
      <c r="URL18" s="7158"/>
      <c r="URM18" s="7158"/>
      <c r="URN18" s="7158"/>
      <c r="URO18" s="7158"/>
      <c r="URP18" s="7159"/>
      <c r="URQ18" s="7152"/>
      <c r="URR18" s="7153"/>
      <c r="URS18" s="7153"/>
      <c r="URT18" s="7153"/>
      <c r="URU18" s="7163"/>
      <c r="URV18" s="7164"/>
      <c r="URW18" s="7157"/>
      <c r="URX18" s="7157"/>
      <c r="URY18" s="7157"/>
      <c r="URZ18" s="7157"/>
      <c r="USA18" s="7158"/>
      <c r="USB18" s="7158"/>
      <c r="USC18" s="7158"/>
      <c r="USD18" s="7158"/>
      <c r="USE18" s="7158"/>
      <c r="USF18" s="7159"/>
      <c r="USG18" s="7152"/>
      <c r="USH18" s="7153"/>
      <c r="USI18" s="7153"/>
      <c r="USJ18" s="7153"/>
      <c r="USK18" s="7163"/>
      <c r="USL18" s="7164"/>
      <c r="USM18" s="7157"/>
      <c r="USN18" s="7157"/>
      <c r="USO18" s="7157"/>
      <c r="USP18" s="7157"/>
      <c r="USQ18" s="7158"/>
      <c r="USR18" s="7158"/>
      <c r="USS18" s="7158"/>
      <c r="UST18" s="7158"/>
      <c r="USU18" s="7158"/>
      <c r="USV18" s="7159"/>
      <c r="USW18" s="7152"/>
      <c r="USX18" s="7153"/>
      <c r="USY18" s="7153"/>
      <c r="USZ18" s="7153"/>
      <c r="UTA18" s="7163"/>
      <c r="UTB18" s="7164"/>
      <c r="UTC18" s="7157"/>
      <c r="UTD18" s="7157"/>
      <c r="UTE18" s="7157"/>
      <c r="UTF18" s="7157"/>
      <c r="UTG18" s="7158"/>
      <c r="UTH18" s="7158"/>
      <c r="UTI18" s="7158"/>
      <c r="UTJ18" s="7158"/>
      <c r="UTK18" s="7158"/>
      <c r="UTL18" s="7159"/>
      <c r="UTM18" s="7152"/>
      <c r="UTN18" s="7153"/>
      <c r="UTO18" s="7153"/>
      <c r="UTP18" s="7153"/>
      <c r="UTQ18" s="7163"/>
      <c r="UTR18" s="7164"/>
      <c r="UTS18" s="7157"/>
      <c r="UTT18" s="7157"/>
      <c r="UTU18" s="7157"/>
      <c r="UTV18" s="7157"/>
      <c r="UTW18" s="7158"/>
      <c r="UTX18" s="7158"/>
      <c r="UTY18" s="7158"/>
      <c r="UTZ18" s="7158"/>
      <c r="UUA18" s="7158"/>
      <c r="UUB18" s="7159"/>
      <c r="UUC18" s="7152"/>
      <c r="UUD18" s="7153"/>
      <c r="UUE18" s="7153"/>
      <c r="UUF18" s="7153"/>
      <c r="UUG18" s="7163"/>
      <c r="UUH18" s="7164"/>
      <c r="UUI18" s="7157"/>
      <c r="UUJ18" s="7157"/>
      <c r="UUK18" s="7157"/>
      <c r="UUL18" s="7157"/>
      <c r="UUM18" s="7158"/>
      <c r="UUN18" s="7158"/>
      <c r="UUO18" s="7158"/>
      <c r="UUP18" s="7158"/>
      <c r="UUQ18" s="7158"/>
      <c r="UUR18" s="7159"/>
      <c r="UUS18" s="7152"/>
      <c r="UUT18" s="7153"/>
      <c r="UUU18" s="7153"/>
      <c r="UUV18" s="7153"/>
      <c r="UUW18" s="7163"/>
      <c r="UUX18" s="7164"/>
      <c r="UUY18" s="7157"/>
      <c r="UUZ18" s="7157"/>
      <c r="UVA18" s="7157"/>
      <c r="UVB18" s="7157"/>
      <c r="UVC18" s="7158"/>
      <c r="UVD18" s="7158"/>
      <c r="UVE18" s="7158"/>
      <c r="UVF18" s="7158"/>
      <c r="UVG18" s="7158"/>
      <c r="UVH18" s="7159"/>
      <c r="UVI18" s="7152"/>
      <c r="UVJ18" s="7153"/>
      <c r="UVK18" s="7153"/>
      <c r="UVL18" s="7153"/>
      <c r="UVM18" s="7163"/>
      <c r="UVN18" s="7164"/>
      <c r="UVO18" s="7157"/>
      <c r="UVP18" s="7157"/>
      <c r="UVQ18" s="7157"/>
      <c r="UVR18" s="7157"/>
      <c r="UVS18" s="7158"/>
      <c r="UVT18" s="7158"/>
      <c r="UVU18" s="7158"/>
      <c r="UVV18" s="7158"/>
      <c r="UVW18" s="7158"/>
      <c r="UVX18" s="7159"/>
      <c r="UVY18" s="7152"/>
      <c r="UVZ18" s="7153"/>
      <c r="UWA18" s="7153"/>
      <c r="UWB18" s="7153"/>
      <c r="UWC18" s="7163"/>
      <c r="UWD18" s="7164"/>
      <c r="UWE18" s="7157"/>
      <c r="UWF18" s="7157"/>
      <c r="UWG18" s="7157"/>
      <c r="UWH18" s="7157"/>
      <c r="UWI18" s="7158"/>
      <c r="UWJ18" s="7158"/>
      <c r="UWK18" s="7158"/>
      <c r="UWL18" s="7158"/>
      <c r="UWM18" s="7158"/>
      <c r="UWN18" s="7159"/>
      <c r="UWO18" s="7152"/>
      <c r="UWP18" s="7153"/>
      <c r="UWQ18" s="7153"/>
      <c r="UWR18" s="7153"/>
      <c r="UWS18" s="7163"/>
      <c r="UWT18" s="7164"/>
      <c r="UWU18" s="7157"/>
      <c r="UWV18" s="7157"/>
      <c r="UWW18" s="7157"/>
      <c r="UWX18" s="7157"/>
      <c r="UWY18" s="7158"/>
      <c r="UWZ18" s="7158"/>
      <c r="UXA18" s="7158"/>
      <c r="UXB18" s="7158"/>
      <c r="UXC18" s="7158"/>
      <c r="UXD18" s="7159"/>
      <c r="UXE18" s="7152"/>
      <c r="UXF18" s="7153"/>
      <c r="UXG18" s="7153"/>
      <c r="UXH18" s="7153"/>
      <c r="UXI18" s="7163"/>
      <c r="UXJ18" s="7164"/>
      <c r="UXK18" s="7157"/>
      <c r="UXL18" s="7157"/>
      <c r="UXM18" s="7157"/>
      <c r="UXN18" s="7157"/>
      <c r="UXO18" s="7158"/>
      <c r="UXP18" s="7158"/>
      <c r="UXQ18" s="7158"/>
      <c r="UXR18" s="7158"/>
      <c r="UXS18" s="7158"/>
      <c r="UXT18" s="7159"/>
      <c r="UXU18" s="7152"/>
      <c r="UXV18" s="7153"/>
      <c r="UXW18" s="7153"/>
      <c r="UXX18" s="7153"/>
      <c r="UXY18" s="7163"/>
      <c r="UXZ18" s="7164"/>
      <c r="UYA18" s="7157"/>
      <c r="UYB18" s="7157"/>
      <c r="UYC18" s="7157"/>
      <c r="UYD18" s="7157"/>
      <c r="UYE18" s="7158"/>
      <c r="UYF18" s="7158"/>
      <c r="UYG18" s="7158"/>
      <c r="UYH18" s="7158"/>
      <c r="UYI18" s="7158"/>
      <c r="UYJ18" s="7159"/>
      <c r="UYK18" s="7152"/>
      <c r="UYL18" s="7153"/>
      <c r="UYM18" s="7153"/>
      <c r="UYN18" s="7153"/>
      <c r="UYO18" s="7163"/>
      <c r="UYP18" s="7164"/>
      <c r="UYQ18" s="7157"/>
      <c r="UYR18" s="7157"/>
      <c r="UYS18" s="7157"/>
      <c r="UYT18" s="7157"/>
      <c r="UYU18" s="7158"/>
      <c r="UYV18" s="7158"/>
      <c r="UYW18" s="7158"/>
      <c r="UYX18" s="7158"/>
      <c r="UYY18" s="7158"/>
      <c r="UYZ18" s="7159"/>
      <c r="UZA18" s="7152"/>
      <c r="UZB18" s="7153"/>
      <c r="UZC18" s="7153"/>
      <c r="UZD18" s="7153"/>
      <c r="UZE18" s="7163"/>
      <c r="UZF18" s="7164"/>
      <c r="UZG18" s="7157"/>
      <c r="UZH18" s="7157"/>
      <c r="UZI18" s="7157"/>
      <c r="UZJ18" s="7157"/>
      <c r="UZK18" s="7158"/>
      <c r="UZL18" s="7158"/>
      <c r="UZM18" s="7158"/>
      <c r="UZN18" s="7158"/>
      <c r="UZO18" s="7158"/>
      <c r="UZP18" s="7159"/>
      <c r="UZQ18" s="7152"/>
      <c r="UZR18" s="7153"/>
      <c r="UZS18" s="7153"/>
      <c r="UZT18" s="7153"/>
      <c r="UZU18" s="7163"/>
      <c r="UZV18" s="7164"/>
      <c r="UZW18" s="7157"/>
      <c r="UZX18" s="7157"/>
      <c r="UZY18" s="7157"/>
      <c r="UZZ18" s="7157"/>
      <c r="VAA18" s="7158"/>
      <c r="VAB18" s="7158"/>
      <c r="VAC18" s="7158"/>
      <c r="VAD18" s="7158"/>
      <c r="VAE18" s="7158"/>
      <c r="VAF18" s="7159"/>
      <c r="VAG18" s="7152"/>
      <c r="VAH18" s="7153"/>
      <c r="VAI18" s="7153"/>
      <c r="VAJ18" s="7153"/>
      <c r="VAK18" s="7163"/>
      <c r="VAL18" s="7164"/>
      <c r="VAM18" s="7157"/>
      <c r="VAN18" s="7157"/>
      <c r="VAO18" s="7157"/>
      <c r="VAP18" s="7157"/>
      <c r="VAQ18" s="7158"/>
      <c r="VAR18" s="7158"/>
      <c r="VAS18" s="7158"/>
      <c r="VAT18" s="7158"/>
      <c r="VAU18" s="7158"/>
      <c r="VAV18" s="7159"/>
      <c r="VAW18" s="7152"/>
      <c r="VAX18" s="7153"/>
      <c r="VAY18" s="7153"/>
      <c r="VAZ18" s="7153"/>
      <c r="VBA18" s="7163"/>
      <c r="VBB18" s="7164"/>
      <c r="VBC18" s="7157"/>
      <c r="VBD18" s="7157"/>
      <c r="VBE18" s="7157"/>
      <c r="VBF18" s="7157"/>
      <c r="VBG18" s="7158"/>
      <c r="VBH18" s="7158"/>
      <c r="VBI18" s="7158"/>
      <c r="VBJ18" s="7158"/>
      <c r="VBK18" s="7158"/>
      <c r="VBL18" s="7159"/>
      <c r="VBM18" s="7152"/>
      <c r="VBN18" s="7153"/>
      <c r="VBO18" s="7153"/>
      <c r="VBP18" s="7153"/>
      <c r="VBQ18" s="7163"/>
      <c r="VBR18" s="7164"/>
      <c r="VBS18" s="7157"/>
      <c r="VBT18" s="7157"/>
      <c r="VBU18" s="7157"/>
      <c r="VBV18" s="7157"/>
      <c r="VBW18" s="7158"/>
      <c r="VBX18" s="7158"/>
      <c r="VBY18" s="7158"/>
      <c r="VBZ18" s="7158"/>
      <c r="VCA18" s="7158"/>
      <c r="VCB18" s="7159"/>
      <c r="VCC18" s="7152"/>
      <c r="VCD18" s="7153"/>
      <c r="VCE18" s="7153"/>
      <c r="VCF18" s="7153"/>
      <c r="VCG18" s="7163"/>
      <c r="VCH18" s="7164"/>
      <c r="VCI18" s="7157"/>
      <c r="VCJ18" s="7157"/>
      <c r="VCK18" s="7157"/>
      <c r="VCL18" s="7157"/>
      <c r="VCM18" s="7158"/>
      <c r="VCN18" s="7158"/>
      <c r="VCO18" s="7158"/>
      <c r="VCP18" s="7158"/>
      <c r="VCQ18" s="7158"/>
      <c r="VCR18" s="7159"/>
      <c r="VCS18" s="7152"/>
      <c r="VCT18" s="7153"/>
      <c r="VCU18" s="7153"/>
      <c r="VCV18" s="7153"/>
      <c r="VCW18" s="7163"/>
      <c r="VCX18" s="7164"/>
      <c r="VCY18" s="7157"/>
      <c r="VCZ18" s="7157"/>
      <c r="VDA18" s="7157"/>
      <c r="VDB18" s="7157"/>
      <c r="VDC18" s="7158"/>
      <c r="VDD18" s="7158"/>
      <c r="VDE18" s="7158"/>
      <c r="VDF18" s="7158"/>
      <c r="VDG18" s="7158"/>
      <c r="VDH18" s="7159"/>
      <c r="VDI18" s="7152"/>
      <c r="VDJ18" s="7153"/>
      <c r="VDK18" s="7153"/>
      <c r="VDL18" s="7153"/>
      <c r="VDM18" s="7163"/>
      <c r="VDN18" s="7164"/>
      <c r="VDO18" s="7157"/>
      <c r="VDP18" s="7157"/>
      <c r="VDQ18" s="7157"/>
      <c r="VDR18" s="7157"/>
      <c r="VDS18" s="7158"/>
      <c r="VDT18" s="7158"/>
      <c r="VDU18" s="7158"/>
      <c r="VDV18" s="7158"/>
      <c r="VDW18" s="7158"/>
      <c r="VDX18" s="7159"/>
      <c r="VDY18" s="7152"/>
      <c r="VDZ18" s="7153"/>
      <c r="VEA18" s="7153"/>
      <c r="VEB18" s="7153"/>
      <c r="VEC18" s="7163"/>
      <c r="VED18" s="7164"/>
      <c r="VEE18" s="7157"/>
      <c r="VEF18" s="7157"/>
      <c r="VEG18" s="7157"/>
      <c r="VEH18" s="7157"/>
      <c r="VEI18" s="7158"/>
      <c r="VEJ18" s="7158"/>
      <c r="VEK18" s="7158"/>
      <c r="VEL18" s="7158"/>
      <c r="VEM18" s="7158"/>
      <c r="VEN18" s="7159"/>
      <c r="VEO18" s="7152"/>
      <c r="VEP18" s="7153"/>
      <c r="VEQ18" s="7153"/>
      <c r="VER18" s="7153"/>
      <c r="VES18" s="7163"/>
      <c r="VET18" s="7164"/>
      <c r="VEU18" s="7157"/>
      <c r="VEV18" s="7157"/>
      <c r="VEW18" s="7157"/>
      <c r="VEX18" s="7157"/>
      <c r="VEY18" s="7158"/>
      <c r="VEZ18" s="7158"/>
      <c r="VFA18" s="7158"/>
      <c r="VFB18" s="7158"/>
      <c r="VFC18" s="7158"/>
      <c r="VFD18" s="7159"/>
      <c r="VFE18" s="7152"/>
      <c r="VFF18" s="7153"/>
      <c r="VFG18" s="7153"/>
      <c r="VFH18" s="7153"/>
      <c r="VFI18" s="7163"/>
      <c r="VFJ18" s="7164"/>
      <c r="VFK18" s="7157"/>
      <c r="VFL18" s="7157"/>
      <c r="VFM18" s="7157"/>
      <c r="VFN18" s="7157"/>
      <c r="VFO18" s="7158"/>
      <c r="VFP18" s="7158"/>
      <c r="VFQ18" s="7158"/>
      <c r="VFR18" s="7158"/>
      <c r="VFS18" s="7158"/>
      <c r="VFT18" s="7159"/>
      <c r="VFU18" s="7152"/>
      <c r="VFV18" s="7153"/>
      <c r="VFW18" s="7153"/>
      <c r="VFX18" s="7153"/>
      <c r="VFY18" s="7163"/>
      <c r="VFZ18" s="7164"/>
      <c r="VGA18" s="7157"/>
      <c r="VGB18" s="7157"/>
      <c r="VGC18" s="7157"/>
      <c r="VGD18" s="7157"/>
      <c r="VGE18" s="7158"/>
      <c r="VGF18" s="7158"/>
      <c r="VGG18" s="7158"/>
      <c r="VGH18" s="7158"/>
      <c r="VGI18" s="7158"/>
      <c r="VGJ18" s="7159"/>
      <c r="VGK18" s="7152"/>
      <c r="VGL18" s="7153"/>
      <c r="VGM18" s="7153"/>
      <c r="VGN18" s="7153"/>
      <c r="VGO18" s="7163"/>
      <c r="VGP18" s="7164"/>
      <c r="VGQ18" s="7157"/>
      <c r="VGR18" s="7157"/>
      <c r="VGS18" s="7157"/>
      <c r="VGT18" s="7157"/>
      <c r="VGU18" s="7158"/>
      <c r="VGV18" s="7158"/>
      <c r="VGW18" s="7158"/>
      <c r="VGX18" s="7158"/>
      <c r="VGY18" s="7158"/>
      <c r="VGZ18" s="7159"/>
      <c r="VHA18" s="7152"/>
      <c r="VHB18" s="7153"/>
      <c r="VHC18" s="7153"/>
      <c r="VHD18" s="7153"/>
      <c r="VHE18" s="7163"/>
      <c r="VHF18" s="7164"/>
      <c r="VHG18" s="7157"/>
      <c r="VHH18" s="7157"/>
      <c r="VHI18" s="7157"/>
      <c r="VHJ18" s="7157"/>
      <c r="VHK18" s="7158"/>
      <c r="VHL18" s="7158"/>
      <c r="VHM18" s="7158"/>
      <c r="VHN18" s="7158"/>
      <c r="VHO18" s="7158"/>
      <c r="VHP18" s="7159"/>
      <c r="VHQ18" s="7152"/>
      <c r="VHR18" s="7153"/>
      <c r="VHS18" s="7153"/>
      <c r="VHT18" s="7153"/>
      <c r="VHU18" s="7163"/>
      <c r="VHV18" s="7164"/>
      <c r="VHW18" s="7157"/>
      <c r="VHX18" s="7157"/>
      <c r="VHY18" s="7157"/>
      <c r="VHZ18" s="7157"/>
      <c r="VIA18" s="7158"/>
      <c r="VIB18" s="7158"/>
      <c r="VIC18" s="7158"/>
      <c r="VID18" s="7158"/>
      <c r="VIE18" s="7158"/>
      <c r="VIF18" s="7159"/>
      <c r="VIG18" s="7152"/>
      <c r="VIH18" s="7153"/>
      <c r="VII18" s="7153"/>
      <c r="VIJ18" s="7153"/>
      <c r="VIK18" s="7163"/>
      <c r="VIL18" s="7164"/>
      <c r="VIM18" s="7157"/>
      <c r="VIN18" s="7157"/>
      <c r="VIO18" s="7157"/>
      <c r="VIP18" s="7157"/>
      <c r="VIQ18" s="7158"/>
      <c r="VIR18" s="7158"/>
      <c r="VIS18" s="7158"/>
      <c r="VIT18" s="7158"/>
      <c r="VIU18" s="7158"/>
      <c r="VIV18" s="7159"/>
      <c r="VIW18" s="7152"/>
      <c r="VIX18" s="7153"/>
      <c r="VIY18" s="7153"/>
      <c r="VIZ18" s="7153"/>
      <c r="VJA18" s="7163"/>
      <c r="VJB18" s="7164"/>
      <c r="VJC18" s="7157"/>
      <c r="VJD18" s="7157"/>
      <c r="VJE18" s="7157"/>
      <c r="VJF18" s="7157"/>
      <c r="VJG18" s="7158"/>
      <c r="VJH18" s="7158"/>
      <c r="VJI18" s="7158"/>
      <c r="VJJ18" s="7158"/>
      <c r="VJK18" s="7158"/>
      <c r="VJL18" s="7159"/>
      <c r="VJM18" s="7152"/>
      <c r="VJN18" s="7153"/>
      <c r="VJO18" s="7153"/>
      <c r="VJP18" s="7153"/>
      <c r="VJQ18" s="7163"/>
      <c r="VJR18" s="7164"/>
      <c r="VJS18" s="7157"/>
      <c r="VJT18" s="7157"/>
      <c r="VJU18" s="7157"/>
      <c r="VJV18" s="7157"/>
      <c r="VJW18" s="7158"/>
      <c r="VJX18" s="7158"/>
      <c r="VJY18" s="7158"/>
      <c r="VJZ18" s="7158"/>
      <c r="VKA18" s="7158"/>
      <c r="VKB18" s="7159"/>
      <c r="VKC18" s="7152"/>
      <c r="VKD18" s="7153"/>
      <c r="VKE18" s="7153"/>
      <c r="VKF18" s="7153"/>
      <c r="VKG18" s="7163"/>
      <c r="VKH18" s="7164"/>
      <c r="VKI18" s="7157"/>
      <c r="VKJ18" s="7157"/>
      <c r="VKK18" s="7157"/>
      <c r="VKL18" s="7157"/>
      <c r="VKM18" s="7158"/>
      <c r="VKN18" s="7158"/>
      <c r="VKO18" s="7158"/>
      <c r="VKP18" s="7158"/>
      <c r="VKQ18" s="7158"/>
      <c r="VKR18" s="7159"/>
      <c r="VKS18" s="7152"/>
      <c r="VKT18" s="7153"/>
      <c r="VKU18" s="7153"/>
      <c r="VKV18" s="7153"/>
      <c r="VKW18" s="7163"/>
      <c r="VKX18" s="7164"/>
      <c r="VKY18" s="7157"/>
      <c r="VKZ18" s="7157"/>
      <c r="VLA18" s="7157"/>
      <c r="VLB18" s="7157"/>
      <c r="VLC18" s="7158"/>
      <c r="VLD18" s="7158"/>
      <c r="VLE18" s="7158"/>
      <c r="VLF18" s="7158"/>
      <c r="VLG18" s="7158"/>
      <c r="VLH18" s="7159"/>
      <c r="VLI18" s="7152"/>
      <c r="VLJ18" s="7153"/>
      <c r="VLK18" s="7153"/>
      <c r="VLL18" s="7153"/>
      <c r="VLM18" s="7163"/>
      <c r="VLN18" s="7164"/>
      <c r="VLO18" s="7157"/>
      <c r="VLP18" s="7157"/>
      <c r="VLQ18" s="7157"/>
      <c r="VLR18" s="7157"/>
      <c r="VLS18" s="7158"/>
      <c r="VLT18" s="7158"/>
      <c r="VLU18" s="7158"/>
      <c r="VLV18" s="7158"/>
      <c r="VLW18" s="7158"/>
      <c r="VLX18" s="7159"/>
      <c r="VLY18" s="7152"/>
      <c r="VLZ18" s="7153"/>
      <c r="VMA18" s="7153"/>
      <c r="VMB18" s="7153"/>
      <c r="VMC18" s="7163"/>
      <c r="VMD18" s="7164"/>
      <c r="VME18" s="7157"/>
      <c r="VMF18" s="7157"/>
      <c r="VMG18" s="7157"/>
      <c r="VMH18" s="7157"/>
      <c r="VMI18" s="7158"/>
      <c r="VMJ18" s="7158"/>
      <c r="VMK18" s="7158"/>
      <c r="VML18" s="7158"/>
      <c r="VMM18" s="7158"/>
      <c r="VMN18" s="7159"/>
      <c r="VMO18" s="7152"/>
      <c r="VMP18" s="7153"/>
      <c r="VMQ18" s="7153"/>
      <c r="VMR18" s="7153"/>
      <c r="VMS18" s="7163"/>
      <c r="VMT18" s="7164"/>
      <c r="VMU18" s="7157"/>
      <c r="VMV18" s="7157"/>
      <c r="VMW18" s="7157"/>
      <c r="VMX18" s="7157"/>
      <c r="VMY18" s="7158"/>
      <c r="VMZ18" s="7158"/>
      <c r="VNA18" s="7158"/>
      <c r="VNB18" s="7158"/>
      <c r="VNC18" s="7158"/>
      <c r="VND18" s="7159"/>
      <c r="VNE18" s="7152"/>
      <c r="VNF18" s="7153"/>
      <c r="VNG18" s="7153"/>
      <c r="VNH18" s="7153"/>
      <c r="VNI18" s="7163"/>
      <c r="VNJ18" s="7164"/>
      <c r="VNK18" s="7157"/>
      <c r="VNL18" s="7157"/>
      <c r="VNM18" s="7157"/>
      <c r="VNN18" s="7157"/>
      <c r="VNO18" s="7158"/>
      <c r="VNP18" s="7158"/>
      <c r="VNQ18" s="7158"/>
      <c r="VNR18" s="7158"/>
      <c r="VNS18" s="7158"/>
      <c r="VNT18" s="7159"/>
      <c r="VNU18" s="7152"/>
      <c r="VNV18" s="7153"/>
      <c r="VNW18" s="7153"/>
      <c r="VNX18" s="7153"/>
      <c r="VNY18" s="7163"/>
      <c r="VNZ18" s="7164"/>
      <c r="VOA18" s="7157"/>
      <c r="VOB18" s="7157"/>
      <c r="VOC18" s="7157"/>
      <c r="VOD18" s="7157"/>
      <c r="VOE18" s="7158"/>
      <c r="VOF18" s="7158"/>
      <c r="VOG18" s="7158"/>
      <c r="VOH18" s="7158"/>
      <c r="VOI18" s="7158"/>
      <c r="VOJ18" s="7159"/>
      <c r="VOK18" s="7152"/>
      <c r="VOL18" s="7153"/>
      <c r="VOM18" s="7153"/>
      <c r="VON18" s="7153"/>
      <c r="VOO18" s="7163"/>
      <c r="VOP18" s="7164"/>
      <c r="VOQ18" s="7157"/>
      <c r="VOR18" s="7157"/>
      <c r="VOS18" s="7157"/>
      <c r="VOT18" s="7157"/>
      <c r="VOU18" s="7158"/>
      <c r="VOV18" s="7158"/>
      <c r="VOW18" s="7158"/>
      <c r="VOX18" s="7158"/>
      <c r="VOY18" s="7158"/>
      <c r="VOZ18" s="7159"/>
      <c r="VPA18" s="7152"/>
      <c r="VPB18" s="7153"/>
      <c r="VPC18" s="7153"/>
      <c r="VPD18" s="7153"/>
      <c r="VPE18" s="7163"/>
      <c r="VPF18" s="7164"/>
      <c r="VPG18" s="7157"/>
      <c r="VPH18" s="7157"/>
      <c r="VPI18" s="7157"/>
      <c r="VPJ18" s="7157"/>
      <c r="VPK18" s="7158"/>
      <c r="VPL18" s="7158"/>
      <c r="VPM18" s="7158"/>
      <c r="VPN18" s="7158"/>
      <c r="VPO18" s="7158"/>
      <c r="VPP18" s="7159"/>
      <c r="VPQ18" s="7152"/>
      <c r="VPR18" s="7153"/>
      <c r="VPS18" s="7153"/>
      <c r="VPT18" s="7153"/>
      <c r="VPU18" s="7163"/>
      <c r="VPV18" s="7164"/>
      <c r="VPW18" s="7157"/>
      <c r="VPX18" s="7157"/>
      <c r="VPY18" s="7157"/>
      <c r="VPZ18" s="7157"/>
      <c r="VQA18" s="7158"/>
      <c r="VQB18" s="7158"/>
      <c r="VQC18" s="7158"/>
      <c r="VQD18" s="7158"/>
      <c r="VQE18" s="7158"/>
      <c r="VQF18" s="7159"/>
      <c r="VQG18" s="7152"/>
      <c r="VQH18" s="7153"/>
      <c r="VQI18" s="7153"/>
      <c r="VQJ18" s="7153"/>
      <c r="VQK18" s="7163"/>
      <c r="VQL18" s="7164"/>
      <c r="VQM18" s="7157"/>
      <c r="VQN18" s="7157"/>
      <c r="VQO18" s="7157"/>
      <c r="VQP18" s="7157"/>
      <c r="VQQ18" s="7158"/>
      <c r="VQR18" s="7158"/>
      <c r="VQS18" s="7158"/>
      <c r="VQT18" s="7158"/>
      <c r="VQU18" s="7158"/>
      <c r="VQV18" s="7159"/>
      <c r="VQW18" s="7152"/>
      <c r="VQX18" s="7153"/>
      <c r="VQY18" s="7153"/>
      <c r="VQZ18" s="7153"/>
      <c r="VRA18" s="7163"/>
      <c r="VRB18" s="7164"/>
      <c r="VRC18" s="7157"/>
      <c r="VRD18" s="7157"/>
      <c r="VRE18" s="7157"/>
      <c r="VRF18" s="7157"/>
      <c r="VRG18" s="7158"/>
      <c r="VRH18" s="7158"/>
      <c r="VRI18" s="7158"/>
      <c r="VRJ18" s="7158"/>
      <c r="VRK18" s="7158"/>
      <c r="VRL18" s="7159"/>
      <c r="VRM18" s="7152"/>
      <c r="VRN18" s="7153"/>
      <c r="VRO18" s="7153"/>
      <c r="VRP18" s="7153"/>
      <c r="VRQ18" s="7163"/>
      <c r="VRR18" s="7164"/>
      <c r="VRS18" s="7157"/>
      <c r="VRT18" s="7157"/>
      <c r="VRU18" s="7157"/>
      <c r="VRV18" s="7157"/>
      <c r="VRW18" s="7158"/>
      <c r="VRX18" s="7158"/>
      <c r="VRY18" s="7158"/>
      <c r="VRZ18" s="7158"/>
      <c r="VSA18" s="7158"/>
      <c r="VSB18" s="7159"/>
      <c r="VSC18" s="7152"/>
      <c r="VSD18" s="7153"/>
      <c r="VSE18" s="7153"/>
      <c r="VSF18" s="7153"/>
      <c r="VSG18" s="7163"/>
      <c r="VSH18" s="7164"/>
      <c r="VSI18" s="7157"/>
      <c r="VSJ18" s="7157"/>
      <c r="VSK18" s="7157"/>
      <c r="VSL18" s="7157"/>
      <c r="VSM18" s="7158"/>
      <c r="VSN18" s="7158"/>
      <c r="VSO18" s="7158"/>
      <c r="VSP18" s="7158"/>
      <c r="VSQ18" s="7158"/>
      <c r="VSR18" s="7159"/>
      <c r="VSS18" s="7152"/>
      <c r="VST18" s="7153"/>
      <c r="VSU18" s="7153"/>
      <c r="VSV18" s="7153"/>
      <c r="VSW18" s="7163"/>
      <c r="VSX18" s="7164"/>
      <c r="VSY18" s="7157"/>
      <c r="VSZ18" s="7157"/>
      <c r="VTA18" s="7157"/>
      <c r="VTB18" s="7157"/>
      <c r="VTC18" s="7158"/>
      <c r="VTD18" s="7158"/>
      <c r="VTE18" s="7158"/>
      <c r="VTF18" s="7158"/>
      <c r="VTG18" s="7158"/>
      <c r="VTH18" s="7159"/>
      <c r="VTI18" s="7152"/>
      <c r="VTJ18" s="7153"/>
      <c r="VTK18" s="7153"/>
      <c r="VTL18" s="7153"/>
      <c r="VTM18" s="7163"/>
      <c r="VTN18" s="7164"/>
      <c r="VTO18" s="7157"/>
      <c r="VTP18" s="7157"/>
      <c r="VTQ18" s="7157"/>
      <c r="VTR18" s="7157"/>
      <c r="VTS18" s="7158"/>
      <c r="VTT18" s="7158"/>
      <c r="VTU18" s="7158"/>
      <c r="VTV18" s="7158"/>
      <c r="VTW18" s="7158"/>
      <c r="VTX18" s="7159"/>
      <c r="VTY18" s="7152"/>
      <c r="VTZ18" s="7153"/>
      <c r="VUA18" s="7153"/>
      <c r="VUB18" s="7153"/>
      <c r="VUC18" s="7163"/>
      <c r="VUD18" s="7164"/>
      <c r="VUE18" s="7157"/>
      <c r="VUF18" s="7157"/>
      <c r="VUG18" s="7157"/>
      <c r="VUH18" s="7157"/>
      <c r="VUI18" s="7158"/>
      <c r="VUJ18" s="7158"/>
      <c r="VUK18" s="7158"/>
      <c r="VUL18" s="7158"/>
      <c r="VUM18" s="7158"/>
      <c r="VUN18" s="7159"/>
      <c r="VUO18" s="7152"/>
      <c r="VUP18" s="7153"/>
      <c r="VUQ18" s="7153"/>
      <c r="VUR18" s="7153"/>
      <c r="VUS18" s="7163"/>
      <c r="VUT18" s="7164"/>
      <c r="VUU18" s="7157"/>
      <c r="VUV18" s="7157"/>
      <c r="VUW18" s="7157"/>
      <c r="VUX18" s="7157"/>
      <c r="VUY18" s="7158"/>
      <c r="VUZ18" s="7158"/>
      <c r="VVA18" s="7158"/>
      <c r="VVB18" s="7158"/>
      <c r="VVC18" s="7158"/>
      <c r="VVD18" s="7159"/>
      <c r="VVE18" s="7152"/>
      <c r="VVF18" s="7153"/>
      <c r="VVG18" s="7153"/>
      <c r="VVH18" s="7153"/>
      <c r="VVI18" s="7163"/>
      <c r="VVJ18" s="7164"/>
      <c r="VVK18" s="7157"/>
      <c r="VVL18" s="7157"/>
      <c r="VVM18" s="7157"/>
      <c r="VVN18" s="7157"/>
      <c r="VVO18" s="7158"/>
      <c r="VVP18" s="7158"/>
      <c r="VVQ18" s="7158"/>
      <c r="VVR18" s="7158"/>
      <c r="VVS18" s="7158"/>
      <c r="VVT18" s="7159"/>
      <c r="VVU18" s="7152"/>
      <c r="VVV18" s="7153"/>
      <c r="VVW18" s="7153"/>
      <c r="VVX18" s="7153"/>
      <c r="VVY18" s="7163"/>
      <c r="VVZ18" s="7164"/>
      <c r="VWA18" s="7157"/>
      <c r="VWB18" s="7157"/>
      <c r="VWC18" s="7157"/>
      <c r="VWD18" s="7157"/>
      <c r="VWE18" s="7158"/>
      <c r="VWF18" s="7158"/>
      <c r="VWG18" s="7158"/>
      <c r="VWH18" s="7158"/>
      <c r="VWI18" s="7158"/>
      <c r="VWJ18" s="7159"/>
      <c r="VWK18" s="7152"/>
      <c r="VWL18" s="7153"/>
      <c r="VWM18" s="7153"/>
      <c r="VWN18" s="7153"/>
      <c r="VWO18" s="7163"/>
      <c r="VWP18" s="7164"/>
      <c r="VWQ18" s="7157"/>
      <c r="VWR18" s="7157"/>
      <c r="VWS18" s="7157"/>
      <c r="VWT18" s="7157"/>
      <c r="VWU18" s="7158"/>
      <c r="VWV18" s="7158"/>
      <c r="VWW18" s="7158"/>
      <c r="VWX18" s="7158"/>
      <c r="VWY18" s="7158"/>
      <c r="VWZ18" s="7159"/>
      <c r="VXA18" s="7152"/>
      <c r="VXB18" s="7153"/>
      <c r="VXC18" s="7153"/>
      <c r="VXD18" s="7153"/>
      <c r="VXE18" s="7163"/>
      <c r="VXF18" s="7164"/>
      <c r="VXG18" s="7157"/>
      <c r="VXH18" s="7157"/>
      <c r="VXI18" s="7157"/>
      <c r="VXJ18" s="7157"/>
      <c r="VXK18" s="7158"/>
      <c r="VXL18" s="7158"/>
      <c r="VXM18" s="7158"/>
      <c r="VXN18" s="7158"/>
      <c r="VXO18" s="7158"/>
      <c r="VXP18" s="7159"/>
      <c r="VXQ18" s="7152"/>
      <c r="VXR18" s="7153"/>
      <c r="VXS18" s="7153"/>
      <c r="VXT18" s="7153"/>
      <c r="VXU18" s="7163"/>
      <c r="VXV18" s="7164"/>
      <c r="VXW18" s="7157"/>
      <c r="VXX18" s="7157"/>
      <c r="VXY18" s="7157"/>
      <c r="VXZ18" s="7157"/>
      <c r="VYA18" s="7158"/>
      <c r="VYB18" s="7158"/>
      <c r="VYC18" s="7158"/>
      <c r="VYD18" s="7158"/>
      <c r="VYE18" s="7158"/>
      <c r="VYF18" s="7159"/>
      <c r="VYG18" s="7152"/>
      <c r="VYH18" s="7153"/>
      <c r="VYI18" s="7153"/>
      <c r="VYJ18" s="7153"/>
      <c r="VYK18" s="7163"/>
      <c r="VYL18" s="7164"/>
      <c r="VYM18" s="7157"/>
      <c r="VYN18" s="7157"/>
      <c r="VYO18" s="7157"/>
      <c r="VYP18" s="7157"/>
      <c r="VYQ18" s="7158"/>
      <c r="VYR18" s="7158"/>
      <c r="VYS18" s="7158"/>
      <c r="VYT18" s="7158"/>
      <c r="VYU18" s="7158"/>
      <c r="VYV18" s="7159"/>
      <c r="VYW18" s="7152"/>
      <c r="VYX18" s="7153"/>
      <c r="VYY18" s="7153"/>
      <c r="VYZ18" s="7153"/>
      <c r="VZA18" s="7163"/>
      <c r="VZB18" s="7164"/>
      <c r="VZC18" s="7157"/>
      <c r="VZD18" s="7157"/>
      <c r="VZE18" s="7157"/>
      <c r="VZF18" s="7157"/>
      <c r="VZG18" s="7158"/>
      <c r="VZH18" s="7158"/>
      <c r="VZI18" s="7158"/>
      <c r="VZJ18" s="7158"/>
      <c r="VZK18" s="7158"/>
      <c r="VZL18" s="7159"/>
      <c r="VZM18" s="7152"/>
      <c r="VZN18" s="7153"/>
      <c r="VZO18" s="7153"/>
      <c r="VZP18" s="7153"/>
      <c r="VZQ18" s="7163"/>
      <c r="VZR18" s="7164"/>
      <c r="VZS18" s="7157"/>
      <c r="VZT18" s="7157"/>
      <c r="VZU18" s="7157"/>
      <c r="VZV18" s="7157"/>
      <c r="VZW18" s="7158"/>
      <c r="VZX18" s="7158"/>
      <c r="VZY18" s="7158"/>
      <c r="VZZ18" s="7158"/>
      <c r="WAA18" s="7158"/>
      <c r="WAB18" s="7159"/>
      <c r="WAC18" s="7152"/>
      <c r="WAD18" s="7153"/>
      <c r="WAE18" s="7153"/>
      <c r="WAF18" s="7153"/>
      <c r="WAG18" s="7163"/>
      <c r="WAH18" s="7164"/>
      <c r="WAI18" s="7157"/>
      <c r="WAJ18" s="7157"/>
      <c r="WAK18" s="7157"/>
      <c r="WAL18" s="7157"/>
      <c r="WAM18" s="7158"/>
      <c r="WAN18" s="7158"/>
      <c r="WAO18" s="7158"/>
      <c r="WAP18" s="7158"/>
      <c r="WAQ18" s="7158"/>
      <c r="WAR18" s="7159"/>
      <c r="WAS18" s="7152"/>
      <c r="WAT18" s="7153"/>
      <c r="WAU18" s="7153"/>
      <c r="WAV18" s="7153"/>
      <c r="WAW18" s="7163"/>
      <c r="WAX18" s="7164"/>
      <c r="WAY18" s="7157"/>
      <c r="WAZ18" s="7157"/>
      <c r="WBA18" s="7157"/>
      <c r="WBB18" s="7157"/>
      <c r="WBC18" s="7158"/>
      <c r="WBD18" s="7158"/>
      <c r="WBE18" s="7158"/>
      <c r="WBF18" s="7158"/>
      <c r="WBG18" s="7158"/>
      <c r="WBH18" s="7159"/>
      <c r="WBI18" s="7152"/>
      <c r="WBJ18" s="7153"/>
      <c r="WBK18" s="7153"/>
      <c r="WBL18" s="7153"/>
      <c r="WBM18" s="7163"/>
      <c r="WBN18" s="7164"/>
      <c r="WBO18" s="7157"/>
      <c r="WBP18" s="7157"/>
      <c r="WBQ18" s="7157"/>
      <c r="WBR18" s="7157"/>
      <c r="WBS18" s="7158"/>
      <c r="WBT18" s="7158"/>
      <c r="WBU18" s="7158"/>
      <c r="WBV18" s="7158"/>
      <c r="WBW18" s="7158"/>
      <c r="WBX18" s="7159"/>
      <c r="WBY18" s="7152"/>
      <c r="WBZ18" s="7153"/>
      <c r="WCA18" s="7153"/>
      <c r="WCB18" s="7153"/>
      <c r="WCC18" s="7163"/>
      <c r="WCD18" s="7164"/>
      <c r="WCE18" s="7157"/>
      <c r="WCF18" s="7157"/>
      <c r="WCG18" s="7157"/>
      <c r="WCH18" s="7157"/>
      <c r="WCI18" s="7158"/>
      <c r="WCJ18" s="7158"/>
      <c r="WCK18" s="7158"/>
      <c r="WCL18" s="7158"/>
      <c r="WCM18" s="7158"/>
      <c r="WCN18" s="7159"/>
      <c r="WCO18" s="7152"/>
      <c r="WCP18" s="7153"/>
      <c r="WCQ18" s="7153"/>
      <c r="WCR18" s="7153"/>
      <c r="WCS18" s="7163"/>
      <c r="WCT18" s="7164"/>
      <c r="WCU18" s="7157"/>
      <c r="WCV18" s="7157"/>
      <c r="WCW18" s="7157"/>
      <c r="WCX18" s="7157"/>
      <c r="WCY18" s="7158"/>
      <c r="WCZ18" s="7158"/>
      <c r="WDA18" s="7158"/>
      <c r="WDB18" s="7158"/>
      <c r="WDC18" s="7158"/>
      <c r="WDD18" s="7159"/>
      <c r="WDE18" s="7152"/>
      <c r="WDF18" s="7153"/>
      <c r="WDG18" s="7153"/>
      <c r="WDH18" s="7153"/>
      <c r="WDI18" s="7163"/>
      <c r="WDJ18" s="7164"/>
      <c r="WDK18" s="7157"/>
      <c r="WDL18" s="7157"/>
      <c r="WDM18" s="7157"/>
      <c r="WDN18" s="7157"/>
      <c r="WDO18" s="7158"/>
      <c r="WDP18" s="7158"/>
      <c r="WDQ18" s="7158"/>
      <c r="WDR18" s="7158"/>
      <c r="WDS18" s="7158"/>
      <c r="WDT18" s="7159"/>
      <c r="WDU18" s="7152"/>
      <c r="WDV18" s="7153"/>
      <c r="WDW18" s="7153"/>
      <c r="WDX18" s="7153"/>
      <c r="WDY18" s="7163"/>
      <c r="WDZ18" s="7164"/>
      <c r="WEA18" s="7157"/>
      <c r="WEB18" s="7157"/>
      <c r="WEC18" s="7157"/>
      <c r="WED18" s="7157"/>
      <c r="WEE18" s="7158"/>
      <c r="WEF18" s="7158"/>
      <c r="WEG18" s="7158"/>
      <c r="WEH18" s="7158"/>
      <c r="WEI18" s="7158"/>
      <c r="WEJ18" s="7159"/>
      <c r="WEK18" s="7152"/>
      <c r="WEL18" s="7153"/>
      <c r="WEM18" s="7153"/>
      <c r="WEN18" s="7153"/>
      <c r="WEO18" s="7163"/>
      <c r="WEP18" s="7164"/>
      <c r="WEQ18" s="7157"/>
      <c r="WER18" s="7157"/>
      <c r="WES18" s="7157"/>
      <c r="WET18" s="7157"/>
      <c r="WEU18" s="7158"/>
      <c r="WEV18" s="7158"/>
      <c r="WEW18" s="7158"/>
      <c r="WEX18" s="7158"/>
      <c r="WEY18" s="7158"/>
      <c r="WEZ18" s="7159"/>
      <c r="WFA18" s="7152"/>
      <c r="WFB18" s="7153"/>
      <c r="WFC18" s="7153"/>
      <c r="WFD18" s="7153"/>
      <c r="WFE18" s="7163"/>
      <c r="WFF18" s="7164"/>
      <c r="WFG18" s="7157"/>
      <c r="WFH18" s="7157"/>
      <c r="WFI18" s="7157"/>
      <c r="WFJ18" s="7157"/>
      <c r="WFK18" s="7158"/>
      <c r="WFL18" s="7158"/>
      <c r="WFM18" s="7158"/>
      <c r="WFN18" s="7158"/>
      <c r="WFO18" s="7158"/>
      <c r="WFP18" s="7159"/>
      <c r="WFQ18" s="7152"/>
      <c r="WFR18" s="7153"/>
      <c r="WFS18" s="7153"/>
      <c r="WFT18" s="7153"/>
      <c r="WFU18" s="7163"/>
      <c r="WFV18" s="7164"/>
      <c r="WFW18" s="7157"/>
      <c r="WFX18" s="7157"/>
      <c r="WFY18" s="7157"/>
      <c r="WFZ18" s="7157"/>
      <c r="WGA18" s="7158"/>
      <c r="WGB18" s="7158"/>
      <c r="WGC18" s="7158"/>
      <c r="WGD18" s="7158"/>
      <c r="WGE18" s="7158"/>
      <c r="WGF18" s="7159"/>
      <c r="WGG18" s="7152"/>
      <c r="WGH18" s="7153"/>
      <c r="WGI18" s="7153"/>
      <c r="WGJ18" s="7153"/>
      <c r="WGK18" s="7163"/>
      <c r="WGL18" s="7164"/>
      <c r="WGM18" s="7157"/>
      <c r="WGN18" s="7157"/>
      <c r="WGO18" s="7157"/>
      <c r="WGP18" s="7157"/>
      <c r="WGQ18" s="7158"/>
      <c r="WGR18" s="7158"/>
      <c r="WGS18" s="7158"/>
      <c r="WGT18" s="7158"/>
      <c r="WGU18" s="7158"/>
      <c r="WGV18" s="7159"/>
      <c r="WGW18" s="7152"/>
      <c r="WGX18" s="7153"/>
      <c r="WGY18" s="7153"/>
      <c r="WGZ18" s="7153"/>
      <c r="WHA18" s="7163"/>
      <c r="WHB18" s="7164"/>
      <c r="WHC18" s="7157"/>
      <c r="WHD18" s="7157"/>
      <c r="WHE18" s="7157"/>
      <c r="WHF18" s="7157"/>
      <c r="WHG18" s="7158"/>
      <c r="WHH18" s="7158"/>
      <c r="WHI18" s="7158"/>
      <c r="WHJ18" s="7158"/>
      <c r="WHK18" s="7158"/>
      <c r="WHL18" s="7159"/>
      <c r="WHM18" s="7152"/>
      <c r="WHN18" s="7153"/>
      <c r="WHO18" s="7153"/>
      <c r="WHP18" s="7153"/>
      <c r="WHQ18" s="7163"/>
      <c r="WHR18" s="7164"/>
      <c r="WHS18" s="7157"/>
      <c r="WHT18" s="7157"/>
      <c r="WHU18" s="7157"/>
      <c r="WHV18" s="7157"/>
      <c r="WHW18" s="7158"/>
      <c r="WHX18" s="7158"/>
      <c r="WHY18" s="7158"/>
      <c r="WHZ18" s="7158"/>
      <c r="WIA18" s="7158"/>
      <c r="WIB18" s="7159"/>
      <c r="WIC18" s="7152"/>
      <c r="WID18" s="7153"/>
      <c r="WIE18" s="7153"/>
      <c r="WIF18" s="7153"/>
      <c r="WIG18" s="7163"/>
      <c r="WIH18" s="7164"/>
      <c r="WII18" s="7157"/>
      <c r="WIJ18" s="7157"/>
      <c r="WIK18" s="7157"/>
      <c r="WIL18" s="7157"/>
      <c r="WIM18" s="7158"/>
      <c r="WIN18" s="7158"/>
      <c r="WIO18" s="7158"/>
      <c r="WIP18" s="7158"/>
      <c r="WIQ18" s="7158"/>
      <c r="WIR18" s="7159"/>
      <c r="WIS18" s="7152"/>
      <c r="WIT18" s="7153"/>
      <c r="WIU18" s="7153"/>
      <c r="WIV18" s="7153"/>
      <c r="WIW18" s="7163"/>
      <c r="WIX18" s="7164"/>
      <c r="WIY18" s="7157"/>
      <c r="WIZ18" s="7157"/>
      <c r="WJA18" s="7157"/>
      <c r="WJB18" s="7157"/>
      <c r="WJC18" s="7158"/>
      <c r="WJD18" s="7158"/>
      <c r="WJE18" s="7158"/>
      <c r="WJF18" s="7158"/>
      <c r="WJG18" s="7158"/>
      <c r="WJH18" s="7159"/>
      <c r="WJI18" s="7152"/>
      <c r="WJJ18" s="7153"/>
      <c r="WJK18" s="7153"/>
      <c r="WJL18" s="7153"/>
      <c r="WJM18" s="7163"/>
      <c r="WJN18" s="7164"/>
      <c r="WJO18" s="7157"/>
      <c r="WJP18" s="7157"/>
      <c r="WJQ18" s="7157"/>
      <c r="WJR18" s="7157"/>
      <c r="WJS18" s="7158"/>
      <c r="WJT18" s="7158"/>
      <c r="WJU18" s="7158"/>
      <c r="WJV18" s="7158"/>
      <c r="WJW18" s="7158"/>
      <c r="WJX18" s="7159"/>
      <c r="WJY18" s="7152"/>
      <c r="WJZ18" s="7153"/>
      <c r="WKA18" s="7153"/>
      <c r="WKB18" s="7153"/>
      <c r="WKC18" s="7163"/>
      <c r="WKD18" s="7164"/>
      <c r="WKE18" s="7157"/>
      <c r="WKF18" s="7157"/>
      <c r="WKG18" s="7157"/>
      <c r="WKH18" s="7157"/>
      <c r="WKI18" s="7158"/>
      <c r="WKJ18" s="7158"/>
      <c r="WKK18" s="7158"/>
      <c r="WKL18" s="7158"/>
      <c r="WKM18" s="7158"/>
      <c r="WKN18" s="7159"/>
      <c r="WKO18" s="7152"/>
      <c r="WKP18" s="7153"/>
      <c r="WKQ18" s="7153"/>
      <c r="WKR18" s="7153"/>
      <c r="WKS18" s="7163"/>
      <c r="WKT18" s="7164"/>
      <c r="WKU18" s="7157"/>
      <c r="WKV18" s="7157"/>
      <c r="WKW18" s="7157"/>
      <c r="WKX18" s="7157"/>
      <c r="WKY18" s="7158"/>
      <c r="WKZ18" s="7158"/>
      <c r="WLA18" s="7158"/>
      <c r="WLB18" s="7158"/>
      <c r="WLC18" s="7158"/>
      <c r="WLD18" s="7159"/>
      <c r="WLE18" s="7152"/>
      <c r="WLF18" s="7153"/>
      <c r="WLG18" s="7153"/>
      <c r="WLH18" s="7153"/>
      <c r="WLI18" s="7163"/>
      <c r="WLJ18" s="7164"/>
      <c r="WLK18" s="7157"/>
      <c r="WLL18" s="7157"/>
      <c r="WLM18" s="7157"/>
      <c r="WLN18" s="7157"/>
      <c r="WLO18" s="7158"/>
      <c r="WLP18" s="7158"/>
      <c r="WLQ18" s="7158"/>
      <c r="WLR18" s="7158"/>
      <c r="WLS18" s="7158"/>
      <c r="WLT18" s="7159"/>
      <c r="WLU18" s="7152"/>
      <c r="WLV18" s="7153"/>
      <c r="WLW18" s="7153"/>
      <c r="WLX18" s="7153"/>
      <c r="WLY18" s="7163"/>
      <c r="WLZ18" s="7164"/>
      <c r="WMA18" s="7157"/>
      <c r="WMB18" s="7157"/>
      <c r="WMC18" s="7157"/>
      <c r="WMD18" s="7157"/>
      <c r="WME18" s="7158"/>
      <c r="WMF18" s="7158"/>
      <c r="WMG18" s="7158"/>
      <c r="WMH18" s="7158"/>
      <c r="WMI18" s="7158"/>
      <c r="WMJ18" s="7159"/>
      <c r="WMK18" s="7152"/>
      <c r="WML18" s="7153"/>
      <c r="WMM18" s="7153"/>
      <c r="WMN18" s="7153"/>
      <c r="WMO18" s="7163"/>
      <c r="WMP18" s="7164"/>
      <c r="WMQ18" s="7157"/>
      <c r="WMR18" s="7157"/>
      <c r="WMS18" s="7157"/>
      <c r="WMT18" s="7157"/>
      <c r="WMU18" s="7158"/>
      <c r="WMV18" s="7158"/>
      <c r="WMW18" s="7158"/>
      <c r="WMX18" s="7158"/>
      <c r="WMY18" s="7158"/>
      <c r="WMZ18" s="7159"/>
      <c r="WNA18" s="7152"/>
      <c r="WNB18" s="7153"/>
      <c r="WNC18" s="7153"/>
      <c r="WND18" s="7153"/>
      <c r="WNE18" s="7163"/>
      <c r="WNF18" s="7164"/>
      <c r="WNG18" s="7157"/>
      <c r="WNH18" s="7157"/>
      <c r="WNI18" s="7157"/>
      <c r="WNJ18" s="7157"/>
      <c r="WNK18" s="7158"/>
      <c r="WNL18" s="7158"/>
      <c r="WNM18" s="7158"/>
      <c r="WNN18" s="7158"/>
      <c r="WNO18" s="7158"/>
      <c r="WNP18" s="7159"/>
      <c r="WNQ18" s="7152"/>
      <c r="WNR18" s="7153"/>
      <c r="WNS18" s="7153"/>
      <c r="WNT18" s="7153"/>
      <c r="WNU18" s="7163"/>
      <c r="WNV18" s="7164"/>
      <c r="WNW18" s="7157"/>
      <c r="WNX18" s="7157"/>
      <c r="WNY18" s="7157"/>
      <c r="WNZ18" s="7157"/>
      <c r="WOA18" s="7158"/>
      <c r="WOB18" s="7158"/>
      <c r="WOC18" s="7158"/>
      <c r="WOD18" s="7158"/>
      <c r="WOE18" s="7158"/>
      <c r="WOF18" s="7159"/>
      <c r="WOG18" s="7152"/>
      <c r="WOH18" s="7153"/>
      <c r="WOI18" s="7153"/>
      <c r="WOJ18" s="7153"/>
      <c r="WOK18" s="7163"/>
      <c r="WOL18" s="7164"/>
      <c r="WOM18" s="7157"/>
      <c r="WON18" s="7157"/>
      <c r="WOO18" s="7157"/>
      <c r="WOP18" s="7157"/>
      <c r="WOQ18" s="7158"/>
      <c r="WOR18" s="7158"/>
      <c r="WOS18" s="7158"/>
      <c r="WOT18" s="7158"/>
      <c r="WOU18" s="7158"/>
      <c r="WOV18" s="7159"/>
      <c r="WOW18" s="7152"/>
      <c r="WOX18" s="7153"/>
      <c r="WOY18" s="7153"/>
      <c r="WOZ18" s="7153"/>
      <c r="WPA18" s="7163"/>
      <c r="WPB18" s="7164"/>
      <c r="WPC18" s="7157"/>
      <c r="WPD18" s="7157"/>
      <c r="WPE18" s="7157"/>
      <c r="WPF18" s="7157"/>
      <c r="WPG18" s="7158"/>
      <c r="WPH18" s="7158"/>
      <c r="WPI18" s="7158"/>
      <c r="WPJ18" s="7158"/>
      <c r="WPK18" s="7158"/>
      <c r="WPL18" s="7159"/>
      <c r="WPM18" s="7152"/>
      <c r="WPN18" s="7153"/>
      <c r="WPO18" s="7153"/>
      <c r="WPP18" s="7153"/>
      <c r="WPQ18" s="7163"/>
      <c r="WPR18" s="7164"/>
      <c r="WPS18" s="7157"/>
      <c r="WPT18" s="7157"/>
      <c r="WPU18" s="7157"/>
      <c r="WPV18" s="7157"/>
      <c r="WPW18" s="7158"/>
      <c r="WPX18" s="7158"/>
      <c r="WPY18" s="7158"/>
      <c r="WPZ18" s="7158"/>
      <c r="WQA18" s="7158"/>
      <c r="WQB18" s="7159"/>
      <c r="WQC18" s="7152"/>
      <c r="WQD18" s="7153"/>
      <c r="WQE18" s="7153"/>
      <c r="WQF18" s="7153"/>
      <c r="WQG18" s="7163"/>
      <c r="WQH18" s="7164"/>
      <c r="WQI18" s="7157"/>
      <c r="WQJ18" s="7157"/>
      <c r="WQK18" s="7157"/>
      <c r="WQL18" s="7157"/>
      <c r="WQM18" s="7158"/>
      <c r="WQN18" s="7158"/>
      <c r="WQO18" s="7158"/>
      <c r="WQP18" s="7158"/>
      <c r="WQQ18" s="7158"/>
      <c r="WQR18" s="7159"/>
      <c r="WQS18" s="7152"/>
      <c r="WQT18" s="7153"/>
      <c r="WQU18" s="7153"/>
      <c r="WQV18" s="7153"/>
      <c r="WQW18" s="7163"/>
      <c r="WQX18" s="7164"/>
      <c r="WQY18" s="7157"/>
      <c r="WQZ18" s="7157"/>
      <c r="WRA18" s="7157"/>
      <c r="WRB18" s="7157"/>
      <c r="WRC18" s="7158"/>
      <c r="WRD18" s="7158"/>
      <c r="WRE18" s="7158"/>
      <c r="WRF18" s="7158"/>
      <c r="WRG18" s="7158"/>
      <c r="WRH18" s="7159"/>
      <c r="WRI18" s="7152"/>
      <c r="WRJ18" s="7153"/>
      <c r="WRK18" s="7153"/>
      <c r="WRL18" s="7153"/>
      <c r="WRM18" s="7163"/>
      <c r="WRN18" s="7164"/>
      <c r="WRO18" s="7157"/>
      <c r="WRP18" s="7157"/>
      <c r="WRQ18" s="7157"/>
      <c r="WRR18" s="7157"/>
      <c r="WRS18" s="7158"/>
      <c r="WRT18" s="7158"/>
      <c r="WRU18" s="7158"/>
      <c r="WRV18" s="7158"/>
      <c r="WRW18" s="7158"/>
      <c r="WRX18" s="7159"/>
      <c r="WRY18" s="7152"/>
      <c r="WRZ18" s="7153"/>
      <c r="WSA18" s="7153"/>
      <c r="WSB18" s="7153"/>
      <c r="WSC18" s="7163"/>
      <c r="WSD18" s="7164"/>
      <c r="WSE18" s="7157"/>
      <c r="WSF18" s="7157"/>
      <c r="WSG18" s="7157"/>
      <c r="WSH18" s="7157"/>
      <c r="WSI18" s="7158"/>
      <c r="WSJ18" s="7158"/>
      <c r="WSK18" s="7158"/>
      <c r="WSL18" s="7158"/>
      <c r="WSM18" s="7158"/>
      <c r="WSN18" s="7159"/>
      <c r="WSO18" s="7152"/>
      <c r="WSP18" s="7153"/>
      <c r="WSQ18" s="7153"/>
      <c r="WSR18" s="7153"/>
      <c r="WSS18" s="7163"/>
      <c r="WST18" s="7164"/>
      <c r="WSU18" s="7157"/>
      <c r="WSV18" s="7157"/>
      <c r="WSW18" s="7157"/>
      <c r="WSX18" s="7157"/>
      <c r="WSY18" s="7158"/>
      <c r="WSZ18" s="7158"/>
      <c r="WTA18" s="7158"/>
      <c r="WTB18" s="7158"/>
      <c r="WTC18" s="7158"/>
      <c r="WTD18" s="7159"/>
      <c r="WTE18" s="7152"/>
      <c r="WTF18" s="7153"/>
      <c r="WTG18" s="7153"/>
      <c r="WTH18" s="7153"/>
      <c r="WTI18" s="7163"/>
      <c r="WTJ18" s="7164"/>
      <c r="WTK18" s="7157"/>
      <c r="WTL18" s="7157"/>
      <c r="WTM18" s="7157"/>
      <c r="WTN18" s="7157"/>
      <c r="WTO18" s="7158"/>
      <c r="WTP18" s="7158"/>
      <c r="WTQ18" s="7158"/>
      <c r="WTR18" s="7158"/>
      <c r="WTS18" s="7158"/>
      <c r="WTT18" s="7159"/>
      <c r="WTU18" s="7152"/>
      <c r="WTV18" s="7153"/>
      <c r="WTW18" s="7153"/>
      <c r="WTX18" s="7153"/>
      <c r="WTY18" s="7163"/>
      <c r="WTZ18" s="7164"/>
      <c r="WUA18" s="7157"/>
      <c r="WUB18" s="7157"/>
      <c r="WUC18" s="7157"/>
      <c r="WUD18" s="7157"/>
      <c r="WUE18" s="7158"/>
      <c r="WUF18" s="7158"/>
      <c r="WUG18" s="7158"/>
      <c r="WUH18" s="7158"/>
      <c r="WUI18" s="7158"/>
      <c r="WUJ18" s="7159"/>
      <c r="WUK18" s="7152"/>
      <c r="WUL18" s="7153"/>
      <c r="WUM18" s="7153"/>
      <c r="WUN18" s="7153"/>
      <c r="WUO18" s="7163"/>
      <c r="WUP18" s="7164"/>
      <c r="WUQ18" s="7157"/>
      <c r="WUR18" s="7157"/>
      <c r="WUS18" s="7157"/>
      <c r="WUT18" s="7157"/>
      <c r="WUU18" s="7158"/>
      <c r="WUV18" s="7158"/>
      <c r="WUW18" s="7158"/>
      <c r="WUX18" s="7158"/>
      <c r="WUY18" s="7158"/>
      <c r="WUZ18" s="7159"/>
      <c r="WVA18" s="7152"/>
      <c r="WVB18" s="7153"/>
      <c r="WVC18" s="7153"/>
      <c r="WVD18" s="7153"/>
      <c r="WVE18" s="7163"/>
      <c r="WVF18" s="7164"/>
      <c r="WVG18" s="7157"/>
      <c r="WVH18" s="7157"/>
      <c r="WVI18" s="7157"/>
      <c r="WVJ18" s="7157"/>
      <c r="WVK18" s="7158"/>
      <c r="WVL18" s="7158"/>
      <c r="WVM18" s="7158"/>
      <c r="WVN18" s="7158"/>
      <c r="WVO18" s="7158"/>
      <c r="WVP18" s="7159"/>
      <c r="WVQ18" s="7152"/>
      <c r="WVR18" s="7153"/>
      <c r="WVS18" s="7153"/>
      <c r="WVT18" s="7153"/>
      <c r="WVU18" s="7163"/>
      <c r="WVV18" s="7164"/>
      <c r="WVW18" s="7157"/>
      <c r="WVX18" s="7157"/>
      <c r="WVY18" s="7157"/>
      <c r="WVZ18" s="7157"/>
      <c r="WWA18" s="7158"/>
      <c r="WWB18" s="7158"/>
      <c r="WWC18" s="7158"/>
      <c r="WWD18" s="7158"/>
      <c r="WWE18" s="7158"/>
      <c r="WWF18" s="7159"/>
      <c r="WWG18" s="7152"/>
      <c r="WWH18" s="7153"/>
      <c r="WWI18" s="7153"/>
      <c r="WWJ18" s="7153"/>
      <c r="WWK18" s="7163"/>
      <c r="WWL18" s="7164"/>
      <c r="WWM18" s="7157"/>
      <c r="WWN18" s="7157"/>
      <c r="WWO18" s="7157"/>
      <c r="WWP18" s="7157"/>
      <c r="WWQ18" s="7158"/>
      <c r="WWR18" s="7158"/>
      <c r="WWS18" s="7158"/>
      <c r="WWT18" s="7158"/>
      <c r="WWU18" s="7158"/>
      <c r="WWV18" s="7159"/>
      <c r="WWW18" s="7152"/>
      <c r="WWX18" s="7153"/>
      <c r="WWY18" s="7153"/>
      <c r="WWZ18" s="7153"/>
      <c r="WXA18" s="7163"/>
      <c r="WXB18" s="7164"/>
      <c r="WXC18" s="7157"/>
      <c r="WXD18" s="7157"/>
      <c r="WXE18" s="7157"/>
      <c r="WXF18" s="7157"/>
      <c r="WXG18" s="7158"/>
      <c r="WXH18" s="7158"/>
      <c r="WXI18" s="7158"/>
      <c r="WXJ18" s="7158"/>
      <c r="WXK18" s="7158"/>
      <c r="WXL18" s="7159"/>
      <c r="WXM18" s="7152"/>
      <c r="WXN18" s="7153"/>
      <c r="WXO18" s="7153"/>
      <c r="WXP18" s="7153"/>
      <c r="WXQ18" s="7163"/>
      <c r="WXR18" s="7164"/>
      <c r="WXS18" s="7157"/>
      <c r="WXT18" s="7157"/>
      <c r="WXU18" s="7157"/>
      <c r="WXV18" s="7157"/>
      <c r="WXW18" s="7158"/>
      <c r="WXX18" s="7158"/>
      <c r="WXY18" s="7158"/>
      <c r="WXZ18" s="7158"/>
      <c r="WYA18" s="7158"/>
      <c r="WYB18" s="7159"/>
      <c r="WYC18" s="7152"/>
      <c r="WYD18" s="7153"/>
      <c r="WYE18" s="7153"/>
      <c r="WYF18" s="7153"/>
      <c r="WYG18" s="7163"/>
      <c r="WYH18" s="7164"/>
      <c r="WYI18" s="7157"/>
      <c r="WYJ18" s="7157"/>
      <c r="WYK18" s="7157"/>
      <c r="WYL18" s="7157"/>
      <c r="WYM18" s="7158"/>
      <c r="WYN18" s="7158"/>
      <c r="WYO18" s="7158"/>
      <c r="WYP18" s="7158"/>
      <c r="WYQ18" s="7158"/>
      <c r="WYR18" s="7159"/>
      <c r="WYS18" s="7152"/>
      <c r="WYT18" s="7153"/>
      <c r="WYU18" s="7153"/>
      <c r="WYV18" s="7153"/>
      <c r="WYW18" s="7163"/>
      <c r="WYX18" s="7164"/>
      <c r="WYY18" s="7157"/>
      <c r="WYZ18" s="7157"/>
      <c r="WZA18" s="7157"/>
      <c r="WZB18" s="7157"/>
      <c r="WZC18" s="7158"/>
      <c r="WZD18" s="7158"/>
      <c r="WZE18" s="7158"/>
      <c r="WZF18" s="7158"/>
      <c r="WZG18" s="7158"/>
      <c r="WZH18" s="7159"/>
      <c r="WZI18" s="7152"/>
      <c r="WZJ18" s="7153"/>
      <c r="WZK18" s="7153"/>
      <c r="WZL18" s="7153"/>
      <c r="WZM18" s="7163"/>
      <c r="WZN18" s="7164"/>
      <c r="WZO18" s="7157"/>
      <c r="WZP18" s="7157"/>
      <c r="WZQ18" s="7157"/>
      <c r="WZR18" s="7157"/>
      <c r="WZS18" s="7158"/>
      <c r="WZT18" s="7158"/>
      <c r="WZU18" s="7158"/>
      <c r="WZV18" s="7158"/>
      <c r="WZW18" s="7158"/>
      <c r="WZX18" s="7159"/>
      <c r="WZY18" s="7152"/>
      <c r="WZZ18" s="7153"/>
      <c r="XAA18" s="7153"/>
      <c r="XAB18" s="7153"/>
      <c r="XAC18" s="7163"/>
      <c r="XAD18" s="7164"/>
      <c r="XAE18" s="7157"/>
      <c r="XAF18" s="7157"/>
      <c r="XAG18" s="7157"/>
      <c r="XAH18" s="7157"/>
      <c r="XAI18" s="7158"/>
      <c r="XAJ18" s="7158"/>
      <c r="XAK18" s="7158"/>
      <c r="XAL18" s="7158"/>
      <c r="XAM18" s="7158"/>
      <c r="XAN18" s="7159"/>
      <c r="XAO18" s="7152"/>
      <c r="XAP18" s="7153"/>
      <c r="XAQ18" s="7153"/>
      <c r="XAR18" s="7153"/>
      <c r="XAS18" s="7163"/>
      <c r="XAT18" s="7164"/>
      <c r="XAU18" s="7157"/>
      <c r="XAV18" s="7157"/>
      <c r="XAW18" s="7157"/>
      <c r="XAX18" s="7157"/>
      <c r="XAY18" s="7158"/>
      <c r="XAZ18" s="7158"/>
      <c r="XBA18" s="7158"/>
      <c r="XBB18" s="7158"/>
      <c r="XBC18" s="7158"/>
      <c r="XBD18" s="7159"/>
      <c r="XBE18" s="7152"/>
      <c r="XBF18" s="7153"/>
      <c r="XBG18" s="7153"/>
      <c r="XBH18" s="7153"/>
      <c r="XBI18" s="7163"/>
      <c r="XBJ18" s="7164"/>
      <c r="XBK18" s="7157"/>
      <c r="XBL18" s="7157"/>
      <c r="XBM18" s="7157"/>
      <c r="XBN18" s="7157"/>
      <c r="XBO18" s="7158"/>
      <c r="XBP18" s="7158"/>
      <c r="XBQ18" s="7158"/>
      <c r="XBR18" s="7158"/>
      <c r="XBS18" s="7158"/>
      <c r="XBT18" s="7159"/>
    </row>
    <row r="19" spans="1:16296" ht="18" customHeight="1" x14ac:dyDescent="0.35">
      <c r="A19" s="7152" t="s">
        <v>1102</v>
      </c>
      <c r="B19" s="7153"/>
      <c r="C19" s="7153"/>
      <c r="D19" s="7153"/>
      <c r="E19" s="7166">
        <v>0.3</v>
      </c>
      <c r="F19" s="7167"/>
      <c r="G19" s="7165">
        <f>G18*E19</f>
        <v>15.806249999999999</v>
      </c>
      <c r="H19" s="7165"/>
      <c r="I19" s="7157"/>
      <c r="J19" s="7157"/>
      <c r="K19" s="7158"/>
      <c r="L19" s="7158"/>
      <c r="M19" s="7158"/>
      <c r="N19" s="7158"/>
      <c r="O19" s="7158"/>
      <c r="P19" s="7159"/>
      <c r="Q19" s="64"/>
      <c r="R19" s="64"/>
      <c r="S19" s="103"/>
      <c r="T19" s="103"/>
      <c r="U19" s="103"/>
      <c r="V19" s="103"/>
      <c r="W19" s="103"/>
      <c r="X19" s="103"/>
      <c r="Y19" s="103"/>
      <c r="Z19" s="103"/>
      <c r="AA19" s="103"/>
      <c r="AB19" s="103"/>
      <c r="AC19" s="103"/>
      <c r="AD19" s="103"/>
      <c r="AE19" s="103"/>
      <c r="AF19" s="103"/>
      <c r="AG19" s="103"/>
      <c r="AH19" s="103"/>
      <c r="AI19" s="103"/>
      <c r="AJ19" s="103"/>
      <c r="AK19" s="103"/>
      <c r="AL19" s="103"/>
      <c r="AM19" s="103"/>
      <c r="AN19" s="103"/>
    </row>
    <row r="20" spans="1:16296" ht="18" customHeight="1" thickBot="1" x14ac:dyDescent="0.4">
      <c r="A20" s="7168"/>
      <c r="B20" s="7169"/>
      <c r="C20" s="7169"/>
      <c r="D20" s="7169"/>
      <c r="E20" s="7143"/>
      <c r="F20" s="7143"/>
      <c r="G20" s="7143"/>
      <c r="H20" s="7143"/>
      <c r="I20" s="7143"/>
      <c r="J20" s="7143"/>
      <c r="K20" s="7144"/>
      <c r="L20" s="7144"/>
      <c r="M20" s="7144"/>
      <c r="N20" s="7144"/>
      <c r="O20" s="7144"/>
      <c r="P20" s="7145"/>
      <c r="Q20" s="64"/>
      <c r="R20" s="64"/>
    </row>
    <row r="21" spans="1:16296" ht="15" thickTop="1" x14ac:dyDescent="0.35">
      <c r="A21" s="470"/>
      <c r="B21" s="470"/>
      <c r="C21" s="470"/>
      <c r="D21" s="470"/>
      <c r="E21" s="470"/>
      <c r="F21" s="470"/>
      <c r="G21" s="470"/>
      <c r="H21" s="470"/>
      <c r="I21" s="470"/>
      <c r="J21" s="470"/>
      <c r="K21" s="470"/>
      <c r="L21" s="470"/>
      <c r="M21" s="470"/>
      <c r="N21" s="470"/>
      <c r="O21" s="470"/>
      <c r="P21" s="470"/>
      <c r="Q21" s="64"/>
      <c r="R21" s="64"/>
    </row>
    <row r="22" spans="1:16296" x14ac:dyDescent="0.35">
      <c r="A22" s="64"/>
      <c r="B22" s="64"/>
      <c r="C22" s="64"/>
      <c r="D22" s="64"/>
      <c r="E22" s="64"/>
      <c r="F22" s="64"/>
      <c r="G22" s="64"/>
      <c r="H22" s="64"/>
      <c r="I22" s="64"/>
      <c r="J22" s="64"/>
      <c r="K22" s="64"/>
      <c r="L22" s="64"/>
      <c r="M22" s="64"/>
      <c r="N22" s="64"/>
      <c r="O22" s="64"/>
      <c r="P22" s="64"/>
      <c r="Q22" s="64"/>
      <c r="R22" s="64"/>
    </row>
  </sheetData>
  <mergeCells count="25507">
    <mergeCell ref="XBK9:XBL9"/>
    <mergeCell ref="XBM9:XBN9"/>
    <mergeCell ref="XBO9:XBT9"/>
    <mergeCell ref="XAG9:XAH9"/>
    <mergeCell ref="XAI9:XAN9"/>
    <mergeCell ref="XAO9:XAR9"/>
    <mergeCell ref="XAS9:XAT9"/>
    <mergeCell ref="XAU9:XAV9"/>
    <mergeCell ref="XAW9:XAX9"/>
    <mergeCell ref="XAY9:XBD9"/>
    <mergeCell ref="XBE9:XBH9"/>
    <mergeCell ref="XBI9:XBJ9"/>
    <mergeCell ref="WZC9:WZH9"/>
    <mergeCell ref="WZI9:WZL9"/>
    <mergeCell ref="WZM9:WZN9"/>
    <mergeCell ref="WZO9:WZP9"/>
    <mergeCell ref="WZQ9:WZR9"/>
    <mergeCell ref="WZS9:WZX9"/>
    <mergeCell ref="WZY9:XAB9"/>
    <mergeCell ref="XAC9:XAD9"/>
    <mergeCell ref="XAE9:XAF9"/>
    <mergeCell ref="WYC9:WYF9"/>
    <mergeCell ref="WYG9:WYH9"/>
    <mergeCell ref="WYI9:WYJ9"/>
    <mergeCell ref="WYK9:WYL9"/>
    <mergeCell ref="WYM9:WYR9"/>
    <mergeCell ref="WYS9:WYV9"/>
    <mergeCell ref="WYW9:WYX9"/>
    <mergeCell ref="WYY9:WYZ9"/>
    <mergeCell ref="WZA9:WZB9"/>
    <mergeCell ref="WXA9:WXB9"/>
    <mergeCell ref="WXC9:WXD9"/>
    <mergeCell ref="WXE9:WXF9"/>
    <mergeCell ref="WXG9:WXL9"/>
    <mergeCell ref="WXM9:WXP9"/>
    <mergeCell ref="WXQ9:WXR9"/>
    <mergeCell ref="WXS9:WXT9"/>
    <mergeCell ref="WXU9:WXV9"/>
    <mergeCell ref="WXW9:WYB9"/>
    <mergeCell ref="WVW9:WVX9"/>
    <mergeCell ref="WVY9:WVZ9"/>
    <mergeCell ref="WWA9:WWF9"/>
    <mergeCell ref="WWG9:WWJ9"/>
    <mergeCell ref="WWK9:WWL9"/>
    <mergeCell ref="WWM9:WWN9"/>
    <mergeCell ref="WWO9:WWP9"/>
    <mergeCell ref="WWQ9:WWV9"/>
    <mergeCell ref="WWW9:WWZ9"/>
    <mergeCell ref="WUS9:WUT9"/>
    <mergeCell ref="WUU9:WUZ9"/>
    <mergeCell ref="WVA9:WVD9"/>
    <mergeCell ref="WVE9:WVF9"/>
    <mergeCell ref="WVG9:WVH9"/>
    <mergeCell ref="WVI9:WVJ9"/>
    <mergeCell ref="WVK9:WVP9"/>
    <mergeCell ref="WVQ9:WVT9"/>
    <mergeCell ref="WVU9:WVV9"/>
    <mergeCell ref="WTO9:WTT9"/>
    <mergeCell ref="WTU9:WTX9"/>
    <mergeCell ref="WTY9:WTZ9"/>
    <mergeCell ref="WUA9:WUB9"/>
    <mergeCell ref="WUC9:WUD9"/>
    <mergeCell ref="WUE9:WUJ9"/>
    <mergeCell ref="WUK9:WUN9"/>
    <mergeCell ref="WUO9:WUP9"/>
    <mergeCell ref="WUQ9:WUR9"/>
    <mergeCell ref="WSO9:WSR9"/>
    <mergeCell ref="WSS9:WST9"/>
    <mergeCell ref="WSU9:WSV9"/>
    <mergeCell ref="WSW9:WSX9"/>
    <mergeCell ref="WSY9:WTD9"/>
    <mergeCell ref="WTE9:WTH9"/>
    <mergeCell ref="WTI9:WTJ9"/>
    <mergeCell ref="WTK9:WTL9"/>
    <mergeCell ref="WTM9:WTN9"/>
    <mergeCell ref="WRM9:WRN9"/>
    <mergeCell ref="WRO9:WRP9"/>
    <mergeCell ref="WRQ9:WRR9"/>
    <mergeCell ref="WRS9:WRX9"/>
    <mergeCell ref="WRY9:WSB9"/>
    <mergeCell ref="WSC9:WSD9"/>
    <mergeCell ref="WSE9:WSF9"/>
    <mergeCell ref="WSG9:WSH9"/>
    <mergeCell ref="WSI9:WSN9"/>
    <mergeCell ref="WQI9:WQJ9"/>
    <mergeCell ref="WQK9:WQL9"/>
    <mergeCell ref="WQM9:WQR9"/>
    <mergeCell ref="WQS9:WQV9"/>
    <mergeCell ref="WQW9:WQX9"/>
    <mergeCell ref="WQY9:WQZ9"/>
    <mergeCell ref="WRA9:WRB9"/>
    <mergeCell ref="WRC9:WRH9"/>
    <mergeCell ref="WRI9:WRL9"/>
    <mergeCell ref="WPE9:WPF9"/>
    <mergeCell ref="WPG9:WPL9"/>
    <mergeCell ref="WPM9:WPP9"/>
    <mergeCell ref="WPQ9:WPR9"/>
    <mergeCell ref="WPS9:WPT9"/>
    <mergeCell ref="WPU9:WPV9"/>
    <mergeCell ref="WPW9:WQB9"/>
    <mergeCell ref="WQC9:WQF9"/>
    <mergeCell ref="WQG9:WQH9"/>
    <mergeCell ref="WOA9:WOF9"/>
    <mergeCell ref="WOG9:WOJ9"/>
    <mergeCell ref="WOK9:WOL9"/>
    <mergeCell ref="WOM9:WON9"/>
    <mergeCell ref="WOO9:WOP9"/>
    <mergeCell ref="WOQ9:WOV9"/>
    <mergeCell ref="WOW9:WOZ9"/>
    <mergeCell ref="WPA9:WPB9"/>
    <mergeCell ref="WPC9:WPD9"/>
    <mergeCell ref="WNA9:WND9"/>
    <mergeCell ref="WNE9:WNF9"/>
    <mergeCell ref="WNG9:WNH9"/>
    <mergeCell ref="WNI9:WNJ9"/>
    <mergeCell ref="WNK9:WNP9"/>
    <mergeCell ref="WNQ9:WNT9"/>
    <mergeCell ref="WNU9:WNV9"/>
    <mergeCell ref="WNW9:WNX9"/>
    <mergeCell ref="WNY9:WNZ9"/>
    <mergeCell ref="WLY9:WLZ9"/>
    <mergeCell ref="WMA9:WMB9"/>
    <mergeCell ref="WMC9:WMD9"/>
    <mergeCell ref="WME9:WMJ9"/>
    <mergeCell ref="WMK9:WMN9"/>
    <mergeCell ref="WMO9:WMP9"/>
    <mergeCell ref="WMQ9:WMR9"/>
    <mergeCell ref="WMS9:WMT9"/>
    <mergeCell ref="WMU9:WMZ9"/>
    <mergeCell ref="WKU9:WKV9"/>
    <mergeCell ref="WKW9:WKX9"/>
    <mergeCell ref="WKY9:WLD9"/>
    <mergeCell ref="WLE9:WLH9"/>
    <mergeCell ref="WLI9:WLJ9"/>
    <mergeCell ref="WLK9:WLL9"/>
    <mergeCell ref="WLM9:WLN9"/>
    <mergeCell ref="WLO9:WLT9"/>
    <mergeCell ref="WLU9:WLX9"/>
    <mergeCell ref="WJQ9:WJR9"/>
    <mergeCell ref="WJS9:WJX9"/>
    <mergeCell ref="WJY9:WKB9"/>
    <mergeCell ref="WKC9:WKD9"/>
    <mergeCell ref="WKE9:WKF9"/>
    <mergeCell ref="WKG9:WKH9"/>
    <mergeCell ref="WKI9:WKN9"/>
    <mergeCell ref="WKO9:WKR9"/>
    <mergeCell ref="WKS9:WKT9"/>
    <mergeCell ref="WIM9:WIR9"/>
    <mergeCell ref="WIS9:WIV9"/>
    <mergeCell ref="WIW9:WIX9"/>
    <mergeCell ref="WIY9:WIZ9"/>
    <mergeCell ref="WJA9:WJB9"/>
    <mergeCell ref="WJC9:WJH9"/>
    <mergeCell ref="WJI9:WJL9"/>
    <mergeCell ref="WJM9:WJN9"/>
    <mergeCell ref="WJO9:WJP9"/>
    <mergeCell ref="WHM9:WHP9"/>
    <mergeCell ref="WHQ9:WHR9"/>
    <mergeCell ref="WHS9:WHT9"/>
    <mergeCell ref="WHU9:WHV9"/>
    <mergeCell ref="WHW9:WIB9"/>
    <mergeCell ref="WIC9:WIF9"/>
    <mergeCell ref="WIG9:WIH9"/>
    <mergeCell ref="WII9:WIJ9"/>
    <mergeCell ref="WIK9:WIL9"/>
    <mergeCell ref="WGK9:WGL9"/>
    <mergeCell ref="WGM9:WGN9"/>
    <mergeCell ref="WGO9:WGP9"/>
    <mergeCell ref="WGQ9:WGV9"/>
    <mergeCell ref="WGW9:WGZ9"/>
    <mergeCell ref="WHA9:WHB9"/>
    <mergeCell ref="WHC9:WHD9"/>
    <mergeCell ref="WHE9:WHF9"/>
    <mergeCell ref="WHG9:WHL9"/>
    <mergeCell ref="WFG9:WFH9"/>
    <mergeCell ref="WFI9:WFJ9"/>
    <mergeCell ref="WFK9:WFP9"/>
    <mergeCell ref="WFQ9:WFT9"/>
    <mergeCell ref="WFU9:WFV9"/>
    <mergeCell ref="WFW9:WFX9"/>
    <mergeCell ref="WFY9:WFZ9"/>
    <mergeCell ref="WGA9:WGF9"/>
    <mergeCell ref="WGG9:WGJ9"/>
    <mergeCell ref="WEC9:WED9"/>
    <mergeCell ref="WEE9:WEJ9"/>
    <mergeCell ref="WEK9:WEN9"/>
    <mergeCell ref="WEO9:WEP9"/>
    <mergeCell ref="WEQ9:WER9"/>
    <mergeCell ref="WES9:WET9"/>
    <mergeCell ref="WEU9:WEZ9"/>
    <mergeCell ref="WFA9:WFD9"/>
    <mergeCell ref="WFE9:WFF9"/>
    <mergeCell ref="WCY9:WDD9"/>
    <mergeCell ref="WDE9:WDH9"/>
    <mergeCell ref="WDI9:WDJ9"/>
    <mergeCell ref="WDK9:WDL9"/>
    <mergeCell ref="WDM9:WDN9"/>
    <mergeCell ref="WDO9:WDT9"/>
    <mergeCell ref="WDU9:WDX9"/>
    <mergeCell ref="WDY9:WDZ9"/>
    <mergeCell ref="WEA9:WEB9"/>
    <mergeCell ref="WBY9:WCB9"/>
    <mergeCell ref="WCC9:WCD9"/>
    <mergeCell ref="WCE9:WCF9"/>
    <mergeCell ref="WCG9:WCH9"/>
    <mergeCell ref="WCI9:WCN9"/>
    <mergeCell ref="WCO9:WCR9"/>
    <mergeCell ref="WCS9:WCT9"/>
    <mergeCell ref="WCU9:WCV9"/>
    <mergeCell ref="WCW9:WCX9"/>
    <mergeCell ref="WAW9:WAX9"/>
    <mergeCell ref="WAY9:WAZ9"/>
    <mergeCell ref="WBA9:WBB9"/>
    <mergeCell ref="WBC9:WBH9"/>
    <mergeCell ref="WBI9:WBL9"/>
    <mergeCell ref="WBM9:WBN9"/>
    <mergeCell ref="WBO9:WBP9"/>
    <mergeCell ref="WBQ9:WBR9"/>
    <mergeCell ref="WBS9:WBX9"/>
    <mergeCell ref="VZS9:VZT9"/>
    <mergeCell ref="VZU9:VZV9"/>
    <mergeCell ref="VZW9:WAB9"/>
    <mergeCell ref="WAC9:WAF9"/>
    <mergeCell ref="WAG9:WAH9"/>
    <mergeCell ref="WAI9:WAJ9"/>
    <mergeCell ref="WAK9:WAL9"/>
    <mergeCell ref="WAM9:WAR9"/>
    <mergeCell ref="WAS9:WAV9"/>
    <mergeCell ref="VYO9:VYP9"/>
    <mergeCell ref="VYQ9:VYV9"/>
    <mergeCell ref="VYW9:VYZ9"/>
    <mergeCell ref="VZA9:VZB9"/>
    <mergeCell ref="VZC9:VZD9"/>
    <mergeCell ref="VZE9:VZF9"/>
    <mergeCell ref="VZG9:VZL9"/>
    <mergeCell ref="VZM9:VZP9"/>
    <mergeCell ref="VZQ9:VZR9"/>
    <mergeCell ref="VXK9:VXP9"/>
    <mergeCell ref="VXQ9:VXT9"/>
    <mergeCell ref="VXU9:VXV9"/>
    <mergeCell ref="VXW9:VXX9"/>
    <mergeCell ref="VXY9:VXZ9"/>
    <mergeCell ref="VYA9:VYF9"/>
    <mergeCell ref="VYG9:VYJ9"/>
    <mergeCell ref="VYK9:VYL9"/>
    <mergeCell ref="VYM9:VYN9"/>
    <mergeCell ref="VWK9:VWN9"/>
    <mergeCell ref="VWO9:VWP9"/>
    <mergeCell ref="VWQ9:VWR9"/>
    <mergeCell ref="VWS9:VWT9"/>
    <mergeCell ref="VWU9:VWZ9"/>
    <mergeCell ref="VXA9:VXD9"/>
    <mergeCell ref="VXE9:VXF9"/>
    <mergeCell ref="VXG9:VXH9"/>
    <mergeCell ref="VXI9:VXJ9"/>
    <mergeCell ref="VVI9:VVJ9"/>
    <mergeCell ref="VVK9:VVL9"/>
    <mergeCell ref="VVM9:VVN9"/>
    <mergeCell ref="VVO9:VVT9"/>
    <mergeCell ref="VVU9:VVX9"/>
    <mergeCell ref="VVY9:VVZ9"/>
    <mergeCell ref="VWA9:VWB9"/>
    <mergeCell ref="VWC9:VWD9"/>
    <mergeCell ref="VWE9:VWJ9"/>
    <mergeCell ref="VUE9:VUF9"/>
    <mergeCell ref="VUG9:VUH9"/>
    <mergeCell ref="VUI9:VUN9"/>
    <mergeCell ref="VUO9:VUR9"/>
    <mergeCell ref="VUS9:VUT9"/>
    <mergeCell ref="VUU9:VUV9"/>
    <mergeCell ref="VUW9:VUX9"/>
    <mergeCell ref="VUY9:VVD9"/>
    <mergeCell ref="VVE9:VVH9"/>
    <mergeCell ref="VTA9:VTB9"/>
    <mergeCell ref="VTC9:VTH9"/>
    <mergeCell ref="VTI9:VTL9"/>
    <mergeCell ref="VTM9:VTN9"/>
    <mergeCell ref="VTO9:VTP9"/>
    <mergeCell ref="VTQ9:VTR9"/>
    <mergeCell ref="VTS9:VTX9"/>
    <mergeCell ref="VTY9:VUB9"/>
    <mergeCell ref="VUC9:VUD9"/>
    <mergeCell ref="VRW9:VSB9"/>
    <mergeCell ref="VSC9:VSF9"/>
    <mergeCell ref="VSG9:VSH9"/>
    <mergeCell ref="VSI9:VSJ9"/>
    <mergeCell ref="VSK9:VSL9"/>
    <mergeCell ref="VSM9:VSR9"/>
    <mergeCell ref="VSS9:VSV9"/>
    <mergeCell ref="VSW9:VSX9"/>
    <mergeCell ref="VSY9:VSZ9"/>
    <mergeCell ref="VQW9:VQZ9"/>
    <mergeCell ref="VRA9:VRB9"/>
    <mergeCell ref="VRC9:VRD9"/>
    <mergeCell ref="VRE9:VRF9"/>
    <mergeCell ref="VRG9:VRL9"/>
    <mergeCell ref="VRM9:VRP9"/>
    <mergeCell ref="VRQ9:VRR9"/>
    <mergeCell ref="VRS9:VRT9"/>
    <mergeCell ref="VRU9:VRV9"/>
    <mergeCell ref="VPU9:VPV9"/>
    <mergeCell ref="VPW9:VPX9"/>
    <mergeCell ref="VPY9:VPZ9"/>
    <mergeCell ref="VQA9:VQF9"/>
    <mergeCell ref="VQG9:VQJ9"/>
    <mergeCell ref="VQK9:VQL9"/>
    <mergeCell ref="VQM9:VQN9"/>
    <mergeCell ref="VQO9:VQP9"/>
    <mergeCell ref="VQQ9:VQV9"/>
    <mergeCell ref="VOQ9:VOR9"/>
    <mergeCell ref="VOS9:VOT9"/>
    <mergeCell ref="VOU9:VOZ9"/>
    <mergeCell ref="VPA9:VPD9"/>
    <mergeCell ref="VPE9:VPF9"/>
    <mergeCell ref="VPG9:VPH9"/>
    <mergeCell ref="VPI9:VPJ9"/>
    <mergeCell ref="VPK9:VPP9"/>
    <mergeCell ref="VPQ9:VPT9"/>
    <mergeCell ref="VNM9:VNN9"/>
    <mergeCell ref="VNO9:VNT9"/>
    <mergeCell ref="VNU9:VNX9"/>
    <mergeCell ref="VNY9:VNZ9"/>
    <mergeCell ref="VOA9:VOB9"/>
    <mergeCell ref="VOC9:VOD9"/>
    <mergeCell ref="VOE9:VOJ9"/>
    <mergeCell ref="VOK9:VON9"/>
    <mergeCell ref="VOO9:VOP9"/>
    <mergeCell ref="VMI9:VMN9"/>
    <mergeCell ref="VMO9:VMR9"/>
    <mergeCell ref="VMS9:VMT9"/>
    <mergeCell ref="VMU9:VMV9"/>
    <mergeCell ref="VMW9:VMX9"/>
    <mergeCell ref="VMY9:VND9"/>
    <mergeCell ref="VNE9:VNH9"/>
    <mergeCell ref="VNI9:VNJ9"/>
    <mergeCell ref="VNK9:VNL9"/>
    <mergeCell ref="VLI9:VLL9"/>
    <mergeCell ref="VLM9:VLN9"/>
    <mergeCell ref="VLO9:VLP9"/>
    <mergeCell ref="VLQ9:VLR9"/>
    <mergeCell ref="VLS9:VLX9"/>
    <mergeCell ref="VLY9:VMB9"/>
    <mergeCell ref="VMC9:VMD9"/>
    <mergeCell ref="VME9:VMF9"/>
    <mergeCell ref="VMG9:VMH9"/>
    <mergeCell ref="VKG9:VKH9"/>
    <mergeCell ref="VKI9:VKJ9"/>
    <mergeCell ref="VKK9:VKL9"/>
    <mergeCell ref="VKM9:VKR9"/>
    <mergeCell ref="VKS9:VKV9"/>
    <mergeCell ref="VKW9:VKX9"/>
    <mergeCell ref="VKY9:VKZ9"/>
    <mergeCell ref="VLA9:VLB9"/>
    <mergeCell ref="VLC9:VLH9"/>
    <mergeCell ref="VJC9:VJD9"/>
    <mergeCell ref="VJE9:VJF9"/>
    <mergeCell ref="VJG9:VJL9"/>
    <mergeCell ref="VJM9:VJP9"/>
    <mergeCell ref="VJQ9:VJR9"/>
    <mergeCell ref="VJS9:VJT9"/>
    <mergeCell ref="VJU9:VJV9"/>
    <mergeCell ref="VJW9:VKB9"/>
    <mergeCell ref="VKC9:VKF9"/>
    <mergeCell ref="VHY9:VHZ9"/>
    <mergeCell ref="VIA9:VIF9"/>
    <mergeCell ref="VIG9:VIJ9"/>
    <mergeCell ref="VIK9:VIL9"/>
    <mergeCell ref="VIM9:VIN9"/>
    <mergeCell ref="VIO9:VIP9"/>
    <mergeCell ref="VIQ9:VIV9"/>
    <mergeCell ref="VIW9:VIZ9"/>
    <mergeCell ref="VJA9:VJB9"/>
    <mergeCell ref="VGU9:VGZ9"/>
    <mergeCell ref="VHA9:VHD9"/>
    <mergeCell ref="VHE9:VHF9"/>
    <mergeCell ref="VHG9:VHH9"/>
    <mergeCell ref="VHI9:VHJ9"/>
    <mergeCell ref="VHK9:VHP9"/>
    <mergeCell ref="VHQ9:VHT9"/>
    <mergeCell ref="VHU9:VHV9"/>
    <mergeCell ref="VHW9:VHX9"/>
    <mergeCell ref="VFU9:VFX9"/>
    <mergeCell ref="VFY9:VFZ9"/>
    <mergeCell ref="VGA9:VGB9"/>
    <mergeCell ref="VGC9:VGD9"/>
    <mergeCell ref="VGE9:VGJ9"/>
    <mergeCell ref="VGK9:VGN9"/>
    <mergeCell ref="VGO9:VGP9"/>
    <mergeCell ref="VGQ9:VGR9"/>
    <mergeCell ref="VGS9:VGT9"/>
    <mergeCell ref="VES9:VET9"/>
    <mergeCell ref="VEU9:VEV9"/>
    <mergeCell ref="VEW9:VEX9"/>
    <mergeCell ref="VEY9:VFD9"/>
    <mergeCell ref="VFE9:VFH9"/>
    <mergeCell ref="VFI9:VFJ9"/>
    <mergeCell ref="VFK9:VFL9"/>
    <mergeCell ref="VFM9:VFN9"/>
    <mergeCell ref="VFO9:VFT9"/>
    <mergeCell ref="VDO9:VDP9"/>
    <mergeCell ref="VDQ9:VDR9"/>
    <mergeCell ref="VDS9:VDX9"/>
    <mergeCell ref="VDY9:VEB9"/>
    <mergeCell ref="VEC9:VED9"/>
    <mergeCell ref="VEE9:VEF9"/>
    <mergeCell ref="VEG9:VEH9"/>
    <mergeCell ref="VEI9:VEN9"/>
    <mergeCell ref="VEO9:VER9"/>
    <mergeCell ref="VCK9:VCL9"/>
    <mergeCell ref="VCM9:VCR9"/>
    <mergeCell ref="VCS9:VCV9"/>
    <mergeCell ref="VCW9:VCX9"/>
    <mergeCell ref="VCY9:VCZ9"/>
    <mergeCell ref="VDA9:VDB9"/>
    <mergeCell ref="VDC9:VDH9"/>
    <mergeCell ref="VDI9:VDL9"/>
    <mergeCell ref="VDM9:VDN9"/>
    <mergeCell ref="VBG9:VBL9"/>
    <mergeCell ref="VBM9:VBP9"/>
    <mergeCell ref="VBQ9:VBR9"/>
    <mergeCell ref="VBS9:VBT9"/>
    <mergeCell ref="VBU9:VBV9"/>
    <mergeCell ref="VBW9:VCB9"/>
    <mergeCell ref="VCC9:VCF9"/>
    <mergeCell ref="VCG9:VCH9"/>
    <mergeCell ref="VCI9:VCJ9"/>
    <mergeCell ref="VAG9:VAJ9"/>
    <mergeCell ref="VAK9:VAL9"/>
    <mergeCell ref="VAM9:VAN9"/>
    <mergeCell ref="VAO9:VAP9"/>
    <mergeCell ref="VAQ9:VAV9"/>
    <mergeCell ref="VAW9:VAZ9"/>
    <mergeCell ref="VBA9:VBB9"/>
    <mergeCell ref="VBC9:VBD9"/>
    <mergeCell ref="VBE9:VBF9"/>
    <mergeCell ref="UZE9:UZF9"/>
    <mergeCell ref="UZG9:UZH9"/>
    <mergeCell ref="UZI9:UZJ9"/>
    <mergeCell ref="UZK9:UZP9"/>
    <mergeCell ref="UZQ9:UZT9"/>
    <mergeCell ref="UZU9:UZV9"/>
    <mergeCell ref="UZW9:UZX9"/>
    <mergeCell ref="UZY9:UZZ9"/>
    <mergeCell ref="VAA9:VAF9"/>
    <mergeCell ref="UYA9:UYB9"/>
    <mergeCell ref="UYC9:UYD9"/>
    <mergeCell ref="UYE9:UYJ9"/>
    <mergeCell ref="UYK9:UYN9"/>
    <mergeCell ref="UYO9:UYP9"/>
    <mergeCell ref="UYQ9:UYR9"/>
    <mergeCell ref="UYS9:UYT9"/>
    <mergeCell ref="UYU9:UYZ9"/>
    <mergeCell ref="UZA9:UZD9"/>
    <mergeCell ref="UWW9:UWX9"/>
    <mergeCell ref="UWY9:UXD9"/>
    <mergeCell ref="UXE9:UXH9"/>
    <mergeCell ref="UXI9:UXJ9"/>
    <mergeCell ref="UXK9:UXL9"/>
    <mergeCell ref="UXM9:UXN9"/>
    <mergeCell ref="UXO9:UXT9"/>
    <mergeCell ref="UXU9:UXX9"/>
    <mergeCell ref="UXY9:UXZ9"/>
    <mergeCell ref="UVS9:UVX9"/>
    <mergeCell ref="UVY9:UWB9"/>
    <mergeCell ref="UWC9:UWD9"/>
    <mergeCell ref="UWE9:UWF9"/>
    <mergeCell ref="UWG9:UWH9"/>
    <mergeCell ref="UWI9:UWN9"/>
    <mergeCell ref="UWO9:UWR9"/>
    <mergeCell ref="UWS9:UWT9"/>
    <mergeCell ref="UWU9:UWV9"/>
    <mergeCell ref="UUS9:UUV9"/>
    <mergeCell ref="UUW9:UUX9"/>
    <mergeCell ref="UUY9:UUZ9"/>
    <mergeCell ref="UVA9:UVB9"/>
    <mergeCell ref="UVC9:UVH9"/>
    <mergeCell ref="UVI9:UVL9"/>
    <mergeCell ref="UVM9:UVN9"/>
    <mergeCell ref="UVO9:UVP9"/>
    <mergeCell ref="UVQ9:UVR9"/>
    <mergeCell ref="UTQ9:UTR9"/>
    <mergeCell ref="UTS9:UTT9"/>
    <mergeCell ref="UTU9:UTV9"/>
    <mergeCell ref="UTW9:UUB9"/>
    <mergeCell ref="UUC9:UUF9"/>
    <mergeCell ref="UUG9:UUH9"/>
    <mergeCell ref="UUI9:UUJ9"/>
    <mergeCell ref="UUK9:UUL9"/>
    <mergeCell ref="UUM9:UUR9"/>
    <mergeCell ref="USM9:USN9"/>
    <mergeCell ref="USO9:USP9"/>
    <mergeCell ref="USQ9:USV9"/>
    <mergeCell ref="USW9:USZ9"/>
    <mergeCell ref="UTA9:UTB9"/>
    <mergeCell ref="UTC9:UTD9"/>
    <mergeCell ref="UTE9:UTF9"/>
    <mergeCell ref="UTG9:UTL9"/>
    <mergeCell ref="UTM9:UTP9"/>
    <mergeCell ref="URI9:URJ9"/>
    <mergeCell ref="URK9:URP9"/>
    <mergeCell ref="URQ9:URT9"/>
    <mergeCell ref="URU9:URV9"/>
    <mergeCell ref="URW9:URX9"/>
    <mergeCell ref="URY9:URZ9"/>
    <mergeCell ref="USA9:USF9"/>
    <mergeCell ref="USG9:USJ9"/>
    <mergeCell ref="USK9:USL9"/>
    <mergeCell ref="UQE9:UQJ9"/>
    <mergeCell ref="UQK9:UQN9"/>
    <mergeCell ref="UQO9:UQP9"/>
    <mergeCell ref="UQQ9:UQR9"/>
    <mergeCell ref="UQS9:UQT9"/>
    <mergeCell ref="UQU9:UQZ9"/>
    <mergeCell ref="URA9:URD9"/>
    <mergeCell ref="URE9:URF9"/>
    <mergeCell ref="URG9:URH9"/>
    <mergeCell ref="UPE9:UPH9"/>
    <mergeCell ref="UPI9:UPJ9"/>
    <mergeCell ref="UPK9:UPL9"/>
    <mergeCell ref="UPM9:UPN9"/>
    <mergeCell ref="UPO9:UPT9"/>
    <mergeCell ref="UPU9:UPX9"/>
    <mergeCell ref="UPY9:UPZ9"/>
    <mergeCell ref="UQA9:UQB9"/>
    <mergeCell ref="UQC9:UQD9"/>
    <mergeCell ref="UOC9:UOD9"/>
    <mergeCell ref="UOE9:UOF9"/>
    <mergeCell ref="UOG9:UOH9"/>
    <mergeCell ref="UOI9:UON9"/>
    <mergeCell ref="UOO9:UOR9"/>
    <mergeCell ref="UOS9:UOT9"/>
    <mergeCell ref="UOU9:UOV9"/>
    <mergeCell ref="UOW9:UOX9"/>
    <mergeCell ref="UOY9:UPD9"/>
    <mergeCell ref="UMY9:UMZ9"/>
    <mergeCell ref="UNA9:UNB9"/>
    <mergeCell ref="UNC9:UNH9"/>
    <mergeCell ref="UNI9:UNL9"/>
    <mergeCell ref="UNM9:UNN9"/>
    <mergeCell ref="UNO9:UNP9"/>
    <mergeCell ref="UNQ9:UNR9"/>
    <mergeCell ref="UNS9:UNX9"/>
    <mergeCell ref="UNY9:UOB9"/>
    <mergeCell ref="ULU9:ULV9"/>
    <mergeCell ref="ULW9:UMB9"/>
    <mergeCell ref="UMC9:UMF9"/>
    <mergeCell ref="UMG9:UMH9"/>
    <mergeCell ref="UMI9:UMJ9"/>
    <mergeCell ref="UMK9:UML9"/>
    <mergeCell ref="UMM9:UMR9"/>
    <mergeCell ref="UMS9:UMV9"/>
    <mergeCell ref="UMW9:UMX9"/>
    <mergeCell ref="UKQ9:UKV9"/>
    <mergeCell ref="UKW9:UKZ9"/>
    <mergeCell ref="ULA9:ULB9"/>
    <mergeCell ref="ULC9:ULD9"/>
    <mergeCell ref="ULE9:ULF9"/>
    <mergeCell ref="ULG9:ULL9"/>
    <mergeCell ref="ULM9:ULP9"/>
    <mergeCell ref="ULQ9:ULR9"/>
    <mergeCell ref="ULS9:ULT9"/>
    <mergeCell ref="UJQ9:UJT9"/>
    <mergeCell ref="UJU9:UJV9"/>
    <mergeCell ref="UJW9:UJX9"/>
    <mergeCell ref="UJY9:UJZ9"/>
    <mergeCell ref="UKA9:UKF9"/>
    <mergeCell ref="UKG9:UKJ9"/>
    <mergeCell ref="UKK9:UKL9"/>
    <mergeCell ref="UKM9:UKN9"/>
    <mergeCell ref="UKO9:UKP9"/>
    <mergeCell ref="UIO9:UIP9"/>
    <mergeCell ref="UIQ9:UIR9"/>
    <mergeCell ref="UIS9:UIT9"/>
    <mergeCell ref="UIU9:UIZ9"/>
    <mergeCell ref="UJA9:UJD9"/>
    <mergeCell ref="UJE9:UJF9"/>
    <mergeCell ref="UJG9:UJH9"/>
    <mergeCell ref="UJI9:UJJ9"/>
    <mergeCell ref="UJK9:UJP9"/>
    <mergeCell ref="UHK9:UHL9"/>
    <mergeCell ref="UHM9:UHN9"/>
    <mergeCell ref="UHO9:UHT9"/>
    <mergeCell ref="UHU9:UHX9"/>
    <mergeCell ref="UHY9:UHZ9"/>
    <mergeCell ref="UIA9:UIB9"/>
    <mergeCell ref="UIC9:UID9"/>
    <mergeCell ref="UIE9:UIJ9"/>
    <mergeCell ref="UIK9:UIN9"/>
    <mergeCell ref="UGG9:UGH9"/>
    <mergeCell ref="UGI9:UGN9"/>
    <mergeCell ref="UGO9:UGR9"/>
    <mergeCell ref="UGS9:UGT9"/>
    <mergeCell ref="UGU9:UGV9"/>
    <mergeCell ref="UGW9:UGX9"/>
    <mergeCell ref="UGY9:UHD9"/>
    <mergeCell ref="UHE9:UHH9"/>
    <mergeCell ref="UHI9:UHJ9"/>
    <mergeCell ref="UFC9:UFH9"/>
    <mergeCell ref="UFI9:UFL9"/>
    <mergeCell ref="UFM9:UFN9"/>
    <mergeCell ref="UFO9:UFP9"/>
    <mergeCell ref="UFQ9:UFR9"/>
    <mergeCell ref="UFS9:UFX9"/>
    <mergeCell ref="UFY9:UGB9"/>
    <mergeCell ref="UGC9:UGD9"/>
    <mergeCell ref="UGE9:UGF9"/>
    <mergeCell ref="UEC9:UEF9"/>
    <mergeCell ref="UEG9:UEH9"/>
    <mergeCell ref="UEI9:UEJ9"/>
    <mergeCell ref="UEK9:UEL9"/>
    <mergeCell ref="UEM9:UER9"/>
    <mergeCell ref="UES9:UEV9"/>
    <mergeCell ref="UEW9:UEX9"/>
    <mergeCell ref="UEY9:UEZ9"/>
    <mergeCell ref="UFA9:UFB9"/>
    <mergeCell ref="UDA9:UDB9"/>
    <mergeCell ref="UDC9:UDD9"/>
    <mergeCell ref="UDE9:UDF9"/>
    <mergeCell ref="UDG9:UDL9"/>
    <mergeCell ref="UDM9:UDP9"/>
    <mergeCell ref="UDQ9:UDR9"/>
    <mergeCell ref="UDS9:UDT9"/>
    <mergeCell ref="UDU9:UDV9"/>
    <mergeCell ref="UDW9:UEB9"/>
    <mergeCell ref="UBW9:UBX9"/>
    <mergeCell ref="UBY9:UBZ9"/>
    <mergeCell ref="UCA9:UCF9"/>
    <mergeCell ref="UCG9:UCJ9"/>
    <mergeCell ref="UCK9:UCL9"/>
    <mergeCell ref="UCM9:UCN9"/>
    <mergeCell ref="UCO9:UCP9"/>
    <mergeCell ref="UCQ9:UCV9"/>
    <mergeCell ref="UCW9:UCZ9"/>
    <mergeCell ref="UAS9:UAT9"/>
    <mergeCell ref="UAU9:UAZ9"/>
    <mergeCell ref="UBA9:UBD9"/>
    <mergeCell ref="UBE9:UBF9"/>
    <mergeCell ref="UBG9:UBH9"/>
    <mergeCell ref="UBI9:UBJ9"/>
    <mergeCell ref="UBK9:UBP9"/>
    <mergeCell ref="UBQ9:UBT9"/>
    <mergeCell ref="UBU9:UBV9"/>
    <mergeCell ref="TZO9:TZT9"/>
    <mergeCell ref="TZU9:TZX9"/>
    <mergeCell ref="TZY9:TZZ9"/>
    <mergeCell ref="UAA9:UAB9"/>
    <mergeCell ref="UAC9:UAD9"/>
    <mergeCell ref="UAE9:UAJ9"/>
    <mergeCell ref="UAK9:UAN9"/>
    <mergeCell ref="UAO9:UAP9"/>
    <mergeCell ref="UAQ9:UAR9"/>
    <mergeCell ref="TYO9:TYR9"/>
    <mergeCell ref="TYS9:TYT9"/>
    <mergeCell ref="TYU9:TYV9"/>
    <mergeCell ref="TYW9:TYX9"/>
    <mergeCell ref="TYY9:TZD9"/>
    <mergeCell ref="TZE9:TZH9"/>
    <mergeCell ref="TZI9:TZJ9"/>
    <mergeCell ref="TZK9:TZL9"/>
    <mergeCell ref="TZM9:TZN9"/>
    <mergeCell ref="TXM9:TXN9"/>
    <mergeCell ref="TXO9:TXP9"/>
    <mergeCell ref="TXQ9:TXR9"/>
    <mergeCell ref="TXS9:TXX9"/>
    <mergeCell ref="TXY9:TYB9"/>
    <mergeCell ref="TYC9:TYD9"/>
    <mergeCell ref="TYE9:TYF9"/>
    <mergeCell ref="TYG9:TYH9"/>
    <mergeCell ref="TYI9:TYN9"/>
    <mergeCell ref="TWI9:TWJ9"/>
    <mergeCell ref="TWK9:TWL9"/>
    <mergeCell ref="TWM9:TWR9"/>
    <mergeCell ref="TWS9:TWV9"/>
    <mergeCell ref="TWW9:TWX9"/>
    <mergeCell ref="TWY9:TWZ9"/>
    <mergeCell ref="TXA9:TXB9"/>
    <mergeCell ref="TXC9:TXH9"/>
    <mergeCell ref="TXI9:TXL9"/>
    <mergeCell ref="TVE9:TVF9"/>
    <mergeCell ref="TVG9:TVL9"/>
    <mergeCell ref="TVM9:TVP9"/>
    <mergeCell ref="TVQ9:TVR9"/>
    <mergeCell ref="TVS9:TVT9"/>
    <mergeCell ref="TVU9:TVV9"/>
    <mergeCell ref="TVW9:TWB9"/>
    <mergeCell ref="TWC9:TWF9"/>
    <mergeCell ref="TWG9:TWH9"/>
    <mergeCell ref="TUA9:TUF9"/>
    <mergeCell ref="TUG9:TUJ9"/>
    <mergeCell ref="TUK9:TUL9"/>
    <mergeCell ref="TUM9:TUN9"/>
    <mergeCell ref="TUO9:TUP9"/>
    <mergeCell ref="TUQ9:TUV9"/>
    <mergeCell ref="TUW9:TUZ9"/>
    <mergeCell ref="TVA9:TVB9"/>
    <mergeCell ref="TVC9:TVD9"/>
    <mergeCell ref="TTA9:TTD9"/>
    <mergeCell ref="TTE9:TTF9"/>
    <mergeCell ref="TTG9:TTH9"/>
    <mergeCell ref="TTI9:TTJ9"/>
    <mergeCell ref="TTK9:TTP9"/>
    <mergeCell ref="TTQ9:TTT9"/>
    <mergeCell ref="TTU9:TTV9"/>
    <mergeCell ref="TTW9:TTX9"/>
    <mergeCell ref="TTY9:TTZ9"/>
    <mergeCell ref="TRY9:TRZ9"/>
    <mergeCell ref="TSA9:TSB9"/>
    <mergeCell ref="TSC9:TSD9"/>
    <mergeCell ref="TSE9:TSJ9"/>
    <mergeCell ref="TSK9:TSN9"/>
    <mergeCell ref="TSO9:TSP9"/>
    <mergeCell ref="TSQ9:TSR9"/>
    <mergeCell ref="TSS9:TST9"/>
    <mergeCell ref="TSU9:TSZ9"/>
    <mergeCell ref="TQU9:TQV9"/>
    <mergeCell ref="TQW9:TQX9"/>
    <mergeCell ref="TQY9:TRD9"/>
    <mergeCell ref="TRE9:TRH9"/>
    <mergeCell ref="TRI9:TRJ9"/>
    <mergeCell ref="TRK9:TRL9"/>
    <mergeCell ref="TRM9:TRN9"/>
    <mergeCell ref="TRO9:TRT9"/>
    <mergeCell ref="TRU9:TRX9"/>
    <mergeCell ref="TPQ9:TPR9"/>
    <mergeCell ref="TPS9:TPX9"/>
    <mergeCell ref="TPY9:TQB9"/>
    <mergeCell ref="TQC9:TQD9"/>
    <mergeCell ref="TQE9:TQF9"/>
    <mergeCell ref="TQG9:TQH9"/>
    <mergeCell ref="TQI9:TQN9"/>
    <mergeCell ref="TQO9:TQR9"/>
    <mergeCell ref="TQS9:TQT9"/>
    <mergeCell ref="TOM9:TOR9"/>
    <mergeCell ref="TOS9:TOV9"/>
    <mergeCell ref="TOW9:TOX9"/>
    <mergeCell ref="TOY9:TOZ9"/>
    <mergeCell ref="TPA9:TPB9"/>
    <mergeCell ref="TPC9:TPH9"/>
    <mergeCell ref="TPI9:TPL9"/>
    <mergeCell ref="TPM9:TPN9"/>
    <mergeCell ref="TPO9:TPP9"/>
    <mergeCell ref="TNM9:TNP9"/>
    <mergeCell ref="TNQ9:TNR9"/>
    <mergeCell ref="TNS9:TNT9"/>
    <mergeCell ref="TNU9:TNV9"/>
    <mergeCell ref="TNW9:TOB9"/>
    <mergeCell ref="TOC9:TOF9"/>
    <mergeCell ref="TOG9:TOH9"/>
    <mergeCell ref="TOI9:TOJ9"/>
    <mergeCell ref="TOK9:TOL9"/>
    <mergeCell ref="TMK9:TML9"/>
    <mergeCell ref="TMM9:TMN9"/>
    <mergeCell ref="TMO9:TMP9"/>
    <mergeCell ref="TMQ9:TMV9"/>
    <mergeCell ref="TMW9:TMZ9"/>
    <mergeCell ref="TNA9:TNB9"/>
    <mergeCell ref="TNC9:TND9"/>
    <mergeCell ref="TNE9:TNF9"/>
    <mergeCell ref="TNG9:TNL9"/>
    <mergeCell ref="TLG9:TLH9"/>
    <mergeCell ref="TLI9:TLJ9"/>
    <mergeCell ref="TLK9:TLP9"/>
    <mergeCell ref="TLQ9:TLT9"/>
    <mergeCell ref="TLU9:TLV9"/>
    <mergeCell ref="TLW9:TLX9"/>
    <mergeCell ref="TLY9:TLZ9"/>
    <mergeCell ref="TMA9:TMF9"/>
    <mergeCell ref="TMG9:TMJ9"/>
    <mergeCell ref="TKC9:TKD9"/>
    <mergeCell ref="TKE9:TKJ9"/>
    <mergeCell ref="TKK9:TKN9"/>
    <mergeCell ref="TKO9:TKP9"/>
    <mergeCell ref="TKQ9:TKR9"/>
    <mergeCell ref="TKS9:TKT9"/>
    <mergeCell ref="TKU9:TKZ9"/>
    <mergeCell ref="TLA9:TLD9"/>
    <mergeCell ref="TLE9:TLF9"/>
    <mergeCell ref="TIY9:TJD9"/>
    <mergeCell ref="TJE9:TJH9"/>
    <mergeCell ref="TJI9:TJJ9"/>
    <mergeCell ref="TJK9:TJL9"/>
    <mergeCell ref="TJM9:TJN9"/>
    <mergeCell ref="TJO9:TJT9"/>
    <mergeCell ref="TJU9:TJX9"/>
    <mergeCell ref="TJY9:TJZ9"/>
    <mergeCell ref="TKA9:TKB9"/>
    <mergeCell ref="THY9:TIB9"/>
    <mergeCell ref="TIC9:TID9"/>
    <mergeCell ref="TIE9:TIF9"/>
    <mergeCell ref="TIG9:TIH9"/>
    <mergeCell ref="TII9:TIN9"/>
    <mergeCell ref="TIO9:TIR9"/>
    <mergeCell ref="TIS9:TIT9"/>
    <mergeCell ref="TIU9:TIV9"/>
    <mergeCell ref="TIW9:TIX9"/>
    <mergeCell ref="TGW9:TGX9"/>
    <mergeCell ref="TGY9:TGZ9"/>
    <mergeCell ref="THA9:THB9"/>
    <mergeCell ref="THC9:THH9"/>
    <mergeCell ref="THI9:THL9"/>
    <mergeCell ref="THM9:THN9"/>
    <mergeCell ref="THO9:THP9"/>
    <mergeCell ref="THQ9:THR9"/>
    <mergeCell ref="THS9:THX9"/>
    <mergeCell ref="TFS9:TFT9"/>
    <mergeCell ref="TFU9:TFV9"/>
    <mergeCell ref="TFW9:TGB9"/>
    <mergeCell ref="TGC9:TGF9"/>
    <mergeCell ref="TGG9:TGH9"/>
    <mergeCell ref="TGI9:TGJ9"/>
    <mergeCell ref="TGK9:TGL9"/>
    <mergeCell ref="TGM9:TGR9"/>
    <mergeCell ref="TGS9:TGV9"/>
    <mergeCell ref="TEO9:TEP9"/>
    <mergeCell ref="TEQ9:TEV9"/>
    <mergeCell ref="TEW9:TEZ9"/>
    <mergeCell ref="TFA9:TFB9"/>
    <mergeCell ref="TFC9:TFD9"/>
    <mergeCell ref="TFE9:TFF9"/>
    <mergeCell ref="TFG9:TFL9"/>
    <mergeCell ref="TFM9:TFP9"/>
    <mergeCell ref="TFQ9:TFR9"/>
    <mergeCell ref="TDK9:TDP9"/>
    <mergeCell ref="TDQ9:TDT9"/>
    <mergeCell ref="TDU9:TDV9"/>
    <mergeCell ref="TDW9:TDX9"/>
    <mergeCell ref="TDY9:TDZ9"/>
    <mergeCell ref="TEA9:TEF9"/>
    <mergeCell ref="TEG9:TEJ9"/>
    <mergeCell ref="TEK9:TEL9"/>
    <mergeCell ref="TEM9:TEN9"/>
    <mergeCell ref="TCK9:TCN9"/>
    <mergeCell ref="TCO9:TCP9"/>
    <mergeCell ref="TCQ9:TCR9"/>
    <mergeCell ref="TCS9:TCT9"/>
    <mergeCell ref="TCU9:TCZ9"/>
    <mergeCell ref="TDA9:TDD9"/>
    <mergeCell ref="TDE9:TDF9"/>
    <mergeCell ref="TDG9:TDH9"/>
    <mergeCell ref="TDI9:TDJ9"/>
    <mergeCell ref="TBI9:TBJ9"/>
    <mergeCell ref="TBK9:TBL9"/>
    <mergeCell ref="TBM9:TBN9"/>
    <mergeCell ref="TBO9:TBT9"/>
    <mergeCell ref="TBU9:TBX9"/>
    <mergeCell ref="TBY9:TBZ9"/>
    <mergeCell ref="TCA9:TCB9"/>
    <mergeCell ref="TCC9:TCD9"/>
    <mergeCell ref="TCE9:TCJ9"/>
    <mergeCell ref="TAE9:TAF9"/>
    <mergeCell ref="TAG9:TAH9"/>
    <mergeCell ref="TAI9:TAN9"/>
    <mergeCell ref="TAO9:TAR9"/>
    <mergeCell ref="TAS9:TAT9"/>
    <mergeCell ref="TAU9:TAV9"/>
    <mergeCell ref="TAW9:TAX9"/>
    <mergeCell ref="TAY9:TBD9"/>
    <mergeCell ref="TBE9:TBH9"/>
    <mergeCell ref="SZA9:SZB9"/>
    <mergeCell ref="SZC9:SZH9"/>
    <mergeCell ref="SZI9:SZL9"/>
    <mergeCell ref="SZM9:SZN9"/>
    <mergeCell ref="SZO9:SZP9"/>
    <mergeCell ref="SZQ9:SZR9"/>
    <mergeCell ref="SZS9:SZX9"/>
    <mergeCell ref="SZY9:TAB9"/>
    <mergeCell ref="TAC9:TAD9"/>
    <mergeCell ref="SXW9:SYB9"/>
    <mergeCell ref="SYC9:SYF9"/>
    <mergeCell ref="SYG9:SYH9"/>
    <mergeCell ref="SYI9:SYJ9"/>
    <mergeCell ref="SYK9:SYL9"/>
    <mergeCell ref="SYM9:SYR9"/>
    <mergeCell ref="SYS9:SYV9"/>
    <mergeCell ref="SYW9:SYX9"/>
    <mergeCell ref="SYY9:SYZ9"/>
    <mergeCell ref="SWW9:SWZ9"/>
    <mergeCell ref="SXA9:SXB9"/>
    <mergeCell ref="SXC9:SXD9"/>
    <mergeCell ref="SXE9:SXF9"/>
    <mergeCell ref="SXG9:SXL9"/>
    <mergeCell ref="SXM9:SXP9"/>
    <mergeCell ref="SXQ9:SXR9"/>
    <mergeCell ref="SXS9:SXT9"/>
    <mergeCell ref="SXU9:SXV9"/>
    <mergeCell ref="SVU9:SVV9"/>
    <mergeCell ref="SVW9:SVX9"/>
    <mergeCell ref="SVY9:SVZ9"/>
    <mergeCell ref="SWA9:SWF9"/>
    <mergeCell ref="SWG9:SWJ9"/>
    <mergeCell ref="SWK9:SWL9"/>
    <mergeCell ref="SWM9:SWN9"/>
    <mergeCell ref="SWO9:SWP9"/>
    <mergeCell ref="SWQ9:SWV9"/>
    <mergeCell ref="SUQ9:SUR9"/>
    <mergeCell ref="SUS9:SUT9"/>
    <mergeCell ref="SUU9:SUZ9"/>
    <mergeCell ref="SVA9:SVD9"/>
    <mergeCell ref="SVE9:SVF9"/>
    <mergeCell ref="SVG9:SVH9"/>
    <mergeCell ref="SVI9:SVJ9"/>
    <mergeCell ref="SVK9:SVP9"/>
    <mergeCell ref="SVQ9:SVT9"/>
    <mergeCell ref="STM9:STN9"/>
    <mergeCell ref="STO9:STT9"/>
    <mergeCell ref="STU9:STX9"/>
    <mergeCell ref="STY9:STZ9"/>
    <mergeCell ref="SUA9:SUB9"/>
    <mergeCell ref="SUC9:SUD9"/>
    <mergeCell ref="SUE9:SUJ9"/>
    <mergeCell ref="SUK9:SUN9"/>
    <mergeCell ref="SUO9:SUP9"/>
    <mergeCell ref="SSI9:SSN9"/>
    <mergeCell ref="SSO9:SSR9"/>
    <mergeCell ref="SSS9:SST9"/>
    <mergeCell ref="SSU9:SSV9"/>
    <mergeCell ref="SSW9:SSX9"/>
    <mergeCell ref="SSY9:STD9"/>
    <mergeCell ref="STE9:STH9"/>
    <mergeCell ref="STI9:STJ9"/>
    <mergeCell ref="STK9:STL9"/>
    <mergeCell ref="SRI9:SRL9"/>
    <mergeCell ref="SRM9:SRN9"/>
    <mergeCell ref="SRO9:SRP9"/>
    <mergeCell ref="SRQ9:SRR9"/>
    <mergeCell ref="SRS9:SRX9"/>
    <mergeCell ref="SRY9:SSB9"/>
    <mergeCell ref="SSC9:SSD9"/>
    <mergeCell ref="SSE9:SSF9"/>
    <mergeCell ref="SSG9:SSH9"/>
    <mergeCell ref="SQG9:SQH9"/>
    <mergeCell ref="SQI9:SQJ9"/>
    <mergeCell ref="SQK9:SQL9"/>
    <mergeCell ref="SQM9:SQR9"/>
    <mergeCell ref="SQS9:SQV9"/>
    <mergeCell ref="SQW9:SQX9"/>
    <mergeCell ref="SQY9:SQZ9"/>
    <mergeCell ref="SRA9:SRB9"/>
    <mergeCell ref="SRC9:SRH9"/>
    <mergeCell ref="SPC9:SPD9"/>
    <mergeCell ref="SPE9:SPF9"/>
    <mergeCell ref="SPG9:SPL9"/>
    <mergeCell ref="SPM9:SPP9"/>
    <mergeCell ref="SPQ9:SPR9"/>
    <mergeCell ref="SPS9:SPT9"/>
    <mergeCell ref="SPU9:SPV9"/>
    <mergeCell ref="SPW9:SQB9"/>
    <mergeCell ref="SQC9:SQF9"/>
    <mergeCell ref="SNY9:SNZ9"/>
    <mergeCell ref="SOA9:SOF9"/>
    <mergeCell ref="SOG9:SOJ9"/>
    <mergeCell ref="SOK9:SOL9"/>
    <mergeCell ref="SOM9:SON9"/>
    <mergeCell ref="SOO9:SOP9"/>
    <mergeCell ref="SOQ9:SOV9"/>
    <mergeCell ref="SOW9:SOZ9"/>
    <mergeCell ref="SPA9:SPB9"/>
    <mergeCell ref="SMU9:SMZ9"/>
    <mergeCell ref="SNA9:SND9"/>
    <mergeCell ref="SNE9:SNF9"/>
    <mergeCell ref="SNG9:SNH9"/>
    <mergeCell ref="SNI9:SNJ9"/>
    <mergeCell ref="SNK9:SNP9"/>
    <mergeCell ref="SNQ9:SNT9"/>
    <mergeCell ref="SNU9:SNV9"/>
    <mergeCell ref="SNW9:SNX9"/>
    <mergeCell ref="SLU9:SLX9"/>
    <mergeCell ref="SLY9:SLZ9"/>
    <mergeCell ref="SMA9:SMB9"/>
    <mergeCell ref="SMC9:SMD9"/>
    <mergeCell ref="SME9:SMJ9"/>
    <mergeCell ref="SMK9:SMN9"/>
    <mergeCell ref="SMO9:SMP9"/>
    <mergeCell ref="SMQ9:SMR9"/>
    <mergeCell ref="SMS9:SMT9"/>
    <mergeCell ref="SKS9:SKT9"/>
    <mergeCell ref="SKU9:SKV9"/>
    <mergeCell ref="SKW9:SKX9"/>
    <mergeCell ref="SKY9:SLD9"/>
    <mergeCell ref="SLE9:SLH9"/>
    <mergeCell ref="SLI9:SLJ9"/>
    <mergeCell ref="SLK9:SLL9"/>
    <mergeCell ref="SLM9:SLN9"/>
    <mergeCell ref="SLO9:SLT9"/>
    <mergeCell ref="SJO9:SJP9"/>
    <mergeCell ref="SJQ9:SJR9"/>
    <mergeCell ref="SJS9:SJX9"/>
    <mergeCell ref="SJY9:SKB9"/>
    <mergeCell ref="SKC9:SKD9"/>
    <mergeCell ref="SKE9:SKF9"/>
    <mergeCell ref="SKG9:SKH9"/>
    <mergeCell ref="SKI9:SKN9"/>
    <mergeCell ref="SKO9:SKR9"/>
    <mergeCell ref="SIK9:SIL9"/>
    <mergeCell ref="SIM9:SIR9"/>
    <mergeCell ref="SIS9:SIV9"/>
    <mergeCell ref="SIW9:SIX9"/>
    <mergeCell ref="SIY9:SIZ9"/>
    <mergeCell ref="SJA9:SJB9"/>
    <mergeCell ref="SJC9:SJH9"/>
    <mergeCell ref="SJI9:SJL9"/>
    <mergeCell ref="SJM9:SJN9"/>
    <mergeCell ref="SHG9:SHL9"/>
    <mergeCell ref="SHM9:SHP9"/>
    <mergeCell ref="SHQ9:SHR9"/>
    <mergeCell ref="SHS9:SHT9"/>
    <mergeCell ref="SHU9:SHV9"/>
    <mergeCell ref="SHW9:SIB9"/>
    <mergeCell ref="SIC9:SIF9"/>
    <mergeCell ref="SIG9:SIH9"/>
    <mergeCell ref="SII9:SIJ9"/>
    <mergeCell ref="SGG9:SGJ9"/>
    <mergeCell ref="SGK9:SGL9"/>
    <mergeCell ref="SGM9:SGN9"/>
    <mergeCell ref="SGO9:SGP9"/>
    <mergeCell ref="SGQ9:SGV9"/>
    <mergeCell ref="SGW9:SGZ9"/>
    <mergeCell ref="SHA9:SHB9"/>
    <mergeCell ref="SHC9:SHD9"/>
    <mergeCell ref="SHE9:SHF9"/>
    <mergeCell ref="SFE9:SFF9"/>
    <mergeCell ref="SFG9:SFH9"/>
    <mergeCell ref="SFI9:SFJ9"/>
    <mergeCell ref="SFK9:SFP9"/>
    <mergeCell ref="SFQ9:SFT9"/>
    <mergeCell ref="SFU9:SFV9"/>
    <mergeCell ref="SFW9:SFX9"/>
    <mergeCell ref="SFY9:SFZ9"/>
    <mergeCell ref="SGA9:SGF9"/>
    <mergeCell ref="SEA9:SEB9"/>
    <mergeCell ref="SEC9:SED9"/>
    <mergeCell ref="SEE9:SEJ9"/>
    <mergeCell ref="SEK9:SEN9"/>
    <mergeCell ref="SEO9:SEP9"/>
    <mergeCell ref="SEQ9:SER9"/>
    <mergeCell ref="SES9:SET9"/>
    <mergeCell ref="SEU9:SEZ9"/>
    <mergeCell ref="SFA9:SFD9"/>
    <mergeCell ref="SCW9:SCX9"/>
    <mergeCell ref="SCY9:SDD9"/>
    <mergeCell ref="SDE9:SDH9"/>
    <mergeCell ref="SDI9:SDJ9"/>
    <mergeCell ref="SDK9:SDL9"/>
    <mergeCell ref="SDM9:SDN9"/>
    <mergeCell ref="SDO9:SDT9"/>
    <mergeCell ref="SDU9:SDX9"/>
    <mergeCell ref="SDY9:SDZ9"/>
    <mergeCell ref="SBS9:SBX9"/>
    <mergeCell ref="SBY9:SCB9"/>
    <mergeCell ref="SCC9:SCD9"/>
    <mergeCell ref="SCE9:SCF9"/>
    <mergeCell ref="SCG9:SCH9"/>
    <mergeCell ref="SCI9:SCN9"/>
    <mergeCell ref="SCO9:SCR9"/>
    <mergeCell ref="SCS9:SCT9"/>
    <mergeCell ref="SCU9:SCV9"/>
    <mergeCell ref="SAS9:SAV9"/>
    <mergeCell ref="SAW9:SAX9"/>
    <mergeCell ref="SAY9:SAZ9"/>
    <mergeCell ref="SBA9:SBB9"/>
    <mergeCell ref="SBC9:SBH9"/>
    <mergeCell ref="SBI9:SBL9"/>
    <mergeCell ref="SBM9:SBN9"/>
    <mergeCell ref="SBO9:SBP9"/>
    <mergeCell ref="SBQ9:SBR9"/>
    <mergeCell ref="RZQ9:RZR9"/>
    <mergeCell ref="RZS9:RZT9"/>
    <mergeCell ref="RZU9:RZV9"/>
    <mergeCell ref="RZW9:SAB9"/>
    <mergeCell ref="SAC9:SAF9"/>
    <mergeCell ref="SAG9:SAH9"/>
    <mergeCell ref="SAI9:SAJ9"/>
    <mergeCell ref="SAK9:SAL9"/>
    <mergeCell ref="SAM9:SAR9"/>
    <mergeCell ref="RYM9:RYN9"/>
    <mergeCell ref="RYO9:RYP9"/>
    <mergeCell ref="RYQ9:RYV9"/>
    <mergeCell ref="RYW9:RYZ9"/>
    <mergeCell ref="RZA9:RZB9"/>
    <mergeCell ref="RZC9:RZD9"/>
    <mergeCell ref="RZE9:RZF9"/>
    <mergeCell ref="RZG9:RZL9"/>
    <mergeCell ref="RZM9:RZP9"/>
    <mergeCell ref="RXI9:RXJ9"/>
    <mergeCell ref="RXK9:RXP9"/>
    <mergeCell ref="RXQ9:RXT9"/>
    <mergeCell ref="RXU9:RXV9"/>
    <mergeCell ref="RXW9:RXX9"/>
    <mergeCell ref="RXY9:RXZ9"/>
    <mergeCell ref="RYA9:RYF9"/>
    <mergeCell ref="RYG9:RYJ9"/>
    <mergeCell ref="RYK9:RYL9"/>
    <mergeCell ref="RWE9:RWJ9"/>
    <mergeCell ref="RWK9:RWN9"/>
    <mergeCell ref="RWO9:RWP9"/>
    <mergeCell ref="RWQ9:RWR9"/>
    <mergeCell ref="RWS9:RWT9"/>
    <mergeCell ref="RWU9:RWZ9"/>
    <mergeCell ref="RXA9:RXD9"/>
    <mergeCell ref="RXE9:RXF9"/>
    <mergeCell ref="RXG9:RXH9"/>
    <mergeCell ref="RVE9:RVH9"/>
    <mergeCell ref="RVI9:RVJ9"/>
    <mergeCell ref="RVK9:RVL9"/>
    <mergeCell ref="RVM9:RVN9"/>
    <mergeCell ref="RVO9:RVT9"/>
    <mergeCell ref="RVU9:RVX9"/>
    <mergeCell ref="RVY9:RVZ9"/>
    <mergeCell ref="RWA9:RWB9"/>
    <mergeCell ref="RWC9:RWD9"/>
    <mergeCell ref="RUC9:RUD9"/>
    <mergeCell ref="RUE9:RUF9"/>
    <mergeCell ref="RUG9:RUH9"/>
    <mergeCell ref="RUI9:RUN9"/>
    <mergeCell ref="RUO9:RUR9"/>
    <mergeCell ref="RUS9:RUT9"/>
    <mergeCell ref="RUU9:RUV9"/>
    <mergeCell ref="RUW9:RUX9"/>
    <mergeCell ref="RUY9:RVD9"/>
    <mergeCell ref="RSY9:RSZ9"/>
    <mergeCell ref="RTA9:RTB9"/>
    <mergeCell ref="RTC9:RTH9"/>
    <mergeCell ref="RTI9:RTL9"/>
    <mergeCell ref="RTM9:RTN9"/>
    <mergeCell ref="RTO9:RTP9"/>
    <mergeCell ref="RTQ9:RTR9"/>
    <mergeCell ref="RTS9:RTX9"/>
    <mergeCell ref="RTY9:RUB9"/>
    <mergeCell ref="RRU9:RRV9"/>
    <mergeCell ref="RRW9:RSB9"/>
    <mergeCell ref="RSC9:RSF9"/>
    <mergeCell ref="RSG9:RSH9"/>
    <mergeCell ref="RSI9:RSJ9"/>
    <mergeCell ref="RSK9:RSL9"/>
    <mergeCell ref="RSM9:RSR9"/>
    <mergeCell ref="RSS9:RSV9"/>
    <mergeCell ref="RSW9:RSX9"/>
    <mergeCell ref="RQQ9:RQV9"/>
    <mergeCell ref="RQW9:RQZ9"/>
    <mergeCell ref="RRA9:RRB9"/>
    <mergeCell ref="RRC9:RRD9"/>
    <mergeCell ref="RRE9:RRF9"/>
    <mergeCell ref="RRG9:RRL9"/>
    <mergeCell ref="RRM9:RRP9"/>
    <mergeCell ref="RRQ9:RRR9"/>
    <mergeCell ref="RRS9:RRT9"/>
    <mergeCell ref="RPQ9:RPT9"/>
    <mergeCell ref="RPU9:RPV9"/>
    <mergeCell ref="RPW9:RPX9"/>
    <mergeCell ref="RPY9:RPZ9"/>
    <mergeCell ref="RQA9:RQF9"/>
    <mergeCell ref="RQG9:RQJ9"/>
    <mergeCell ref="RQK9:RQL9"/>
    <mergeCell ref="RQM9:RQN9"/>
    <mergeCell ref="RQO9:RQP9"/>
    <mergeCell ref="ROO9:ROP9"/>
    <mergeCell ref="ROQ9:ROR9"/>
    <mergeCell ref="ROS9:ROT9"/>
    <mergeCell ref="ROU9:ROZ9"/>
    <mergeCell ref="RPA9:RPD9"/>
    <mergeCell ref="RPE9:RPF9"/>
    <mergeCell ref="RPG9:RPH9"/>
    <mergeCell ref="RPI9:RPJ9"/>
    <mergeCell ref="RPK9:RPP9"/>
    <mergeCell ref="RNK9:RNL9"/>
    <mergeCell ref="RNM9:RNN9"/>
    <mergeCell ref="RNO9:RNT9"/>
    <mergeCell ref="RNU9:RNX9"/>
    <mergeCell ref="RNY9:RNZ9"/>
    <mergeCell ref="ROA9:ROB9"/>
    <mergeCell ref="ROC9:ROD9"/>
    <mergeCell ref="ROE9:ROJ9"/>
    <mergeCell ref="ROK9:RON9"/>
    <mergeCell ref="RMG9:RMH9"/>
    <mergeCell ref="RMI9:RMN9"/>
    <mergeCell ref="RMO9:RMR9"/>
    <mergeCell ref="RMS9:RMT9"/>
    <mergeCell ref="RMU9:RMV9"/>
    <mergeCell ref="RMW9:RMX9"/>
    <mergeCell ref="RMY9:RND9"/>
    <mergeCell ref="RNE9:RNH9"/>
    <mergeCell ref="RNI9:RNJ9"/>
    <mergeCell ref="RLC9:RLH9"/>
    <mergeCell ref="RLI9:RLL9"/>
    <mergeCell ref="RLM9:RLN9"/>
    <mergeCell ref="RLO9:RLP9"/>
    <mergeCell ref="RLQ9:RLR9"/>
    <mergeCell ref="RLS9:RLX9"/>
    <mergeCell ref="RLY9:RMB9"/>
    <mergeCell ref="RMC9:RMD9"/>
    <mergeCell ref="RME9:RMF9"/>
    <mergeCell ref="RKC9:RKF9"/>
    <mergeCell ref="RKG9:RKH9"/>
    <mergeCell ref="RKI9:RKJ9"/>
    <mergeCell ref="RKK9:RKL9"/>
    <mergeCell ref="RKM9:RKR9"/>
    <mergeCell ref="RKS9:RKV9"/>
    <mergeCell ref="RKW9:RKX9"/>
    <mergeCell ref="RKY9:RKZ9"/>
    <mergeCell ref="RLA9:RLB9"/>
    <mergeCell ref="RJA9:RJB9"/>
    <mergeCell ref="RJC9:RJD9"/>
    <mergeCell ref="RJE9:RJF9"/>
    <mergeCell ref="RJG9:RJL9"/>
    <mergeCell ref="RJM9:RJP9"/>
    <mergeCell ref="RJQ9:RJR9"/>
    <mergeCell ref="RJS9:RJT9"/>
    <mergeCell ref="RJU9:RJV9"/>
    <mergeCell ref="RJW9:RKB9"/>
    <mergeCell ref="RHW9:RHX9"/>
    <mergeCell ref="RHY9:RHZ9"/>
    <mergeCell ref="RIA9:RIF9"/>
    <mergeCell ref="RIG9:RIJ9"/>
    <mergeCell ref="RIK9:RIL9"/>
    <mergeCell ref="RIM9:RIN9"/>
    <mergeCell ref="RIO9:RIP9"/>
    <mergeCell ref="RIQ9:RIV9"/>
    <mergeCell ref="RIW9:RIZ9"/>
    <mergeCell ref="RGS9:RGT9"/>
    <mergeCell ref="RGU9:RGZ9"/>
    <mergeCell ref="RHA9:RHD9"/>
    <mergeCell ref="RHE9:RHF9"/>
    <mergeCell ref="RHG9:RHH9"/>
    <mergeCell ref="RHI9:RHJ9"/>
    <mergeCell ref="RHK9:RHP9"/>
    <mergeCell ref="RHQ9:RHT9"/>
    <mergeCell ref="RHU9:RHV9"/>
    <mergeCell ref="RFO9:RFT9"/>
    <mergeCell ref="RFU9:RFX9"/>
    <mergeCell ref="RFY9:RFZ9"/>
    <mergeCell ref="RGA9:RGB9"/>
    <mergeCell ref="RGC9:RGD9"/>
    <mergeCell ref="RGE9:RGJ9"/>
    <mergeCell ref="RGK9:RGN9"/>
    <mergeCell ref="RGO9:RGP9"/>
    <mergeCell ref="RGQ9:RGR9"/>
    <mergeCell ref="REO9:RER9"/>
    <mergeCell ref="RES9:RET9"/>
    <mergeCell ref="REU9:REV9"/>
    <mergeCell ref="REW9:REX9"/>
    <mergeCell ref="REY9:RFD9"/>
    <mergeCell ref="RFE9:RFH9"/>
    <mergeCell ref="RFI9:RFJ9"/>
    <mergeCell ref="RFK9:RFL9"/>
    <mergeCell ref="RFM9:RFN9"/>
    <mergeCell ref="RDM9:RDN9"/>
    <mergeCell ref="RDO9:RDP9"/>
    <mergeCell ref="RDQ9:RDR9"/>
    <mergeCell ref="RDS9:RDX9"/>
    <mergeCell ref="RDY9:REB9"/>
    <mergeCell ref="REC9:RED9"/>
    <mergeCell ref="REE9:REF9"/>
    <mergeCell ref="REG9:REH9"/>
    <mergeCell ref="REI9:REN9"/>
    <mergeCell ref="RCI9:RCJ9"/>
    <mergeCell ref="RCK9:RCL9"/>
    <mergeCell ref="RCM9:RCR9"/>
    <mergeCell ref="RCS9:RCV9"/>
    <mergeCell ref="RCW9:RCX9"/>
    <mergeCell ref="RCY9:RCZ9"/>
    <mergeCell ref="RDA9:RDB9"/>
    <mergeCell ref="RDC9:RDH9"/>
    <mergeCell ref="RDI9:RDL9"/>
    <mergeCell ref="RBE9:RBF9"/>
    <mergeCell ref="RBG9:RBL9"/>
    <mergeCell ref="RBM9:RBP9"/>
    <mergeCell ref="RBQ9:RBR9"/>
    <mergeCell ref="RBS9:RBT9"/>
    <mergeCell ref="RBU9:RBV9"/>
    <mergeCell ref="RBW9:RCB9"/>
    <mergeCell ref="RCC9:RCF9"/>
    <mergeCell ref="RCG9:RCH9"/>
    <mergeCell ref="RAA9:RAF9"/>
    <mergeCell ref="RAG9:RAJ9"/>
    <mergeCell ref="RAK9:RAL9"/>
    <mergeCell ref="RAM9:RAN9"/>
    <mergeCell ref="RAO9:RAP9"/>
    <mergeCell ref="RAQ9:RAV9"/>
    <mergeCell ref="RAW9:RAZ9"/>
    <mergeCell ref="RBA9:RBB9"/>
    <mergeCell ref="RBC9:RBD9"/>
    <mergeCell ref="QZA9:QZD9"/>
    <mergeCell ref="QZE9:QZF9"/>
    <mergeCell ref="QZG9:QZH9"/>
    <mergeCell ref="QZI9:QZJ9"/>
    <mergeCell ref="QZK9:QZP9"/>
    <mergeCell ref="QZQ9:QZT9"/>
    <mergeCell ref="QZU9:QZV9"/>
    <mergeCell ref="QZW9:QZX9"/>
    <mergeCell ref="QZY9:QZZ9"/>
    <mergeCell ref="QXY9:QXZ9"/>
    <mergeCell ref="QYA9:QYB9"/>
    <mergeCell ref="QYC9:QYD9"/>
    <mergeCell ref="QYE9:QYJ9"/>
    <mergeCell ref="QYK9:QYN9"/>
    <mergeCell ref="QYO9:QYP9"/>
    <mergeCell ref="QYQ9:QYR9"/>
    <mergeCell ref="QYS9:QYT9"/>
    <mergeCell ref="QYU9:QYZ9"/>
    <mergeCell ref="QWU9:QWV9"/>
    <mergeCell ref="QWW9:QWX9"/>
    <mergeCell ref="QWY9:QXD9"/>
    <mergeCell ref="QXE9:QXH9"/>
    <mergeCell ref="QXI9:QXJ9"/>
    <mergeCell ref="QXK9:QXL9"/>
    <mergeCell ref="QXM9:QXN9"/>
    <mergeCell ref="QXO9:QXT9"/>
    <mergeCell ref="QXU9:QXX9"/>
    <mergeCell ref="QVQ9:QVR9"/>
    <mergeCell ref="QVS9:QVX9"/>
    <mergeCell ref="QVY9:QWB9"/>
    <mergeCell ref="QWC9:QWD9"/>
    <mergeCell ref="QWE9:QWF9"/>
    <mergeCell ref="QWG9:QWH9"/>
    <mergeCell ref="QWI9:QWN9"/>
    <mergeCell ref="QWO9:QWR9"/>
    <mergeCell ref="QWS9:QWT9"/>
    <mergeCell ref="QUM9:QUR9"/>
    <mergeCell ref="QUS9:QUV9"/>
    <mergeCell ref="QUW9:QUX9"/>
    <mergeCell ref="QUY9:QUZ9"/>
    <mergeCell ref="QVA9:QVB9"/>
    <mergeCell ref="QVC9:QVH9"/>
    <mergeCell ref="QVI9:QVL9"/>
    <mergeCell ref="QVM9:QVN9"/>
    <mergeCell ref="QVO9:QVP9"/>
    <mergeCell ref="QTM9:QTP9"/>
    <mergeCell ref="QTQ9:QTR9"/>
    <mergeCell ref="QTS9:QTT9"/>
    <mergeCell ref="QTU9:QTV9"/>
    <mergeCell ref="QTW9:QUB9"/>
    <mergeCell ref="QUC9:QUF9"/>
    <mergeCell ref="QUG9:QUH9"/>
    <mergeCell ref="QUI9:QUJ9"/>
    <mergeCell ref="QUK9:QUL9"/>
    <mergeCell ref="QSK9:QSL9"/>
    <mergeCell ref="QSM9:QSN9"/>
    <mergeCell ref="QSO9:QSP9"/>
    <mergeCell ref="QSQ9:QSV9"/>
    <mergeCell ref="QSW9:QSZ9"/>
    <mergeCell ref="QTA9:QTB9"/>
    <mergeCell ref="QTC9:QTD9"/>
    <mergeCell ref="QTE9:QTF9"/>
    <mergeCell ref="QTG9:QTL9"/>
    <mergeCell ref="QRG9:QRH9"/>
    <mergeCell ref="QRI9:QRJ9"/>
    <mergeCell ref="QRK9:QRP9"/>
    <mergeCell ref="QRQ9:QRT9"/>
    <mergeCell ref="QRU9:QRV9"/>
    <mergeCell ref="QRW9:QRX9"/>
    <mergeCell ref="QRY9:QRZ9"/>
    <mergeCell ref="QSA9:QSF9"/>
    <mergeCell ref="QSG9:QSJ9"/>
    <mergeCell ref="QQC9:QQD9"/>
    <mergeCell ref="QQE9:QQJ9"/>
    <mergeCell ref="QQK9:QQN9"/>
    <mergeCell ref="QQO9:QQP9"/>
    <mergeCell ref="QQQ9:QQR9"/>
    <mergeCell ref="QQS9:QQT9"/>
    <mergeCell ref="QQU9:QQZ9"/>
    <mergeCell ref="QRA9:QRD9"/>
    <mergeCell ref="QRE9:QRF9"/>
    <mergeCell ref="QOY9:QPD9"/>
    <mergeCell ref="QPE9:QPH9"/>
    <mergeCell ref="QPI9:QPJ9"/>
    <mergeCell ref="QPK9:QPL9"/>
    <mergeCell ref="QPM9:QPN9"/>
    <mergeCell ref="QPO9:QPT9"/>
    <mergeCell ref="QPU9:QPX9"/>
    <mergeCell ref="QPY9:QPZ9"/>
    <mergeCell ref="QQA9:QQB9"/>
    <mergeCell ref="QNY9:QOB9"/>
    <mergeCell ref="QOC9:QOD9"/>
    <mergeCell ref="QOE9:QOF9"/>
    <mergeCell ref="QOG9:QOH9"/>
    <mergeCell ref="QOI9:QON9"/>
    <mergeCell ref="QOO9:QOR9"/>
    <mergeCell ref="QOS9:QOT9"/>
    <mergeCell ref="QOU9:QOV9"/>
    <mergeCell ref="QOW9:QOX9"/>
    <mergeCell ref="QMW9:QMX9"/>
    <mergeCell ref="QMY9:QMZ9"/>
    <mergeCell ref="QNA9:QNB9"/>
    <mergeCell ref="QNC9:QNH9"/>
    <mergeCell ref="QNI9:QNL9"/>
    <mergeCell ref="QNM9:QNN9"/>
    <mergeCell ref="QNO9:QNP9"/>
    <mergeCell ref="QNQ9:QNR9"/>
    <mergeCell ref="QNS9:QNX9"/>
    <mergeCell ref="QLS9:QLT9"/>
    <mergeCell ref="QLU9:QLV9"/>
    <mergeCell ref="QLW9:QMB9"/>
    <mergeCell ref="QMC9:QMF9"/>
    <mergeCell ref="QMG9:QMH9"/>
    <mergeCell ref="QMI9:QMJ9"/>
    <mergeCell ref="QMK9:QML9"/>
    <mergeCell ref="QMM9:QMR9"/>
    <mergeCell ref="QMS9:QMV9"/>
    <mergeCell ref="QKO9:QKP9"/>
    <mergeCell ref="QKQ9:QKV9"/>
    <mergeCell ref="QKW9:QKZ9"/>
    <mergeCell ref="QLA9:QLB9"/>
    <mergeCell ref="QLC9:QLD9"/>
    <mergeCell ref="QLE9:QLF9"/>
    <mergeCell ref="QLG9:QLL9"/>
    <mergeCell ref="QLM9:QLP9"/>
    <mergeCell ref="QLQ9:QLR9"/>
    <mergeCell ref="QJK9:QJP9"/>
    <mergeCell ref="QJQ9:QJT9"/>
    <mergeCell ref="QJU9:QJV9"/>
    <mergeCell ref="QJW9:QJX9"/>
    <mergeCell ref="QJY9:QJZ9"/>
    <mergeCell ref="QKA9:QKF9"/>
    <mergeCell ref="QKG9:QKJ9"/>
    <mergeCell ref="QKK9:QKL9"/>
    <mergeCell ref="QKM9:QKN9"/>
    <mergeCell ref="QIK9:QIN9"/>
    <mergeCell ref="QIO9:QIP9"/>
    <mergeCell ref="QIQ9:QIR9"/>
    <mergeCell ref="QIS9:QIT9"/>
    <mergeCell ref="QIU9:QIZ9"/>
    <mergeCell ref="QJA9:QJD9"/>
    <mergeCell ref="QJE9:QJF9"/>
    <mergeCell ref="QJG9:QJH9"/>
    <mergeCell ref="QJI9:QJJ9"/>
    <mergeCell ref="QHI9:QHJ9"/>
    <mergeCell ref="QHK9:QHL9"/>
    <mergeCell ref="QHM9:QHN9"/>
    <mergeCell ref="QHO9:QHT9"/>
    <mergeCell ref="QHU9:QHX9"/>
    <mergeCell ref="QHY9:QHZ9"/>
    <mergeCell ref="QIA9:QIB9"/>
    <mergeCell ref="QIC9:QID9"/>
    <mergeCell ref="QIE9:QIJ9"/>
    <mergeCell ref="QGE9:QGF9"/>
    <mergeCell ref="QGG9:QGH9"/>
    <mergeCell ref="QGI9:QGN9"/>
    <mergeCell ref="QGO9:QGR9"/>
    <mergeCell ref="QGS9:QGT9"/>
    <mergeCell ref="QGU9:QGV9"/>
    <mergeCell ref="QGW9:QGX9"/>
    <mergeCell ref="QGY9:QHD9"/>
    <mergeCell ref="QHE9:QHH9"/>
    <mergeCell ref="QFA9:QFB9"/>
    <mergeCell ref="QFC9:QFH9"/>
    <mergeCell ref="QFI9:QFL9"/>
    <mergeCell ref="QFM9:QFN9"/>
    <mergeCell ref="QFO9:QFP9"/>
    <mergeCell ref="QFQ9:QFR9"/>
    <mergeCell ref="QFS9:QFX9"/>
    <mergeCell ref="QFY9:QGB9"/>
    <mergeCell ref="QGC9:QGD9"/>
    <mergeCell ref="QDW9:QEB9"/>
    <mergeCell ref="QEC9:QEF9"/>
    <mergeCell ref="QEG9:QEH9"/>
    <mergeCell ref="QEI9:QEJ9"/>
    <mergeCell ref="QEK9:QEL9"/>
    <mergeCell ref="QEM9:QER9"/>
    <mergeCell ref="QES9:QEV9"/>
    <mergeCell ref="QEW9:QEX9"/>
    <mergeCell ref="QEY9:QEZ9"/>
    <mergeCell ref="QCW9:QCZ9"/>
    <mergeCell ref="QDA9:QDB9"/>
    <mergeCell ref="QDC9:QDD9"/>
    <mergeCell ref="QDE9:QDF9"/>
    <mergeCell ref="QDG9:QDL9"/>
    <mergeCell ref="QDM9:QDP9"/>
    <mergeCell ref="QDQ9:QDR9"/>
    <mergeCell ref="QDS9:QDT9"/>
    <mergeCell ref="QDU9:QDV9"/>
    <mergeCell ref="QBU9:QBV9"/>
    <mergeCell ref="QBW9:QBX9"/>
    <mergeCell ref="QBY9:QBZ9"/>
    <mergeCell ref="QCA9:QCF9"/>
    <mergeCell ref="QCG9:QCJ9"/>
    <mergeCell ref="QCK9:QCL9"/>
    <mergeCell ref="QCM9:QCN9"/>
    <mergeCell ref="QCO9:QCP9"/>
    <mergeCell ref="QCQ9:QCV9"/>
    <mergeCell ref="QAQ9:QAR9"/>
    <mergeCell ref="QAS9:QAT9"/>
    <mergeCell ref="QAU9:QAZ9"/>
    <mergeCell ref="QBA9:QBD9"/>
    <mergeCell ref="QBE9:QBF9"/>
    <mergeCell ref="QBG9:QBH9"/>
    <mergeCell ref="QBI9:QBJ9"/>
    <mergeCell ref="QBK9:QBP9"/>
    <mergeCell ref="QBQ9:QBT9"/>
    <mergeCell ref="PZM9:PZN9"/>
    <mergeCell ref="PZO9:PZT9"/>
    <mergeCell ref="PZU9:PZX9"/>
    <mergeCell ref="PZY9:PZZ9"/>
    <mergeCell ref="QAA9:QAB9"/>
    <mergeCell ref="QAC9:QAD9"/>
    <mergeCell ref="QAE9:QAJ9"/>
    <mergeCell ref="QAK9:QAN9"/>
    <mergeCell ref="QAO9:QAP9"/>
    <mergeCell ref="PYI9:PYN9"/>
    <mergeCell ref="PYO9:PYR9"/>
    <mergeCell ref="PYS9:PYT9"/>
    <mergeCell ref="PYU9:PYV9"/>
    <mergeCell ref="PYW9:PYX9"/>
    <mergeCell ref="PYY9:PZD9"/>
    <mergeCell ref="PZE9:PZH9"/>
    <mergeCell ref="PZI9:PZJ9"/>
    <mergeCell ref="PZK9:PZL9"/>
    <mergeCell ref="PXI9:PXL9"/>
    <mergeCell ref="PXM9:PXN9"/>
    <mergeCell ref="PXO9:PXP9"/>
    <mergeCell ref="PXQ9:PXR9"/>
    <mergeCell ref="PXS9:PXX9"/>
    <mergeCell ref="PXY9:PYB9"/>
    <mergeCell ref="PYC9:PYD9"/>
    <mergeCell ref="PYE9:PYF9"/>
    <mergeCell ref="PYG9:PYH9"/>
    <mergeCell ref="PWG9:PWH9"/>
    <mergeCell ref="PWI9:PWJ9"/>
    <mergeCell ref="PWK9:PWL9"/>
    <mergeCell ref="PWM9:PWR9"/>
    <mergeCell ref="PWS9:PWV9"/>
    <mergeCell ref="PWW9:PWX9"/>
    <mergeCell ref="PWY9:PWZ9"/>
    <mergeCell ref="PXA9:PXB9"/>
    <mergeCell ref="PXC9:PXH9"/>
    <mergeCell ref="PVC9:PVD9"/>
    <mergeCell ref="PVE9:PVF9"/>
    <mergeCell ref="PVG9:PVL9"/>
    <mergeCell ref="PVM9:PVP9"/>
    <mergeCell ref="PVQ9:PVR9"/>
    <mergeCell ref="PVS9:PVT9"/>
    <mergeCell ref="PVU9:PVV9"/>
    <mergeCell ref="PVW9:PWB9"/>
    <mergeCell ref="PWC9:PWF9"/>
    <mergeCell ref="PTY9:PTZ9"/>
    <mergeCell ref="PUA9:PUF9"/>
    <mergeCell ref="PUG9:PUJ9"/>
    <mergeCell ref="PUK9:PUL9"/>
    <mergeCell ref="PUM9:PUN9"/>
    <mergeCell ref="PUO9:PUP9"/>
    <mergeCell ref="PUQ9:PUV9"/>
    <mergeCell ref="PUW9:PUZ9"/>
    <mergeCell ref="PVA9:PVB9"/>
    <mergeCell ref="PSU9:PSZ9"/>
    <mergeCell ref="PTA9:PTD9"/>
    <mergeCell ref="PTE9:PTF9"/>
    <mergeCell ref="PTG9:PTH9"/>
    <mergeCell ref="PTI9:PTJ9"/>
    <mergeCell ref="PTK9:PTP9"/>
    <mergeCell ref="PTQ9:PTT9"/>
    <mergeCell ref="PTU9:PTV9"/>
    <mergeCell ref="PTW9:PTX9"/>
    <mergeCell ref="PRU9:PRX9"/>
    <mergeCell ref="PRY9:PRZ9"/>
    <mergeCell ref="PSA9:PSB9"/>
    <mergeCell ref="PSC9:PSD9"/>
    <mergeCell ref="PSE9:PSJ9"/>
    <mergeCell ref="PSK9:PSN9"/>
    <mergeCell ref="PSO9:PSP9"/>
    <mergeCell ref="PSQ9:PSR9"/>
    <mergeCell ref="PSS9:PST9"/>
    <mergeCell ref="PQS9:PQT9"/>
    <mergeCell ref="PQU9:PQV9"/>
    <mergeCell ref="PQW9:PQX9"/>
    <mergeCell ref="PQY9:PRD9"/>
    <mergeCell ref="PRE9:PRH9"/>
    <mergeCell ref="PRI9:PRJ9"/>
    <mergeCell ref="PRK9:PRL9"/>
    <mergeCell ref="PRM9:PRN9"/>
    <mergeCell ref="PRO9:PRT9"/>
    <mergeCell ref="PPO9:PPP9"/>
    <mergeCell ref="PPQ9:PPR9"/>
    <mergeCell ref="PPS9:PPX9"/>
    <mergeCell ref="PPY9:PQB9"/>
    <mergeCell ref="PQC9:PQD9"/>
    <mergeCell ref="PQE9:PQF9"/>
    <mergeCell ref="PQG9:PQH9"/>
    <mergeCell ref="PQI9:PQN9"/>
    <mergeCell ref="PQO9:PQR9"/>
    <mergeCell ref="POK9:POL9"/>
    <mergeCell ref="POM9:POR9"/>
    <mergeCell ref="POS9:POV9"/>
    <mergeCell ref="POW9:POX9"/>
    <mergeCell ref="POY9:POZ9"/>
    <mergeCell ref="PPA9:PPB9"/>
    <mergeCell ref="PPC9:PPH9"/>
    <mergeCell ref="PPI9:PPL9"/>
    <mergeCell ref="PPM9:PPN9"/>
    <mergeCell ref="PNG9:PNL9"/>
    <mergeCell ref="PNM9:PNP9"/>
    <mergeCell ref="PNQ9:PNR9"/>
    <mergeCell ref="PNS9:PNT9"/>
    <mergeCell ref="PNU9:PNV9"/>
    <mergeCell ref="PNW9:POB9"/>
    <mergeCell ref="POC9:POF9"/>
    <mergeCell ref="POG9:POH9"/>
    <mergeCell ref="POI9:POJ9"/>
    <mergeCell ref="PMG9:PMJ9"/>
    <mergeCell ref="PMK9:PML9"/>
    <mergeCell ref="PMM9:PMN9"/>
    <mergeCell ref="PMO9:PMP9"/>
    <mergeCell ref="PMQ9:PMV9"/>
    <mergeCell ref="PMW9:PMZ9"/>
    <mergeCell ref="PNA9:PNB9"/>
    <mergeCell ref="PNC9:PND9"/>
    <mergeCell ref="PNE9:PNF9"/>
    <mergeCell ref="PLE9:PLF9"/>
    <mergeCell ref="PLG9:PLH9"/>
    <mergeCell ref="PLI9:PLJ9"/>
    <mergeCell ref="PLK9:PLP9"/>
    <mergeCell ref="PLQ9:PLT9"/>
    <mergeCell ref="PLU9:PLV9"/>
    <mergeCell ref="PLW9:PLX9"/>
    <mergeCell ref="PLY9:PLZ9"/>
    <mergeCell ref="PMA9:PMF9"/>
    <mergeCell ref="PKA9:PKB9"/>
    <mergeCell ref="PKC9:PKD9"/>
    <mergeCell ref="PKE9:PKJ9"/>
    <mergeCell ref="PKK9:PKN9"/>
    <mergeCell ref="PKO9:PKP9"/>
    <mergeCell ref="PKQ9:PKR9"/>
    <mergeCell ref="PKS9:PKT9"/>
    <mergeCell ref="PKU9:PKZ9"/>
    <mergeCell ref="PLA9:PLD9"/>
    <mergeCell ref="PIW9:PIX9"/>
    <mergeCell ref="PIY9:PJD9"/>
    <mergeCell ref="PJE9:PJH9"/>
    <mergeCell ref="PJI9:PJJ9"/>
    <mergeCell ref="PJK9:PJL9"/>
    <mergeCell ref="PJM9:PJN9"/>
    <mergeCell ref="PJO9:PJT9"/>
    <mergeCell ref="PJU9:PJX9"/>
    <mergeCell ref="PJY9:PJZ9"/>
    <mergeCell ref="PHS9:PHX9"/>
    <mergeCell ref="PHY9:PIB9"/>
    <mergeCell ref="PIC9:PID9"/>
    <mergeCell ref="PIE9:PIF9"/>
    <mergeCell ref="PIG9:PIH9"/>
    <mergeCell ref="PII9:PIN9"/>
    <mergeCell ref="PIO9:PIR9"/>
    <mergeCell ref="PIS9:PIT9"/>
    <mergeCell ref="PIU9:PIV9"/>
    <mergeCell ref="PGS9:PGV9"/>
    <mergeCell ref="PGW9:PGX9"/>
    <mergeCell ref="PGY9:PGZ9"/>
    <mergeCell ref="PHA9:PHB9"/>
    <mergeCell ref="PHC9:PHH9"/>
    <mergeCell ref="PHI9:PHL9"/>
    <mergeCell ref="PHM9:PHN9"/>
    <mergeCell ref="PHO9:PHP9"/>
    <mergeCell ref="PHQ9:PHR9"/>
    <mergeCell ref="PFQ9:PFR9"/>
    <mergeCell ref="PFS9:PFT9"/>
    <mergeCell ref="PFU9:PFV9"/>
    <mergeCell ref="PFW9:PGB9"/>
    <mergeCell ref="PGC9:PGF9"/>
    <mergeCell ref="PGG9:PGH9"/>
    <mergeCell ref="PGI9:PGJ9"/>
    <mergeCell ref="PGK9:PGL9"/>
    <mergeCell ref="PGM9:PGR9"/>
    <mergeCell ref="PEM9:PEN9"/>
    <mergeCell ref="PEO9:PEP9"/>
    <mergeCell ref="PEQ9:PEV9"/>
    <mergeCell ref="PEW9:PEZ9"/>
    <mergeCell ref="PFA9:PFB9"/>
    <mergeCell ref="PFC9:PFD9"/>
    <mergeCell ref="PFE9:PFF9"/>
    <mergeCell ref="PFG9:PFL9"/>
    <mergeCell ref="PFM9:PFP9"/>
    <mergeCell ref="PDI9:PDJ9"/>
    <mergeCell ref="PDK9:PDP9"/>
    <mergeCell ref="PDQ9:PDT9"/>
    <mergeCell ref="PDU9:PDV9"/>
    <mergeCell ref="PDW9:PDX9"/>
    <mergeCell ref="PDY9:PDZ9"/>
    <mergeCell ref="PEA9:PEF9"/>
    <mergeCell ref="PEG9:PEJ9"/>
    <mergeCell ref="PEK9:PEL9"/>
    <mergeCell ref="PCE9:PCJ9"/>
    <mergeCell ref="PCK9:PCN9"/>
    <mergeCell ref="PCO9:PCP9"/>
    <mergeCell ref="PCQ9:PCR9"/>
    <mergeCell ref="PCS9:PCT9"/>
    <mergeCell ref="PCU9:PCZ9"/>
    <mergeCell ref="PDA9:PDD9"/>
    <mergeCell ref="PDE9:PDF9"/>
    <mergeCell ref="PDG9:PDH9"/>
    <mergeCell ref="PBE9:PBH9"/>
    <mergeCell ref="PBI9:PBJ9"/>
    <mergeCell ref="PBK9:PBL9"/>
    <mergeCell ref="PBM9:PBN9"/>
    <mergeCell ref="PBO9:PBT9"/>
    <mergeCell ref="PBU9:PBX9"/>
    <mergeCell ref="PBY9:PBZ9"/>
    <mergeCell ref="PCA9:PCB9"/>
    <mergeCell ref="PCC9:PCD9"/>
    <mergeCell ref="PAC9:PAD9"/>
    <mergeCell ref="PAE9:PAF9"/>
    <mergeCell ref="PAG9:PAH9"/>
    <mergeCell ref="PAI9:PAN9"/>
    <mergeCell ref="PAO9:PAR9"/>
    <mergeCell ref="PAS9:PAT9"/>
    <mergeCell ref="PAU9:PAV9"/>
    <mergeCell ref="PAW9:PAX9"/>
    <mergeCell ref="PAY9:PBD9"/>
    <mergeCell ref="OYY9:OYZ9"/>
    <mergeCell ref="OZA9:OZB9"/>
    <mergeCell ref="OZC9:OZH9"/>
    <mergeCell ref="OZI9:OZL9"/>
    <mergeCell ref="OZM9:OZN9"/>
    <mergeCell ref="OZO9:OZP9"/>
    <mergeCell ref="OZQ9:OZR9"/>
    <mergeCell ref="OZS9:OZX9"/>
    <mergeCell ref="OZY9:PAB9"/>
    <mergeCell ref="OXU9:OXV9"/>
    <mergeCell ref="OXW9:OYB9"/>
    <mergeCell ref="OYC9:OYF9"/>
    <mergeCell ref="OYG9:OYH9"/>
    <mergeCell ref="OYI9:OYJ9"/>
    <mergeCell ref="OYK9:OYL9"/>
    <mergeCell ref="OYM9:OYR9"/>
    <mergeCell ref="OYS9:OYV9"/>
    <mergeCell ref="OYW9:OYX9"/>
    <mergeCell ref="OWQ9:OWV9"/>
    <mergeCell ref="OWW9:OWZ9"/>
    <mergeCell ref="OXA9:OXB9"/>
    <mergeCell ref="OXC9:OXD9"/>
    <mergeCell ref="OXE9:OXF9"/>
    <mergeCell ref="OXG9:OXL9"/>
    <mergeCell ref="OXM9:OXP9"/>
    <mergeCell ref="OXQ9:OXR9"/>
    <mergeCell ref="OXS9:OXT9"/>
    <mergeCell ref="OVQ9:OVT9"/>
    <mergeCell ref="OVU9:OVV9"/>
    <mergeCell ref="OVW9:OVX9"/>
    <mergeCell ref="OVY9:OVZ9"/>
    <mergeCell ref="OWA9:OWF9"/>
    <mergeCell ref="OWG9:OWJ9"/>
    <mergeCell ref="OWK9:OWL9"/>
    <mergeCell ref="OWM9:OWN9"/>
    <mergeCell ref="OWO9:OWP9"/>
    <mergeCell ref="OUO9:OUP9"/>
    <mergeCell ref="OUQ9:OUR9"/>
    <mergeCell ref="OUS9:OUT9"/>
    <mergeCell ref="OUU9:OUZ9"/>
    <mergeCell ref="OVA9:OVD9"/>
    <mergeCell ref="OVE9:OVF9"/>
    <mergeCell ref="OVG9:OVH9"/>
    <mergeCell ref="OVI9:OVJ9"/>
    <mergeCell ref="OVK9:OVP9"/>
    <mergeCell ref="OTK9:OTL9"/>
    <mergeCell ref="OTM9:OTN9"/>
    <mergeCell ref="OTO9:OTT9"/>
    <mergeCell ref="OTU9:OTX9"/>
    <mergeCell ref="OTY9:OTZ9"/>
    <mergeCell ref="OUA9:OUB9"/>
    <mergeCell ref="OUC9:OUD9"/>
    <mergeCell ref="OUE9:OUJ9"/>
    <mergeCell ref="OUK9:OUN9"/>
    <mergeCell ref="OSG9:OSH9"/>
    <mergeCell ref="OSI9:OSN9"/>
    <mergeCell ref="OSO9:OSR9"/>
    <mergeCell ref="OSS9:OST9"/>
    <mergeCell ref="OSU9:OSV9"/>
    <mergeCell ref="OSW9:OSX9"/>
    <mergeCell ref="OSY9:OTD9"/>
    <mergeCell ref="OTE9:OTH9"/>
    <mergeCell ref="OTI9:OTJ9"/>
    <mergeCell ref="ORC9:ORH9"/>
    <mergeCell ref="ORI9:ORL9"/>
    <mergeCell ref="ORM9:ORN9"/>
    <mergeCell ref="ORO9:ORP9"/>
    <mergeCell ref="ORQ9:ORR9"/>
    <mergeCell ref="ORS9:ORX9"/>
    <mergeCell ref="ORY9:OSB9"/>
    <mergeCell ref="OSC9:OSD9"/>
    <mergeCell ref="OSE9:OSF9"/>
    <mergeCell ref="OQC9:OQF9"/>
    <mergeCell ref="OQG9:OQH9"/>
    <mergeCell ref="OQI9:OQJ9"/>
    <mergeCell ref="OQK9:OQL9"/>
    <mergeCell ref="OQM9:OQR9"/>
    <mergeCell ref="OQS9:OQV9"/>
    <mergeCell ref="OQW9:OQX9"/>
    <mergeCell ref="OQY9:OQZ9"/>
    <mergeCell ref="ORA9:ORB9"/>
    <mergeCell ref="OPA9:OPB9"/>
    <mergeCell ref="OPC9:OPD9"/>
    <mergeCell ref="OPE9:OPF9"/>
    <mergeCell ref="OPG9:OPL9"/>
    <mergeCell ref="OPM9:OPP9"/>
    <mergeCell ref="OPQ9:OPR9"/>
    <mergeCell ref="OPS9:OPT9"/>
    <mergeCell ref="OPU9:OPV9"/>
    <mergeCell ref="OPW9:OQB9"/>
    <mergeCell ref="ONW9:ONX9"/>
    <mergeCell ref="ONY9:ONZ9"/>
    <mergeCell ref="OOA9:OOF9"/>
    <mergeCell ref="OOG9:OOJ9"/>
    <mergeCell ref="OOK9:OOL9"/>
    <mergeCell ref="OOM9:OON9"/>
    <mergeCell ref="OOO9:OOP9"/>
    <mergeCell ref="OOQ9:OOV9"/>
    <mergeCell ref="OOW9:OOZ9"/>
    <mergeCell ref="OMS9:OMT9"/>
    <mergeCell ref="OMU9:OMZ9"/>
    <mergeCell ref="ONA9:OND9"/>
    <mergeCell ref="ONE9:ONF9"/>
    <mergeCell ref="ONG9:ONH9"/>
    <mergeCell ref="ONI9:ONJ9"/>
    <mergeCell ref="ONK9:ONP9"/>
    <mergeCell ref="ONQ9:ONT9"/>
    <mergeCell ref="ONU9:ONV9"/>
    <mergeCell ref="OLO9:OLT9"/>
    <mergeCell ref="OLU9:OLX9"/>
    <mergeCell ref="OLY9:OLZ9"/>
    <mergeCell ref="OMA9:OMB9"/>
    <mergeCell ref="OMC9:OMD9"/>
    <mergeCell ref="OME9:OMJ9"/>
    <mergeCell ref="OMK9:OMN9"/>
    <mergeCell ref="OMO9:OMP9"/>
    <mergeCell ref="OMQ9:OMR9"/>
    <mergeCell ref="OKO9:OKR9"/>
    <mergeCell ref="OKS9:OKT9"/>
    <mergeCell ref="OKU9:OKV9"/>
    <mergeCell ref="OKW9:OKX9"/>
    <mergeCell ref="OKY9:OLD9"/>
    <mergeCell ref="OLE9:OLH9"/>
    <mergeCell ref="OLI9:OLJ9"/>
    <mergeCell ref="OLK9:OLL9"/>
    <mergeCell ref="OLM9:OLN9"/>
    <mergeCell ref="OJM9:OJN9"/>
    <mergeCell ref="OJO9:OJP9"/>
    <mergeCell ref="OJQ9:OJR9"/>
    <mergeCell ref="OJS9:OJX9"/>
    <mergeCell ref="OJY9:OKB9"/>
    <mergeCell ref="OKC9:OKD9"/>
    <mergeCell ref="OKE9:OKF9"/>
    <mergeCell ref="OKG9:OKH9"/>
    <mergeCell ref="OKI9:OKN9"/>
    <mergeCell ref="OII9:OIJ9"/>
    <mergeCell ref="OIK9:OIL9"/>
    <mergeCell ref="OIM9:OIR9"/>
    <mergeCell ref="OIS9:OIV9"/>
    <mergeCell ref="OIW9:OIX9"/>
    <mergeCell ref="OIY9:OIZ9"/>
    <mergeCell ref="OJA9:OJB9"/>
    <mergeCell ref="OJC9:OJH9"/>
    <mergeCell ref="OJI9:OJL9"/>
    <mergeCell ref="OHE9:OHF9"/>
    <mergeCell ref="OHG9:OHL9"/>
    <mergeCell ref="OHM9:OHP9"/>
    <mergeCell ref="OHQ9:OHR9"/>
    <mergeCell ref="OHS9:OHT9"/>
    <mergeCell ref="OHU9:OHV9"/>
    <mergeCell ref="OHW9:OIB9"/>
    <mergeCell ref="OIC9:OIF9"/>
    <mergeCell ref="OIG9:OIH9"/>
    <mergeCell ref="OGA9:OGF9"/>
    <mergeCell ref="OGG9:OGJ9"/>
    <mergeCell ref="OGK9:OGL9"/>
    <mergeCell ref="OGM9:OGN9"/>
    <mergeCell ref="OGO9:OGP9"/>
    <mergeCell ref="OGQ9:OGV9"/>
    <mergeCell ref="OGW9:OGZ9"/>
    <mergeCell ref="OHA9:OHB9"/>
    <mergeCell ref="OHC9:OHD9"/>
    <mergeCell ref="OFA9:OFD9"/>
    <mergeCell ref="OFE9:OFF9"/>
    <mergeCell ref="OFG9:OFH9"/>
    <mergeCell ref="OFI9:OFJ9"/>
    <mergeCell ref="OFK9:OFP9"/>
    <mergeCell ref="OFQ9:OFT9"/>
    <mergeCell ref="OFU9:OFV9"/>
    <mergeCell ref="OFW9:OFX9"/>
    <mergeCell ref="OFY9:OFZ9"/>
    <mergeCell ref="ODY9:ODZ9"/>
    <mergeCell ref="OEA9:OEB9"/>
    <mergeCell ref="OEC9:OED9"/>
    <mergeCell ref="OEE9:OEJ9"/>
    <mergeCell ref="OEK9:OEN9"/>
    <mergeCell ref="OEO9:OEP9"/>
    <mergeCell ref="OEQ9:OER9"/>
    <mergeCell ref="OES9:OET9"/>
    <mergeCell ref="OEU9:OEZ9"/>
    <mergeCell ref="OCU9:OCV9"/>
    <mergeCell ref="OCW9:OCX9"/>
    <mergeCell ref="OCY9:ODD9"/>
    <mergeCell ref="ODE9:ODH9"/>
    <mergeCell ref="ODI9:ODJ9"/>
    <mergeCell ref="ODK9:ODL9"/>
    <mergeCell ref="ODM9:ODN9"/>
    <mergeCell ref="ODO9:ODT9"/>
    <mergeCell ref="ODU9:ODX9"/>
    <mergeCell ref="OBQ9:OBR9"/>
    <mergeCell ref="OBS9:OBX9"/>
    <mergeCell ref="OBY9:OCB9"/>
    <mergeCell ref="OCC9:OCD9"/>
    <mergeCell ref="OCE9:OCF9"/>
    <mergeCell ref="OCG9:OCH9"/>
    <mergeCell ref="OCI9:OCN9"/>
    <mergeCell ref="OCO9:OCR9"/>
    <mergeCell ref="OCS9:OCT9"/>
    <mergeCell ref="OAM9:OAR9"/>
    <mergeCell ref="OAS9:OAV9"/>
    <mergeCell ref="OAW9:OAX9"/>
    <mergeCell ref="OAY9:OAZ9"/>
    <mergeCell ref="OBA9:OBB9"/>
    <mergeCell ref="OBC9:OBH9"/>
    <mergeCell ref="OBI9:OBL9"/>
    <mergeCell ref="OBM9:OBN9"/>
    <mergeCell ref="OBO9:OBP9"/>
    <mergeCell ref="NZM9:NZP9"/>
    <mergeCell ref="NZQ9:NZR9"/>
    <mergeCell ref="NZS9:NZT9"/>
    <mergeCell ref="NZU9:NZV9"/>
    <mergeCell ref="NZW9:OAB9"/>
    <mergeCell ref="OAC9:OAF9"/>
    <mergeCell ref="OAG9:OAH9"/>
    <mergeCell ref="OAI9:OAJ9"/>
    <mergeCell ref="OAK9:OAL9"/>
    <mergeCell ref="NYK9:NYL9"/>
    <mergeCell ref="NYM9:NYN9"/>
    <mergeCell ref="NYO9:NYP9"/>
    <mergeCell ref="NYQ9:NYV9"/>
    <mergeCell ref="NYW9:NYZ9"/>
    <mergeCell ref="NZA9:NZB9"/>
    <mergeCell ref="NZC9:NZD9"/>
    <mergeCell ref="NZE9:NZF9"/>
    <mergeCell ref="NZG9:NZL9"/>
    <mergeCell ref="NXG9:NXH9"/>
    <mergeCell ref="NXI9:NXJ9"/>
    <mergeCell ref="NXK9:NXP9"/>
    <mergeCell ref="NXQ9:NXT9"/>
    <mergeCell ref="NXU9:NXV9"/>
    <mergeCell ref="NXW9:NXX9"/>
    <mergeCell ref="NXY9:NXZ9"/>
    <mergeCell ref="NYA9:NYF9"/>
    <mergeCell ref="NYG9:NYJ9"/>
    <mergeCell ref="NWC9:NWD9"/>
    <mergeCell ref="NWE9:NWJ9"/>
    <mergeCell ref="NWK9:NWN9"/>
    <mergeCell ref="NWO9:NWP9"/>
    <mergeCell ref="NWQ9:NWR9"/>
    <mergeCell ref="NWS9:NWT9"/>
    <mergeCell ref="NWU9:NWZ9"/>
    <mergeCell ref="NXA9:NXD9"/>
    <mergeCell ref="NXE9:NXF9"/>
    <mergeCell ref="NUY9:NVD9"/>
    <mergeCell ref="NVE9:NVH9"/>
    <mergeCell ref="NVI9:NVJ9"/>
    <mergeCell ref="NVK9:NVL9"/>
    <mergeCell ref="NVM9:NVN9"/>
    <mergeCell ref="NVO9:NVT9"/>
    <mergeCell ref="NVU9:NVX9"/>
    <mergeCell ref="NVY9:NVZ9"/>
    <mergeCell ref="NWA9:NWB9"/>
    <mergeCell ref="NTY9:NUB9"/>
    <mergeCell ref="NUC9:NUD9"/>
    <mergeCell ref="NUE9:NUF9"/>
    <mergeCell ref="NUG9:NUH9"/>
    <mergeCell ref="NUI9:NUN9"/>
    <mergeCell ref="NUO9:NUR9"/>
    <mergeCell ref="NUS9:NUT9"/>
    <mergeCell ref="NUU9:NUV9"/>
    <mergeCell ref="NUW9:NUX9"/>
    <mergeCell ref="NSW9:NSX9"/>
    <mergeCell ref="NSY9:NSZ9"/>
    <mergeCell ref="NTA9:NTB9"/>
    <mergeCell ref="NTC9:NTH9"/>
    <mergeCell ref="NTI9:NTL9"/>
    <mergeCell ref="NTM9:NTN9"/>
    <mergeCell ref="NTO9:NTP9"/>
    <mergeCell ref="NTQ9:NTR9"/>
    <mergeCell ref="NTS9:NTX9"/>
    <mergeCell ref="NRS9:NRT9"/>
    <mergeCell ref="NRU9:NRV9"/>
    <mergeCell ref="NRW9:NSB9"/>
    <mergeCell ref="NSC9:NSF9"/>
    <mergeCell ref="NSG9:NSH9"/>
    <mergeCell ref="NSI9:NSJ9"/>
    <mergeCell ref="NSK9:NSL9"/>
    <mergeCell ref="NSM9:NSR9"/>
    <mergeCell ref="NSS9:NSV9"/>
    <mergeCell ref="NQO9:NQP9"/>
    <mergeCell ref="NQQ9:NQV9"/>
    <mergeCell ref="NQW9:NQZ9"/>
    <mergeCell ref="NRA9:NRB9"/>
    <mergeCell ref="NRC9:NRD9"/>
    <mergeCell ref="NRE9:NRF9"/>
    <mergeCell ref="NRG9:NRL9"/>
    <mergeCell ref="NRM9:NRP9"/>
    <mergeCell ref="NRQ9:NRR9"/>
    <mergeCell ref="NPK9:NPP9"/>
    <mergeCell ref="NPQ9:NPT9"/>
    <mergeCell ref="NPU9:NPV9"/>
    <mergeCell ref="NPW9:NPX9"/>
    <mergeCell ref="NPY9:NPZ9"/>
    <mergeCell ref="NQA9:NQF9"/>
    <mergeCell ref="NQG9:NQJ9"/>
    <mergeCell ref="NQK9:NQL9"/>
    <mergeCell ref="NQM9:NQN9"/>
    <mergeCell ref="NOK9:NON9"/>
    <mergeCell ref="NOO9:NOP9"/>
    <mergeCell ref="NOQ9:NOR9"/>
    <mergeCell ref="NOS9:NOT9"/>
    <mergeCell ref="NOU9:NOZ9"/>
    <mergeCell ref="NPA9:NPD9"/>
    <mergeCell ref="NPE9:NPF9"/>
    <mergeCell ref="NPG9:NPH9"/>
    <mergeCell ref="NPI9:NPJ9"/>
    <mergeCell ref="NNI9:NNJ9"/>
    <mergeCell ref="NNK9:NNL9"/>
    <mergeCell ref="NNM9:NNN9"/>
    <mergeCell ref="NNO9:NNT9"/>
    <mergeCell ref="NNU9:NNX9"/>
    <mergeCell ref="NNY9:NNZ9"/>
    <mergeCell ref="NOA9:NOB9"/>
    <mergeCell ref="NOC9:NOD9"/>
    <mergeCell ref="NOE9:NOJ9"/>
    <mergeCell ref="NME9:NMF9"/>
    <mergeCell ref="NMG9:NMH9"/>
    <mergeCell ref="NMI9:NMN9"/>
    <mergeCell ref="NMO9:NMR9"/>
    <mergeCell ref="NMS9:NMT9"/>
    <mergeCell ref="NMU9:NMV9"/>
    <mergeCell ref="NMW9:NMX9"/>
    <mergeCell ref="NMY9:NND9"/>
    <mergeCell ref="NNE9:NNH9"/>
    <mergeCell ref="NLA9:NLB9"/>
    <mergeCell ref="NLC9:NLH9"/>
    <mergeCell ref="NLI9:NLL9"/>
    <mergeCell ref="NLM9:NLN9"/>
    <mergeCell ref="NLO9:NLP9"/>
    <mergeCell ref="NLQ9:NLR9"/>
    <mergeCell ref="NLS9:NLX9"/>
    <mergeCell ref="NLY9:NMB9"/>
    <mergeCell ref="NMC9:NMD9"/>
    <mergeCell ref="NJW9:NKB9"/>
    <mergeCell ref="NKC9:NKF9"/>
    <mergeCell ref="NKG9:NKH9"/>
    <mergeCell ref="NKI9:NKJ9"/>
    <mergeCell ref="NKK9:NKL9"/>
    <mergeCell ref="NKM9:NKR9"/>
    <mergeCell ref="NKS9:NKV9"/>
    <mergeCell ref="NKW9:NKX9"/>
    <mergeCell ref="NKY9:NKZ9"/>
    <mergeCell ref="NIW9:NIZ9"/>
    <mergeCell ref="NJA9:NJB9"/>
    <mergeCell ref="NJC9:NJD9"/>
    <mergeCell ref="NJE9:NJF9"/>
    <mergeCell ref="NJG9:NJL9"/>
    <mergeCell ref="NJM9:NJP9"/>
    <mergeCell ref="NJQ9:NJR9"/>
    <mergeCell ref="NJS9:NJT9"/>
    <mergeCell ref="NJU9:NJV9"/>
    <mergeCell ref="NHU9:NHV9"/>
    <mergeCell ref="NHW9:NHX9"/>
    <mergeCell ref="NHY9:NHZ9"/>
    <mergeCell ref="NIA9:NIF9"/>
    <mergeCell ref="NIG9:NIJ9"/>
    <mergeCell ref="NIK9:NIL9"/>
    <mergeCell ref="NIM9:NIN9"/>
    <mergeCell ref="NIO9:NIP9"/>
    <mergeCell ref="NIQ9:NIV9"/>
    <mergeCell ref="NGQ9:NGR9"/>
    <mergeCell ref="NGS9:NGT9"/>
    <mergeCell ref="NGU9:NGZ9"/>
    <mergeCell ref="NHA9:NHD9"/>
    <mergeCell ref="NHE9:NHF9"/>
    <mergeCell ref="NHG9:NHH9"/>
    <mergeCell ref="NHI9:NHJ9"/>
    <mergeCell ref="NHK9:NHP9"/>
    <mergeCell ref="NHQ9:NHT9"/>
    <mergeCell ref="NFM9:NFN9"/>
    <mergeCell ref="NFO9:NFT9"/>
    <mergeCell ref="NFU9:NFX9"/>
    <mergeCell ref="NFY9:NFZ9"/>
    <mergeCell ref="NGA9:NGB9"/>
    <mergeCell ref="NGC9:NGD9"/>
    <mergeCell ref="NGE9:NGJ9"/>
    <mergeCell ref="NGK9:NGN9"/>
    <mergeCell ref="NGO9:NGP9"/>
    <mergeCell ref="NEI9:NEN9"/>
    <mergeCell ref="NEO9:NER9"/>
    <mergeCell ref="NES9:NET9"/>
    <mergeCell ref="NEU9:NEV9"/>
    <mergeCell ref="NEW9:NEX9"/>
    <mergeCell ref="NEY9:NFD9"/>
    <mergeCell ref="NFE9:NFH9"/>
    <mergeCell ref="NFI9:NFJ9"/>
    <mergeCell ref="NFK9:NFL9"/>
    <mergeCell ref="NDI9:NDL9"/>
    <mergeCell ref="NDM9:NDN9"/>
    <mergeCell ref="NDO9:NDP9"/>
    <mergeCell ref="NDQ9:NDR9"/>
    <mergeCell ref="NDS9:NDX9"/>
    <mergeCell ref="NDY9:NEB9"/>
    <mergeCell ref="NEC9:NED9"/>
    <mergeCell ref="NEE9:NEF9"/>
    <mergeCell ref="NEG9:NEH9"/>
    <mergeCell ref="NCG9:NCH9"/>
    <mergeCell ref="NCI9:NCJ9"/>
    <mergeCell ref="NCK9:NCL9"/>
    <mergeCell ref="NCM9:NCR9"/>
    <mergeCell ref="NCS9:NCV9"/>
    <mergeCell ref="NCW9:NCX9"/>
    <mergeCell ref="NCY9:NCZ9"/>
    <mergeCell ref="NDA9:NDB9"/>
    <mergeCell ref="NDC9:NDH9"/>
    <mergeCell ref="NBC9:NBD9"/>
    <mergeCell ref="NBE9:NBF9"/>
    <mergeCell ref="NBG9:NBL9"/>
    <mergeCell ref="NBM9:NBP9"/>
    <mergeCell ref="NBQ9:NBR9"/>
    <mergeCell ref="NBS9:NBT9"/>
    <mergeCell ref="NBU9:NBV9"/>
    <mergeCell ref="NBW9:NCB9"/>
    <mergeCell ref="NCC9:NCF9"/>
    <mergeCell ref="MZY9:MZZ9"/>
    <mergeCell ref="NAA9:NAF9"/>
    <mergeCell ref="NAG9:NAJ9"/>
    <mergeCell ref="NAK9:NAL9"/>
    <mergeCell ref="NAM9:NAN9"/>
    <mergeCell ref="NAO9:NAP9"/>
    <mergeCell ref="NAQ9:NAV9"/>
    <mergeCell ref="NAW9:NAZ9"/>
    <mergeCell ref="NBA9:NBB9"/>
    <mergeCell ref="MYU9:MYZ9"/>
    <mergeCell ref="MZA9:MZD9"/>
    <mergeCell ref="MZE9:MZF9"/>
    <mergeCell ref="MZG9:MZH9"/>
    <mergeCell ref="MZI9:MZJ9"/>
    <mergeCell ref="MZK9:MZP9"/>
    <mergeCell ref="MZQ9:MZT9"/>
    <mergeCell ref="MZU9:MZV9"/>
    <mergeCell ref="MZW9:MZX9"/>
    <mergeCell ref="MXU9:MXX9"/>
    <mergeCell ref="MXY9:MXZ9"/>
    <mergeCell ref="MYA9:MYB9"/>
    <mergeCell ref="MYC9:MYD9"/>
    <mergeCell ref="MYE9:MYJ9"/>
    <mergeCell ref="MYK9:MYN9"/>
    <mergeCell ref="MYO9:MYP9"/>
    <mergeCell ref="MYQ9:MYR9"/>
    <mergeCell ref="MYS9:MYT9"/>
    <mergeCell ref="MWS9:MWT9"/>
    <mergeCell ref="MWU9:MWV9"/>
    <mergeCell ref="MWW9:MWX9"/>
    <mergeCell ref="MWY9:MXD9"/>
    <mergeCell ref="MXE9:MXH9"/>
    <mergeCell ref="MXI9:MXJ9"/>
    <mergeCell ref="MXK9:MXL9"/>
    <mergeCell ref="MXM9:MXN9"/>
    <mergeCell ref="MXO9:MXT9"/>
    <mergeCell ref="MVO9:MVP9"/>
    <mergeCell ref="MVQ9:MVR9"/>
    <mergeCell ref="MVS9:MVX9"/>
    <mergeCell ref="MVY9:MWB9"/>
    <mergeCell ref="MWC9:MWD9"/>
    <mergeCell ref="MWE9:MWF9"/>
    <mergeCell ref="MWG9:MWH9"/>
    <mergeCell ref="MWI9:MWN9"/>
    <mergeCell ref="MWO9:MWR9"/>
    <mergeCell ref="MUK9:MUL9"/>
    <mergeCell ref="MUM9:MUR9"/>
    <mergeCell ref="MUS9:MUV9"/>
    <mergeCell ref="MUW9:MUX9"/>
    <mergeCell ref="MUY9:MUZ9"/>
    <mergeCell ref="MVA9:MVB9"/>
    <mergeCell ref="MVC9:MVH9"/>
    <mergeCell ref="MVI9:MVL9"/>
    <mergeCell ref="MVM9:MVN9"/>
    <mergeCell ref="MTG9:MTL9"/>
    <mergeCell ref="MTM9:MTP9"/>
    <mergeCell ref="MTQ9:MTR9"/>
    <mergeCell ref="MTS9:MTT9"/>
    <mergeCell ref="MTU9:MTV9"/>
    <mergeCell ref="MTW9:MUB9"/>
    <mergeCell ref="MUC9:MUF9"/>
    <mergeCell ref="MUG9:MUH9"/>
    <mergeCell ref="MUI9:MUJ9"/>
    <mergeCell ref="MSG9:MSJ9"/>
    <mergeCell ref="MSK9:MSL9"/>
    <mergeCell ref="MSM9:MSN9"/>
    <mergeCell ref="MSO9:MSP9"/>
    <mergeCell ref="MSQ9:MSV9"/>
    <mergeCell ref="MSW9:MSZ9"/>
    <mergeCell ref="MTA9:MTB9"/>
    <mergeCell ref="MTC9:MTD9"/>
    <mergeCell ref="MTE9:MTF9"/>
    <mergeCell ref="MRE9:MRF9"/>
    <mergeCell ref="MRG9:MRH9"/>
    <mergeCell ref="MRI9:MRJ9"/>
    <mergeCell ref="MRK9:MRP9"/>
    <mergeCell ref="MRQ9:MRT9"/>
    <mergeCell ref="MRU9:MRV9"/>
    <mergeCell ref="MRW9:MRX9"/>
    <mergeCell ref="MRY9:MRZ9"/>
    <mergeCell ref="MSA9:MSF9"/>
    <mergeCell ref="MQA9:MQB9"/>
    <mergeCell ref="MQC9:MQD9"/>
    <mergeCell ref="MQE9:MQJ9"/>
    <mergeCell ref="MQK9:MQN9"/>
    <mergeCell ref="MQO9:MQP9"/>
    <mergeCell ref="MQQ9:MQR9"/>
    <mergeCell ref="MQS9:MQT9"/>
    <mergeCell ref="MQU9:MQZ9"/>
    <mergeCell ref="MRA9:MRD9"/>
    <mergeCell ref="MOW9:MOX9"/>
    <mergeCell ref="MOY9:MPD9"/>
    <mergeCell ref="MPE9:MPH9"/>
    <mergeCell ref="MPI9:MPJ9"/>
    <mergeCell ref="MPK9:MPL9"/>
    <mergeCell ref="MPM9:MPN9"/>
    <mergeCell ref="MPO9:MPT9"/>
    <mergeCell ref="MPU9:MPX9"/>
    <mergeCell ref="MPY9:MPZ9"/>
    <mergeCell ref="MNS9:MNX9"/>
    <mergeCell ref="MNY9:MOB9"/>
    <mergeCell ref="MOC9:MOD9"/>
    <mergeCell ref="MOE9:MOF9"/>
    <mergeCell ref="MOG9:MOH9"/>
    <mergeCell ref="MOI9:MON9"/>
    <mergeCell ref="MOO9:MOR9"/>
    <mergeCell ref="MOS9:MOT9"/>
    <mergeCell ref="MOU9:MOV9"/>
    <mergeCell ref="MMS9:MMV9"/>
    <mergeCell ref="MMW9:MMX9"/>
    <mergeCell ref="MMY9:MMZ9"/>
    <mergeCell ref="MNA9:MNB9"/>
    <mergeCell ref="MNC9:MNH9"/>
    <mergeCell ref="MNI9:MNL9"/>
    <mergeCell ref="MNM9:MNN9"/>
    <mergeCell ref="MNO9:MNP9"/>
    <mergeCell ref="MNQ9:MNR9"/>
    <mergeCell ref="MLQ9:MLR9"/>
    <mergeCell ref="MLS9:MLT9"/>
    <mergeCell ref="MLU9:MLV9"/>
    <mergeCell ref="MLW9:MMB9"/>
    <mergeCell ref="MMC9:MMF9"/>
    <mergeCell ref="MMG9:MMH9"/>
    <mergeCell ref="MMI9:MMJ9"/>
    <mergeCell ref="MMK9:MML9"/>
    <mergeCell ref="MMM9:MMR9"/>
    <mergeCell ref="MKM9:MKN9"/>
    <mergeCell ref="MKO9:MKP9"/>
    <mergeCell ref="MKQ9:MKV9"/>
    <mergeCell ref="MKW9:MKZ9"/>
    <mergeCell ref="MLA9:MLB9"/>
    <mergeCell ref="MLC9:MLD9"/>
    <mergeCell ref="MLE9:MLF9"/>
    <mergeCell ref="MLG9:MLL9"/>
    <mergeCell ref="MLM9:MLP9"/>
    <mergeCell ref="MJI9:MJJ9"/>
    <mergeCell ref="MJK9:MJP9"/>
    <mergeCell ref="MJQ9:MJT9"/>
    <mergeCell ref="MJU9:MJV9"/>
    <mergeCell ref="MJW9:MJX9"/>
    <mergeCell ref="MJY9:MJZ9"/>
    <mergeCell ref="MKA9:MKF9"/>
    <mergeCell ref="MKG9:MKJ9"/>
    <mergeCell ref="MKK9:MKL9"/>
    <mergeCell ref="MIE9:MIJ9"/>
    <mergeCell ref="MIK9:MIN9"/>
    <mergeCell ref="MIO9:MIP9"/>
    <mergeCell ref="MIQ9:MIR9"/>
    <mergeCell ref="MIS9:MIT9"/>
    <mergeCell ref="MIU9:MIZ9"/>
    <mergeCell ref="MJA9:MJD9"/>
    <mergeCell ref="MJE9:MJF9"/>
    <mergeCell ref="MJG9:MJH9"/>
    <mergeCell ref="MHE9:MHH9"/>
    <mergeCell ref="MHI9:MHJ9"/>
    <mergeCell ref="MHK9:MHL9"/>
    <mergeCell ref="MHM9:MHN9"/>
    <mergeCell ref="MHO9:MHT9"/>
    <mergeCell ref="MHU9:MHX9"/>
    <mergeCell ref="MHY9:MHZ9"/>
    <mergeCell ref="MIA9:MIB9"/>
    <mergeCell ref="MIC9:MID9"/>
    <mergeCell ref="MGC9:MGD9"/>
    <mergeCell ref="MGE9:MGF9"/>
    <mergeCell ref="MGG9:MGH9"/>
    <mergeCell ref="MGI9:MGN9"/>
    <mergeCell ref="MGO9:MGR9"/>
    <mergeCell ref="MGS9:MGT9"/>
    <mergeCell ref="MGU9:MGV9"/>
    <mergeCell ref="MGW9:MGX9"/>
    <mergeCell ref="MGY9:MHD9"/>
    <mergeCell ref="MEY9:MEZ9"/>
    <mergeCell ref="MFA9:MFB9"/>
    <mergeCell ref="MFC9:MFH9"/>
    <mergeCell ref="MFI9:MFL9"/>
    <mergeCell ref="MFM9:MFN9"/>
    <mergeCell ref="MFO9:MFP9"/>
    <mergeCell ref="MFQ9:MFR9"/>
    <mergeCell ref="MFS9:MFX9"/>
    <mergeCell ref="MFY9:MGB9"/>
    <mergeCell ref="MDU9:MDV9"/>
    <mergeCell ref="MDW9:MEB9"/>
    <mergeCell ref="MEC9:MEF9"/>
    <mergeCell ref="MEG9:MEH9"/>
    <mergeCell ref="MEI9:MEJ9"/>
    <mergeCell ref="MEK9:MEL9"/>
    <mergeCell ref="MEM9:MER9"/>
    <mergeCell ref="MES9:MEV9"/>
    <mergeCell ref="MEW9:MEX9"/>
    <mergeCell ref="MCQ9:MCV9"/>
    <mergeCell ref="MCW9:MCZ9"/>
    <mergeCell ref="MDA9:MDB9"/>
    <mergeCell ref="MDC9:MDD9"/>
    <mergeCell ref="MDE9:MDF9"/>
    <mergeCell ref="MDG9:MDL9"/>
    <mergeCell ref="MDM9:MDP9"/>
    <mergeCell ref="MDQ9:MDR9"/>
    <mergeCell ref="MDS9:MDT9"/>
    <mergeCell ref="MBQ9:MBT9"/>
    <mergeCell ref="MBU9:MBV9"/>
    <mergeCell ref="MBW9:MBX9"/>
    <mergeCell ref="MBY9:MBZ9"/>
    <mergeCell ref="MCA9:MCF9"/>
    <mergeCell ref="MCG9:MCJ9"/>
    <mergeCell ref="MCK9:MCL9"/>
    <mergeCell ref="MCM9:MCN9"/>
    <mergeCell ref="MCO9:MCP9"/>
    <mergeCell ref="MAO9:MAP9"/>
    <mergeCell ref="MAQ9:MAR9"/>
    <mergeCell ref="MAS9:MAT9"/>
    <mergeCell ref="MAU9:MAZ9"/>
    <mergeCell ref="MBA9:MBD9"/>
    <mergeCell ref="MBE9:MBF9"/>
    <mergeCell ref="MBG9:MBH9"/>
    <mergeCell ref="MBI9:MBJ9"/>
    <mergeCell ref="MBK9:MBP9"/>
    <mergeCell ref="LZK9:LZL9"/>
    <mergeCell ref="LZM9:LZN9"/>
    <mergeCell ref="LZO9:LZT9"/>
    <mergeCell ref="LZU9:LZX9"/>
    <mergeCell ref="LZY9:LZZ9"/>
    <mergeCell ref="MAA9:MAB9"/>
    <mergeCell ref="MAC9:MAD9"/>
    <mergeCell ref="MAE9:MAJ9"/>
    <mergeCell ref="MAK9:MAN9"/>
    <mergeCell ref="LYG9:LYH9"/>
    <mergeCell ref="LYI9:LYN9"/>
    <mergeCell ref="LYO9:LYR9"/>
    <mergeCell ref="LYS9:LYT9"/>
    <mergeCell ref="LYU9:LYV9"/>
    <mergeCell ref="LYW9:LYX9"/>
    <mergeCell ref="LYY9:LZD9"/>
    <mergeCell ref="LZE9:LZH9"/>
    <mergeCell ref="LZI9:LZJ9"/>
    <mergeCell ref="LXC9:LXH9"/>
    <mergeCell ref="LXI9:LXL9"/>
    <mergeCell ref="LXM9:LXN9"/>
    <mergeCell ref="LXO9:LXP9"/>
    <mergeCell ref="LXQ9:LXR9"/>
    <mergeCell ref="LXS9:LXX9"/>
    <mergeCell ref="LXY9:LYB9"/>
    <mergeCell ref="LYC9:LYD9"/>
    <mergeCell ref="LYE9:LYF9"/>
    <mergeCell ref="LWC9:LWF9"/>
    <mergeCell ref="LWG9:LWH9"/>
    <mergeCell ref="LWI9:LWJ9"/>
    <mergeCell ref="LWK9:LWL9"/>
    <mergeCell ref="LWM9:LWR9"/>
    <mergeCell ref="LWS9:LWV9"/>
    <mergeCell ref="LWW9:LWX9"/>
    <mergeCell ref="LWY9:LWZ9"/>
    <mergeCell ref="LXA9:LXB9"/>
    <mergeCell ref="LVA9:LVB9"/>
    <mergeCell ref="LVC9:LVD9"/>
    <mergeCell ref="LVE9:LVF9"/>
    <mergeCell ref="LVG9:LVL9"/>
    <mergeCell ref="LVM9:LVP9"/>
    <mergeCell ref="LVQ9:LVR9"/>
    <mergeCell ref="LVS9:LVT9"/>
    <mergeCell ref="LVU9:LVV9"/>
    <mergeCell ref="LVW9:LWB9"/>
    <mergeCell ref="LTW9:LTX9"/>
    <mergeCell ref="LTY9:LTZ9"/>
    <mergeCell ref="LUA9:LUF9"/>
    <mergeCell ref="LUG9:LUJ9"/>
    <mergeCell ref="LUK9:LUL9"/>
    <mergeCell ref="LUM9:LUN9"/>
    <mergeCell ref="LUO9:LUP9"/>
    <mergeCell ref="LUQ9:LUV9"/>
    <mergeCell ref="LUW9:LUZ9"/>
    <mergeCell ref="LSS9:LST9"/>
    <mergeCell ref="LSU9:LSZ9"/>
    <mergeCell ref="LTA9:LTD9"/>
    <mergeCell ref="LTE9:LTF9"/>
    <mergeCell ref="LTG9:LTH9"/>
    <mergeCell ref="LTI9:LTJ9"/>
    <mergeCell ref="LTK9:LTP9"/>
    <mergeCell ref="LTQ9:LTT9"/>
    <mergeCell ref="LTU9:LTV9"/>
    <mergeCell ref="LRO9:LRT9"/>
    <mergeCell ref="LRU9:LRX9"/>
    <mergeCell ref="LRY9:LRZ9"/>
    <mergeCell ref="LSA9:LSB9"/>
    <mergeCell ref="LSC9:LSD9"/>
    <mergeCell ref="LSE9:LSJ9"/>
    <mergeCell ref="LSK9:LSN9"/>
    <mergeCell ref="LSO9:LSP9"/>
    <mergeCell ref="LSQ9:LSR9"/>
    <mergeCell ref="LQO9:LQR9"/>
    <mergeCell ref="LQS9:LQT9"/>
    <mergeCell ref="LQU9:LQV9"/>
    <mergeCell ref="LQW9:LQX9"/>
    <mergeCell ref="LQY9:LRD9"/>
    <mergeCell ref="LRE9:LRH9"/>
    <mergeCell ref="LRI9:LRJ9"/>
    <mergeCell ref="LRK9:LRL9"/>
    <mergeCell ref="LRM9:LRN9"/>
    <mergeCell ref="LPM9:LPN9"/>
    <mergeCell ref="LPO9:LPP9"/>
    <mergeCell ref="LPQ9:LPR9"/>
    <mergeCell ref="LPS9:LPX9"/>
    <mergeCell ref="LPY9:LQB9"/>
    <mergeCell ref="LQC9:LQD9"/>
    <mergeCell ref="LQE9:LQF9"/>
    <mergeCell ref="LQG9:LQH9"/>
    <mergeCell ref="LQI9:LQN9"/>
    <mergeCell ref="LOI9:LOJ9"/>
    <mergeCell ref="LOK9:LOL9"/>
    <mergeCell ref="LOM9:LOR9"/>
    <mergeCell ref="LOS9:LOV9"/>
    <mergeCell ref="LOW9:LOX9"/>
    <mergeCell ref="LOY9:LOZ9"/>
    <mergeCell ref="LPA9:LPB9"/>
    <mergeCell ref="LPC9:LPH9"/>
    <mergeCell ref="LPI9:LPL9"/>
    <mergeCell ref="LNE9:LNF9"/>
    <mergeCell ref="LNG9:LNL9"/>
    <mergeCell ref="LNM9:LNP9"/>
    <mergeCell ref="LNQ9:LNR9"/>
    <mergeCell ref="LNS9:LNT9"/>
    <mergeCell ref="LNU9:LNV9"/>
    <mergeCell ref="LNW9:LOB9"/>
    <mergeCell ref="LOC9:LOF9"/>
    <mergeCell ref="LOG9:LOH9"/>
    <mergeCell ref="LMA9:LMF9"/>
    <mergeCell ref="LMG9:LMJ9"/>
    <mergeCell ref="LMK9:LML9"/>
    <mergeCell ref="LMM9:LMN9"/>
    <mergeCell ref="LMO9:LMP9"/>
    <mergeCell ref="LMQ9:LMV9"/>
    <mergeCell ref="LMW9:LMZ9"/>
    <mergeCell ref="LNA9:LNB9"/>
    <mergeCell ref="LNC9:LND9"/>
    <mergeCell ref="LLA9:LLD9"/>
    <mergeCell ref="LLE9:LLF9"/>
    <mergeCell ref="LLG9:LLH9"/>
    <mergeCell ref="LLI9:LLJ9"/>
    <mergeCell ref="LLK9:LLP9"/>
    <mergeCell ref="LLQ9:LLT9"/>
    <mergeCell ref="LLU9:LLV9"/>
    <mergeCell ref="LLW9:LLX9"/>
    <mergeCell ref="LLY9:LLZ9"/>
    <mergeCell ref="LJY9:LJZ9"/>
    <mergeCell ref="LKA9:LKB9"/>
    <mergeCell ref="LKC9:LKD9"/>
    <mergeCell ref="LKE9:LKJ9"/>
    <mergeCell ref="LKK9:LKN9"/>
    <mergeCell ref="LKO9:LKP9"/>
    <mergeCell ref="LKQ9:LKR9"/>
    <mergeCell ref="LKS9:LKT9"/>
    <mergeCell ref="LKU9:LKZ9"/>
    <mergeCell ref="LIU9:LIV9"/>
    <mergeCell ref="LIW9:LIX9"/>
    <mergeCell ref="LIY9:LJD9"/>
    <mergeCell ref="LJE9:LJH9"/>
    <mergeCell ref="LJI9:LJJ9"/>
    <mergeCell ref="LJK9:LJL9"/>
    <mergeCell ref="LJM9:LJN9"/>
    <mergeCell ref="LJO9:LJT9"/>
    <mergeCell ref="LJU9:LJX9"/>
    <mergeCell ref="LHQ9:LHR9"/>
    <mergeCell ref="LHS9:LHX9"/>
    <mergeCell ref="LHY9:LIB9"/>
    <mergeCell ref="LIC9:LID9"/>
    <mergeCell ref="LIE9:LIF9"/>
    <mergeCell ref="LIG9:LIH9"/>
    <mergeCell ref="LII9:LIN9"/>
    <mergeCell ref="LIO9:LIR9"/>
    <mergeCell ref="LIS9:LIT9"/>
    <mergeCell ref="LGM9:LGR9"/>
    <mergeCell ref="LGS9:LGV9"/>
    <mergeCell ref="LGW9:LGX9"/>
    <mergeCell ref="LGY9:LGZ9"/>
    <mergeCell ref="LHA9:LHB9"/>
    <mergeCell ref="LHC9:LHH9"/>
    <mergeCell ref="LHI9:LHL9"/>
    <mergeCell ref="LHM9:LHN9"/>
    <mergeCell ref="LHO9:LHP9"/>
    <mergeCell ref="LFM9:LFP9"/>
    <mergeCell ref="LFQ9:LFR9"/>
    <mergeCell ref="LFS9:LFT9"/>
    <mergeCell ref="LFU9:LFV9"/>
    <mergeCell ref="LFW9:LGB9"/>
    <mergeCell ref="LGC9:LGF9"/>
    <mergeCell ref="LGG9:LGH9"/>
    <mergeCell ref="LGI9:LGJ9"/>
    <mergeCell ref="LGK9:LGL9"/>
    <mergeCell ref="LEK9:LEL9"/>
    <mergeCell ref="LEM9:LEN9"/>
    <mergeCell ref="LEO9:LEP9"/>
    <mergeCell ref="LEQ9:LEV9"/>
    <mergeCell ref="LEW9:LEZ9"/>
    <mergeCell ref="LFA9:LFB9"/>
    <mergeCell ref="LFC9:LFD9"/>
    <mergeCell ref="LFE9:LFF9"/>
    <mergeCell ref="LFG9:LFL9"/>
    <mergeCell ref="LDG9:LDH9"/>
    <mergeCell ref="LDI9:LDJ9"/>
    <mergeCell ref="LDK9:LDP9"/>
    <mergeCell ref="LDQ9:LDT9"/>
    <mergeCell ref="LDU9:LDV9"/>
    <mergeCell ref="LDW9:LDX9"/>
    <mergeCell ref="LDY9:LDZ9"/>
    <mergeCell ref="LEA9:LEF9"/>
    <mergeCell ref="LEG9:LEJ9"/>
    <mergeCell ref="LCC9:LCD9"/>
    <mergeCell ref="LCE9:LCJ9"/>
    <mergeCell ref="LCK9:LCN9"/>
    <mergeCell ref="LCO9:LCP9"/>
    <mergeCell ref="LCQ9:LCR9"/>
    <mergeCell ref="LCS9:LCT9"/>
    <mergeCell ref="LCU9:LCZ9"/>
    <mergeCell ref="LDA9:LDD9"/>
    <mergeCell ref="LDE9:LDF9"/>
    <mergeCell ref="LAY9:LBD9"/>
    <mergeCell ref="LBE9:LBH9"/>
    <mergeCell ref="LBI9:LBJ9"/>
    <mergeCell ref="LBK9:LBL9"/>
    <mergeCell ref="LBM9:LBN9"/>
    <mergeCell ref="LBO9:LBT9"/>
    <mergeCell ref="LBU9:LBX9"/>
    <mergeCell ref="LBY9:LBZ9"/>
    <mergeCell ref="LCA9:LCB9"/>
    <mergeCell ref="KZY9:LAB9"/>
    <mergeCell ref="LAC9:LAD9"/>
    <mergeCell ref="LAE9:LAF9"/>
    <mergeCell ref="LAG9:LAH9"/>
    <mergeCell ref="LAI9:LAN9"/>
    <mergeCell ref="LAO9:LAR9"/>
    <mergeCell ref="LAS9:LAT9"/>
    <mergeCell ref="LAU9:LAV9"/>
    <mergeCell ref="LAW9:LAX9"/>
    <mergeCell ref="KYW9:KYX9"/>
    <mergeCell ref="KYY9:KYZ9"/>
    <mergeCell ref="KZA9:KZB9"/>
    <mergeCell ref="KZC9:KZH9"/>
    <mergeCell ref="KZI9:KZL9"/>
    <mergeCell ref="KZM9:KZN9"/>
    <mergeCell ref="KZO9:KZP9"/>
    <mergeCell ref="KZQ9:KZR9"/>
    <mergeCell ref="KZS9:KZX9"/>
    <mergeCell ref="KXS9:KXT9"/>
    <mergeCell ref="KXU9:KXV9"/>
    <mergeCell ref="KXW9:KYB9"/>
    <mergeCell ref="KYC9:KYF9"/>
    <mergeCell ref="KYG9:KYH9"/>
    <mergeCell ref="KYI9:KYJ9"/>
    <mergeCell ref="KYK9:KYL9"/>
    <mergeCell ref="KYM9:KYR9"/>
    <mergeCell ref="KYS9:KYV9"/>
    <mergeCell ref="KWO9:KWP9"/>
    <mergeCell ref="KWQ9:KWV9"/>
    <mergeCell ref="KWW9:KWZ9"/>
    <mergeCell ref="KXA9:KXB9"/>
    <mergeCell ref="KXC9:KXD9"/>
    <mergeCell ref="KXE9:KXF9"/>
    <mergeCell ref="KXG9:KXL9"/>
    <mergeCell ref="KXM9:KXP9"/>
    <mergeCell ref="KXQ9:KXR9"/>
    <mergeCell ref="KVK9:KVP9"/>
    <mergeCell ref="KVQ9:KVT9"/>
    <mergeCell ref="KVU9:KVV9"/>
    <mergeCell ref="KVW9:KVX9"/>
    <mergeCell ref="KVY9:KVZ9"/>
    <mergeCell ref="KWA9:KWF9"/>
    <mergeCell ref="KWG9:KWJ9"/>
    <mergeCell ref="KWK9:KWL9"/>
    <mergeCell ref="KWM9:KWN9"/>
    <mergeCell ref="KUK9:KUN9"/>
    <mergeCell ref="KUO9:KUP9"/>
    <mergeCell ref="KUQ9:KUR9"/>
    <mergeCell ref="KUS9:KUT9"/>
    <mergeCell ref="KUU9:KUZ9"/>
    <mergeCell ref="KVA9:KVD9"/>
    <mergeCell ref="KVE9:KVF9"/>
    <mergeCell ref="KVG9:KVH9"/>
    <mergeCell ref="KVI9:KVJ9"/>
    <mergeCell ref="KTI9:KTJ9"/>
    <mergeCell ref="KTK9:KTL9"/>
    <mergeCell ref="KTM9:KTN9"/>
    <mergeCell ref="KTO9:KTT9"/>
    <mergeCell ref="KTU9:KTX9"/>
    <mergeCell ref="KTY9:KTZ9"/>
    <mergeCell ref="KUA9:KUB9"/>
    <mergeCell ref="KUC9:KUD9"/>
    <mergeCell ref="KUE9:KUJ9"/>
    <mergeCell ref="KSE9:KSF9"/>
    <mergeCell ref="KSG9:KSH9"/>
    <mergeCell ref="KSI9:KSN9"/>
    <mergeCell ref="KSO9:KSR9"/>
    <mergeCell ref="KSS9:KST9"/>
    <mergeCell ref="KSU9:KSV9"/>
    <mergeCell ref="KSW9:KSX9"/>
    <mergeCell ref="KSY9:KTD9"/>
    <mergeCell ref="KTE9:KTH9"/>
    <mergeCell ref="KRA9:KRB9"/>
    <mergeCell ref="KRC9:KRH9"/>
    <mergeCell ref="KRI9:KRL9"/>
    <mergeCell ref="KRM9:KRN9"/>
    <mergeCell ref="KRO9:KRP9"/>
    <mergeCell ref="KRQ9:KRR9"/>
    <mergeCell ref="KRS9:KRX9"/>
    <mergeCell ref="KRY9:KSB9"/>
    <mergeCell ref="KSC9:KSD9"/>
    <mergeCell ref="KPW9:KQB9"/>
    <mergeCell ref="KQC9:KQF9"/>
    <mergeCell ref="KQG9:KQH9"/>
    <mergeCell ref="KQI9:KQJ9"/>
    <mergeCell ref="KQK9:KQL9"/>
    <mergeCell ref="KQM9:KQR9"/>
    <mergeCell ref="KQS9:KQV9"/>
    <mergeCell ref="KQW9:KQX9"/>
    <mergeCell ref="KQY9:KQZ9"/>
    <mergeCell ref="KOW9:KOZ9"/>
    <mergeCell ref="KPA9:KPB9"/>
    <mergeCell ref="KPC9:KPD9"/>
    <mergeCell ref="KPE9:KPF9"/>
    <mergeCell ref="KPG9:KPL9"/>
    <mergeCell ref="KPM9:KPP9"/>
    <mergeCell ref="KPQ9:KPR9"/>
    <mergeCell ref="KPS9:KPT9"/>
    <mergeCell ref="KPU9:KPV9"/>
    <mergeCell ref="KNU9:KNV9"/>
    <mergeCell ref="KNW9:KNX9"/>
    <mergeCell ref="KNY9:KNZ9"/>
    <mergeCell ref="KOA9:KOF9"/>
    <mergeCell ref="KOG9:KOJ9"/>
    <mergeCell ref="KOK9:KOL9"/>
    <mergeCell ref="KOM9:KON9"/>
    <mergeCell ref="KOO9:KOP9"/>
    <mergeCell ref="KOQ9:KOV9"/>
    <mergeCell ref="KMQ9:KMR9"/>
    <mergeCell ref="KMS9:KMT9"/>
    <mergeCell ref="KMU9:KMZ9"/>
    <mergeCell ref="KNA9:KND9"/>
    <mergeCell ref="KNE9:KNF9"/>
    <mergeCell ref="KNG9:KNH9"/>
    <mergeCell ref="KNI9:KNJ9"/>
    <mergeCell ref="KNK9:KNP9"/>
    <mergeCell ref="KNQ9:KNT9"/>
    <mergeCell ref="KLM9:KLN9"/>
    <mergeCell ref="KLO9:KLT9"/>
    <mergeCell ref="KLU9:KLX9"/>
    <mergeCell ref="KLY9:KLZ9"/>
    <mergeCell ref="KMA9:KMB9"/>
    <mergeCell ref="KMC9:KMD9"/>
    <mergeCell ref="KME9:KMJ9"/>
    <mergeCell ref="KMK9:KMN9"/>
    <mergeCell ref="KMO9:KMP9"/>
    <mergeCell ref="KKI9:KKN9"/>
    <mergeCell ref="KKO9:KKR9"/>
    <mergeCell ref="KKS9:KKT9"/>
    <mergeCell ref="KKU9:KKV9"/>
    <mergeCell ref="KKW9:KKX9"/>
    <mergeCell ref="KKY9:KLD9"/>
    <mergeCell ref="KLE9:KLH9"/>
    <mergeCell ref="KLI9:KLJ9"/>
    <mergeCell ref="KLK9:KLL9"/>
    <mergeCell ref="KJI9:KJL9"/>
    <mergeCell ref="KJM9:KJN9"/>
    <mergeCell ref="KJO9:KJP9"/>
    <mergeCell ref="KJQ9:KJR9"/>
    <mergeCell ref="KJS9:KJX9"/>
    <mergeCell ref="KJY9:KKB9"/>
    <mergeCell ref="KKC9:KKD9"/>
    <mergeCell ref="KKE9:KKF9"/>
    <mergeCell ref="KKG9:KKH9"/>
    <mergeCell ref="KIG9:KIH9"/>
    <mergeCell ref="KII9:KIJ9"/>
    <mergeCell ref="KIK9:KIL9"/>
    <mergeCell ref="KIM9:KIR9"/>
    <mergeCell ref="KIS9:KIV9"/>
    <mergeCell ref="KIW9:KIX9"/>
    <mergeCell ref="KIY9:KIZ9"/>
    <mergeCell ref="KJA9:KJB9"/>
    <mergeCell ref="KJC9:KJH9"/>
    <mergeCell ref="KHC9:KHD9"/>
    <mergeCell ref="KHE9:KHF9"/>
    <mergeCell ref="KHG9:KHL9"/>
    <mergeCell ref="KHM9:KHP9"/>
    <mergeCell ref="KHQ9:KHR9"/>
    <mergeCell ref="KHS9:KHT9"/>
    <mergeCell ref="KHU9:KHV9"/>
    <mergeCell ref="KHW9:KIB9"/>
    <mergeCell ref="KIC9:KIF9"/>
    <mergeCell ref="KFY9:KFZ9"/>
    <mergeCell ref="KGA9:KGF9"/>
    <mergeCell ref="KGG9:KGJ9"/>
    <mergeCell ref="KGK9:KGL9"/>
    <mergeCell ref="KGM9:KGN9"/>
    <mergeCell ref="KGO9:KGP9"/>
    <mergeCell ref="KGQ9:KGV9"/>
    <mergeCell ref="KGW9:KGZ9"/>
    <mergeCell ref="KHA9:KHB9"/>
    <mergeCell ref="KEU9:KEZ9"/>
    <mergeCell ref="KFA9:KFD9"/>
    <mergeCell ref="KFE9:KFF9"/>
    <mergeCell ref="KFG9:KFH9"/>
    <mergeCell ref="KFI9:KFJ9"/>
    <mergeCell ref="KFK9:KFP9"/>
    <mergeCell ref="KFQ9:KFT9"/>
    <mergeCell ref="KFU9:KFV9"/>
    <mergeCell ref="KFW9:KFX9"/>
    <mergeCell ref="KDU9:KDX9"/>
    <mergeCell ref="KDY9:KDZ9"/>
    <mergeCell ref="KEA9:KEB9"/>
    <mergeCell ref="KEC9:KED9"/>
    <mergeCell ref="KEE9:KEJ9"/>
    <mergeCell ref="KEK9:KEN9"/>
    <mergeCell ref="KEO9:KEP9"/>
    <mergeCell ref="KEQ9:KER9"/>
    <mergeCell ref="KES9:KET9"/>
    <mergeCell ref="KCS9:KCT9"/>
    <mergeCell ref="KCU9:KCV9"/>
    <mergeCell ref="KCW9:KCX9"/>
    <mergeCell ref="KCY9:KDD9"/>
    <mergeCell ref="KDE9:KDH9"/>
    <mergeCell ref="KDI9:KDJ9"/>
    <mergeCell ref="KDK9:KDL9"/>
    <mergeCell ref="KDM9:KDN9"/>
    <mergeCell ref="KDO9:KDT9"/>
    <mergeCell ref="KBO9:KBP9"/>
    <mergeCell ref="KBQ9:KBR9"/>
    <mergeCell ref="KBS9:KBX9"/>
    <mergeCell ref="KBY9:KCB9"/>
    <mergeCell ref="KCC9:KCD9"/>
    <mergeCell ref="KCE9:KCF9"/>
    <mergeCell ref="KCG9:KCH9"/>
    <mergeCell ref="KCI9:KCN9"/>
    <mergeCell ref="KCO9:KCR9"/>
    <mergeCell ref="KAK9:KAL9"/>
    <mergeCell ref="KAM9:KAR9"/>
    <mergeCell ref="KAS9:KAV9"/>
    <mergeCell ref="KAW9:KAX9"/>
    <mergeCell ref="KAY9:KAZ9"/>
    <mergeCell ref="KBA9:KBB9"/>
    <mergeCell ref="KBC9:KBH9"/>
    <mergeCell ref="KBI9:KBL9"/>
    <mergeCell ref="KBM9:KBN9"/>
    <mergeCell ref="JZG9:JZL9"/>
    <mergeCell ref="JZM9:JZP9"/>
    <mergeCell ref="JZQ9:JZR9"/>
    <mergeCell ref="JZS9:JZT9"/>
    <mergeCell ref="JZU9:JZV9"/>
    <mergeCell ref="JZW9:KAB9"/>
    <mergeCell ref="KAC9:KAF9"/>
    <mergeCell ref="KAG9:KAH9"/>
    <mergeCell ref="KAI9:KAJ9"/>
    <mergeCell ref="JYG9:JYJ9"/>
    <mergeCell ref="JYK9:JYL9"/>
    <mergeCell ref="JYM9:JYN9"/>
    <mergeCell ref="JYO9:JYP9"/>
    <mergeCell ref="JYQ9:JYV9"/>
    <mergeCell ref="JYW9:JYZ9"/>
    <mergeCell ref="JZA9:JZB9"/>
    <mergeCell ref="JZC9:JZD9"/>
    <mergeCell ref="JZE9:JZF9"/>
    <mergeCell ref="JXE9:JXF9"/>
    <mergeCell ref="JXG9:JXH9"/>
    <mergeCell ref="JXI9:JXJ9"/>
    <mergeCell ref="JXK9:JXP9"/>
    <mergeCell ref="JXQ9:JXT9"/>
    <mergeCell ref="JXU9:JXV9"/>
    <mergeCell ref="JXW9:JXX9"/>
    <mergeCell ref="JXY9:JXZ9"/>
    <mergeCell ref="JYA9:JYF9"/>
    <mergeCell ref="JWA9:JWB9"/>
    <mergeCell ref="JWC9:JWD9"/>
    <mergeCell ref="JWE9:JWJ9"/>
    <mergeCell ref="JWK9:JWN9"/>
    <mergeCell ref="JWO9:JWP9"/>
    <mergeCell ref="JWQ9:JWR9"/>
    <mergeCell ref="JWS9:JWT9"/>
    <mergeCell ref="JWU9:JWZ9"/>
    <mergeCell ref="JXA9:JXD9"/>
    <mergeCell ref="JUW9:JUX9"/>
    <mergeCell ref="JUY9:JVD9"/>
    <mergeCell ref="JVE9:JVH9"/>
    <mergeCell ref="JVI9:JVJ9"/>
    <mergeCell ref="JVK9:JVL9"/>
    <mergeCell ref="JVM9:JVN9"/>
    <mergeCell ref="JVO9:JVT9"/>
    <mergeCell ref="JVU9:JVX9"/>
    <mergeCell ref="JVY9:JVZ9"/>
    <mergeCell ref="JTS9:JTX9"/>
    <mergeCell ref="JTY9:JUB9"/>
    <mergeCell ref="JUC9:JUD9"/>
    <mergeCell ref="JUE9:JUF9"/>
    <mergeCell ref="JUG9:JUH9"/>
    <mergeCell ref="JUI9:JUN9"/>
    <mergeCell ref="JUO9:JUR9"/>
    <mergeCell ref="JUS9:JUT9"/>
    <mergeCell ref="JUU9:JUV9"/>
    <mergeCell ref="JSS9:JSV9"/>
    <mergeCell ref="JSW9:JSX9"/>
    <mergeCell ref="JSY9:JSZ9"/>
    <mergeCell ref="JTA9:JTB9"/>
    <mergeCell ref="JTC9:JTH9"/>
    <mergeCell ref="JTI9:JTL9"/>
    <mergeCell ref="JTM9:JTN9"/>
    <mergeCell ref="JTO9:JTP9"/>
    <mergeCell ref="JTQ9:JTR9"/>
    <mergeCell ref="JRQ9:JRR9"/>
    <mergeCell ref="JRS9:JRT9"/>
    <mergeCell ref="JRU9:JRV9"/>
    <mergeCell ref="JRW9:JSB9"/>
    <mergeCell ref="JSC9:JSF9"/>
    <mergeCell ref="JSG9:JSH9"/>
    <mergeCell ref="JSI9:JSJ9"/>
    <mergeCell ref="JSK9:JSL9"/>
    <mergeCell ref="JSM9:JSR9"/>
    <mergeCell ref="JQM9:JQN9"/>
    <mergeCell ref="JQO9:JQP9"/>
    <mergeCell ref="JQQ9:JQV9"/>
    <mergeCell ref="JQW9:JQZ9"/>
    <mergeCell ref="JRA9:JRB9"/>
    <mergeCell ref="JRC9:JRD9"/>
    <mergeCell ref="JRE9:JRF9"/>
    <mergeCell ref="JRG9:JRL9"/>
    <mergeCell ref="JRM9:JRP9"/>
    <mergeCell ref="JPI9:JPJ9"/>
    <mergeCell ref="JPK9:JPP9"/>
    <mergeCell ref="JPQ9:JPT9"/>
    <mergeCell ref="JPU9:JPV9"/>
    <mergeCell ref="JPW9:JPX9"/>
    <mergeCell ref="JPY9:JPZ9"/>
    <mergeCell ref="JQA9:JQF9"/>
    <mergeCell ref="JQG9:JQJ9"/>
    <mergeCell ref="JQK9:JQL9"/>
    <mergeCell ref="JOE9:JOJ9"/>
    <mergeCell ref="JOK9:JON9"/>
    <mergeCell ref="JOO9:JOP9"/>
    <mergeCell ref="JOQ9:JOR9"/>
    <mergeCell ref="JOS9:JOT9"/>
    <mergeCell ref="JOU9:JOZ9"/>
    <mergeCell ref="JPA9:JPD9"/>
    <mergeCell ref="JPE9:JPF9"/>
    <mergeCell ref="JPG9:JPH9"/>
    <mergeCell ref="JNE9:JNH9"/>
    <mergeCell ref="JNI9:JNJ9"/>
    <mergeCell ref="JNK9:JNL9"/>
    <mergeCell ref="JNM9:JNN9"/>
    <mergeCell ref="JNO9:JNT9"/>
    <mergeCell ref="JNU9:JNX9"/>
    <mergeCell ref="JNY9:JNZ9"/>
    <mergeCell ref="JOA9:JOB9"/>
    <mergeCell ref="JOC9:JOD9"/>
    <mergeCell ref="JMC9:JMD9"/>
    <mergeCell ref="JME9:JMF9"/>
    <mergeCell ref="JMG9:JMH9"/>
    <mergeCell ref="JMI9:JMN9"/>
    <mergeCell ref="JMO9:JMR9"/>
    <mergeCell ref="JMS9:JMT9"/>
    <mergeCell ref="JMU9:JMV9"/>
    <mergeCell ref="JMW9:JMX9"/>
    <mergeCell ref="JMY9:JND9"/>
    <mergeCell ref="JKY9:JKZ9"/>
    <mergeCell ref="JLA9:JLB9"/>
    <mergeCell ref="JLC9:JLH9"/>
    <mergeCell ref="JLI9:JLL9"/>
    <mergeCell ref="JLM9:JLN9"/>
    <mergeCell ref="JLO9:JLP9"/>
    <mergeCell ref="JLQ9:JLR9"/>
    <mergeCell ref="JLS9:JLX9"/>
    <mergeCell ref="JLY9:JMB9"/>
    <mergeCell ref="JJU9:JJV9"/>
    <mergeCell ref="JJW9:JKB9"/>
    <mergeCell ref="JKC9:JKF9"/>
    <mergeCell ref="JKG9:JKH9"/>
    <mergeCell ref="JKI9:JKJ9"/>
    <mergeCell ref="JKK9:JKL9"/>
    <mergeCell ref="JKM9:JKR9"/>
    <mergeCell ref="JKS9:JKV9"/>
    <mergeCell ref="JKW9:JKX9"/>
    <mergeCell ref="JIQ9:JIV9"/>
    <mergeCell ref="JIW9:JIZ9"/>
    <mergeCell ref="JJA9:JJB9"/>
    <mergeCell ref="JJC9:JJD9"/>
    <mergeCell ref="JJE9:JJF9"/>
    <mergeCell ref="JJG9:JJL9"/>
    <mergeCell ref="JJM9:JJP9"/>
    <mergeCell ref="JJQ9:JJR9"/>
    <mergeCell ref="JJS9:JJT9"/>
    <mergeCell ref="JHQ9:JHT9"/>
    <mergeCell ref="JHU9:JHV9"/>
    <mergeCell ref="JHW9:JHX9"/>
    <mergeCell ref="JHY9:JHZ9"/>
    <mergeCell ref="JIA9:JIF9"/>
    <mergeCell ref="JIG9:JIJ9"/>
    <mergeCell ref="JIK9:JIL9"/>
    <mergeCell ref="JIM9:JIN9"/>
    <mergeCell ref="JIO9:JIP9"/>
    <mergeCell ref="JGO9:JGP9"/>
    <mergeCell ref="JGQ9:JGR9"/>
    <mergeCell ref="JGS9:JGT9"/>
    <mergeCell ref="JGU9:JGZ9"/>
    <mergeCell ref="JHA9:JHD9"/>
    <mergeCell ref="JHE9:JHF9"/>
    <mergeCell ref="JHG9:JHH9"/>
    <mergeCell ref="JHI9:JHJ9"/>
    <mergeCell ref="JHK9:JHP9"/>
    <mergeCell ref="JFK9:JFL9"/>
    <mergeCell ref="JFM9:JFN9"/>
    <mergeCell ref="JFO9:JFT9"/>
    <mergeCell ref="JFU9:JFX9"/>
    <mergeCell ref="JFY9:JFZ9"/>
    <mergeCell ref="JGA9:JGB9"/>
    <mergeCell ref="JGC9:JGD9"/>
    <mergeCell ref="JGE9:JGJ9"/>
    <mergeCell ref="JGK9:JGN9"/>
    <mergeCell ref="JEG9:JEH9"/>
    <mergeCell ref="JEI9:JEN9"/>
    <mergeCell ref="JEO9:JER9"/>
    <mergeCell ref="JES9:JET9"/>
    <mergeCell ref="JEU9:JEV9"/>
    <mergeCell ref="JEW9:JEX9"/>
    <mergeCell ref="JEY9:JFD9"/>
    <mergeCell ref="JFE9:JFH9"/>
    <mergeCell ref="JFI9:JFJ9"/>
    <mergeCell ref="JDC9:JDH9"/>
    <mergeCell ref="JDI9:JDL9"/>
    <mergeCell ref="JDM9:JDN9"/>
    <mergeCell ref="JDO9:JDP9"/>
    <mergeCell ref="JDQ9:JDR9"/>
    <mergeCell ref="JDS9:JDX9"/>
    <mergeCell ref="JDY9:JEB9"/>
    <mergeCell ref="JEC9:JED9"/>
    <mergeCell ref="JEE9:JEF9"/>
    <mergeCell ref="JCC9:JCF9"/>
    <mergeCell ref="JCG9:JCH9"/>
    <mergeCell ref="JCI9:JCJ9"/>
    <mergeCell ref="JCK9:JCL9"/>
    <mergeCell ref="JCM9:JCR9"/>
    <mergeCell ref="JCS9:JCV9"/>
    <mergeCell ref="JCW9:JCX9"/>
    <mergeCell ref="JCY9:JCZ9"/>
    <mergeCell ref="JDA9:JDB9"/>
    <mergeCell ref="JBA9:JBB9"/>
    <mergeCell ref="JBC9:JBD9"/>
    <mergeCell ref="JBE9:JBF9"/>
    <mergeCell ref="JBG9:JBL9"/>
    <mergeCell ref="JBM9:JBP9"/>
    <mergeCell ref="JBQ9:JBR9"/>
    <mergeCell ref="JBS9:JBT9"/>
    <mergeCell ref="JBU9:JBV9"/>
    <mergeCell ref="JBW9:JCB9"/>
    <mergeCell ref="IZW9:IZX9"/>
    <mergeCell ref="IZY9:IZZ9"/>
    <mergeCell ref="JAA9:JAF9"/>
    <mergeCell ref="JAG9:JAJ9"/>
    <mergeCell ref="JAK9:JAL9"/>
    <mergeCell ref="JAM9:JAN9"/>
    <mergeCell ref="JAO9:JAP9"/>
    <mergeCell ref="JAQ9:JAV9"/>
    <mergeCell ref="JAW9:JAZ9"/>
    <mergeCell ref="IYS9:IYT9"/>
    <mergeCell ref="IYU9:IYZ9"/>
    <mergeCell ref="IZA9:IZD9"/>
    <mergeCell ref="IZE9:IZF9"/>
    <mergeCell ref="IZG9:IZH9"/>
    <mergeCell ref="IZI9:IZJ9"/>
    <mergeCell ref="IZK9:IZP9"/>
    <mergeCell ref="IZQ9:IZT9"/>
    <mergeCell ref="IZU9:IZV9"/>
    <mergeCell ref="IXO9:IXT9"/>
    <mergeCell ref="IXU9:IXX9"/>
    <mergeCell ref="IXY9:IXZ9"/>
    <mergeCell ref="IYA9:IYB9"/>
    <mergeCell ref="IYC9:IYD9"/>
    <mergeCell ref="IYE9:IYJ9"/>
    <mergeCell ref="IYK9:IYN9"/>
    <mergeCell ref="IYO9:IYP9"/>
    <mergeCell ref="IYQ9:IYR9"/>
    <mergeCell ref="IWO9:IWR9"/>
    <mergeCell ref="IWS9:IWT9"/>
    <mergeCell ref="IWU9:IWV9"/>
    <mergeCell ref="IWW9:IWX9"/>
    <mergeCell ref="IWY9:IXD9"/>
    <mergeCell ref="IXE9:IXH9"/>
    <mergeCell ref="IXI9:IXJ9"/>
    <mergeCell ref="IXK9:IXL9"/>
    <mergeCell ref="IXM9:IXN9"/>
    <mergeCell ref="IVM9:IVN9"/>
    <mergeCell ref="IVO9:IVP9"/>
    <mergeCell ref="IVQ9:IVR9"/>
    <mergeCell ref="IVS9:IVX9"/>
    <mergeCell ref="IVY9:IWB9"/>
    <mergeCell ref="IWC9:IWD9"/>
    <mergeCell ref="IWE9:IWF9"/>
    <mergeCell ref="IWG9:IWH9"/>
    <mergeCell ref="IWI9:IWN9"/>
    <mergeCell ref="IUI9:IUJ9"/>
    <mergeCell ref="IUK9:IUL9"/>
    <mergeCell ref="IUM9:IUR9"/>
    <mergeCell ref="IUS9:IUV9"/>
    <mergeCell ref="IUW9:IUX9"/>
    <mergeCell ref="IUY9:IUZ9"/>
    <mergeCell ref="IVA9:IVB9"/>
    <mergeCell ref="IVC9:IVH9"/>
    <mergeCell ref="IVI9:IVL9"/>
    <mergeCell ref="ITE9:ITF9"/>
    <mergeCell ref="ITG9:ITL9"/>
    <mergeCell ref="ITM9:ITP9"/>
    <mergeCell ref="ITQ9:ITR9"/>
    <mergeCell ref="ITS9:ITT9"/>
    <mergeCell ref="ITU9:ITV9"/>
    <mergeCell ref="ITW9:IUB9"/>
    <mergeCell ref="IUC9:IUF9"/>
    <mergeCell ref="IUG9:IUH9"/>
    <mergeCell ref="ISA9:ISF9"/>
    <mergeCell ref="ISG9:ISJ9"/>
    <mergeCell ref="ISK9:ISL9"/>
    <mergeCell ref="ISM9:ISN9"/>
    <mergeCell ref="ISO9:ISP9"/>
    <mergeCell ref="ISQ9:ISV9"/>
    <mergeCell ref="ISW9:ISZ9"/>
    <mergeCell ref="ITA9:ITB9"/>
    <mergeCell ref="ITC9:ITD9"/>
    <mergeCell ref="IRA9:IRD9"/>
    <mergeCell ref="IRE9:IRF9"/>
    <mergeCell ref="IRG9:IRH9"/>
    <mergeCell ref="IRI9:IRJ9"/>
    <mergeCell ref="IRK9:IRP9"/>
    <mergeCell ref="IRQ9:IRT9"/>
    <mergeCell ref="IRU9:IRV9"/>
    <mergeCell ref="IRW9:IRX9"/>
    <mergeCell ref="IRY9:IRZ9"/>
    <mergeCell ref="IPY9:IPZ9"/>
    <mergeCell ref="IQA9:IQB9"/>
    <mergeCell ref="IQC9:IQD9"/>
    <mergeCell ref="IQE9:IQJ9"/>
    <mergeCell ref="IQK9:IQN9"/>
    <mergeCell ref="IQO9:IQP9"/>
    <mergeCell ref="IQQ9:IQR9"/>
    <mergeCell ref="IQS9:IQT9"/>
    <mergeCell ref="IQU9:IQZ9"/>
    <mergeCell ref="IOU9:IOV9"/>
    <mergeCell ref="IOW9:IOX9"/>
    <mergeCell ref="IOY9:IPD9"/>
    <mergeCell ref="IPE9:IPH9"/>
    <mergeCell ref="IPI9:IPJ9"/>
    <mergeCell ref="IPK9:IPL9"/>
    <mergeCell ref="IPM9:IPN9"/>
    <mergeCell ref="IPO9:IPT9"/>
    <mergeCell ref="IPU9:IPX9"/>
    <mergeCell ref="INQ9:INR9"/>
    <mergeCell ref="INS9:INX9"/>
    <mergeCell ref="INY9:IOB9"/>
    <mergeCell ref="IOC9:IOD9"/>
    <mergeCell ref="IOE9:IOF9"/>
    <mergeCell ref="IOG9:IOH9"/>
    <mergeCell ref="IOI9:ION9"/>
    <mergeCell ref="IOO9:IOR9"/>
    <mergeCell ref="IOS9:IOT9"/>
    <mergeCell ref="IMM9:IMR9"/>
    <mergeCell ref="IMS9:IMV9"/>
    <mergeCell ref="IMW9:IMX9"/>
    <mergeCell ref="IMY9:IMZ9"/>
    <mergeCell ref="INA9:INB9"/>
    <mergeCell ref="INC9:INH9"/>
    <mergeCell ref="INI9:INL9"/>
    <mergeCell ref="INM9:INN9"/>
    <mergeCell ref="INO9:INP9"/>
    <mergeCell ref="ILM9:ILP9"/>
    <mergeCell ref="ILQ9:ILR9"/>
    <mergeCell ref="ILS9:ILT9"/>
    <mergeCell ref="ILU9:ILV9"/>
    <mergeCell ref="ILW9:IMB9"/>
    <mergeCell ref="IMC9:IMF9"/>
    <mergeCell ref="IMG9:IMH9"/>
    <mergeCell ref="IMI9:IMJ9"/>
    <mergeCell ref="IMK9:IML9"/>
    <mergeCell ref="IKK9:IKL9"/>
    <mergeCell ref="IKM9:IKN9"/>
    <mergeCell ref="IKO9:IKP9"/>
    <mergeCell ref="IKQ9:IKV9"/>
    <mergeCell ref="IKW9:IKZ9"/>
    <mergeCell ref="ILA9:ILB9"/>
    <mergeCell ref="ILC9:ILD9"/>
    <mergeCell ref="ILE9:ILF9"/>
    <mergeCell ref="ILG9:ILL9"/>
    <mergeCell ref="IJG9:IJH9"/>
    <mergeCell ref="IJI9:IJJ9"/>
    <mergeCell ref="IJK9:IJP9"/>
    <mergeCell ref="IJQ9:IJT9"/>
    <mergeCell ref="IJU9:IJV9"/>
    <mergeCell ref="IJW9:IJX9"/>
    <mergeCell ref="IJY9:IJZ9"/>
    <mergeCell ref="IKA9:IKF9"/>
    <mergeCell ref="IKG9:IKJ9"/>
    <mergeCell ref="IIC9:IID9"/>
    <mergeCell ref="IIE9:IIJ9"/>
    <mergeCell ref="IIK9:IIN9"/>
    <mergeCell ref="IIO9:IIP9"/>
    <mergeCell ref="IIQ9:IIR9"/>
    <mergeCell ref="IIS9:IIT9"/>
    <mergeCell ref="IIU9:IIZ9"/>
    <mergeCell ref="IJA9:IJD9"/>
    <mergeCell ref="IJE9:IJF9"/>
    <mergeCell ref="IGY9:IHD9"/>
    <mergeCell ref="IHE9:IHH9"/>
    <mergeCell ref="IHI9:IHJ9"/>
    <mergeCell ref="IHK9:IHL9"/>
    <mergeCell ref="IHM9:IHN9"/>
    <mergeCell ref="IHO9:IHT9"/>
    <mergeCell ref="IHU9:IHX9"/>
    <mergeCell ref="IHY9:IHZ9"/>
    <mergeCell ref="IIA9:IIB9"/>
    <mergeCell ref="IFY9:IGB9"/>
    <mergeCell ref="IGC9:IGD9"/>
    <mergeCell ref="IGE9:IGF9"/>
    <mergeCell ref="IGG9:IGH9"/>
    <mergeCell ref="IGI9:IGN9"/>
    <mergeCell ref="IGO9:IGR9"/>
    <mergeCell ref="IGS9:IGT9"/>
    <mergeCell ref="IGU9:IGV9"/>
    <mergeCell ref="IGW9:IGX9"/>
    <mergeCell ref="IEW9:IEX9"/>
    <mergeCell ref="IEY9:IEZ9"/>
    <mergeCell ref="IFA9:IFB9"/>
    <mergeCell ref="IFC9:IFH9"/>
    <mergeCell ref="IFI9:IFL9"/>
    <mergeCell ref="IFM9:IFN9"/>
    <mergeCell ref="IFO9:IFP9"/>
    <mergeCell ref="IFQ9:IFR9"/>
    <mergeCell ref="IFS9:IFX9"/>
    <mergeCell ref="IDS9:IDT9"/>
    <mergeCell ref="IDU9:IDV9"/>
    <mergeCell ref="IDW9:IEB9"/>
    <mergeCell ref="IEC9:IEF9"/>
    <mergeCell ref="IEG9:IEH9"/>
    <mergeCell ref="IEI9:IEJ9"/>
    <mergeCell ref="IEK9:IEL9"/>
    <mergeCell ref="IEM9:IER9"/>
    <mergeCell ref="IES9:IEV9"/>
    <mergeCell ref="ICO9:ICP9"/>
    <mergeCell ref="ICQ9:ICV9"/>
    <mergeCell ref="ICW9:ICZ9"/>
    <mergeCell ref="IDA9:IDB9"/>
    <mergeCell ref="IDC9:IDD9"/>
    <mergeCell ref="IDE9:IDF9"/>
    <mergeCell ref="IDG9:IDL9"/>
    <mergeCell ref="IDM9:IDP9"/>
    <mergeCell ref="IDQ9:IDR9"/>
    <mergeCell ref="IBK9:IBP9"/>
    <mergeCell ref="IBQ9:IBT9"/>
    <mergeCell ref="IBU9:IBV9"/>
    <mergeCell ref="IBW9:IBX9"/>
    <mergeCell ref="IBY9:IBZ9"/>
    <mergeCell ref="ICA9:ICF9"/>
    <mergeCell ref="ICG9:ICJ9"/>
    <mergeCell ref="ICK9:ICL9"/>
    <mergeCell ref="ICM9:ICN9"/>
    <mergeCell ref="IAK9:IAN9"/>
    <mergeCell ref="IAO9:IAP9"/>
    <mergeCell ref="IAQ9:IAR9"/>
    <mergeCell ref="IAS9:IAT9"/>
    <mergeCell ref="IAU9:IAZ9"/>
    <mergeCell ref="IBA9:IBD9"/>
    <mergeCell ref="IBE9:IBF9"/>
    <mergeCell ref="IBG9:IBH9"/>
    <mergeCell ref="IBI9:IBJ9"/>
    <mergeCell ref="HZI9:HZJ9"/>
    <mergeCell ref="HZK9:HZL9"/>
    <mergeCell ref="HZM9:HZN9"/>
    <mergeCell ref="HZO9:HZT9"/>
    <mergeCell ref="HZU9:HZX9"/>
    <mergeCell ref="HZY9:HZZ9"/>
    <mergeCell ref="IAA9:IAB9"/>
    <mergeCell ref="IAC9:IAD9"/>
    <mergeCell ref="IAE9:IAJ9"/>
    <mergeCell ref="HYE9:HYF9"/>
    <mergeCell ref="HYG9:HYH9"/>
    <mergeCell ref="HYI9:HYN9"/>
    <mergeCell ref="HYO9:HYR9"/>
    <mergeCell ref="HYS9:HYT9"/>
    <mergeCell ref="HYU9:HYV9"/>
    <mergeCell ref="HYW9:HYX9"/>
    <mergeCell ref="HYY9:HZD9"/>
    <mergeCell ref="HZE9:HZH9"/>
    <mergeCell ref="HXA9:HXB9"/>
    <mergeCell ref="HXC9:HXH9"/>
    <mergeCell ref="HXI9:HXL9"/>
    <mergeCell ref="HXM9:HXN9"/>
    <mergeCell ref="HXO9:HXP9"/>
    <mergeCell ref="HXQ9:HXR9"/>
    <mergeCell ref="HXS9:HXX9"/>
    <mergeCell ref="HXY9:HYB9"/>
    <mergeCell ref="HYC9:HYD9"/>
    <mergeCell ref="HVW9:HWB9"/>
    <mergeCell ref="HWC9:HWF9"/>
    <mergeCell ref="HWG9:HWH9"/>
    <mergeCell ref="HWI9:HWJ9"/>
    <mergeCell ref="HWK9:HWL9"/>
    <mergeCell ref="HWM9:HWR9"/>
    <mergeCell ref="HWS9:HWV9"/>
    <mergeCell ref="HWW9:HWX9"/>
    <mergeCell ref="HWY9:HWZ9"/>
    <mergeCell ref="HUW9:HUZ9"/>
    <mergeCell ref="HVA9:HVB9"/>
    <mergeCell ref="HVC9:HVD9"/>
    <mergeCell ref="HVE9:HVF9"/>
    <mergeCell ref="HVG9:HVL9"/>
    <mergeCell ref="HVM9:HVP9"/>
    <mergeCell ref="HVQ9:HVR9"/>
    <mergeCell ref="HVS9:HVT9"/>
    <mergeCell ref="HVU9:HVV9"/>
    <mergeCell ref="HTU9:HTV9"/>
    <mergeCell ref="HTW9:HTX9"/>
    <mergeCell ref="HTY9:HTZ9"/>
    <mergeCell ref="HUA9:HUF9"/>
    <mergeCell ref="HUG9:HUJ9"/>
    <mergeCell ref="HUK9:HUL9"/>
    <mergeCell ref="HUM9:HUN9"/>
    <mergeCell ref="HUO9:HUP9"/>
    <mergeCell ref="HUQ9:HUV9"/>
    <mergeCell ref="HSQ9:HSR9"/>
    <mergeCell ref="HSS9:HST9"/>
    <mergeCell ref="HSU9:HSZ9"/>
    <mergeCell ref="HTA9:HTD9"/>
    <mergeCell ref="HTE9:HTF9"/>
    <mergeCell ref="HTG9:HTH9"/>
    <mergeCell ref="HTI9:HTJ9"/>
    <mergeCell ref="HTK9:HTP9"/>
    <mergeCell ref="HTQ9:HTT9"/>
    <mergeCell ref="HRM9:HRN9"/>
    <mergeCell ref="HRO9:HRT9"/>
    <mergeCell ref="HRU9:HRX9"/>
    <mergeCell ref="HRY9:HRZ9"/>
    <mergeCell ref="HSA9:HSB9"/>
    <mergeCell ref="HSC9:HSD9"/>
    <mergeCell ref="HSE9:HSJ9"/>
    <mergeCell ref="HSK9:HSN9"/>
    <mergeCell ref="HSO9:HSP9"/>
    <mergeCell ref="HQI9:HQN9"/>
    <mergeCell ref="HQO9:HQR9"/>
    <mergeCell ref="HQS9:HQT9"/>
    <mergeCell ref="HQU9:HQV9"/>
    <mergeCell ref="HQW9:HQX9"/>
    <mergeCell ref="HQY9:HRD9"/>
    <mergeCell ref="HRE9:HRH9"/>
    <mergeCell ref="HRI9:HRJ9"/>
    <mergeCell ref="HRK9:HRL9"/>
    <mergeCell ref="HPI9:HPL9"/>
    <mergeCell ref="HPM9:HPN9"/>
    <mergeCell ref="HPO9:HPP9"/>
    <mergeCell ref="HPQ9:HPR9"/>
    <mergeCell ref="HPS9:HPX9"/>
    <mergeCell ref="HPY9:HQB9"/>
    <mergeCell ref="HQC9:HQD9"/>
    <mergeCell ref="HQE9:HQF9"/>
    <mergeCell ref="HQG9:HQH9"/>
    <mergeCell ref="HOG9:HOH9"/>
    <mergeCell ref="HOI9:HOJ9"/>
    <mergeCell ref="HOK9:HOL9"/>
    <mergeCell ref="HOM9:HOR9"/>
    <mergeCell ref="HOS9:HOV9"/>
    <mergeCell ref="HOW9:HOX9"/>
    <mergeCell ref="HOY9:HOZ9"/>
    <mergeCell ref="HPA9:HPB9"/>
    <mergeCell ref="HPC9:HPH9"/>
    <mergeCell ref="HNC9:HND9"/>
    <mergeCell ref="HNE9:HNF9"/>
    <mergeCell ref="HNG9:HNL9"/>
    <mergeCell ref="HNM9:HNP9"/>
    <mergeCell ref="HNQ9:HNR9"/>
    <mergeCell ref="HNS9:HNT9"/>
    <mergeCell ref="HNU9:HNV9"/>
    <mergeCell ref="HNW9:HOB9"/>
    <mergeCell ref="HOC9:HOF9"/>
    <mergeCell ref="HLY9:HLZ9"/>
    <mergeCell ref="HMA9:HMF9"/>
    <mergeCell ref="HMG9:HMJ9"/>
    <mergeCell ref="HMK9:HML9"/>
    <mergeCell ref="HMM9:HMN9"/>
    <mergeCell ref="HMO9:HMP9"/>
    <mergeCell ref="HMQ9:HMV9"/>
    <mergeCell ref="HMW9:HMZ9"/>
    <mergeCell ref="HNA9:HNB9"/>
    <mergeCell ref="HKU9:HKZ9"/>
    <mergeCell ref="HLA9:HLD9"/>
    <mergeCell ref="HLE9:HLF9"/>
    <mergeCell ref="HLG9:HLH9"/>
    <mergeCell ref="HLI9:HLJ9"/>
    <mergeCell ref="HLK9:HLP9"/>
    <mergeCell ref="HLQ9:HLT9"/>
    <mergeCell ref="HLU9:HLV9"/>
    <mergeCell ref="HLW9:HLX9"/>
    <mergeCell ref="HJU9:HJX9"/>
    <mergeCell ref="HJY9:HJZ9"/>
    <mergeCell ref="HKA9:HKB9"/>
    <mergeCell ref="HKC9:HKD9"/>
    <mergeCell ref="HKE9:HKJ9"/>
    <mergeCell ref="HKK9:HKN9"/>
    <mergeCell ref="HKO9:HKP9"/>
    <mergeCell ref="HKQ9:HKR9"/>
    <mergeCell ref="HKS9:HKT9"/>
    <mergeCell ref="HIS9:HIT9"/>
    <mergeCell ref="HIU9:HIV9"/>
    <mergeCell ref="HIW9:HIX9"/>
    <mergeCell ref="HIY9:HJD9"/>
    <mergeCell ref="HJE9:HJH9"/>
    <mergeCell ref="HJI9:HJJ9"/>
    <mergeCell ref="HJK9:HJL9"/>
    <mergeCell ref="HJM9:HJN9"/>
    <mergeCell ref="HJO9:HJT9"/>
    <mergeCell ref="HHO9:HHP9"/>
    <mergeCell ref="HHQ9:HHR9"/>
    <mergeCell ref="HHS9:HHX9"/>
    <mergeCell ref="HHY9:HIB9"/>
    <mergeCell ref="HIC9:HID9"/>
    <mergeCell ref="HIE9:HIF9"/>
    <mergeCell ref="HIG9:HIH9"/>
    <mergeCell ref="HII9:HIN9"/>
    <mergeCell ref="HIO9:HIR9"/>
    <mergeCell ref="HGK9:HGL9"/>
    <mergeCell ref="HGM9:HGR9"/>
    <mergeCell ref="HGS9:HGV9"/>
    <mergeCell ref="HGW9:HGX9"/>
    <mergeCell ref="HGY9:HGZ9"/>
    <mergeCell ref="HHA9:HHB9"/>
    <mergeCell ref="HHC9:HHH9"/>
    <mergeCell ref="HHI9:HHL9"/>
    <mergeCell ref="HHM9:HHN9"/>
    <mergeCell ref="HFG9:HFL9"/>
    <mergeCell ref="HFM9:HFP9"/>
    <mergeCell ref="HFQ9:HFR9"/>
    <mergeCell ref="HFS9:HFT9"/>
    <mergeCell ref="HFU9:HFV9"/>
    <mergeCell ref="HFW9:HGB9"/>
    <mergeCell ref="HGC9:HGF9"/>
    <mergeCell ref="HGG9:HGH9"/>
    <mergeCell ref="HGI9:HGJ9"/>
    <mergeCell ref="HEG9:HEJ9"/>
    <mergeCell ref="HEK9:HEL9"/>
    <mergeCell ref="HEM9:HEN9"/>
    <mergeCell ref="HEO9:HEP9"/>
    <mergeCell ref="HEQ9:HEV9"/>
    <mergeCell ref="HEW9:HEZ9"/>
    <mergeCell ref="HFA9:HFB9"/>
    <mergeCell ref="HFC9:HFD9"/>
    <mergeCell ref="HFE9:HFF9"/>
    <mergeCell ref="HDE9:HDF9"/>
    <mergeCell ref="HDG9:HDH9"/>
    <mergeCell ref="HDI9:HDJ9"/>
    <mergeCell ref="HDK9:HDP9"/>
    <mergeCell ref="HDQ9:HDT9"/>
    <mergeCell ref="HDU9:HDV9"/>
    <mergeCell ref="HDW9:HDX9"/>
    <mergeCell ref="HDY9:HDZ9"/>
    <mergeCell ref="HEA9:HEF9"/>
    <mergeCell ref="HCA9:HCB9"/>
    <mergeCell ref="HCC9:HCD9"/>
    <mergeCell ref="HCE9:HCJ9"/>
    <mergeCell ref="HCK9:HCN9"/>
    <mergeCell ref="HCO9:HCP9"/>
    <mergeCell ref="HCQ9:HCR9"/>
    <mergeCell ref="HCS9:HCT9"/>
    <mergeCell ref="HCU9:HCZ9"/>
    <mergeCell ref="HDA9:HDD9"/>
    <mergeCell ref="HAW9:HAX9"/>
    <mergeCell ref="HAY9:HBD9"/>
    <mergeCell ref="HBE9:HBH9"/>
    <mergeCell ref="HBI9:HBJ9"/>
    <mergeCell ref="HBK9:HBL9"/>
    <mergeCell ref="HBM9:HBN9"/>
    <mergeCell ref="HBO9:HBT9"/>
    <mergeCell ref="HBU9:HBX9"/>
    <mergeCell ref="HBY9:HBZ9"/>
    <mergeCell ref="GZS9:GZX9"/>
    <mergeCell ref="GZY9:HAB9"/>
    <mergeCell ref="HAC9:HAD9"/>
    <mergeCell ref="HAE9:HAF9"/>
    <mergeCell ref="HAG9:HAH9"/>
    <mergeCell ref="HAI9:HAN9"/>
    <mergeCell ref="HAO9:HAR9"/>
    <mergeCell ref="HAS9:HAT9"/>
    <mergeCell ref="HAU9:HAV9"/>
    <mergeCell ref="GYS9:GYV9"/>
    <mergeCell ref="GYW9:GYX9"/>
    <mergeCell ref="GYY9:GYZ9"/>
    <mergeCell ref="GZA9:GZB9"/>
    <mergeCell ref="GZC9:GZH9"/>
    <mergeCell ref="GZI9:GZL9"/>
    <mergeCell ref="GZM9:GZN9"/>
    <mergeCell ref="GZO9:GZP9"/>
    <mergeCell ref="GZQ9:GZR9"/>
    <mergeCell ref="GXQ9:GXR9"/>
    <mergeCell ref="GXS9:GXT9"/>
    <mergeCell ref="GXU9:GXV9"/>
    <mergeCell ref="GXW9:GYB9"/>
    <mergeCell ref="GYC9:GYF9"/>
    <mergeCell ref="GYG9:GYH9"/>
    <mergeCell ref="GYI9:GYJ9"/>
    <mergeCell ref="GYK9:GYL9"/>
    <mergeCell ref="GYM9:GYR9"/>
    <mergeCell ref="GWM9:GWN9"/>
    <mergeCell ref="GWO9:GWP9"/>
    <mergeCell ref="GWQ9:GWV9"/>
    <mergeCell ref="GWW9:GWZ9"/>
    <mergeCell ref="GXA9:GXB9"/>
    <mergeCell ref="GXC9:GXD9"/>
    <mergeCell ref="GXE9:GXF9"/>
    <mergeCell ref="GXG9:GXL9"/>
    <mergeCell ref="GXM9:GXP9"/>
    <mergeCell ref="GVI9:GVJ9"/>
    <mergeCell ref="GVK9:GVP9"/>
    <mergeCell ref="GVQ9:GVT9"/>
    <mergeCell ref="GVU9:GVV9"/>
    <mergeCell ref="GVW9:GVX9"/>
    <mergeCell ref="GVY9:GVZ9"/>
    <mergeCell ref="GWA9:GWF9"/>
    <mergeCell ref="GWG9:GWJ9"/>
    <mergeCell ref="GWK9:GWL9"/>
    <mergeCell ref="GUE9:GUJ9"/>
    <mergeCell ref="GUK9:GUN9"/>
    <mergeCell ref="GUO9:GUP9"/>
    <mergeCell ref="GUQ9:GUR9"/>
    <mergeCell ref="GUS9:GUT9"/>
    <mergeCell ref="GUU9:GUZ9"/>
    <mergeCell ref="GVA9:GVD9"/>
    <mergeCell ref="GVE9:GVF9"/>
    <mergeCell ref="GVG9:GVH9"/>
    <mergeCell ref="GTE9:GTH9"/>
    <mergeCell ref="GTI9:GTJ9"/>
    <mergeCell ref="GTK9:GTL9"/>
    <mergeCell ref="GTM9:GTN9"/>
    <mergeCell ref="GTO9:GTT9"/>
    <mergeCell ref="GTU9:GTX9"/>
    <mergeCell ref="GTY9:GTZ9"/>
    <mergeCell ref="GUA9:GUB9"/>
    <mergeCell ref="GUC9:GUD9"/>
    <mergeCell ref="GSC9:GSD9"/>
    <mergeCell ref="GSE9:GSF9"/>
    <mergeCell ref="GSG9:GSH9"/>
    <mergeCell ref="GSI9:GSN9"/>
    <mergeCell ref="GSO9:GSR9"/>
    <mergeCell ref="GSS9:GST9"/>
    <mergeCell ref="GSU9:GSV9"/>
    <mergeCell ref="GSW9:GSX9"/>
    <mergeCell ref="GSY9:GTD9"/>
    <mergeCell ref="GQY9:GQZ9"/>
    <mergeCell ref="GRA9:GRB9"/>
    <mergeCell ref="GRC9:GRH9"/>
    <mergeCell ref="GRI9:GRL9"/>
    <mergeCell ref="GRM9:GRN9"/>
    <mergeCell ref="GRO9:GRP9"/>
    <mergeCell ref="GRQ9:GRR9"/>
    <mergeCell ref="GRS9:GRX9"/>
    <mergeCell ref="GRY9:GSB9"/>
    <mergeCell ref="GPU9:GPV9"/>
    <mergeCell ref="GPW9:GQB9"/>
    <mergeCell ref="GQC9:GQF9"/>
    <mergeCell ref="GQG9:GQH9"/>
    <mergeCell ref="GQI9:GQJ9"/>
    <mergeCell ref="GQK9:GQL9"/>
    <mergeCell ref="GQM9:GQR9"/>
    <mergeCell ref="GQS9:GQV9"/>
    <mergeCell ref="GQW9:GQX9"/>
    <mergeCell ref="GOQ9:GOV9"/>
    <mergeCell ref="GOW9:GOZ9"/>
    <mergeCell ref="GPA9:GPB9"/>
    <mergeCell ref="GPC9:GPD9"/>
    <mergeCell ref="GPE9:GPF9"/>
    <mergeCell ref="GPG9:GPL9"/>
    <mergeCell ref="GPM9:GPP9"/>
    <mergeCell ref="GPQ9:GPR9"/>
    <mergeCell ref="GPS9:GPT9"/>
    <mergeCell ref="GNQ9:GNT9"/>
    <mergeCell ref="GNU9:GNV9"/>
    <mergeCell ref="GNW9:GNX9"/>
    <mergeCell ref="GNY9:GNZ9"/>
    <mergeCell ref="GOA9:GOF9"/>
    <mergeCell ref="GOG9:GOJ9"/>
    <mergeCell ref="GOK9:GOL9"/>
    <mergeCell ref="GOM9:GON9"/>
    <mergeCell ref="GOO9:GOP9"/>
    <mergeCell ref="GMO9:GMP9"/>
    <mergeCell ref="GMQ9:GMR9"/>
    <mergeCell ref="GMS9:GMT9"/>
    <mergeCell ref="GMU9:GMZ9"/>
    <mergeCell ref="GNA9:GND9"/>
    <mergeCell ref="GNE9:GNF9"/>
    <mergeCell ref="GNG9:GNH9"/>
    <mergeCell ref="GNI9:GNJ9"/>
    <mergeCell ref="GNK9:GNP9"/>
    <mergeCell ref="GLK9:GLL9"/>
    <mergeCell ref="GLM9:GLN9"/>
    <mergeCell ref="GLO9:GLT9"/>
    <mergeCell ref="GLU9:GLX9"/>
    <mergeCell ref="GLY9:GLZ9"/>
    <mergeCell ref="GMA9:GMB9"/>
    <mergeCell ref="GMC9:GMD9"/>
    <mergeCell ref="GME9:GMJ9"/>
    <mergeCell ref="GMK9:GMN9"/>
    <mergeCell ref="GKG9:GKH9"/>
    <mergeCell ref="GKI9:GKN9"/>
    <mergeCell ref="GKO9:GKR9"/>
    <mergeCell ref="GKS9:GKT9"/>
    <mergeCell ref="GKU9:GKV9"/>
    <mergeCell ref="GKW9:GKX9"/>
    <mergeCell ref="GKY9:GLD9"/>
    <mergeCell ref="GLE9:GLH9"/>
    <mergeCell ref="GLI9:GLJ9"/>
    <mergeCell ref="GJC9:GJH9"/>
    <mergeCell ref="GJI9:GJL9"/>
    <mergeCell ref="GJM9:GJN9"/>
    <mergeCell ref="GJO9:GJP9"/>
    <mergeCell ref="GJQ9:GJR9"/>
    <mergeCell ref="GJS9:GJX9"/>
    <mergeCell ref="GJY9:GKB9"/>
    <mergeCell ref="GKC9:GKD9"/>
    <mergeCell ref="GKE9:GKF9"/>
    <mergeCell ref="GIC9:GIF9"/>
    <mergeCell ref="GIG9:GIH9"/>
    <mergeCell ref="GII9:GIJ9"/>
    <mergeCell ref="GIK9:GIL9"/>
    <mergeCell ref="GIM9:GIR9"/>
    <mergeCell ref="GIS9:GIV9"/>
    <mergeCell ref="GIW9:GIX9"/>
    <mergeCell ref="GIY9:GIZ9"/>
    <mergeCell ref="GJA9:GJB9"/>
    <mergeCell ref="GHA9:GHB9"/>
    <mergeCell ref="GHC9:GHD9"/>
    <mergeCell ref="GHE9:GHF9"/>
    <mergeCell ref="GHG9:GHL9"/>
    <mergeCell ref="GHM9:GHP9"/>
    <mergeCell ref="GHQ9:GHR9"/>
    <mergeCell ref="GHS9:GHT9"/>
    <mergeCell ref="GHU9:GHV9"/>
    <mergeCell ref="GHW9:GIB9"/>
    <mergeCell ref="GFW9:GFX9"/>
    <mergeCell ref="GFY9:GFZ9"/>
    <mergeCell ref="GGA9:GGF9"/>
    <mergeCell ref="GGG9:GGJ9"/>
    <mergeCell ref="GGK9:GGL9"/>
    <mergeCell ref="GGM9:GGN9"/>
    <mergeCell ref="GGO9:GGP9"/>
    <mergeCell ref="GGQ9:GGV9"/>
    <mergeCell ref="GGW9:GGZ9"/>
    <mergeCell ref="GES9:GET9"/>
    <mergeCell ref="GEU9:GEZ9"/>
    <mergeCell ref="GFA9:GFD9"/>
    <mergeCell ref="GFE9:GFF9"/>
    <mergeCell ref="GFG9:GFH9"/>
    <mergeCell ref="GFI9:GFJ9"/>
    <mergeCell ref="GFK9:GFP9"/>
    <mergeCell ref="GFQ9:GFT9"/>
    <mergeCell ref="GFU9:GFV9"/>
    <mergeCell ref="GDO9:GDT9"/>
    <mergeCell ref="GDU9:GDX9"/>
    <mergeCell ref="GDY9:GDZ9"/>
    <mergeCell ref="GEA9:GEB9"/>
    <mergeCell ref="GEC9:GED9"/>
    <mergeCell ref="GEE9:GEJ9"/>
    <mergeCell ref="GEK9:GEN9"/>
    <mergeCell ref="GEO9:GEP9"/>
    <mergeCell ref="GEQ9:GER9"/>
    <mergeCell ref="GCO9:GCR9"/>
    <mergeCell ref="GCS9:GCT9"/>
    <mergeCell ref="GCU9:GCV9"/>
    <mergeCell ref="GCW9:GCX9"/>
    <mergeCell ref="GCY9:GDD9"/>
    <mergeCell ref="GDE9:GDH9"/>
    <mergeCell ref="GDI9:GDJ9"/>
    <mergeCell ref="GDK9:GDL9"/>
    <mergeCell ref="GDM9:GDN9"/>
    <mergeCell ref="GBM9:GBN9"/>
    <mergeCell ref="GBO9:GBP9"/>
    <mergeCell ref="GBQ9:GBR9"/>
    <mergeCell ref="GBS9:GBX9"/>
    <mergeCell ref="GBY9:GCB9"/>
    <mergeCell ref="GCC9:GCD9"/>
    <mergeCell ref="GCE9:GCF9"/>
    <mergeCell ref="GCG9:GCH9"/>
    <mergeCell ref="GCI9:GCN9"/>
    <mergeCell ref="GAI9:GAJ9"/>
    <mergeCell ref="GAK9:GAL9"/>
    <mergeCell ref="GAM9:GAR9"/>
    <mergeCell ref="GAS9:GAV9"/>
    <mergeCell ref="GAW9:GAX9"/>
    <mergeCell ref="GAY9:GAZ9"/>
    <mergeCell ref="GBA9:GBB9"/>
    <mergeCell ref="GBC9:GBH9"/>
    <mergeCell ref="GBI9:GBL9"/>
    <mergeCell ref="FZE9:FZF9"/>
    <mergeCell ref="FZG9:FZL9"/>
    <mergeCell ref="FZM9:FZP9"/>
    <mergeCell ref="FZQ9:FZR9"/>
    <mergeCell ref="FZS9:FZT9"/>
    <mergeCell ref="FZU9:FZV9"/>
    <mergeCell ref="FZW9:GAB9"/>
    <mergeCell ref="GAC9:GAF9"/>
    <mergeCell ref="GAG9:GAH9"/>
    <mergeCell ref="FYA9:FYF9"/>
    <mergeCell ref="FYG9:FYJ9"/>
    <mergeCell ref="FYK9:FYL9"/>
    <mergeCell ref="FYM9:FYN9"/>
    <mergeCell ref="FYO9:FYP9"/>
    <mergeCell ref="FYQ9:FYV9"/>
    <mergeCell ref="FYW9:FYZ9"/>
    <mergeCell ref="FZA9:FZB9"/>
    <mergeCell ref="FZC9:FZD9"/>
    <mergeCell ref="FXA9:FXD9"/>
    <mergeCell ref="FXE9:FXF9"/>
    <mergeCell ref="FXG9:FXH9"/>
    <mergeCell ref="FXI9:FXJ9"/>
    <mergeCell ref="FXK9:FXP9"/>
    <mergeCell ref="FXQ9:FXT9"/>
    <mergeCell ref="FXU9:FXV9"/>
    <mergeCell ref="FXW9:FXX9"/>
    <mergeCell ref="FXY9:FXZ9"/>
    <mergeCell ref="FVY9:FVZ9"/>
    <mergeCell ref="FWA9:FWB9"/>
    <mergeCell ref="FWC9:FWD9"/>
    <mergeCell ref="FWE9:FWJ9"/>
    <mergeCell ref="FWK9:FWN9"/>
    <mergeCell ref="FWO9:FWP9"/>
    <mergeCell ref="FWQ9:FWR9"/>
    <mergeCell ref="FWS9:FWT9"/>
    <mergeCell ref="FWU9:FWZ9"/>
    <mergeCell ref="FUU9:FUV9"/>
    <mergeCell ref="FUW9:FUX9"/>
    <mergeCell ref="FUY9:FVD9"/>
    <mergeCell ref="FVE9:FVH9"/>
    <mergeCell ref="FVI9:FVJ9"/>
    <mergeCell ref="FVK9:FVL9"/>
    <mergeCell ref="FVM9:FVN9"/>
    <mergeCell ref="FVO9:FVT9"/>
    <mergeCell ref="FVU9:FVX9"/>
    <mergeCell ref="FTQ9:FTR9"/>
    <mergeCell ref="FTS9:FTX9"/>
    <mergeCell ref="FTY9:FUB9"/>
    <mergeCell ref="FUC9:FUD9"/>
    <mergeCell ref="FUE9:FUF9"/>
    <mergeCell ref="FUG9:FUH9"/>
    <mergeCell ref="FUI9:FUN9"/>
    <mergeCell ref="FUO9:FUR9"/>
    <mergeCell ref="FUS9:FUT9"/>
    <mergeCell ref="FSM9:FSR9"/>
    <mergeCell ref="FSS9:FSV9"/>
    <mergeCell ref="FSW9:FSX9"/>
    <mergeCell ref="FSY9:FSZ9"/>
    <mergeCell ref="FTA9:FTB9"/>
    <mergeCell ref="FTC9:FTH9"/>
    <mergeCell ref="FTI9:FTL9"/>
    <mergeCell ref="FTM9:FTN9"/>
    <mergeCell ref="FTO9:FTP9"/>
    <mergeCell ref="FRM9:FRP9"/>
    <mergeCell ref="FRQ9:FRR9"/>
    <mergeCell ref="FRS9:FRT9"/>
    <mergeCell ref="FRU9:FRV9"/>
    <mergeCell ref="FRW9:FSB9"/>
    <mergeCell ref="FSC9:FSF9"/>
    <mergeCell ref="FSG9:FSH9"/>
    <mergeCell ref="FSI9:FSJ9"/>
    <mergeCell ref="FSK9:FSL9"/>
    <mergeCell ref="FQK9:FQL9"/>
    <mergeCell ref="FQM9:FQN9"/>
    <mergeCell ref="FQO9:FQP9"/>
    <mergeCell ref="FQQ9:FQV9"/>
    <mergeCell ref="FQW9:FQZ9"/>
    <mergeCell ref="FRA9:FRB9"/>
    <mergeCell ref="FRC9:FRD9"/>
    <mergeCell ref="FRE9:FRF9"/>
    <mergeCell ref="FRG9:FRL9"/>
    <mergeCell ref="FPG9:FPH9"/>
    <mergeCell ref="FPI9:FPJ9"/>
    <mergeCell ref="FPK9:FPP9"/>
    <mergeCell ref="FPQ9:FPT9"/>
    <mergeCell ref="FPU9:FPV9"/>
    <mergeCell ref="FPW9:FPX9"/>
    <mergeCell ref="FPY9:FPZ9"/>
    <mergeCell ref="FQA9:FQF9"/>
    <mergeCell ref="FQG9:FQJ9"/>
    <mergeCell ref="FOC9:FOD9"/>
    <mergeCell ref="FOE9:FOJ9"/>
    <mergeCell ref="FOK9:FON9"/>
    <mergeCell ref="FOO9:FOP9"/>
    <mergeCell ref="FOQ9:FOR9"/>
    <mergeCell ref="FOS9:FOT9"/>
    <mergeCell ref="FOU9:FOZ9"/>
    <mergeCell ref="FPA9:FPD9"/>
    <mergeCell ref="FPE9:FPF9"/>
    <mergeCell ref="FMY9:FND9"/>
    <mergeCell ref="FNE9:FNH9"/>
    <mergeCell ref="FNI9:FNJ9"/>
    <mergeCell ref="FNK9:FNL9"/>
    <mergeCell ref="FNM9:FNN9"/>
    <mergeCell ref="FNO9:FNT9"/>
    <mergeCell ref="FNU9:FNX9"/>
    <mergeCell ref="FNY9:FNZ9"/>
    <mergeCell ref="FOA9:FOB9"/>
    <mergeCell ref="FLY9:FMB9"/>
    <mergeCell ref="FMC9:FMD9"/>
    <mergeCell ref="FME9:FMF9"/>
    <mergeCell ref="FMG9:FMH9"/>
    <mergeCell ref="FMI9:FMN9"/>
    <mergeCell ref="FMO9:FMR9"/>
    <mergeCell ref="FMS9:FMT9"/>
    <mergeCell ref="FMU9:FMV9"/>
    <mergeCell ref="FMW9:FMX9"/>
    <mergeCell ref="FKW9:FKX9"/>
    <mergeCell ref="FKY9:FKZ9"/>
    <mergeCell ref="FLA9:FLB9"/>
    <mergeCell ref="FLC9:FLH9"/>
    <mergeCell ref="FLI9:FLL9"/>
    <mergeCell ref="FLM9:FLN9"/>
    <mergeCell ref="FLO9:FLP9"/>
    <mergeCell ref="FLQ9:FLR9"/>
    <mergeCell ref="FLS9:FLX9"/>
    <mergeCell ref="FJS9:FJT9"/>
    <mergeCell ref="FJU9:FJV9"/>
    <mergeCell ref="FJW9:FKB9"/>
    <mergeCell ref="FKC9:FKF9"/>
    <mergeCell ref="FKG9:FKH9"/>
    <mergeCell ref="FKI9:FKJ9"/>
    <mergeCell ref="FKK9:FKL9"/>
    <mergeCell ref="FKM9:FKR9"/>
    <mergeCell ref="FKS9:FKV9"/>
    <mergeCell ref="FIO9:FIP9"/>
    <mergeCell ref="FIQ9:FIV9"/>
    <mergeCell ref="FIW9:FIZ9"/>
    <mergeCell ref="FJA9:FJB9"/>
    <mergeCell ref="FJC9:FJD9"/>
    <mergeCell ref="FJE9:FJF9"/>
    <mergeCell ref="FJG9:FJL9"/>
    <mergeCell ref="FJM9:FJP9"/>
    <mergeCell ref="FJQ9:FJR9"/>
    <mergeCell ref="FHK9:FHP9"/>
    <mergeCell ref="FHQ9:FHT9"/>
    <mergeCell ref="FHU9:FHV9"/>
    <mergeCell ref="FHW9:FHX9"/>
    <mergeCell ref="FHY9:FHZ9"/>
    <mergeCell ref="FIA9:FIF9"/>
    <mergeCell ref="FIG9:FIJ9"/>
    <mergeCell ref="FIK9:FIL9"/>
    <mergeCell ref="FIM9:FIN9"/>
    <mergeCell ref="FGK9:FGN9"/>
    <mergeCell ref="FGO9:FGP9"/>
    <mergeCell ref="FGQ9:FGR9"/>
    <mergeCell ref="FGS9:FGT9"/>
    <mergeCell ref="FGU9:FGZ9"/>
    <mergeCell ref="FHA9:FHD9"/>
    <mergeCell ref="FHE9:FHF9"/>
    <mergeCell ref="FHG9:FHH9"/>
    <mergeCell ref="FHI9:FHJ9"/>
    <mergeCell ref="FFI9:FFJ9"/>
    <mergeCell ref="FFK9:FFL9"/>
    <mergeCell ref="FFM9:FFN9"/>
    <mergeCell ref="FFO9:FFT9"/>
    <mergeCell ref="FFU9:FFX9"/>
    <mergeCell ref="FFY9:FFZ9"/>
    <mergeCell ref="FGA9:FGB9"/>
    <mergeCell ref="FGC9:FGD9"/>
    <mergeCell ref="FGE9:FGJ9"/>
    <mergeCell ref="FEE9:FEF9"/>
    <mergeCell ref="FEG9:FEH9"/>
    <mergeCell ref="FEI9:FEN9"/>
    <mergeCell ref="FEO9:FER9"/>
    <mergeCell ref="FES9:FET9"/>
    <mergeCell ref="FEU9:FEV9"/>
    <mergeCell ref="FEW9:FEX9"/>
    <mergeCell ref="FEY9:FFD9"/>
    <mergeCell ref="FFE9:FFH9"/>
    <mergeCell ref="FDA9:FDB9"/>
    <mergeCell ref="FDC9:FDH9"/>
    <mergeCell ref="FDI9:FDL9"/>
    <mergeCell ref="FDM9:FDN9"/>
    <mergeCell ref="FDO9:FDP9"/>
    <mergeCell ref="FDQ9:FDR9"/>
    <mergeCell ref="FDS9:FDX9"/>
    <mergeCell ref="FDY9:FEB9"/>
    <mergeCell ref="FEC9:FED9"/>
    <mergeCell ref="FBW9:FCB9"/>
    <mergeCell ref="FCC9:FCF9"/>
    <mergeCell ref="FCG9:FCH9"/>
    <mergeCell ref="FCI9:FCJ9"/>
    <mergeCell ref="FCK9:FCL9"/>
    <mergeCell ref="FCM9:FCR9"/>
    <mergeCell ref="FCS9:FCV9"/>
    <mergeCell ref="FCW9:FCX9"/>
    <mergeCell ref="FCY9:FCZ9"/>
    <mergeCell ref="FAW9:FAZ9"/>
    <mergeCell ref="FBA9:FBB9"/>
    <mergeCell ref="FBC9:FBD9"/>
    <mergeCell ref="FBE9:FBF9"/>
    <mergeCell ref="FBG9:FBL9"/>
    <mergeCell ref="FBM9:FBP9"/>
    <mergeCell ref="FBQ9:FBR9"/>
    <mergeCell ref="FBS9:FBT9"/>
    <mergeCell ref="FBU9:FBV9"/>
    <mergeCell ref="EZU9:EZV9"/>
    <mergeCell ref="EZW9:EZX9"/>
    <mergeCell ref="EZY9:EZZ9"/>
    <mergeCell ref="FAA9:FAF9"/>
    <mergeCell ref="FAG9:FAJ9"/>
    <mergeCell ref="FAK9:FAL9"/>
    <mergeCell ref="FAM9:FAN9"/>
    <mergeCell ref="FAO9:FAP9"/>
    <mergeCell ref="FAQ9:FAV9"/>
    <mergeCell ref="EYQ9:EYR9"/>
    <mergeCell ref="EYS9:EYT9"/>
    <mergeCell ref="EYU9:EYZ9"/>
    <mergeCell ref="EZA9:EZD9"/>
    <mergeCell ref="EZE9:EZF9"/>
    <mergeCell ref="EZG9:EZH9"/>
    <mergeCell ref="EZI9:EZJ9"/>
    <mergeCell ref="EZK9:EZP9"/>
    <mergeCell ref="EZQ9:EZT9"/>
    <mergeCell ref="EXM9:EXN9"/>
    <mergeCell ref="EXO9:EXT9"/>
    <mergeCell ref="EXU9:EXX9"/>
    <mergeCell ref="EXY9:EXZ9"/>
    <mergeCell ref="EYA9:EYB9"/>
    <mergeCell ref="EYC9:EYD9"/>
    <mergeCell ref="EYE9:EYJ9"/>
    <mergeCell ref="EYK9:EYN9"/>
    <mergeCell ref="EYO9:EYP9"/>
    <mergeCell ref="EWI9:EWN9"/>
    <mergeCell ref="EWO9:EWR9"/>
    <mergeCell ref="EWS9:EWT9"/>
    <mergeCell ref="EWU9:EWV9"/>
    <mergeCell ref="EWW9:EWX9"/>
    <mergeCell ref="EWY9:EXD9"/>
    <mergeCell ref="EXE9:EXH9"/>
    <mergeCell ref="EXI9:EXJ9"/>
    <mergeCell ref="EXK9:EXL9"/>
    <mergeCell ref="EVI9:EVL9"/>
    <mergeCell ref="EVM9:EVN9"/>
    <mergeCell ref="EVO9:EVP9"/>
    <mergeCell ref="EVQ9:EVR9"/>
    <mergeCell ref="EVS9:EVX9"/>
    <mergeCell ref="EVY9:EWB9"/>
    <mergeCell ref="EWC9:EWD9"/>
    <mergeCell ref="EWE9:EWF9"/>
    <mergeCell ref="EWG9:EWH9"/>
    <mergeCell ref="EUG9:EUH9"/>
    <mergeCell ref="EUI9:EUJ9"/>
    <mergeCell ref="EUK9:EUL9"/>
    <mergeCell ref="EUM9:EUR9"/>
    <mergeCell ref="EUS9:EUV9"/>
    <mergeCell ref="EUW9:EUX9"/>
    <mergeCell ref="EUY9:EUZ9"/>
    <mergeCell ref="EVA9:EVB9"/>
    <mergeCell ref="EVC9:EVH9"/>
    <mergeCell ref="ETC9:ETD9"/>
    <mergeCell ref="ETE9:ETF9"/>
    <mergeCell ref="ETG9:ETL9"/>
    <mergeCell ref="ETM9:ETP9"/>
    <mergeCell ref="ETQ9:ETR9"/>
    <mergeCell ref="ETS9:ETT9"/>
    <mergeCell ref="ETU9:ETV9"/>
    <mergeCell ref="ETW9:EUB9"/>
    <mergeCell ref="EUC9:EUF9"/>
    <mergeCell ref="ERY9:ERZ9"/>
    <mergeCell ref="ESA9:ESF9"/>
    <mergeCell ref="ESG9:ESJ9"/>
    <mergeCell ref="ESK9:ESL9"/>
    <mergeCell ref="ESM9:ESN9"/>
    <mergeCell ref="ESO9:ESP9"/>
    <mergeCell ref="ESQ9:ESV9"/>
    <mergeCell ref="ESW9:ESZ9"/>
    <mergeCell ref="ETA9:ETB9"/>
    <mergeCell ref="EQU9:EQZ9"/>
    <mergeCell ref="ERA9:ERD9"/>
    <mergeCell ref="ERE9:ERF9"/>
    <mergeCell ref="ERG9:ERH9"/>
    <mergeCell ref="ERI9:ERJ9"/>
    <mergeCell ref="ERK9:ERP9"/>
    <mergeCell ref="ERQ9:ERT9"/>
    <mergeCell ref="ERU9:ERV9"/>
    <mergeCell ref="ERW9:ERX9"/>
    <mergeCell ref="EPU9:EPX9"/>
    <mergeCell ref="EPY9:EPZ9"/>
    <mergeCell ref="EQA9:EQB9"/>
    <mergeCell ref="EQC9:EQD9"/>
    <mergeCell ref="EQE9:EQJ9"/>
    <mergeCell ref="EQK9:EQN9"/>
    <mergeCell ref="EQO9:EQP9"/>
    <mergeCell ref="EQQ9:EQR9"/>
    <mergeCell ref="EQS9:EQT9"/>
    <mergeCell ref="EOS9:EOT9"/>
    <mergeCell ref="EOU9:EOV9"/>
    <mergeCell ref="EOW9:EOX9"/>
    <mergeCell ref="EOY9:EPD9"/>
    <mergeCell ref="EPE9:EPH9"/>
    <mergeCell ref="EPI9:EPJ9"/>
    <mergeCell ref="EPK9:EPL9"/>
    <mergeCell ref="EPM9:EPN9"/>
    <mergeCell ref="EPO9:EPT9"/>
    <mergeCell ref="ENO9:ENP9"/>
    <mergeCell ref="ENQ9:ENR9"/>
    <mergeCell ref="ENS9:ENX9"/>
    <mergeCell ref="ENY9:EOB9"/>
    <mergeCell ref="EOC9:EOD9"/>
    <mergeCell ref="EOE9:EOF9"/>
    <mergeCell ref="EOG9:EOH9"/>
    <mergeCell ref="EOI9:EON9"/>
    <mergeCell ref="EOO9:EOR9"/>
    <mergeCell ref="EMK9:EML9"/>
    <mergeCell ref="EMM9:EMR9"/>
    <mergeCell ref="EMS9:EMV9"/>
    <mergeCell ref="EMW9:EMX9"/>
    <mergeCell ref="EMY9:EMZ9"/>
    <mergeCell ref="ENA9:ENB9"/>
    <mergeCell ref="ENC9:ENH9"/>
    <mergeCell ref="ENI9:ENL9"/>
    <mergeCell ref="ENM9:ENN9"/>
    <mergeCell ref="ELG9:ELL9"/>
    <mergeCell ref="ELM9:ELP9"/>
    <mergeCell ref="ELQ9:ELR9"/>
    <mergeCell ref="ELS9:ELT9"/>
    <mergeCell ref="ELU9:ELV9"/>
    <mergeCell ref="ELW9:EMB9"/>
    <mergeCell ref="EMC9:EMF9"/>
    <mergeCell ref="EMG9:EMH9"/>
    <mergeCell ref="EMI9:EMJ9"/>
    <mergeCell ref="EKG9:EKJ9"/>
    <mergeCell ref="EKK9:EKL9"/>
    <mergeCell ref="EKM9:EKN9"/>
    <mergeCell ref="EKO9:EKP9"/>
    <mergeCell ref="EKQ9:EKV9"/>
    <mergeCell ref="EKW9:EKZ9"/>
    <mergeCell ref="ELA9:ELB9"/>
    <mergeCell ref="ELC9:ELD9"/>
    <mergeCell ref="ELE9:ELF9"/>
    <mergeCell ref="EJE9:EJF9"/>
    <mergeCell ref="EJG9:EJH9"/>
    <mergeCell ref="EJI9:EJJ9"/>
    <mergeCell ref="EJK9:EJP9"/>
    <mergeCell ref="EJQ9:EJT9"/>
    <mergeCell ref="EJU9:EJV9"/>
    <mergeCell ref="EJW9:EJX9"/>
    <mergeCell ref="EJY9:EJZ9"/>
    <mergeCell ref="EKA9:EKF9"/>
    <mergeCell ref="EIA9:EIB9"/>
    <mergeCell ref="EIC9:EID9"/>
    <mergeCell ref="EIE9:EIJ9"/>
    <mergeCell ref="EIK9:EIN9"/>
    <mergeCell ref="EIO9:EIP9"/>
    <mergeCell ref="EIQ9:EIR9"/>
    <mergeCell ref="EIS9:EIT9"/>
    <mergeCell ref="EIU9:EIZ9"/>
    <mergeCell ref="EJA9:EJD9"/>
    <mergeCell ref="EGW9:EGX9"/>
    <mergeCell ref="EGY9:EHD9"/>
    <mergeCell ref="EHE9:EHH9"/>
    <mergeCell ref="EHI9:EHJ9"/>
    <mergeCell ref="EHK9:EHL9"/>
    <mergeCell ref="EHM9:EHN9"/>
    <mergeCell ref="EHO9:EHT9"/>
    <mergeCell ref="EHU9:EHX9"/>
    <mergeCell ref="EHY9:EHZ9"/>
    <mergeCell ref="EFS9:EFX9"/>
    <mergeCell ref="EFY9:EGB9"/>
    <mergeCell ref="EGC9:EGD9"/>
    <mergeCell ref="EGE9:EGF9"/>
    <mergeCell ref="EGG9:EGH9"/>
    <mergeCell ref="EGI9:EGN9"/>
    <mergeCell ref="EGO9:EGR9"/>
    <mergeCell ref="EGS9:EGT9"/>
    <mergeCell ref="EGU9:EGV9"/>
    <mergeCell ref="EES9:EEV9"/>
    <mergeCell ref="EEW9:EEX9"/>
    <mergeCell ref="EEY9:EEZ9"/>
    <mergeCell ref="EFA9:EFB9"/>
    <mergeCell ref="EFC9:EFH9"/>
    <mergeCell ref="EFI9:EFL9"/>
    <mergeCell ref="EFM9:EFN9"/>
    <mergeCell ref="EFO9:EFP9"/>
    <mergeCell ref="EFQ9:EFR9"/>
    <mergeCell ref="EDQ9:EDR9"/>
    <mergeCell ref="EDS9:EDT9"/>
    <mergeCell ref="EDU9:EDV9"/>
    <mergeCell ref="EDW9:EEB9"/>
    <mergeCell ref="EEC9:EEF9"/>
    <mergeCell ref="EEG9:EEH9"/>
    <mergeCell ref="EEI9:EEJ9"/>
    <mergeCell ref="EEK9:EEL9"/>
    <mergeCell ref="EEM9:EER9"/>
    <mergeCell ref="ECM9:ECN9"/>
    <mergeCell ref="ECO9:ECP9"/>
    <mergeCell ref="ECQ9:ECV9"/>
    <mergeCell ref="ECW9:ECZ9"/>
    <mergeCell ref="EDA9:EDB9"/>
    <mergeCell ref="EDC9:EDD9"/>
    <mergeCell ref="EDE9:EDF9"/>
    <mergeCell ref="EDG9:EDL9"/>
    <mergeCell ref="EDM9:EDP9"/>
    <mergeCell ref="EBI9:EBJ9"/>
    <mergeCell ref="EBK9:EBP9"/>
    <mergeCell ref="EBQ9:EBT9"/>
    <mergeCell ref="EBU9:EBV9"/>
    <mergeCell ref="EBW9:EBX9"/>
    <mergeCell ref="EBY9:EBZ9"/>
    <mergeCell ref="ECA9:ECF9"/>
    <mergeCell ref="ECG9:ECJ9"/>
    <mergeCell ref="ECK9:ECL9"/>
    <mergeCell ref="EAE9:EAJ9"/>
    <mergeCell ref="EAK9:EAN9"/>
    <mergeCell ref="EAO9:EAP9"/>
    <mergeCell ref="EAQ9:EAR9"/>
    <mergeCell ref="EAS9:EAT9"/>
    <mergeCell ref="EAU9:EAZ9"/>
    <mergeCell ref="EBA9:EBD9"/>
    <mergeCell ref="EBE9:EBF9"/>
    <mergeCell ref="EBG9:EBH9"/>
    <mergeCell ref="DZE9:DZH9"/>
    <mergeCell ref="DZI9:DZJ9"/>
    <mergeCell ref="DZK9:DZL9"/>
    <mergeCell ref="DZM9:DZN9"/>
    <mergeCell ref="DZO9:DZT9"/>
    <mergeCell ref="DZU9:DZX9"/>
    <mergeCell ref="DZY9:DZZ9"/>
    <mergeCell ref="EAA9:EAB9"/>
    <mergeCell ref="EAC9:EAD9"/>
    <mergeCell ref="DYC9:DYD9"/>
    <mergeCell ref="DYE9:DYF9"/>
    <mergeCell ref="DYG9:DYH9"/>
    <mergeCell ref="DYI9:DYN9"/>
    <mergeCell ref="DYO9:DYR9"/>
    <mergeCell ref="DYS9:DYT9"/>
    <mergeCell ref="DYU9:DYV9"/>
    <mergeCell ref="DYW9:DYX9"/>
    <mergeCell ref="DYY9:DZD9"/>
    <mergeCell ref="DWY9:DWZ9"/>
    <mergeCell ref="DXA9:DXB9"/>
    <mergeCell ref="DXC9:DXH9"/>
    <mergeCell ref="DXI9:DXL9"/>
    <mergeCell ref="DXM9:DXN9"/>
    <mergeCell ref="DXO9:DXP9"/>
    <mergeCell ref="DXQ9:DXR9"/>
    <mergeCell ref="DXS9:DXX9"/>
    <mergeCell ref="DXY9:DYB9"/>
    <mergeCell ref="DVU9:DVV9"/>
    <mergeCell ref="DVW9:DWB9"/>
    <mergeCell ref="DWC9:DWF9"/>
    <mergeCell ref="DWG9:DWH9"/>
    <mergeCell ref="DWI9:DWJ9"/>
    <mergeCell ref="DWK9:DWL9"/>
    <mergeCell ref="DWM9:DWR9"/>
    <mergeCell ref="DWS9:DWV9"/>
    <mergeCell ref="DWW9:DWX9"/>
    <mergeCell ref="DUQ9:DUV9"/>
    <mergeCell ref="DUW9:DUZ9"/>
    <mergeCell ref="DVA9:DVB9"/>
    <mergeCell ref="DVC9:DVD9"/>
    <mergeCell ref="DVE9:DVF9"/>
    <mergeCell ref="DVG9:DVL9"/>
    <mergeCell ref="DVM9:DVP9"/>
    <mergeCell ref="DVQ9:DVR9"/>
    <mergeCell ref="DVS9:DVT9"/>
    <mergeCell ref="DTQ9:DTT9"/>
    <mergeCell ref="DTU9:DTV9"/>
    <mergeCell ref="DTW9:DTX9"/>
    <mergeCell ref="DTY9:DTZ9"/>
    <mergeCell ref="DUA9:DUF9"/>
    <mergeCell ref="DUG9:DUJ9"/>
    <mergeCell ref="DUK9:DUL9"/>
    <mergeCell ref="DUM9:DUN9"/>
    <mergeCell ref="DUO9:DUP9"/>
    <mergeCell ref="DSO9:DSP9"/>
    <mergeCell ref="DSQ9:DSR9"/>
    <mergeCell ref="DSS9:DST9"/>
    <mergeCell ref="DSU9:DSZ9"/>
    <mergeCell ref="DTA9:DTD9"/>
    <mergeCell ref="DTE9:DTF9"/>
    <mergeCell ref="DTG9:DTH9"/>
    <mergeCell ref="DTI9:DTJ9"/>
    <mergeCell ref="DTK9:DTP9"/>
    <mergeCell ref="DRK9:DRL9"/>
    <mergeCell ref="DRM9:DRN9"/>
    <mergeCell ref="DRO9:DRT9"/>
    <mergeCell ref="DRU9:DRX9"/>
    <mergeCell ref="DRY9:DRZ9"/>
    <mergeCell ref="DSA9:DSB9"/>
    <mergeCell ref="DSC9:DSD9"/>
    <mergeCell ref="DSE9:DSJ9"/>
    <mergeCell ref="DSK9:DSN9"/>
    <mergeCell ref="DQG9:DQH9"/>
    <mergeCell ref="DQI9:DQN9"/>
    <mergeCell ref="DQO9:DQR9"/>
    <mergeCell ref="DQS9:DQT9"/>
    <mergeCell ref="DQU9:DQV9"/>
    <mergeCell ref="DQW9:DQX9"/>
    <mergeCell ref="DQY9:DRD9"/>
    <mergeCell ref="DRE9:DRH9"/>
    <mergeCell ref="DRI9:DRJ9"/>
    <mergeCell ref="DPC9:DPH9"/>
    <mergeCell ref="DPI9:DPL9"/>
    <mergeCell ref="DPM9:DPN9"/>
    <mergeCell ref="DPO9:DPP9"/>
    <mergeCell ref="DPQ9:DPR9"/>
    <mergeCell ref="DPS9:DPX9"/>
    <mergeCell ref="DPY9:DQB9"/>
    <mergeCell ref="DQC9:DQD9"/>
    <mergeCell ref="DQE9:DQF9"/>
    <mergeCell ref="DOC9:DOF9"/>
    <mergeCell ref="DOG9:DOH9"/>
    <mergeCell ref="DOI9:DOJ9"/>
    <mergeCell ref="DOK9:DOL9"/>
    <mergeCell ref="DOM9:DOR9"/>
    <mergeCell ref="DOS9:DOV9"/>
    <mergeCell ref="DOW9:DOX9"/>
    <mergeCell ref="DOY9:DOZ9"/>
    <mergeCell ref="DPA9:DPB9"/>
    <mergeCell ref="DNA9:DNB9"/>
    <mergeCell ref="DNC9:DND9"/>
    <mergeCell ref="DNE9:DNF9"/>
    <mergeCell ref="DNG9:DNL9"/>
    <mergeCell ref="DNM9:DNP9"/>
    <mergeCell ref="DNQ9:DNR9"/>
    <mergeCell ref="DNS9:DNT9"/>
    <mergeCell ref="DNU9:DNV9"/>
    <mergeCell ref="DNW9:DOB9"/>
    <mergeCell ref="DLW9:DLX9"/>
    <mergeCell ref="DLY9:DLZ9"/>
    <mergeCell ref="DMA9:DMF9"/>
    <mergeCell ref="DMG9:DMJ9"/>
    <mergeCell ref="DMK9:DML9"/>
    <mergeCell ref="DMM9:DMN9"/>
    <mergeCell ref="DMO9:DMP9"/>
    <mergeCell ref="DMQ9:DMV9"/>
    <mergeCell ref="DMW9:DMZ9"/>
    <mergeCell ref="DKS9:DKT9"/>
    <mergeCell ref="DKU9:DKZ9"/>
    <mergeCell ref="DLA9:DLD9"/>
    <mergeCell ref="DLE9:DLF9"/>
    <mergeCell ref="DLG9:DLH9"/>
    <mergeCell ref="DLI9:DLJ9"/>
    <mergeCell ref="DLK9:DLP9"/>
    <mergeCell ref="DLQ9:DLT9"/>
    <mergeCell ref="DLU9:DLV9"/>
    <mergeCell ref="DJO9:DJT9"/>
    <mergeCell ref="DJU9:DJX9"/>
    <mergeCell ref="DJY9:DJZ9"/>
    <mergeCell ref="DKA9:DKB9"/>
    <mergeCell ref="DKC9:DKD9"/>
    <mergeCell ref="DKE9:DKJ9"/>
    <mergeCell ref="DKK9:DKN9"/>
    <mergeCell ref="DKO9:DKP9"/>
    <mergeCell ref="DKQ9:DKR9"/>
    <mergeCell ref="DIO9:DIR9"/>
    <mergeCell ref="DIS9:DIT9"/>
    <mergeCell ref="DIU9:DIV9"/>
    <mergeCell ref="DIW9:DIX9"/>
    <mergeCell ref="DIY9:DJD9"/>
    <mergeCell ref="DJE9:DJH9"/>
    <mergeCell ref="DJI9:DJJ9"/>
    <mergeCell ref="DJK9:DJL9"/>
    <mergeCell ref="DJM9:DJN9"/>
    <mergeCell ref="DHM9:DHN9"/>
    <mergeCell ref="DHO9:DHP9"/>
    <mergeCell ref="DHQ9:DHR9"/>
    <mergeCell ref="DHS9:DHX9"/>
    <mergeCell ref="DHY9:DIB9"/>
    <mergeCell ref="DIC9:DID9"/>
    <mergeCell ref="DIE9:DIF9"/>
    <mergeCell ref="DIG9:DIH9"/>
    <mergeCell ref="DII9:DIN9"/>
    <mergeCell ref="DGI9:DGJ9"/>
    <mergeCell ref="DGK9:DGL9"/>
    <mergeCell ref="DGM9:DGR9"/>
    <mergeCell ref="DGS9:DGV9"/>
    <mergeCell ref="DGW9:DGX9"/>
    <mergeCell ref="DGY9:DGZ9"/>
    <mergeCell ref="DHA9:DHB9"/>
    <mergeCell ref="DHC9:DHH9"/>
    <mergeCell ref="DHI9:DHL9"/>
    <mergeCell ref="DFE9:DFF9"/>
    <mergeCell ref="DFG9:DFL9"/>
    <mergeCell ref="DFM9:DFP9"/>
    <mergeCell ref="DFQ9:DFR9"/>
    <mergeCell ref="DFS9:DFT9"/>
    <mergeCell ref="DFU9:DFV9"/>
    <mergeCell ref="DFW9:DGB9"/>
    <mergeCell ref="DGC9:DGF9"/>
    <mergeCell ref="DGG9:DGH9"/>
    <mergeCell ref="DEA9:DEF9"/>
    <mergeCell ref="DEG9:DEJ9"/>
    <mergeCell ref="DEK9:DEL9"/>
    <mergeCell ref="DEM9:DEN9"/>
    <mergeCell ref="DEO9:DEP9"/>
    <mergeCell ref="DEQ9:DEV9"/>
    <mergeCell ref="DEW9:DEZ9"/>
    <mergeCell ref="DFA9:DFB9"/>
    <mergeCell ref="DFC9:DFD9"/>
    <mergeCell ref="DDA9:DDD9"/>
    <mergeCell ref="DDE9:DDF9"/>
    <mergeCell ref="DDG9:DDH9"/>
    <mergeCell ref="DDI9:DDJ9"/>
    <mergeCell ref="DDK9:DDP9"/>
    <mergeCell ref="DDQ9:DDT9"/>
    <mergeCell ref="DDU9:DDV9"/>
    <mergeCell ref="DDW9:DDX9"/>
    <mergeCell ref="DDY9:DDZ9"/>
    <mergeCell ref="DBY9:DBZ9"/>
    <mergeCell ref="DCA9:DCB9"/>
    <mergeCell ref="DCC9:DCD9"/>
    <mergeCell ref="DCE9:DCJ9"/>
    <mergeCell ref="DCK9:DCN9"/>
    <mergeCell ref="DCO9:DCP9"/>
    <mergeCell ref="DCQ9:DCR9"/>
    <mergeCell ref="DCS9:DCT9"/>
    <mergeCell ref="DCU9:DCZ9"/>
    <mergeCell ref="DAU9:DAV9"/>
    <mergeCell ref="DAW9:DAX9"/>
    <mergeCell ref="DAY9:DBD9"/>
    <mergeCell ref="DBE9:DBH9"/>
    <mergeCell ref="DBI9:DBJ9"/>
    <mergeCell ref="DBK9:DBL9"/>
    <mergeCell ref="DBM9:DBN9"/>
    <mergeCell ref="DBO9:DBT9"/>
    <mergeCell ref="DBU9:DBX9"/>
    <mergeCell ref="CZQ9:CZR9"/>
    <mergeCell ref="CZS9:CZX9"/>
    <mergeCell ref="CZY9:DAB9"/>
    <mergeCell ref="DAC9:DAD9"/>
    <mergeCell ref="DAE9:DAF9"/>
    <mergeCell ref="DAG9:DAH9"/>
    <mergeCell ref="DAI9:DAN9"/>
    <mergeCell ref="DAO9:DAR9"/>
    <mergeCell ref="DAS9:DAT9"/>
    <mergeCell ref="CYM9:CYR9"/>
    <mergeCell ref="CYS9:CYV9"/>
    <mergeCell ref="CYW9:CYX9"/>
    <mergeCell ref="CYY9:CYZ9"/>
    <mergeCell ref="CZA9:CZB9"/>
    <mergeCell ref="CZC9:CZH9"/>
    <mergeCell ref="CZI9:CZL9"/>
    <mergeCell ref="CZM9:CZN9"/>
    <mergeCell ref="CZO9:CZP9"/>
    <mergeCell ref="CXM9:CXP9"/>
    <mergeCell ref="CXQ9:CXR9"/>
    <mergeCell ref="CXS9:CXT9"/>
    <mergeCell ref="CXU9:CXV9"/>
    <mergeCell ref="CXW9:CYB9"/>
    <mergeCell ref="CYC9:CYF9"/>
    <mergeCell ref="CYG9:CYH9"/>
    <mergeCell ref="CYI9:CYJ9"/>
    <mergeCell ref="CYK9:CYL9"/>
    <mergeCell ref="CWK9:CWL9"/>
    <mergeCell ref="CWM9:CWN9"/>
    <mergeCell ref="CWO9:CWP9"/>
    <mergeCell ref="CWQ9:CWV9"/>
    <mergeCell ref="CWW9:CWZ9"/>
    <mergeCell ref="CXA9:CXB9"/>
    <mergeCell ref="CXC9:CXD9"/>
    <mergeCell ref="CXE9:CXF9"/>
    <mergeCell ref="CXG9:CXL9"/>
    <mergeCell ref="CVG9:CVH9"/>
    <mergeCell ref="CVI9:CVJ9"/>
    <mergeCell ref="CVK9:CVP9"/>
    <mergeCell ref="CVQ9:CVT9"/>
    <mergeCell ref="CVU9:CVV9"/>
    <mergeCell ref="CVW9:CVX9"/>
    <mergeCell ref="CVY9:CVZ9"/>
    <mergeCell ref="CWA9:CWF9"/>
    <mergeCell ref="CWG9:CWJ9"/>
    <mergeCell ref="CUC9:CUD9"/>
    <mergeCell ref="CUE9:CUJ9"/>
    <mergeCell ref="CUK9:CUN9"/>
    <mergeCell ref="CUO9:CUP9"/>
    <mergeCell ref="CUQ9:CUR9"/>
    <mergeCell ref="CUS9:CUT9"/>
    <mergeCell ref="CUU9:CUZ9"/>
    <mergeCell ref="CVA9:CVD9"/>
    <mergeCell ref="CVE9:CVF9"/>
    <mergeCell ref="CSY9:CTD9"/>
    <mergeCell ref="CTE9:CTH9"/>
    <mergeCell ref="CTI9:CTJ9"/>
    <mergeCell ref="CTK9:CTL9"/>
    <mergeCell ref="CTM9:CTN9"/>
    <mergeCell ref="CTO9:CTT9"/>
    <mergeCell ref="CTU9:CTX9"/>
    <mergeCell ref="CTY9:CTZ9"/>
    <mergeCell ref="CUA9:CUB9"/>
    <mergeCell ref="CRY9:CSB9"/>
    <mergeCell ref="CSC9:CSD9"/>
    <mergeCell ref="CSE9:CSF9"/>
    <mergeCell ref="CSG9:CSH9"/>
    <mergeCell ref="CSI9:CSN9"/>
    <mergeCell ref="CSO9:CSR9"/>
    <mergeCell ref="CSS9:CST9"/>
    <mergeCell ref="CSU9:CSV9"/>
    <mergeCell ref="CSW9:CSX9"/>
    <mergeCell ref="CQW9:CQX9"/>
    <mergeCell ref="CQY9:CQZ9"/>
    <mergeCell ref="CRA9:CRB9"/>
    <mergeCell ref="CRC9:CRH9"/>
    <mergeCell ref="CRI9:CRL9"/>
    <mergeCell ref="CRM9:CRN9"/>
    <mergeCell ref="CRO9:CRP9"/>
    <mergeCell ref="CRQ9:CRR9"/>
    <mergeCell ref="CRS9:CRX9"/>
    <mergeCell ref="CPS9:CPT9"/>
    <mergeCell ref="CPU9:CPV9"/>
    <mergeCell ref="CPW9:CQB9"/>
    <mergeCell ref="CQC9:CQF9"/>
    <mergeCell ref="CQG9:CQH9"/>
    <mergeCell ref="CQI9:CQJ9"/>
    <mergeCell ref="CQK9:CQL9"/>
    <mergeCell ref="CQM9:CQR9"/>
    <mergeCell ref="CQS9:CQV9"/>
    <mergeCell ref="COO9:COP9"/>
    <mergeCell ref="COQ9:COV9"/>
    <mergeCell ref="COW9:COZ9"/>
    <mergeCell ref="CPA9:CPB9"/>
    <mergeCell ref="CPC9:CPD9"/>
    <mergeCell ref="CPE9:CPF9"/>
    <mergeCell ref="CPG9:CPL9"/>
    <mergeCell ref="CPM9:CPP9"/>
    <mergeCell ref="CPQ9:CPR9"/>
    <mergeCell ref="CNK9:CNP9"/>
    <mergeCell ref="CNQ9:CNT9"/>
    <mergeCell ref="CNU9:CNV9"/>
    <mergeCell ref="CNW9:CNX9"/>
    <mergeCell ref="CNY9:CNZ9"/>
    <mergeCell ref="COA9:COF9"/>
    <mergeCell ref="COG9:COJ9"/>
    <mergeCell ref="COK9:COL9"/>
    <mergeCell ref="COM9:CON9"/>
    <mergeCell ref="CMK9:CMN9"/>
    <mergeCell ref="CMO9:CMP9"/>
    <mergeCell ref="CMQ9:CMR9"/>
    <mergeCell ref="CMS9:CMT9"/>
    <mergeCell ref="CMU9:CMZ9"/>
    <mergeCell ref="CNA9:CND9"/>
    <mergeCell ref="CNE9:CNF9"/>
    <mergeCell ref="CNG9:CNH9"/>
    <mergeCell ref="CNI9:CNJ9"/>
    <mergeCell ref="CLI9:CLJ9"/>
    <mergeCell ref="CLK9:CLL9"/>
    <mergeCell ref="CLM9:CLN9"/>
    <mergeCell ref="CLO9:CLT9"/>
    <mergeCell ref="CLU9:CLX9"/>
    <mergeCell ref="CLY9:CLZ9"/>
    <mergeCell ref="CMA9:CMB9"/>
    <mergeCell ref="CMC9:CMD9"/>
    <mergeCell ref="CME9:CMJ9"/>
    <mergeCell ref="CKE9:CKF9"/>
    <mergeCell ref="CKG9:CKH9"/>
    <mergeCell ref="CKI9:CKN9"/>
    <mergeCell ref="CKO9:CKR9"/>
    <mergeCell ref="CKS9:CKT9"/>
    <mergeCell ref="CKU9:CKV9"/>
    <mergeCell ref="CKW9:CKX9"/>
    <mergeCell ref="CKY9:CLD9"/>
    <mergeCell ref="CLE9:CLH9"/>
    <mergeCell ref="CJA9:CJB9"/>
    <mergeCell ref="CJC9:CJH9"/>
    <mergeCell ref="CJI9:CJL9"/>
    <mergeCell ref="CJM9:CJN9"/>
    <mergeCell ref="CJO9:CJP9"/>
    <mergeCell ref="CJQ9:CJR9"/>
    <mergeCell ref="CJS9:CJX9"/>
    <mergeCell ref="CJY9:CKB9"/>
    <mergeCell ref="CKC9:CKD9"/>
    <mergeCell ref="CHW9:CIB9"/>
    <mergeCell ref="CIC9:CIF9"/>
    <mergeCell ref="CIG9:CIH9"/>
    <mergeCell ref="CII9:CIJ9"/>
    <mergeCell ref="CIK9:CIL9"/>
    <mergeCell ref="CIM9:CIR9"/>
    <mergeCell ref="CIS9:CIV9"/>
    <mergeCell ref="CIW9:CIX9"/>
    <mergeCell ref="CIY9:CIZ9"/>
    <mergeCell ref="CGW9:CGZ9"/>
    <mergeCell ref="CHA9:CHB9"/>
    <mergeCell ref="CHC9:CHD9"/>
    <mergeCell ref="CHE9:CHF9"/>
    <mergeCell ref="CHG9:CHL9"/>
    <mergeCell ref="CHM9:CHP9"/>
    <mergeCell ref="CHQ9:CHR9"/>
    <mergeCell ref="CHS9:CHT9"/>
    <mergeCell ref="CHU9:CHV9"/>
    <mergeCell ref="CFU9:CFV9"/>
    <mergeCell ref="CFW9:CFX9"/>
    <mergeCell ref="CFY9:CFZ9"/>
    <mergeCell ref="CGA9:CGF9"/>
    <mergeCell ref="CGG9:CGJ9"/>
    <mergeCell ref="CGK9:CGL9"/>
    <mergeCell ref="CGM9:CGN9"/>
    <mergeCell ref="CGO9:CGP9"/>
    <mergeCell ref="CGQ9:CGV9"/>
    <mergeCell ref="CEQ9:CER9"/>
    <mergeCell ref="CES9:CET9"/>
    <mergeCell ref="CEU9:CEZ9"/>
    <mergeCell ref="CFA9:CFD9"/>
    <mergeCell ref="CFE9:CFF9"/>
    <mergeCell ref="CFG9:CFH9"/>
    <mergeCell ref="CFI9:CFJ9"/>
    <mergeCell ref="CFK9:CFP9"/>
    <mergeCell ref="CFQ9:CFT9"/>
    <mergeCell ref="CDM9:CDN9"/>
    <mergeCell ref="CDO9:CDT9"/>
    <mergeCell ref="CDU9:CDX9"/>
    <mergeCell ref="CDY9:CDZ9"/>
    <mergeCell ref="CEA9:CEB9"/>
    <mergeCell ref="CEC9:CED9"/>
    <mergeCell ref="CEE9:CEJ9"/>
    <mergeCell ref="CEK9:CEN9"/>
    <mergeCell ref="CEO9:CEP9"/>
    <mergeCell ref="CCI9:CCN9"/>
    <mergeCell ref="CCO9:CCR9"/>
    <mergeCell ref="CCS9:CCT9"/>
    <mergeCell ref="CCU9:CCV9"/>
    <mergeCell ref="CCW9:CCX9"/>
    <mergeCell ref="CCY9:CDD9"/>
    <mergeCell ref="CDE9:CDH9"/>
    <mergeCell ref="CDI9:CDJ9"/>
    <mergeCell ref="CDK9:CDL9"/>
    <mergeCell ref="CBI9:CBL9"/>
    <mergeCell ref="CBM9:CBN9"/>
    <mergeCell ref="CBO9:CBP9"/>
    <mergeCell ref="CBQ9:CBR9"/>
    <mergeCell ref="CBS9:CBX9"/>
    <mergeCell ref="CBY9:CCB9"/>
    <mergeCell ref="CCC9:CCD9"/>
    <mergeCell ref="CCE9:CCF9"/>
    <mergeCell ref="CCG9:CCH9"/>
    <mergeCell ref="CAG9:CAH9"/>
    <mergeCell ref="CAI9:CAJ9"/>
    <mergeCell ref="CAK9:CAL9"/>
    <mergeCell ref="CAM9:CAR9"/>
    <mergeCell ref="CAS9:CAV9"/>
    <mergeCell ref="CAW9:CAX9"/>
    <mergeCell ref="CAY9:CAZ9"/>
    <mergeCell ref="CBA9:CBB9"/>
    <mergeCell ref="CBC9:CBH9"/>
    <mergeCell ref="BZC9:BZD9"/>
    <mergeCell ref="BZE9:BZF9"/>
    <mergeCell ref="BZG9:BZL9"/>
    <mergeCell ref="BZM9:BZP9"/>
    <mergeCell ref="BZQ9:BZR9"/>
    <mergeCell ref="BZS9:BZT9"/>
    <mergeCell ref="BZU9:BZV9"/>
    <mergeCell ref="BZW9:CAB9"/>
    <mergeCell ref="CAC9:CAF9"/>
    <mergeCell ref="BXY9:BXZ9"/>
    <mergeCell ref="BYA9:BYF9"/>
    <mergeCell ref="BYG9:BYJ9"/>
    <mergeCell ref="BYK9:BYL9"/>
    <mergeCell ref="BYM9:BYN9"/>
    <mergeCell ref="BYO9:BYP9"/>
    <mergeCell ref="BYQ9:BYV9"/>
    <mergeCell ref="BYW9:BYZ9"/>
    <mergeCell ref="BZA9:BZB9"/>
    <mergeCell ref="BWU9:BWZ9"/>
    <mergeCell ref="BXA9:BXD9"/>
    <mergeCell ref="BXE9:BXF9"/>
    <mergeCell ref="BXG9:BXH9"/>
    <mergeCell ref="BXI9:BXJ9"/>
    <mergeCell ref="BXK9:BXP9"/>
    <mergeCell ref="BXQ9:BXT9"/>
    <mergeCell ref="BXU9:BXV9"/>
    <mergeCell ref="BXW9:BXX9"/>
    <mergeCell ref="BVU9:BVX9"/>
    <mergeCell ref="BVY9:BVZ9"/>
    <mergeCell ref="BWA9:BWB9"/>
    <mergeCell ref="BWC9:BWD9"/>
    <mergeCell ref="BWE9:BWJ9"/>
    <mergeCell ref="BWK9:BWN9"/>
    <mergeCell ref="BWO9:BWP9"/>
    <mergeCell ref="BWQ9:BWR9"/>
    <mergeCell ref="BWS9:BWT9"/>
    <mergeCell ref="BUS9:BUT9"/>
    <mergeCell ref="BUU9:BUV9"/>
    <mergeCell ref="BUW9:BUX9"/>
    <mergeCell ref="BUY9:BVD9"/>
    <mergeCell ref="BVE9:BVH9"/>
    <mergeCell ref="BVI9:BVJ9"/>
    <mergeCell ref="BVK9:BVL9"/>
    <mergeCell ref="BVM9:BVN9"/>
    <mergeCell ref="BVO9:BVT9"/>
    <mergeCell ref="BTO9:BTP9"/>
    <mergeCell ref="BTQ9:BTR9"/>
    <mergeCell ref="BTS9:BTX9"/>
    <mergeCell ref="BTY9:BUB9"/>
    <mergeCell ref="BUC9:BUD9"/>
    <mergeCell ref="BUE9:BUF9"/>
    <mergeCell ref="BUG9:BUH9"/>
    <mergeCell ref="BUI9:BUN9"/>
    <mergeCell ref="BUO9:BUR9"/>
    <mergeCell ref="BSK9:BSL9"/>
    <mergeCell ref="BSM9:BSR9"/>
    <mergeCell ref="BSS9:BSV9"/>
    <mergeCell ref="BSW9:BSX9"/>
    <mergeCell ref="BSY9:BSZ9"/>
    <mergeCell ref="BTA9:BTB9"/>
    <mergeCell ref="BTC9:BTH9"/>
    <mergeCell ref="BTI9:BTL9"/>
    <mergeCell ref="BTM9:BTN9"/>
    <mergeCell ref="BRG9:BRL9"/>
    <mergeCell ref="BRM9:BRP9"/>
    <mergeCell ref="BRQ9:BRR9"/>
    <mergeCell ref="BRS9:BRT9"/>
    <mergeCell ref="BRU9:BRV9"/>
    <mergeCell ref="BRW9:BSB9"/>
    <mergeCell ref="BSC9:BSF9"/>
    <mergeCell ref="BSG9:BSH9"/>
    <mergeCell ref="BSI9:BSJ9"/>
    <mergeCell ref="BQG9:BQJ9"/>
    <mergeCell ref="BQK9:BQL9"/>
    <mergeCell ref="BQM9:BQN9"/>
    <mergeCell ref="BQO9:BQP9"/>
    <mergeCell ref="BQQ9:BQV9"/>
    <mergeCell ref="BQW9:BQZ9"/>
    <mergeCell ref="BRA9:BRB9"/>
    <mergeCell ref="BRC9:BRD9"/>
    <mergeCell ref="BRE9:BRF9"/>
    <mergeCell ref="BPE9:BPF9"/>
    <mergeCell ref="BPG9:BPH9"/>
    <mergeCell ref="BPI9:BPJ9"/>
    <mergeCell ref="BPK9:BPP9"/>
    <mergeCell ref="BPQ9:BPT9"/>
    <mergeCell ref="BPU9:BPV9"/>
    <mergeCell ref="BPW9:BPX9"/>
    <mergeCell ref="BPY9:BPZ9"/>
    <mergeCell ref="BQA9:BQF9"/>
    <mergeCell ref="BOA9:BOB9"/>
    <mergeCell ref="BOC9:BOD9"/>
    <mergeCell ref="BOE9:BOJ9"/>
    <mergeCell ref="BOK9:BON9"/>
    <mergeCell ref="BOO9:BOP9"/>
    <mergeCell ref="BOQ9:BOR9"/>
    <mergeCell ref="BOS9:BOT9"/>
    <mergeCell ref="BOU9:BOZ9"/>
    <mergeCell ref="BPA9:BPD9"/>
    <mergeCell ref="BMW9:BMX9"/>
    <mergeCell ref="BMY9:BND9"/>
    <mergeCell ref="BNE9:BNH9"/>
    <mergeCell ref="BNI9:BNJ9"/>
    <mergeCell ref="BNK9:BNL9"/>
    <mergeCell ref="BNM9:BNN9"/>
    <mergeCell ref="BNO9:BNT9"/>
    <mergeCell ref="BNU9:BNX9"/>
    <mergeCell ref="BNY9:BNZ9"/>
    <mergeCell ref="BLS9:BLX9"/>
    <mergeCell ref="BLY9:BMB9"/>
    <mergeCell ref="BMC9:BMD9"/>
    <mergeCell ref="BME9:BMF9"/>
    <mergeCell ref="BMG9:BMH9"/>
    <mergeCell ref="BMI9:BMN9"/>
    <mergeCell ref="BMO9:BMR9"/>
    <mergeCell ref="BMS9:BMT9"/>
    <mergeCell ref="BMU9:BMV9"/>
    <mergeCell ref="BKS9:BKV9"/>
    <mergeCell ref="BKW9:BKX9"/>
    <mergeCell ref="BKY9:BKZ9"/>
    <mergeCell ref="BLA9:BLB9"/>
    <mergeCell ref="BLC9:BLH9"/>
    <mergeCell ref="BLI9:BLL9"/>
    <mergeCell ref="BLM9:BLN9"/>
    <mergeCell ref="BLO9:BLP9"/>
    <mergeCell ref="BLQ9:BLR9"/>
    <mergeCell ref="BJQ9:BJR9"/>
    <mergeCell ref="BJS9:BJT9"/>
    <mergeCell ref="BJU9:BJV9"/>
    <mergeCell ref="BJW9:BKB9"/>
    <mergeCell ref="BKC9:BKF9"/>
    <mergeCell ref="BKG9:BKH9"/>
    <mergeCell ref="BKI9:BKJ9"/>
    <mergeCell ref="BKK9:BKL9"/>
    <mergeCell ref="BKM9:BKR9"/>
    <mergeCell ref="BIM9:BIN9"/>
    <mergeCell ref="BIO9:BIP9"/>
    <mergeCell ref="BIQ9:BIV9"/>
    <mergeCell ref="BIW9:BIZ9"/>
    <mergeCell ref="BJA9:BJB9"/>
    <mergeCell ref="BJC9:BJD9"/>
    <mergeCell ref="BJE9:BJF9"/>
    <mergeCell ref="BJG9:BJL9"/>
    <mergeCell ref="BJM9:BJP9"/>
    <mergeCell ref="BHI9:BHJ9"/>
    <mergeCell ref="BHK9:BHP9"/>
    <mergeCell ref="BHQ9:BHT9"/>
    <mergeCell ref="BHU9:BHV9"/>
    <mergeCell ref="BHW9:BHX9"/>
    <mergeCell ref="BHY9:BHZ9"/>
    <mergeCell ref="BIA9:BIF9"/>
    <mergeCell ref="BIG9:BIJ9"/>
    <mergeCell ref="BIK9:BIL9"/>
    <mergeCell ref="BGE9:BGJ9"/>
    <mergeCell ref="BGK9:BGN9"/>
    <mergeCell ref="BGO9:BGP9"/>
    <mergeCell ref="BGQ9:BGR9"/>
    <mergeCell ref="BGS9:BGT9"/>
    <mergeCell ref="BGU9:BGZ9"/>
    <mergeCell ref="BHA9:BHD9"/>
    <mergeCell ref="BHE9:BHF9"/>
    <mergeCell ref="BHG9:BHH9"/>
    <mergeCell ref="BFE9:BFH9"/>
    <mergeCell ref="BFI9:BFJ9"/>
    <mergeCell ref="BFK9:BFL9"/>
    <mergeCell ref="BFM9:BFN9"/>
    <mergeCell ref="BFO9:BFT9"/>
    <mergeCell ref="BFU9:BFX9"/>
    <mergeCell ref="BFY9:BFZ9"/>
    <mergeCell ref="BGA9:BGB9"/>
    <mergeCell ref="BGC9:BGD9"/>
    <mergeCell ref="BEC9:BED9"/>
    <mergeCell ref="BEE9:BEF9"/>
    <mergeCell ref="BEG9:BEH9"/>
    <mergeCell ref="BEI9:BEN9"/>
    <mergeCell ref="BEO9:BER9"/>
    <mergeCell ref="BES9:BET9"/>
    <mergeCell ref="BEU9:BEV9"/>
    <mergeCell ref="BEW9:BEX9"/>
    <mergeCell ref="BEY9:BFD9"/>
    <mergeCell ref="BCY9:BCZ9"/>
    <mergeCell ref="BDA9:BDB9"/>
    <mergeCell ref="BDC9:BDH9"/>
    <mergeCell ref="BDI9:BDL9"/>
    <mergeCell ref="BDM9:BDN9"/>
    <mergeCell ref="BDO9:BDP9"/>
    <mergeCell ref="BDQ9:BDR9"/>
    <mergeCell ref="BDS9:BDX9"/>
    <mergeCell ref="BDY9:BEB9"/>
    <mergeCell ref="BBU9:BBV9"/>
    <mergeCell ref="BBW9:BCB9"/>
    <mergeCell ref="BCC9:BCF9"/>
    <mergeCell ref="BCG9:BCH9"/>
    <mergeCell ref="BCI9:BCJ9"/>
    <mergeCell ref="BCK9:BCL9"/>
    <mergeCell ref="BCM9:BCR9"/>
    <mergeCell ref="BCS9:BCV9"/>
    <mergeCell ref="BCW9:BCX9"/>
    <mergeCell ref="BAQ9:BAV9"/>
    <mergeCell ref="BAW9:BAZ9"/>
    <mergeCell ref="BBA9:BBB9"/>
    <mergeCell ref="BBC9:BBD9"/>
    <mergeCell ref="BBE9:BBF9"/>
    <mergeCell ref="BBG9:BBL9"/>
    <mergeCell ref="BBM9:BBP9"/>
    <mergeCell ref="BBQ9:BBR9"/>
    <mergeCell ref="BBS9:BBT9"/>
    <mergeCell ref="AZQ9:AZT9"/>
    <mergeCell ref="AZU9:AZV9"/>
    <mergeCell ref="AZW9:AZX9"/>
    <mergeCell ref="AZY9:AZZ9"/>
    <mergeCell ref="BAA9:BAF9"/>
    <mergeCell ref="BAG9:BAJ9"/>
    <mergeCell ref="BAK9:BAL9"/>
    <mergeCell ref="BAM9:BAN9"/>
    <mergeCell ref="BAO9:BAP9"/>
    <mergeCell ref="AYO9:AYP9"/>
    <mergeCell ref="AYQ9:AYR9"/>
    <mergeCell ref="AYS9:AYT9"/>
    <mergeCell ref="AYU9:AYZ9"/>
    <mergeCell ref="AZA9:AZD9"/>
    <mergeCell ref="AZE9:AZF9"/>
    <mergeCell ref="AZG9:AZH9"/>
    <mergeCell ref="AZI9:AZJ9"/>
    <mergeCell ref="AZK9:AZP9"/>
    <mergeCell ref="AXK9:AXL9"/>
    <mergeCell ref="AXM9:AXN9"/>
    <mergeCell ref="AXO9:AXT9"/>
    <mergeCell ref="AXU9:AXX9"/>
    <mergeCell ref="AXY9:AXZ9"/>
    <mergeCell ref="AYA9:AYB9"/>
    <mergeCell ref="AYC9:AYD9"/>
    <mergeCell ref="AYE9:AYJ9"/>
    <mergeCell ref="AYK9:AYN9"/>
    <mergeCell ref="AWG9:AWH9"/>
    <mergeCell ref="AWI9:AWN9"/>
    <mergeCell ref="AWO9:AWR9"/>
    <mergeCell ref="AWS9:AWT9"/>
    <mergeCell ref="AWU9:AWV9"/>
    <mergeCell ref="AWW9:AWX9"/>
    <mergeCell ref="AWY9:AXD9"/>
    <mergeCell ref="AXE9:AXH9"/>
    <mergeCell ref="AXI9:AXJ9"/>
    <mergeCell ref="AVC9:AVH9"/>
    <mergeCell ref="AVI9:AVL9"/>
    <mergeCell ref="AVM9:AVN9"/>
    <mergeCell ref="AVO9:AVP9"/>
    <mergeCell ref="AVQ9:AVR9"/>
    <mergeCell ref="AVS9:AVX9"/>
    <mergeCell ref="AVY9:AWB9"/>
    <mergeCell ref="AWC9:AWD9"/>
    <mergeCell ref="AWE9:AWF9"/>
    <mergeCell ref="AUC9:AUF9"/>
    <mergeCell ref="AUG9:AUH9"/>
    <mergeCell ref="AUI9:AUJ9"/>
    <mergeCell ref="AUK9:AUL9"/>
    <mergeCell ref="AUM9:AUR9"/>
    <mergeCell ref="AUS9:AUV9"/>
    <mergeCell ref="AUW9:AUX9"/>
    <mergeCell ref="AUY9:AUZ9"/>
    <mergeCell ref="AVA9:AVB9"/>
    <mergeCell ref="ATA9:ATB9"/>
    <mergeCell ref="ATC9:ATD9"/>
    <mergeCell ref="ATE9:ATF9"/>
    <mergeCell ref="ATG9:ATL9"/>
    <mergeCell ref="ATM9:ATP9"/>
    <mergeCell ref="ATQ9:ATR9"/>
    <mergeCell ref="ATS9:ATT9"/>
    <mergeCell ref="ATU9:ATV9"/>
    <mergeCell ref="ATW9:AUB9"/>
    <mergeCell ref="ARW9:ARX9"/>
    <mergeCell ref="ARY9:ARZ9"/>
    <mergeCell ref="ASA9:ASF9"/>
    <mergeCell ref="ASG9:ASJ9"/>
    <mergeCell ref="ASK9:ASL9"/>
    <mergeCell ref="ASM9:ASN9"/>
    <mergeCell ref="ASO9:ASP9"/>
    <mergeCell ref="ASQ9:ASV9"/>
    <mergeCell ref="ASW9:ASZ9"/>
    <mergeCell ref="AQS9:AQT9"/>
    <mergeCell ref="AQU9:AQZ9"/>
    <mergeCell ref="ARA9:ARD9"/>
    <mergeCell ref="ARE9:ARF9"/>
    <mergeCell ref="ARG9:ARH9"/>
    <mergeCell ref="ARI9:ARJ9"/>
    <mergeCell ref="ARK9:ARP9"/>
    <mergeCell ref="ARQ9:ART9"/>
    <mergeCell ref="ARU9:ARV9"/>
    <mergeCell ref="APO9:APT9"/>
    <mergeCell ref="APU9:APX9"/>
    <mergeCell ref="APY9:APZ9"/>
    <mergeCell ref="AQA9:AQB9"/>
    <mergeCell ref="AQC9:AQD9"/>
    <mergeCell ref="AQE9:AQJ9"/>
    <mergeCell ref="AQK9:AQN9"/>
    <mergeCell ref="AQO9:AQP9"/>
    <mergeCell ref="AQQ9:AQR9"/>
    <mergeCell ref="AOO9:AOR9"/>
    <mergeCell ref="AOS9:AOT9"/>
    <mergeCell ref="AOU9:AOV9"/>
    <mergeCell ref="AOW9:AOX9"/>
    <mergeCell ref="AOY9:APD9"/>
    <mergeCell ref="APE9:APH9"/>
    <mergeCell ref="API9:APJ9"/>
    <mergeCell ref="APK9:APL9"/>
    <mergeCell ref="APM9:APN9"/>
    <mergeCell ref="ANM9:ANN9"/>
    <mergeCell ref="ANO9:ANP9"/>
    <mergeCell ref="ANQ9:ANR9"/>
    <mergeCell ref="ANS9:ANX9"/>
    <mergeCell ref="ANY9:AOB9"/>
    <mergeCell ref="AOC9:AOD9"/>
    <mergeCell ref="AOE9:AOF9"/>
    <mergeCell ref="AOG9:AOH9"/>
    <mergeCell ref="AOI9:AON9"/>
    <mergeCell ref="AMI9:AMJ9"/>
    <mergeCell ref="AMK9:AML9"/>
    <mergeCell ref="AMM9:AMR9"/>
    <mergeCell ref="AMS9:AMV9"/>
    <mergeCell ref="AMW9:AMX9"/>
    <mergeCell ref="AMY9:AMZ9"/>
    <mergeCell ref="ANA9:ANB9"/>
    <mergeCell ref="ANC9:ANH9"/>
    <mergeCell ref="ANI9:ANL9"/>
    <mergeCell ref="ALE9:ALF9"/>
    <mergeCell ref="ALG9:ALL9"/>
    <mergeCell ref="ALM9:ALP9"/>
    <mergeCell ref="ALQ9:ALR9"/>
    <mergeCell ref="ALS9:ALT9"/>
    <mergeCell ref="ALU9:ALV9"/>
    <mergeCell ref="ALW9:AMB9"/>
    <mergeCell ref="AMC9:AMF9"/>
    <mergeCell ref="AMG9:AMH9"/>
    <mergeCell ref="AKA9:AKF9"/>
    <mergeCell ref="AKG9:AKJ9"/>
    <mergeCell ref="AKK9:AKL9"/>
    <mergeCell ref="AKM9:AKN9"/>
    <mergeCell ref="AKO9:AKP9"/>
    <mergeCell ref="AKQ9:AKV9"/>
    <mergeCell ref="AKW9:AKZ9"/>
    <mergeCell ref="ALA9:ALB9"/>
    <mergeCell ref="ALC9:ALD9"/>
    <mergeCell ref="AJA9:AJD9"/>
    <mergeCell ref="AJE9:AJF9"/>
    <mergeCell ref="AJG9:AJH9"/>
    <mergeCell ref="AJI9:AJJ9"/>
    <mergeCell ref="AJK9:AJP9"/>
    <mergeCell ref="AJQ9:AJT9"/>
    <mergeCell ref="AJU9:AJV9"/>
    <mergeCell ref="AJW9:AJX9"/>
    <mergeCell ref="AJY9:AJZ9"/>
    <mergeCell ref="AHY9:AHZ9"/>
    <mergeCell ref="AIA9:AIB9"/>
    <mergeCell ref="AIC9:AID9"/>
    <mergeCell ref="AIE9:AIJ9"/>
    <mergeCell ref="AIK9:AIN9"/>
    <mergeCell ref="AIO9:AIP9"/>
    <mergeCell ref="AIQ9:AIR9"/>
    <mergeCell ref="AIS9:AIT9"/>
    <mergeCell ref="AIU9:AIZ9"/>
    <mergeCell ref="AGU9:AGV9"/>
    <mergeCell ref="AGW9:AGX9"/>
    <mergeCell ref="AGY9:AHD9"/>
    <mergeCell ref="AHE9:AHH9"/>
    <mergeCell ref="AHI9:AHJ9"/>
    <mergeCell ref="AHK9:AHL9"/>
    <mergeCell ref="AHM9:AHN9"/>
    <mergeCell ref="AHO9:AHT9"/>
    <mergeCell ref="AHU9:AHX9"/>
    <mergeCell ref="AFQ9:AFR9"/>
    <mergeCell ref="AFS9:AFX9"/>
    <mergeCell ref="AFY9:AGB9"/>
    <mergeCell ref="AGC9:AGD9"/>
    <mergeCell ref="AGE9:AGF9"/>
    <mergeCell ref="AGG9:AGH9"/>
    <mergeCell ref="AGI9:AGN9"/>
    <mergeCell ref="AGO9:AGR9"/>
    <mergeCell ref="AGS9:AGT9"/>
    <mergeCell ref="AEM9:AER9"/>
    <mergeCell ref="AES9:AEV9"/>
    <mergeCell ref="AEW9:AEX9"/>
    <mergeCell ref="AEY9:AEZ9"/>
    <mergeCell ref="AFA9:AFB9"/>
    <mergeCell ref="AFC9:AFH9"/>
    <mergeCell ref="AFI9:AFL9"/>
    <mergeCell ref="AFM9:AFN9"/>
    <mergeCell ref="AFO9:AFP9"/>
    <mergeCell ref="ADM9:ADP9"/>
    <mergeCell ref="ADQ9:ADR9"/>
    <mergeCell ref="ADS9:ADT9"/>
    <mergeCell ref="ADU9:ADV9"/>
    <mergeCell ref="ADW9:AEB9"/>
    <mergeCell ref="AEC9:AEF9"/>
    <mergeCell ref="AEG9:AEH9"/>
    <mergeCell ref="AEI9:AEJ9"/>
    <mergeCell ref="AEK9:AEL9"/>
    <mergeCell ref="ACK9:ACL9"/>
    <mergeCell ref="ACM9:ACN9"/>
    <mergeCell ref="ACO9:ACP9"/>
    <mergeCell ref="ACQ9:ACV9"/>
    <mergeCell ref="ACW9:ACZ9"/>
    <mergeCell ref="ADA9:ADB9"/>
    <mergeCell ref="ADC9:ADD9"/>
    <mergeCell ref="ADE9:ADF9"/>
    <mergeCell ref="ADG9:ADL9"/>
    <mergeCell ref="ABG9:ABH9"/>
    <mergeCell ref="ABI9:ABJ9"/>
    <mergeCell ref="ABK9:ABP9"/>
    <mergeCell ref="ABQ9:ABT9"/>
    <mergeCell ref="ABU9:ABV9"/>
    <mergeCell ref="ABW9:ABX9"/>
    <mergeCell ref="ABY9:ABZ9"/>
    <mergeCell ref="ACA9:ACF9"/>
    <mergeCell ref="ACG9:ACJ9"/>
    <mergeCell ref="AAC9:AAD9"/>
    <mergeCell ref="AAE9:AAJ9"/>
    <mergeCell ref="AAK9:AAN9"/>
    <mergeCell ref="AAO9:AAP9"/>
    <mergeCell ref="AAQ9:AAR9"/>
    <mergeCell ref="AAS9:AAT9"/>
    <mergeCell ref="AAU9:AAZ9"/>
    <mergeCell ref="ABA9:ABD9"/>
    <mergeCell ref="ABE9:ABF9"/>
    <mergeCell ref="YY9:ZD9"/>
    <mergeCell ref="ZE9:ZH9"/>
    <mergeCell ref="ZI9:ZJ9"/>
    <mergeCell ref="ZK9:ZL9"/>
    <mergeCell ref="ZM9:ZN9"/>
    <mergeCell ref="ZO9:ZT9"/>
    <mergeCell ref="ZU9:ZX9"/>
    <mergeCell ref="ZY9:ZZ9"/>
    <mergeCell ref="AAA9:AAB9"/>
    <mergeCell ref="XY9:YB9"/>
    <mergeCell ref="YC9:YD9"/>
    <mergeCell ref="YE9:YF9"/>
    <mergeCell ref="YG9:YH9"/>
    <mergeCell ref="YI9:YN9"/>
    <mergeCell ref="YO9:YR9"/>
    <mergeCell ref="YS9:YT9"/>
    <mergeCell ref="YU9:YV9"/>
    <mergeCell ref="YW9:YX9"/>
    <mergeCell ref="WW9:WX9"/>
    <mergeCell ref="WY9:WZ9"/>
    <mergeCell ref="XA9:XB9"/>
    <mergeCell ref="XC9:XH9"/>
    <mergeCell ref="XI9:XL9"/>
    <mergeCell ref="XM9:XN9"/>
    <mergeCell ref="XO9:XP9"/>
    <mergeCell ref="XQ9:XR9"/>
    <mergeCell ref="XS9:XX9"/>
    <mergeCell ref="VS9:VT9"/>
    <mergeCell ref="VU9:VV9"/>
    <mergeCell ref="VW9:WB9"/>
    <mergeCell ref="WC9:WF9"/>
    <mergeCell ref="WG9:WH9"/>
    <mergeCell ref="WI9:WJ9"/>
    <mergeCell ref="WK9:WL9"/>
    <mergeCell ref="WM9:WR9"/>
    <mergeCell ref="WS9:WV9"/>
    <mergeCell ref="UO9:UP9"/>
    <mergeCell ref="UQ9:UV9"/>
    <mergeCell ref="UW9:UZ9"/>
    <mergeCell ref="VA9:VB9"/>
    <mergeCell ref="VC9:VD9"/>
    <mergeCell ref="VE9:VF9"/>
    <mergeCell ref="VG9:VL9"/>
    <mergeCell ref="VM9:VP9"/>
    <mergeCell ref="VQ9:VR9"/>
    <mergeCell ref="TK9:TP9"/>
    <mergeCell ref="TQ9:TT9"/>
    <mergeCell ref="TU9:TV9"/>
    <mergeCell ref="TW9:TX9"/>
    <mergeCell ref="TY9:TZ9"/>
    <mergeCell ref="UA9:UF9"/>
    <mergeCell ref="UG9:UJ9"/>
    <mergeCell ref="UK9:UL9"/>
    <mergeCell ref="UM9:UN9"/>
    <mergeCell ref="SK9:SN9"/>
    <mergeCell ref="SO9:SP9"/>
    <mergeCell ref="SQ9:SR9"/>
    <mergeCell ref="SS9:ST9"/>
    <mergeCell ref="SU9:SZ9"/>
    <mergeCell ref="TA9:TD9"/>
    <mergeCell ref="TE9:TF9"/>
    <mergeCell ref="TG9:TH9"/>
    <mergeCell ref="TI9:TJ9"/>
    <mergeCell ref="RI9:RJ9"/>
    <mergeCell ref="RK9:RL9"/>
    <mergeCell ref="RM9:RN9"/>
    <mergeCell ref="RO9:RT9"/>
    <mergeCell ref="RU9:RX9"/>
    <mergeCell ref="RY9:RZ9"/>
    <mergeCell ref="SA9:SB9"/>
    <mergeCell ref="SC9:SD9"/>
    <mergeCell ref="SE9:SJ9"/>
    <mergeCell ref="QE9:QF9"/>
    <mergeCell ref="QG9:QH9"/>
    <mergeCell ref="QI9:QN9"/>
    <mergeCell ref="QO9:QR9"/>
    <mergeCell ref="QS9:QT9"/>
    <mergeCell ref="QU9:QV9"/>
    <mergeCell ref="QW9:QX9"/>
    <mergeCell ref="QY9:RD9"/>
    <mergeCell ref="RE9:RH9"/>
    <mergeCell ref="PA9:PB9"/>
    <mergeCell ref="PC9:PH9"/>
    <mergeCell ref="PI9:PL9"/>
    <mergeCell ref="PM9:PN9"/>
    <mergeCell ref="PO9:PP9"/>
    <mergeCell ref="PQ9:PR9"/>
    <mergeCell ref="PS9:PX9"/>
    <mergeCell ref="PY9:QB9"/>
    <mergeCell ref="QC9:QD9"/>
    <mergeCell ref="NW9:OB9"/>
    <mergeCell ref="OC9:OF9"/>
    <mergeCell ref="OG9:OH9"/>
    <mergeCell ref="OI9:OJ9"/>
    <mergeCell ref="OK9:OL9"/>
    <mergeCell ref="OM9:OR9"/>
    <mergeCell ref="OS9:OV9"/>
    <mergeCell ref="OW9:OX9"/>
    <mergeCell ref="OY9:OZ9"/>
    <mergeCell ref="MW9:MZ9"/>
    <mergeCell ref="NA9:NB9"/>
    <mergeCell ref="NC9:ND9"/>
    <mergeCell ref="NE9:NF9"/>
    <mergeCell ref="NG9:NL9"/>
    <mergeCell ref="NM9:NP9"/>
    <mergeCell ref="NQ9:NR9"/>
    <mergeCell ref="NS9:NT9"/>
    <mergeCell ref="NU9:NV9"/>
    <mergeCell ref="LU9:LV9"/>
    <mergeCell ref="LW9:LX9"/>
    <mergeCell ref="LY9:LZ9"/>
    <mergeCell ref="MA9:MF9"/>
    <mergeCell ref="MG9:MJ9"/>
    <mergeCell ref="MK9:ML9"/>
    <mergeCell ref="MM9:MN9"/>
    <mergeCell ref="MO9:MP9"/>
    <mergeCell ref="MQ9:MV9"/>
    <mergeCell ref="KQ9:KR9"/>
    <mergeCell ref="KS9:KT9"/>
    <mergeCell ref="KU9:KZ9"/>
    <mergeCell ref="LA9:LD9"/>
    <mergeCell ref="LE9:LF9"/>
    <mergeCell ref="LG9:LH9"/>
    <mergeCell ref="LI9:LJ9"/>
    <mergeCell ref="LK9:LP9"/>
    <mergeCell ref="LQ9:LT9"/>
    <mergeCell ref="JM9:JN9"/>
    <mergeCell ref="JO9:JT9"/>
    <mergeCell ref="JU9:JX9"/>
    <mergeCell ref="JY9:JZ9"/>
    <mergeCell ref="KA9:KB9"/>
    <mergeCell ref="KC9:KD9"/>
    <mergeCell ref="KE9:KJ9"/>
    <mergeCell ref="KK9:KN9"/>
    <mergeCell ref="KO9:KP9"/>
    <mergeCell ref="II9:IN9"/>
    <mergeCell ref="IO9:IR9"/>
    <mergeCell ref="IS9:IT9"/>
    <mergeCell ref="IU9:IV9"/>
    <mergeCell ref="IW9:IX9"/>
    <mergeCell ref="IY9:JD9"/>
    <mergeCell ref="JE9:JH9"/>
    <mergeCell ref="JI9:JJ9"/>
    <mergeCell ref="JK9:JL9"/>
    <mergeCell ref="HI9:HL9"/>
    <mergeCell ref="HM9:HN9"/>
    <mergeCell ref="HO9:HP9"/>
    <mergeCell ref="HQ9:HR9"/>
    <mergeCell ref="HS9:HX9"/>
    <mergeCell ref="HY9:IB9"/>
    <mergeCell ref="IC9:ID9"/>
    <mergeCell ref="IE9:IF9"/>
    <mergeCell ref="IG9:IH9"/>
    <mergeCell ref="GG9:GH9"/>
    <mergeCell ref="GI9:GJ9"/>
    <mergeCell ref="GK9:GL9"/>
    <mergeCell ref="GM9:GR9"/>
    <mergeCell ref="GS9:GV9"/>
    <mergeCell ref="GW9:GX9"/>
    <mergeCell ref="GY9:GZ9"/>
    <mergeCell ref="HA9:HB9"/>
    <mergeCell ref="HC9:HH9"/>
    <mergeCell ref="FC9:FD9"/>
    <mergeCell ref="FE9:FF9"/>
    <mergeCell ref="FG9:FL9"/>
    <mergeCell ref="FM9:FP9"/>
    <mergeCell ref="FQ9:FR9"/>
    <mergeCell ref="FS9:FT9"/>
    <mergeCell ref="FU9:FV9"/>
    <mergeCell ref="FW9:GB9"/>
    <mergeCell ref="GC9:GF9"/>
    <mergeCell ref="XBO18:XBT18"/>
    <mergeCell ref="A9:D9"/>
    <mergeCell ref="E9:F9"/>
    <mergeCell ref="G9:H9"/>
    <mergeCell ref="I9:J9"/>
    <mergeCell ref="K9:P9"/>
    <mergeCell ref="XAO18:XAR18"/>
    <mergeCell ref="XAS18:XAT18"/>
    <mergeCell ref="XAU18:XAV18"/>
    <mergeCell ref="XAW18:XAX18"/>
    <mergeCell ref="XAY18:XBD18"/>
    <mergeCell ref="XBE18:XBH18"/>
    <mergeCell ref="XBI18:XBJ18"/>
    <mergeCell ref="XBK18:XBL18"/>
    <mergeCell ref="XBM18:XBN18"/>
    <mergeCell ref="WZM18:WZN18"/>
    <mergeCell ref="WZO18:WZP18"/>
    <mergeCell ref="WZQ18:WZR18"/>
    <mergeCell ref="WZS18:WZX18"/>
    <mergeCell ref="WZY18:XAB18"/>
    <mergeCell ref="XAC18:XAD18"/>
    <mergeCell ref="XAE18:XAF18"/>
    <mergeCell ref="XAG18:XAH18"/>
    <mergeCell ref="XAI18:XAN18"/>
    <mergeCell ref="WYI18:WYJ18"/>
    <mergeCell ref="WYK18:WYL18"/>
    <mergeCell ref="WYM18:WYR18"/>
    <mergeCell ref="WYS18:WYV18"/>
    <mergeCell ref="DY9:DZ9"/>
    <mergeCell ref="EA9:EF9"/>
    <mergeCell ref="EG9:EJ9"/>
    <mergeCell ref="EK9:EL9"/>
    <mergeCell ref="EM9:EN9"/>
    <mergeCell ref="EO9:EP9"/>
    <mergeCell ref="EQ9:EV9"/>
    <mergeCell ref="EW9:EZ9"/>
    <mergeCell ref="FA9:FB9"/>
    <mergeCell ref="CU9:CZ9"/>
    <mergeCell ref="DA9:DD9"/>
    <mergeCell ref="DE9:DF9"/>
    <mergeCell ref="DG9:DH9"/>
    <mergeCell ref="DI9:DJ9"/>
    <mergeCell ref="DK9:DP9"/>
    <mergeCell ref="DQ9:DT9"/>
    <mergeCell ref="DU9:DV9"/>
    <mergeCell ref="DW9:DX9"/>
    <mergeCell ref="BU9:BX9"/>
    <mergeCell ref="BY9:BZ9"/>
    <mergeCell ref="CA9:CB9"/>
    <mergeCell ref="CC9:CD9"/>
    <mergeCell ref="CE9:CJ9"/>
    <mergeCell ref="CK9:CN9"/>
    <mergeCell ref="CO9:CP9"/>
    <mergeCell ref="CQ9:CR9"/>
    <mergeCell ref="CS9:CT9"/>
    <mergeCell ref="AS9:AT9"/>
    <mergeCell ref="AU9:AV9"/>
    <mergeCell ref="AW9:AX9"/>
    <mergeCell ref="AY9:BD9"/>
    <mergeCell ref="BE9:BH9"/>
    <mergeCell ref="BI9:BJ9"/>
    <mergeCell ref="BK9:BL9"/>
    <mergeCell ref="BM9:BN9"/>
    <mergeCell ref="BO9:BT9"/>
    <mergeCell ref="WYW18:WYX18"/>
    <mergeCell ref="WYY18:WYZ18"/>
    <mergeCell ref="WZA18:WZB18"/>
    <mergeCell ref="WZC18:WZH18"/>
    <mergeCell ref="WZI18:WZL18"/>
    <mergeCell ref="WXE18:WXF18"/>
    <mergeCell ref="WXG18:WXL18"/>
    <mergeCell ref="WXM18:WXP18"/>
    <mergeCell ref="WXQ18:WXR18"/>
    <mergeCell ref="WXS18:WXT18"/>
    <mergeCell ref="WXU18:WXV18"/>
    <mergeCell ref="WXW18:WYB18"/>
    <mergeCell ref="WYC18:WYF18"/>
    <mergeCell ref="WYG18:WYH18"/>
    <mergeCell ref="WWA18:WWF18"/>
    <mergeCell ref="WWG18:WWJ18"/>
    <mergeCell ref="WWK18:WWL18"/>
    <mergeCell ref="WWM18:WWN18"/>
    <mergeCell ref="WWO18:WWP18"/>
    <mergeCell ref="WWQ18:WWV18"/>
    <mergeCell ref="WWW18:WWZ18"/>
    <mergeCell ref="WXA18:WXB18"/>
    <mergeCell ref="WXC18:WXD18"/>
    <mergeCell ref="WVA18:WVD18"/>
    <mergeCell ref="WVE18:WVF18"/>
    <mergeCell ref="WVG18:WVH18"/>
    <mergeCell ref="WVI18:WVJ18"/>
    <mergeCell ref="WVK18:WVP18"/>
    <mergeCell ref="WVQ18:WVT18"/>
    <mergeCell ref="WVU18:WVV18"/>
    <mergeCell ref="WVW18:WVX18"/>
    <mergeCell ref="WVY18:WVZ18"/>
    <mergeCell ref="WTY18:WTZ18"/>
    <mergeCell ref="WUA18:WUB18"/>
    <mergeCell ref="WUC18:WUD18"/>
    <mergeCell ref="WUE18:WUJ18"/>
    <mergeCell ref="WUK18:WUN18"/>
    <mergeCell ref="WUO18:WUP18"/>
    <mergeCell ref="WUQ18:WUR18"/>
    <mergeCell ref="WUS18:WUT18"/>
    <mergeCell ref="WUU18:WUZ18"/>
    <mergeCell ref="WSU18:WSV18"/>
    <mergeCell ref="WSW18:WSX18"/>
    <mergeCell ref="WSY18:WTD18"/>
    <mergeCell ref="WTE18:WTH18"/>
    <mergeCell ref="WTI18:WTJ18"/>
    <mergeCell ref="WTK18:WTL18"/>
    <mergeCell ref="WTM18:WTN18"/>
    <mergeCell ref="WTO18:WTT18"/>
    <mergeCell ref="WTU18:WTX18"/>
    <mergeCell ref="WRQ18:WRR18"/>
    <mergeCell ref="WRS18:WRX18"/>
    <mergeCell ref="WRY18:WSB18"/>
    <mergeCell ref="WSC18:WSD18"/>
    <mergeCell ref="WSE18:WSF18"/>
    <mergeCell ref="WSG18:WSH18"/>
    <mergeCell ref="WSI18:WSN18"/>
    <mergeCell ref="WSO18:WSR18"/>
    <mergeCell ref="WSS18:WST18"/>
    <mergeCell ref="WQM18:WQR18"/>
    <mergeCell ref="WQS18:WQV18"/>
    <mergeCell ref="WQW18:WQX18"/>
    <mergeCell ref="WQY18:WQZ18"/>
    <mergeCell ref="WRA18:WRB18"/>
    <mergeCell ref="WRC18:WRH18"/>
    <mergeCell ref="WRI18:WRL18"/>
    <mergeCell ref="WRM18:WRN18"/>
    <mergeCell ref="WRO18:WRP18"/>
    <mergeCell ref="WPM18:WPP18"/>
    <mergeCell ref="WPQ18:WPR18"/>
    <mergeCell ref="WPS18:WPT18"/>
    <mergeCell ref="WPU18:WPV18"/>
    <mergeCell ref="WPW18:WQB18"/>
    <mergeCell ref="WQC18:WQF18"/>
    <mergeCell ref="WQG18:WQH18"/>
    <mergeCell ref="WQI18:WQJ18"/>
    <mergeCell ref="WQK18:WQL18"/>
    <mergeCell ref="WOK18:WOL18"/>
    <mergeCell ref="WOM18:WON18"/>
    <mergeCell ref="WOO18:WOP18"/>
    <mergeCell ref="WOQ18:WOV18"/>
    <mergeCell ref="WOW18:WOZ18"/>
    <mergeCell ref="WPA18:WPB18"/>
    <mergeCell ref="WPC18:WPD18"/>
    <mergeCell ref="WPE18:WPF18"/>
    <mergeCell ref="WPG18:WPL18"/>
    <mergeCell ref="WNG18:WNH18"/>
    <mergeCell ref="WNI18:WNJ18"/>
    <mergeCell ref="WNK18:WNP18"/>
    <mergeCell ref="WNQ18:WNT18"/>
    <mergeCell ref="WNU18:WNV18"/>
    <mergeCell ref="WNW18:WNX18"/>
    <mergeCell ref="WNY18:WNZ18"/>
    <mergeCell ref="WOA18:WOF18"/>
    <mergeCell ref="WOG18:WOJ18"/>
    <mergeCell ref="WMC18:WMD18"/>
    <mergeCell ref="WME18:WMJ18"/>
    <mergeCell ref="WMK18:WMN18"/>
    <mergeCell ref="WMO18:WMP18"/>
    <mergeCell ref="WMQ18:WMR18"/>
    <mergeCell ref="WMS18:WMT18"/>
    <mergeCell ref="WMU18:WMZ18"/>
    <mergeCell ref="WNA18:WND18"/>
    <mergeCell ref="WNE18:WNF18"/>
    <mergeCell ref="WKY18:WLD18"/>
    <mergeCell ref="WLE18:WLH18"/>
    <mergeCell ref="WLI18:WLJ18"/>
    <mergeCell ref="WLK18:WLL18"/>
    <mergeCell ref="WLM18:WLN18"/>
    <mergeCell ref="WLO18:WLT18"/>
    <mergeCell ref="WLU18:WLX18"/>
    <mergeCell ref="WLY18:WLZ18"/>
    <mergeCell ref="WMA18:WMB18"/>
    <mergeCell ref="WJY18:WKB18"/>
    <mergeCell ref="WKC18:WKD18"/>
    <mergeCell ref="WKE18:WKF18"/>
    <mergeCell ref="WKG18:WKH18"/>
    <mergeCell ref="WKI18:WKN18"/>
    <mergeCell ref="WKO18:WKR18"/>
    <mergeCell ref="WKS18:WKT18"/>
    <mergeCell ref="WKU18:WKV18"/>
    <mergeCell ref="WKW18:WKX18"/>
    <mergeCell ref="WIW18:WIX18"/>
    <mergeCell ref="WIY18:WIZ18"/>
    <mergeCell ref="WJA18:WJB18"/>
    <mergeCell ref="WJC18:WJH18"/>
    <mergeCell ref="WJI18:WJL18"/>
    <mergeCell ref="WJM18:WJN18"/>
    <mergeCell ref="WJO18:WJP18"/>
    <mergeCell ref="WJQ18:WJR18"/>
    <mergeCell ref="WJS18:WJX18"/>
    <mergeCell ref="WHS18:WHT18"/>
    <mergeCell ref="WHU18:WHV18"/>
    <mergeCell ref="WHW18:WIB18"/>
    <mergeCell ref="WIC18:WIF18"/>
    <mergeCell ref="WIG18:WIH18"/>
    <mergeCell ref="WII18:WIJ18"/>
    <mergeCell ref="WIK18:WIL18"/>
    <mergeCell ref="WIM18:WIR18"/>
    <mergeCell ref="WIS18:WIV18"/>
    <mergeCell ref="WGO18:WGP18"/>
    <mergeCell ref="WGQ18:WGV18"/>
    <mergeCell ref="WGW18:WGZ18"/>
    <mergeCell ref="WHA18:WHB18"/>
    <mergeCell ref="WHC18:WHD18"/>
    <mergeCell ref="WHE18:WHF18"/>
    <mergeCell ref="WHG18:WHL18"/>
    <mergeCell ref="WHM18:WHP18"/>
    <mergeCell ref="WHQ18:WHR18"/>
    <mergeCell ref="WFK18:WFP18"/>
    <mergeCell ref="WFQ18:WFT18"/>
    <mergeCell ref="WFU18:WFV18"/>
    <mergeCell ref="WFW18:WFX18"/>
    <mergeCell ref="WFY18:WFZ18"/>
    <mergeCell ref="WGA18:WGF18"/>
    <mergeCell ref="WGG18:WGJ18"/>
    <mergeCell ref="WGK18:WGL18"/>
    <mergeCell ref="WGM18:WGN18"/>
    <mergeCell ref="WEK18:WEN18"/>
    <mergeCell ref="WEO18:WEP18"/>
    <mergeCell ref="WEQ18:WER18"/>
    <mergeCell ref="WES18:WET18"/>
    <mergeCell ref="WEU18:WEZ18"/>
    <mergeCell ref="WFA18:WFD18"/>
    <mergeCell ref="WFE18:WFF18"/>
    <mergeCell ref="WFG18:WFH18"/>
    <mergeCell ref="WFI18:WFJ18"/>
    <mergeCell ref="WDI18:WDJ18"/>
    <mergeCell ref="WDK18:WDL18"/>
    <mergeCell ref="WDM18:WDN18"/>
    <mergeCell ref="WDO18:WDT18"/>
    <mergeCell ref="WDU18:WDX18"/>
    <mergeCell ref="WDY18:WDZ18"/>
    <mergeCell ref="WEA18:WEB18"/>
    <mergeCell ref="WEC18:WED18"/>
    <mergeCell ref="WEE18:WEJ18"/>
    <mergeCell ref="WCE18:WCF18"/>
    <mergeCell ref="WCG18:WCH18"/>
    <mergeCell ref="WCI18:WCN18"/>
    <mergeCell ref="WCO18:WCR18"/>
    <mergeCell ref="WCS18:WCT18"/>
    <mergeCell ref="WCU18:WCV18"/>
    <mergeCell ref="WCW18:WCX18"/>
    <mergeCell ref="WCY18:WDD18"/>
    <mergeCell ref="WDE18:WDH18"/>
    <mergeCell ref="WBA18:WBB18"/>
    <mergeCell ref="WBC18:WBH18"/>
    <mergeCell ref="WBI18:WBL18"/>
    <mergeCell ref="WBM18:WBN18"/>
    <mergeCell ref="WBO18:WBP18"/>
    <mergeCell ref="WBQ18:WBR18"/>
    <mergeCell ref="WBS18:WBX18"/>
    <mergeCell ref="WBY18:WCB18"/>
    <mergeCell ref="WCC18:WCD18"/>
    <mergeCell ref="VZW18:WAB18"/>
    <mergeCell ref="WAC18:WAF18"/>
    <mergeCell ref="WAG18:WAH18"/>
    <mergeCell ref="WAI18:WAJ18"/>
    <mergeCell ref="WAK18:WAL18"/>
    <mergeCell ref="WAM18:WAR18"/>
    <mergeCell ref="WAS18:WAV18"/>
    <mergeCell ref="WAW18:WAX18"/>
    <mergeCell ref="WAY18:WAZ18"/>
    <mergeCell ref="VYW18:VYZ18"/>
    <mergeCell ref="VZA18:VZB18"/>
    <mergeCell ref="VZC18:VZD18"/>
    <mergeCell ref="VZE18:VZF18"/>
    <mergeCell ref="VZG18:VZL18"/>
    <mergeCell ref="VZM18:VZP18"/>
    <mergeCell ref="VZQ18:VZR18"/>
    <mergeCell ref="VZS18:VZT18"/>
    <mergeCell ref="VZU18:VZV18"/>
    <mergeCell ref="VXU18:VXV18"/>
    <mergeCell ref="VXW18:VXX18"/>
    <mergeCell ref="VXY18:VXZ18"/>
    <mergeCell ref="VYA18:VYF18"/>
    <mergeCell ref="VYG18:VYJ18"/>
    <mergeCell ref="VYK18:VYL18"/>
    <mergeCell ref="VYM18:VYN18"/>
    <mergeCell ref="VYO18:VYP18"/>
    <mergeCell ref="VYQ18:VYV18"/>
    <mergeCell ref="VWQ18:VWR18"/>
    <mergeCell ref="VWS18:VWT18"/>
    <mergeCell ref="VWU18:VWZ18"/>
    <mergeCell ref="VXA18:VXD18"/>
    <mergeCell ref="VXE18:VXF18"/>
    <mergeCell ref="VXG18:VXH18"/>
    <mergeCell ref="VXI18:VXJ18"/>
    <mergeCell ref="VXK18:VXP18"/>
    <mergeCell ref="VXQ18:VXT18"/>
    <mergeCell ref="VVM18:VVN18"/>
    <mergeCell ref="VVO18:VVT18"/>
    <mergeCell ref="VVU18:VVX18"/>
    <mergeCell ref="VVY18:VVZ18"/>
    <mergeCell ref="VWA18:VWB18"/>
    <mergeCell ref="VWC18:VWD18"/>
    <mergeCell ref="VWE18:VWJ18"/>
    <mergeCell ref="VWK18:VWN18"/>
    <mergeCell ref="VWO18:VWP18"/>
    <mergeCell ref="VUI18:VUN18"/>
    <mergeCell ref="VUO18:VUR18"/>
    <mergeCell ref="VUS18:VUT18"/>
    <mergeCell ref="VUU18:VUV18"/>
    <mergeCell ref="VUW18:VUX18"/>
    <mergeCell ref="VUY18:VVD18"/>
    <mergeCell ref="VVE18:VVH18"/>
    <mergeCell ref="VVI18:VVJ18"/>
    <mergeCell ref="VVK18:VVL18"/>
    <mergeCell ref="VTI18:VTL18"/>
    <mergeCell ref="VTM18:VTN18"/>
    <mergeCell ref="VTO18:VTP18"/>
    <mergeCell ref="VTQ18:VTR18"/>
    <mergeCell ref="VTS18:VTX18"/>
    <mergeCell ref="VTY18:VUB18"/>
    <mergeCell ref="VUC18:VUD18"/>
    <mergeCell ref="VUE18:VUF18"/>
    <mergeCell ref="VUG18:VUH18"/>
    <mergeCell ref="VSG18:VSH18"/>
    <mergeCell ref="VSI18:VSJ18"/>
    <mergeCell ref="VSK18:VSL18"/>
    <mergeCell ref="VSM18:VSR18"/>
    <mergeCell ref="VSS18:VSV18"/>
    <mergeCell ref="VSW18:VSX18"/>
    <mergeCell ref="VSY18:VSZ18"/>
    <mergeCell ref="VTA18:VTB18"/>
    <mergeCell ref="VTC18:VTH18"/>
    <mergeCell ref="VRC18:VRD18"/>
    <mergeCell ref="VRE18:VRF18"/>
    <mergeCell ref="VRG18:VRL18"/>
    <mergeCell ref="VRM18:VRP18"/>
    <mergeCell ref="VRQ18:VRR18"/>
    <mergeCell ref="VRS18:VRT18"/>
    <mergeCell ref="VRU18:VRV18"/>
    <mergeCell ref="VRW18:VSB18"/>
    <mergeCell ref="VSC18:VSF18"/>
    <mergeCell ref="VPY18:VPZ18"/>
    <mergeCell ref="VQA18:VQF18"/>
    <mergeCell ref="VQG18:VQJ18"/>
    <mergeCell ref="VQK18:VQL18"/>
    <mergeCell ref="VQM18:VQN18"/>
    <mergeCell ref="VQO18:VQP18"/>
    <mergeCell ref="VQQ18:VQV18"/>
    <mergeCell ref="VQW18:VQZ18"/>
    <mergeCell ref="VRA18:VRB18"/>
    <mergeCell ref="VOU18:VOZ18"/>
    <mergeCell ref="VPA18:VPD18"/>
    <mergeCell ref="VPE18:VPF18"/>
    <mergeCell ref="VPG18:VPH18"/>
    <mergeCell ref="VPI18:VPJ18"/>
    <mergeCell ref="VPK18:VPP18"/>
    <mergeCell ref="VPQ18:VPT18"/>
    <mergeCell ref="VPU18:VPV18"/>
    <mergeCell ref="VPW18:VPX18"/>
    <mergeCell ref="VNU18:VNX18"/>
    <mergeCell ref="VNY18:VNZ18"/>
    <mergeCell ref="VOA18:VOB18"/>
    <mergeCell ref="VOC18:VOD18"/>
    <mergeCell ref="VOE18:VOJ18"/>
    <mergeCell ref="VOK18:VON18"/>
    <mergeCell ref="VOO18:VOP18"/>
    <mergeCell ref="VOQ18:VOR18"/>
    <mergeCell ref="VOS18:VOT18"/>
    <mergeCell ref="VMS18:VMT18"/>
    <mergeCell ref="VMU18:VMV18"/>
    <mergeCell ref="VMW18:VMX18"/>
    <mergeCell ref="VMY18:VND18"/>
    <mergeCell ref="VNE18:VNH18"/>
    <mergeCell ref="VNI18:VNJ18"/>
    <mergeCell ref="VNK18:VNL18"/>
    <mergeCell ref="VNM18:VNN18"/>
    <mergeCell ref="VNO18:VNT18"/>
    <mergeCell ref="VLO18:VLP18"/>
    <mergeCell ref="VLQ18:VLR18"/>
    <mergeCell ref="VLS18:VLX18"/>
    <mergeCell ref="VLY18:VMB18"/>
    <mergeCell ref="VMC18:VMD18"/>
    <mergeCell ref="VME18:VMF18"/>
    <mergeCell ref="VMG18:VMH18"/>
    <mergeCell ref="VMI18:VMN18"/>
    <mergeCell ref="VMO18:VMR18"/>
    <mergeCell ref="VKK18:VKL18"/>
    <mergeCell ref="VKM18:VKR18"/>
    <mergeCell ref="VKS18:VKV18"/>
    <mergeCell ref="VKW18:VKX18"/>
    <mergeCell ref="VKY18:VKZ18"/>
    <mergeCell ref="VLA18:VLB18"/>
    <mergeCell ref="VLC18:VLH18"/>
    <mergeCell ref="VLI18:VLL18"/>
    <mergeCell ref="VLM18:VLN18"/>
    <mergeCell ref="VJG18:VJL18"/>
    <mergeCell ref="VJM18:VJP18"/>
    <mergeCell ref="VJQ18:VJR18"/>
    <mergeCell ref="VJS18:VJT18"/>
    <mergeCell ref="VJU18:VJV18"/>
    <mergeCell ref="VJW18:VKB18"/>
    <mergeCell ref="VKC18:VKF18"/>
    <mergeCell ref="VKG18:VKH18"/>
    <mergeCell ref="VKI18:VKJ18"/>
    <mergeCell ref="VIG18:VIJ18"/>
    <mergeCell ref="VIK18:VIL18"/>
    <mergeCell ref="VIM18:VIN18"/>
    <mergeCell ref="VIO18:VIP18"/>
    <mergeCell ref="VIQ18:VIV18"/>
    <mergeCell ref="VIW18:VIZ18"/>
    <mergeCell ref="VJA18:VJB18"/>
    <mergeCell ref="VJC18:VJD18"/>
    <mergeCell ref="VJE18:VJF18"/>
    <mergeCell ref="VHE18:VHF18"/>
    <mergeCell ref="VHG18:VHH18"/>
    <mergeCell ref="VHI18:VHJ18"/>
    <mergeCell ref="VHK18:VHP18"/>
    <mergeCell ref="VHQ18:VHT18"/>
    <mergeCell ref="VHU18:VHV18"/>
    <mergeCell ref="VHW18:VHX18"/>
    <mergeCell ref="VHY18:VHZ18"/>
    <mergeCell ref="VIA18:VIF18"/>
    <mergeCell ref="VGA18:VGB18"/>
    <mergeCell ref="VGC18:VGD18"/>
    <mergeCell ref="VGE18:VGJ18"/>
    <mergeCell ref="VGK18:VGN18"/>
    <mergeCell ref="VGO18:VGP18"/>
    <mergeCell ref="VGQ18:VGR18"/>
    <mergeCell ref="VGS18:VGT18"/>
    <mergeCell ref="VGU18:VGZ18"/>
    <mergeCell ref="VHA18:VHD18"/>
    <mergeCell ref="VEW18:VEX18"/>
    <mergeCell ref="VEY18:VFD18"/>
    <mergeCell ref="VFE18:VFH18"/>
    <mergeCell ref="VFI18:VFJ18"/>
    <mergeCell ref="VFK18:VFL18"/>
    <mergeCell ref="VFM18:VFN18"/>
    <mergeCell ref="VFO18:VFT18"/>
    <mergeCell ref="VFU18:VFX18"/>
    <mergeCell ref="VFY18:VFZ18"/>
    <mergeCell ref="VDS18:VDX18"/>
    <mergeCell ref="VDY18:VEB18"/>
    <mergeCell ref="VEC18:VED18"/>
    <mergeCell ref="VEE18:VEF18"/>
    <mergeCell ref="VEG18:VEH18"/>
    <mergeCell ref="VEI18:VEN18"/>
    <mergeCell ref="VEO18:VER18"/>
    <mergeCell ref="VES18:VET18"/>
    <mergeCell ref="VEU18:VEV18"/>
    <mergeCell ref="VCS18:VCV18"/>
    <mergeCell ref="VCW18:VCX18"/>
    <mergeCell ref="VCY18:VCZ18"/>
    <mergeCell ref="VDA18:VDB18"/>
    <mergeCell ref="VDC18:VDH18"/>
    <mergeCell ref="VDI18:VDL18"/>
    <mergeCell ref="VDM18:VDN18"/>
    <mergeCell ref="VDO18:VDP18"/>
    <mergeCell ref="VDQ18:VDR18"/>
    <mergeCell ref="VBQ18:VBR18"/>
    <mergeCell ref="VBS18:VBT18"/>
    <mergeCell ref="VBU18:VBV18"/>
    <mergeCell ref="VBW18:VCB18"/>
    <mergeCell ref="VCC18:VCF18"/>
    <mergeCell ref="VCG18:VCH18"/>
    <mergeCell ref="VCI18:VCJ18"/>
    <mergeCell ref="VCK18:VCL18"/>
    <mergeCell ref="VCM18:VCR18"/>
    <mergeCell ref="VAM18:VAN18"/>
    <mergeCell ref="VAO18:VAP18"/>
    <mergeCell ref="VAQ18:VAV18"/>
    <mergeCell ref="VAW18:VAZ18"/>
    <mergeCell ref="VBA18:VBB18"/>
    <mergeCell ref="VBC18:VBD18"/>
    <mergeCell ref="VBE18:VBF18"/>
    <mergeCell ref="VBG18:VBL18"/>
    <mergeCell ref="VBM18:VBP18"/>
    <mergeCell ref="UZI18:UZJ18"/>
    <mergeCell ref="UZK18:UZP18"/>
    <mergeCell ref="UZQ18:UZT18"/>
    <mergeCell ref="UZU18:UZV18"/>
    <mergeCell ref="UZW18:UZX18"/>
    <mergeCell ref="UZY18:UZZ18"/>
    <mergeCell ref="VAA18:VAF18"/>
    <mergeCell ref="VAG18:VAJ18"/>
    <mergeCell ref="VAK18:VAL18"/>
    <mergeCell ref="UYE18:UYJ18"/>
    <mergeCell ref="UYK18:UYN18"/>
    <mergeCell ref="UYO18:UYP18"/>
    <mergeCell ref="UYQ18:UYR18"/>
    <mergeCell ref="UYS18:UYT18"/>
    <mergeCell ref="UYU18:UYZ18"/>
    <mergeCell ref="UZA18:UZD18"/>
    <mergeCell ref="UZE18:UZF18"/>
    <mergeCell ref="UZG18:UZH18"/>
    <mergeCell ref="UXE18:UXH18"/>
    <mergeCell ref="UXI18:UXJ18"/>
    <mergeCell ref="UXK18:UXL18"/>
    <mergeCell ref="UXM18:UXN18"/>
    <mergeCell ref="UXO18:UXT18"/>
    <mergeCell ref="UXU18:UXX18"/>
    <mergeCell ref="UXY18:UXZ18"/>
    <mergeCell ref="UYA18:UYB18"/>
    <mergeCell ref="UYC18:UYD18"/>
    <mergeCell ref="UWC18:UWD18"/>
    <mergeCell ref="UWE18:UWF18"/>
    <mergeCell ref="UWG18:UWH18"/>
    <mergeCell ref="UWI18:UWN18"/>
    <mergeCell ref="UWO18:UWR18"/>
    <mergeCell ref="UWS18:UWT18"/>
    <mergeCell ref="UWU18:UWV18"/>
    <mergeCell ref="UWW18:UWX18"/>
    <mergeCell ref="UWY18:UXD18"/>
    <mergeCell ref="UUY18:UUZ18"/>
    <mergeCell ref="UVA18:UVB18"/>
    <mergeCell ref="UVC18:UVH18"/>
    <mergeCell ref="UVI18:UVL18"/>
    <mergeCell ref="UVM18:UVN18"/>
    <mergeCell ref="UVO18:UVP18"/>
    <mergeCell ref="UVQ18:UVR18"/>
    <mergeCell ref="UVS18:UVX18"/>
    <mergeCell ref="UVY18:UWB18"/>
    <mergeCell ref="UTU18:UTV18"/>
    <mergeCell ref="UTW18:UUB18"/>
    <mergeCell ref="UUC18:UUF18"/>
    <mergeCell ref="UUG18:UUH18"/>
    <mergeCell ref="UUI18:UUJ18"/>
    <mergeCell ref="UUK18:UUL18"/>
    <mergeCell ref="UUM18:UUR18"/>
    <mergeCell ref="UUS18:UUV18"/>
    <mergeCell ref="UUW18:UUX18"/>
    <mergeCell ref="USQ18:USV18"/>
    <mergeCell ref="USW18:USZ18"/>
    <mergeCell ref="UTA18:UTB18"/>
    <mergeCell ref="UTC18:UTD18"/>
    <mergeCell ref="UTE18:UTF18"/>
    <mergeCell ref="UTG18:UTL18"/>
    <mergeCell ref="UTM18:UTP18"/>
    <mergeCell ref="UTQ18:UTR18"/>
    <mergeCell ref="UTS18:UTT18"/>
    <mergeCell ref="URQ18:URT18"/>
    <mergeCell ref="URU18:URV18"/>
    <mergeCell ref="URW18:URX18"/>
    <mergeCell ref="URY18:URZ18"/>
    <mergeCell ref="USA18:USF18"/>
    <mergeCell ref="USG18:USJ18"/>
    <mergeCell ref="USK18:USL18"/>
    <mergeCell ref="USM18:USN18"/>
    <mergeCell ref="USO18:USP18"/>
    <mergeCell ref="UQO18:UQP18"/>
    <mergeCell ref="UQQ18:UQR18"/>
    <mergeCell ref="UQS18:UQT18"/>
    <mergeCell ref="UQU18:UQZ18"/>
    <mergeCell ref="URA18:URD18"/>
    <mergeCell ref="URE18:URF18"/>
    <mergeCell ref="URG18:URH18"/>
    <mergeCell ref="URI18:URJ18"/>
    <mergeCell ref="URK18:URP18"/>
    <mergeCell ref="UPK18:UPL18"/>
    <mergeCell ref="UPM18:UPN18"/>
    <mergeCell ref="UPO18:UPT18"/>
    <mergeCell ref="UPU18:UPX18"/>
    <mergeCell ref="UPY18:UPZ18"/>
    <mergeCell ref="UQA18:UQB18"/>
    <mergeCell ref="UQC18:UQD18"/>
    <mergeCell ref="UQE18:UQJ18"/>
    <mergeCell ref="UQK18:UQN18"/>
    <mergeCell ref="UOG18:UOH18"/>
    <mergeCell ref="UOI18:UON18"/>
    <mergeCell ref="UOO18:UOR18"/>
    <mergeCell ref="UOS18:UOT18"/>
    <mergeCell ref="UOU18:UOV18"/>
    <mergeCell ref="UOW18:UOX18"/>
    <mergeCell ref="UOY18:UPD18"/>
    <mergeCell ref="UPE18:UPH18"/>
    <mergeCell ref="UPI18:UPJ18"/>
    <mergeCell ref="UNC18:UNH18"/>
    <mergeCell ref="UNI18:UNL18"/>
    <mergeCell ref="UNM18:UNN18"/>
    <mergeCell ref="UNO18:UNP18"/>
    <mergeCell ref="UNQ18:UNR18"/>
    <mergeCell ref="UNS18:UNX18"/>
    <mergeCell ref="UNY18:UOB18"/>
    <mergeCell ref="UOC18:UOD18"/>
    <mergeCell ref="UOE18:UOF18"/>
    <mergeCell ref="UMC18:UMF18"/>
    <mergeCell ref="UMG18:UMH18"/>
    <mergeCell ref="UMI18:UMJ18"/>
    <mergeCell ref="UMK18:UML18"/>
    <mergeCell ref="UMM18:UMR18"/>
    <mergeCell ref="UMS18:UMV18"/>
    <mergeCell ref="UMW18:UMX18"/>
    <mergeCell ref="UMY18:UMZ18"/>
    <mergeCell ref="UNA18:UNB18"/>
    <mergeCell ref="ULA18:ULB18"/>
    <mergeCell ref="ULC18:ULD18"/>
    <mergeCell ref="ULE18:ULF18"/>
    <mergeCell ref="ULG18:ULL18"/>
    <mergeCell ref="ULM18:ULP18"/>
    <mergeCell ref="ULQ18:ULR18"/>
    <mergeCell ref="ULS18:ULT18"/>
    <mergeCell ref="ULU18:ULV18"/>
    <mergeCell ref="ULW18:UMB18"/>
    <mergeCell ref="UJW18:UJX18"/>
    <mergeCell ref="UJY18:UJZ18"/>
    <mergeCell ref="UKA18:UKF18"/>
    <mergeCell ref="UKG18:UKJ18"/>
    <mergeCell ref="UKK18:UKL18"/>
    <mergeCell ref="UKM18:UKN18"/>
    <mergeCell ref="UKO18:UKP18"/>
    <mergeCell ref="UKQ18:UKV18"/>
    <mergeCell ref="UKW18:UKZ18"/>
    <mergeCell ref="UIS18:UIT18"/>
    <mergeCell ref="UIU18:UIZ18"/>
    <mergeCell ref="UJA18:UJD18"/>
    <mergeCell ref="UJE18:UJF18"/>
    <mergeCell ref="UJG18:UJH18"/>
    <mergeCell ref="UJI18:UJJ18"/>
    <mergeCell ref="UJK18:UJP18"/>
    <mergeCell ref="UJQ18:UJT18"/>
    <mergeCell ref="UJU18:UJV18"/>
    <mergeCell ref="UHO18:UHT18"/>
    <mergeCell ref="UHU18:UHX18"/>
    <mergeCell ref="UHY18:UHZ18"/>
    <mergeCell ref="UIA18:UIB18"/>
    <mergeCell ref="UIC18:UID18"/>
    <mergeCell ref="UIE18:UIJ18"/>
    <mergeCell ref="UIK18:UIN18"/>
    <mergeCell ref="UIO18:UIP18"/>
    <mergeCell ref="UIQ18:UIR18"/>
    <mergeCell ref="UGO18:UGR18"/>
    <mergeCell ref="UGS18:UGT18"/>
    <mergeCell ref="UGU18:UGV18"/>
    <mergeCell ref="UGW18:UGX18"/>
    <mergeCell ref="UGY18:UHD18"/>
    <mergeCell ref="UHE18:UHH18"/>
    <mergeCell ref="UHI18:UHJ18"/>
    <mergeCell ref="UHK18:UHL18"/>
    <mergeCell ref="UHM18:UHN18"/>
    <mergeCell ref="UFM18:UFN18"/>
    <mergeCell ref="UFO18:UFP18"/>
    <mergeCell ref="UFQ18:UFR18"/>
    <mergeCell ref="UFS18:UFX18"/>
    <mergeCell ref="UFY18:UGB18"/>
    <mergeCell ref="UGC18:UGD18"/>
    <mergeCell ref="UGE18:UGF18"/>
    <mergeCell ref="UGG18:UGH18"/>
    <mergeCell ref="UGI18:UGN18"/>
    <mergeCell ref="UEI18:UEJ18"/>
    <mergeCell ref="UEK18:UEL18"/>
    <mergeCell ref="UEM18:UER18"/>
    <mergeCell ref="UES18:UEV18"/>
    <mergeCell ref="UEW18:UEX18"/>
    <mergeCell ref="UEY18:UEZ18"/>
    <mergeCell ref="UFA18:UFB18"/>
    <mergeCell ref="UFC18:UFH18"/>
    <mergeCell ref="UFI18:UFL18"/>
    <mergeCell ref="UDE18:UDF18"/>
    <mergeCell ref="UDG18:UDL18"/>
    <mergeCell ref="UDM18:UDP18"/>
    <mergeCell ref="UDQ18:UDR18"/>
    <mergeCell ref="UDS18:UDT18"/>
    <mergeCell ref="UDU18:UDV18"/>
    <mergeCell ref="UDW18:UEB18"/>
    <mergeCell ref="UEC18:UEF18"/>
    <mergeCell ref="UEG18:UEH18"/>
    <mergeCell ref="UCA18:UCF18"/>
    <mergeCell ref="UCG18:UCJ18"/>
    <mergeCell ref="UCK18:UCL18"/>
    <mergeCell ref="UCM18:UCN18"/>
    <mergeCell ref="UCO18:UCP18"/>
    <mergeCell ref="UCQ18:UCV18"/>
    <mergeCell ref="UCW18:UCZ18"/>
    <mergeCell ref="UDA18:UDB18"/>
    <mergeCell ref="UDC18:UDD18"/>
    <mergeCell ref="UBA18:UBD18"/>
    <mergeCell ref="UBE18:UBF18"/>
    <mergeCell ref="UBG18:UBH18"/>
    <mergeCell ref="UBI18:UBJ18"/>
    <mergeCell ref="UBK18:UBP18"/>
    <mergeCell ref="UBQ18:UBT18"/>
    <mergeCell ref="UBU18:UBV18"/>
    <mergeCell ref="UBW18:UBX18"/>
    <mergeCell ref="UBY18:UBZ18"/>
    <mergeCell ref="TZY18:TZZ18"/>
    <mergeCell ref="UAA18:UAB18"/>
    <mergeCell ref="UAC18:UAD18"/>
    <mergeCell ref="UAE18:UAJ18"/>
    <mergeCell ref="UAK18:UAN18"/>
    <mergeCell ref="UAO18:UAP18"/>
    <mergeCell ref="UAQ18:UAR18"/>
    <mergeCell ref="UAS18:UAT18"/>
    <mergeCell ref="UAU18:UAZ18"/>
    <mergeCell ref="TYU18:TYV18"/>
    <mergeCell ref="TYW18:TYX18"/>
    <mergeCell ref="TYY18:TZD18"/>
    <mergeCell ref="TZE18:TZH18"/>
    <mergeCell ref="TZI18:TZJ18"/>
    <mergeCell ref="TZK18:TZL18"/>
    <mergeCell ref="TZM18:TZN18"/>
    <mergeCell ref="TZO18:TZT18"/>
    <mergeCell ref="TZU18:TZX18"/>
    <mergeCell ref="TXQ18:TXR18"/>
    <mergeCell ref="TXS18:TXX18"/>
    <mergeCell ref="TXY18:TYB18"/>
    <mergeCell ref="TYC18:TYD18"/>
    <mergeCell ref="TYE18:TYF18"/>
    <mergeCell ref="TYG18:TYH18"/>
    <mergeCell ref="TYI18:TYN18"/>
    <mergeCell ref="TYO18:TYR18"/>
    <mergeCell ref="TYS18:TYT18"/>
    <mergeCell ref="TWM18:TWR18"/>
    <mergeCell ref="TWS18:TWV18"/>
    <mergeCell ref="TWW18:TWX18"/>
    <mergeCell ref="TWY18:TWZ18"/>
    <mergeCell ref="TXA18:TXB18"/>
    <mergeCell ref="TXC18:TXH18"/>
    <mergeCell ref="TXI18:TXL18"/>
    <mergeCell ref="TXM18:TXN18"/>
    <mergeCell ref="TXO18:TXP18"/>
    <mergeCell ref="TVM18:TVP18"/>
    <mergeCell ref="TVQ18:TVR18"/>
    <mergeCell ref="TVS18:TVT18"/>
    <mergeCell ref="TVU18:TVV18"/>
    <mergeCell ref="TVW18:TWB18"/>
    <mergeCell ref="TWC18:TWF18"/>
    <mergeCell ref="TWG18:TWH18"/>
    <mergeCell ref="TWI18:TWJ18"/>
    <mergeCell ref="TWK18:TWL18"/>
    <mergeCell ref="TUK18:TUL18"/>
    <mergeCell ref="TUM18:TUN18"/>
    <mergeCell ref="TUO18:TUP18"/>
    <mergeCell ref="TUQ18:TUV18"/>
    <mergeCell ref="TUW18:TUZ18"/>
    <mergeCell ref="TVA18:TVB18"/>
    <mergeCell ref="TVC18:TVD18"/>
    <mergeCell ref="TVE18:TVF18"/>
    <mergeCell ref="TVG18:TVL18"/>
    <mergeCell ref="TTG18:TTH18"/>
    <mergeCell ref="TTI18:TTJ18"/>
    <mergeCell ref="TTK18:TTP18"/>
    <mergeCell ref="TTQ18:TTT18"/>
    <mergeCell ref="TTU18:TTV18"/>
    <mergeCell ref="TTW18:TTX18"/>
    <mergeCell ref="TTY18:TTZ18"/>
    <mergeCell ref="TUA18:TUF18"/>
    <mergeCell ref="TUG18:TUJ18"/>
    <mergeCell ref="TSC18:TSD18"/>
    <mergeCell ref="TSE18:TSJ18"/>
    <mergeCell ref="TSK18:TSN18"/>
    <mergeCell ref="TSO18:TSP18"/>
    <mergeCell ref="TSQ18:TSR18"/>
    <mergeCell ref="TSS18:TST18"/>
    <mergeCell ref="TSU18:TSZ18"/>
    <mergeCell ref="TTA18:TTD18"/>
    <mergeCell ref="TTE18:TTF18"/>
    <mergeCell ref="TQY18:TRD18"/>
    <mergeCell ref="TRE18:TRH18"/>
    <mergeCell ref="TRI18:TRJ18"/>
    <mergeCell ref="TRK18:TRL18"/>
    <mergeCell ref="TRM18:TRN18"/>
    <mergeCell ref="TRO18:TRT18"/>
    <mergeCell ref="TRU18:TRX18"/>
    <mergeCell ref="TRY18:TRZ18"/>
    <mergeCell ref="TSA18:TSB18"/>
    <mergeCell ref="TPY18:TQB18"/>
    <mergeCell ref="TQC18:TQD18"/>
    <mergeCell ref="TQE18:TQF18"/>
    <mergeCell ref="TQG18:TQH18"/>
    <mergeCell ref="TQI18:TQN18"/>
    <mergeCell ref="TQO18:TQR18"/>
    <mergeCell ref="TQS18:TQT18"/>
    <mergeCell ref="TQU18:TQV18"/>
    <mergeCell ref="TQW18:TQX18"/>
    <mergeCell ref="TOW18:TOX18"/>
    <mergeCell ref="TOY18:TOZ18"/>
    <mergeCell ref="TPA18:TPB18"/>
    <mergeCell ref="TPC18:TPH18"/>
    <mergeCell ref="TPI18:TPL18"/>
    <mergeCell ref="TPM18:TPN18"/>
    <mergeCell ref="TPO18:TPP18"/>
    <mergeCell ref="TPQ18:TPR18"/>
    <mergeCell ref="TPS18:TPX18"/>
    <mergeCell ref="TNS18:TNT18"/>
    <mergeCell ref="TNU18:TNV18"/>
    <mergeCell ref="TNW18:TOB18"/>
    <mergeCell ref="TOC18:TOF18"/>
    <mergeCell ref="TOG18:TOH18"/>
    <mergeCell ref="TOI18:TOJ18"/>
    <mergeCell ref="TOK18:TOL18"/>
    <mergeCell ref="TOM18:TOR18"/>
    <mergeCell ref="TOS18:TOV18"/>
    <mergeCell ref="TMO18:TMP18"/>
    <mergeCell ref="TMQ18:TMV18"/>
    <mergeCell ref="TMW18:TMZ18"/>
    <mergeCell ref="TNA18:TNB18"/>
    <mergeCell ref="TNC18:TND18"/>
    <mergeCell ref="TNE18:TNF18"/>
    <mergeCell ref="TNG18:TNL18"/>
    <mergeCell ref="TNM18:TNP18"/>
    <mergeCell ref="TNQ18:TNR18"/>
    <mergeCell ref="TLK18:TLP18"/>
    <mergeCell ref="TLQ18:TLT18"/>
    <mergeCell ref="TLU18:TLV18"/>
    <mergeCell ref="TLW18:TLX18"/>
    <mergeCell ref="TLY18:TLZ18"/>
    <mergeCell ref="TMA18:TMF18"/>
    <mergeCell ref="TMG18:TMJ18"/>
    <mergeCell ref="TMK18:TML18"/>
    <mergeCell ref="TMM18:TMN18"/>
    <mergeCell ref="TKK18:TKN18"/>
    <mergeCell ref="TKO18:TKP18"/>
    <mergeCell ref="TKQ18:TKR18"/>
    <mergeCell ref="TKS18:TKT18"/>
    <mergeCell ref="TKU18:TKZ18"/>
    <mergeCell ref="TLA18:TLD18"/>
    <mergeCell ref="TLE18:TLF18"/>
    <mergeCell ref="TLG18:TLH18"/>
    <mergeCell ref="TLI18:TLJ18"/>
    <mergeCell ref="TJI18:TJJ18"/>
    <mergeCell ref="TJK18:TJL18"/>
    <mergeCell ref="TJM18:TJN18"/>
    <mergeCell ref="TJO18:TJT18"/>
    <mergeCell ref="TJU18:TJX18"/>
    <mergeCell ref="TJY18:TJZ18"/>
    <mergeCell ref="TKA18:TKB18"/>
    <mergeCell ref="TKC18:TKD18"/>
    <mergeCell ref="TKE18:TKJ18"/>
    <mergeCell ref="TIE18:TIF18"/>
    <mergeCell ref="TIG18:TIH18"/>
    <mergeCell ref="TII18:TIN18"/>
    <mergeCell ref="TIO18:TIR18"/>
    <mergeCell ref="TIS18:TIT18"/>
    <mergeCell ref="TIU18:TIV18"/>
    <mergeCell ref="TIW18:TIX18"/>
    <mergeCell ref="TIY18:TJD18"/>
    <mergeCell ref="TJE18:TJH18"/>
    <mergeCell ref="THA18:THB18"/>
    <mergeCell ref="THC18:THH18"/>
    <mergeCell ref="THI18:THL18"/>
    <mergeCell ref="THM18:THN18"/>
    <mergeCell ref="THO18:THP18"/>
    <mergeCell ref="THQ18:THR18"/>
    <mergeCell ref="THS18:THX18"/>
    <mergeCell ref="THY18:TIB18"/>
    <mergeCell ref="TIC18:TID18"/>
    <mergeCell ref="TFW18:TGB18"/>
    <mergeCell ref="TGC18:TGF18"/>
    <mergeCell ref="TGG18:TGH18"/>
    <mergeCell ref="TGI18:TGJ18"/>
    <mergeCell ref="TGK18:TGL18"/>
    <mergeCell ref="TGM18:TGR18"/>
    <mergeCell ref="TGS18:TGV18"/>
    <mergeCell ref="TGW18:TGX18"/>
    <mergeCell ref="TGY18:TGZ18"/>
    <mergeCell ref="TEW18:TEZ18"/>
    <mergeCell ref="TFA18:TFB18"/>
    <mergeCell ref="TFC18:TFD18"/>
    <mergeCell ref="TFE18:TFF18"/>
    <mergeCell ref="TFG18:TFL18"/>
    <mergeCell ref="TFM18:TFP18"/>
    <mergeCell ref="TFQ18:TFR18"/>
    <mergeCell ref="TFS18:TFT18"/>
    <mergeCell ref="TFU18:TFV18"/>
    <mergeCell ref="TDU18:TDV18"/>
    <mergeCell ref="TDW18:TDX18"/>
    <mergeCell ref="TDY18:TDZ18"/>
    <mergeCell ref="TEA18:TEF18"/>
    <mergeCell ref="TEG18:TEJ18"/>
    <mergeCell ref="TEK18:TEL18"/>
    <mergeCell ref="TEM18:TEN18"/>
    <mergeCell ref="TEO18:TEP18"/>
    <mergeCell ref="TEQ18:TEV18"/>
    <mergeCell ref="TCQ18:TCR18"/>
    <mergeCell ref="TCS18:TCT18"/>
    <mergeCell ref="TCU18:TCZ18"/>
    <mergeCell ref="TDA18:TDD18"/>
    <mergeCell ref="TDE18:TDF18"/>
    <mergeCell ref="TDG18:TDH18"/>
    <mergeCell ref="TDI18:TDJ18"/>
    <mergeCell ref="TDK18:TDP18"/>
    <mergeCell ref="TDQ18:TDT18"/>
    <mergeCell ref="TBM18:TBN18"/>
    <mergeCell ref="TBO18:TBT18"/>
    <mergeCell ref="TBU18:TBX18"/>
    <mergeCell ref="TBY18:TBZ18"/>
    <mergeCell ref="TCA18:TCB18"/>
    <mergeCell ref="TCC18:TCD18"/>
    <mergeCell ref="TCE18:TCJ18"/>
    <mergeCell ref="TCK18:TCN18"/>
    <mergeCell ref="TCO18:TCP18"/>
    <mergeCell ref="TAI18:TAN18"/>
    <mergeCell ref="TAO18:TAR18"/>
    <mergeCell ref="TAS18:TAT18"/>
    <mergeCell ref="TAU18:TAV18"/>
    <mergeCell ref="TAW18:TAX18"/>
    <mergeCell ref="TAY18:TBD18"/>
    <mergeCell ref="TBE18:TBH18"/>
    <mergeCell ref="TBI18:TBJ18"/>
    <mergeCell ref="TBK18:TBL18"/>
    <mergeCell ref="SZI18:SZL18"/>
    <mergeCell ref="SZM18:SZN18"/>
    <mergeCell ref="SZO18:SZP18"/>
    <mergeCell ref="SZQ18:SZR18"/>
    <mergeCell ref="SZS18:SZX18"/>
    <mergeCell ref="SZY18:TAB18"/>
    <mergeCell ref="TAC18:TAD18"/>
    <mergeCell ref="TAE18:TAF18"/>
    <mergeCell ref="TAG18:TAH18"/>
    <mergeCell ref="SYG18:SYH18"/>
    <mergeCell ref="SYI18:SYJ18"/>
    <mergeCell ref="SYK18:SYL18"/>
    <mergeCell ref="SYM18:SYR18"/>
    <mergeCell ref="SYS18:SYV18"/>
    <mergeCell ref="SYW18:SYX18"/>
    <mergeCell ref="SYY18:SYZ18"/>
    <mergeCell ref="SZA18:SZB18"/>
    <mergeCell ref="SZC18:SZH18"/>
    <mergeCell ref="SXC18:SXD18"/>
    <mergeCell ref="SXE18:SXF18"/>
    <mergeCell ref="SXG18:SXL18"/>
    <mergeCell ref="SXM18:SXP18"/>
    <mergeCell ref="SXQ18:SXR18"/>
    <mergeCell ref="SXS18:SXT18"/>
    <mergeCell ref="SXU18:SXV18"/>
    <mergeCell ref="SXW18:SYB18"/>
    <mergeCell ref="SYC18:SYF18"/>
    <mergeCell ref="SVY18:SVZ18"/>
    <mergeCell ref="SWA18:SWF18"/>
    <mergeCell ref="SWG18:SWJ18"/>
    <mergeCell ref="SWK18:SWL18"/>
    <mergeCell ref="SWM18:SWN18"/>
    <mergeCell ref="SWO18:SWP18"/>
    <mergeCell ref="SWQ18:SWV18"/>
    <mergeCell ref="SWW18:SWZ18"/>
    <mergeCell ref="SXA18:SXB18"/>
    <mergeCell ref="SUU18:SUZ18"/>
    <mergeCell ref="SVA18:SVD18"/>
    <mergeCell ref="SVE18:SVF18"/>
    <mergeCell ref="SVG18:SVH18"/>
    <mergeCell ref="SVI18:SVJ18"/>
    <mergeCell ref="SVK18:SVP18"/>
    <mergeCell ref="SVQ18:SVT18"/>
    <mergeCell ref="SVU18:SVV18"/>
    <mergeCell ref="SVW18:SVX18"/>
    <mergeCell ref="STU18:STX18"/>
    <mergeCell ref="STY18:STZ18"/>
    <mergeCell ref="SUA18:SUB18"/>
    <mergeCell ref="SUC18:SUD18"/>
    <mergeCell ref="SUE18:SUJ18"/>
    <mergeCell ref="SUK18:SUN18"/>
    <mergeCell ref="SUO18:SUP18"/>
    <mergeCell ref="SUQ18:SUR18"/>
    <mergeCell ref="SUS18:SUT18"/>
    <mergeCell ref="SSS18:SST18"/>
    <mergeCell ref="SSU18:SSV18"/>
    <mergeCell ref="SSW18:SSX18"/>
    <mergeCell ref="SSY18:STD18"/>
    <mergeCell ref="STE18:STH18"/>
    <mergeCell ref="STI18:STJ18"/>
    <mergeCell ref="STK18:STL18"/>
    <mergeCell ref="STM18:STN18"/>
    <mergeCell ref="STO18:STT18"/>
    <mergeCell ref="SRO18:SRP18"/>
    <mergeCell ref="SRQ18:SRR18"/>
    <mergeCell ref="SRS18:SRX18"/>
    <mergeCell ref="SRY18:SSB18"/>
    <mergeCell ref="SSC18:SSD18"/>
    <mergeCell ref="SSE18:SSF18"/>
    <mergeCell ref="SSG18:SSH18"/>
    <mergeCell ref="SSI18:SSN18"/>
    <mergeCell ref="SSO18:SSR18"/>
    <mergeCell ref="SQK18:SQL18"/>
    <mergeCell ref="SQM18:SQR18"/>
    <mergeCell ref="SQS18:SQV18"/>
    <mergeCell ref="SQW18:SQX18"/>
    <mergeCell ref="SQY18:SQZ18"/>
    <mergeCell ref="SRA18:SRB18"/>
    <mergeCell ref="SRC18:SRH18"/>
    <mergeCell ref="SRI18:SRL18"/>
    <mergeCell ref="SRM18:SRN18"/>
    <mergeCell ref="SPG18:SPL18"/>
    <mergeCell ref="SPM18:SPP18"/>
    <mergeCell ref="SPQ18:SPR18"/>
    <mergeCell ref="SPS18:SPT18"/>
    <mergeCell ref="SPU18:SPV18"/>
    <mergeCell ref="SPW18:SQB18"/>
    <mergeCell ref="SQC18:SQF18"/>
    <mergeCell ref="SQG18:SQH18"/>
    <mergeCell ref="SQI18:SQJ18"/>
    <mergeCell ref="SOG18:SOJ18"/>
    <mergeCell ref="SOK18:SOL18"/>
    <mergeCell ref="SOM18:SON18"/>
    <mergeCell ref="SOO18:SOP18"/>
    <mergeCell ref="SOQ18:SOV18"/>
    <mergeCell ref="SOW18:SOZ18"/>
    <mergeCell ref="SPA18:SPB18"/>
    <mergeCell ref="SPC18:SPD18"/>
    <mergeCell ref="SPE18:SPF18"/>
    <mergeCell ref="SNE18:SNF18"/>
    <mergeCell ref="SNG18:SNH18"/>
    <mergeCell ref="SNI18:SNJ18"/>
    <mergeCell ref="SNK18:SNP18"/>
    <mergeCell ref="SNQ18:SNT18"/>
    <mergeCell ref="SNU18:SNV18"/>
    <mergeCell ref="SNW18:SNX18"/>
    <mergeCell ref="SNY18:SNZ18"/>
    <mergeCell ref="SOA18:SOF18"/>
    <mergeCell ref="SMA18:SMB18"/>
    <mergeCell ref="SMC18:SMD18"/>
    <mergeCell ref="SME18:SMJ18"/>
    <mergeCell ref="SMK18:SMN18"/>
    <mergeCell ref="SMO18:SMP18"/>
    <mergeCell ref="SMQ18:SMR18"/>
    <mergeCell ref="SMS18:SMT18"/>
    <mergeCell ref="SMU18:SMZ18"/>
    <mergeCell ref="SNA18:SND18"/>
    <mergeCell ref="SKW18:SKX18"/>
    <mergeCell ref="SKY18:SLD18"/>
    <mergeCell ref="SLE18:SLH18"/>
    <mergeCell ref="SLI18:SLJ18"/>
    <mergeCell ref="SLK18:SLL18"/>
    <mergeCell ref="SLM18:SLN18"/>
    <mergeCell ref="SLO18:SLT18"/>
    <mergeCell ref="SLU18:SLX18"/>
    <mergeCell ref="SLY18:SLZ18"/>
    <mergeCell ref="SJS18:SJX18"/>
    <mergeCell ref="SJY18:SKB18"/>
    <mergeCell ref="SKC18:SKD18"/>
    <mergeCell ref="SKE18:SKF18"/>
    <mergeCell ref="SKG18:SKH18"/>
    <mergeCell ref="SKI18:SKN18"/>
    <mergeCell ref="SKO18:SKR18"/>
    <mergeCell ref="SKS18:SKT18"/>
    <mergeCell ref="SKU18:SKV18"/>
    <mergeCell ref="SIS18:SIV18"/>
    <mergeCell ref="SIW18:SIX18"/>
    <mergeCell ref="SIY18:SIZ18"/>
    <mergeCell ref="SJA18:SJB18"/>
    <mergeCell ref="SJC18:SJH18"/>
    <mergeCell ref="SJI18:SJL18"/>
    <mergeCell ref="SJM18:SJN18"/>
    <mergeCell ref="SJO18:SJP18"/>
    <mergeCell ref="SJQ18:SJR18"/>
    <mergeCell ref="SHQ18:SHR18"/>
    <mergeCell ref="SHS18:SHT18"/>
    <mergeCell ref="SHU18:SHV18"/>
    <mergeCell ref="SHW18:SIB18"/>
    <mergeCell ref="SIC18:SIF18"/>
    <mergeCell ref="SIG18:SIH18"/>
    <mergeCell ref="SII18:SIJ18"/>
    <mergeCell ref="SIK18:SIL18"/>
    <mergeCell ref="SIM18:SIR18"/>
    <mergeCell ref="SGM18:SGN18"/>
    <mergeCell ref="SGO18:SGP18"/>
    <mergeCell ref="SGQ18:SGV18"/>
    <mergeCell ref="SGW18:SGZ18"/>
    <mergeCell ref="SHA18:SHB18"/>
    <mergeCell ref="SHC18:SHD18"/>
    <mergeCell ref="SHE18:SHF18"/>
    <mergeCell ref="SHG18:SHL18"/>
    <mergeCell ref="SHM18:SHP18"/>
    <mergeCell ref="SFI18:SFJ18"/>
    <mergeCell ref="SFK18:SFP18"/>
    <mergeCell ref="SFQ18:SFT18"/>
    <mergeCell ref="SFU18:SFV18"/>
    <mergeCell ref="SFW18:SFX18"/>
    <mergeCell ref="SFY18:SFZ18"/>
    <mergeCell ref="SGA18:SGF18"/>
    <mergeCell ref="SGG18:SGJ18"/>
    <mergeCell ref="SGK18:SGL18"/>
    <mergeCell ref="SEE18:SEJ18"/>
    <mergeCell ref="SEK18:SEN18"/>
    <mergeCell ref="SEO18:SEP18"/>
    <mergeCell ref="SEQ18:SER18"/>
    <mergeCell ref="SES18:SET18"/>
    <mergeCell ref="SEU18:SEZ18"/>
    <mergeCell ref="SFA18:SFD18"/>
    <mergeCell ref="SFE18:SFF18"/>
    <mergeCell ref="SFG18:SFH18"/>
    <mergeCell ref="SDE18:SDH18"/>
    <mergeCell ref="SDI18:SDJ18"/>
    <mergeCell ref="SDK18:SDL18"/>
    <mergeCell ref="SDM18:SDN18"/>
    <mergeCell ref="SDO18:SDT18"/>
    <mergeCell ref="SDU18:SDX18"/>
    <mergeCell ref="SDY18:SDZ18"/>
    <mergeCell ref="SEA18:SEB18"/>
    <mergeCell ref="SEC18:SED18"/>
    <mergeCell ref="SCC18:SCD18"/>
    <mergeCell ref="SCE18:SCF18"/>
    <mergeCell ref="SCG18:SCH18"/>
    <mergeCell ref="SCI18:SCN18"/>
    <mergeCell ref="SCO18:SCR18"/>
    <mergeCell ref="SCS18:SCT18"/>
    <mergeCell ref="SCU18:SCV18"/>
    <mergeCell ref="SCW18:SCX18"/>
    <mergeCell ref="SCY18:SDD18"/>
    <mergeCell ref="SAY18:SAZ18"/>
    <mergeCell ref="SBA18:SBB18"/>
    <mergeCell ref="SBC18:SBH18"/>
    <mergeCell ref="SBI18:SBL18"/>
    <mergeCell ref="SBM18:SBN18"/>
    <mergeCell ref="SBO18:SBP18"/>
    <mergeCell ref="SBQ18:SBR18"/>
    <mergeCell ref="SBS18:SBX18"/>
    <mergeCell ref="SBY18:SCB18"/>
    <mergeCell ref="RZU18:RZV18"/>
    <mergeCell ref="RZW18:SAB18"/>
    <mergeCell ref="SAC18:SAF18"/>
    <mergeCell ref="SAG18:SAH18"/>
    <mergeCell ref="SAI18:SAJ18"/>
    <mergeCell ref="SAK18:SAL18"/>
    <mergeCell ref="SAM18:SAR18"/>
    <mergeCell ref="SAS18:SAV18"/>
    <mergeCell ref="SAW18:SAX18"/>
    <mergeCell ref="RYQ18:RYV18"/>
    <mergeCell ref="RYW18:RYZ18"/>
    <mergeCell ref="RZA18:RZB18"/>
    <mergeCell ref="RZC18:RZD18"/>
    <mergeCell ref="RZE18:RZF18"/>
    <mergeCell ref="RZG18:RZL18"/>
    <mergeCell ref="RZM18:RZP18"/>
    <mergeCell ref="RZQ18:RZR18"/>
    <mergeCell ref="RZS18:RZT18"/>
    <mergeCell ref="RXQ18:RXT18"/>
    <mergeCell ref="RXU18:RXV18"/>
    <mergeCell ref="RXW18:RXX18"/>
    <mergeCell ref="RXY18:RXZ18"/>
    <mergeCell ref="RYA18:RYF18"/>
    <mergeCell ref="RYG18:RYJ18"/>
    <mergeCell ref="RYK18:RYL18"/>
    <mergeCell ref="RYM18:RYN18"/>
    <mergeCell ref="RYO18:RYP18"/>
    <mergeCell ref="RWO18:RWP18"/>
    <mergeCell ref="RWQ18:RWR18"/>
    <mergeCell ref="RWS18:RWT18"/>
    <mergeCell ref="RWU18:RWZ18"/>
    <mergeCell ref="RXA18:RXD18"/>
    <mergeCell ref="RXE18:RXF18"/>
    <mergeCell ref="RXG18:RXH18"/>
    <mergeCell ref="RXI18:RXJ18"/>
    <mergeCell ref="RXK18:RXP18"/>
    <mergeCell ref="RVK18:RVL18"/>
    <mergeCell ref="RVM18:RVN18"/>
    <mergeCell ref="RVO18:RVT18"/>
    <mergeCell ref="RVU18:RVX18"/>
    <mergeCell ref="RVY18:RVZ18"/>
    <mergeCell ref="RWA18:RWB18"/>
    <mergeCell ref="RWC18:RWD18"/>
    <mergeCell ref="RWE18:RWJ18"/>
    <mergeCell ref="RWK18:RWN18"/>
    <mergeCell ref="RUG18:RUH18"/>
    <mergeCell ref="RUI18:RUN18"/>
    <mergeCell ref="RUO18:RUR18"/>
    <mergeCell ref="RUS18:RUT18"/>
    <mergeCell ref="RUU18:RUV18"/>
    <mergeCell ref="RUW18:RUX18"/>
    <mergeCell ref="RUY18:RVD18"/>
    <mergeCell ref="RVE18:RVH18"/>
    <mergeCell ref="RVI18:RVJ18"/>
    <mergeCell ref="RTC18:RTH18"/>
    <mergeCell ref="RTI18:RTL18"/>
    <mergeCell ref="RTM18:RTN18"/>
    <mergeCell ref="RTO18:RTP18"/>
    <mergeCell ref="RTQ18:RTR18"/>
    <mergeCell ref="RTS18:RTX18"/>
    <mergeCell ref="RTY18:RUB18"/>
    <mergeCell ref="RUC18:RUD18"/>
    <mergeCell ref="RUE18:RUF18"/>
    <mergeCell ref="RSC18:RSF18"/>
    <mergeCell ref="RSG18:RSH18"/>
    <mergeCell ref="RSI18:RSJ18"/>
    <mergeCell ref="RSK18:RSL18"/>
    <mergeCell ref="RSM18:RSR18"/>
    <mergeCell ref="RSS18:RSV18"/>
    <mergeCell ref="RSW18:RSX18"/>
    <mergeCell ref="RSY18:RSZ18"/>
    <mergeCell ref="RTA18:RTB18"/>
    <mergeCell ref="RRA18:RRB18"/>
    <mergeCell ref="RRC18:RRD18"/>
    <mergeCell ref="RRE18:RRF18"/>
    <mergeCell ref="RRG18:RRL18"/>
    <mergeCell ref="RRM18:RRP18"/>
    <mergeCell ref="RRQ18:RRR18"/>
    <mergeCell ref="RRS18:RRT18"/>
    <mergeCell ref="RRU18:RRV18"/>
    <mergeCell ref="RRW18:RSB18"/>
    <mergeCell ref="RPW18:RPX18"/>
    <mergeCell ref="RPY18:RPZ18"/>
    <mergeCell ref="RQA18:RQF18"/>
    <mergeCell ref="RQG18:RQJ18"/>
    <mergeCell ref="RQK18:RQL18"/>
    <mergeCell ref="RQM18:RQN18"/>
    <mergeCell ref="RQO18:RQP18"/>
    <mergeCell ref="RQQ18:RQV18"/>
    <mergeCell ref="RQW18:RQZ18"/>
    <mergeCell ref="ROS18:ROT18"/>
    <mergeCell ref="ROU18:ROZ18"/>
    <mergeCell ref="RPA18:RPD18"/>
    <mergeCell ref="RPE18:RPF18"/>
    <mergeCell ref="RPG18:RPH18"/>
    <mergeCell ref="RPI18:RPJ18"/>
    <mergeCell ref="RPK18:RPP18"/>
    <mergeCell ref="RPQ18:RPT18"/>
    <mergeCell ref="RPU18:RPV18"/>
    <mergeCell ref="RNO18:RNT18"/>
    <mergeCell ref="RNU18:RNX18"/>
    <mergeCell ref="RNY18:RNZ18"/>
    <mergeCell ref="ROA18:ROB18"/>
    <mergeCell ref="ROC18:ROD18"/>
    <mergeCell ref="ROE18:ROJ18"/>
    <mergeCell ref="ROK18:RON18"/>
    <mergeCell ref="ROO18:ROP18"/>
    <mergeCell ref="ROQ18:ROR18"/>
    <mergeCell ref="RMO18:RMR18"/>
    <mergeCell ref="RMS18:RMT18"/>
    <mergeCell ref="RMU18:RMV18"/>
    <mergeCell ref="RMW18:RMX18"/>
    <mergeCell ref="RMY18:RND18"/>
    <mergeCell ref="RNE18:RNH18"/>
    <mergeCell ref="RNI18:RNJ18"/>
    <mergeCell ref="RNK18:RNL18"/>
    <mergeCell ref="RNM18:RNN18"/>
    <mergeCell ref="RLM18:RLN18"/>
    <mergeCell ref="RLO18:RLP18"/>
    <mergeCell ref="RLQ18:RLR18"/>
    <mergeCell ref="RLS18:RLX18"/>
    <mergeCell ref="RLY18:RMB18"/>
    <mergeCell ref="RMC18:RMD18"/>
    <mergeCell ref="RME18:RMF18"/>
    <mergeCell ref="RMG18:RMH18"/>
    <mergeCell ref="RMI18:RMN18"/>
    <mergeCell ref="RKI18:RKJ18"/>
    <mergeCell ref="RKK18:RKL18"/>
    <mergeCell ref="RKM18:RKR18"/>
    <mergeCell ref="RKS18:RKV18"/>
    <mergeCell ref="RKW18:RKX18"/>
    <mergeCell ref="RKY18:RKZ18"/>
    <mergeCell ref="RLA18:RLB18"/>
    <mergeCell ref="RLC18:RLH18"/>
    <mergeCell ref="RLI18:RLL18"/>
    <mergeCell ref="RJE18:RJF18"/>
    <mergeCell ref="RJG18:RJL18"/>
    <mergeCell ref="RJM18:RJP18"/>
    <mergeCell ref="RJQ18:RJR18"/>
    <mergeCell ref="RJS18:RJT18"/>
    <mergeCell ref="RJU18:RJV18"/>
    <mergeCell ref="RJW18:RKB18"/>
    <mergeCell ref="RKC18:RKF18"/>
    <mergeCell ref="RKG18:RKH18"/>
    <mergeCell ref="RIA18:RIF18"/>
    <mergeCell ref="RIG18:RIJ18"/>
    <mergeCell ref="RIK18:RIL18"/>
    <mergeCell ref="RIM18:RIN18"/>
    <mergeCell ref="RIO18:RIP18"/>
    <mergeCell ref="RIQ18:RIV18"/>
    <mergeCell ref="RIW18:RIZ18"/>
    <mergeCell ref="RJA18:RJB18"/>
    <mergeCell ref="RJC18:RJD18"/>
    <mergeCell ref="RHA18:RHD18"/>
    <mergeCell ref="RHE18:RHF18"/>
    <mergeCell ref="RHG18:RHH18"/>
    <mergeCell ref="RHI18:RHJ18"/>
    <mergeCell ref="RHK18:RHP18"/>
    <mergeCell ref="RHQ18:RHT18"/>
    <mergeCell ref="RHU18:RHV18"/>
    <mergeCell ref="RHW18:RHX18"/>
    <mergeCell ref="RHY18:RHZ18"/>
    <mergeCell ref="RFY18:RFZ18"/>
    <mergeCell ref="RGA18:RGB18"/>
    <mergeCell ref="RGC18:RGD18"/>
    <mergeCell ref="RGE18:RGJ18"/>
    <mergeCell ref="RGK18:RGN18"/>
    <mergeCell ref="RGO18:RGP18"/>
    <mergeCell ref="RGQ18:RGR18"/>
    <mergeCell ref="RGS18:RGT18"/>
    <mergeCell ref="RGU18:RGZ18"/>
    <mergeCell ref="REU18:REV18"/>
    <mergeCell ref="REW18:REX18"/>
    <mergeCell ref="REY18:RFD18"/>
    <mergeCell ref="RFE18:RFH18"/>
    <mergeCell ref="RFI18:RFJ18"/>
    <mergeCell ref="RFK18:RFL18"/>
    <mergeCell ref="RFM18:RFN18"/>
    <mergeCell ref="RFO18:RFT18"/>
    <mergeCell ref="RFU18:RFX18"/>
    <mergeCell ref="RDQ18:RDR18"/>
    <mergeCell ref="RDS18:RDX18"/>
    <mergeCell ref="RDY18:REB18"/>
    <mergeCell ref="REC18:RED18"/>
    <mergeCell ref="REE18:REF18"/>
    <mergeCell ref="REG18:REH18"/>
    <mergeCell ref="REI18:REN18"/>
    <mergeCell ref="REO18:RER18"/>
    <mergeCell ref="RES18:RET18"/>
    <mergeCell ref="RCM18:RCR18"/>
    <mergeCell ref="RCS18:RCV18"/>
    <mergeCell ref="RCW18:RCX18"/>
    <mergeCell ref="RCY18:RCZ18"/>
    <mergeCell ref="RDA18:RDB18"/>
    <mergeCell ref="RDC18:RDH18"/>
    <mergeCell ref="RDI18:RDL18"/>
    <mergeCell ref="RDM18:RDN18"/>
    <mergeCell ref="RDO18:RDP18"/>
    <mergeCell ref="RBM18:RBP18"/>
    <mergeCell ref="RBQ18:RBR18"/>
    <mergeCell ref="RBS18:RBT18"/>
    <mergeCell ref="RBU18:RBV18"/>
    <mergeCell ref="RBW18:RCB18"/>
    <mergeCell ref="RCC18:RCF18"/>
    <mergeCell ref="RCG18:RCH18"/>
    <mergeCell ref="RCI18:RCJ18"/>
    <mergeCell ref="RCK18:RCL18"/>
    <mergeCell ref="RAK18:RAL18"/>
    <mergeCell ref="RAM18:RAN18"/>
    <mergeCell ref="RAO18:RAP18"/>
    <mergeCell ref="RAQ18:RAV18"/>
    <mergeCell ref="RAW18:RAZ18"/>
    <mergeCell ref="RBA18:RBB18"/>
    <mergeCell ref="RBC18:RBD18"/>
    <mergeCell ref="RBE18:RBF18"/>
    <mergeCell ref="RBG18:RBL18"/>
    <mergeCell ref="QZG18:QZH18"/>
    <mergeCell ref="QZI18:QZJ18"/>
    <mergeCell ref="QZK18:QZP18"/>
    <mergeCell ref="QZQ18:QZT18"/>
    <mergeCell ref="QZU18:QZV18"/>
    <mergeCell ref="QZW18:QZX18"/>
    <mergeCell ref="QZY18:QZZ18"/>
    <mergeCell ref="RAA18:RAF18"/>
    <mergeCell ref="RAG18:RAJ18"/>
    <mergeCell ref="QYC18:QYD18"/>
    <mergeCell ref="QYE18:QYJ18"/>
    <mergeCell ref="QYK18:QYN18"/>
    <mergeCell ref="QYO18:QYP18"/>
    <mergeCell ref="QYQ18:QYR18"/>
    <mergeCell ref="QYS18:QYT18"/>
    <mergeCell ref="QYU18:QYZ18"/>
    <mergeCell ref="QZA18:QZD18"/>
    <mergeCell ref="QZE18:QZF18"/>
    <mergeCell ref="QWY18:QXD18"/>
    <mergeCell ref="QXE18:QXH18"/>
    <mergeCell ref="QXI18:QXJ18"/>
    <mergeCell ref="QXK18:QXL18"/>
    <mergeCell ref="QXM18:QXN18"/>
    <mergeCell ref="QXO18:QXT18"/>
    <mergeCell ref="QXU18:QXX18"/>
    <mergeCell ref="QXY18:QXZ18"/>
    <mergeCell ref="QYA18:QYB18"/>
    <mergeCell ref="QVY18:QWB18"/>
    <mergeCell ref="QWC18:QWD18"/>
    <mergeCell ref="QWE18:QWF18"/>
    <mergeCell ref="QWG18:QWH18"/>
    <mergeCell ref="QWI18:QWN18"/>
    <mergeCell ref="QWO18:QWR18"/>
    <mergeCell ref="QWS18:QWT18"/>
    <mergeCell ref="QWU18:QWV18"/>
    <mergeCell ref="QWW18:QWX18"/>
    <mergeCell ref="QUW18:QUX18"/>
    <mergeCell ref="QUY18:QUZ18"/>
    <mergeCell ref="QVA18:QVB18"/>
    <mergeCell ref="QVC18:QVH18"/>
    <mergeCell ref="QVI18:QVL18"/>
    <mergeCell ref="QVM18:QVN18"/>
    <mergeCell ref="QVO18:QVP18"/>
    <mergeCell ref="QVQ18:QVR18"/>
    <mergeCell ref="QVS18:QVX18"/>
    <mergeCell ref="QTS18:QTT18"/>
    <mergeCell ref="QTU18:QTV18"/>
    <mergeCell ref="QTW18:QUB18"/>
    <mergeCell ref="QUC18:QUF18"/>
    <mergeCell ref="QUG18:QUH18"/>
    <mergeCell ref="QUI18:QUJ18"/>
    <mergeCell ref="QUK18:QUL18"/>
    <mergeCell ref="QUM18:QUR18"/>
    <mergeCell ref="QUS18:QUV18"/>
    <mergeCell ref="QSO18:QSP18"/>
    <mergeCell ref="QSQ18:QSV18"/>
    <mergeCell ref="QSW18:QSZ18"/>
    <mergeCell ref="QTA18:QTB18"/>
    <mergeCell ref="QTC18:QTD18"/>
    <mergeCell ref="QTE18:QTF18"/>
    <mergeCell ref="QTG18:QTL18"/>
    <mergeCell ref="QTM18:QTP18"/>
    <mergeCell ref="QTQ18:QTR18"/>
    <mergeCell ref="QRK18:QRP18"/>
    <mergeCell ref="QRQ18:QRT18"/>
    <mergeCell ref="QRU18:QRV18"/>
    <mergeCell ref="QRW18:QRX18"/>
    <mergeCell ref="QRY18:QRZ18"/>
    <mergeCell ref="QSA18:QSF18"/>
    <mergeCell ref="QSG18:QSJ18"/>
    <mergeCell ref="QSK18:QSL18"/>
    <mergeCell ref="QSM18:QSN18"/>
    <mergeCell ref="QQK18:QQN18"/>
    <mergeCell ref="QQO18:QQP18"/>
    <mergeCell ref="QQQ18:QQR18"/>
    <mergeCell ref="QQS18:QQT18"/>
    <mergeCell ref="QQU18:QQZ18"/>
    <mergeCell ref="QRA18:QRD18"/>
    <mergeCell ref="QRE18:QRF18"/>
    <mergeCell ref="QRG18:QRH18"/>
    <mergeCell ref="QRI18:QRJ18"/>
    <mergeCell ref="QPI18:QPJ18"/>
    <mergeCell ref="QPK18:QPL18"/>
    <mergeCell ref="QPM18:QPN18"/>
    <mergeCell ref="QPO18:QPT18"/>
    <mergeCell ref="QPU18:QPX18"/>
    <mergeCell ref="QPY18:QPZ18"/>
    <mergeCell ref="QQA18:QQB18"/>
    <mergeCell ref="QQC18:QQD18"/>
    <mergeCell ref="QQE18:QQJ18"/>
    <mergeCell ref="QOE18:QOF18"/>
    <mergeCell ref="QOG18:QOH18"/>
    <mergeCell ref="QOI18:QON18"/>
    <mergeCell ref="QOO18:QOR18"/>
    <mergeCell ref="QOS18:QOT18"/>
    <mergeCell ref="QOU18:QOV18"/>
    <mergeCell ref="QOW18:QOX18"/>
    <mergeCell ref="QOY18:QPD18"/>
    <mergeCell ref="QPE18:QPH18"/>
    <mergeCell ref="QNA18:QNB18"/>
    <mergeCell ref="QNC18:QNH18"/>
    <mergeCell ref="QNI18:QNL18"/>
    <mergeCell ref="QNM18:QNN18"/>
    <mergeCell ref="QNO18:QNP18"/>
    <mergeCell ref="QNQ18:QNR18"/>
    <mergeCell ref="QNS18:QNX18"/>
    <mergeCell ref="QNY18:QOB18"/>
    <mergeCell ref="QOC18:QOD18"/>
    <mergeCell ref="QLW18:QMB18"/>
    <mergeCell ref="QMC18:QMF18"/>
    <mergeCell ref="QMG18:QMH18"/>
    <mergeCell ref="QMI18:QMJ18"/>
    <mergeCell ref="QMK18:QML18"/>
    <mergeCell ref="QMM18:QMR18"/>
    <mergeCell ref="QMS18:QMV18"/>
    <mergeCell ref="QMW18:QMX18"/>
    <mergeCell ref="QMY18:QMZ18"/>
    <mergeCell ref="QKW18:QKZ18"/>
    <mergeCell ref="QLA18:QLB18"/>
    <mergeCell ref="QLC18:QLD18"/>
    <mergeCell ref="QLE18:QLF18"/>
    <mergeCell ref="QLG18:QLL18"/>
    <mergeCell ref="QLM18:QLP18"/>
    <mergeCell ref="QLQ18:QLR18"/>
    <mergeCell ref="QLS18:QLT18"/>
    <mergeCell ref="QLU18:QLV18"/>
    <mergeCell ref="QJU18:QJV18"/>
    <mergeCell ref="QJW18:QJX18"/>
    <mergeCell ref="QJY18:QJZ18"/>
    <mergeCell ref="QKA18:QKF18"/>
    <mergeCell ref="QKG18:QKJ18"/>
    <mergeCell ref="QKK18:QKL18"/>
    <mergeCell ref="QKM18:QKN18"/>
    <mergeCell ref="QKO18:QKP18"/>
    <mergeCell ref="QKQ18:QKV18"/>
    <mergeCell ref="QIQ18:QIR18"/>
    <mergeCell ref="QIS18:QIT18"/>
    <mergeCell ref="QIU18:QIZ18"/>
    <mergeCell ref="QJA18:QJD18"/>
    <mergeCell ref="QJE18:QJF18"/>
    <mergeCell ref="QJG18:QJH18"/>
    <mergeCell ref="QJI18:QJJ18"/>
    <mergeCell ref="QJK18:QJP18"/>
    <mergeCell ref="QJQ18:QJT18"/>
    <mergeCell ref="QHM18:QHN18"/>
    <mergeCell ref="QHO18:QHT18"/>
    <mergeCell ref="QHU18:QHX18"/>
    <mergeCell ref="QHY18:QHZ18"/>
    <mergeCell ref="QIA18:QIB18"/>
    <mergeCell ref="QIC18:QID18"/>
    <mergeCell ref="QIE18:QIJ18"/>
    <mergeCell ref="QIK18:QIN18"/>
    <mergeCell ref="QIO18:QIP18"/>
    <mergeCell ref="QGI18:QGN18"/>
    <mergeCell ref="QGO18:QGR18"/>
    <mergeCell ref="QGS18:QGT18"/>
    <mergeCell ref="QGU18:QGV18"/>
    <mergeCell ref="QGW18:QGX18"/>
    <mergeCell ref="QGY18:QHD18"/>
    <mergeCell ref="QHE18:QHH18"/>
    <mergeCell ref="QHI18:QHJ18"/>
    <mergeCell ref="QHK18:QHL18"/>
    <mergeCell ref="QFI18:QFL18"/>
    <mergeCell ref="QFM18:QFN18"/>
    <mergeCell ref="QFO18:QFP18"/>
    <mergeCell ref="QFQ18:QFR18"/>
    <mergeCell ref="QFS18:QFX18"/>
    <mergeCell ref="QFY18:QGB18"/>
    <mergeCell ref="QGC18:QGD18"/>
    <mergeCell ref="QGE18:QGF18"/>
    <mergeCell ref="QGG18:QGH18"/>
    <mergeCell ref="QEG18:QEH18"/>
    <mergeCell ref="QEI18:QEJ18"/>
    <mergeCell ref="QEK18:QEL18"/>
    <mergeCell ref="QEM18:QER18"/>
    <mergeCell ref="QES18:QEV18"/>
    <mergeCell ref="QEW18:QEX18"/>
    <mergeCell ref="QEY18:QEZ18"/>
    <mergeCell ref="QFA18:QFB18"/>
    <mergeCell ref="QFC18:QFH18"/>
    <mergeCell ref="QDC18:QDD18"/>
    <mergeCell ref="QDE18:QDF18"/>
    <mergeCell ref="QDG18:QDL18"/>
    <mergeCell ref="QDM18:QDP18"/>
    <mergeCell ref="QDQ18:QDR18"/>
    <mergeCell ref="QDS18:QDT18"/>
    <mergeCell ref="QDU18:QDV18"/>
    <mergeCell ref="QDW18:QEB18"/>
    <mergeCell ref="QEC18:QEF18"/>
    <mergeCell ref="QBY18:QBZ18"/>
    <mergeCell ref="QCA18:QCF18"/>
    <mergeCell ref="QCG18:QCJ18"/>
    <mergeCell ref="QCK18:QCL18"/>
    <mergeCell ref="QCM18:QCN18"/>
    <mergeCell ref="QCO18:QCP18"/>
    <mergeCell ref="QCQ18:QCV18"/>
    <mergeCell ref="QCW18:QCZ18"/>
    <mergeCell ref="QDA18:QDB18"/>
    <mergeCell ref="QAU18:QAZ18"/>
    <mergeCell ref="QBA18:QBD18"/>
    <mergeCell ref="QBE18:QBF18"/>
    <mergeCell ref="QBG18:QBH18"/>
    <mergeCell ref="QBI18:QBJ18"/>
    <mergeCell ref="QBK18:QBP18"/>
    <mergeCell ref="QBQ18:QBT18"/>
    <mergeCell ref="QBU18:QBV18"/>
    <mergeCell ref="QBW18:QBX18"/>
    <mergeCell ref="PZU18:PZX18"/>
    <mergeCell ref="PZY18:PZZ18"/>
    <mergeCell ref="QAA18:QAB18"/>
    <mergeCell ref="QAC18:QAD18"/>
    <mergeCell ref="QAE18:QAJ18"/>
    <mergeCell ref="QAK18:QAN18"/>
    <mergeCell ref="QAO18:QAP18"/>
    <mergeCell ref="QAQ18:QAR18"/>
    <mergeCell ref="QAS18:QAT18"/>
    <mergeCell ref="PYS18:PYT18"/>
    <mergeCell ref="PYU18:PYV18"/>
    <mergeCell ref="PYW18:PYX18"/>
    <mergeCell ref="PYY18:PZD18"/>
    <mergeCell ref="PZE18:PZH18"/>
    <mergeCell ref="PZI18:PZJ18"/>
    <mergeCell ref="PZK18:PZL18"/>
    <mergeCell ref="PZM18:PZN18"/>
    <mergeCell ref="PZO18:PZT18"/>
    <mergeCell ref="PXO18:PXP18"/>
    <mergeCell ref="PXQ18:PXR18"/>
    <mergeCell ref="PXS18:PXX18"/>
    <mergeCell ref="PXY18:PYB18"/>
    <mergeCell ref="PYC18:PYD18"/>
    <mergeCell ref="PYE18:PYF18"/>
    <mergeCell ref="PYG18:PYH18"/>
    <mergeCell ref="PYI18:PYN18"/>
    <mergeCell ref="PYO18:PYR18"/>
    <mergeCell ref="PWK18:PWL18"/>
    <mergeCell ref="PWM18:PWR18"/>
    <mergeCell ref="PWS18:PWV18"/>
    <mergeCell ref="PWW18:PWX18"/>
    <mergeCell ref="PWY18:PWZ18"/>
    <mergeCell ref="PXA18:PXB18"/>
    <mergeCell ref="PXC18:PXH18"/>
    <mergeCell ref="PXI18:PXL18"/>
    <mergeCell ref="PXM18:PXN18"/>
    <mergeCell ref="PVG18:PVL18"/>
    <mergeCell ref="PVM18:PVP18"/>
    <mergeCell ref="PVQ18:PVR18"/>
    <mergeCell ref="PVS18:PVT18"/>
    <mergeCell ref="PVU18:PVV18"/>
    <mergeCell ref="PVW18:PWB18"/>
    <mergeCell ref="PWC18:PWF18"/>
    <mergeCell ref="PWG18:PWH18"/>
    <mergeCell ref="PWI18:PWJ18"/>
    <mergeCell ref="PUG18:PUJ18"/>
    <mergeCell ref="PUK18:PUL18"/>
    <mergeCell ref="PUM18:PUN18"/>
    <mergeCell ref="PUO18:PUP18"/>
    <mergeCell ref="PUQ18:PUV18"/>
    <mergeCell ref="PUW18:PUZ18"/>
    <mergeCell ref="PVA18:PVB18"/>
    <mergeCell ref="PVC18:PVD18"/>
    <mergeCell ref="PVE18:PVF18"/>
    <mergeCell ref="PTE18:PTF18"/>
    <mergeCell ref="PTG18:PTH18"/>
    <mergeCell ref="PTI18:PTJ18"/>
    <mergeCell ref="PTK18:PTP18"/>
    <mergeCell ref="PTQ18:PTT18"/>
    <mergeCell ref="PTU18:PTV18"/>
    <mergeCell ref="PTW18:PTX18"/>
    <mergeCell ref="PTY18:PTZ18"/>
    <mergeCell ref="PUA18:PUF18"/>
    <mergeCell ref="PSA18:PSB18"/>
    <mergeCell ref="PSC18:PSD18"/>
    <mergeCell ref="PSE18:PSJ18"/>
    <mergeCell ref="PSK18:PSN18"/>
    <mergeCell ref="PSO18:PSP18"/>
    <mergeCell ref="PSQ18:PSR18"/>
    <mergeCell ref="PSS18:PST18"/>
    <mergeCell ref="PSU18:PSZ18"/>
    <mergeCell ref="PTA18:PTD18"/>
    <mergeCell ref="PQW18:PQX18"/>
    <mergeCell ref="PQY18:PRD18"/>
    <mergeCell ref="PRE18:PRH18"/>
    <mergeCell ref="PRI18:PRJ18"/>
    <mergeCell ref="PRK18:PRL18"/>
    <mergeCell ref="PRM18:PRN18"/>
    <mergeCell ref="PRO18:PRT18"/>
    <mergeCell ref="PRU18:PRX18"/>
    <mergeCell ref="PRY18:PRZ18"/>
    <mergeCell ref="PPS18:PPX18"/>
    <mergeCell ref="PPY18:PQB18"/>
    <mergeCell ref="PQC18:PQD18"/>
    <mergeCell ref="PQE18:PQF18"/>
    <mergeCell ref="PQG18:PQH18"/>
    <mergeCell ref="PQI18:PQN18"/>
    <mergeCell ref="PQO18:PQR18"/>
    <mergeCell ref="PQS18:PQT18"/>
    <mergeCell ref="PQU18:PQV18"/>
    <mergeCell ref="POS18:POV18"/>
    <mergeCell ref="POW18:POX18"/>
    <mergeCell ref="POY18:POZ18"/>
    <mergeCell ref="PPA18:PPB18"/>
    <mergeCell ref="PPC18:PPH18"/>
    <mergeCell ref="PPI18:PPL18"/>
    <mergeCell ref="PPM18:PPN18"/>
    <mergeCell ref="PPO18:PPP18"/>
    <mergeCell ref="PPQ18:PPR18"/>
    <mergeCell ref="PNQ18:PNR18"/>
    <mergeCell ref="PNS18:PNT18"/>
    <mergeCell ref="PNU18:PNV18"/>
    <mergeCell ref="PNW18:POB18"/>
    <mergeCell ref="POC18:POF18"/>
    <mergeCell ref="POG18:POH18"/>
    <mergeCell ref="POI18:POJ18"/>
    <mergeCell ref="POK18:POL18"/>
    <mergeCell ref="POM18:POR18"/>
    <mergeCell ref="PMM18:PMN18"/>
    <mergeCell ref="PMO18:PMP18"/>
    <mergeCell ref="PMQ18:PMV18"/>
    <mergeCell ref="PMW18:PMZ18"/>
    <mergeCell ref="PNA18:PNB18"/>
    <mergeCell ref="PNC18:PND18"/>
    <mergeCell ref="PNE18:PNF18"/>
    <mergeCell ref="PNG18:PNL18"/>
    <mergeCell ref="PNM18:PNP18"/>
    <mergeCell ref="PLI18:PLJ18"/>
    <mergeCell ref="PLK18:PLP18"/>
    <mergeCell ref="PLQ18:PLT18"/>
    <mergeCell ref="PLU18:PLV18"/>
    <mergeCell ref="PLW18:PLX18"/>
    <mergeCell ref="PLY18:PLZ18"/>
    <mergeCell ref="PMA18:PMF18"/>
    <mergeCell ref="PMG18:PMJ18"/>
    <mergeCell ref="PMK18:PML18"/>
    <mergeCell ref="PKE18:PKJ18"/>
    <mergeCell ref="PKK18:PKN18"/>
    <mergeCell ref="PKO18:PKP18"/>
    <mergeCell ref="PKQ18:PKR18"/>
    <mergeCell ref="PKS18:PKT18"/>
    <mergeCell ref="PKU18:PKZ18"/>
    <mergeCell ref="PLA18:PLD18"/>
    <mergeCell ref="PLE18:PLF18"/>
    <mergeCell ref="PLG18:PLH18"/>
    <mergeCell ref="PJE18:PJH18"/>
    <mergeCell ref="PJI18:PJJ18"/>
    <mergeCell ref="PJK18:PJL18"/>
    <mergeCell ref="PJM18:PJN18"/>
    <mergeCell ref="PJO18:PJT18"/>
    <mergeCell ref="PJU18:PJX18"/>
    <mergeCell ref="PJY18:PJZ18"/>
    <mergeCell ref="PKA18:PKB18"/>
    <mergeCell ref="PKC18:PKD18"/>
    <mergeCell ref="PIC18:PID18"/>
    <mergeCell ref="PIE18:PIF18"/>
    <mergeCell ref="PIG18:PIH18"/>
    <mergeCell ref="PII18:PIN18"/>
    <mergeCell ref="PIO18:PIR18"/>
    <mergeCell ref="PIS18:PIT18"/>
    <mergeCell ref="PIU18:PIV18"/>
    <mergeCell ref="PIW18:PIX18"/>
    <mergeCell ref="PIY18:PJD18"/>
    <mergeCell ref="PGY18:PGZ18"/>
    <mergeCell ref="PHA18:PHB18"/>
    <mergeCell ref="PHC18:PHH18"/>
    <mergeCell ref="PHI18:PHL18"/>
    <mergeCell ref="PHM18:PHN18"/>
    <mergeCell ref="PHO18:PHP18"/>
    <mergeCell ref="PHQ18:PHR18"/>
    <mergeCell ref="PHS18:PHX18"/>
    <mergeCell ref="PHY18:PIB18"/>
    <mergeCell ref="PFU18:PFV18"/>
    <mergeCell ref="PFW18:PGB18"/>
    <mergeCell ref="PGC18:PGF18"/>
    <mergeCell ref="PGG18:PGH18"/>
    <mergeCell ref="PGI18:PGJ18"/>
    <mergeCell ref="PGK18:PGL18"/>
    <mergeCell ref="PGM18:PGR18"/>
    <mergeCell ref="PGS18:PGV18"/>
    <mergeCell ref="PGW18:PGX18"/>
    <mergeCell ref="PEQ18:PEV18"/>
    <mergeCell ref="PEW18:PEZ18"/>
    <mergeCell ref="PFA18:PFB18"/>
    <mergeCell ref="PFC18:PFD18"/>
    <mergeCell ref="PFE18:PFF18"/>
    <mergeCell ref="PFG18:PFL18"/>
    <mergeCell ref="PFM18:PFP18"/>
    <mergeCell ref="PFQ18:PFR18"/>
    <mergeCell ref="PFS18:PFT18"/>
    <mergeCell ref="PDQ18:PDT18"/>
    <mergeCell ref="PDU18:PDV18"/>
    <mergeCell ref="PDW18:PDX18"/>
    <mergeCell ref="PDY18:PDZ18"/>
    <mergeCell ref="PEA18:PEF18"/>
    <mergeCell ref="PEG18:PEJ18"/>
    <mergeCell ref="PEK18:PEL18"/>
    <mergeCell ref="PEM18:PEN18"/>
    <mergeCell ref="PEO18:PEP18"/>
    <mergeCell ref="PCO18:PCP18"/>
    <mergeCell ref="PCQ18:PCR18"/>
    <mergeCell ref="PCS18:PCT18"/>
    <mergeCell ref="PCU18:PCZ18"/>
    <mergeCell ref="PDA18:PDD18"/>
    <mergeCell ref="PDE18:PDF18"/>
    <mergeCell ref="PDG18:PDH18"/>
    <mergeCell ref="PDI18:PDJ18"/>
    <mergeCell ref="PDK18:PDP18"/>
    <mergeCell ref="PBK18:PBL18"/>
    <mergeCell ref="PBM18:PBN18"/>
    <mergeCell ref="PBO18:PBT18"/>
    <mergeCell ref="PBU18:PBX18"/>
    <mergeCell ref="PBY18:PBZ18"/>
    <mergeCell ref="PCA18:PCB18"/>
    <mergeCell ref="PCC18:PCD18"/>
    <mergeCell ref="PCE18:PCJ18"/>
    <mergeCell ref="PCK18:PCN18"/>
    <mergeCell ref="PAG18:PAH18"/>
    <mergeCell ref="PAI18:PAN18"/>
    <mergeCell ref="PAO18:PAR18"/>
    <mergeCell ref="PAS18:PAT18"/>
    <mergeCell ref="PAU18:PAV18"/>
    <mergeCell ref="PAW18:PAX18"/>
    <mergeCell ref="PAY18:PBD18"/>
    <mergeCell ref="PBE18:PBH18"/>
    <mergeCell ref="PBI18:PBJ18"/>
    <mergeCell ref="OZC18:OZH18"/>
    <mergeCell ref="OZI18:OZL18"/>
    <mergeCell ref="OZM18:OZN18"/>
    <mergeCell ref="OZO18:OZP18"/>
    <mergeCell ref="OZQ18:OZR18"/>
    <mergeCell ref="OZS18:OZX18"/>
    <mergeCell ref="OZY18:PAB18"/>
    <mergeCell ref="PAC18:PAD18"/>
    <mergeCell ref="PAE18:PAF18"/>
    <mergeCell ref="OYC18:OYF18"/>
    <mergeCell ref="OYG18:OYH18"/>
    <mergeCell ref="OYI18:OYJ18"/>
    <mergeCell ref="OYK18:OYL18"/>
    <mergeCell ref="OYM18:OYR18"/>
    <mergeCell ref="OYS18:OYV18"/>
    <mergeCell ref="OYW18:OYX18"/>
    <mergeCell ref="OYY18:OYZ18"/>
    <mergeCell ref="OZA18:OZB18"/>
    <mergeCell ref="OXA18:OXB18"/>
    <mergeCell ref="OXC18:OXD18"/>
    <mergeCell ref="OXE18:OXF18"/>
    <mergeCell ref="OXG18:OXL18"/>
    <mergeCell ref="OXM18:OXP18"/>
    <mergeCell ref="OXQ18:OXR18"/>
    <mergeCell ref="OXS18:OXT18"/>
    <mergeCell ref="OXU18:OXV18"/>
    <mergeCell ref="OXW18:OYB18"/>
    <mergeCell ref="OVW18:OVX18"/>
    <mergeCell ref="OVY18:OVZ18"/>
    <mergeCell ref="OWA18:OWF18"/>
    <mergeCell ref="OWG18:OWJ18"/>
    <mergeCell ref="OWK18:OWL18"/>
    <mergeCell ref="OWM18:OWN18"/>
    <mergeCell ref="OWO18:OWP18"/>
    <mergeCell ref="OWQ18:OWV18"/>
    <mergeCell ref="OWW18:OWZ18"/>
    <mergeCell ref="OUS18:OUT18"/>
    <mergeCell ref="OUU18:OUZ18"/>
    <mergeCell ref="OVA18:OVD18"/>
    <mergeCell ref="OVE18:OVF18"/>
    <mergeCell ref="OVG18:OVH18"/>
    <mergeCell ref="OVI18:OVJ18"/>
    <mergeCell ref="OVK18:OVP18"/>
    <mergeCell ref="OVQ18:OVT18"/>
    <mergeCell ref="OVU18:OVV18"/>
    <mergeCell ref="OTO18:OTT18"/>
    <mergeCell ref="OTU18:OTX18"/>
    <mergeCell ref="OTY18:OTZ18"/>
    <mergeCell ref="OUA18:OUB18"/>
    <mergeCell ref="OUC18:OUD18"/>
    <mergeCell ref="OUE18:OUJ18"/>
    <mergeCell ref="OUK18:OUN18"/>
    <mergeCell ref="OUO18:OUP18"/>
    <mergeCell ref="OUQ18:OUR18"/>
    <mergeCell ref="OSO18:OSR18"/>
    <mergeCell ref="OSS18:OST18"/>
    <mergeCell ref="OSU18:OSV18"/>
    <mergeCell ref="OSW18:OSX18"/>
    <mergeCell ref="OSY18:OTD18"/>
    <mergeCell ref="OTE18:OTH18"/>
    <mergeCell ref="OTI18:OTJ18"/>
    <mergeCell ref="OTK18:OTL18"/>
    <mergeCell ref="OTM18:OTN18"/>
    <mergeCell ref="ORM18:ORN18"/>
    <mergeCell ref="ORO18:ORP18"/>
    <mergeCell ref="ORQ18:ORR18"/>
    <mergeCell ref="ORS18:ORX18"/>
    <mergeCell ref="ORY18:OSB18"/>
    <mergeCell ref="OSC18:OSD18"/>
    <mergeCell ref="OSE18:OSF18"/>
    <mergeCell ref="OSG18:OSH18"/>
    <mergeCell ref="OSI18:OSN18"/>
    <mergeCell ref="OQI18:OQJ18"/>
    <mergeCell ref="OQK18:OQL18"/>
    <mergeCell ref="OQM18:OQR18"/>
    <mergeCell ref="OQS18:OQV18"/>
    <mergeCell ref="OQW18:OQX18"/>
    <mergeCell ref="OQY18:OQZ18"/>
    <mergeCell ref="ORA18:ORB18"/>
    <mergeCell ref="ORC18:ORH18"/>
    <mergeCell ref="ORI18:ORL18"/>
    <mergeCell ref="OPE18:OPF18"/>
    <mergeCell ref="OPG18:OPL18"/>
    <mergeCell ref="OPM18:OPP18"/>
    <mergeCell ref="OPQ18:OPR18"/>
    <mergeCell ref="OPS18:OPT18"/>
    <mergeCell ref="OPU18:OPV18"/>
    <mergeCell ref="OPW18:OQB18"/>
    <mergeCell ref="OQC18:OQF18"/>
    <mergeCell ref="OQG18:OQH18"/>
    <mergeCell ref="OOA18:OOF18"/>
    <mergeCell ref="OOG18:OOJ18"/>
    <mergeCell ref="OOK18:OOL18"/>
    <mergeCell ref="OOM18:OON18"/>
    <mergeCell ref="OOO18:OOP18"/>
    <mergeCell ref="OOQ18:OOV18"/>
    <mergeCell ref="OOW18:OOZ18"/>
    <mergeCell ref="OPA18:OPB18"/>
    <mergeCell ref="OPC18:OPD18"/>
    <mergeCell ref="ONA18:OND18"/>
    <mergeCell ref="ONE18:ONF18"/>
    <mergeCell ref="ONG18:ONH18"/>
    <mergeCell ref="ONI18:ONJ18"/>
    <mergeCell ref="ONK18:ONP18"/>
    <mergeCell ref="ONQ18:ONT18"/>
    <mergeCell ref="ONU18:ONV18"/>
    <mergeCell ref="ONW18:ONX18"/>
    <mergeCell ref="ONY18:ONZ18"/>
    <mergeCell ref="OLY18:OLZ18"/>
    <mergeCell ref="OMA18:OMB18"/>
    <mergeCell ref="OMC18:OMD18"/>
    <mergeCell ref="OME18:OMJ18"/>
    <mergeCell ref="OMK18:OMN18"/>
    <mergeCell ref="OMO18:OMP18"/>
    <mergeCell ref="OMQ18:OMR18"/>
    <mergeCell ref="OMS18:OMT18"/>
    <mergeCell ref="OMU18:OMZ18"/>
    <mergeCell ref="OKU18:OKV18"/>
    <mergeCell ref="OKW18:OKX18"/>
    <mergeCell ref="OKY18:OLD18"/>
    <mergeCell ref="OLE18:OLH18"/>
    <mergeCell ref="OLI18:OLJ18"/>
    <mergeCell ref="OLK18:OLL18"/>
    <mergeCell ref="OLM18:OLN18"/>
    <mergeCell ref="OLO18:OLT18"/>
    <mergeCell ref="OLU18:OLX18"/>
    <mergeCell ref="OJQ18:OJR18"/>
    <mergeCell ref="OJS18:OJX18"/>
    <mergeCell ref="OJY18:OKB18"/>
    <mergeCell ref="OKC18:OKD18"/>
    <mergeCell ref="OKE18:OKF18"/>
    <mergeCell ref="OKG18:OKH18"/>
    <mergeCell ref="OKI18:OKN18"/>
    <mergeCell ref="OKO18:OKR18"/>
    <mergeCell ref="OKS18:OKT18"/>
    <mergeCell ref="OIM18:OIR18"/>
    <mergeCell ref="OIS18:OIV18"/>
    <mergeCell ref="OIW18:OIX18"/>
    <mergeCell ref="OIY18:OIZ18"/>
    <mergeCell ref="OJA18:OJB18"/>
    <mergeCell ref="OJC18:OJH18"/>
    <mergeCell ref="OJI18:OJL18"/>
    <mergeCell ref="OJM18:OJN18"/>
    <mergeCell ref="OJO18:OJP18"/>
    <mergeCell ref="OHM18:OHP18"/>
    <mergeCell ref="OHQ18:OHR18"/>
    <mergeCell ref="OHS18:OHT18"/>
    <mergeCell ref="OHU18:OHV18"/>
    <mergeCell ref="OHW18:OIB18"/>
    <mergeCell ref="OIC18:OIF18"/>
    <mergeCell ref="OIG18:OIH18"/>
    <mergeCell ref="OII18:OIJ18"/>
    <mergeCell ref="OIK18:OIL18"/>
    <mergeCell ref="OGK18:OGL18"/>
    <mergeCell ref="OGM18:OGN18"/>
    <mergeCell ref="OGO18:OGP18"/>
    <mergeCell ref="OGQ18:OGV18"/>
    <mergeCell ref="OGW18:OGZ18"/>
    <mergeCell ref="OHA18:OHB18"/>
    <mergeCell ref="OHC18:OHD18"/>
    <mergeCell ref="OHE18:OHF18"/>
    <mergeCell ref="OHG18:OHL18"/>
    <mergeCell ref="OFG18:OFH18"/>
    <mergeCell ref="OFI18:OFJ18"/>
    <mergeCell ref="OFK18:OFP18"/>
    <mergeCell ref="OFQ18:OFT18"/>
    <mergeCell ref="OFU18:OFV18"/>
    <mergeCell ref="OFW18:OFX18"/>
    <mergeCell ref="OFY18:OFZ18"/>
    <mergeCell ref="OGA18:OGF18"/>
    <mergeCell ref="OGG18:OGJ18"/>
    <mergeCell ref="OEC18:OED18"/>
    <mergeCell ref="OEE18:OEJ18"/>
    <mergeCell ref="OEK18:OEN18"/>
    <mergeCell ref="OEO18:OEP18"/>
    <mergeCell ref="OEQ18:OER18"/>
    <mergeCell ref="OES18:OET18"/>
    <mergeCell ref="OEU18:OEZ18"/>
    <mergeCell ref="OFA18:OFD18"/>
    <mergeCell ref="OFE18:OFF18"/>
    <mergeCell ref="OCY18:ODD18"/>
    <mergeCell ref="ODE18:ODH18"/>
    <mergeCell ref="ODI18:ODJ18"/>
    <mergeCell ref="ODK18:ODL18"/>
    <mergeCell ref="ODM18:ODN18"/>
    <mergeCell ref="ODO18:ODT18"/>
    <mergeCell ref="ODU18:ODX18"/>
    <mergeCell ref="ODY18:ODZ18"/>
    <mergeCell ref="OEA18:OEB18"/>
    <mergeCell ref="OBY18:OCB18"/>
    <mergeCell ref="OCC18:OCD18"/>
    <mergeCell ref="OCE18:OCF18"/>
    <mergeCell ref="OCG18:OCH18"/>
    <mergeCell ref="OCI18:OCN18"/>
    <mergeCell ref="OCO18:OCR18"/>
    <mergeCell ref="OCS18:OCT18"/>
    <mergeCell ref="OCU18:OCV18"/>
    <mergeCell ref="OCW18:OCX18"/>
    <mergeCell ref="OAW18:OAX18"/>
    <mergeCell ref="OAY18:OAZ18"/>
    <mergeCell ref="OBA18:OBB18"/>
    <mergeCell ref="OBC18:OBH18"/>
    <mergeCell ref="OBI18:OBL18"/>
    <mergeCell ref="OBM18:OBN18"/>
    <mergeCell ref="OBO18:OBP18"/>
    <mergeCell ref="OBQ18:OBR18"/>
    <mergeCell ref="OBS18:OBX18"/>
    <mergeCell ref="NZS18:NZT18"/>
    <mergeCell ref="NZU18:NZV18"/>
    <mergeCell ref="NZW18:OAB18"/>
    <mergeCell ref="OAC18:OAF18"/>
    <mergeCell ref="OAG18:OAH18"/>
    <mergeCell ref="OAI18:OAJ18"/>
    <mergeCell ref="OAK18:OAL18"/>
    <mergeCell ref="OAM18:OAR18"/>
    <mergeCell ref="OAS18:OAV18"/>
    <mergeCell ref="NYO18:NYP18"/>
    <mergeCell ref="NYQ18:NYV18"/>
    <mergeCell ref="NYW18:NYZ18"/>
    <mergeCell ref="NZA18:NZB18"/>
    <mergeCell ref="NZC18:NZD18"/>
    <mergeCell ref="NZE18:NZF18"/>
    <mergeCell ref="NZG18:NZL18"/>
    <mergeCell ref="NZM18:NZP18"/>
    <mergeCell ref="NZQ18:NZR18"/>
    <mergeCell ref="NXK18:NXP18"/>
    <mergeCell ref="NXQ18:NXT18"/>
    <mergeCell ref="NXU18:NXV18"/>
    <mergeCell ref="NXW18:NXX18"/>
    <mergeCell ref="NXY18:NXZ18"/>
    <mergeCell ref="NYA18:NYF18"/>
    <mergeCell ref="NYG18:NYJ18"/>
    <mergeCell ref="NYK18:NYL18"/>
    <mergeCell ref="NYM18:NYN18"/>
    <mergeCell ref="NWK18:NWN18"/>
    <mergeCell ref="NWO18:NWP18"/>
    <mergeCell ref="NWQ18:NWR18"/>
    <mergeCell ref="NWS18:NWT18"/>
    <mergeCell ref="NWU18:NWZ18"/>
    <mergeCell ref="NXA18:NXD18"/>
    <mergeCell ref="NXE18:NXF18"/>
    <mergeCell ref="NXG18:NXH18"/>
    <mergeCell ref="NXI18:NXJ18"/>
    <mergeCell ref="NVI18:NVJ18"/>
    <mergeCell ref="NVK18:NVL18"/>
    <mergeCell ref="NVM18:NVN18"/>
    <mergeCell ref="NVO18:NVT18"/>
    <mergeCell ref="NVU18:NVX18"/>
    <mergeCell ref="NVY18:NVZ18"/>
    <mergeCell ref="NWA18:NWB18"/>
    <mergeCell ref="NWC18:NWD18"/>
    <mergeCell ref="NWE18:NWJ18"/>
    <mergeCell ref="NUE18:NUF18"/>
    <mergeCell ref="NUG18:NUH18"/>
    <mergeCell ref="NUI18:NUN18"/>
    <mergeCell ref="NUO18:NUR18"/>
    <mergeCell ref="NUS18:NUT18"/>
    <mergeCell ref="NUU18:NUV18"/>
    <mergeCell ref="NUW18:NUX18"/>
    <mergeCell ref="NUY18:NVD18"/>
    <mergeCell ref="NVE18:NVH18"/>
    <mergeCell ref="NTA18:NTB18"/>
    <mergeCell ref="NTC18:NTH18"/>
    <mergeCell ref="NTI18:NTL18"/>
    <mergeCell ref="NTM18:NTN18"/>
    <mergeCell ref="NTO18:NTP18"/>
    <mergeCell ref="NTQ18:NTR18"/>
    <mergeCell ref="NTS18:NTX18"/>
    <mergeCell ref="NTY18:NUB18"/>
    <mergeCell ref="NUC18:NUD18"/>
    <mergeCell ref="NRW18:NSB18"/>
    <mergeCell ref="NSC18:NSF18"/>
    <mergeCell ref="NSG18:NSH18"/>
    <mergeCell ref="NSI18:NSJ18"/>
    <mergeCell ref="NSK18:NSL18"/>
    <mergeCell ref="NSM18:NSR18"/>
    <mergeCell ref="NSS18:NSV18"/>
    <mergeCell ref="NSW18:NSX18"/>
    <mergeCell ref="NSY18:NSZ18"/>
    <mergeCell ref="NQW18:NQZ18"/>
    <mergeCell ref="NRA18:NRB18"/>
    <mergeCell ref="NRC18:NRD18"/>
    <mergeCell ref="NRE18:NRF18"/>
    <mergeCell ref="NRG18:NRL18"/>
    <mergeCell ref="NRM18:NRP18"/>
    <mergeCell ref="NRQ18:NRR18"/>
    <mergeCell ref="NRS18:NRT18"/>
    <mergeCell ref="NRU18:NRV18"/>
    <mergeCell ref="NPU18:NPV18"/>
    <mergeCell ref="NPW18:NPX18"/>
    <mergeCell ref="NPY18:NPZ18"/>
    <mergeCell ref="NQA18:NQF18"/>
    <mergeCell ref="NQG18:NQJ18"/>
    <mergeCell ref="NQK18:NQL18"/>
    <mergeCell ref="NQM18:NQN18"/>
    <mergeCell ref="NQO18:NQP18"/>
    <mergeCell ref="NQQ18:NQV18"/>
    <mergeCell ref="NOQ18:NOR18"/>
    <mergeCell ref="NOS18:NOT18"/>
    <mergeCell ref="NOU18:NOZ18"/>
    <mergeCell ref="NPA18:NPD18"/>
    <mergeCell ref="NPE18:NPF18"/>
    <mergeCell ref="NPG18:NPH18"/>
    <mergeCell ref="NPI18:NPJ18"/>
    <mergeCell ref="NPK18:NPP18"/>
    <mergeCell ref="NPQ18:NPT18"/>
    <mergeCell ref="NNM18:NNN18"/>
    <mergeCell ref="NNO18:NNT18"/>
    <mergeCell ref="NNU18:NNX18"/>
    <mergeCell ref="NNY18:NNZ18"/>
    <mergeCell ref="NOA18:NOB18"/>
    <mergeCell ref="NOC18:NOD18"/>
    <mergeCell ref="NOE18:NOJ18"/>
    <mergeCell ref="NOK18:NON18"/>
    <mergeCell ref="NOO18:NOP18"/>
    <mergeCell ref="NMI18:NMN18"/>
    <mergeCell ref="NMO18:NMR18"/>
    <mergeCell ref="NMS18:NMT18"/>
    <mergeCell ref="NMU18:NMV18"/>
    <mergeCell ref="NMW18:NMX18"/>
    <mergeCell ref="NMY18:NND18"/>
    <mergeCell ref="NNE18:NNH18"/>
    <mergeCell ref="NNI18:NNJ18"/>
    <mergeCell ref="NNK18:NNL18"/>
    <mergeCell ref="NLI18:NLL18"/>
    <mergeCell ref="NLM18:NLN18"/>
    <mergeCell ref="NLO18:NLP18"/>
    <mergeCell ref="NLQ18:NLR18"/>
    <mergeCell ref="NLS18:NLX18"/>
    <mergeCell ref="NLY18:NMB18"/>
    <mergeCell ref="NMC18:NMD18"/>
    <mergeCell ref="NME18:NMF18"/>
    <mergeCell ref="NMG18:NMH18"/>
    <mergeCell ref="NKG18:NKH18"/>
    <mergeCell ref="NKI18:NKJ18"/>
    <mergeCell ref="NKK18:NKL18"/>
    <mergeCell ref="NKM18:NKR18"/>
    <mergeCell ref="NKS18:NKV18"/>
    <mergeCell ref="NKW18:NKX18"/>
    <mergeCell ref="NKY18:NKZ18"/>
    <mergeCell ref="NLA18:NLB18"/>
    <mergeCell ref="NLC18:NLH18"/>
    <mergeCell ref="NJC18:NJD18"/>
    <mergeCell ref="NJE18:NJF18"/>
    <mergeCell ref="NJG18:NJL18"/>
    <mergeCell ref="NJM18:NJP18"/>
    <mergeCell ref="NJQ18:NJR18"/>
    <mergeCell ref="NJS18:NJT18"/>
    <mergeCell ref="NJU18:NJV18"/>
    <mergeCell ref="NJW18:NKB18"/>
    <mergeCell ref="NKC18:NKF18"/>
    <mergeCell ref="NHY18:NHZ18"/>
    <mergeCell ref="NIA18:NIF18"/>
    <mergeCell ref="NIG18:NIJ18"/>
    <mergeCell ref="NIK18:NIL18"/>
    <mergeCell ref="NIM18:NIN18"/>
    <mergeCell ref="NIO18:NIP18"/>
    <mergeCell ref="NIQ18:NIV18"/>
    <mergeCell ref="NIW18:NIZ18"/>
    <mergeCell ref="NJA18:NJB18"/>
    <mergeCell ref="NGU18:NGZ18"/>
    <mergeCell ref="NHA18:NHD18"/>
    <mergeCell ref="NHE18:NHF18"/>
    <mergeCell ref="NHG18:NHH18"/>
    <mergeCell ref="NHI18:NHJ18"/>
    <mergeCell ref="NHK18:NHP18"/>
    <mergeCell ref="NHQ18:NHT18"/>
    <mergeCell ref="NHU18:NHV18"/>
    <mergeCell ref="NHW18:NHX18"/>
    <mergeCell ref="NFU18:NFX18"/>
    <mergeCell ref="NFY18:NFZ18"/>
    <mergeCell ref="NGA18:NGB18"/>
    <mergeCell ref="NGC18:NGD18"/>
    <mergeCell ref="NGE18:NGJ18"/>
    <mergeCell ref="NGK18:NGN18"/>
    <mergeCell ref="NGO18:NGP18"/>
    <mergeCell ref="NGQ18:NGR18"/>
    <mergeCell ref="NGS18:NGT18"/>
    <mergeCell ref="NES18:NET18"/>
    <mergeCell ref="NEU18:NEV18"/>
    <mergeCell ref="NEW18:NEX18"/>
    <mergeCell ref="NEY18:NFD18"/>
    <mergeCell ref="NFE18:NFH18"/>
    <mergeCell ref="NFI18:NFJ18"/>
    <mergeCell ref="NFK18:NFL18"/>
    <mergeCell ref="NFM18:NFN18"/>
    <mergeCell ref="NFO18:NFT18"/>
    <mergeCell ref="NDO18:NDP18"/>
    <mergeCell ref="NDQ18:NDR18"/>
    <mergeCell ref="NDS18:NDX18"/>
    <mergeCell ref="NDY18:NEB18"/>
    <mergeCell ref="NEC18:NED18"/>
    <mergeCell ref="NEE18:NEF18"/>
    <mergeCell ref="NEG18:NEH18"/>
    <mergeCell ref="NEI18:NEN18"/>
    <mergeCell ref="NEO18:NER18"/>
    <mergeCell ref="NCK18:NCL18"/>
    <mergeCell ref="NCM18:NCR18"/>
    <mergeCell ref="NCS18:NCV18"/>
    <mergeCell ref="NCW18:NCX18"/>
    <mergeCell ref="NCY18:NCZ18"/>
    <mergeCell ref="NDA18:NDB18"/>
    <mergeCell ref="NDC18:NDH18"/>
    <mergeCell ref="NDI18:NDL18"/>
    <mergeCell ref="NDM18:NDN18"/>
    <mergeCell ref="NBG18:NBL18"/>
    <mergeCell ref="NBM18:NBP18"/>
    <mergeCell ref="NBQ18:NBR18"/>
    <mergeCell ref="NBS18:NBT18"/>
    <mergeCell ref="NBU18:NBV18"/>
    <mergeCell ref="NBW18:NCB18"/>
    <mergeCell ref="NCC18:NCF18"/>
    <mergeCell ref="NCG18:NCH18"/>
    <mergeCell ref="NCI18:NCJ18"/>
    <mergeCell ref="NAG18:NAJ18"/>
    <mergeCell ref="NAK18:NAL18"/>
    <mergeCell ref="NAM18:NAN18"/>
    <mergeCell ref="NAO18:NAP18"/>
    <mergeCell ref="NAQ18:NAV18"/>
    <mergeCell ref="NAW18:NAZ18"/>
    <mergeCell ref="NBA18:NBB18"/>
    <mergeCell ref="NBC18:NBD18"/>
    <mergeCell ref="NBE18:NBF18"/>
    <mergeCell ref="MZE18:MZF18"/>
    <mergeCell ref="MZG18:MZH18"/>
    <mergeCell ref="MZI18:MZJ18"/>
    <mergeCell ref="MZK18:MZP18"/>
    <mergeCell ref="MZQ18:MZT18"/>
    <mergeCell ref="MZU18:MZV18"/>
    <mergeCell ref="MZW18:MZX18"/>
    <mergeCell ref="MZY18:MZZ18"/>
    <mergeCell ref="NAA18:NAF18"/>
    <mergeCell ref="MYA18:MYB18"/>
    <mergeCell ref="MYC18:MYD18"/>
    <mergeCell ref="MYE18:MYJ18"/>
    <mergeCell ref="MYK18:MYN18"/>
    <mergeCell ref="MYO18:MYP18"/>
    <mergeCell ref="MYQ18:MYR18"/>
    <mergeCell ref="MYS18:MYT18"/>
    <mergeCell ref="MYU18:MYZ18"/>
    <mergeCell ref="MZA18:MZD18"/>
    <mergeCell ref="MWW18:MWX18"/>
    <mergeCell ref="MWY18:MXD18"/>
    <mergeCell ref="MXE18:MXH18"/>
    <mergeCell ref="MXI18:MXJ18"/>
    <mergeCell ref="MXK18:MXL18"/>
    <mergeCell ref="MXM18:MXN18"/>
    <mergeCell ref="MXO18:MXT18"/>
    <mergeCell ref="MXU18:MXX18"/>
    <mergeCell ref="MXY18:MXZ18"/>
    <mergeCell ref="MVS18:MVX18"/>
    <mergeCell ref="MVY18:MWB18"/>
    <mergeCell ref="MWC18:MWD18"/>
    <mergeCell ref="MWE18:MWF18"/>
    <mergeCell ref="MWG18:MWH18"/>
    <mergeCell ref="MWI18:MWN18"/>
    <mergeCell ref="MWO18:MWR18"/>
    <mergeCell ref="MWS18:MWT18"/>
    <mergeCell ref="MWU18:MWV18"/>
    <mergeCell ref="MUS18:MUV18"/>
    <mergeCell ref="MUW18:MUX18"/>
    <mergeCell ref="MUY18:MUZ18"/>
    <mergeCell ref="MVA18:MVB18"/>
    <mergeCell ref="MVC18:MVH18"/>
    <mergeCell ref="MVI18:MVL18"/>
    <mergeCell ref="MVM18:MVN18"/>
    <mergeCell ref="MVO18:MVP18"/>
    <mergeCell ref="MVQ18:MVR18"/>
    <mergeCell ref="MTQ18:MTR18"/>
    <mergeCell ref="MTS18:MTT18"/>
    <mergeCell ref="MTU18:MTV18"/>
    <mergeCell ref="MTW18:MUB18"/>
    <mergeCell ref="MUC18:MUF18"/>
    <mergeCell ref="MUG18:MUH18"/>
    <mergeCell ref="MUI18:MUJ18"/>
    <mergeCell ref="MUK18:MUL18"/>
    <mergeCell ref="MUM18:MUR18"/>
    <mergeCell ref="MSM18:MSN18"/>
    <mergeCell ref="MSO18:MSP18"/>
    <mergeCell ref="MSQ18:MSV18"/>
    <mergeCell ref="MSW18:MSZ18"/>
    <mergeCell ref="MTA18:MTB18"/>
    <mergeCell ref="MTC18:MTD18"/>
    <mergeCell ref="MTE18:MTF18"/>
    <mergeCell ref="MTG18:MTL18"/>
    <mergeCell ref="MTM18:MTP18"/>
    <mergeCell ref="MRI18:MRJ18"/>
    <mergeCell ref="MRK18:MRP18"/>
    <mergeCell ref="MRQ18:MRT18"/>
    <mergeCell ref="MRU18:MRV18"/>
    <mergeCell ref="MRW18:MRX18"/>
    <mergeCell ref="MRY18:MRZ18"/>
    <mergeCell ref="MSA18:MSF18"/>
    <mergeCell ref="MSG18:MSJ18"/>
    <mergeCell ref="MSK18:MSL18"/>
    <mergeCell ref="MQE18:MQJ18"/>
    <mergeCell ref="MQK18:MQN18"/>
    <mergeCell ref="MQO18:MQP18"/>
    <mergeCell ref="MQQ18:MQR18"/>
    <mergeCell ref="MQS18:MQT18"/>
    <mergeCell ref="MQU18:MQZ18"/>
    <mergeCell ref="MRA18:MRD18"/>
    <mergeCell ref="MRE18:MRF18"/>
    <mergeCell ref="MRG18:MRH18"/>
    <mergeCell ref="MPE18:MPH18"/>
    <mergeCell ref="MPI18:MPJ18"/>
    <mergeCell ref="MPK18:MPL18"/>
    <mergeCell ref="MPM18:MPN18"/>
    <mergeCell ref="MPO18:MPT18"/>
    <mergeCell ref="MPU18:MPX18"/>
    <mergeCell ref="MPY18:MPZ18"/>
    <mergeCell ref="MQA18:MQB18"/>
    <mergeCell ref="MQC18:MQD18"/>
    <mergeCell ref="MOC18:MOD18"/>
    <mergeCell ref="MOE18:MOF18"/>
    <mergeCell ref="MOG18:MOH18"/>
    <mergeCell ref="MOI18:MON18"/>
    <mergeCell ref="MOO18:MOR18"/>
    <mergeCell ref="MOS18:MOT18"/>
    <mergeCell ref="MOU18:MOV18"/>
    <mergeCell ref="MOW18:MOX18"/>
    <mergeCell ref="MOY18:MPD18"/>
    <mergeCell ref="MMY18:MMZ18"/>
    <mergeCell ref="MNA18:MNB18"/>
    <mergeCell ref="MNC18:MNH18"/>
    <mergeCell ref="MNI18:MNL18"/>
    <mergeCell ref="MNM18:MNN18"/>
    <mergeCell ref="MNO18:MNP18"/>
    <mergeCell ref="MNQ18:MNR18"/>
    <mergeCell ref="MNS18:MNX18"/>
    <mergeCell ref="MNY18:MOB18"/>
    <mergeCell ref="MLU18:MLV18"/>
    <mergeCell ref="MLW18:MMB18"/>
    <mergeCell ref="MMC18:MMF18"/>
    <mergeCell ref="MMG18:MMH18"/>
    <mergeCell ref="MMI18:MMJ18"/>
    <mergeCell ref="MMK18:MML18"/>
    <mergeCell ref="MMM18:MMR18"/>
    <mergeCell ref="MMS18:MMV18"/>
    <mergeCell ref="MMW18:MMX18"/>
    <mergeCell ref="MKQ18:MKV18"/>
    <mergeCell ref="MKW18:MKZ18"/>
    <mergeCell ref="MLA18:MLB18"/>
    <mergeCell ref="MLC18:MLD18"/>
    <mergeCell ref="MLE18:MLF18"/>
    <mergeCell ref="MLG18:MLL18"/>
    <mergeCell ref="MLM18:MLP18"/>
    <mergeCell ref="MLQ18:MLR18"/>
    <mergeCell ref="MLS18:MLT18"/>
    <mergeCell ref="MJQ18:MJT18"/>
    <mergeCell ref="MJU18:MJV18"/>
    <mergeCell ref="MJW18:MJX18"/>
    <mergeCell ref="MJY18:MJZ18"/>
    <mergeCell ref="MKA18:MKF18"/>
    <mergeCell ref="MKG18:MKJ18"/>
    <mergeCell ref="MKK18:MKL18"/>
    <mergeCell ref="MKM18:MKN18"/>
    <mergeCell ref="MKO18:MKP18"/>
    <mergeCell ref="MIO18:MIP18"/>
    <mergeCell ref="MIQ18:MIR18"/>
    <mergeCell ref="MIS18:MIT18"/>
    <mergeCell ref="MIU18:MIZ18"/>
    <mergeCell ref="MJA18:MJD18"/>
    <mergeCell ref="MJE18:MJF18"/>
    <mergeCell ref="MJG18:MJH18"/>
    <mergeCell ref="MJI18:MJJ18"/>
    <mergeCell ref="MJK18:MJP18"/>
    <mergeCell ref="MHK18:MHL18"/>
    <mergeCell ref="MHM18:MHN18"/>
    <mergeCell ref="MHO18:MHT18"/>
    <mergeCell ref="MHU18:MHX18"/>
    <mergeCell ref="MHY18:MHZ18"/>
    <mergeCell ref="MIA18:MIB18"/>
    <mergeCell ref="MIC18:MID18"/>
    <mergeCell ref="MIE18:MIJ18"/>
    <mergeCell ref="MIK18:MIN18"/>
    <mergeCell ref="MGG18:MGH18"/>
    <mergeCell ref="MGI18:MGN18"/>
    <mergeCell ref="MGO18:MGR18"/>
    <mergeCell ref="MGS18:MGT18"/>
    <mergeCell ref="MGU18:MGV18"/>
    <mergeCell ref="MGW18:MGX18"/>
    <mergeCell ref="MGY18:MHD18"/>
    <mergeCell ref="MHE18:MHH18"/>
    <mergeCell ref="MHI18:MHJ18"/>
    <mergeCell ref="MFC18:MFH18"/>
    <mergeCell ref="MFI18:MFL18"/>
    <mergeCell ref="MFM18:MFN18"/>
    <mergeCell ref="MFO18:MFP18"/>
    <mergeCell ref="MFQ18:MFR18"/>
    <mergeCell ref="MFS18:MFX18"/>
    <mergeCell ref="MFY18:MGB18"/>
    <mergeCell ref="MGC18:MGD18"/>
    <mergeCell ref="MGE18:MGF18"/>
    <mergeCell ref="MEC18:MEF18"/>
    <mergeCell ref="MEG18:MEH18"/>
    <mergeCell ref="MEI18:MEJ18"/>
    <mergeCell ref="MEK18:MEL18"/>
    <mergeCell ref="MEM18:MER18"/>
    <mergeCell ref="MES18:MEV18"/>
    <mergeCell ref="MEW18:MEX18"/>
    <mergeCell ref="MEY18:MEZ18"/>
    <mergeCell ref="MFA18:MFB18"/>
    <mergeCell ref="MDA18:MDB18"/>
    <mergeCell ref="MDC18:MDD18"/>
    <mergeCell ref="MDE18:MDF18"/>
    <mergeCell ref="MDG18:MDL18"/>
    <mergeCell ref="MDM18:MDP18"/>
    <mergeCell ref="MDQ18:MDR18"/>
    <mergeCell ref="MDS18:MDT18"/>
    <mergeCell ref="MDU18:MDV18"/>
    <mergeCell ref="MDW18:MEB18"/>
    <mergeCell ref="MBW18:MBX18"/>
    <mergeCell ref="MBY18:MBZ18"/>
    <mergeCell ref="MCA18:MCF18"/>
    <mergeCell ref="MCG18:MCJ18"/>
    <mergeCell ref="MCK18:MCL18"/>
    <mergeCell ref="MCM18:MCN18"/>
    <mergeCell ref="MCO18:MCP18"/>
    <mergeCell ref="MCQ18:MCV18"/>
    <mergeCell ref="MCW18:MCZ18"/>
    <mergeCell ref="MAS18:MAT18"/>
    <mergeCell ref="MAU18:MAZ18"/>
    <mergeCell ref="MBA18:MBD18"/>
    <mergeCell ref="MBE18:MBF18"/>
    <mergeCell ref="MBG18:MBH18"/>
    <mergeCell ref="MBI18:MBJ18"/>
    <mergeCell ref="MBK18:MBP18"/>
    <mergeCell ref="MBQ18:MBT18"/>
    <mergeCell ref="MBU18:MBV18"/>
    <mergeCell ref="LZO18:LZT18"/>
    <mergeCell ref="LZU18:LZX18"/>
    <mergeCell ref="LZY18:LZZ18"/>
    <mergeCell ref="MAA18:MAB18"/>
    <mergeCell ref="MAC18:MAD18"/>
    <mergeCell ref="MAE18:MAJ18"/>
    <mergeCell ref="MAK18:MAN18"/>
    <mergeCell ref="MAO18:MAP18"/>
    <mergeCell ref="MAQ18:MAR18"/>
    <mergeCell ref="LYO18:LYR18"/>
    <mergeCell ref="LYS18:LYT18"/>
    <mergeCell ref="LYU18:LYV18"/>
    <mergeCell ref="LYW18:LYX18"/>
    <mergeCell ref="LYY18:LZD18"/>
    <mergeCell ref="LZE18:LZH18"/>
    <mergeCell ref="LZI18:LZJ18"/>
    <mergeCell ref="LZK18:LZL18"/>
    <mergeCell ref="LZM18:LZN18"/>
    <mergeCell ref="LXM18:LXN18"/>
    <mergeCell ref="LXO18:LXP18"/>
    <mergeCell ref="LXQ18:LXR18"/>
    <mergeCell ref="LXS18:LXX18"/>
    <mergeCell ref="LXY18:LYB18"/>
    <mergeCell ref="LYC18:LYD18"/>
    <mergeCell ref="LYE18:LYF18"/>
    <mergeCell ref="LYG18:LYH18"/>
    <mergeCell ref="LYI18:LYN18"/>
    <mergeCell ref="LWI18:LWJ18"/>
    <mergeCell ref="LWK18:LWL18"/>
    <mergeCell ref="LWM18:LWR18"/>
    <mergeCell ref="LWS18:LWV18"/>
    <mergeCell ref="LWW18:LWX18"/>
    <mergeCell ref="LWY18:LWZ18"/>
    <mergeCell ref="LXA18:LXB18"/>
    <mergeCell ref="LXC18:LXH18"/>
    <mergeCell ref="LXI18:LXL18"/>
    <mergeCell ref="LVE18:LVF18"/>
    <mergeCell ref="LVG18:LVL18"/>
    <mergeCell ref="LVM18:LVP18"/>
    <mergeCell ref="LVQ18:LVR18"/>
    <mergeCell ref="LVS18:LVT18"/>
    <mergeCell ref="LVU18:LVV18"/>
    <mergeCell ref="LVW18:LWB18"/>
    <mergeCell ref="LWC18:LWF18"/>
    <mergeCell ref="LWG18:LWH18"/>
    <mergeCell ref="LUA18:LUF18"/>
    <mergeCell ref="LUG18:LUJ18"/>
    <mergeCell ref="LUK18:LUL18"/>
    <mergeCell ref="LUM18:LUN18"/>
    <mergeCell ref="LUO18:LUP18"/>
    <mergeCell ref="LUQ18:LUV18"/>
    <mergeCell ref="LUW18:LUZ18"/>
    <mergeCell ref="LVA18:LVB18"/>
    <mergeCell ref="LVC18:LVD18"/>
    <mergeCell ref="LTA18:LTD18"/>
    <mergeCell ref="LTE18:LTF18"/>
    <mergeCell ref="LTG18:LTH18"/>
    <mergeCell ref="LTI18:LTJ18"/>
    <mergeCell ref="LTK18:LTP18"/>
    <mergeCell ref="LTQ18:LTT18"/>
    <mergeCell ref="LTU18:LTV18"/>
    <mergeCell ref="LTW18:LTX18"/>
    <mergeCell ref="LTY18:LTZ18"/>
    <mergeCell ref="LRY18:LRZ18"/>
    <mergeCell ref="LSA18:LSB18"/>
    <mergeCell ref="LSC18:LSD18"/>
    <mergeCell ref="LSE18:LSJ18"/>
    <mergeCell ref="LSK18:LSN18"/>
    <mergeCell ref="LSO18:LSP18"/>
    <mergeCell ref="LSQ18:LSR18"/>
    <mergeCell ref="LSS18:LST18"/>
    <mergeCell ref="LSU18:LSZ18"/>
    <mergeCell ref="LQU18:LQV18"/>
    <mergeCell ref="LQW18:LQX18"/>
    <mergeCell ref="LQY18:LRD18"/>
    <mergeCell ref="LRE18:LRH18"/>
    <mergeCell ref="LRI18:LRJ18"/>
    <mergeCell ref="LRK18:LRL18"/>
    <mergeCell ref="LRM18:LRN18"/>
    <mergeCell ref="LRO18:LRT18"/>
    <mergeCell ref="LRU18:LRX18"/>
    <mergeCell ref="LPQ18:LPR18"/>
    <mergeCell ref="LPS18:LPX18"/>
    <mergeCell ref="LPY18:LQB18"/>
    <mergeCell ref="LQC18:LQD18"/>
    <mergeCell ref="LQE18:LQF18"/>
    <mergeCell ref="LQG18:LQH18"/>
    <mergeCell ref="LQI18:LQN18"/>
    <mergeCell ref="LQO18:LQR18"/>
    <mergeCell ref="LQS18:LQT18"/>
    <mergeCell ref="LOM18:LOR18"/>
    <mergeCell ref="LOS18:LOV18"/>
    <mergeCell ref="LOW18:LOX18"/>
    <mergeCell ref="LOY18:LOZ18"/>
    <mergeCell ref="LPA18:LPB18"/>
    <mergeCell ref="LPC18:LPH18"/>
    <mergeCell ref="LPI18:LPL18"/>
    <mergeCell ref="LPM18:LPN18"/>
    <mergeCell ref="LPO18:LPP18"/>
    <mergeCell ref="LNM18:LNP18"/>
    <mergeCell ref="LNQ18:LNR18"/>
    <mergeCell ref="LNS18:LNT18"/>
    <mergeCell ref="LNU18:LNV18"/>
    <mergeCell ref="LNW18:LOB18"/>
    <mergeCell ref="LOC18:LOF18"/>
    <mergeCell ref="LOG18:LOH18"/>
    <mergeCell ref="LOI18:LOJ18"/>
    <mergeCell ref="LOK18:LOL18"/>
    <mergeCell ref="LMK18:LML18"/>
    <mergeCell ref="LMM18:LMN18"/>
    <mergeCell ref="LMO18:LMP18"/>
    <mergeCell ref="LMQ18:LMV18"/>
    <mergeCell ref="LMW18:LMZ18"/>
    <mergeCell ref="LNA18:LNB18"/>
    <mergeCell ref="LNC18:LND18"/>
    <mergeCell ref="LNE18:LNF18"/>
    <mergeCell ref="LNG18:LNL18"/>
    <mergeCell ref="LLG18:LLH18"/>
    <mergeCell ref="LLI18:LLJ18"/>
    <mergeCell ref="LLK18:LLP18"/>
    <mergeCell ref="LLQ18:LLT18"/>
    <mergeCell ref="LLU18:LLV18"/>
    <mergeCell ref="LLW18:LLX18"/>
    <mergeCell ref="LLY18:LLZ18"/>
    <mergeCell ref="LMA18:LMF18"/>
    <mergeCell ref="LMG18:LMJ18"/>
    <mergeCell ref="LKC18:LKD18"/>
    <mergeCell ref="LKE18:LKJ18"/>
    <mergeCell ref="LKK18:LKN18"/>
    <mergeCell ref="LKO18:LKP18"/>
    <mergeCell ref="LKQ18:LKR18"/>
    <mergeCell ref="LKS18:LKT18"/>
    <mergeCell ref="LKU18:LKZ18"/>
    <mergeCell ref="LLA18:LLD18"/>
    <mergeCell ref="LLE18:LLF18"/>
    <mergeCell ref="LIY18:LJD18"/>
    <mergeCell ref="LJE18:LJH18"/>
    <mergeCell ref="LJI18:LJJ18"/>
    <mergeCell ref="LJK18:LJL18"/>
    <mergeCell ref="LJM18:LJN18"/>
    <mergeCell ref="LJO18:LJT18"/>
    <mergeCell ref="LJU18:LJX18"/>
    <mergeCell ref="LJY18:LJZ18"/>
    <mergeCell ref="LKA18:LKB18"/>
    <mergeCell ref="LHY18:LIB18"/>
    <mergeCell ref="LIC18:LID18"/>
    <mergeCell ref="LIE18:LIF18"/>
    <mergeCell ref="LIG18:LIH18"/>
    <mergeCell ref="LII18:LIN18"/>
    <mergeCell ref="LIO18:LIR18"/>
    <mergeCell ref="LIS18:LIT18"/>
    <mergeCell ref="LIU18:LIV18"/>
    <mergeCell ref="LIW18:LIX18"/>
    <mergeCell ref="LGW18:LGX18"/>
    <mergeCell ref="LGY18:LGZ18"/>
    <mergeCell ref="LHA18:LHB18"/>
    <mergeCell ref="LHC18:LHH18"/>
    <mergeCell ref="LHI18:LHL18"/>
    <mergeCell ref="LHM18:LHN18"/>
    <mergeCell ref="LHO18:LHP18"/>
    <mergeCell ref="LHQ18:LHR18"/>
    <mergeCell ref="LHS18:LHX18"/>
    <mergeCell ref="LFS18:LFT18"/>
    <mergeCell ref="LFU18:LFV18"/>
    <mergeCell ref="LFW18:LGB18"/>
    <mergeCell ref="LGC18:LGF18"/>
    <mergeCell ref="LGG18:LGH18"/>
    <mergeCell ref="LGI18:LGJ18"/>
    <mergeCell ref="LGK18:LGL18"/>
    <mergeCell ref="LGM18:LGR18"/>
    <mergeCell ref="LGS18:LGV18"/>
    <mergeCell ref="LEO18:LEP18"/>
    <mergeCell ref="LEQ18:LEV18"/>
    <mergeCell ref="LEW18:LEZ18"/>
    <mergeCell ref="LFA18:LFB18"/>
    <mergeCell ref="LFC18:LFD18"/>
    <mergeCell ref="LFE18:LFF18"/>
    <mergeCell ref="LFG18:LFL18"/>
    <mergeCell ref="LFM18:LFP18"/>
    <mergeCell ref="LFQ18:LFR18"/>
    <mergeCell ref="LDK18:LDP18"/>
    <mergeCell ref="LDQ18:LDT18"/>
    <mergeCell ref="LDU18:LDV18"/>
    <mergeCell ref="LDW18:LDX18"/>
    <mergeCell ref="LDY18:LDZ18"/>
    <mergeCell ref="LEA18:LEF18"/>
    <mergeCell ref="LEG18:LEJ18"/>
    <mergeCell ref="LEK18:LEL18"/>
    <mergeCell ref="LEM18:LEN18"/>
    <mergeCell ref="LCK18:LCN18"/>
    <mergeCell ref="LCO18:LCP18"/>
    <mergeCell ref="LCQ18:LCR18"/>
    <mergeCell ref="LCS18:LCT18"/>
    <mergeCell ref="LCU18:LCZ18"/>
    <mergeCell ref="LDA18:LDD18"/>
    <mergeCell ref="LDE18:LDF18"/>
    <mergeCell ref="LDG18:LDH18"/>
    <mergeCell ref="LDI18:LDJ18"/>
    <mergeCell ref="LBI18:LBJ18"/>
    <mergeCell ref="LBK18:LBL18"/>
    <mergeCell ref="LBM18:LBN18"/>
    <mergeCell ref="LBO18:LBT18"/>
    <mergeCell ref="LBU18:LBX18"/>
    <mergeCell ref="LBY18:LBZ18"/>
    <mergeCell ref="LCA18:LCB18"/>
    <mergeCell ref="LCC18:LCD18"/>
    <mergeCell ref="LCE18:LCJ18"/>
    <mergeCell ref="LAE18:LAF18"/>
    <mergeCell ref="LAG18:LAH18"/>
    <mergeCell ref="LAI18:LAN18"/>
    <mergeCell ref="LAO18:LAR18"/>
    <mergeCell ref="LAS18:LAT18"/>
    <mergeCell ref="LAU18:LAV18"/>
    <mergeCell ref="LAW18:LAX18"/>
    <mergeCell ref="LAY18:LBD18"/>
    <mergeCell ref="LBE18:LBH18"/>
    <mergeCell ref="KZA18:KZB18"/>
    <mergeCell ref="KZC18:KZH18"/>
    <mergeCell ref="KZI18:KZL18"/>
    <mergeCell ref="KZM18:KZN18"/>
    <mergeCell ref="KZO18:KZP18"/>
    <mergeCell ref="KZQ18:KZR18"/>
    <mergeCell ref="KZS18:KZX18"/>
    <mergeCell ref="KZY18:LAB18"/>
    <mergeCell ref="LAC18:LAD18"/>
    <mergeCell ref="KXW18:KYB18"/>
    <mergeCell ref="KYC18:KYF18"/>
    <mergeCell ref="KYG18:KYH18"/>
    <mergeCell ref="KYI18:KYJ18"/>
    <mergeCell ref="KYK18:KYL18"/>
    <mergeCell ref="KYM18:KYR18"/>
    <mergeCell ref="KYS18:KYV18"/>
    <mergeCell ref="KYW18:KYX18"/>
    <mergeCell ref="KYY18:KYZ18"/>
    <mergeCell ref="KWW18:KWZ18"/>
    <mergeCell ref="KXA18:KXB18"/>
    <mergeCell ref="KXC18:KXD18"/>
    <mergeCell ref="KXE18:KXF18"/>
    <mergeCell ref="KXG18:KXL18"/>
    <mergeCell ref="KXM18:KXP18"/>
    <mergeCell ref="KXQ18:KXR18"/>
    <mergeCell ref="KXS18:KXT18"/>
    <mergeCell ref="KXU18:KXV18"/>
    <mergeCell ref="KVU18:KVV18"/>
    <mergeCell ref="KVW18:KVX18"/>
    <mergeCell ref="KVY18:KVZ18"/>
    <mergeCell ref="KWA18:KWF18"/>
    <mergeCell ref="KWG18:KWJ18"/>
    <mergeCell ref="KWK18:KWL18"/>
    <mergeCell ref="KWM18:KWN18"/>
    <mergeCell ref="KWO18:KWP18"/>
    <mergeCell ref="KWQ18:KWV18"/>
    <mergeCell ref="KUQ18:KUR18"/>
    <mergeCell ref="KUS18:KUT18"/>
    <mergeCell ref="KUU18:KUZ18"/>
    <mergeCell ref="KVA18:KVD18"/>
    <mergeCell ref="KVE18:KVF18"/>
    <mergeCell ref="KVG18:KVH18"/>
    <mergeCell ref="KVI18:KVJ18"/>
    <mergeCell ref="KVK18:KVP18"/>
    <mergeCell ref="KVQ18:KVT18"/>
    <mergeCell ref="KTM18:KTN18"/>
    <mergeCell ref="KTO18:KTT18"/>
    <mergeCell ref="KTU18:KTX18"/>
    <mergeCell ref="KTY18:KTZ18"/>
    <mergeCell ref="KUA18:KUB18"/>
    <mergeCell ref="KUC18:KUD18"/>
    <mergeCell ref="KUE18:KUJ18"/>
    <mergeCell ref="KUK18:KUN18"/>
    <mergeCell ref="KUO18:KUP18"/>
    <mergeCell ref="KSI18:KSN18"/>
    <mergeCell ref="KSO18:KSR18"/>
    <mergeCell ref="KSS18:KST18"/>
    <mergeCell ref="KSU18:KSV18"/>
    <mergeCell ref="KSW18:KSX18"/>
    <mergeCell ref="KSY18:KTD18"/>
    <mergeCell ref="KTE18:KTH18"/>
    <mergeCell ref="KTI18:KTJ18"/>
    <mergeCell ref="KTK18:KTL18"/>
    <mergeCell ref="KRI18:KRL18"/>
    <mergeCell ref="KRM18:KRN18"/>
    <mergeCell ref="KRO18:KRP18"/>
    <mergeCell ref="KRQ18:KRR18"/>
    <mergeCell ref="KRS18:KRX18"/>
    <mergeCell ref="KRY18:KSB18"/>
    <mergeCell ref="KSC18:KSD18"/>
    <mergeCell ref="KSE18:KSF18"/>
    <mergeCell ref="KSG18:KSH18"/>
    <mergeCell ref="KQG18:KQH18"/>
    <mergeCell ref="KQI18:KQJ18"/>
    <mergeCell ref="KQK18:KQL18"/>
    <mergeCell ref="KQM18:KQR18"/>
    <mergeCell ref="KQS18:KQV18"/>
    <mergeCell ref="KQW18:KQX18"/>
    <mergeCell ref="KQY18:KQZ18"/>
    <mergeCell ref="KRA18:KRB18"/>
    <mergeCell ref="KRC18:KRH18"/>
    <mergeCell ref="KPC18:KPD18"/>
    <mergeCell ref="KPE18:KPF18"/>
    <mergeCell ref="KPG18:KPL18"/>
    <mergeCell ref="KPM18:KPP18"/>
    <mergeCell ref="KPQ18:KPR18"/>
    <mergeCell ref="KPS18:KPT18"/>
    <mergeCell ref="KPU18:KPV18"/>
    <mergeCell ref="KPW18:KQB18"/>
    <mergeCell ref="KQC18:KQF18"/>
    <mergeCell ref="KNY18:KNZ18"/>
    <mergeCell ref="KOA18:KOF18"/>
    <mergeCell ref="KOG18:KOJ18"/>
    <mergeCell ref="KOK18:KOL18"/>
    <mergeCell ref="KOM18:KON18"/>
    <mergeCell ref="KOO18:KOP18"/>
    <mergeCell ref="KOQ18:KOV18"/>
    <mergeCell ref="KOW18:KOZ18"/>
    <mergeCell ref="KPA18:KPB18"/>
    <mergeCell ref="KMU18:KMZ18"/>
    <mergeCell ref="KNA18:KND18"/>
    <mergeCell ref="KNE18:KNF18"/>
    <mergeCell ref="KNG18:KNH18"/>
    <mergeCell ref="KNI18:KNJ18"/>
    <mergeCell ref="KNK18:KNP18"/>
    <mergeCell ref="KNQ18:KNT18"/>
    <mergeCell ref="KNU18:KNV18"/>
    <mergeCell ref="KNW18:KNX18"/>
    <mergeCell ref="KLU18:KLX18"/>
    <mergeCell ref="KLY18:KLZ18"/>
    <mergeCell ref="KMA18:KMB18"/>
    <mergeCell ref="KMC18:KMD18"/>
    <mergeCell ref="KME18:KMJ18"/>
    <mergeCell ref="KMK18:KMN18"/>
    <mergeCell ref="KMO18:KMP18"/>
    <mergeCell ref="KMQ18:KMR18"/>
    <mergeCell ref="KMS18:KMT18"/>
    <mergeCell ref="KKS18:KKT18"/>
    <mergeCell ref="KKU18:KKV18"/>
    <mergeCell ref="KKW18:KKX18"/>
    <mergeCell ref="KKY18:KLD18"/>
    <mergeCell ref="KLE18:KLH18"/>
    <mergeCell ref="KLI18:KLJ18"/>
    <mergeCell ref="KLK18:KLL18"/>
    <mergeCell ref="KLM18:KLN18"/>
    <mergeCell ref="KLO18:KLT18"/>
    <mergeCell ref="KJO18:KJP18"/>
    <mergeCell ref="KJQ18:KJR18"/>
    <mergeCell ref="KJS18:KJX18"/>
    <mergeCell ref="KJY18:KKB18"/>
    <mergeCell ref="KKC18:KKD18"/>
    <mergeCell ref="KKE18:KKF18"/>
    <mergeCell ref="KKG18:KKH18"/>
    <mergeCell ref="KKI18:KKN18"/>
    <mergeCell ref="KKO18:KKR18"/>
    <mergeCell ref="KIK18:KIL18"/>
    <mergeCell ref="KIM18:KIR18"/>
    <mergeCell ref="KIS18:KIV18"/>
    <mergeCell ref="KIW18:KIX18"/>
    <mergeCell ref="KIY18:KIZ18"/>
    <mergeCell ref="KJA18:KJB18"/>
    <mergeCell ref="KJC18:KJH18"/>
    <mergeCell ref="KJI18:KJL18"/>
    <mergeCell ref="KJM18:KJN18"/>
    <mergeCell ref="KHG18:KHL18"/>
    <mergeCell ref="KHM18:KHP18"/>
    <mergeCell ref="KHQ18:KHR18"/>
    <mergeCell ref="KHS18:KHT18"/>
    <mergeCell ref="KHU18:KHV18"/>
    <mergeCell ref="KHW18:KIB18"/>
    <mergeCell ref="KIC18:KIF18"/>
    <mergeCell ref="KIG18:KIH18"/>
    <mergeCell ref="KII18:KIJ18"/>
    <mergeCell ref="KGG18:KGJ18"/>
    <mergeCell ref="KGK18:KGL18"/>
    <mergeCell ref="KGM18:KGN18"/>
    <mergeCell ref="KGO18:KGP18"/>
    <mergeCell ref="KGQ18:KGV18"/>
    <mergeCell ref="KGW18:KGZ18"/>
    <mergeCell ref="KHA18:KHB18"/>
    <mergeCell ref="KHC18:KHD18"/>
    <mergeCell ref="KHE18:KHF18"/>
    <mergeCell ref="KFE18:KFF18"/>
    <mergeCell ref="KFG18:KFH18"/>
    <mergeCell ref="KFI18:KFJ18"/>
    <mergeCell ref="KFK18:KFP18"/>
    <mergeCell ref="KFQ18:KFT18"/>
    <mergeCell ref="KFU18:KFV18"/>
    <mergeCell ref="KFW18:KFX18"/>
    <mergeCell ref="KFY18:KFZ18"/>
    <mergeCell ref="KGA18:KGF18"/>
    <mergeCell ref="KEA18:KEB18"/>
    <mergeCell ref="KEC18:KED18"/>
    <mergeCell ref="KEE18:KEJ18"/>
    <mergeCell ref="KEK18:KEN18"/>
    <mergeCell ref="KEO18:KEP18"/>
    <mergeCell ref="KEQ18:KER18"/>
    <mergeCell ref="KES18:KET18"/>
    <mergeCell ref="KEU18:KEZ18"/>
    <mergeCell ref="KFA18:KFD18"/>
    <mergeCell ref="KCW18:KCX18"/>
    <mergeCell ref="KCY18:KDD18"/>
    <mergeCell ref="KDE18:KDH18"/>
    <mergeCell ref="KDI18:KDJ18"/>
    <mergeCell ref="KDK18:KDL18"/>
    <mergeCell ref="KDM18:KDN18"/>
    <mergeCell ref="KDO18:KDT18"/>
    <mergeCell ref="KDU18:KDX18"/>
    <mergeCell ref="KDY18:KDZ18"/>
    <mergeCell ref="KBS18:KBX18"/>
    <mergeCell ref="KBY18:KCB18"/>
    <mergeCell ref="KCC18:KCD18"/>
    <mergeCell ref="KCE18:KCF18"/>
    <mergeCell ref="KCG18:KCH18"/>
    <mergeCell ref="KCI18:KCN18"/>
    <mergeCell ref="KCO18:KCR18"/>
    <mergeCell ref="KCS18:KCT18"/>
    <mergeCell ref="KCU18:KCV18"/>
    <mergeCell ref="KAS18:KAV18"/>
    <mergeCell ref="KAW18:KAX18"/>
    <mergeCell ref="KAY18:KAZ18"/>
    <mergeCell ref="KBA18:KBB18"/>
    <mergeCell ref="KBC18:KBH18"/>
    <mergeCell ref="KBI18:KBL18"/>
    <mergeCell ref="KBM18:KBN18"/>
    <mergeCell ref="KBO18:KBP18"/>
    <mergeCell ref="KBQ18:KBR18"/>
    <mergeCell ref="JZQ18:JZR18"/>
    <mergeCell ref="JZS18:JZT18"/>
    <mergeCell ref="JZU18:JZV18"/>
    <mergeCell ref="JZW18:KAB18"/>
    <mergeCell ref="KAC18:KAF18"/>
    <mergeCell ref="KAG18:KAH18"/>
    <mergeCell ref="KAI18:KAJ18"/>
    <mergeCell ref="KAK18:KAL18"/>
    <mergeCell ref="KAM18:KAR18"/>
    <mergeCell ref="JYM18:JYN18"/>
    <mergeCell ref="JYO18:JYP18"/>
    <mergeCell ref="JYQ18:JYV18"/>
    <mergeCell ref="JYW18:JYZ18"/>
    <mergeCell ref="JZA18:JZB18"/>
    <mergeCell ref="JZC18:JZD18"/>
    <mergeCell ref="JZE18:JZF18"/>
    <mergeCell ref="JZG18:JZL18"/>
    <mergeCell ref="JZM18:JZP18"/>
    <mergeCell ref="JXI18:JXJ18"/>
    <mergeCell ref="JXK18:JXP18"/>
    <mergeCell ref="JXQ18:JXT18"/>
    <mergeCell ref="JXU18:JXV18"/>
    <mergeCell ref="JXW18:JXX18"/>
    <mergeCell ref="JXY18:JXZ18"/>
    <mergeCell ref="JYA18:JYF18"/>
    <mergeCell ref="JYG18:JYJ18"/>
    <mergeCell ref="JYK18:JYL18"/>
    <mergeCell ref="JWE18:JWJ18"/>
    <mergeCell ref="JWK18:JWN18"/>
    <mergeCell ref="JWO18:JWP18"/>
    <mergeCell ref="JWQ18:JWR18"/>
    <mergeCell ref="JWS18:JWT18"/>
    <mergeCell ref="JWU18:JWZ18"/>
    <mergeCell ref="JXA18:JXD18"/>
    <mergeCell ref="JXE18:JXF18"/>
    <mergeCell ref="JXG18:JXH18"/>
    <mergeCell ref="JVE18:JVH18"/>
    <mergeCell ref="JVI18:JVJ18"/>
    <mergeCell ref="JVK18:JVL18"/>
    <mergeCell ref="JVM18:JVN18"/>
    <mergeCell ref="JVO18:JVT18"/>
    <mergeCell ref="JVU18:JVX18"/>
    <mergeCell ref="JVY18:JVZ18"/>
    <mergeCell ref="JWA18:JWB18"/>
    <mergeCell ref="JWC18:JWD18"/>
    <mergeCell ref="JUC18:JUD18"/>
    <mergeCell ref="JUE18:JUF18"/>
    <mergeCell ref="JUG18:JUH18"/>
    <mergeCell ref="JUI18:JUN18"/>
    <mergeCell ref="JUO18:JUR18"/>
    <mergeCell ref="JUS18:JUT18"/>
    <mergeCell ref="JUU18:JUV18"/>
    <mergeCell ref="JUW18:JUX18"/>
    <mergeCell ref="JUY18:JVD18"/>
    <mergeCell ref="JSY18:JSZ18"/>
    <mergeCell ref="JTA18:JTB18"/>
    <mergeCell ref="JTC18:JTH18"/>
    <mergeCell ref="JTI18:JTL18"/>
    <mergeCell ref="JTM18:JTN18"/>
    <mergeCell ref="JTO18:JTP18"/>
    <mergeCell ref="JTQ18:JTR18"/>
    <mergeCell ref="JTS18:JTX18"/>
    <mergeCell ref="JTY18:JUB18"/>
    <mergeCell ref="JRU18:JRV18"/>
    <mergeCell ref="JRW18:JSB18"/>
    <mergeCell ref="JSC18:JSF18"/>
    <mergeCell ref="JSG18:JSH18"/>
    <mergeCell ref="JSI18:JSJ18"/>
    <mergeCell ref="JSK18:JSL18"/>
    <mergeCell ref="JSM18:JSR18"/>
    <mergeCell ref="JSS18:JSV18"/>
    <mergeCell ref="JSW18:JSX18"/>
    <mergeCell ref="JQQ18:JQV18"/>
    <mergeCell ref="JQW18:JQZ18"/>
    <mergeCell ref="JRA18:JRB18"/>
    <mergeCell ref="JRC18:JRD18"/>
    <mergeCell ref="JRE18:JRF18"/>
    <mergeCell ref="JRG18:JRL18"/>
    <mergeCell ref="JRM18:JRP18"/>
    <mergeCell ref="JRQ18:JRR18"/>
    <mergeCell ref="JRS18:JRT18"/>
    <mergeCell ref="JPQ18:JPT18"/>
    <mergeCell ref="JPU18:JPV18"/>
    <mergeCell ref="JPW18:JPX18"/>
    <mergeCell ref="JPY18:JPZ18"/>
    <mergeCell ref="JQA18:JQF18"/>
    <mergeCell ref="JQG18:JQJ18"/>
    <mergeCell ref="JQK18:JQL18"/>
    <mergeCell ref="JQM18:JQN18"/>
    <mergeCell ref="JQO18:JQP18"/>
    <mergeCell ref="JOO18:JOP18"/>
    <mergeCell ref="JOQ18:JOR18"/>
    <mergeCell ref="JOS18:JOT18"/>
    <mergeCell ref="JOU18:JOZ18"/>
    <mergeCell ref="JPA18:JPD18"/>
    <mergeCell ref="JPE18:JPF18"/>
    <mergeCell ref="JPG18:JPH18"/>
    <mergeCell ref="JPI18:JPJ18"/>
    <mergeCell ref="JPK18:JPP18"/>
    <mergeCell ref="JNK18:JNL18"/>
    <mergeCell ref="JNM18:JNN18"/>
    <mergeCell ref="JNO18:JNT18"/>
    <mergeCell ref="JNU18:JNX18"/>
    <mergeCell ref="JNY18:JNZ18"/>
    <mergeCell ref="JOA18:JOB18"/>
    <mergeCell ref="JOC18:JOD18"/>
    <mergeCell ref="JOE18:JOJ18"/>
    <mergeCell ref="JOK18:JON18"/>
    <mergeCell ref="JMG18:JMH18"/>
    <mergeCell ref="JMI18:JMN18"/>
    <mergeCell ref="JMO18:JMR18"/>
    <mergeCell ref="JMS18:JMT18"/>
    <mergeCell ref="JMU18:JMV18"/>
    <mergeCell ref="JMW18:JMX18"/>
    <mergeCell ref="JMY18:JND18"/>
    <mergeCell ref="JNE18:JNH18"/>
    <mergeCell ref="JNI18:JNJ18"/>
    <mergeCell ref="JLC18:JLH18"/>
    <mergeCell ref="JLI18:JLL18"/>
    <mergeCell ref="JLM18:JLN18"/>
    <mergeCell ref="JLO18:JLP18"/>
    <mergeCell ref="JLQ18:JLR18"/>
    <mergeCell ref="JLS18:JLX18"/>
    <mergeCell ref="JLY18:JMB18"/>
    <mergeCell ref="JMC18:JMD18"/>
    <mergeCell ref="JME18:JMF18"/>
    <mergeCell ref="JKC18:JKF18"/>
    <mergeCell ref="JKG18:JKH18"/>
    <mergeCell ref="JKI18:JKJ18"/>
    <mergeCell ref="JKK18:JKL18"/>
    <mergeCell ref="JKM18:JKR18"/>
    <mergeCell ref="JKS18:JKV18"/>
    <mergeCell ref="JKW18:JKX18"/>
    <mergeCell ref="JKY18:JKZ18"/>
    <mergeCell ref="JLA18:JLB18"/>
    <mergeCell ref="JJA18:JJB18"/>
    <mergeCell ref="JJC18:JJD18"/>
    <mergeCell ref="JJE18:JJF18"/>
    <mergeCell ref="JJG18:JJL18"/>
    <mergeCell ref="JJM18:JJP18"/>
    <mergeCell ref="JJQ18:JJR18"/>
    <mergeCell ref="JJS18:JJT18"/>
    <mergeCell ref="JJU18:JJV18"/>
    <mergeCell ref="JJW18:JKB18"/>
    <mergeCell ref="JHW18:JHX18"/>
    <mergeCell ref="JHY18:JHZ18"/>
    <mergeCell ref="JIA18:JIF18"/>
    <mergeCell ref="JIG18:JIJ18"/>
    <mergeCell ref="JIK18:JIL18"/>
    <mergeCell ref="JIM18:JIN18"/>
    <mergeCell ref="JIO18:JIP18"/>
    <mergeCell ref="JIQ18:JIV18"/>
    <mergeCell ref="JIW18:JIZ18"/>
    <mergeCell ref="JGS18:JGT18"/>
    <mergeCell ref="JGU18:JGZ18"/>
    <mergeCell ref="JHA18:JHD18"/>
    <mergeCell ref="JHE18:JHF18"/>
    <mergeCell ref="JHG18:JHH18"/>
    <mergeCell ref="JHI18:JHJ18"/>
    <mergeCell ref="JHK18:JHP18"/>
    <mergeCell ref="JHQ18:JHT18"/>
    <mergeCell ref="JHU18:JHV18"/>
    <mergeCell ref="JFO18:JFT18"/>
    <mergeCell ref="JFU18:JFX18"/>
    <mergeCell ref="JFY18:JFZ18"/>
    <mergeCell ref="JGA18:JGB18"/>
    <mergeCell ref="JGC18:JGD18"/>
    <mergeCell ref="JGE18:JGJ18"/>
    <mergeCell ref="JGK18:JGN18"/>
    <mergeCell ref="JGO18:JGP18"/>
    <mergeCell ref="JGQ18:JGR18"/>
    <mergeCell ref="JEO18:JER18"/>
    <mergeCell ref="JES18:JET18"/>
    <mergeCell ref="JEU18:JEV18"/>
    <mergeCell ref="JEW18:JEX18"/>
    <mergeCell ref="JEY18:JFD18"/>
    <mergeCell ref="JFE18:JFH18"/>
    <mergeCell ref="JFI18:JFJ18"/>
    <mergeCell ref="JFK18:JFL18"/>
    <mergeCell ref="JFM18:JFN18"/>
    <mergeCell ref="JDM18:JDN18"/>
    <mergeCell ref="JDO18:JDP18"/>
    <mergeCell ref="JDQ18:JDR18"/>
    <mergeCell ref="JDS18:JDX18"/>
    <mergeCell ref="JDY18:JEB18"/>
    <mergeCell ref="JEC18:JED18"/>
    <mergeCell ref="JEE18:JEF18"/>
    <mergeCell ref="JEG18:JEH18"/>
    <mergeCell ref="JEI18:JEN18"/>
    <mergeCell ref="JCI18:JCJ18"/>
    <mergeCell ref="JCK18:JCL18"/>
    <mergeCell ref="JCM18:JCR18"/>
    <mergeCell ref="JCS18:JCV18"/>
    <mergeCell ref="JCW18:JCX18"/>
    <mergeCell ref="JCY18:JCZ18"/>
    <mergeCell ref="JDA18:JDB18"/>
    <mergeCell ref="JDC18:JDH18"/>
    <mergeCell ref="JDI18:JDL18"/>
    <mergeCell ref="JBE18:JBF18"/>
    <mergeCell ref="JBG18:JBL18"/>
    <mergeCell ref="JBM18:JBP18"/>
    <mergeCell ref="JBQ18:JBR18"/>
    <mergeCell ref="JBS18:JBT18"/>
    <mergeCell ref="JBU18:JBV18"/>
    <mergeCell ref="JBW18:JCB18"/>
    <mergeCell ref="JCC18:JCF18"/>
    <mergeCell ref="JCG18:JCH18"/>
    <mergeCell ref="JAA18:JAF18"/>
    <mergeCell ref="JAG18:JAJ18"/>
    <mergeCell ref="JAK18:JAL18"/>
    <mergeCell ref="JAM18:JAN18"/>
    <mergeCell ref="JAO18:JAP18"/>
    <mergeCell ref="JAQ18:JAV18"/>
    <mergeCell ref="JAW18:JAZ18"/>
    <mergeCell ref="JBA18:JBB18"/>
    <mergeCell ref="JBC18:JBD18"/>
    <mergeCell ref="IZA18:IZD18"/>
    <mergeCell ref="IZE18:IZF18"/>
    <mergeCell ref="IZG18:IZH18"/>
    <mergeCell ref="IZI18:IZJ18"/>
    <mergeCell ref="IZK18:IZP18"/>
    <mergeCell ref="IZQ18:IZT18"/>
    <mergeCell ref="IZU18:IZV18"/>
    <mergeCell ref="IZW18:IZX18"/>
    <mergeCell ref="IZY18:IZZ18"/>
    <mergeCell ref="IXY18:IXZ18"/>
    <mergeCell ref="IYA18:IYB18"/>
    <mergeCell ref="IYC18:IYD18"/>
    <mergeCell ref="IYE18:IYJ18"/>
    <mergeCell ref="IYK18:IYN18"/>
    <mergeCell ref="IYO18:IYP18"/>
    <mergeCell ref="IYQ18:IYR18"/>
    <mergeCell ref="IYS18:IYT18"/>
    <mergeCell ref="IYU18:IYZ18"/>
    <mergeCell ref="IWU18:IWV18"/>
    <mergeCell ref="IWW18:IWX18"/>
    <mergeCell ref="IWY18:IXD18"/>
    <mergeCell ref="IXE18:IXH18"/>
    <mergeCell ref="IXI18:IXJ18"/>
    <mergeCell ref="IXK18:IXL18"/>
    <mergeCell ref="IXM18:IXN18"/>
    <mergeCell ref="IXO18:IXT18"/>
    <mergeCell ref="IXU18:IXX18"/>
    <mergeCell ref="IVQ18:IVR18"/>
    <mergeCell ref="IVS18:IVX18"/>
    <mergeCell ref="IVY18:IWB18"/>
    <mergeCell ref="IWC18:IWD18"/>
    <mergeCell ref="IWE18:IWF18"/>
    <mergeCell ref="IWG18:IWH18"/>
    <mergeCell ref="IWI18:IWN18"/>
    <mergeCell ref="IWO18:IWR18"/>
    <mergeCell ref="IWS18:IWT18"/>
    <mergeCell ref="IUM18:IUR18"/>
    <mergeCell ref="IUS18:IUV18"/>
    <mergeCell ref="IUW18:IUX18"/>
    <mergeCell ref="IUY18:IUZ18"/>
    <mergeCell ref="IVA18:IVB18"/>
    <mergeCell ref="IVC18:IVH18"/>
    <mergeCell ref="IVI18:IVL18"/>
    <mergeCell ref="IVM18:IVN18"/>
    <mergeCell ref="IVO18:IVP18"/>
    <mergeCell ref="ITM18:ITP18"/>
    <mergeCell ref="ITQ18:ITR18"/>
    <mergeCell ref="ITS18:ITT18"/>
    <mergeCell ref="ITU18:ITV18"/>
    <mergeCell ref="ITW18:IUB18"/>
    <mergeCell ref="IUC18:IUF18"/>
    <mergeCell ref="IUG18:IUH18"/>
    <mergeCell ref="IUI18:IUJ18"/>
    <mergeCell ref="IUK18:IUL18"/>
    <mergeCell ref="ISK18:ISL18"/>
    <mergeCell ref="ISM18:ISN18"/>
    <mergeCell ref="ISO18:ISP18"/>
    <mergeCell ref="ISQ18:ISV18"/>
    <mergeCell ref="ISW18:ISZ18"/>
    <mergeCell ref="ITA18:ITB18"/>
    <mergeCell ref="ITC18:ITD18"/>
    <mergeCell ref="ITE18:ITF18"/>
    <mergeCell ref="ITG18:ITL18"/>
    <mergeCell ref="IRG18:IRH18"/>
    <mergeCell ref="IRI18:IRJ18"/>
    <mergeCell ref="IRK18:IRP18"/>
    <mergeCell ref="IRQ18:IRT18"/>
    <mergeCell ref="IRU18:IRV18"/>
    <mergeCell ref="IRW18:IRX18"/>
    <mergeCell ref="IRY18:IRZ18"/>
    <mergeCell ref="ISA18:ISF18"/>
    <mergeCell ref="ISG18:ISJ18"/>
    <mergeCell ref="IQC18:IQD18"/>
    <mergeCell ref="IQE18:IQJ18"/>
    <mergeCell ref="IQK18:IQN18"/>
    <mergeCell ref="IQO18:IQP18"/>
    <mergeCell ref="IQQ18:IQR18"/>
    <mergeCell ref="IQS18:IQT18"/>
    <mergeCell ref="IQU18:IQZ18"/>
    <mergeCell ref="IRA18:IRD18"/>
    <mergeCell ref="IRE18:IRF18"/>
    <mergeCell ref="IOY18:IPD18"/>
    <mergeCell ref="IPE18:IPH18"/>
    <mergeCell ref="IPI18:IPJ18"/>
    <mergeCell ref="IPK18:IPL18"/>
    <mergeCell ref="IPM18:IPN18"/>
    <mergeCell ref="IPO18:IPT18"/>
    <mergeCell ref="IPU18:IPX18"/>
    <mergeCell ref="IPY18:IPZ18"/>
    <mergeCell ref="IQA18:IQB18"/>
    <mergeCell ref="INY18:IOB18"/>
    <mergeCell ref="IOC18:IOD18"/>
    <mergeCell ref="IOE18:IOF18"/>
    <mergeCell ref="IOG18:IOH18"/>
    <mergeCell ref="IOI18:ION18"/>
    <mergeCell ref="IOO18:IOR18"/>
    <mergeCell ref="IOS18:IOT18"/>
    <mergeCell ref="IOU18:IOV18"/>
    <mergeCell ref="IOW18:IOX18"/>
    <mergeCell ref="IMW18:IMX18"/>
    <mergeCell ref="IMY18:IMZ18"/>
    <mergeCell ref="INA18:INB18"/>
    <mergeCell ref="INC18:INH18"/>
    <mergeCell ref="INI18:INL18"/>
    <mergeCell ref="INM18:INN18"/>
    <mergeCell ref="INO18:INP18"/>
    <mergeCell ref="INQ18:INR18"/>
    <mergeCell ref="INS18:INX18"/>
    <mergeCell ref="ILS18:ILT18"/>
    <mergeCell ref="ILU18:ILV18"/>
    <mergeCell ref="ILW18:IMB18"/>
    <mergeCell ref="IMC18:IMF18"/>
    <mergeCell ref="IMG18:IMH18"/>
    <mergeCell ref="IMI18:IMJ18"/>
    <mergeCell ref="IMK18:IML18"/>
    <mergeCell ref="IMM18:IMR18"/>
    <mergeCell ref="IMS18:IMV18"/>
    <mergeCell ref="IKO18:IKP18"/>
    <mergeCell ref="IKQ18:IKV18"/>
    <mergeCell ref="IKW18:IKZ18"/>
    <mergeCell ref="ILA18:ILB18"/>
    <mergeCell ref="ILC18:ILD18"/>
    <mergeCell ref="ILE18:ILF18"/>
    <mergeCell ref="ILG18:ILL18"/>
    <mergeCell ref="ILM18:ILP18"/>
    <mergeCell ref="ILQ18:ILR18"/>
    <mergeCell ref="IJK18:IJP18"/>
    <mergeCell ref="IJQ18:IJT18"/>
    <mergeCell ref="IJU18:IJV18"/>
    <mergeCell ref="IJW18:IJX18"/>
    <mergeCell ref="IJY18:IJZ18"/>
    <mergeCell ref="IKA18:IKF18"/>
    <mergeCell ref="IKG18:IKJ18"/>
    <mergeCell ref="IKK18:IKL18"/>
    <mergeCell ref="IKM18:IKN18"/>
    <mergeCell ref="IIK18:IIN18"/>
    <mergeCell ref="IIO18:IIP18"/>
    <mergeCell ref="IIQ18:IIR18"/>
    <mergeCell ref="IIS18:IIT18"/>
    <mergeCell ref="IIU18:IIZ18"/>
    <mergeCell ref="IJA18:IJD18"/>
    <mergeCell ref="IJE18:IJF18"/>
    <mergeCell ref="IJG18:IJH18"/>
    <mergeCell ref="IJI18:IJJ18"/>
    <mergeCell ref="IHI18:IHJ18"/>
    <mergeCell ref="IHK18:IHL18"/>
    <mergeCell ref="IHM18:IHN18"/>
    <mergeCell ref="IHO18:IHT18"/>
    <mergeCell ref="IHU18:IHX18"/>
    <mergeCell ref="IHY18:IHZ18"/>
    <mergeCell ref="IIA18:IIB18"/>
    <mergeCell ref="IIC18:IID18"/>
    <mergeCell ref="IIE18:IIJ18"/>
    <mergeCell ref="IGE18:IGF18"/>
    <mergeCell ref="IGG18:IGH18"/>
    <mergeCell ref="IGI18:IGN18"/>
    <mergeCell ref="IGO18:IGR18"/>
    <mergeCell ref="IGS18:IGT18"/>
    <mergeCell ref="IGU18:IGV18"/>
    <mergeCell ref="IGW18:IGX18"/>
    <mergeCell ref="IGY18:IHD18"/>
    <mergeCell ref="IHE18:IHH18"/>
    <mergeCell ref="IFA18:IFB18"/>
    <mergeCell ref="IFC18:IFH18"/>
    <mergeCell ref="IFI18:IFL18"/>
    <mergeCell ref="IFM18:IFN18"/>
    <mergeCell ref="IFO18:IFP18"/>
    <mergeCell ref="IFQ18:IFR18"/>
    <mergeCell ref="IFS18:IFX18"/>
    <mergeCell ref="IFY18:IGB18"/>
    <mergeCell ref="IGC18:IGD18"/>
    <mergeCell ref="IDW18:IEB18"/>
    <mergeCell ref="IEC18:IEF18"/>
    <mergeCell ref="IEG18:IEH18"/>
    <mergeCell ref="IEI18:IEJ18"/>
    <mergeCell ref="IEK18:IEL18"/>
    <mergeCell ref="IEM18:IER18"/>
    <mergeCell ref="IES18:IEV18"/>
    <mergeCell ref="IEW18:IEX18"/>
    <mergeCell ref="IEY18:IEZ18"/>
    <mergeCell ref="ICW18:ICZ18"/>
    <mergeCell ref="IDA18:IDB18"/>
    <mergeCell ref="IDC18:IDD18"/>
    <mergeCell ref="IDE18:IDF18"/>
    <mergeCell ref="IDG18:IDL18"/>
    <mergeCell ref="IDM18:IDP18"/>
    <mergeCell ref="IDQ18:IDR18"/>
    <mergeCell ref="IDS18:IDT18"/>
    <mergeCell ref="IDU18:IDV18"/>
    <mergeCell ref="IBU18:IBV18"/>
    <mergeCell ref="IBW18:IBX18"/>
    <mergeCell ref="IBY18:IBZ18"/>
    <mergeCell ref="ICA18:ICF18"/>
    <mergeCell ref="ICG18:ICJ18"/>
    <mergeCell ref="ICK18:ICL18"/>
    <mergeCell ref="ICM18:ICN18"/>
    <mergeCell ref="ICO18:ICP18"/>
    <mergeCell ref="ICQ18:ICV18"/>
    <mergeCell ref="IAQ18:IAR18"/>
    <mergeCell ref="IAS18:IAT18"/>
    <mergeCell ref="IAU18:IAZ18"/>
    <mergeCell ref="IBA18:IBD18"/>
    <mergeCell ref="IBE18:IBF18"/>
    <mergeCell ref="IBG18:IBH18"/>
    <mergeCell ref="IBI18:IBJ18"/>
    <mergeCell ref="IBK18:IBP18"/>
    <mergeCell ref="IBQ18:IBT18"/>
    <mergeCell ref="HZM18:HZN18"/>
    <mergeCell ref="HZO18:HZT18"/>
    <mergeCell ref="HZU18:HZX18"/>
    <mergeCell ref="HZY18:HZZ18"/>
    <mergeCell ref="IAA18:IAB18"/>
    <mergeCell ref="IAC18:IAD18"/>
    <mergeCell ref="IAE18:IAJ18"/>
    <mergeCell ref="IAK18:IAN18"/>
    <mergeCell ref="IAO18:IAP18"/>
    <mergeCell ref="HYI18:HYN18"/>
    <mergeCell ref="HYO18:HYR18"/>
    <mergeCell ref="HYS18:HYT18"/>
    <mergeCell ref="HYU18:HYV18"/>
    <mergeCell ref="HYW18:HYX18"/>
    <mergeCell ref="HYY18:HZD18"/>
    <mergeCell ref="HZE18:HZH18"/>
    <mergeCell ref="HZI18:HZJ18"/>
    <mergeCell ref="HZK18:HZL18"/>
    <mergeCell ref="HXI18:HXL18"/>
    <mergeCell ref="HXM18:HXN18"/>
    <mergeCell ref="HXO18:HXP18"/>
    <mergeCell ref="HXQ18:HXR18"/>
    <mergeCell ref="HXS18:HXX18"/>
    <mergeCell ref="HXY18:HYB18"/>
    <mergeCell ref="HYC18:HYD18"/>
    <mergeCell ref="HYE18:HYF18"/>
    <mergeCell ref="HYG18:HYH18"/>
    <mergeCell ref="HWG18:HWH18"/>
    <mergeCell ref="HWI18:HWJ18"/>
    <mergeCell ref="HWK18:HWL18"/>
    <mergeCell ref="HWM18:HWR18"/>
    <mergeCell ref="HWS18:HWV18"/>
    <mergeCell ref="HWW18:HWX18"/>
    <mergeCell ref="HWY18:HWZ18"/>
    <mergeCell ref="HXA18:HXB18"/>
    <mergeCell ref="HXC18:HXH18"/>
    <mergeCell ref="HVC18:HVD18"/>
    <mergeCell ref="HVE18:HVF18"/>
    <mergeCell ref="HVG18:HVL18"/>
    <mergeCell ref="HVM18:HVP18"/>
    <mergeCell ref="HVQ18:HVR18"/>
    <mergeCell ref="HVS18:HVT18"/>
    <mergeCell ref="HVU18:HVV18"/>
    <mergeCell ref="HVW18:HWB18"/>
    <mergeCell ref="HWC18:HWF18"/>
    <mergeCell ref="HTY18:HTZ18"/>
    <mergeCell ref="HUA18:HUF18"/>
    <mergeCell ref="HUG18:HUJ18"/>
    <mergeCell ref="HUK18:HUL18"/>
    <mergeCell ref="HUM18:HUN18"/>
    <mergeCell ref="HUO18:HUP18"/>
    <mergeCell ref="HUQ18:HUV18"/>
    <mergeCell ref="HUW18:HUZ18"/>
    <mergeCell ref="HVA18:HVB18"/>
    <mergeCell ref="HSU18:HSZ18"/>
    <mergeCell ref="HTA18:HTD18"/>
    <mergeCell ref="HTE18:HTF18"/>
    <mergeCell ref="HTG18:HTH18"/>
    <mergeCell ref="HTI18:HTJ18"/>
    <mergeCell ref="HTK18:HTP18"/>
    <mergeCell ref="HTQ18:HTT18"/>
    <mergeCell ref="HTU18:HTV18"/>
    <mergeCell ref="HTW18:HTX18"/>
    <mergeCell ref="HRU18:HRX18"/>
    <mergeCell ref="HRY18:HRZ18"/>
    <mergeCell ref="HSA18:HSB18"/>
    <mergeCell ref="HSC18:HSD18"/>
    <mergeCell ref="HSE18:HSJ18"/>
    <mergeCell ref="HSK18:HSN18"/>
    <mergeCell ref="HSO18:HSP18"/>
    <mergeCell ref="HSQ18:HSR18"/>
    <mergeCell ref="HSS18:HST18"/>
    <mergeCell ref="HQS18:HQT18"/>
    <mergeCell ref="HQU18:HQV18"/>
    <mergeCell ref="HQW18:HQX18"/>
    <mergeCell ref="HQY18:HRD18"/>
    <mergeCell ref="HRE18:HRH18"/>
    <mergeCell ref="HRI18:HRJ18"/>
    <mergeCell ref="HRK18:HRL18"/>
    <mergeCell ref="HRM18:HRN18"/>
    <mergeCell ref="HRO18:HRT18"/>
    <mergeCell ref="HPO18:HPP18"/>
    <mergeCell ref="HPQ18:HPR18"/>
    <mergeCell ref="HPS18:HPX18"/>
    <mergeCell ref="HPY18:HQB18"/>
    <mergeCell ref="HQC18:HQD18"/>
    <mergeCell ref="HQE18:HQF18"/>
    <mergeCell ref="HQG18:HQH18"/>
    <mergeCell ref="HQI18:HQN18"/>
    <mergeCell ref="HQO18:HQR18"/>
    <mergeCell ref="HOK18:HOL18"/>
    <mergeCell ref="HOM18:HOR18"/>
    <mergeCell ref="HOS18:HOV18"/>
    <mergeCell ref="HOW18:HOX18"/>
    <mergeCell ref="HOY18:HOZ18"/>
    <mergeCell ref="HPA18:HPB18"/>
    <mergeCell ref="HPC18:HPH18"/>
    <mergeCell ref="HPI18:HPL18"/>
    <mergeCell ref="HPM18:HPN18"/>
    <mergeCell ref="HNG18:HNL18"/>
    <mergeCell ref="HNM18:HNP18"/>
    <mergeCell ref="HNQ18:HNR18"/>
    <mergeCell ref="HNS18:HNT18"/>
    <mergeCell ref="HNU18:HNV18"/>
    <mergeCell ref="HNW18:HOB18"/>
    <mergeCell ref="HOC18:HOF18"/>
    <mergeCell ref="HOG18:HOH18"/>
    <mergeCell ref="HOI18:HOJ18"/>
    <mergeCell ref="HMG18:HMJ18"/>
    <mergeCell ref="HMK18:HML18"/>
    <mergeCell ref="HMM18:HMN18"/>
    <mergeCell ref="HMO18:HMP18"/>
    <mergeCell ref="HMQ18:HMV18"/>
    <mergeCell ref="HMW18:HMZ18"/>
    <mergeCell ref="HNA18:HNB18"/>
    <mergeCell ref="HNC18:HND18"/>
    <mergeCell ref="HNE18:HNF18"/>
    <mergeCell ref="HLE18:HLF18"/>
    <mergeCell ref="HLG18:HLH18"/>
    <mergeCell ref="HLI18:HLJ18"/>
    <mergeCell ref="HLK18:HLP18"/>
    <mergeCell ref="HLQ18:HLT18"/>
    <mergeCell ref="HLU18:HLV18"/>
    <mergeCell ref="HLW18:HLX18"/>
    <mergeCell ref="HLY18:HLZ18"/>
    <mergeCell ref="HMA18:HMF18"/>
    <mergeCell ref="HKA18:HKB18"/>
    <mergeCell ref="HKC18:HKD18"/>
    <mergeCell ref="HKE18:HKJ18"/>
    <mergeCell ref="HKK18:HKN18"/>
    <mergeCell ref="HKO18:HKP18"/>
    <mergeCell ref="HKQ18:HKR18"/>
    <mergeCell ref="HKS18:HKT18"/>
    <mergeCell ref="HKU18:HKZ18"/>
    <mergeCell ref="HLA18:HLD18"/>
    <mergeCell ref="HIW18:HIX18"/>
    <mergeCell ref="HIY18:HJD18"/>
    <mergeCell ref="HJE18:HJH18"/>
    <mergeCell ref="HJI18:HJJ18"/>
    <mergeCell ref="HJK18:HJL18"/>
    <mergeCell ref="HJM18:HJN18"/>
    <mergeCell ref="HJO18:HJT18"/>
    <mergeCell ref="HJU18:HJX18"/>
    <mergeCell ref="HJY18:HJZ18"/>
    <mergeCell ref="HHS18:HHX18"/>
    <mergeCell ref="HHY18:HIB18"/>
    <mergeCell ref="HIC18:HID18"/>
    <mergeCell ref="HIE18:HIF18"/>
    <mergeCell ref="HIG18:HIH18"/>
    <mergeCell ref="HII18:HIN18"/>
    <mergeCell ref="HIO18:HIR18"/>
    <mergeCell ref="HIS18:HIT18"/>
    <mergeCell ref="HIU18:HIV18"/>
    <mergeCell ref="HGS18:HGV18"/>
    <mergeCell ref="HGW18:HGX18"/>
    <mergeCell ref="HGY18:HGZ18"/>
    <mergeCell ref="HHA18:HHB18"/>
    <mergeCell ref="HHC18:HHH18"/>
    <mergeCell ref="HHI18:HHL18"/>
    <mergeCell ref="HHM18:HHN18"/>
    <mergeCell ref="HHO18:HHP18"/>
    <mergeCell ref="HHQ18:HHR18"/>
    <mergeCell ref="HFQ18:HFR18"/>
    <mergeCell ref="HFS18:HFT18"/>
    <mergeCell ref="HFU18:HFV18"/>
    <mergeCell ref="HFW18:HGB18"/>
    <mergeCell ref="HGC18:HGF18"/>
    <mergeCell ref="HGG18:HGH18"/>
    <mergeCell ref="HGI18:HGJ18"/>
    <mergeCell ref="HGK18:HGL18"/>
    <mergeCell ref="HGM18:HGR18"/>
    <mergeCell ref="HEM18:HEN18"/>
    <mergeCell ref="HEO18:HEP18"/>
    <mergeCell ref="HEQ18:HEV18"/>
    <mergeCell ref="HEW18:HEZ18"/>
    <mergeCell ref="HFA18:HFB18"/>
    <mergeCell ref="HFC18:HFD18"/>
    <mergeCell ref="HFE18:HFF18"/>
    <mergeCell ref="HFG18:HFL18"/>
    <mergeCell ref="HFM18:HFP18"/>
    <mergeCell ref="HDI18:HDJ18"/>
    <mergeCell ref="HDK18:HDP18"/>
    <mergeCell ref="HDQ18:HDT18"/>
    <mergeCell ref="HDU18:HDV18"/>
    <mergeCell ref="HDW18:HDX18"/>
    <mergeCell ref="HDY18:HDZ18"/>
    <mergeCell ref="HEA18:HEF18"/>
    <mergeCell ref="HEG18:HEJ18"/>
    <mergeCell ref="HEK18:HEL18"/>
    <mergeCell ref="HCE18:HCJ18"/>
    <mergeCell ref="HCK18:HCN18"/>
    <mergeCell ref="HCO18:HCP18"/>
    <mergeCell ref="HCQ18:HCR18"/>
    <mergeCell ref="HCS18:HCT18"/>
    <mergeCell ref="HCU18:HCZ18"/>
    <mergeCell ref="HDA18:HDD18"/>
    <mergeCell ref="HDE18:HDF18"/>
    <mergeCell ref="HDG18:HDH18"/>
    <mergeCell ref="HBE18:HBH18"/>
    <mergeCell ref="HBI18:HBJ18"/>
    <mergeCell ref="HBK18:HBL18"/>
    <mergeCell ref="HBM18:HBN18"/>
    <mergeCell ref="HBO18:HBT18"/>
    <mergeCell ref="HBU18:HBX18"/>
    <mergeCell ref="HBY18:HBZ18"/>
    <mergeCell ref="HCA18:HCB18"/>
    <mergeCell ref="HCC18:HCD18"/>
    <mergeCell ref="HAC18:HAD18"/>
    <mergeCell ref="HAE18:HAF18"/>
    <mergeCell ref="HAG18:HAH18"/>
    <mergeCell ref="HAI18:HAN18"/>
    <mergeCell ref="HAO18:HAR18"/>
    <mergeCell ref="HAS18:HAT18"/>
    <mergeCell ref="HAU18:HAV18"/>
    <mergeCell ref="HAW18:HAX18"/>
    <mergeCell ref="HAY18:HBD18"/>
    <mergeCell ref="GYY18:GYZ18"/>
    <mergeCell ref="GZA18:GZB18"/>
    <mergeCell ref="GZC18:GZH18"/>
    <mergeCell ref="GZI18:GZL18"/>
    <mergeCell ref="GZM18:GZN18"/>
    <mergeCell ref="GZO18:GZP18"/>
    <mergeCell ref="GZQ18:GZR18"/>
    <mergeCell ref="GZS18:GZX18"/>
    <mergeCell ref="GZY18:HAB18"/>
    <mergeCell ref="GXU18:GXV18"/>
    <mergeCell ref="GXW18:GYB18"/>
    <mergeCell ref="GYC18:GYF18"/>
    <mergeCell ref="GYG18:GYH18"/>
    <mergeCell ref="GYI18:GYJ18"/>
    <mergeCell ref="GYK18:GYL18"/>
    <mergeCell ref="GYM18:GYR18"/>
    <mergeCell ref="GYS18:GYV18"/>
    <mergeCell ref="GYW18:GYX18"/>
    <mergeCell ref="GWQ18:GWV18"/>
    <mergeCell ref="GWW18:GWZ18"/>
    <mergeCell ref="GXA18:GXB18"/>
    <mergeCell ref="GXC18:GXD18"/>
    <mergeCell ref="GXE18:GXF18"/>
    <mergeCell ref="GXG18:GXL18"/>
    <mergeCell ref="GXM18:GXP18"/>
    <mergeCell ref="GXQ18:GXR18"/>
    <mergeCell ref="GXS18:GXT18"/>
    <mergeCell ref="GVQ18:GVT18"/>
    <mergeCell ref="GVU18:GVV18"/>
    <mergeCell ref="GVW18:GVX18"/>
    <mergeCell ref="GVY18:GVZ18"/>
    <mergeCell ref="GWA18:GWF18"/>
    <mergeCell ref="GWG18:GWJ18"/>
    <mergeCell ref="GWK18:GWL18"/>
    <mergeCell ref="GWM18:GWN18"/>
    <mergeCell ref="GWO18:GWP18"/>
    <mergeCell ref="GUO18:GUP18"/>
    <mergeCell ref="GUQ18:GUR18"/>
    <mergeCell ref="GUS18:GUT18"/>
    <mergeCell ref="GUU18:GUZ18"/>
    <mergeCell ref="GVA18:GVD18"/>
    <mergeCell ref="GVE18:GVF18"/>
    <mergeCell ref="GVG18:GVH18"/>
    <mergeCell ref="GVI18:GVJ18"/>
    <mergeCell ref="GVK18:GVP18"/>
    <mergeCell ref="GTK18:GTL18"/>
    <mergeCell ref="GTM18:GTN18"/>
    <mergeCell ref="GTO18:GTT18"/>
    <mergeCell ref="GTU18:GTX18"/>
    <mergeCell ref="GTY18:GTZ18"/>
    <mergeCell ref="GUA18:GUB18"/>
    <mergeCell ref="GUC18:GUD18"/>
    <mergeCell ref="GUE18:GUJ18"/>
    <mergeCell ref="GUK18:GUN18"/>
    <mergeCell ref="GSG18:GSH18"/>
    <mergeCell ref="GSI18:GSN18"/>
    <mergeCell ref="GSO18:GSR18"/>
    <mergeCell ref="GSS18:GST18"/>
    <mergeCell ref="GSU18:GSV18"/>
    <mergeCell ref="GSW18:GSX18"/>
    <mergeCell ref="GSY18:GTD18"/>
    <mergeCell ref="GTE18:GTH18"/>
    <mergeCell ref="GTI18:GTJ18"/>
    <mergeCell ref="GRC18:GRH18"/>
    <mergeCell ref="GRI18:GRL18"/>
    <mergeCell ref="GRM18:GRN18"/>
    <mergeCell ref="GRO18:GRP18"/>
    <mergeCell ref="GRQ18:GRR18"/>
    <mergeCell ref="GRS18:GRX18"/>
    <mergeCell ref="GRY18:GSB18"/>
    <mergeCell ref="GSC18:GSD18"/>
    <mergeCell ref="GSE18:GSF18"/>
    <mergeCell ref="GQC18:GQF18"/>
    <mergeCell ref="GQG18:GQH18"/>
    <mergeCell ref="GQI18:GQJ18"/>
    <mergeCell ref="GQK18:GQL18"/>
    <mergeCell ref="GQM18:GQR18"/>
    <mergeCell ref="GQS18:GQV18"/>
    <mergeCell ref="GQW18:GQX18"/>
    <mergeCell ref="GQY18:GQZ18"/>
    <mergeCell ref="GRA18:GRB18"/>
    <mergeCell ref="GPA18:GPB18"/>
    <mergeCell ref="GPC18:GPD18"/>
    <mergeCell ref="GPE18:GPF18"/>
    <mergeCell ref="GPG18:GPL18"/>
    <mergeCell ref="GPM18:GPP18"/>
    <mergeCell ref="GPQ18:GPR18"/>
    <mergeCell ref="GPS18:GPT18"/>
    <mergeCell ref="GPU18:GPV18"/>
    <mergeCell ref="GPW18:GQB18"/>
    <mergeCell ref="GNW18:GNX18"/>
    <mergeCell ref="GNY18:GNZ18"/>
    <mergeCell ref="GOA18:GOF18"/>
    <mergeCell ref="GOG18:GOJ18"/>
    <mergeCell ref="GOK18:GOL18"/>
    <mergeCell ref="GOM18:GON18"/>
    <mergeCell ref="GOO18:GOP18"/>
    <mergeCell ref="GOQ18:GOV18"/>
    <mergeCell ref="GOW18:GOZ18"/>
    <mergeCell ref="GMS18:GMT18"/>
    <mergeCell ref="GMU18:GMZ18"/>
    <mergeCell ref="GNA18:GND18"/>
    <mergeCell ref="GNE18:GNF18"/>
    <mergeCell ref="GNG18:GNH18"/>
    <mergeCell ref="GNI18:GNJ18"/>
    <mergeCell ref="GNK18:GNP18"/>
    <mergeCell ref="GNQ18:GNT18"/>
    <mergeCell ref="GNU18:GNV18"/>
    <mergeCell ref="GLO18:GLT18"/>
    <mergeCell ref="GLU18:GLX18"/>
    <mergeCell ref="GLY18:GLZ18"/>
    <mergeCell ref="GMA18:GMB18"/>
    <mergeCell ref="GMC18:GMD18"/>
    <mergeCell ref="GME18:GMJ18"/>
    <mergeCell ref="GMK18:GMN18"/>
    <mergeCell ref="GMO18:GMP18"/>
    <mergeCell ref="GMQ18:GMR18"/>
    <mergeCell ref="GKO18:GKR18"/>
    <mergeCell ref="GKS18:GKT18"/>
    <mergeCell ref="GKU18:GKV18"/>
    <mergeCell ref="GKW18:GKX18"/>
    <mergeCell ref="GKY18:GLD18"/>
    <mergeCell ref="GLE18:GLH18"/>
    <mergeCell ref="GLI18:GLJ18"/>
    <mergeCell ref="GLK18:GLL18"/>
    <mergeCell ref="GLM18:GLN18"/>
    <mergeCell ref="GJM18:GJN18"/>
    <mergeCell ref="GJO18:GJP18"/>
    <mergeCell ref="GJQ18:GJR18"/>
    <mergeCell ref="GJS18:GJX18"/>
    <mergeCell ref="GJY18:GKB18"/>
    <mergeCell ref="GKC18:GKD18"/>
    <mergeCell ref="GKE18:GKF18"/>
    <mergeCell ref="GKG18:GKH18"/>
    <mergeCell ref="GKI18:GKN18"/>
    <mergeCell ref="GII18:GIJ18"/>
    <mergeCell ref="GIK18:GIL18"/>
    <mergeCell ref="GIM18:GIR18"/>
    <mergeCell ref="GIS18:GIV18"/>
    <mergeCell ref="GIW18:GIX18"/>
    <mergeCell ref="GIY18:GIZ18"/>
    <mergeCell ref="GJA18:GJB18"/>
    <mergeCell ref="GJC18:GJH18"/>
    <mergeCell ref="GJI18:GJL18"/>
    <mergeCell ref="GHE18:GHF18"/>
    <mergeCell ref="GHG18:GHL18"/>
    <mergeCell ref="GHM18:GHP18"/>
    <mergeCell ref="GHQ18:GHR18"/>
    <mergeCell ref="GHS18:GHT18"/>
    <mergeCell ref="GHU18:GHV18"/>
    <mergeCell ref="GHW18:GIB18"/>
    <mergeCell ref="GIC18:GIF18"/>
    <mergeCell ref="GIG18:GIH18"/>
    <mergeCell ref="GGA18:GGF18"/>
    <mergeCell ref="GGG18:GGJ18"/>
    <mergeCell ref="GGK18:GGL18"/>
    <mergeCell ref="GGM18:GGN18"/>
    <mergeCell ref="GGO18:GGP18"/>
    <mergeCell ref="GGQ18:GGV18"/>
    <mergeCell ref="GGW18:GGZ18"/>
    <mergeCell ref="GHA18:GHB18"/>
    <mergeCell ref="GHC18:GHD18"/>
    <mergeCell ref="GFA18:GFD18"/>
    <mergeCell ref="GFE18:GFF18"/>
    <mergeCell ref="GFG18:GFH18"/>
    <mergeCell ref="GFI18:GFJ18"/>
    <mergeCell ref="GFK18:GFP18"/>
    <mergeCell ref="GFQ18:GFT18"/>
    <mergeCell ref="GFU18:GFV18"/>
    <mergeCell ref="GFW18:GFX18"/>
    <mergeCell ref="GFY18:GFZ18"/>
    <mergeCell ref="GDY18:GDZ18"/>
    <mergeCell ref="GEA18:GEB18"/>
    <mergeCell ref="GEC18:GED18"/>
    <mergeCell ref="GEE18:GEJ18"/>
    <mergeCell ref="GEK18:GEN18"/>
    <mergeCell ref="GEO18:GEP18"/>
    <mergeCell ref="GEQ18:GER18"/>
    <mergeCell ref="GES18:GET18"/>
    <mergeCell ref="GEU18:GEZ18"/>
    <mergeCell ref="GCU18:GCV18"/>
    <mergeCell ref="GCW18:GCX18"/>
    <mergeCell ref="GCY18:GDD18"/>
    <mergeCell ref="GDE18:GDH18"/>
    <mergeCell ref="GDI18:GDJ18"/>
    <mergeCell ref="GDK18:GDL18"/>
    <mergeCell ref="GDM18:GDN18"/>
    <mergeCell ref="GDO18:GDT18"/>
    <mergeCell ref="GDU18:GDX18"/>
    <mergeCell ref="GBQ18:GBR18"/>
    <mergeCell ref="GBS18:GBX18"/>
    <mergeCell ref="GBY18:GCB18"/>
    <mergeCell ref="GCC18:GCD18"/>
    <mergeCell ref="GCE18:GCF18"/>
    <mergeCell ref="GCG18:GCH18"/>
    <mergeCell ref="GCI18:GCN18"/>
    <mergeCell ref="GCO18:GCR18"/>
    <mergeCell ref="GCS18:GCT18"/>
    <mergeCell ref="GAM18:GAR18"/>
    <mergeCell ref="GAS18:GAV18"/>
    <mergeCell ref="GAW18:GAX18"/>
    <mergeCell ref="GAY18:GAZ18"/>
    <mergeCell ref="GBA18:GBB18"/>
    <mergeCell ref="GBC18:GBH18"/>
    <mergeCell ref="GBI18:GBL18"/>
    <mergeCell ref="GBM18:GBN18"/>
    <mergeCell ref="GBO18:GBP18"/>
    <mergeCell ref="FZM18:FZP18"/>
    <mergeCell ref="FZQ18:FZR18"/>
    <mergeCell ref="FZS18:FZT18"/>
    <mergeCell ref="FZU18:FZV18"/>
    <mergeCell ref="FZW18:GAB18"/>
    <mergeCell ref="GAC18:GAF18"/>
    <mergeCell ref="GAG18:GAH18"/>
    <mergeCell ref="GAI18:GAJ18"/>
    <mergeCell ref="GAK18:GAL18"/>
    <mergeCell ref="FYK18:FYL18"/>
    <mergeCell ref="FYM18:FYN18"/>
    <mergeCell ref="FYO18:FYP18"/>
    <mergeCell ref="FYQ18:FYV18"/>
    <mergeCell ref="FYW18:FYZ18"/>
    <mergeCell ref="FZA18:FZB18"/>
    <mergeCell ref="FZC18:FZD18"/>
    <mergeCell ref="FZE18:FZF18"/>
    <mergeCell ref="FZG18:FZL18"/>
    <mergeCell ref="FXG18:FXH18"/>
    <mergeCell ref="FXI18:FXJ18"/>
    <mergeCell ref="FXK18:FXP18"/>
    <mergeCell ref="FXQ18:FXT18"/>
    <mergeCell ref="FXU18:FXV18"/>
    <mergeCell ref="FXW18:FXX18"/>
    <mergeCell ref="FXY18:FXZ18"/>
    <mergeCell ref="FYA18:FYF18"/>
    <mergeCell ref="FYG18:FYJ18"/>
    <mergeCell ref="FWC18:FWD18"/>
    <mergeCell ref="FWE18:FWJ18"/>
    <mergeCell ref="FWK18:FWN18"/>
    <mergeCell ref="FWO18:FWP18"/>
    <mergeCell ref="FWQ18:FWR18"/>
    <mergeCell ref="FWS18:FWT18"/>
    <mergeCell ref="FWU18:FWZ18"/>
    <mergeCell ref="FXA18:FXD18"/>
    <mergeCell ref="FXE18:FXF18"/>
    <mergeCell ref="FUY18:FVD18"/>
    <mergeCell ref="FVE18:FVH18"/>
    <mergeCell ref="FVI18:FVJ18"/>
    <mergeCell ref="FVK18:FVL18"/>
    <mergeCell ref="FVM18:FVN18"/>
    <mergeCell ref="FVO18:FVT18"/>
    <mergeCell ref="FVU18:FVX18"/>
    <mergeCell ref="FVY18:FVZ18"/>
    <mergeCell ref="FWA18:FWB18"/>
    <mergeCell ref="FTY18:FUB18"/>
    <mergeCell ref="FUC18:FUD18"/>
    <mergeCell ref="FUE18:FUF18"/>
    <mergeCell ref="FUG18:FUH18"/>
    <mergeCell ref="FUI18:FUN18"/>
    <mergeCell ref="FUO18:FUR18"/>
    <mergeCell ref="FUS18:FUT18"/>
    <mergeCell ref="FUU18:FUV18"/>
    <mergeCell ref="FUW18:FUX18"/>
    <mergeCell ref="FSW18:FSX18"/>
    <mergeCell ref="FSY18:FSZ18"/>
    <mergeCell ref="FTA18:FTB18"/>
    <mergeCell ref="FTC18:FTH18"/>
    <mergeCell ref="FTI18:FTL18"/>
    <mergeCell ref="FTM18:FTN18"/>
    <mergeCell ref="FTO18:FTP18"/>
    <mergeCell ref="FTQ18:FTR18"/>
    <mergeCell ref="FTS18:FTX18"/>
    <mergeCell ref="FRS18:FRT18"/>
    <mergeCell ref="FRU18:FRV18"/>
    <mergeCell ref="FRW18:FSB18"/>
    <mergeCell ref="FSC18:FSF18"/>
    <mergeCell ref="FSG18:FSH18"/>
    <mergeCell ref="FSI18:FSJ18"/>
    <mergeCell ref="FSK18:FSL18"/>
    <mergeCell ref="FSM18:FSR18"/>
    <mergeCell ref="FSS18:FSV18"/>
    <mergeCell ref="FQO18:FQP18"/>
    <mergeCell ref="FQQ18:FQV18"/>
    <mergeCell ref="FQW18:FQZ18"/>
    <mergeCell ref="FRA18:FRB18"/>
    <mergeCell ref="FRC18:FRD18"/>
    <mergeCell ref="FRE18:FRF18"/>
    <mergeCell ref="FRG18:FRL18"/>
    <mergeCell ref="FRM18:FRP18"/>
    <mergeCell ref="FRQ18:FRR18"/>
    <mergeCell ref="FPK18:FPP18"/>
    <mergeCell ref="FPQ18:FPT18"/>
    <mergeCell ref="FPU18:FPV18"/>
    <mergeCell ref="FPW18:FPX18"/>
    <mergeCell ref="FPY18:FPZ18"/>
    <mergeCell ref="FQA18:FQF18"/>
    <mergeCell ref="FQG18:FQJ18"/>
    <mergeCell ref="FQK18:FQL18"/>
    <mergeCell ref="FQM18:FQN18"/>
    <mergeCell ref="FOK18:FON18"/>
    <mergeCell ref="FOO18:FOP18"/>
    <mergeCell ref="FOQ18:FOR18"/>
    <mergeCell ref="FOS18:FOT18"/>
    <mergeCell ref="FOU18:FOZ18"/>
    <mergeCell ref="FPA18:FPD18"/>
    <mergeCell ref="FPE18:FPF18"/>
    <mergeCell ref="FPG18:FPH18"/>
    <mergeCell ref="FPI18:FPJ18"/>
    <mergeCell ref="FNI18:FNJ18"/>
    <mergeCell ref="FNK18:FNL18"/>
    <mergeCell ref="FNM18:FNN18"/>
    <mergeCell ref="FNO18:FNT18"/>
    <mergeCell ref="FNU18:FNX18"/>
    <mergeCell ref="FNY18:FNZ18"/>
    <mergeCell ref="FOA18:FOB18"/>
    <mergeCell ref="FOC18:FOD18"/>
    <mergeCell ref="FOE18:FOJ18"/>
    <mergeCell ref="FME18:FMF18"/>
    <mergeCell ref="FMG18:FMH18"/>
    <mergeCell ref="FMI18:FMN18"/>
    <mergeCell ref="FMO18:FMR18"/>
    <mergeCell ref="FMS18:FMT18"/>
    <mergeCell ref="FMU18:FMV18"/>
    <mergeCell ref="FMW18:FMX18"/>
    <mergeCell ref="FMY18:FND18"/>
    <mergeCell ref="FNE18:FNH18"/>
    <mergeCell ref="FLA18:FLB18"/>
    <mergeCell ref="FLC18:FLH18"/>
    <mergeCell ref="FLI18:FLL18"/>
    <mergeCell ref="FLM18:FLN18"/>
    <mergeCell ref="FLO18:FLP18"/>
    <mergeCell ref="FLQ18:FLR18"/>
    <mergeCell ref="FLS18:FLX18"/>
    <mergeCell ref="FLY18:FMB18"/>
    <mergeCell ref="FMC18:FMD18"/>
    <mergeCell ref="FJW18:FKB18"/>
    <mergeCell ref="FKC18:FKF18"/>
    <mergeCell ref="FKG18:FKH18"/>
    <mergeCell ref="FKI18:FKJ18"/>
    <mergeCell ref="FKK18:FKL18"/>
    <mergeCell ref="FKM18:FKR18"/>
    <mergeCell ref="FKS18:FKV18"/>
    <mergeCell ref="FKW18:FKX18"/>
    <mergeCell ref="FKY18:FKZ18"/>
    <mergeCell ref="FIW18:FIZ18"/>
    <mergeCell ref="FJA18:FJB18"/>
    <mergeCell ref="FJC18:FJD18"/>
    <mergeCell ref="FJE18:FJF18"/>
    <mergeCell ref="FJG18:FJL18"/>
    <mergeCell ref="FJM18:FJP18"/>
    <mergeCell ref="FJQ18:FJR18"/>
    <mergeCell ref="FJS18:FJT18"/>
    <mergeCell ref="FJU18:FJV18"/>
    <mergeCell ref="FHU18:FHV18"/>
    <mergeCell ref="FHW18:FHX18"/>
    <mergeCell ref="FHY18:FHZ18"/>
    <mergeCell ref="FIA18:FIF18"/>
    <mergeCell ref="FIG18:FIJ18"/>
    <mergeCell ref="FIK18:FIL18"/>
    <mergeCell ref="FIM18:FIN18"/>
    <mergeCell ref="FIO18:FIP18"/>
    <mergeCell ref="FIQ18:FIV18"/>
    <mergeCell ref="FGQ18:FGR18"/>
    <mergeCell ref="FGS18:FGT18"/>
    <mergeCell ref="FGU18:FGZ18"/>
    <mergeCell ref="FHA18:FHD18"/>
    <mergeCell ref="FHE18:FHF18"/>
    <mergeCell ref="FHG18:FHH18"/>
    <mergeCell ref="FHI18:FHJ18"/>
    <mergeCell ref="FHK18:FHP18"/>
    <mergeCell ref="FHQ18:FHT18"/>
    <mergeCell ref="FFM18:FFN18"/>
    <mergeCell ref="FFO18:FFT18"/>
    <mergeCell ref="FFU18:FFX18"/>
    <mergeCell ref="FFY18:FFZ18"/>
    <mergeCell ref="FGA18:FGB18"/>
    <mergeCell ref="FGC18:FGD18"/>
    <mergeCell ref="FGE18:FGJ18"/>
    <mergeCell ref="FGK18:FGN18"/>
    <mergeCell ref="FGO18:FGP18"/>
    <mergeCell ref="FEI18:FEN18"/>
    <mergeCell ref="FEO18:FER18"/>
    <mergeCell ref="FES18:FET18"/>
    <mergeCell ref="FEU18:FEV18"/>
    <mergeCell ref="FEW18:FEX18"/>
    <mergeCell ref="FEY18:FFD18"/>
    <mergeCell ref="FFE18:FFH18"/>
    <mergeCell ref="FFI18:FFJ18"/>
    <mergeCell ref="FFK18:FFL18"/>
    <mergeCell ref="FDI18:FDL18"/>
    <mergeCell ref="FDM18:FDN18"/>
    <mergeCell ref="FDO18:FDP18"/>
    <mergeCell ref="FDQ18:FDR18"/>
    <mergeCell ref="FDS18:FDX18"/>
    <mergeCell ref="FDY18:FEB18"/>
    <mergeCell ref="FEC18:FED18"/>
    <mergeCell ref="FEE18:FEF18"/>
    <mergeCell ref="FEG18:FEH18"/>
    <mergeCell ref="FCG18:FCH18"/>
    <mergeCell ref="FCI18:FCJ18"/>
    <mergeCell ref="FCK18:FCL18"/>
    <mergeCell ref="FCM18:FCR18"/>
    <mergeCell ref="FCS18:FCV18"/>
    <mergeCell ref="FCW18:FCX18"/>
    <mergeCell ref="FCY18:FCZ18"/>
    <mergeCell ref="FDA18:FDB18"/>
    <mergeCell ref="FDC18:FDH18"/>
    <mergeCell ref="FBC18:FBD18"/>
    <mergeCell ref="FBE18:FBF18"/>
    <mergeCell ref="FBG18:FBL18"/>
    <mergeCell ref="FBM18:FBP18"/>
    <mergeCell ref="FBQ18:FBR18"/>
    <mergeCell ref="FBS18:FBT18"/>
    <mergeCell ref="FBU18:FBV18"/>
    <mergeCell ref="FBW18:FCB18"/>
    <mergeCell ref="FCC18:FCF18"/>
    <mergeCell ref="EZY18:EZZ18"/>
    <mergeCell ref="FAA18:FAF18"/>
    <mergeCell ref="FAG18:FAJ18"/>
    <mergeCell ref="FAK18:FAL18"/>
    <mergeCell ref="FAM18:FAN18"/>
    <mergeCell ref="FAO18:FAP18"/>
    <mergeCell ref="FAQ18:FAV18"/>
    <mergeCell ref="FAW18:FAZ18"/>
    <mergeCell ref="FBA18:FBB18"/>
    <mergeCell ref="EYU18:EYZ18"/>
    <mergeCell ref="EZA18:EZD18"/>
    <mergeCell ref="EZE18:EZF18"/>
    <mergeCell ref="EZG18:EZH18"/>
    <mergeCell ref="EZI18:EZJ18"/>
    <mergeCell ref="EZK18:EZP18"/>
    <mergeCell ref="EZQ18:EZT18"/>
    <mergeCell ref="EZU18:EZV18"/>
    <mergeCell ref="EZW18:EZX18"/>
    <mergeCell ref="EXU18:EXX18"/>
    <mergeCell ref="EXY18:EXZ18"/>
    <mergeCell ref="EYA18:EYB18"/>
    <mergeCell ref="EYC18:EYD18"/>
    <mergeCell ref="EYE18:EYJ18"/>
    <mergeCell ref="EYK18:EYN18"/>
    <mergeCell ref="EYO18:EYP18"/>
    <mergeCell ref="EYQ18:EYR18"/>
    <mergeCell ref="EYS18:EYT18"/>
    <mergeCell ref="EWS18:EWT18"/>
    <mergeCell ref="EWU18:EWV18"/>
    <mergeCell ref="EWW18:EWX18"/>
    <mergeCell ref="EWY18:EXD18"/>
    <mergeCell ref="EXE18:EXH18"/>
    <mergeCell ref="EXI18:EXJ18"/>
    <mergeCell ref="EXK18:EXL18"/>
    <mergeCell ref="EXM18:EXN18"/>
    <mergeCell ref="EXO18:EXT18"/>
    <mergeCell ref="EVO18:EVP18"/>
    <mergeCell ref="EVQ18:EVR18"/>
    <mergeCell ref="EVS18:EVX18"/>
    <mergeCell ref="EVY18:EWB18"/>
    <mergeCell ref="EWC18:EWD18"/>
    <mergeCell ref="EWE18:EWF18"/>
    <mergeCell ref="EWG18:EWH18"/>
    <mergeCell ref="EWI18:EWN18"/>
    <mergeCell ref="EWO18:EWR18"/>
    <mergeCell ref="EUK18:EUL18"/>
    <mergeCell ref="EUM18:EUR18"/>
    <mergeCell ref="EUS18:EUV18"/>
    <mergeCell ref="EUW18:EUX18"/>
    <mergeCell ref="EUY18:EUZ18"/>
    <mergeCell ref="EVA18:EVB18"/>
    <mergeCell ref="EVC18:EVH18"/>
    <mergeCell ref="EVI18:EVL18"/>
    <mergeCell ref="EVM18:EVN18"/>
    <mergeCell ref="ETG18:ETL18"/>
    <mergeCell ref="ETM18:ETP18"/>
    <mergeCell ref="ETQ18:ETR18"/>
    <mergeCell ref="ETS18:ETT18"/>
    <mergeCell ref="ETU18:ETV18"/>
    <mergeCell ref="ETW18:EUB18"/>
    <mergeCell ref="EUC18:EUF18"/>
    <mergeCell ref="EUG18:EUH18"/>
    <mergeCell ref="EUI18:EUJ18"/>
    <mergeCell ref="ESG18:ESJ18"/>
    <mergeCell ref="ESK18:ESL18"/>
    <mergeCell ref="ESM18:ESN18"/>
    <mergeCell ref="ESO18:ESP18"/>
    <mergeCell ref="ESQ18:ESV18"/>
    <mergeCell ref="ESW18:ESZ18"/>
    <mergeCell ref="ETA18:ETB18"/>
    <mergeCell ref="ETC18:ETD18"/>
    <mergeCell ref="ETE18:ETF18"/>
    <mergeCell ref="ERE18:ERF18"/>
    <mergeCell ref="ERG18:ERH18"/>
    <mergeCell ref="ERI18:ERJ18"/>
    <mergeCell ref="ERK18:ERP18"/>
    <mergeCell ref="ERQ18:ERT18"/>
    <mergeCell ref="ERU18:ERV18"/>
    <mergeCell ref="ERW18:ERX18"/>
    <mergeCell ref="ERY18:ERZ18"/>
    <mergeCell ref="ESA18:ESF18"/>
    <mergeCell ref="EQA18:EQB18"/>
    <mergeCell ref="EQC18:EQD18"/>
    <mergeCell ref="EQE18:EQJ18"/>
    <mergeCell ref="EQK18:EQN18"/>
    <mergeCell ref="EQO18:EQP18"/>
    <mergeCell ref="EQQ18:EQR18"/>
    <mergeCell ref="EQS18:EQT18"/>
    <mergeCell ref="EQU18:EQZ18"/>
    <mergeCell ref="ERA18:ERD18"/>
    <mergeCell ref="EOW18:EOX18"/>
    <mergeCell ref="EOY18:EPD18"/>
    <mergeCell ref="EPE18:EPH18"/>
    <mergeCell ref="EPI18:EPJ18"/>
    <mergeCell ref="EPK18:EPL18"/>
    <mergeCell ref="EPM18:EPN18"/>
    <mergeCell ref="EPO18:EPT18"/>
    <mergeCell ref="EPU18:EPX18"/>
    <mergeCell ref="EPY18:EPZ18"/>
    <mergeCell ref="ENS18:ENX18"/>
    <mergeCell ref="ENY18:EOB18"/>
    <mergeCell ref="EOC18:EOD18"/>
    <mergeCell ref="EOE18:EOF18"/>
    <mergeCell ref="EOG18:EOH18"/>
    <mergeCell ref="EOI18:EON18"/>
    <mergeCell ref="EOO18:EOR18"/>
    <mergeCell ref="EOS18:EOT18"/>
    <mergeCell ref="EOU18:EOV18"/>
    <mergeCell ref="EMS18:EMV18"/>
    <mergeCell ref="EMW18:EMX18"/>
    <mergeCell ref="EMY18:EMZ18"/>
    <mergeCell ref="ENA18:ENB18"/>
    <mergeCell ref="ENC18:ENH18"/>
    <mergeCell ref="ENI18:ENL18"/>
    <mergeCell ref="ENM18:ENN18"/>
    <mergeCell ref="ENO18:ENP18"/>
    <mergeCell ref="ENQ18:ENR18"/>
    <mergeCell ref="ELQ18:ELR18"/>
    <mergeCell ref="ELS18:ELT18"/>
    <mergeCell ref="ELU18:ELV18"/>
    <mergeCell ref="ELW18:EMB18"/>
    <mergeCell ref="EMC18:EMF18"/>
    <mergeCell ref="EMG18:EMH18"/>
    <mergeCell ref="EMI18:EMJ18"/>
    <mergeCell ref="EMK18:EML18"/>
    <mergeCell ref="EMM18:EMR18"/>
    <mergeCell ref="EKM18:EKN18"/>
    <mergeCell ref="EKO18:EKP18"/>
    <mergeCell ref="EKQ18:EKV18"/>
    <mergeCell ref="EKW18:EKZ18"/>
    <mergeCell ref="ELA18:ELB18"/>
    <mergeCell ref="ELC18:ELD18"/>
    <mergeCell ref="ELE18:ELF18"/>
    <mergeCell ref="ELG18:ELL18"/>
    <mergeCell ref="ELM18:ELP18"/>
    <mergeCell ref="EJI18:EJJ18"/>
    <mergeCell ref="EJK18:EJP18"/>
    <mergeCell ref="EJQ18:EJT18"/>
    <mergeCell ref="EJU18:EJV18"/>
    <mergeCell ref="EJW18:EJX18"/>
    <mergeCell ref="EJY18:EJZ18"/>
    <mergeCell ref="EKA18:EKF18"/>
    <mergeCell ref="EKG18:EKJ18"/>
    <mergeCell ref="EKK18:EKL18"/>
    <mergeCell ref="EIE18:EIJ18"/>
    <mergeCell ref="EIK18:EIN18"/>
    <mergeCell ref="EIO18:EIP18"/>
    <mergeCell ref="EIQ18:EIR18"/>
    <mergeCell ref="EIS18:EIT18"/>
    <mergeCell ref="EIU18:EIZ18"/>
    <mergeCell ref="EJA18:EJD18"/>
    <mergeCell ref="EJE18:EJF18"/>
    <mergeCell ref="EJG18:EJH18"/>
    <mergeCell ref="EHE18:EHH18"/>
    <mergeCell ref="EHI18:EHJ18"/>
    <mergeCell ref="EHK18:EHL18"/>
    <mergeCell ref="EHM18:EHN18"/>
    <mergeCell ref="EHO18:EHT18"/>
    <mergeCell ref="EHU18:EHX18"/>
    <mergeCell ref="EHY18:EHZ18"/>
    <mergeCell ref="EIA18:EIB18"/>
    <mergeCell ref="EIC18:EID18"/>
    <mergeCell ref="EGC18:EGD18"/>
    <mergeCell ref="EGE18:EGF18"/>
    <mergeCell ref="EGG18:EGH18"/>
    <mergeCell ref="EGI18:EGN18"/>
    <mergeCell ref="EGO18:EGR18"/>
    <mergeCell ref="EGS18:EGT18"/>
    <mergeCell ref="EGU18:EGV18"/>
    <mergeCell ref="EGW18:EGX18"/>
    <mergeCell ref="EGY18:EHD18"/>
    <mergeCell ref="EEY18:EEZ18"/>
    <mergeCell ref="EFA18:EFB18"/>
    <mergeCell ref="EFC18:EFH18"/>
    <mergeCell ref="EFI18:EFL18"/>
    <mergeCell ref="EFM18:EFN18"/>
    <mergeCell ref="EFO18:EFP18"/>
    <mergeCell ref="EFQ18:EFR18"/>
    <mergeCell ref="EFS18:EFX18"/>
    <mergeCell ref="EFY18:EGB18"/>
    <mergeCell ref="EDU18:EDV18"/>
    <mergeCell ref="EDW18:EEB18"/>
    <mergeCell ref="EEC18:EEF18"/>
    <mergeCell ref="EEG18:EEH18"/>
    <mergeCell ref="EEI18:EEJ18"/>
    <mergeCell ref="EEK18:EEL18"/>
    <mergeCell ref="EEM18:EER18"/>
    <mergeCell ref="EES18:EEV18"/>
    <mergeCell ref="EEW18:EEX18"/>
    <mergeCell ref="ECQ18:ECV18"/>
    <mergeCell ref="ECW18:ECZ18"/>
    <mergeCell ref="EDA18:EDB18"/>
    <mergeCell ref="EDC18:EDD18"/>
    <mergeCell ref="EDE18:EDF18"/>
    <mergeCell ref="EDG18:EDL18"/>
    <mergeCell ref="EDM18:EDP18"/>
    <mergeCell ref="EDQ18:EDR18"/>
    <mergeCell ref="EDS18:EDT18"/>
    <mergeCell ref="EBQ18:EBT18"/>
    <mergeCell ref="EBU18:EBV18"/>
    <mergeCell ref="EBW18:EBX18"/>
    <mergeCell ref="EBY18:EBZ18"/>
    <mergeCell ref="ECA18:ECF18"/>
    <mergeCell ref="ECG18:ECJ18"/>
    <mergeCell ref="ECK18:ECL18"/>
    <mergeCell ref="ECM18:ECN18"/>
    <mergeCell ref="ECO18:ECP18"/>
    <mergeCell ref="EAO18:EAP18"/>
    <mergeCell ref="EAQ18:EAR18"/>
    <mergeCell ref="EAS18:EAT18"/>
    <mergeCell ref="EAU18:EAZ18"/>
    <mergeCell ref="EBA18:EBD18"/>
    <mergeCell ref="EBE18:EBF18"/>
    <mergeCell ref="EBG18:EBH18"/>
    <mergeCell ref="EBI18:EBJ18"/>
    <mergeCell ref="EBK18:EBP18"/>
    <mergeCell ref="DZK18:DZL18"/>
    <mergeCell ref="DZM18:DZN18"/>
    <mergeCell ref="DZO18:DZT18"/>
    <mergeCell ref="DZU18:DZX18"/>
    <mergeCell ref="DZY18:DZZ18"/>
    <mergeCell ref="EAA18:EAB18"/>
    <mergeCell ref="EAC18:EAD18"/>
    <mergeCell ref="EAE18:EAJ18"/>
    <mergeCell ref="EAK18:EAN18"/>
    <mergeCell ref="DYG18:DYH18"/>
    <mergeCell ref="DYI18:DYN18"/>
    <mergeCell ref="DYO18:DYR18"/>
    <mergeCell ref="DYS18:DYT18"/>
    <mergeCell ref="DYU18:DYV18"/>
    <mergeCell ref="DYW18:DYX18"/>
    <mergeCell ref="DYY18:DZD18"/>
    <mergeCell ref="DZE18:DZH18"/>
    <mergeCell ref="DZI18:DZJ18"/>
    <mergeCell ref="DXC18:DXH18"/>
    <mergeCell ref="DXI18:DXL18"/>
    <mergeCell ref="DXM18:DXN18"/>
    <mergeCell ref="DXO18:DXP18"/>
    <mergeCell ref="DXQ18:DXR18"/>
    <mergeCell ref="DXS18:DXX18"/>
    <mergeCell ref="DXY18:DYB18"/>
    <mergeCell ref="DYC18:DYD18"/>
    <mergeCell ref="DYE18:DYF18"/>
    <mergeCell ref="DWC18:DWF18"/>
    <mergeCell ref="DWG18:DWH18"/>
    <mergeCell ref="DWI18:DWJ18"/>
    <mergeCell ref="DWK18:DWL18"/>
    <mergeCell ref="DWM18:DWR18"/>
    <mergeCell ref="DWS18:DWV18"/>
    <mergeCell ref="DWW18:DWX18"/>
    <mergeCell ref="DWY18:DWZ18"/>
    <mergeCell ref="DXA18:DXB18"/>
    <mergeCell ref="DVA18:DVB18"/>
    <mergeCell ref="DVC18:DVD18"/>
    <mergeCell ref="DVE18:DVF18"/>
    <mergeCell ref="DVG18:DVL18"/>
    <mergeCell ref="DVM18:DVP18"/>
    <mergeCell ref="DVQ18:DVR18"/>
    <mergeCell ref="DVS18:DVT18"/>
    <mergeCell ref="DVU18:DVV18"/>
    <mergeCell ref="DVW18:DWB18"/>
    <mergeCell ref="DTW18:DTX18"/>
    <mergeCell ref="DTY18:DTZ18"/>
    <mergeCell ref="DUA18:DUF18"/>
    <mergeCell ref="DUG18:DUJ18"/>
    <mergeCell ref="DUK18:DUL18"/>
    <mergeCell ref="DUM18:DUN18"/>
    <mergeCell ref="DUO18:DUP18"/>
    <mergeCell ref="DUQ18:DUV18"/>
    <mergeCell ref="DUW18:DUZ18"/>
    <mergeCell ref="DSS18:DST18"/>
    <mergeCell ref="DSU18:DSZ18"/>
    <mergeCell ref="DTA18:DTD18"/>
    <mergeCell ref="DTE18:DTF18"/>
    <mergeCell ref="DTG18:DTH18"/>
    <mergeCell ref="DTI18:DTJ18"/>
    <mergeCell ref="DTK18:DTP18"/>
    <mergeCell ref="DTQ18:DTT18"/>
    <mergeCell ref="DTU18:DTV18"/>
    <mergeCell ref="DRO18:DRT18"/>
    <mergeCell ref="DRU18:DRX18"/>
    <mergeCell ref="DRY18:DRZ18"/>
    <mergeCell ref="DSA18:DSB18"/>
    <mergeCell ref="DSC18:DSD18"/>
    <mergeCell ref="DSE18:DSJ18"/>
    <mergeCell ref="DSK18:DSN18"/>
    <mergeCell ref="DSO18:DSP18"/>
    <mergeCell ref="DSQ18:DSR18"/>
    <mergeCell ref="DQO18:DQR18"/>
    <mergeCell ref="DQS18:DQT18"/>
    <mergeCell ref="DQU18:DQV18"/>
    <mergeCell ref="DQW18:DQX18"/>
    <mergeCell ref="DQY18:DRD18"/>
    <mergeCell ref="DRE18:DRH18"/>
    <mergeCell ref="DRI18:DRJ18"/>
    <mergeCell ref="DRK18:DRL18"/>
    <mergeCell ref="DRM18:DRN18"/>
    <mergeCell ref="DPM18:DPN18"/>
    <mergeCell ref="DPO18:DPP18"/>
    <mergeCell ref="DPQ18:DPR18"/>
    <mergeCell ref="DPS18:DPX18"/>
    <mergeCell ref="DPY18:DQB18"/>
    <mergeCell ref="DQC18:DQD18"/>
    <mergeCell ref="DQE18:DQF18"/>
    <mergeCell ref="DQG18:DQH18"/>
    <mergeCell ref="DQI18:DQN18"/>
    <mergeCell ref="DOI18:DOJ18"/>
    <mergeCell ref="DOK18:DOL18"/>
    <mergeCell ref="DOM18:DOR18"/>
    <mergeCell ref="DOS18:DOV18"/>
    <mergeCell ref="DOW18:DOX18"/>
    <mergeCell ref="DOY18:DOZ18"/>
    <mergeCell ref="DPA18:DPB18"/>
    <mergeCell ref="DPC18:DPH18"/>
    <mergeCell ref="DPI18:DPL18"/>
    <mergeCell ref="DNE18:DNF18"/>
    <mergeCell ref="DNG18:DNL18"/>
    <mergeCell ref="DNM18:DNP18"/>
    <mergeCell ref="DNQ18:DNR18"/>
    <mergeCell ref="DNS18:DNT18"/>
    <mergeCell ref="DNU18:DNV18"/>
    <mergeCell ref="DNW18:DOB18"/>
    <mergeCell ref="DOC18:DOF18"/>
    <mergeCell ref="DOG18:DOH18"/>
    <mergeCell ref="DMA18:DMF18"/>
    <mergeCell ref="DMG18:DMJ18"/>
    <mergeCell ref="DMK18:DML18"/>
    <mergeCell ref="DMM18:DMN18"/>
    <mergeCell ref="DMO18:DMP18"/>
    <mergeCell ref="DMQ18:DMV18"/>
    <mergeCell ref="DMW18:DMZ18"/>
    <mergeCell ref="DNA18:DNB18"/>
    <mergeCell ref="DNC18:DND18"/>
    <mergeCell ref="DLA18:DLD18"/>
    <mergeCell ref="DLE18:DLF18"/>
    <mergeCell ref="DLG18:DLH18"/>
    <mergeCell ref="DLI18:DLJ18"/>
    <mergeCell ref="DLK18:DLP18"/>
    <mergeCell ref="DLQ18:DLT18"/>
    <mergeCell ref="DLU18:DLV18"/>
    <mergeCell ref="DLW18:DLX18"/>
    <mergeCell ref="DLY18:DLZ18"/>
    <mergeCell ref="DJY18:DJZ18"/>
    <mergeCell ref="DKA18:DKB18"/>
    <mergeCell ref="DKC18:DKD18"/>
    <mergeCell ref="DKE18:DKJ18"/>
    <mergeCell ref="DKK18:DKN18"/>
    <mergeCell ref="DKO18:DKP18"/>
    <mergeCell ref="DKQ18:DKR18"/>
    <mergeCell ref="DKS18:DKT18"/>
    <mergeCell ref="DKU18:DKZ18"/>
    <mergeCell ref="DIU18:DIV18"/>
    <mergeCell ref="DIW18:DIX18"/>
    <mergeCell ref="DIY18:DJD18"/>
    <mergeCell ref="DJE18:DJH18"/>
    <mergeCell ref="DJI18:DJJ18"/>
    <mergeCell ref="DJK18:DJL18"/>
    <mergeCell ref="DJM18:DJN18"/>
    <mergeCell ref="DJO18:DJT18"/>
    <mergeCell ref="DJU18:DJX18"/>
    <mergeCell ref="DHQ18:DHR18"/>
    <mergeCell ref="DHS18:DHX18"/>
    <mergeCell ref="DHY18:DIB18"/>
    <mergeCell ref="DIC18:DID18"/>
    <mergeCell ref="DIE18:DIF18"/>
    <mergeCell ref="DIG18:DIH18"/>
    <mergeCell ref="DII18:DIN18"/>
    <mergeCell ref="DIO18:DIR18"/>
    <mergeCell ref="DIS18:DIT18"/>
    <mergeCell ref="DGM18:DGR18"/>
    <mergeCell ref="DGS18:DGV18"/>
    <mergeCell ref="DGW18:DGX18"/>
    <mergeCell ref="DGY18:DGZ18"/>
    <mergeCell ref="DHA18:DHB18"/>
    <mergeCell ref="DHC18:DHH18"/>
    <mergeCell ref="DHI18:DHL18"/>
    <mergeCell ref="DHM18:DHN18"/>
    <mergeCell ref="DHO18:DHP18"/>
    <mergeCell ref="DFM18:DFP18"/>
    <mergeCell ref="DFQ18:DFR18"/>
    <mergeCell ref="DFS18:DFT18"/>
    <mergeCell ref="DFU18:DFV18"/>
    <mergeCell ref="DFW18:DGB18"/>
    <mergeCell ref="DGC18:DGF18"/>
    <mergeCell ref="DGG18:DGH18"/>
    <mergeCell ref="DGI18:DGJ18"/>
    <mergeCell ref="DGK18:DGL18"/>
    <mergeCell ref="DEK18:DEL18"/>
    <mergeCell ref="DEM18:DEN18"/>
    <mergeCell ref="DEO18:DEP18"/>
    <mergeCell ref="DEQ18:DEV18"/>
    <mergeCell ref="DEW18:DEZ18"/>
    <mergeCell ref="DFA18:DFB18"/>
    <mergeCell ref="DFC18:DFD18"/>
    <mergeCell ref="DFE18:DFF18"/>
    <mergeCell ref="DFG18:DFL18"/>
    <mergeCell ref="DDG18:DDH18"/>
    <mergeCell ref="DDI18:DDJ18"/>
    <mergeCell ref="DDK18:DDP18"/>
    <mergeCell ref="DDQ18:DDT18"/>
    <mergeCell ref="DDU18:DDV18"/>
    <mergeCell ref="DDW18:DDX18"/>
    <mergeCell ref="DDY18:DDZ18"/>
    <mergeCell ref="DEA18:DEF18"/>
    <mergeCell ref="DEG18:DEJ18"/>
    <mergeCell ref="DCC18:DCD18"/>
    <mergeCell ref="DCE18:DCJ18"/>
    <mergeCell ref="DCK18:DCN18"/>
    <mergeCell ref="DCO18:DCP18"/>
    <mergeCell ref="DCQ18:DCR18"/>
    <mergeCell ref="DCS18:DCT18"/>
    <mergeCell ref="DCU18:DCZ18"/>
    <mergeCell ref="DDA18:DDD18"/>
    <mergeCell ref="DDE18:DDF18"/>
    <mergeCell ref="DAY18:DBD18"/>
    <mergeCell ref="DBE18:DBH18"/>
    <mergeCell ref="DBI18:DBJ18"/>
    <mergeCell ref="DBK18:DBL18"/>
    <mergeCell ref="DBM18:DBN18"/>
    <mergeCell ref="DBO18:DBT18"/>
    <mergeCell ref="DBU18:DBX18"/>
    <mergeCell ref="DBY18:DBZ18"/>
    <mergeCell ref="DCA18:DCB18"/>
    <mergeCell ref="CZY18:DAB18"/>
    <mergeCell ref="DAC18:DAD18"/>
    <mergeCell ref="DAE18:DAF18"/>
    <mergeCell ref="DAG18:DAH18"/>
    <mergeCell ref="DAI18:DAN18"/>
    <mergeCell ref="DAO18:DAR18"/>
    <mergeCell ref="DAS18:DAT18"/>
    <mergeCell ref="DAU18:DAV18"/>
    <mergeCell ref="DAW18:DAX18"/>
    <mergeCell ref="CYW18:CYX18"/>
    <mergeCell ref="CYY18:CYZ18"/>
    <mergeCell ref="CZA18:CZB18"/>
    <mergeCell ref="CZC18:CZH18"/>
    <mergeCell ref="CZI18:CZL18"/>
    <mergeCell ref="CZM18:CZN18"/>
    <mergeCell ref="CZO18:CZP18"/>
    <mergeCell ref="CZQ18:CZR18"/>
    <mergeCell ref="CZS18:CZX18"/>
    <mergeCell ref="CXS18:CXT18"/>
    <mergeCell ref="CXU18:CXV18"/>
    <mergeCell ref="CXW18:CYB18"/>
    <mergeCell ref="CYC18:CYF18"/>
    <mergeCell ref="CYG18:CYH18"/>
    <mergeCell ref="CYI18:CYJ18"/>
    <mergeCell ref="CYK18:CYL18"/>
    <mergeCell ref="CYM18:CYR18"/>
    <mergeCell ref="CYS18:CYV18"/>
    <mergeCell ref="CWO18:CWP18"/>
    <mergeCell ref="CWQ18:CWV18"/>
    <mergeCell ref="CWW18:CWZ18"/>
    <mergeCell ref="CXA18:CXB18"/>
    <mergeCell ref="CXC18:CXD18"/>
    <mergeCell ref="CXE18:CXF18"/>
    <mergeCell ref="CXG18:CXL18"/>
    <mergeCell ref="CXM18:CXP18"/>
    <mergeCell ref="CXQ18:CXR18"/>
    <mergeCell ref="CVK18:CVP18"/>
    <mergeCell ref="CVQ18:CVT18"/>
    <mergeCell ref="CVU18:CVV18"/>
    <mergeCell ref="CVW18:CVX18"/>
    <mergeCell ref="CVY18:CVZ18"/>
    <mergeCell ref="CWA18:CWF18"/>
    <mergeCell ref="CWG18:CWJ18"/>
    <mergeCell ref="CWK18:CWL18"/>
    <mergeCell ref="CWM18:CWN18"/>
    <mergeCell ref="CUK18:CUN18"/>
    <mergeCell ref="CUO18:CUP18"/>
    <mergeCell ref="CUQ18:CUR18"/>
    <mergeCell ref="CUS18:CUT18"/>
    <mergeCell ref="CUU18:CUZ18"/>
    <mergeCell ref="CVA18:CVD18"/>
    <mergeCell ref="CVE18:CVF18"/>
    <mergeCell ref="CVG18:CVH18"/>
    <mergeCell ref="CVI18:CVJ18"/>
    <mergeCell ref="CTI18:CTJ18"/>
    <mergeCell ref="CTK18:CTL18"/>
    <mergeCell ref="CTM18:CTN18"/>
    <mergeCell ref="CTO18:CTT18"/>
    <mergeCell ref="CTU18:CTX18"/>
    <mergeCell ref="CTY18:CTZ18"/>
    <mergeCell ref="CUA18:CUB18"/>
    <mergeCell ref="CUC18:CUD18"/>
    <mergeCell ref="CUE18:CUJ18"/>
    <mergeCell ref="CSE18:CSF18"/>
    <mergeCell ref="CSG18:CSH18"/>
    <mergeCell ref="CSI18:CSN18"/>
    <mergeCell ref="CSO18:CSR18"/>
    <mergeCell ref="CSS18:CST18"/>
    <mergeCell ref="CSU18:CSV18"/>
    <mergeCell ref="CSW18:CSX18"/>
    <mergeCell ref="CSY18:CTD18"/>
    <mergeCell ref="CTE18:CTH18"/>
    <mergeCell ref="CRA18:CRB18"/>
    <mergeCell ref="CRC18:CRH18"/>
    <mergeCell ref="CRI18:CRL18"/>
    <mergeCell ref="CRM18:CRN18"/>
    <mergeCell ref="CRO18:CRP18"/>
    <mergeCell ref="CRQ18:CRR18"/>
    <mergeCell ref="CRS18:CRX18"/>
    <mergeCell ref="CRY18:CSB18"/>
    <mergeCell ref="CSC18:CSD18"/>
    <mergeCell ref="CPW18:CQB18"/>
    <mergeCell ref="CQC18:CQF18"/>
    <mergeCell ref="CQG18:CQH18"/>
    <mergeCell ref="CQI18:CQJ18"/>
    <mergeCell ref="CQK18:CQL18"/>
    <mergeCell ref="CQM18:CQR18"/>
    <mergeCell ref="CQS18:CQV18"/>
    <mergeCell ref="CQW18:CQX18"/>
    <mergeCell ref="CQY18:CQZ18"/>
    <mergeCell ref="COW18:COZ18"/>
    <mergeCell ref="CPA18:CPB18"/>
    <mergeCell ref="CPC18:CPD18"/>
    <mergeCell ref="CPE18:CPF18"/>
    <mergeCell ref="CPG18:CPL18"/>
    <mergeCell ref="CPM18:CPP18"/>
    <mergeCell ref="CPQ18:CPR18"/>
    <mergeCell ref="CPS18:CPT18"/>
    <mergeCell ref="CPU18:CPV18"/>
    <mergeCell ref="CNU18:CNV18"/>
    <mergeCell ref="CNW18:CNX18"/>
    <mergeCell ref="CNY18:CNZ18"/>
    <mergeCell ref="COA18:COF18"/>
    <mergeCell ref="COG18:COJ18"/>
    <mergeCell ref="COK18:COL18"/>
    <mergeCell ref="COM18:CON18"/>
    <mergeCell ref="COO18:COP18"/>
    <mergeCell ref="COQ18:COV18"/>
    <mergeCell ref="CMQ18:CMR18"/>
    <mergeCell ref="CMS18:CMT18"/>
    <mergeCell ref="CMU18:CMZ18"/>
    <mergeCell ref="CNA18:CND18"/>
    <mergeCell ref="CNE18:CNF18"/>
    <mergeCell ref="CNG18:CNH18"/>
    <mergeCell ref="CNI18:CNJ18"/>
    <mergeCell ref="CNK18:CNP18"/>
    <mergeCell ref="CNQ18:CNT18"/>
    <mergeCell ref="CLM18:CLN18"/>
    <mergeCell ref="CLO18:CLT18"/>
    <mergeCell ref="CLU18:CLX18"/>
    <mergeCell ref="CLY18:CLZ18"/>
    <mergeCell ref="CMA18:CMB18"/>
    <mergeCell ref="CMC18:CMD18"/>
    <mergeCell ref="CME18:CMJ18"/>
    <mergeCell ref="CMK18:CMN18"/>
    <mergeCell ref="CMO18:CMP18"/>
    <mergeCell ref="CKI18:CKN18"/>
    <mergeCell ref="CKO18:CKR18"/>
    <mergeCell ref="CKS18:CKT18"/>
    <mergeCell ref="CKU18:CKV18"/>
    <mergeCell ref="CKW18:CKX18"/>
    <mergeCell ref="CKY18:CLD18"/>
    <mergeCell ref="CLE18:CLH18"/>
    <mergeCell ref="CLI18:CLJ18"/>
    <mergeCell ref="CLK18:CLL18"/>
    <mergeCell ref="CJI18:CJL18"/>
    <mergeCell ref="CJM18:CJN18"/>
    <mergeCell ref="CJO18:CJP18"/>
    <mergeCell ref="CJQ18:CJR18"/>
    <mergeCell ref="CJS18:CJX18"/>
    <mergeCell ref="CJY18:CKB18"/>
    <mergeCell ref="CKC18:CKD18"/>
    <mergeCell ref="CKE18:CKF18"/>
    <mergeCell ref="CKG18:CKH18"/>
    <mergeCell ref="CIG18:CIH18"/>
    <mergeCell ref="CII18:CIJ18"/>
    <mergeCell ref="CIK18:CIL18"/>
    <mergeCell ref="CIM18:CIR18"/>
    <mergeCell ref="CIS18:CIV18"/>
    <mergeCell ref="CIW18:CIX18"/>
    <mergeCell ref="CIY18:CIZ18"/>
    <mergeCell ref="CJA18:CJB18"/>
    <mergeCell ref="CJC18:CJH18"/>
    <mergeCell ref="CHC18:CHD18"/>
    <mergeCell ref="CHE18:CHF18"/>
    <mergeCell ref="CHG18:CHL18"/>
    <mergeCell ref="CHM18:CHP18"/>
    <mergeCell ref="CHQ18:CHR18"/>
    <mergeCell ref="CHS18:CHT18"/>
    <mergeCell ref="CHU18:CHV18"/>
    <mergeCell ref="CHW18:CIB18"/>
    <mergeCell ref="CIC18:CIF18"/>
    <mergeCell ref="CFY18:CFZ18"/>
    <mergeCell ref="CGA18:CGF18"/>
    <mergeCell ref="CGG18:CGJ18"/>
    <mergeCell ref="CGK18:CGL18"/>
    <mergeCell ref="CGM18:CGN18"/>
    <mergeCell ref="CGO18:CGP18"/>
    <mergeCell ref="CGQ18:CGV18"/>
    <mergeCell ref="CGW18:CGZ18"/>
    <mergeCell ref="CHA18:CHB18"/>
    <mergeCell ref="CEU18:CEZ18"/>
    <mergeCell ref="CFA18:CFD18"/>
    <mergeCell ref="CFE18:CFF18"/>
    <mergeCell ref="CFG18:CFH18"/>
    <mergeCell ref="CFI18:CFJ18"/>
    <mergeCell ref="CFK18:CFP18"/>
    <mergeCell ref="CFQ18:CFT18"/>
    <mergeCell ref="CFU18:CFV18"/>
    <mergeCell ref="CFW18:CFX18"/>
    <mergeCell ref="CDU18:CDX18"/>
    <mergeCell ref="CDY18:CDZ18"/>
    <mergeCell ref="CEA18:CEB18"/>
    <mergeCell ref="CEC18:CED18"/>
    <mergeCell ref="CEE18:CEJ18"/>
    <mergeCell ref="CEK18:CEN18"/>
    <mergeCell ref="CEO18:CEP18"/>
    <mergeCell ref="CEQ18:CER18"/>
    <mergeCell ref="CES18:CET18"/>
    <mergeCell ref="CCS18:CCT18"/>
    <mergeCell ref="CCU18:CCV18"/>
    <mergeCell ref="CCW18:CCX18"/>
    <mergeCell ref="CCY18:CDD18"/>
    <mergeCell ref="CDE18:CDH18"/>
    <mergeCell ref="CDI18:CDJ18"/>
    <mergeCell ref="CDK18:CDL18"/>
    <mergeCell ref="CDM18:CDN18"/>
    <mergeCell ref="CDO18:CDT18"/>
    <mergeCell ref="CBO18:CBP18"/>
    <mergeCell ref="CBQ18:CBR18"/>
    <mergeCell ref="CBS18:CBX18"/>
    <mergeCell ref="CBY18:CCB18"/>
    <mergeCell ref="CCC18:CCD18"/>
    <mergeCell ref="CCE18:CCF18"/>
    <mergeCell ref="CCG18:CCH18"/>
    <mergeCell ref="CCI18:CCN18"/>
    <mergeCell ref="CCO18:CCR18"/>
    <mergeCell ref="CAK18:CAL18"/>
    <mergeCell ref="CAM18:CAR18"/>
    <mergeCell ref="CAS18:CAV18"/>
    <mergeCell ref="CAW18:CAX18"/>
    <mergeCell ref="CAY18:CAZ18"/>
    <mergeCell ref="CBA18:CBB18"/>
    <mergeCell ref="CBC18:CBH18"/>
    <mergeCell ref="CBI18:CBL18"/>
    <mergeCell ref="CBM18:CBN18"/>
    <mergeCell ref="BZG18:BZL18"/>
    <mergeCell ref="BZM18:BZP18"/>
    <mergeCell ref="BZQ18:BZR18"/>
    <mergeCell ref="BZS18:BZT18"/>
    <mergeCell ref="BZU18:BZV18"/>
    <mergeCell ref="BZW18:CAB18"/>
    <mergeCell ref="CAC18:CAF18"/>
    <mergeCell ref="CAG18:CAH18"/>
    <mergeCell ref="CAI18:CAJ18"/>
    <mergeCell ref="BYG18:BYJ18"/>
    <mergeCell ref="BYK18:BYL18"/>
    <mergeCell ref="BYM18:BYN18"/>
    <mergeCell ref="BYO18:BYP18"/>
    <mergeCell ref="BYQ18:BYV18"/>
    <mergeCell ref="BYW18:BYZ18"/>
    <mergeCell ref="BZA18:BZB18"/>
    <mergeCell ref="BZC18:BZD18"/>
    <mergeCell ref="BZE18:BZF18"/>
    <mergeCell ref="BXE18:BXF18"/>
    <mergeCell ref="BXG18:BXH18"/>
    <mergeCell ref="BXI18:BXJ18"/>
    <mergeCell ref="BXK18:BXP18"/>
    <mergeCell ref="BXQ18:BXT18"/>
    <mergeCell ref="BXU18:BXV18"/>
    <mergeCell ref="BXW18:BXX18"/>
    <mergeCell ref="BXY18:BXZ18"/>
    <mergeCell ref="BYA18:BYF18"/>
    <mergeCell ref="BWA18:BWB18"/>
    <mergeCell ref="BWC18:BWD18"/>
    <mergeCell ref="BWE18:BWJ18"/>
    <mergeCell ref="BWK18:BWN18"/>
    <mergeCell ref="BWO18:BWP18"/>
    <mergeCell ref="BWQ18:BWR18"/>
    <mergeCell ref="BWS18:BWT18"/>
    <mergeCell ref="BWU18:BWZ18"/>
    <mergeCell ref="BXA18:BXD18"/>
    <mergeCell ref="BUW18:BUX18"/>
    <mergeCell ref="BUY18:BVD18"/>
    <mergeCell ref="BVE18:BVH18"/>
    <mergeCell ref="BVI18:BVJ18"/>
    <mergeCell ref="BVK18:BVL18"/>
    <mergeCell ref="BVM18:BVN18"/>
    <mergeCell ref="BVO18:BVT18"/>
    <mergeCell ref="BVU18:BVX18"/>
    <mergeCell ref="BVY18:BVZ18"/>
    <mergeCell ref="BTS18:BTX18"/>
    <mergeCell ref="BTY18:BUB18"/>
    <mergeCell ref="BUC18:BUD18"/>
    <mergeCell ref="BUE18:BUF18"/>
    <mergeCell ref="BUG18:BUH18"/>
    <mergeCell ref="BUI18:BUN18"/>
    <mergeCell ref="BUO18:BUR18"/>
    <mergeCell ref="BUS18:BUT18"/>
    <mergeCell ref="BUU18:BUV18"/>
    <mergeCell ref="BSS18:BSV18"/>
    <mergeCell ref="BSW18:BSX18"/>
    <mergeCell ref="BSY18:BSZ18"/>
    <mergeCell ref="BTA18:BTB18"/>
    <mergeCell ref="BTC18:BTH18"/>
    <mergeCell ref="BTI18:BTL18"/>
    <mergeCell ref="BTM18:BTN18"/>
    <mergeCell ref="BTO18:BTP18"/>
    <mergeCell ref="BTQ18:BTR18"/>
    <mergeCell ref="BRQ18:BRR18"/>
    <mergeCell ref="BRS18:BRT18"/>
    <mergeCell ref="BRU18:BRV18"/>
    <mergeCell ref="BRW18:BSB18"/>
    <mergeCell ref="BSC18:BSF18"/>
    <mergeCell ref="BSG18:BSH18"/>
    <mergeCell ref="BSI18:BSJ18"/>
    <mergeCell ref="BSK18:BSL18"/>
    <mergeCell ref="BSM18:BSR18"/>
    <mergeCell ref="BQM18:BQN18"/>
    <mergeCell ref="BQO18:BQP18"/>
    <mergeCell ref="BQQ18:BQV18"/>
    <mergeCell ref="BQW18:BQZ18"/>
    <mergeCell ref="BRA18:BRB18"/>
    <mergeCell ref="BRC18:BRD18"/>
    <mergeCell ref="BRE18:BRF18"/>
    <mergeCell ref="BRG18:BRL18"/>
    <mergeCell ref="BRM18:BRP18"/>
    <mergeCell ref="BPI18:BPJ18"/>
    <mergeCell ref="BPK18:BPP18"/>
    <mergeCell ref="BPQ18:BPT18"/>
    <mergeCell ref="BPU18:BPV18"/>
    <mergeCell ref="BPW18:BPX18"/>
    <mergeCell ref="BPY18:BPZ18"/>
    <mergeCell ref="BQA18:BQF18"/>
    <mergeCell ref="BQG18:BQJ18"/>
    <mergeCell ref="BQK18:BQL18"/>
    <mergeCell ref="BOE18:BOJ18"/>
    <mergeCell ref="BOK18:BON18"/>
    <mergeCell ref="BOO18:BOP18"/>
    <mergeCell ref="BOQ18:BOR18"/>
    <mergeCell ref="BOS18:BOT18"/>
    <mergeCell ref="BOU18:BOZ18"/>
    <mergeCell ref="BPA18:BPD18"/>
    <mergeCell ref="BPE18:BPF18"/>
    <mergeCell ref="BPG18:BPH18"/>
    <mergeCell ref="BNE18:BNH18"/>
    <mergeCell ref="BNI18:BNJ18"/>
    <mergeCell ref="BNK18:BNL18"/>
    <mergeCell ref="BNM18:BNN18"/>
    <mergeCell ref="BNO18:BNT18"/>
    <mergeCell ref="BNU18:BNX18"/>
    <mergeCell ref="BNY18:BNZ18"/>
    <mergeCell ref="BOA18:BOB18"/>
    <mergeCell ref="BOC18:BOD18"/>
    <mergeCell ref="BMC18:BMD18"/>
    <mergeCell ref="BME18:BMF18"/>
    <mergeCell ref="BMG18:BMH18"/>
    <mergeCell ref="BMI18:BMN18"/>
    <mergeCell ref="BMO18:BMR18"/>
    <mergeCell ref="BMS18:BMT18"/>
    <mergeCell ref="BMU18:BMV18"/>
    <mergeCell ref="BMW18:BMX18"/>
    <mergeCell ref="BMY18:BND18"/>
    <mergeCell ref="BKY18:BKZ18"/>
    <mergeCell ref="BLA18:BLB18"/>
    <mergeCell ref="BLC18:BLH18"/>
    <mergeCell ref="BLI18:BLL18"/>
    <mergeCell ref="BLM18:BLN18"/>
    <mergeCell ref="BLO18:BLP18"/>
    <mergeCell ref="BLQ18:BLR18"/>
    <mergeCell ref="BLS18:BLX18"/>
    <mergeCell ref="BLY18:BMB18"/>
    <mergeCell ref="BJU18:BJV18"/>
    <mergeCell ref="BJW18:BKB18"/>
    <mergeCell ref="BKC18:BKF18"/>
    <mergeCell ref="BKG18:BKH18"/>
    <mergeCell ref="BKI18:BKJ18"/>
    <mergeCell ref="BKK18:BKL18"/>
    <mergeCell ref="BKM18:BKR18"/>
    <mergeCell ref="BKS18:BKV18"/>
    <mergeCell ref="BKW18:BKX18"/>
    <mergeCell ref="BIQ18:BIV18"/>
    <mergeCell ref="BIW18:BIZ18"/>
    <mergeCell ref="BJA18:BJB18"/>
    <mergeCell ref="BJC18:BJD18"/>
    <mergeCell ref="BJE18:BJF18"/>
    <mergeCell ref="BJG18:BJL18"/>
    <mergeCell ref="BJM18:BJP18"/>
    <mergeCell ref="BJQ18:BJR18"/>
    <mergeCell ref="BJS18:BJT18"/>
    <mergeCell ref="BHQ18:BHT18"/>
    <mergeCell ref="BHU18:BHV18"/>
    <mergeCell ref="BHW18:BHX18"/>
    <mergeCell ref="BHY18:BHZ18"/>
    <mergeCell ref="BIA18:BIF18"/>
    <mergeCell ref="BIG18:BIJ18"/>
    <mergeCell ref="BIK18:BIL18"/>
    <mergeCell ref="BIM18:BIN18"/>
    <mergeCell ref="BIO18:BIP18"/>
    <mergeCell ref="BGO18:BGP18"/>
    <mergeCell ref="BGQ18:BGR18"/>
    <mergeCell ref="BGS18:BGT18"/>
    <mergeCell ref="BGU18:BGZ18"/>
    <mergeCell ref="BHA18:BHD18"/>
    <mergeCell ref="BHE18:BHF18"/>
    <mergeCell ref="BHG18:BHH18"/>
    <mergeCell ref="BHI18:BHJ18"/>
    <mergeCell ref="BHK18:BHP18"/>
    <mergeCell ref="BFK18:BFL18"/>
    <mergeCell ref="BFM18:BFN18"/>
    <mergeCell ref="BFO18:BFT18"/>
    <mergeCell ref="BFU18:BFX18"/>
    <mergeCell ref="BFY18:BFZ18"/>
    <mergeCell ref="BGA18:BGB18"/>
    <mergeCell ref="BGC18:BGD18"/>
    <mergeCell ref="BGE18:BGJ18"/>
    <mergeCell ref="BGK18:BGN18"/>
    <mergeCell ref="BEG18:BEH18"/>
    <mergeCell ref="BEI18:BEN18"/>
    <mergeCell ref="BEO18:BER18"/>
    <mergeCell ref="BES18:BET18"/>
    <mergeCell ref="BEU18:BEV18"/>
    <mergeCell ref="BEW18:BEX18"/>
    <mergeCell ref="BEY18:BFD18"/>
    <mergeCell ref="BFE18:BFH18"/>
    <mergeCell ref="BFI18:BFJ18"/>
    <mergeCell ref="BDC18:BDH18"/>
    <mergeCell ref="BDI18:BDL18"/>
    <mergeCell ref="BDM18:BDN18"/>
    <mergeCell ref="BDO18:BDP18"/>
    <mergeCell ref="BDQ18:BDR18"/>
    <mergeCell ref="BDS18:BDX18"/>
    <mergeCell ref="BDY18:BEB18"/>
    <mergeCell ref="BEC18:BED18"/>
    <mergeCell ref="BEE18:BEF18"/>
    <mergeCell ref="BCC18:BCF18"/>
    <mergeCell ref="BCG18:BCH18"/>
    <mergeCell ref="BCI18:BCJ18"/>
    <mergeCell ref="BCK18:BCL18"/>
    <mergeCell ref="BCM18:BCR18"/>
    <mergeCell ref="BCS18:BCV18"/>
    <mergeCell ref="BCW18:BCX18"/>
    <mergeCell ref="BCY18:BCZ18"/>
    <mergeCell ref="BDA18:BDB18"/>
    <mergeCell ref="BBA18:BBB18"/>
    <mergeCell ref="BBC18:BBD18"/>
    <mergeCell ref="BBE18:BBF18"/>
    <mergeCell ref="BBG18:BBL18"/>
    <mergeCell ref="BBM18:BBP18"/>
    <mergeCell ref="BBQ18:BBR18"/>
    <mergeCell ref="BBS18:BBT18"/>
    <mergeCell ref="BBU18:BBV18"/>
    <mergeCell ref="BBW18:BCB18"/>
    <mergeCell ref="AZW18:AZX18"/>
    <mergeCell ref="AZY18:AZZ18"/>
    <mergeCell ref="BAA18:BAF18"/>
    <mergeCell ref="BAG18:BAJ18"/>
    <mergeCell ref="BAK18:BAL18"/>
    <mergeCell ref="BAM18:BAN18"/>
    <mergeCell ref="BAO18:BAP18"/>
    <mergeCell ref="BAQ18:BAV18"/>
    <mergeCell ref="BAW18:BAZ18"/>
    <mergeCell ref="AYS18:AYT18"/>
    <mergeCell ref="AYU18:AYZ18"/>
    <mergeCell ref="AZA18:AZD18"/>
    <mergeCell ref="AZE18:AZF18"/>
    <mergeCell ref="AZG18:AZH18"/>
    <mergeCell ref="AZI18:AZJ18"/>
    <mergeCell ref="AZK18:AZP18"/>
    <mergeCell ref="AZQ18:AZT18"/>
    <mergeCell ref="AZU18:AZV18"/>
    <mergeCell ref="AXO18:AXT18"/>
    <mergeCell ref="AXU18:AXX18"/>
    <mergeCell ref="AXY18:AXZ18"/>
    <mergeCell ref="AYA18:AYB18"/>
    <mergeCell ref="AYC18:AYD18"/>
    <mergeCell ref="AYE18:AYJ18"/>
    <mergeCell ref="AYK18:AYN18"/>
    <mergeCell ref="AYO18:AYP18"/>
    <mergeCell ref="AYQ18:AYR18"/>
    <mergeCell ref="AWO18:AWR18"/>
    <mergeCell ref="AWS18:AWT18"/>
    <mergeCell ref="AWU18:AWV18"/>
    <mergeCell ref="AWW18:AWX18"/>
    <mergeCell ref="AWY18:AXD18"/>
    <mergeCell ref="AXE18:AXH18"/>
    <mergeCell ref="AXI18:AXJ18"/>
    <mergeCell ref="AXK18:AXL18"/>
    <mergeCell ref="AXM18:AXN18"/>
    <mergeCell ref="AVM18:AVN18"/>
    <mergeCell ref="AVO18:AVP18"/>
    <mergeCell ref="AVQ18:AVR18"/>
    <mergeCell ref="AVS18:AVX18"/>
    <mergeCell ref="AVY18:AWB18"/>
    <mergeCell ref="AWC18:AWD18"/>
    <mergeCell ref="AWE18:AWF18"/>
    <mergeCell ref="AWG18:AWH18"/>
    <mergeCell ref="AWI18:AWN18"/>
    <mergeCell ref="AUI18:AUJ18"/>
    <mergeCell ref="AUK18:AUL18"/>
    <mergeCell ref="AUM18:AUR18"/>
    <mergeCell ref="AUS18:AUV18"/>
    <mergeCell ref="AUW18:AUX18"/>
    <mergeCell ref="AUY18:AUZ18"/>
    <mergeCell ref="AVA18:AVB18"/>
    <mergeCell ref="AVC18:AVH18"/>
    <mergeCell ref="AVI18:AVL18"/>
    <mergeCell ref="ATE18:ATF18"/>
    <mergeCell ref="ATG18:ATL18"/>
    <mergeCell ref="ATM18:ATP18"/>
    <mergeCell ref="ATQ18:ATR18"/>
    <mergeCell ref="ATS18:ATT18"/>
    <mergeCell ref="ATU18:ATV18"/>
    <mergeCell ref="ATW18:AUB18"/>
    <mergeCell ref="AUC18:AUF18"/>
    <mergeCell ref="AUG18:AUH18"/>
    <mergeCell ref="ASA18:ASF18"/>
    <mergeCell ref="ASG18:ASJ18"/>
    <mergeCell ref="ASK18:ASL18"/>
    <mergeCell ref="ASM18:ASN18"/>
    <mergeCell ref="ASO18:ASP18"/>
    <mergeCell ref="ASQ18:ASV18"/>
    <mergeCell ref="ASW18:ASZ18"/>
    <mergeCell ref="ATA18:ATB18"/>
    <mergeCell ref="ATC18:ATD18"/>
    <mergeCell ref="ARA18:ARD18"/>
    <mergeCell ref="ARE18:ARF18"/>
    <mergeCell ref="ARG18:ARH18"/>
    <mergeCell ref="ARI18:ARJ18"/>
    <mergeCell ref="ARK18:ARP18"/>
    <mergeCell ref="ARQ18:ART18"/>
    <mergeCell ref="ARU18:ARV18"/>
    <mergeCell ref="ARW18:ARX18"/>
    <mergeCell ref="ARY18:ARZ18"/>
    <mergeCell ref="APY18:APZ18"/>
    <mergeCell ref="AQA18:AQB18"/>
    <mergeCell ref="AQC18:AQD18"/>
    <mergeCell ref="AQE18:AQJ18"/>
    <mergeCell ref="AQK18:AQN18"/>
    <mergeCell ref="AQO18:AQP18"/>
    <mergeCell ref="AQQ18:AQR18"/>
    <mergeCell ref="AQS18:AQT18"/>
    <mergeCell ref="AQU18:AQZ18"/>
    <mergeCell ref="AOU18:AOV18"/>
    <mergeCell ref="AOW18:AOX18"/>
    <mergeCell ref="AOY18:APD18"/>
    <mergeCell ref="APE18:APH18"/>
    <mergeCell ref="API18:APJ18"/>
    <mergeCell ref="APK18:APL18"/>
    <mergeCell ref="APM18:APN18"/>
    <mergeCell ref="APO18:APT18"/>
    <mergeCell ref="APU18:APX18"/>
    <mergeCell ref="ANQ18:ANR18"/>
    <mergeCell ref="ANS18:ANX18"/>
    <mergeCell ref="ANY18:AOB18"/>
    <mergeCell ref="AOC18:AOD18"/>
    <mergeCell ref="AOE18:AOF18"/>
    <mergeCell ref="AOG18:AOH18"/>
    <mergeCell ref="AOI18:AON18"/>
    <mergeCell ref="AOO18:AOR18"/>
    <mergeCell ref="AOS18:AOT18"/>
    <mergeCell ref="AMM18:AMR18"/>
    <mergeCell ref="AMS18:AMV18"/>
    <mergeCell ref="AMW18:AMX18"/>
    <mergeCell ref="AMY18:AMZ18"/>
    <mergeCell ref="ANA18:ANB18"/>
    <mergeCell ref="ANC18:ANH18"/>
    <mergeCell ref="ANI18:ANL18"/>
    <mergeCell ref="ANM18:ANN18"/>
    <mergeCell ref="ANO18:ANP18"/>
    <mergeCell ref="ALM18:ALP18"/>
    <mergeCell ref="ALQ18:ALR18"/>
    <mergeCell ref="ALS18:ALT18"/>
    <mergeCell ref="ALU18:ALV18"/>
    <mergeCell ref="ALW18:AMB18"/>
    <mergeCell ref="AMC18:AMF18"/>
    <mergeCell ref="AMG18:AMH18"/>
    <mergeCell ref="AMI18:AMJ18"/>
    <mergeCell ref="AMK18:AML18"/>
    <mergeCell ref="AKK18:AKL18"/>
    <mergeCell ref="AKM18:AKN18"/>
    <mergeCell ref="AKO18:AKP18"/>
    <mergeCell ref="AKQ18:AKV18"/>
    <mergeCell ref="AKW18:AKZ18"/>
    <mergeCell ref="ALA18:ALB18"/>
    <mergeCell ref="ALC18:ALD18"/>
    <mergeCell ref="ALE18:ALF18"/>
    <mergeCell ref="ALG18:ALL18"/>
    <mergeCell ref="AJG18:AJH18"/>
    <mergeCell ref="AJI18:AJJ18"/>
    <mergeCell ref="AJK18:AJP18"/>
    <mergeCell ref="AJQ18:AJT18"/>
    <mergeCell ref="AJU18:AJV18"/>
    <mergeCell ref="AJW18:AJX18"/>
    <mergeCell ref="AJY18:AJZ18"/>
    <mergeCell ref="AKA18:AKF18"/>
    <mergeCell ref="AKG18:AKJ18"/>
    <mergeCell ref="AIC18:AID18"/>
    <mergeCell ref="AIE18:AIJ18"/>
    <mergeCell ref="AIK18:AIN18"/>
    <mergeCell ref="AIO18:AIP18"/>
    <mergeCell ref="AIQ18:AIR18"/>
    <mergeCell ref="AIS18:AIT18"/>
    <mergeCell ref="AIU18:AIZ18"/>
    <mergeCell ref="AJA18:AJD18"/>
    <mergeCell ref="AJE18:AJF18"/>
    <mergeCell ref="AGY18:AHD18"/>
    <mergeCell ref="AHE18:AHH18"/>
    <mergeCell ref="AHI18:AHJ18"/>
    <mergeCell ref="AHK18:AHL18"/>
    <mergeCell ref="AHM18:AHN18"/>
    <mergeCell ref="AHO18:AHT18"/>
    <mergeCell ref="AHU18:AHX18"/>
    <mergeCell ref="AHY18:AHZ18"/>
    <mergeCell ref="AIA18:AIB18"/>
    <mergeCell ref="AFY18:AGB18"/>
    <mergeCell ref="AGC18:AGD18"/>
    <mergeCell ref="AGE18:AGF18"/>
    <mergeCell ref="AGG18:AGH18"/>
    <mergeCell ref="AGI18:AGN18"/>
    <mergeCell ref="AGO18:AGR18"/>
    <mergeCell ref="AGS18:AGT18"/>
    <mergeCell ref="AGU18:AGV18"/>
    <mergeCell ref="AGW18:AGX18"/>
    <mergeCell ref="AEW18:AEX18"/>
    <mergeCell ref="AEY18:AEZ18"/>
    <mergeCell ref="AFA18:AFB18"/>
    <mergeCell ref="AFC18:AFH18"/>
    <mergeCell ref="AFI18:AFL18"/>
    <mergeCell ref="AFM18:AFN18"/>
    <mergeCell ref="AFO18:AFP18"/>
    <mergeCell ref="AFQ18:AFR18"/>
    <mergeCell ref="AFS18:AFX18"/>
    <mergeCell ref="ADS18:ADT18"/>
    <mergeCell ref="ADU18:ADV18"/>
    <mergeCell ref="ADW18:AEB18"/>
    <mergeCell ref="AEC18:AEF18"/>
    <mergeCell ref="AEG18:AEH18"/>
    <mergeCell ref="AEI18:AEJ18"/>
    <mergeCell ref="AEK18:AEL18"/>
    <mergeCell ref="AEM18:AER18"/>
    <mergeCell ref="AES18:AEV18"/>
    <mergeCell ref="ACO18:ACP18"/>
    <mergeCell ref="ACQ18:ACV18"/>
    <mergeCell ref="ACW18:ACZ18"/>
    <mergeCell ref="ADA18:ADB18"/>
    <mergeCell ref="ADC18:ADD18"/>
    <mergeCell ref="ADE18:ADF18"/>
    <mergeCell ref="ADG18:ADL18"/>
    <mergeCell ref="ADM18:ADP18"/>
    <mergeCell ref="ADQ18:ADR18"/>
    <mergeCell ref="ABK18:ABP18"/>
    <mergeCell ref="ABQ18:ABT18"/>
    <mergeCell ref="ABU18:ABV18"/>
    <mergeCell ref="ABW18:ABX18"/>
    <mergeCell ref="ABY18:ABZ18"/>
    <mergeCell ref="ACA18:ACF18"/>
    <mergeCell ref="ACG18:ACJ18"/>
    <mergeCell ref="ACK18:ACL18"/>
    <mergeCell ref="ACM18:ACN18"/>
    <mergeCell ref="AAK18:AAN18"/>
    <mergeCell ref="AAO18:AAP18"/>
    <mergeCell ref="AAQ18:AAR18"/>
    <mergeCell ref="AAS18:AAT18"/>
    <mergeCell ref="AAU18:AAZ18"/>
    <mergeCell ref="ABA18:ABD18"/>
    <mergeCell ref="ABE18:ABF18"/>
    <mergeCell ref="ABG18:ABH18"/>
    <mergeCell ref="ABI18:ABJ18"/>
    <mergeCell ref="ZI18:ZJ18"/>
    <mergeCell ref="ZK18:ZL18"/>
    <mergeCell ref="ZM18:ZN18"/>
    <mergeCell ref="ZO18:ZT18"/>
    <mergeCell ref="ZU18:ZX18"/>
    <mergeCell ref="ZY18:ZZ18"/>
    <mergeCell ref="AAA18:AAB18"/>
    <mergeCell ref="AAC18:AAD18"/>
    <mergeCell ref="AAE18:AAJ18"/>
    <mergeCell ref="YE18:YF18"/>
    <mergeCell ref="YG18:YH18"/>
    <mergeCell ref="YI18:YN18"/>
    <mergeCell ref="YO18:YR18"/>
    <mergeCell ref="YS18:YT18"/>
    <mergeCell ref="YU18:YV18"/>
    <mergeCell ref="YW18:YX18"/>
    <mergeCell ref="YY18:ZD18"/>
    <mergeCell ref="ZE18:ZH18"/>
    <mergeCell ref="XA18:XB18"/>
    <mergeCell ref="XC18:XH18"/>
    <mergeCell ref="XI18:XL18"/>
    <mergeCell ref="XM18:XN18"/>
    <mergeCell ref="XO18:XP18"/>
    <mergeCell ref="XQ18:XR18"/>
    <mergeCell ref="XS18:XX18"/>
    <mergeCell ref="XY18:YB18"/>
    <mergeCell ref="YC18:YD18"/>
    <mergeCell ref="VW18:WB18"/>
    <mergeCell ref="WC18:WF18"/>
    <mergeCell ref="WG18:WH18"/>
    <mergeCell ref="WI18:WJ18"/>
    <mergeCell ref="WK18:WL18"/>
    <mergeCell ref="WM18:WR18"/>
    <mergeCell ref="WS18:WV18"/>
    <mergeCell ref="WW18:WX18"/>
    <mergeCell ref="WY18:WZ18"/>
    <mergeCell ref="UW18:UZ18"/>
    <mergeCell ref="VA18:VB18"/>
    <mergeCell ref="VC18:VD18"/>
    <mergeCell ref="VE18:VF18"/>
    <mergeCell ref="VG18:VL18"/>
    <mergeCell ref="VM18:VP18"/>
    <mergeCell ref="VQ18:VR18"/>
    <mergeCell ref="VS18:VT18"/>
    <mergeCell ref="VU18:VV18"/>
    <mergeCell ref="TU18:TV18"/>
    <mergeCell ref="TW18:TX18"/>
    <mergeCell ref="TY18:TZ18"/>
    <mergeCell ref="UA18:UF18"/>
    <mergeCell ref="UG18:UJ18"/>
    <mergeCell ref="UK18:UL18"/>
    <mergeCell ref="UM18:UN18"/>
    <mergeCell ref="UO18:UP18"/>
    <mergeCell ref="UQ18:UV18"/>
    <mergeCell ref="SQ18:SR18"/>
    <mergeCell ref="SS18:ST18"/>
    <mergeCell ref="SU18:SZ18"/>
    <mergeCell ref="TA18:TD18"/>
    <mergeCell ref="TE18:TF18"/>
    <mergeCell ref="TG18:TH18"/>
    <mergeCell ref="TI18:TJ18"/>
    <mergeCell ref="TK18:TP18"/>
    <mergeCell ref="TQ18:TT18"/>
    <mergeCell ref="RM18:RN18"/>
    <mergeCell ref="RO18:RT18"/>
    <mergeCell ref="RU18:RX18"/>
    <mergeCell ref="RY18:RZ18"/>
    <mergeCell ref="SA18:SB18"/>
    <mergeCell ref="SC18:SD18"/>
    <mergeCell ref="SE18:SJ18"/>
    <mergeCell ref="SK18:SN18"/>
    <mergeCell ref="SO18:SP18"/>
    <mergeCell ref="QI18:QN18"/>
    <mergeCell ref="QO18:QR18"/>
    <mergeCell ref="QS18:QT18"/>
    <mergeCell ref="QU18:QV18"/>
    <mergeCell ref="QW18:QX18"/>
    <mergeCell ref="QY18:RD18"/>
    <mergeCell ref="RE18:RH18"/>
    <mergeCell ref="RI18:RJ18"/>
    <mergeCell ref="RK18:RL18"/>
    <mergeCell ref="PI18:PL18"/>
    <mergeCell ref="PM18:PN18"/>
    <mergeCell ref="PO18:PP18"/>
    <mergeCell ref="PQ18:PR18"/>
    <mergeCell ref="PS18:PX18"/>
    <mergeCell ref="PY18:QB18"/>
    <mergeCell ref="QC18:QD18"/>
    <mergeCell ref="QE18:QF18"/>
    <mergeCell ref="QG18:QH18"/>
    <mergeCell ref="OG18:OH18"/>
    <mergeCell ref="OI18:OJ18"/>
    <mergeCell ref="OK18:OL18"/>
    <mergeCell ref="OM18:OR18"/>
    <mergeCell ref="OS18:OV18"/>
    <mergeCell ref="OW18:OX18"/>
    <mergeCell ref="OY18:OZ18"/>
    <mergeCell ref="PA18:PB18"/>
    <mergeCell ref="PC18:PH18"/>
    <mergeCell ref="NC18:ND18"/>
    <mergeCell ref="NE18:NF18"/>
    <mergeCell ref="NG18:NL18"/>
    <mergeCell ref="NM18:NP18"/>
    <mergeCell ref="NQ18:NR18"/>
    <mergeCell ref="NS18:NT18"/>
    <mergeCell ref="NU18:NV18"/>
    <mergeCell ref="NW18:OB18"/>
    <mergeCell ref="OC18:OF18"/>
    <mergeCell ref="LY18:LZ18"/>
    <mergeCell ref="MA18:MF18"/>
    <mergeCell ref="MG18:MJ18"/>
    <mergeCell ref="MK18:ML18"/>
    <mergeCell ref="MM18:MN18"/>
    <mergeCell ref="MO18:MP18"/>
    <mergeCell ref="MQ18:MV18"/>
    <mergeCell ref="MW18:MZ18"/>
    <mergeCell ref="NA18:NB18"/>
    <mergeCell ref="KU18:KZ18"/>
    <mergeCell ref="LA18:LD18"/>
    <mergeCell ref="LE18:LF18"/>
    <mergeCell ref="LG18:LH18"/>
    <mergeCell ref="LI18:LJ18"/>
    <mergeCell ref="LK18:LP18"/>
    <mergeCell ref="LQ18:LT18"/>
    <mergeCell ref="LU18:LV18"/>
    <mergeCell ref="LW18:LX18"/>
    <mergeCell ref="DI18:DJ18"/>
    <mergeCell ref="DK18:DP18"/>
    <mergeCell ref="DQ18:DT18"/>
    <mergeCell ref="DU18:DV18"/>
    <mergeCell ref="DW18:DX18"/>
    <mergeCell ref="DY18:DZ18"/>
    <mergeCell ref="EA18:EF18"/>
    <mergeCell ref="CA18:CB18"/>
    <mergeCell ref="CC18:CD18"/>
    <mergeCell ref="CE18:CJ18"/>
    <mergeCell ref="CK18:CN18"/>
    <mergeCell ref="CO18:CP18"/>
    <mergeCell ref="CQ18:CR18"/>
    <mergeCell ref="CS18:CT18"/>
    <mergeCell ref="CU18:CZ18"/>
    <mergeCell ref="DA18:DD18"/>
    <mergeCell ref="JU18:JX18"/>
    <mergeCell ref="JY18:JZ18"/>
    <mergeCell ref="KA18:KB18"/>
    <mergeCell ref="KC18:KD18"/>
    <mergeCell ref="KE18:KJ18"/>
    <mergeCell ref="KK18:KN18"/>
    <mergeCell ref="KO18:KP18"/>
    <mergeCell ref="KQ18:KR18"/>
    <mergeCell ref="KS18:KT18"/>
    <mergeCell ref="IS18:IT18"/>
    <mergeCell ref="IU18:IV18"/>
    <mergeCell ref="IW18:IX18"/>
    <mergeCell ref="IY18:JD18"/>
    <mergeCell ref="JE18:JH18"/>
    <mergeCell ref="JI18:JJ18"/>
    <mergeCell ref="JK18:JL18"/>
    <mergeCell ref="JM18:JN18"/>
    <mergeCell ref="JO18:JT18"/>
    <mergeCell ref="HO18:HP18"/>
    <mergeCell ref="HQ18:HR18"/>
    <mergeCell ref="HS18:HX18"/>
    <mergeCell ref="HY18:IB18"/>
    <mergeCell ref="IC18:ID18"/>
    <mergeCell ref="IE18:IF18"/>
    <mergeCell ref="IG18:IH18"/>
    <mergeCell ref="II18:IN18"/>
    <mergeCell ref="IO18:IR18"/>
    <mergeCell ref="GK18:GL18"/>
    <mergeCell ref="GM18:GR18"/>
    <mergeCell ref="GS18:GV18"/>
    <mergeCell ref="GW18:GX18"/>
    <mergeCell ref="GY18:GZ18"/>
    <mergeCell ref="HA18:HB18"/>
    <mergeCell ref="HC18:HH18"/>
    <mergeCell ref="HI18:HL18"/>
    <mergeCell ref="HM18:HN18"/>
    <mergeCell ref="XAU11:XAV11"/>
    <mergeCell ref="XAW11:XAX11"/>
    <mergeCell ref="XAY11:XBD11"/>
    <mergeCell ref="XBE11:XBH11"/>
    <mergeCell ref="XBI11:XBJ11"/>
    <mergeCell ref="XBK11:XBL11"/>
    <mergeCell ref="XBM11:XBN11"/>
    <mergeCell ref="XBO11:XBT11"/>
    <mergeCell ref="A18:D18"/>
    <mergeCell ref="E18:F18"/>
    <mergeCell ref="G18:H18"/>
    <mergeCell ref="I18:J18"/>
    <mergeCell ref="K18:P18"/>
    <mergeCell ref="WZQ11:WZR11"/>
    <mergeCell ref="WZS11:WZX11"/>
    <mergeCell ref="WZY11:XAB11"/>
    <mergeCell ref="XAC11:XAD11"/>
    <mergeCell ref="XAE11:XAF11"/>
    <mergeCell ref="XAG11:XAH11"/>
    <mergeCell ref="XAI11:XAN11"/>
    <mergeCell ref="XAO11:XAR11"/>
    <mergeCell ref="XAS11:XAT11"/>
    <mergeCell ref="WYM11:WYR11"/>
    <mergeCell ref="WYS11:WYV11"/>
    <mergeCell ref="WYW11:WYX11"/>
    <mergeCell ref="WYY11:WYZ11"/>
    <mergeCell ref="WZA11:WZB11"/>
    <mergeCell ref="WZC11:WZH11"/>
    <mergeCell ref="WZI11:WZL11"/>
    <mergeCell ref="WZM11:WZN11"/>
    <mergeCell ref="WZO11:WZP11"/>
    <mergeCell ref="WXM11:WXP11"/>
    <mergeCell ref="WXQ11:WXR11"/>
    <mergeCell ref="WXS11:WXT11"/>
    <mergeCell ref="WXU11:WXV11"/>
    <mergeCell ref="WXW11:WYB11"/>
    <mergeCell ref="WYC11:WYF11"/>
    <mergeCell ref="WYG11:WYH11"/>
    <mergeCell ref="WYI11:WYJ11"/>
    <mergeCell ref="WYK11:WYL11"/>
    <mergeCell ref="WWK11:WWL11"/>
    <mergeCell ref="WWM11:WWN11"/>
    <mergeCell ref="WWO11:WWP11"/>
    <mergeCell ref="WWQ11:WWV11"/>
    <mergeCell ref="WWW11:WWZ11"/>
    <mergeCell ref="WXA11:WXB11"/>
    <mergeCell ref="WXC11:WXD11"/>
    <mergeCell ref="WXE11:WXF11"/>
    <mergeCell ref="WXG11:WXL11"/>
    <mergeCell ref="WVG11:WVH11"/>
    <mergeCell ref="WVI11:WVJ11"/>
    <mergeCell ref="WVK11:WVP11"/>
    <mergeCell ref="WVQ11:WVT11"/>
    <mergeCell ref="Q18:R18"/>
    <mergeCell ref="FG18:FL18"/>
    <mergeCell ref="FM18:FP18"/>
    <mergeCell ref="FQ18:FR18"/>
    <mergeCell ref="FS18:FT18"/>
    <mergeCell ref="FU18:FV18"/>
    <mergeCell ref="FW18:GB18"/>
    <mergeCell ref="GC18:GF18"/>
    <mergeCell ref="GG18:GH18"/>
    <mergeCell ref="GI18:GJ18"/>
    <mergeCell ref="EG18:EJ18"/>
    <mergeCell ref="WVU11:WVV11"/>
    <mergeCell ref="WVW11:WVX11"/>
    <mergeCell ref="WVY11:WVZ11"/>
    <mergeCell ref="WWA11:WWF11"/>
    <mergeCell ref="WWG11:WWJ11"/>
    <mergeCell ref="WUC11:WUD11"/>
    <mergeCell ref="WUE11:WUJ11"/>
    <mergeCell ref="WUK11:WUN11"/>
    <mergeCell ref="WUO11:WUP11"/>
    <mergeCell ref="WUQ11:WUR11"/>
    <mergeCell ref="WUS11:WUT11"/>
    <mergeCell ref="WUU11:WUZ11"/>
    <mergeCell ref="WVA11:WVD11"/>
    <mergeCell ref="WVE11:WVF11"/>
    <mergeCell ref="WSY11:WTD11"/>
    <mergeCell ref="WTE11:WTH11"/>
    <mergeCell ref="WTI11:WTJ11"/>
    <mergeCell ref="WTK11:WTL11"/>
    <mergeCell ref="WTM11:WTN11"/>
    <mergeCell ref="WTO11:WTT11"/>
    <mergeCell ref="WTU11:WTX11"/>
    <mergeCell ref="WTY11:WTZ11"/>
    <mergeCell ref="WUA11:WUB11"/>
    <mergeCell ref="WRY11:WSB11"/>
    <mergeCell ref="WSC11:WSD11"/>
    <mergeCell ref="WSE11:WSF11"/>
    <mergeCell ref="WSG11:WSH11"/>
    <mergeCell ref="WSI11:WSN11"/>
    <mergeCell ref="WSO11:WSR11"/>
    <mergeCell ref="WSS11:WST11"/>
    <mergeCell ref="WSU11:WSV11"/>
    <mergeCell ref="WSW11:WSX11"/>
    <mergeCell ref="WQW11:WQX11"/>
    <mergeCell ref="WQY11:WQZ11"/>
    <mergeCell ref="WRA11:WRB11"/>
    <mergeCell ref="WRC11:WRH11"/>
    <mergeCell ref="WRI11:WRL11"/>
    <mergeCell ref="WRM11:WRN11"/>
    <mergeCell ref="WRO11:WRP11"/>
    <mergeCell ref="WRQ11:WRR11"/>
    <mergeCell ref="WRS11:WRX11"/>
    <mergeCell ref="WPS11:WPT11"/>
    <mergeCell ref="WPU11:WPV11"/>
    <mergeCell ref="WPW11:WQB11"/>
    <mergeCell ref="WQC11:WQF11"/>
    <mergeCell ref="WQG11:WQH11"/>
    <mergeCell ref="WQI11:WQJ11"/>
    <mergeCell ref="WQK11:WQL11"/>
    <mergeCell ref="WQM11:WQR11"/>
    <mergeCell ref="WQS11:WQV11"/>
    <mergeCell ref="WOO11:WOP11"/>
    <mergeCell ref="WOQ11:WOV11"/>
    <mergeCell ref="WOW11:WOZ11"/>
    <mergeCell ref="WPA11:WPB11"/>
    <mergeCell ref="WPC11:WPD11"/>
    <mergeCell ref="WPE11:WPF11"/>
    <mergeCell ref="WPG11:WPL11"/>
    <mergeCell ref="WPM11:WPP11"/>
    <mergeCell ref="WPQ11:WPR11"/>
    <mergeCell ref="WNK11:WNP11"/>
    <mergeCell ref="WNQ11:WNT11"/>
    <mergeCell ref="WNU11:WNV11"/>
    <mergeCell ref="WNW11:WNX11"/>
    <mergeCell ref="WNY11:WNZ11"/>
    <mergeCell ref="WOA11:WOF11"/>
    <mergeCell ref="WOG11:WOJ11"/>
    <mergeCell ref="WOK11:WOL11"/>
    <mergeCell ref="WOM11:WON11"/>
    <mergeCell ref="WMK11:WMN11"/>
    <mergeCell ref="WMO11:WMP11"/>
    <mergeCell ref="WMQ11:WMR11"/>
    <mergeCell ref="WMS11:WMT11"/>
    <mergeCell ref="WMU11:WMZ11"/>
    <mergeCell ref="WNA11:WND11"/>
    <mergeCell ref="WNE11:WNF11"/>
    <mergeCell ref="WNG11:WNH11"/>
    <mergeCell ref="WNI11:WNJ11"/>
    <mergeCell ref="WLI11:WLJ11"/>
    <mergeCell ref="WLK11:WLL11"/>
    <mergeCell ref="WLM11:WLN11"/>
    <mergeCell ref="WLO11:WLT11"/>
    <mergeCell ref="WLU11:WLX11"/>
    <mergeCell ref="WLY11:WLZ11"/>
    <mergeCell ref="WMA11:WMB11"/>
    <mergeCell ref="WMC11:WMD11"/>
    <mergeCell ref="WME11:WMJ11"/>
    <mergeCell ref="WKE11:WKF11"/>
    <mergeCell ref="WKG11:WKH11"/>
    <mergeCell ref="WKI11:WKN11"/>
    <mergeCell ref="WKO11:WKR11"/>
    <mergeCell ref="WKS11:WKT11"/>
    <mergeCell ref="WKU11:WKV11"/>
    <mergeCell ref="WKW11:WKX11"/>
    <mergeCell ref="WKY11:WLD11"/>
    <mergeCell ref="WLE11:WLH11"/>
    <mergeCell ref="WJA11:WJB11"/>
    <mergeCell ref="WJC11:WJH11"/>
    <mergeCell ref="WJI11:WJL11"/>
    <mergeCell ref="WJM11:WJN11"/>
    <mergeCell ref="WJO11:WJP11"/>
    <mergeCell ref="WJQ11:WJR11"/>
    <mergeCell ref="WJS11:WJX11"/>
    <mergeCell ref="WJY11:WKB11"/>
    <mergeCell ref="WKC11:WKD11"/>
    <mergeCell ref="WHW11:WIB11"/>
    <mergeCell ref="WIC11:WIF11"/>
    <mergeCell ref="WIG11:WIH11"/>
    <mergeCell ref="WII11:WIJ11"/>
    <mergeCell ref="WIK11:WIL11"/>
    <mergeCell ref="WIM11:WIR11"/>
    <mergeCell ref="WIS11:WIV11"/>
    <mergeCell ref="WIW11:WIX11"/>
    <mergeCell ref="WIY11:WIZ11"/>
    <mergeCell ref="WGW11:WGZ11"/>
    <mergeCell ref="WHA11:WHB11"/>
    <mergeCell ref="WHC11:WHD11"/>
    <mergeCell ref="WHE11:WHF11"/>
    <mergeCell ref="WHG11:WHL11"/>
    <mergeCell ref="WHM11:WHP11"/>
    <mergeCell ref="WHQ11:WHR11"/>
    <mergeCell ref="WHS11:WHT11"/>
    <mergeCell ref="WHU11:WHV11"/>
    <mergeCell ref="WFU11:WFV11"/>
    <mergeCell ref="WFW11:WFX11"/>
    <mergeCell ref="WFY11:WFZ11"/>
    <mergeCell ref="WGA11:WGF11"/>
    <mergeCell ref="WGG11:WGJ11"/>
    <mergeCell ref="WGK11:WGL11"/>
    <mergeCell ref="WGM11:WGN11"/>
    <mergeCell ref="WGO11:WGP11"/>
    <mergeCell ref="WGQ11:WGV11"/>
    <mergeCell ref="WEQ11:WER11"/>
    <mergeCell ref="WES11:WET11"/>
    <mergeCell ref="WEU11:WEZ11"/>
    <mergeCell ref="WFA11:WFD11"/>
    <mergeCell ref="WFE11:WFF11"/>
    <mergeCell ref="WFG11:WFH11"/>
    <mergeCell ref="WFI11:WFJ11"/>
    <mergeCell ref="WFK11:WFP11"/>
    <mergeCell ref="WFQ11:WFT11"/>
    <mergeCell ref="WDM11:WDN11"/>
    <mergeCell ref="WDO11:WDT11"/>
    <mergeCell ref="WDU11:WDX11"/>
    <mergeCell ref="WDY11:WDZ11"/>
    <mergeCell ref="WEA11:WEB11"/>
    <mergeCell ref="WEC11:WED11"/>
    <mergeCell ref="WEE11:WEJ11"/>
    <mergeCell ref="WEK11:WEN11"/>
    <mergeCell ref="WEO11:WEP11"/>
    <mergeCell ref="WCI11:WCN11"/>
    <mergeCell ref="WCO11:WCR11"/>
    <mergeCell ref="WCS11:WCT11"/>
    <mergeCell ref="WCU11:WCV11"/>
    <mergeCell ref="WCW11:WCX11"/>
    <mergeCell ref="WCY11:WDD11"/>
    <mergeCell ref="WDE11:WDH11"/>
    <mergeCell ref="WDI11:WDJ11"/>
    <mergeCell ref="WDK11:WDL11"/>
    <mergeCell ref="WBI11:WBL11"/>
    <mergeCell ref="WBM11:WBN11"/>
    <mergeCell ref="WBO11:WBP11"/>
    <mergeCell ref="WBQ11:WBR11"/>
    <mergeCell ref="WBS11:WBX11"/>
    <mergeCell ref="WBY11:WCB11"/>
    <mergeCell ref="WCC11:WCD11"/>
    <mergeCell ref="WCE11:WCF11"/>
    <mergeCell ref="WCG11:WCH11"/>
    <mergeCell ref="WAG11:WAH11"/>
    <mergeCell ref="WAI11:WAJ11"/>
    <mergeCell ref="WAK11:WAL11"/>
    <mergeCell ref="WAM11:WAR11"/>
    <mergeCell ref="WAS11:WAV11"/>
    <mergeCell ref="WAW11:WAX11"/>
    <mergeCell ref="WAY11:WAZ11"/>
    <mergeCell ref="WBA11:WBB11"/>
    <mergeCell ref="WBC11:WBH11"/>
    <mergeCell ref="VZC11:VZD11"/>
    <mergeCell ref="VZE11:VZF11"/>
    <mergeCell ref="VZG11:VZL11"/>
    <mergeCell ref="VZM11:VZP11"/>
    <mergeCell ref="VZQ11:VZR11"/>
    <mergeCell ref="VZS11:VZT11"/>
    <mergeCell ref="VZU11:VZV11"/>
    <mergeCell ref="VZW11:WAB11"/>
    <mergeCell ref="WAC11:WAF11"/>
    <mergeCell ref="VXY11:VXZ11"/>
    <mergeCell ref="VYA11:VYF11"/>
    <mergeCell ref="VYG11:VYJ11"/>
    <mergeCell ref="VYK11:VYL11"/>
    <mergeCell ref="VYM11:VYN11"/>
    <mergeCell ref="VYO11:VYP11"/>
    <mergeCell ref="VYQ11:VYV11"/>
    <mergeCell ref="VYW11:VYZ11"/>
    <mergeCell ref="VZA11:VZB11"/>
    <mergeCell ref="VWU11:VWZ11"/>
    <mergeCell ref="VXA11:VXD11"/>
    <mergeCell ref="VXE11:VXF11"/>
    <mergeCell ref="VXG11:VXH11"/>
    <mergeCell ref="VXI11:VXJ11"/>
    <mergeCell ref="VXK11:VXP11"/>
    <mergeCell ref="VXQ11:VXT11"/>
    <mergeCell ref="VXU11:VXV11"/>
    <mergeCell ref="VXW11:VXX11"/>
    <mergeCell ref="VVU11:VVX11"/>
    <mergeCell ref="VVY11:VVZ11"/>
    <mergeCell ref="VWA11:VWB11"/>
    <mergeCell ref="VWC11:VWD11"/>
    <mergeCell ref="VWE11:VWJ11"/>
    <mergeCell ref="VWK11:VWN11"/>
    <mergeCell ref="VWO11:VWP11"/>
    <mergeCell ref="VWQ11:VWR11"/>
    <mergeCell ref="VWS11:VWT11"/>
    <mergeCell ref="VUS11:VUT11"/>
    <mergeCell ref="VUU11:VUV11"/>
    <mergeCell ref="VUW11:VUX11"/>
    <mergeCell ref="VUY11:VVD11"/>
    <mergeCell ref="VVE11:VVH11"/>
    <mergeCell ref="VVI11:VVJ11"/>
    <mergeCell ref="VVK11:VVL11"/>
    <mergeCell ref="VVM11:VVN11"/>
    <mergeCell ref="VVO11:VVT11"/>
    <mergeCell ref="VTO11:VTP11"/>
    <mergeCell ref="VTQ11:VTR11"/>
    <mergeCell ref="VTS11:VTX11"/>
    <mergeCell ref="VTY11:VUB11"/>
    <mergeCell ref="VUC11:VUD11"/>
    <mergeCell ref="VUE11:VUF11"/>
    <mergeCell ref="VUG11:VUH11"/>
    <mergeCell ref="VUI11:VUN11"/>
    <mergeCell ref="VUO11:VUR11"/>
    <mergeCell ref="VSK11:VSL11"/>
    <mergeCell ref="VSM11:VSR11"/>
    <mergeCell ref="VSS11:VSV11"/>
    <mergeCell ref="VSW11:VSX11"/>
    <mergeCell ref="VSY11:VSZ11"/>
    <mergeCell ref="VTA11:VTB11"/>
    <mergeCell ref="VTC11:VTH11"/>
    <mergeCell ref="VTI11:VTL11"/>
    <mergeCell ref="VTM11:VTN11"/>
    <mergeCell ref="VRG11:VRL11"/>
    <mergeCell ref="VRM11:VRP11"/>
    <mergeCell ref="VRQ11:VRR11"/>
    <mergeCell ref="VRS11:VRT11"/>
    <mergeCell ref="VRU11:VRV11"/>
    <mergeCell ref="VRW11:VSB11"/>
    <mergeCell ref="VSC11:VSF11"/>
    <mergeCell ref="VSG11:VSH11"/>
    <mergeCell ref="VSI11:VSJ11"/>
    <mergeCell ref="VQG11:VQJ11"/>
    <mergeCell ref="VQK11:VQL11"/>
    <mergeCell ref="VQM11:VQN11"/>
    <mergeCell ref="VQO11:VQP11"/>
    <mergeCell ref="VQQ11:VQV11"/>
    <mergeCell ref="VQW11:VQZ11"/>
    <mergeCell ref="VRA11:VRB11"/>
    <mergeCell ref="VRC11:VRD11"/>
    <mergeCell ref="VRE11:VRF11"/>
    <mergeCell ref="VPE11:VPF11"/>
    <mergeCell ref="VPG11:VPH11"/>
    <mergeCell ref="VPI11:VPJ11"/>
    <mergeCell ref="VPK11:VPP11"/>
    <mergeCell ref="VPQ11:VPT11"/>
    <mergeCell ref="VPU11:VPV11"/>
    <mergeCell ref="VPW11:VPX11"/>
    <mergeCell ref="VPY11:VPZ11"/>
    <mergeCell ref="VQA11:VQF11"/>
    <mergeCell ref="VOA11:VOB11"/>
    <mergeCell ref="VOC11:VOD11"/>
    <mergeCell ref="VOE11:VOJ11"/>
    <mergeCell ref="VOK11:VON11"/>
    <mergeCell ref="VOO11:VOP11"/>
    <mergeCell ref="VOQ11:VOR11"/>
    <mergeCell ref="VOS11:VOT11"/>
    <mergeCell ref="VOU11:VOZ11"/>
    <mergeCell ref="VPA11:VPD11"/>
    <mergeCell ref="VMW11:VMX11"/>
    <mergeCell ref="VMY11:VND11"/>
    <mergeCell ref="VNE11:VNH11"/>
    <mergeCell ref="VNI11:VNJ11"/>
    <mergeCell ref="VNK11:VNL11"/>
    <mergeCell ref="VNM11:VNN11"/>
    <mergeCell ref="VNO11:VNT11"/>
    <mergeCell ref="VNU11:VNX11"/>
    <mergeCell ref="VNY11:VNZ11"/>
    <mergeCell ref="VLS11:VLX11"/>
    <mergeCell ref="VLY11:VMB11"/>
    <mergeCell ref="VMC11:VMD11"/>
    <mergeCell ref="VME11:VMF11"/>
    <mergeCell ref="VMG11:VMH11"/>
    <mergeCell ref="VMI11:VMN11"/>
    <mergeCell ref="VMO11:VMR11"/>
    <mergeCell ref="VMS11:VMT11"/>
    <mergeCell ref="VMU11:VMV11"/>
    <mergeCell ref="VKS11:VKV11"/>
    <mergeCell ref="VKW11:VKX11"/>
    <mergeCell ref="VKY11:VKZ11"/>
    <mergeCell ref="VLA11:VLB11"/>
    <mergeCell ref="VLC11:VLH11"/>
    <mergeCell ref="VLI11:VLL11"/>
    <mergeCell ref="VLM11:VLN11"/>
    <mergeCell ref="VLO11:VLP11"/>
    <mergeCell ref="VLQ11:VLR11"/>
    <mergeCell ref="VJQ11:VJR11"/>
    <mergeCell ref="VJS11:VJT11"/>
    <mergeCell ref="VJU11:VJV11"/>
    <mergeCell ref="VJW11:VKB11"/>
    <mergeCell ref="VKC11:VKF11"/>
    <mergeCell ref="VKG11:VKH11"/>
    <mergeCell ref="VKI11:VKJ11"/>
    <mergeCell ref="VKK11:VKL11"/>
    <mergeCell ref="VKM11:VKR11"/>
    <mergeCell ref="VIM11:VIN11"/>
    <mergeCell ref="VIO11:VIP11"/>
    <mergeCell ref="VIQ11:VIV11"/>
    <mergeCell ref="VIW11:VIZ11"/>
    <mergeCell ref="VJA11:VJB11"/>
    <mergeCell ref="VJC11:VJD11"/>
    <mergeCell ref="VJE11:VJF11"/>
    <mergeCell ref="VJG11:VJL11"/>
    <mergeCell ref="VJM11:VJP11"/>
    <mergeCell ref="VHI11:VHJ11"/>
    <mergeCell ref="VHK11:VHP11"/>
    <mergeCell ref="VHQ11:VHT11"/>
    <mergeCell ref="VHU11:VHV11"/>
    <mergeCell ref="VHW11:VHX11"/>
    <mergeCell ref="VHY11:VHZ11"/>
    <mergeCell ref="VIA11:VIF11"/>
    <mergeCell ref="VIG11:VIJ11"/>
    <mergeCell ref="VIK11:VIL11"/>
    <mergeCell ref="VGE11:VGJ11"/>
    <mergeCell ref="VGK11:VGN11"/>
    <mergeCell ref="VGO11:VGP11"/>
    <mergeCell ref="VGQ11:VGR11"/>
    <mergeCell ref="VGS11:VGT11"/>
    <mergeCell ref="VGU11:VGZ11"/>
    <mergeCell ref="VHA11:VHD11"/>
    <mergeCell ref="VHE11:VHF11"/>
    <mergeCell ref="VHG11:VHH11"/>
    <mergeCell ref="VFE11:VFH11"/>
    <mergeCell ref="VFI11:VFJ11"/>
    <mergeCell ref="VFK11:VFL11"/>
    <mergeCell ref="VFM11:VFN11"/>
    <mergeCell ref="VFO11:VFT11"/>
    <mergeCell ref="VFU11:VFX11"/>
    <mergeCell ref="VFY11:VFZ11"/>
    <mergeCell ref="VGA11:VGB11"/>
    <mergeCell ref="VGC11:VGD11"/>
    <mergeCell ref="VEC11:VED11"/>
    <mergeCell ref="VEE11:VEF11"/>
    <mergeCell ref="VEG11:VEH11"/>
    <mergeCell ref="VEI11:VEN11"/>
    <mergeCell ref="VEO11:VER11"/>
    <mergeCell ref="VES11:VET11"/>
    <mergeCell ref="VEU11:VEV11"/>
    <mergeCell ref="VEW11:VEX11"/>
    <mergeCell ref="VEY11:VFD11"/>
    <mergeCell ref="VCY11:VCZ11"/>
    <mergeCell ref="VDA11:VDB11"/>
    <mergeCell ref="VDC11:VDH11"/>
    <mergeCell ref="VDI11:VDL11"/>
    <mergeCell ref="VDM11:VDN11"/>
    <mergeCell ref="VDO11:VDP11"/>
    <mergeCell ref="VDQ11:VDR11"/>
    <mergeCell ref="VDS11:VDX11"/>
    <mergeCell ref="VDY11:VEB11"/>
    <mergeCell ref="VBU11:VBV11"/>
    <mergeCell ref="VBW11:VCB11"/>
    <mergeCell ref="VCC11:VCF11"/>
    <mergeCell ref="VCG11:VCH11"/>
    <mergeCell ref="VCI11:VCJ11"/>
    <mergeCell ref="VCK11:VCL11"/>
    <mergeCell ref="VCM11:VCR11"/>
    <mergeCell ref="VCS11:VCV11"/>
    <mergeCell ref="VCW11:VCX11"/>
    <mergeCell ref="VAQ11:VAV11"/>
    <mergeCell ref="VAW11:VAZ11"/>
    <mergeCell ref="VBA11:VBB11"/>
    <mergeCell ref="VBC11:VBD11"/>
    <mergeCell ref="VBE11:VBF11"/>
    <mergeCell ref="VBG11:VBL11"/>
    <mergeCell ref="VBM11:VBP11"/>
    <mergeCell ref="VBQ11:VBR11"/>
    <mergeCell ref="VBS11:VBT11"/>
    <mergeCell ref="UZQ11:UZT11"/>
    <mergeCell ref="UZU11:UZV11"/>
    <mergeCell ref="UZW11:UZX11"/>
    <mergeCell ref="UZY11:UZZ11"/>
    <mergeCell ref="VAA11:VAF11"/>
    <mergeCell ref="VAG11:VAJ11"/>
    <mergeCell ref="VAK11:VAL11"/>
    <mergeCell ref="VAM11:VAN11"/>
    <mergeCell ref="VAO11:VAP11"/>
    <mergeCell ref="UYO11:UYP11"/>
    <mergeCell ref="UYQ11:UYR11"/>
    <mergeCell ref="UYS11:UYT11"/>
    <mergeCell ref="UYU11:UYZ11"/>
    <mergeCell ref="UZA11:UZD11"/>
    <mergeCell ref="UZE11:UZF11"/>
    <mergeCell ref="UZG11:UZH11"/>
    <mergeCell ref="UZI11:UZJ11"/>
    <mergeCell ref="UZK11:UZP11"/>
    <mergeCell ref="UXK11:UXL11"/>
    <mergeCell ref="UXM11:UXN11"/>
    <mergeCell ref="UXO11:UXT11"/>
    <mergeCell ref="UXU11:UXX11"/>
    <mergeCell ref="UXY11:UXZ11"/>
    <mergeCell ref="UYA11:UYB11"/>
    <mergeCell ref="UYC11:UYD11"/>
    <mergeCell ref="UYE11:UYJ11"/>
    <mergeCell ref="UYK11:UYN11"/>
    <mergeCell ref="UWG11:UWH11"/>
    <mergeCell ref="UWI11:UWN11"/>
    <mergeCell ref="UWO11:UWR11"/>
    <mergeCell ref="UWS11:UWT11"/>
    <mergeCell ref="UWU11:UWV11"/>
    <mergeCell ref="UWW11:UWX11"/>
    <mergeCell ref="UWY11:UXD11"/>
    <mergeCell ref="UXE11:UXH11"/>
    <mergeCell ref="UXI11:UXJ11"/>
    <mergeCell ref="UVC11:UVH11"/>
    <mergeCell ref="UVI11:UVL11"/>
    <mergeCell ref="UVM11:UVN11"/>
    <mergeCell ref="UVO11:UVP11"/>
    <mergeCell ref="UVQ11:UVR11"/>
    <mergeCell ref="UVS11:UVX11"/>
    <mergeCell ref="UVY11:UWB11"/>
    <mergeCell ref="UWC11:UWD11"/>
    <mergeCell ref="UWE11:UWF11"/>
    <mergeCell ref="UUC11:UUF11"/>
    <mergeCell ref="UUG11:UUH11"/>
    <mergeCell ref="UUI11:UUJ11"/>
    <mergeCell ref="UUK11:UUL11"/>
    <mergeCell ref="UUM11:UUR11"/>
    <mergeCell ref="UUS11:UUV11"/>
    <mergeCell ref="UUW11:UUX11"/>
    <mergeCell ref="UUY11:UUZ11"/>
    <mergeCell ref="UVA11:UVB11"/>
    <mergeCell ref="UTA11:UTB11"/>
    <mergeCell ref="UTC11:UTD11"/>
    <mergeCell ref="UTE11:UTF11"/>
    <mergeCell ref="UTG11:UTL11"/>
    <mergeCell ref="UTM11:UTP11"/>
    <mergeCell ref="UTQ11:UTR11"/>
    <mergeCell ref="UTS11:UTT11"/>
    <mergeCell ref="UTU11:UTV11"/>
    <mergeCell ref="UTW11:UUB11"/>
    <mergeCell ref="URW11:URX11"/>
    <mergeCell ref="URY11:URZ11"/>
    <mergeCell ref="USA11:USF11"/>
    <mergeCell ref="USG11:USJ11"/>
    <mergeCell ref="USK11:USL11"/>
    <mergeCell ref="USM11:USN11"/>
    <mergeCell ref="USO11:USP11"/>
    <mergeCell ref="USQ11:USV11"/>
    <mergeCell ref="USW11:USZ11"/>
    <mergeCell ref="UQS11:UQT11"/>
    <mergeCell ref="UQU11:UQZ11"/>
    <mergeCell ref="URA11:URD11"/>
    <mergeCell ref="URE11:URF11"/>
    <mergeCell ref="URG11:URH11"/>
    <mergeCell ref="URI11:URJ11"/>
    <mergeCell ref="URK11:URP11"/>
    <mergeCell ref="URQ11:URT11"/>
    <mergeCell ref="URU11:URV11"/>
    <mergeCell ref="UPO11:UPT11"/>
    <mergeCell ref="UPU11:UPX11"/>
    <mergeCell ref="UPY11:UPZ11"/>
    <mergeCell ref="UQA11:UQB11"/>
    <mergeCell ref="UQC11:UQD11"/>
    <mergeCell ref="UQE11:UQJ11"/>
    <mergeCell ref="UQK11:UQN11"/>
    <mergeCell ref="UQO11:UQP11"/>
    <mergeCell ref="UQQ11:UQR11"/>
    <mergeCell ref="UOO11:UOR11"/>
    <mergeCell ref="UOS11:UOT11"/>
    <mergeCell ref="UOU11:UOV11"/>
    <mergeCell ref="UOW11:UOX11"/>
    <mergeCell ref="UOY11:UPD11"/>
    <mergeCell ref="UPE11:UPH11"/>
    <mergeCell ref="UPI11:UPJ11"/>
    <mergeCell ref="UPK11:UPL11"/>
    <mergeCell ref="UPM11:UPN11"/>
    <mergeCell ref="UNM11:UNN11"/>
    <mergeCell ref="UNO11:UNP11"/>
    <mergeCell ref="UNQ11:UNR11"/>
    <mergeCell ref="UNS11:UNX11"/>
    <mergeCell ref="UNY11:UOB11"/>
    <mergeCell ref="UOC11:UOD11"/>
    <mergeCell ref="UOE11:UOF11"/>
    <mergeCell ref="UOG11:UOH11"/>
    <mergeCell ref="UOI11:UON11"/>
    <mergeCell ref="UMI11:UMJ11"/>
    <mergeCell ref="UMK11:UML11"/>
    <mergeCell ref="UMM11:UMR11"/>
    <mergeCell ref="UMS11:UMV11"/>
    <mergeCell ref="UMW11:UMX11"/>
    <mergeCell ref="UMY11:UMZ11"/>
    <mergeCell ref="UNA11:UNB11"/>
    <mergeCell ref="UNC11:UNH11"/>
    <mergeCell ref="UNI11:UNL11"/>
    <mergeCell ref="ULE11:ULF11"/>
    <mergeCell ref="ULG11:ULL11"/>
    <mergeCell ref="ULM11:ULP11"/>
    <mergeCell ref="ULQ11:ULR11"/>
    <mergeCell ref="ULS11:ULT11"/>
    <mergeCell ref="ULU11:ULV11"/>
    <mergeCell ref="ULW11:UMB11"/>
    <mergeCell ref="UMC11:UMF11"/>
    <mergeCell ref="UMG11:UMH11"/>
    <mergeCell ref="UKA11:UKF11"/>
    <mergeCell ref="UKG11:UKJ11"/>
    <mergeCell ref="UKK11:UKL11"/>
    <mergeCell ref="UKM11:UKN11"/>
    <mergeCell ref="UKO11:UKP11"/>
    <mergeCell ref="UKQ11:UKV11"/>
    <mergeCell ref="UKW11:UKZ11"/>
    <mergeCell ref="ULA11:ULB11"/>
    <mergeCell ref="ULC11:ULD11"/>
    <mergeCell ref="UJA11:UJD11"/>
    <mergeCell ref="UJE11:UJF11"/>
    <mergeCell ref="UJG11:UJH11"/>
    <mergeCell ref="UJI11:UJJ11"/>
    <mergeCell ref="UJK11:UJP11"/>
    <mergeCell ref="UJQ11:UJT11"/>
    <mergeCell ref="UJU11:UJV11"/>
    <mergeCell ref="UJW11:UJX11"/>
    <mergeCell ref="UJY11:UJZ11"/>
    <mergeCell ref="UHY11:UHZ11"/>
    <mergeCell ref="UIA11:UIB11"/>
    <mergeCell ref="UIC11:UID11"/>
    <mergeCell ref="UIE11:UIJ11"/>
    <mergeCell ref="UIK11:UIN11"/>
    <mergeCell ref="UIO11:UIP11"/>
    <mergeCell ref="UIQ11:UIR11"/>
    <mergeCell ref="UIS11:UIT11"/>
    <mergeCell ref="UIU11:UIZ11"/>
    <mergeCell ref="UGU11:UGV11"/>
    <mergeCell ref="UGW11:UGX11"/>
    <mergeCell ref="UGY11:UHD11"/>
    <mergeCell ref="UHE11:UHH11"/>
    <mergeCell ref="UHI11:UHJ11"/>
    <mergeCell ref="UHK11:UHL11"/>
    <mergeCell ref="UHM11:UHN11"/>
    <mergeCell ref="UHO11:UHT11"/>
    <mergeCell ref="UHU11:UHX11"/>
    <mergeCell ref="UFQ11:UFR11"/>
    <mergeCell ref="UFS11:UFX11"/>
    <mergeCell ref="UFY11:UGB11"/>
    <mergeCell ref="UGC11:UGD11"/>
    <mergeCell ref="UGE11:UGF11"/>
    <mergeCell ref="UGG11:UGH11"/>
    <mergeCell ref="UGI11:UGN11"/>
    <mergeCell ref="UGO11:UGR11"/>
    <mergeCell ref="UGS11:UGT11"/>
    <mergeCell ref="UEM11:UER11"/>
    <mergeCell ref="UES11:UEV11"/>
    <mergeCell ref="UEW11:UEX11"/>
    <mergeCell ref="UEY11:UEZ11"/>
    <mergeCell ref="UFA11:UFB11"/>
    <mergeCell ref="UFC11:UFH11"/>
    <mergeCell ref="UFI11:UFL11"/>
    <mergeCell ref="UFM11:UFN11"/>
    <mergeCell ref="UFO11:UFP11"/>
    <mergeCell ref="UDM11:UDP11"/>
    <mergeCell ref="UDQ11:UDR11"/>
    <mergeCell ref="UDS11:UDT11"/>
    <mergeCell ref="UDU11:UDV11"/>
    <mergeCell ref="UDW11:UEB11"/>
    <mergeCell ref="UEC11:UEF11"/>
    <mergeCell ref="UEG11:UEH11"/>
    <mergeCell ref="UEI11:UEJ11"/>
    <mergeCell ref="UEK11:UEL11"/>
    <mergeCell ref="UCK11:UCL11"/>
    <mergeCell ref="UCM11:UCN11"/>
    <mergeCell ref="UCO11:UCP11"/>
    <mergeCell ref="UCQ11:UCV11"/>
    <mergeCell ref="UCW11:UCZ11"/>
    <mergeCell ref="UDA11:UDB11"/>
    <mergeCell ref="UDC11:UDD11"/>
    <mergeCell ref="UDE11:UDF11"/>
    <mergeCell ref="UDG11:UDL11"/>
    <mergeCell ref="UBG11:UBH11"/>
    <mergeCell ref="UBI11:UBJ11"/>
    <mergeCell ref="UBK11:UBP11"/>
    <mergeCell ref="UBQ11:UBT11"/>
    <mergeCell ref="UBU11:UBV11"/>
    <mergeCell ref="UBW11:UBX11"/>
    <mergeCell ref="UBY11:UBZ11"/>
    <mergeCell ref="UCA11:UCF11"/>
    <mergeCell ref="UCG11:UCJ11"/>
    <mergeCell ref="UAC11:UAD11"/>
    <mergeCell ref="UAE11:UAJ11"/>
    <mergeCell ref="UAK11:UAN11"/>
    <mergeCell ref="UAO11:UAP11"/>
    <mergeCell ref="UAQ11:UAR11"/>
    <mergeCell ref="UAS11:UAT11"/>
    <mergeCell ref="UAU11:UAZ11"/>
    <mergeCell ref="UBA11:UBD11"/>
    <mergeCell ref="UBE11:UBF11"/>
    <mergeCell ref="TYY11:TZD11"/>
    <mergeCell ref="TZE11:TZH11"/>
    <mergeCell ref="TZI11:TZJ11"/>
    <mergeCell ref="TZK11:TZL11"/>
    <mergeCell ref="TZM11:TZN11"/>
    <mergeCell ref="TZO11:TZT11"/>
    <mergeCell ref="TZU11:TZX11"/>
    <mergeCell ref="TZY11:TZZ11"/>
    <mergeCell ref="UAA11:UAB11"/>
    <mergeCell ref="TXY11:TYB11"/>
    <mergeCell ref="TYC11:TYD11"/>
    <mergeCell ref="TYE11:TYF11"/>
    <mergeCell ref="TYG11:TYH11"/>
    <mergeCell ref="TYI11:TYN11"/>
    <mergeCell ref="TYO11:TYR11"/>
    <mergeCell ref="TYS11:TYT11"/>
    <mergeCell ref="TYU11:TYV11"/>
    <mergeCell ref="TYW11:TYX11"/>
    <mergeCell ref="TWW11:TWX11"/>
    <mergeCell ref="TWY11:TWZ11"/>
    <mergeCell ref="TXA11:TXB11"/>
    <mergeCell ref="TXC11:TXH11"/>
    <mergeCell ref="TXI11:TXL11"/>
    <mergeCell ref="TXM11:TXN11"/>
    <mergeCell ref="TXO11:TXP11"/>
    <mergeCell ref="TXQ11:TXR11"/>
    <mergeCell ref="TXS11:TXX11"/>
    <mergeCell ref="TVS11:TVT11"/>
    <mergeCell ref="TVU11:TVV11"/>
    <mergeCell ref="TVW11:TWB11"/>
    <mergeCell ref="TWC11:TWF11"/>
    <mergeCell ref="TWG11:TWH11"/>
    <mergeCell ref="TWI11:TWJ11"/>
    <mergeCell ref="TWK11:TWL11"/>
    <mergeCell ref="TWM11:TWR11"/>
    <mergeCell ref="TWS11:TWV11"/>
    <mergeCell ref="TUO11:TUP11"/>
    <mergeCell ref="TUQ11:TUV11"/>
    <mergeCell ref="TUW11:TUZ11"/>
    <mergeCell ref="TVA11:TVB11"/>
    <mergeCell ref="TVC11:TVD11"/>
    <mergeCell ref="TVE11:TVF11"/>
    <mergeCell ref="TVG11:TVL11"/>
    <mergeCell ref="TVM11:TVP11"/>
    <mergeCell ref="TVQ11:TVR11"/>
    <mergeCell ref="TTK11:TTP11"/>
    <mergeCell ref="TTQ11:TTT11"/>
    <mergeCell ref="TTU11:TTV11"/>
    <mergeCell ref="TTW11:TTX11"/>
    <mergeCell ref="TTY11:TTZ11"/>
    <mergeCell ref="TUA11:TUF11"/>
    <mergeCell ref="TUG11:TUJ11"/>
    <mergeCell ref="TUK11:TUL11"/>
    <mergeCell ref="TUM11:TUN11"/>
    <mergeCell ref="TSK11:TSN11"/>
    <mergeCell ref="TSO11:TSP11"/>
    <mergeCell ref="TSQ11:TSR11"/>
    <mergeCell ref="TSS11:TST11"/>
    <mergeCell ref="TSU11:TSZ11"/>
    <mergeCell ref="TTA11:TTD11"/>
    <mergeCell ref="TTE11:TTF11"/>
    <mergeCell ref="TTG11:TTH11"/>
    <mergeCell ref="TTI11:TTJ11"/>
    <mergeCell ref="TRI11:TRJ11"/>
    <mergeCell ref="TRK11:TRL11"/>
    <mergeCell ref="TRM11:TRN11"/>
    <mergeCell ref="TRO11:TRT11"/>
    <mergeCell ref="TRU11:TRX11"/>
    <mergeCell ref="TRY11:TRZ11"/>
    <mergeCell ref="TSA11:TSB11"/>
    <mergeCell ref="TSC11:TSD11"/>
    <mergeCell ref="TSE11:TSJ11"/>
    <mergeCell ref="TQE11:TQF11"/>
    <mergeCell ref="TQG11:TQH11"/>
    <mergeCell ref="TQI11:TQN11"/>
    <mergeCell ref="TQO11:TQR11"/>
    <mergeCell ref="TQS11:TQT11"/>
    <mergeCell ref="TQU11:TQV11"/>
    <mergeCell ref="TQW11:TQX11"/>
    <mergeCell ref="TQY11:TRD11"/>
    <mergeCell ref="TRE11:TRH11"/>
    <mergeCell ref="TPA11:TPB11"/>
    <mergeCell ref="TPC11:TPH11"/>
    <mergeCell ref="TPI11:TPL11"/>
    <mergeCell ref="TPM11:TPN11"/>
    <mergeCell ref="TPO11:TPP11"/>
    <mergeCell ref="TPQ11:TPR11"/>
    <mergeCell ref="TPS11:TPX11"/>
    <mergeCell ref="TPY11:TQB11"/>
    <mergeCell ref="TQC11:TQD11"/>
    <mergeCell ref="TNW11:TOB11"/>
    <mergeCell ref="TOC11:TOF11"/>
    <mergeCell ref="TOG11:TOH11"/>
    <mergeCell ref="TOI11:TOJ11"/>
    <mergeCell ref="TOK11:TOL11"/>
    <mergeCell ref="TOM11:TOR11"/>
    <mergeCell ref="TOS11:TOV11"/>
    <mergeCell ref="TOW11:TOX11"/>
    <mergeCell ref="TOY11:TOZ11"/>
    <mergeCell ref="TMW11:TMZ11"/>
    <mergeCell ref="TNA11:TNB11"/>
    <mergeCell ref="TNC11:TND11"/>
    <mergeCell ref="TNE11:TNF11"/>
    <mergeCell ref="TNG11:TNL11"/>
    <mergeCell ref="TNM11:TNP11"/>
    <mergeCell ref="TNQ11:TNR11"/>
    <mergeCell ref="TNS11:TNT11"/>
    <mergeCell ref="TNU11:TNV11"/>
    <mergeCell ref="TLU11:TLV11"/>
    <mergeCell ref="TLW11:TLX11"/>
    <mergeCell ref="TLY11:TLZ11"/>
    <mergeCell ref="TMA11:TMF11"/>
    <mergeCell ref="TMG11:TMJ11"/>
    <mergeCell ref="TMK11:TML11"/>
    <mergeCell ref="TMM11:TMN11"/>
    <mergeCell ref="TMO11:TMP11"/>
    <mergeCell ref="TMQ11:TMV11"/>
    <mergeCell ref="TKQ11:TKR11"/>
    <mergeCell ref="TKS11:TKT11"/>
    <mergeCell ref="TKU11:TKZ11"/>
    <mergeCell ref="TLA11:TLD11"/>
    <mergeCell ref="TLE11:TLF11"/>
    <mergeCell ref="TLG11:TLH11"/>
    <mergeCell ref="TLI11:TLJ11"/>
    <mergeCell ref="TLK11:TLP11"/>
    <mergeCell ref="TLQ11:TLT11"/>
    <mergeCell ref="TJM11:TJN11"/>
    <mergeCell ref="TJO11:TJT11"/>
    <mergeCell ref="TJU11:TJX11"/>
    <mergeCell ref="TJY11:TJZ11"/>
    <mergeCell ref="TKA11:TKB11"/>
    <mergeCell ref="TKC11:TKD11"/>
    <mergeCell ref="TKE11:TKJ11"/>
    <mergeCell ref="TKK11:TKN11"/>
    <mergeCell ref="TKO11:TKP11"/>
    <mergeCell ref="TII11:TIN11"/>
    <mergeCell ref="TIO11:TIR11"/>
    <mergeCell ref="TIS11:TIT11"/>
    <mergeCell ref="TIU11:TIV11"/>
    <mergeCell ref="TIW11:TIX11"/>
    <mergeCell ref="TIY11:TJD11"/>
    <mergeCell ref="TJE11:TJH11"/>
    <mergeCell ref="TJI11:TJJ11"/>
    <mergeCell ref="TJK11:TJL11"/>
    <mergeCell ref="THI11:THL11"/>
    <mergeCell ref="THM11:THN11"/>
    <mergeCell ref="THO11:THP11"/>
    <mergeCell ref="THQ11:THR11"/>
    <mergeCell ref="THS11:THX11"/>
    <mergeCell ref="THY11:TIB11"/>
    <mergeCell ref="TIC11:TID11"/>
    <mergeCell ref="TIE11:TIF11"/>
    <mergeCell ref="TIG11:TIH11"/>
    <mergeCell ref="TGG11:TGH11"/>
    <mergeCell ref="TGI11:TGJ11"/>
    <mergeCell ref="TGK11:TGL11"/>
    <mergeCell ref="TGM11:TGR11"/>
    <mergeCell ref="TGS11:TGV11"/>
    <mergeCell ref="TGW11:TGX11"/>
    <mergeCell ref="TGY11:TGZ11"/>
    <mergeCell ref="THA11:THB11"/>
    <mergeCell ref="THC11:THH11"/>
    <mergeCell ref="TFC11:TFD11"/>
    <mergeCell ref="TFE11:TFF11"/>
    <mergeCell ref="TFG11:TFL11"/>
    <mergeCell ref="TFM11:TFP11"/>
    <mergeCell ref="TFQ11:TFR11"/>
    <mergeCell ref="TFS11:TFT11"/>
    <mergeCell ref="TFU11:TFV11"/>
    <mergeCell ref="TFW11:TGB11"/>
    <mergeCell ref="TGC11:TGF11"/>
    <mergeCell ref="TDY11:TDZ11"/>
    <mergeCell ref="TEA11:TEF11"/>
    <mergeCell ref="TEG11:TEJ11"/>
    <mergeCell ref="TEK11:TEL11"/>
    <mergeCell ref="TEM11:TEN11"/>
    <mergeCell ref="TEO11:TEP11"/>
    <mergeCell ref="TEQ11:TEV11"/>
    <mergeCell ref="TEW11:TEZ11"/>
    <mergeCell ref="TFA11:TFB11"/>
    <mergeCell ref="TCU11:TCZ11"/>
    <mergeCell ref="TDA11:TDD11"/>
    <mergeCell ref="TDE11:TDF11"/>
    <mergeCell ref="TDG11:TDH11"/>
    <mergeCell ref="TDI11:TDJ11"/>
    <mergeCell ref="TDK11:TDP11"/>
    <mergeCell ref="TDQ11:TDT11"/>
    <mergeCell ref="TDU11:TDV11"/>
    <mergeCell ref="TDW11:TDX11"/>
    <mergeCell ref="TBU11:TBX11"/>
    <mergeCell ref="TBY11:TBZ11"/>
    <mergeCell ref="TCA11:TCB11"/>
    <mergeCell ref="TCC11:TCD11"/>
    <mergeCell ref="TCE11:TCJ11"/>
    <mergeCell ref="TCK11:TCN11"/>
    <mergeCell ref="TCO11:TCP11"/>
    <mergeCell ref="TCQ11:TCR11"/>
    <mergeCell ref="TCS11:TCT11"/>
    <mergeCell ref="TAS11:TAT11"/>
    <mergeCell ref="TAU11:TAV11"/>
    <mergeCell ref="TAW11:TAX11"/>
    <mergeCell ref="TAY11:TBD11"/>
    <mergeCell ref="TBE11:TBH11"/>
    <mergeCell ref="TBI11:TBJ11"/>
    <mergeCell ref="TBK11:TBL11"/>
    <mergeCell ref="TBM11:TBN11"/>
    <mergeCell ref="TBO11:TBT11"/>
    <mergeCell ref="SZO11:SZP11"/>
    <mergeCell ref="SZQ11:SZR11"/>
    <mergeCell ref="SZS11:SZX11"/>
    <mergeCell ref="SZY11:TAB11"/>
    <mergeCell ref="TAC11:TAD11"/>
    <mergeCell ref="TAE11:TAF11"/>
    <mergeCell ref="TAG11:TAH11"/>
    <mergeCell ref="TAI11:TAN11"/>
    <mergeCell ref="TAO11:TAR11"/>
    <mergeCell ref="SYK11:SYL11"/>
    <mergeCell ref="SYM11:SYR11"/>
    <mergeCell ref="SYS11:SYV11"/>
    <mergeCell ref="SYW11:SYX11"/>
    <mergeCell ref="SYY11:SYZ11"/>
    <mergeCell ref="SZA11:SZB11"/>
    <mergeCell ref="SZC11:SZH11"/>
    <mergeCell ref="SZI11:SZL11"/>
    <mergeCell ref="SZM11:SZN11"/>
    <mergeCell ref="SXG11:SXL11"/>
    <mergeCell ref="SXM11:SXP11"/>
    <mergeCell ref="SXQ11:SXR11"/>
    <mergeCell ref="SXS11:SXT11"/>
    <mergeCell ref="SXU11:SXV11"/>
    <mergeCell ref="SXW11:SYB11"/>
    <mergeCell ref="SYC11:SYF11"/>
    <mergeCell ref="SYG11:SYH11"/>
    <mergeCell ref="SYI11:SYJ11"/>
    <mergeCell ref="SWG11:SWJ11"/>
    <mergeCell ref="SWK11:SWL11"/>
    <mergeCell ref="SWM11:SWN11"/>
    <mergeCell ref="SWO11:SWP11"/>
    <mergeCell ref="SWQ11:SWV11"/>
    <mergeCell ref="SWW11:SWZ11"/>
    <mergeCell ref="SXA11:SXB11"/>
    <mergeCell ref="SXC11:SXD11"/>
    <mergeCell ref="SXE11:SXF11"/>
    <mergeCell ref="SVE11:SVF11"/>
    <mergeCell ref="SVG11:SVH11"/>
    <mergeCell ref="SVI11:SVJ11"/>
    <mergeCell ref="SVK11:SVP11"/>
    <mergeCell ref="SVQ11:SVT11"/>
    <mergeCell ref="SVU11:SVV11"/>
    <mergeCell ref="SVW11:SVX11"/>
    <mergeCell ref="SVY11:SVZ11"/>
    <mergeCell ref="SWA11:SWF11"/>
    <mergeCell ref="SUA11:SUB11"/>
    <mergeCell ref="SUC11:SUD11"/>
    <mergeCell ref="SUE11:SUJ11"/>
    <mergeCell ref="SUK11:SUN11"/>
    <mergeCell ref="SUO11:SUP11"/>
    <mergeCell ref="SUQ11:SUR11"/>
    <mergeCell ref="SUS11:SUT11"/>
    <mergeCell ref="SUU11:SUZ11"/>
    <mergeCell ref="SVA11:SVD11"/>
    <mergeCell ref="SSW11:SSX11"/>
    <mergeCell ref="SSY11:STD11"/>
    <mergeCell ref="STE11:STH11"/>
    <mergeCell ref="STI11:STJ11"/>
    <mergeCell ref="STK11:STL11"/>
    <mergeCell ref="STM11:STN11"/>
    <mergeCell ref="STO11:STT11"/>
    <mergeCell ref="STU11:STX11"/>
    <mergeCell ref="STY11:STZ11"/>
    <mergeCell ref="SRS11:SRX11"/>
    <mergeCell ref="SRY11:SSB11"/>
    <mergeCell ref="SSC11:SSD11"/>
    <mergeCell ref="SSE11:SSF11"/>
    <mergeCell ref="SSG11:SSH11"/>
    <mergeCell ref="SSI11:SSN11"/>
    <mergeCell ref="SSO11:SSR11"/>
    <mergeCell ref="SSS11:SST11"/>
    <mergeCell ref="SSU11:SSV11"/>
    <mergeCell ref="SQS11:SQV11"/>
    <mergeCell ref="SQW11:SQX11"/>
    <mergeCell ref="SQY11:SQZ11"/>
    <mergeCell ref="SRA11:SRB11"/>
    <mergeCell ref="SRC11:SRH11"/>
    <mergeCell ref="SRI11:SRL11"/>
    <mergeCell ref="SRM11:SRN11"/>
    <mergeCell ref="SRO11:SRP11"/>
    <mergeCell ref="SRQ11:SRR11"/>
    <mergeCell ref="SPQ11:SPR11"/>
    <mergeCell ref="SPS11:SPT11"/>
    <mergeCell ref="SPU11:SPV11"/>
    <mergeCell ref="SPW11:SQB11"/>
    <mergeCell ref="SQC11:SQF11"/>
    <mergeCell ref="SQG11:SQH11"/>
    <mergeCell ref="SQI11:SQJ11"/>
    <mergeCell ref="SQK11:SQL11"/>
    <mergeCell ref="SQM11:SQR11"/>
    <mergeCell ref="SOM11:SON11"/>
    <mergeCell ref="SOO11:SOP11"/>
    <mergeCell ref="SOQ11:SOV11"/>
    <mergeCell ref="SOW11:SOZ11"/>
    <mergeCell ref="SPA11:SPB11"/>
    <mergeCell ref="SPC11:SPD11"/>
    <mergeCell ref="SPE11:SPF11"/>
    <mergeCell ref="SPG11:SPL11"/>
    <mergeCell ref="SPM11:SPP11"/>
    <mergeCell ref="SNI11:SNJ11"/>
    <mergeCell ref="SNK11:SNP11"/>
    <mergeCell ref="SNQ11:SNT11"/>
    <mergeCell ref="SNU11:SNV11"/>
    <mergeCell ref="SNW11:SNX11"/>
    <mergeCell ref="SNY11:SNZ11"/>
    <mergeCell ref="SOA11:SOF11"/>
    <mergeCell ref="SOG11:SOJ11"/>
    <mergeCell ref="SOK11:SOL11"/>
    <mergeCell ref="SME11:SMJ11"/>
    <mergeCell ref="SMK11:SMN11"/>
    <mergeCell ref="SMO11:SMP11"/>
    <mergeCell ref="SMQ11:SMR11"/>
    <mergeCell ref="SMS11:SMT11"/>
    <mergeCell ref="SMU11:SMZ11"/>
    <mergeCell ref="SNA11:SND11"/>
    <mergeCell ref="SNE11:SNF11"/>
    <mergeCell ref="SNG11:SNH11"/>
    <mergeCell ref="SLE11:SLH11"/>
    <mergeCell ref="SLI11:SLJ11"/>
    <mergeCell ref="SLK11:SLL11"/>
    <mergeCell ref="SLM11:SLN11"/>
    <mergeCell ref="SLO11:SLT11"/>
    <mergeCell ref="SLU11:SLX11"/>
    <mergeCell ref="SLY11:SLZ11"/>
    <mergeCell ref="SMA11:SMB11"/>
    <mergeCell ref="SMC11:SMD11"/>
    <mergeCell ref="SKC11:SKD11"/>
    <mergeCell ref="SKE11:SKF11"/>
    <mergeCell ref="SKG11:SKH11"/>
    <mergeCell ref="SKI11:SKN11"/>
    <mergeCell ref="SKO11:SKR11"/>
    <mergeCell ref="SKS11:SKT11"/>
    <mergeCell ref="SKU11:SKV11"/>
    <mergeCell ref="SKW11:SKX11"/>
    <mergeCell ref="SKY11:SLD11"/>
    <mergeCell ref="SIY11:SIZ11"/>
    <mergeCell ref="SJA11:SJB11"/>
    <mergeCell ref="SJC11:SJH11"/>
    <mergeCell ref="SJI11:SJL11"/>
    <mergeCell ref="SJM11:SJN11"/>
    <mergeCell ref="SJO11:SJP11"/>
    <mergeCell ref="SJQ11:SJR11"/>
    <mergeCell ref="SJS11:SJX11"/>
    <mergeCell ref="SJY11:SKB11"/>
    <mergeCell ref="SHU11:SHV11"/>
    <mergeCell ref="SHW11:SIB11"/>
    <mergeCell ref="SIC11:SIF11"/>
    <mergeCell ref="SIG11:SIH11"/>
    <mergeCell ref="SII11:SIJ11"/>
    <mergeCell ref="SIK11:SIL11"/>
    <mergeCell ref="SIM11:SIR11"/>
    <mergeCell ref="SIS11:SIV11"/>
    <mergeCell ref="SIW11:SIX11"/>
    <mergeCell ref="SGQ11:SGV11"/>
    <mergeCell ref="SGW11:SGZ11"/>
    <mergeCell ref="SHA11:SHB11"/>
    <mergeCell ref="SHC11:SHD11"/>
    <mergeCell ref="SHE11:SHF11"/>
    <mergeCell ref="SHG11:SHL11"/>
    <mergeCell ref="SHM11:SHP11"/>
    <mergeCell ref="SHQ11:SHR11"/>
    <mergeCell ref="SHS11:SHT11"/>
    <mergeCell ref="SFQ11:SFT11"/>
    <mergeCell ref="SFU11:SFV11"/>
    <mergeCell ref="SFW11:SFX11"/>
    <mergeCell ref="SFY11:SFZ11"/>
    <mergeCell ref="SGA11:SGF11"/>
    <mergeCell ref="SGG11:SGJ11"/>
    <mergeCell ref="SGK11:SGL11"/>
    <mergeCell ref="SGM11:SGN11"/>
    <mergeCell ref="SGO11:SGP11"/>
    <mergeCell ref="SEO11:SEP11"/>
    <mergeCell ref="SEQ11:SER11"/>
    <mergeCell ref="SES11:SET11"/>
    <mergeCell ref="SEU11:SEZ11"/>
    <mergeCell ref="SFA11:SFD11"/>
    <mergeCell ref="SFE11:SFF11"/>
    <mergeCell ref="SFG11:SFH11"/>
    <mergeCell ref="SFI11:SFJ11"/>
    <mergeCell ref="SFK11:SFP11"/>
    <mergeCell ref="SDK11:SDL11"/>
    <mergeCell ref="SDM11:SDN11"/>
    <mergeCell ref="SDO11:SDT11"/>
    <mergeCell ref="SDU11:SDX11"/>
    <mergeCell ref="SDY11:SDZ11"/>
    <mergeCell ref="SEA11:SEB11"/>
    <mergeCell ref="SEC11:SED11"/>
    <mergeCell ref="SEE11:SEJ11"/>
    <mergeCell ref="SEK11:SEN11"/>
    <mergeCell ref="SCG11:SCH11"/>
    <mergeCell ref="SCI11:SCN11"/>
    <mergeCell ref="SCO11:SCR11"/>
    <mergeCell ref="SCS11:SCT11"/>
    <mergeCell ref="SCU11:SCV11"/>
    <mergeCell ref="SCW11:SCX11"/>
    <mergeCell ref="SCY11:SDD11"/>
    <mergeCell ref="SDE11:SDH11"/>
    <mergeCell ref="SDI11:SDJ11"/>
    <mergeCell ref="SBC11:SBH11"/>
    <mergeCell ref="SBI11:SBL11"/>
    <mergeCell ref="SBM11:SBN11"/>
    <mergeCell ref="SBO11:SBP11"/>
    <mergeCell ref="SBQ11:SBR11"/>
    <mergeCell ref="SBS11:SBX11"/>
    <mergeCell ref="SBY11:SCB11"/>
    <mergeCell ref="SCC11:SCD11"/>
    <mergeCell ref="SCE11:SCF11"/>
    <mergeCell ref="SAC11:SAF11"/>
    <mergeCell ref="SAG11:SAH11"/>
    <mergeCell ref="SAI11:SAJ11"/>
    <mergeCell ref="SAK11:SAL11"/>
    <mergeCell ref="SAM11:SAR11"/>
    <mergeCell ref="SAS11:SAV11"/>
    <mergeCell ref="SAW11:SAX11"/>
    <mergeCell ref="SAY11:SAZ11"/>
    <mergeCell ref="SBA11:SBB11"/>
    <mergeCell ref="RZA11:RZB11"/>
    <mergeCell ref="RZC11:RZD11"/>
    <mergeCell ref="RZE11:RZF11"/>
    <mergeCell ref="RZG11:RZL11"/>
    <mergeCell ref="RZM11:RZP11"/>
    <mergeCell ref="RZQ11:RZR11"/>
    <mergeCell ref="RZS11:RZT11"/>
    <mergeCell ref="RZU11:RZV11"/>
    <mergeCell ref="RZW11:SAB11"/>
    <mergeCell ref="RXW11:RXX11"/>
    <mergeCell ref="RXY11:RXZ11"/>
    <mergeCell ref="RYA11:RYF11"/>
    <mergeCell ref="RYG11:RYJ11"/>
    <mergeCell ref="RYK11:RYL11"/>
    <mergeCell ref="RYM11:RYN11"/>
    <mergeCell ref="RYO11:RYP11"/>
    <mergeCell ref="RYQ11:RYV11"/>
    <mergeCell ref="RYW11:RYZ11"/>
    <mergeCell ref="RWS11:RWT11"/>
    <mergeCell ref="RWU11:RWZ11"/>
    <mergeCell ref="RXA11:RXD11"/>
    <mergeCell ref="RXE11:RXF11"/>
    <mergeCell ref="RXG11:RXH11"/>
    <mergeCell ref="RXI11:RXJ11"/>
    <mergeCell ref="RXK11:RXP11"/>
    <mergeCell ref="RXQ11:RXT11"/>
    <mergeCell ref="RXU11:RXV11"/>
    <mergeCell ref="RVO11:RVT11"/>
    <mergeCell ref="RVU11:RVX11"/>
    <mergeCell ref="RVY11:RVZ11"/>
    <mergeCell ref="RWA11:RWB11"/>
    <mergeCell ref="RWC11:RWD11"/>
    <mergeCell ref="RWE11:RWJ11"/>
    <mergeCell ref="RWK11:RWN11"/>
    <mergeCell ref="RWO11:RWP11"/>
    <mergeCell ref="RWQ11:RWR11"/>
    <mergeCell ref="RUO11:RUR11"/>
    <mergeCell ref="RUS11:RUT11"/>
    <mergeCell ref="RUU11:RUV11"/>
    <mergeCell ref="RUW11:RUX11"/>
    <mergeCell ref="RUY11:RVD11"/>
    <mergeCell ref="RVE11:RVH11"/>
    <mergeCell ref="RVI11:RVJ11"/>
    <mergeCell ref="RVK11:RVL11"/>
    <mergeCell ref="RVM11:RVN11"/>
    <mergeCell ref="RTM11:RTN11"/>
    <mergeCell ref="RTO11:RTP11"/>
    <mergeCell ref="RTQ11:RTR11"/>
    <mergeCell ref="RTS11:RTX11"/>
    <mergeCell ref="RTY11:RUB11"/>
    <mergeCell ref="RUC11:RUD11"/>
    <mergeCell ref="RUE11:RUF11"/>
    <mergeCell ref="RUG11:RUH11"/>
    <mergeCell ref="RUI11:RUN11"/>
    <mergeCell ref="RSI11:RSJ11"/>
    <mergeCell ref="RSK11:RSL11"/>
    <mergeCell ref="RSM11:RSR11"/>
    <mergeCell ref="RSS11:RSV11"/>
    <mergeCell ref="RSW11:RSX11"/>
    <mergeCell ref="RSY11:RSZ11"/>
    <mergeCell ref="RTA11:RTB11"/>
    <mergeCell ref="RTC11:RTH11"/>
    <mergeCell ref="RTI11:RTL11"/>
    <mergeCell ref="RRE11:RRF11"/>
    <mergeCell ref="RRG11:RRL11"/>
    <mergeCell ref="RRM11:RRP11"/>
    <mergeCell ref="RRQ11:RRR11"/>
    <mergeCell ref="RRS11:RRT11"/>
    <mergeCell ref="RRU11:RRV11"/>
    <mergeCell ref="RRW11:RSB11"/>
    <mergeCell ref="RSC11:RSF11"/>
    <mergeCell ref="RSG11:RSH11"/>
    <mergeCell ref="RQA11:RQF11"/>
    <mergeCell ref="RQG11:RQJ11"/>
    <mergeCell ref="RQK11:RQL11"/>
    <mergeCell ref="RQM11:RQN11"/>
    <mergeCell ref="RQO11:RQP11"/>
    <mergeCell ref="RQQ11:RQV11"/>
    <mergeCell ref="RQW11:RQZ11"/>
    <mergeCell ref="RRA11:RRB11"/>
    <mergeCell ref="RRC11:RRD11"/>
    <mergeCell ref="RPA11:RPD11"/>
    <mergeCell ref="RPE11:RPF11"/>
    <mergeCell ref="RPG11:RPH11"/>
    <mergeCell ref="RPI11:RPJ11"/>
    <mergeCell ref="RPK11:RPP11"/>
    <mergeCell ref="RPQ11:RPT11"/>
    <mergeCell ref="RPU11:RPV11"/>
    <mergeCell ref="RPW11:RPX11"/>
    <mergeCell ref="RPY11:RPZ11"/>
    <mergeCell ref="RNY11:RNZ11"/>
    <mergeCell ref="ROA11:ROB11"/>
    <mergeCell ref="ROC11:ROD11"/>
    <mergeCell ref="ROE11:ROJ11"/>
    <mergeCell ref="ROK11:RON11"/>
    <mergeCell ref="ROO11:ROP11"/>
    <mergeCell ref="ROQ11:ROR11"/>
    <mergeCell ref="ROS11:ROT11"/>
    <mergeCell ref="ROU11:ROZ11"/>
    <mergeCell ref="RMU11:RMV11"/>
    <mergeCell ref="RMW11:RMX11"/>
    <mergeCell ref="RMY11:RND11"/>
    <mergeCell ref="RNE11:RNH11"/>
    <mergeCell ref="RNI11:RNJ11"/>
    <mergeCell ref="RNK11:RNL11"/>
    <mergeCell ref="RNM11:RNN11"/>
    <mergeCell ref="RNO11:RNT11"/>
    <mergeCell ref="RNU11:RNX11"/>
    <mergeCell ref="RLQ11:RLR11"/>
    <mergeCell ref="RLS11:RLX11"/>
    <mergeCell ref="RLY11:RMB11"/>
    <mergeCell ref="RMC11:RMD11"/>
    <mergeCell ref="RME11:RMF11"/>
    <mergeCell ref="RMG11:RMH11"/>
    <mergeCell ref="RMI11:RMN11"/>
    <mergeCell ref="RMO11:RMR11"/>
    <mergeCell ref="RMS11:RMT11"/>
    <mergeCell ref="RKM11:RKR11"/>
    <mergeCell ref="RKS11:RKV11"/>
    <mergeCell ref="RKW11:RKX11"/>
    <mergeCell ref="RKY11:RKZ11"/>
    <mergeCell ref="RLA11:RLB11"/>
    <mergeCell ref="RLC11:RLH11"/>
    <mergeCell ref="RLI11:RLL11"/>
    <mergeCell ref="RLM11:RLN11"/>
    <mergeCell ref="RLO11:RLP11"/>
    <mergeCell ref="RJM11:RJP11"/>
    <mergeCell ref="RJQ11:RJR11"/>
    <mergeCell ref="RJS11:RJT11"/>
    <mergeCell ref="RJU11:RJV11"/>
    <mergeCell ref="RJW11:RKB11"/>
    <mergeCell ref="RKC11:RKF11"/>
    <mergeCell ref="RKG11:RKH11"/>
    <mergeCell ref="RKI11:RKJ11"/>
    <mergeCell ref="RKK11:RKL11"/>
    <mergeCell ref="RIK11:RIL11"/>
    <mergeCell ref="RIM11:RIN11"/>
    <mergeCell ref="RIO11:RIP11"/>
    <mergeCell ref="RIQ11:RIV11"/>
    <mergeCell ref="RIW11:RIZ11"/>
    <mergeCell ref="RJA11:RJB11"/>
    <mergeCell ref="RJC11:RJD11"/>
    <mergeCell ref="RJE11:RJF11"/>
    <mergeCell ref="RJG11:RJL11"/>
    <mergeCell ref="RHG11:RHH11"/>
    <mergeCell ref="RHI11:RHJ11"/>
    <mergeCell ref="RHK11:RHP11"/>
    <mergeCell ref="RHQ11:RHT11"/>
    <mergeCell ref="RHU11:RHV11"/>
    <mergeCell ref="RHW11:RHX11"/>
    <mergeCell ref="RHY11:RHZ11"/>
    <mergeCell ref="RIA11:RIF11"/>
    <mergeCell ref="RIG11:RIJ11"/>
    <mergeCell ref="RGC11:RGD11"/>
    <mergeCell ref="RGE11:RGJ11"/>
    <mergeCell ref="RGK11:RGN11"/>
    <mergeCell ref="RGO11:RGP11"/>
    <mergeCell ref="RGQ11:RGR11"/>
    <mergeCell ref="RGS11:RGT11"/>
    <mergeCell ref="RGU11:RGZ11"/>
    <mergeCell ref="RHA11:RHD11"/>
    <mergeCell ref="RHE11:RHF11"/>
    <mergeCell ref="REY11:RFD11"/>
    <mergeCell ref="RFE11:RFH11"/>
    <mergeCell ref="RFI11:RFJ11"/>
    <mergeCell ref="RFK11:RFL11"/>
    <mergeCell ref="RFM11:RFN11"/>
    <mergeCell ref="RFO11:RFT11"/>
    <mergeCell ref="RFU11:RFX11"/>
    <mergeCell ref="RFY11:RFZ11"/>
    <mergeCell ref="RGA11:RGB11"/>
    <mergeCell ref="RDY11:REB11"/>
    <mergeCell ref="REC11:RED11"/>
    <mergeCell ref="REE11:REF11"/>
    <mergeCell ref="REG11:REH11"/>
    <mergeCell ref="REI11:REN11"/>
    <mergeCell ref="REO11:RER11"/>
    <mergeCell ref="RES11:RET11"/>
    <mergeCell ref="REU11:REV11"/>
    <mergeCell ref="REW11:REX11"/>
    <mergeCell ref="RCW11:RCX11"/>
    <mergeCell ref="RCY11:RCZ11"/>
    <mergeCell ref="RDA11:RDB11"/>
    <mergeCell ref="RDC11:RDH11"/>
    <mergeCell ref="RDI11:RDL11"/>
    <mergeCell ref="RDM11:RDN11"/>
    <mergeCell ref="RDO11:RDP11"/>
    <mergeCell ref="RDQ11:RDR11"/>
    <mergeCell ref="RDS11:RDX11"/>
    <mergeCell ref="RBS11:RBT11"/>
    <mergeCell ref="RBU11:RBV11"/>
    <mergeCell ref="RBW11:RCB11"/>
    <mergeCell ref="RCC11:RCF11"/>
    <mergeCell ref="RCG11:RCH11"/>
    <mergeCell ref="RCI11:RCJ11"/>
    <mergeCell ref="RCK11:RCL11"/>
    <mergeCell ref="RCM11:RCR11"/>
    <mergeCell ref="RCS11:RCV11"/>
    <mergeCell ref="RAO11:RAP11"/>
    <mergeCell ref="RAQ11:RAV11"/>
    <mergeCell ref="RAW11:RAZ11"/>
    <mergeCell ref="RBA11:RBB11"/>
    <mergeCell ref="RBC11:RBD11"/>
    <mergeCell ref="RBE11:RBF11"/>
    <mergeCell ref="RBG11:RBL11"/>
    <mergeCell ref="RBM11:RBP11"/>
    <mergeCell ref="RBQ11:RBR11"/>
    <mergeCell ref="QZK11:QZP11"/>
    <mergeCell ref="QZQ11:QZT11"/>
    <mergeCell ref="QZU11:QZV11"/>
    <mergeCell ref="QZW11:QZX11"/>
    <mergeCell ref="QZY11:QZZ11"/>
    <mergeCell ref="RAA11:RAF11"/>
    <mergeCell ref="RAG11:RAJ11"/>
    <mergeCell ref="RAK11:RAL11"/>
    <mergeCell ref="RAM11:RAN11"/>
    <mergeCell ref="QYK11:QYN11"/>
    <mergeCell ref="QYO11:QYP11"/>
    <mergeCell ref="QYQ11:QYR11"/>
    <mergeCell ref="QYS11:QYT11"/>
    <mergeCell ref="QYU11:QYZ11"/>
    <mergeCell ref="QZA11:QZD11"/>
    <mergeCell ref="QZE11:QZF11"/>
    <mergeCell ref="QZG11:QZH11"/>
    <mergeCell ref="QZI11:QZJ11"/>
    <mergeCell ref="QXI11:QXJ11"/>
    <mergeCell ref="QXK11:QXL11"/>
    <mergeCell ref="QXM11:QXN11"/>
    <mergeCell ref="QXO11:QXT11"/>
    <mergeCell ref="QXU11:QXX11"/>
    <mergeCell ref="QXY11:QXZ11"/>
    <mergeCell ref="QYA11:QYB11"/>
    <mergeCell ref="QYC11:QYD11"/>
    <mergeCell ref="QYE11:QYJ11"/>
    <mergeCell ref="QWE11:QWF11"/>
    <mergeCell ref="QWG11:QWH11"/>
    <mergeCell ref="QWI11:QWN11"/>
    <mergeCell ref="QWO11:QWR11"/>
    <mergeCell ref="QWS11:QWT11"/>
    <mergeCell ref="QWU11:QWV11"/>
    <mergeCell ref="QWW11:QWX11"/>
    <mergeCell ref="QWY11:QXD11"/>
    <mergeCell ref="QXE11:QXH11"/>
    <mergeCell ref="QVA11:QVB11"/>
    <mergeCell ref="QVC11:QVH11"/>
    <mergeCell ref="QVI11:QVL11"/>
    <mergeCell ref="QVM11:QVN11"/>
    <mergeCell ref="QVO11:QVP11"/>
    <mergeCell ref="QVQ11:QVR11"/>
    <mergeCell ref="QVS11:QVX11"/>
    <mergeCell ref="QVY11:QWB11"/>
    <mergeCell ref="QWC11:QWD11"/>
    <mergeCell ref="QTW11:QUB11"/>
    <mergeCell ref="QUC11:QUF11"/>
    <mergeCell ref="QUG11:QUH11"/>
    <mergeCell ref="QUI11:QUJ11"/>
    <mergeCell ref="QUK11:QUL11"/>
    <mergeCell ref="QUM11:QUR11"/>
    <mergeCell ref="QUS11:QUV11"/>
    <mergeCell ref="QUW11:QUX11"/>
    <mergeCell ref="QUY11:QUZ11"/>
    <mergeCell ref="QSW11:QSZ11"/>
    <mergeCell ref="QTA11:QTB11"/>
    <mergeCell ref="QTC11:QTD11"/>
    <mergeCell ref="QTE11:QTF11"/>
    <mergeCell ref="QTG11:QTL11"/>
    <mergeCell ref="QTM11:QTP11"/>
    <mergeCell ref="QTQ11:QTR11"/>
    <mergeCell ref="QTS11:QTT11"/>
    <mergeCell ref="QTU11:QTV11"/>
    <mergeCell ref="QRU11:QRV11"/>
    <mergeCell ref="QRW11:QRX11"/>
    <mergeCell ref="QRY11:QRZ11"/>
    <mergeCell ref="QSA11:QSF11"/>
    <mergeCell ref="QSG11:QSJ11"/>
    <mergeCell ref="QSK11:QSL11"/>
    <mergeCell ref="QSM11:QSN11"/>
    <mergeCell ref="QSO11:QSP11"/>
    <mergeCell ref="QSQ11:QSV11"/>
    <mergeCell ref="QQQ11:QQR11"/>
    <mergeCell ref="QQS11:QQT11"/>
    <mergeCell ref="QQU11:QQZ11"/>
    <mergeCell ref="QRA11:QRD11"/>
    <mergeCell ref="QRE11:QRF11"/>
    <mergeCell ref="QRG11:QRH11"/>
    <mergeCell ref="QRI11:QRJ11"/>
    <mergeCell ref="QRK11:QRP11"/>
    <mergeCell ref="QRQ11:QRT11"/>
    <mergeCell ref="QPM11:QPN11"/>
    <mergeCell ref="QPO11:QPT11"/>
    <mergeCell ref="QPU11:QPX11"/>
    <mergeCell ref="QPY11:QPZ11"/>
    <mergeCell ref="QQA11:QQB11"/>
    <mergeCell ref="QQC11:QQD11"/>
    <mergeCell ref="QQE11:QQJ11"/>
    <mergeCell ref="QQK11:QQN11"/>
    <mergeCell ref="QQO11:QQP11"/>
    <mergeCell ref="QOI11:QON11"/>
    <mergeCell ref="QOO11:QOR11"/>
    <mergeCell ref="QOS11:QOT11"/>
    <mergeCell ref="QOU11:QOV11"/>
    <mergeCell ref="QOW11:QOX11"/>
    <mergeCell ref="QOY11:QPD11"/>
    <mergeCell ref="QPE11:QPH11"/>
    <mergeCell ref="QPI11:QPJ11"/>
    <mergeCell ref="QPK11:QPL11"/>
    <mergeCell ref="QNI11:QNL11"/>
    <mergeCell ref="QNM11:QNN11"/>
    <mergeCell ref="QNO11:QNP11"/>
    <mergeCell ref="QNQ11:QNR11"/>
    <mergeCell ref="QNS11:QNX11"/>
    <mergeCell ref="QNY11:QOB11"/>
    <mergeCell ref="QOC11:QOD11"/>
    <mergeCell ref="QOE11:QOF11"/>
    <mergeCell ref="QOG11:QOH11"/>
    <mergeCell ref="QMG11:QMH11"/>
    <mergeCell ref="QMI11:QMJ11"/>
    <mergeCell ref="QMK11:QML11"/>
    <mergeCell ref="QMM11:QMR11"/>
    <mergeCell ref="QMS11:QMV11"/>
    <mergeCell ref="QMW11:QMX11"/>
    <mergeCell ref="QMY11:QMZ11"/>
    <mergeCell ref="QNA11:QNB11"/>
    <mergeCell ref="QNC11:QNH11"/>
    <mergeCell ref="QLC11:QLD11"/>
    <mergeCell ref="QLE11:QLF11"/>
    <mergeCell ref="QLG11:QLL11"/>
    <mergeCell ref="QLM11:QLP11"/>
    <mergeCell ref="QLQ11:QLR11"/>
    <mergeCell ref="QLS11:QLT11"/>
    <mergeCell ref="QLU11:QLV11"/>
    <mergeCell ref="QLW11:QMB11"/>
    <mergeCell ref="QMC11:QMF11"/>
    <mergeCell ref="QJY11:QJZ11"/>
    <mergeCell ref="QKA11:QKF11"/>
    <mergeCell ref="QKG11:QKJ11"/>
    <mergeCell ref="QKK11:QKL11"/>
    <mergeCell ref="QKM11:QKN11"/>
    <mergeCell ref="QKO11:QKP11"/>
    <mergeCell ref="QKQ11:QKV11"/>
    <mergeCell ref="QKW11:QKZ11"/>
    <mergeCell ref="QLA11:QLB11"/>
    <mergeCell ref="QIU11:QIZ11"/>
    <mergeCell ref="QJA11:QJD11"/>
    <mergeCell ref="QJE11:QJF11"/>
    <mergeCell ref="QJG11:QJH11"/>
    <mergeCell ref="QJI11:QJJ11"/>
    <mergeCell ref="QJK11:QJP11"/>
    <mergeCell ref="QJQ11:QJT11"/>
    <mergeCell ref="QJU11:QJV11"/>
    <mergeCell ref="QJW11:QJX11"/>
    <mergeCell ref="QHU11:QHX11"/>
    <mergeCell ref="QHY11:QHZ11"/>
    <mergeCell ref="QIA11:QIB11"/>
    <mergeCell ref="QIC11:QID11"/>
    <mergeCell ref="QIE11:QIJ11"/>
    <mergeCell ref="QIK11:QIN11"/>
    <mergeCell ref="QIO11:QIP11"/>
    <mergeCell ref="QIQ11:QIR11"/>
    <mergeCell ref="QIS11:QIT11"/>
    <mergeCell ref="QGS11:QGT11"/>
    <mergeCell ref="QGU11:QGV11"/>
    <mergeCell ref="QGW11:QGX11"/>
    <mergeCell ref="QGY11:QHD11"/>
    <mergeCell ref="QHE11:QHH11"/>
    <mergeCell ref="QHI11:QHJ11"/>
    <mergeCell ref="QHK11:QHL11"/>
    <mergeCell ref="QHM11:QHN11"/>
    <mergeCell ref="QHO11:QHT11"/>
    <mergeCell ref="QFO11:QFP11"/>
    <mergeCell ref="QFQ11:QFR11"/>
    <mergeCell ref="QFS11:QFX11"/>
    <mergeCell ref="QFY11:QGB11"/>
    <mergeCell ref="QGC11:QGD11"/>
    <mergeCell ref="QGE11:QGF11"/>
    <mergeCell ref="QGG11:QGH11"/>
    <mergeCell ref="QGI11:QGN11"/>
    <mergeCell ref="QGO11:QGR11"/>
    <mergeCell ref="QEK11:QEL11"/>
    <mergeCell ref="QEM11:QER11"/>
    <mergeCell ref="QES11:QEV11"/>
    <mergeCell ref="QEW11:QEX11"/>
    <mergeCell ref="QEY11:QEZ11"/>
    <mergeCell ref="QFA11:QFB11"/>
    <mergeCell ref="QFC11:QFH11"/>
    <mergeCell ref="QFI11:QFL11"/>
    <mergeCell ref="QFM11:QFN11"/>
    <mergeCell ref="QDG11:QDL11"/>
    <mergeCell ref="QDM11:QDP11"/>
    <mergeCell ref="QDQ11:QDR11"/>
    <mergeCell ref="QDS11:QDT11"/>
    <mergeCell ref="QDU11:QDV11"/>
    <mergeCell ref="QDW11:QEB11"/>
    <mergeCell ref="QEC11:QEF11"/>
    <mergeCell ref="QEG11:QEH11"/>
    <mergeCell ref="QEI11:QEJ11"/>
    <mergeCell ref="QCG11:QCJ11"/>
    <mergeCell ref="QCK11:QCL11"/>
    <mergeCell ref="QCM11:QCN11"/>
    <mergeCell ref="QCO11:QCP11"/>
    <mergeCell ref="QCQ11:QCV11"/>
    <mergeCell ref="QCW11:QCZ11"/>
    <mergeCell ref="QDA11:QDB11"/>
    <mergeCell ref="QDC11:QDD11"/>
    <mergeCell ref="QDE11:QDF11"/>
    <mergeCell ref="QBE11:QBF11"/>
    <mergeCell ref="QBG11:QBH11"/>
    <mergeCell ref="QBI11:QBJ11"/>
    <mergeCell ref="QBK11:QBP11"/>
    <mergeCell ref="QBQ11:QBT11"/>
    <mergeCell ref="QBU11:QBV11"/>
    <mergeCell ref="QBW11:QBX11"/>
    <mergeCell ref="QBY11:QBZ11"/>
    <mergeCell ref="QCA11:QCF11"/>
    <mergeCell ref="QAA11:QAB11"/>
    <mergeCell ref="QAC11:QAD11"/>
    <mergeCell ref="QAE11:QAJ11"/>
    <mergeCell ref="QAK11:QAN11"/>
    <mergeCell ref="QAO11:QAP11"/>
    <mergeCell ref="QAQ11:QAR11"/>
    <mergeCell ref="QAS11:QAT11"/>
    <mergeCell ref="QAU11:QAZ11"/>
    <mergeCell ref="QBA11:QBD11"/>
    <mergeCell ref="PYW11:PYX11"/>
    <mergeCell ref="PYY11:PZD11"/>
    <mergeCell ref="PZE11:PZH11"/>
    <mergeCell ref="PZI11:PZJ11"/>
    <mergeCell ref="PZK11:PZL11"/>
    <mergeCell ref="PZM11:PZN11"/>
    <mergeCell ref="PZO11:PZT11"/>
    <mergeCell ref="PZU11:PZX11"/>
    <mergeCell ref="PZY11:PZZ11"/>
    <mergeCell ref="PXS11:PXX11"/>
    <mergeCell ref="PXY11:PYB11"/>
    <mergeCell ref="PYC11:PYD11"/>
    <mergeCell ref="PYE11:PYF11"/>
    <mergeCell ref="PYG11:PYH11"/>
    <mergeCell ref="PYI11:PYN11"/>
    <mergeCell ref="PYO11:PYR11"/>
    <mergeCell ref="PYS11:PYT11"/>
    <mergeCell ref="PYU11:PYV11"/>
    <mergeCell ref="PWS11:PWV11"/>
    <mergeCell ref="PWW11:PWX11"/>
    <mergeCell ref="PWY11:PWZ11"/>
    <mergeCell ref="PXA11:PXB11"/>
    <mergeCell ref="PXC11:PXH11"/>
    <mergeCell ref="PXI11:PXL11"/>
    <mergeCell ref="PXM11:PXN11"/>
    <mergeCell ref="PXO11:PXP11"/>
    <mergeCell ref="PXQ11:PXR11"/>
    <mergeCell ref="PVQ11:PVR11"/>
    <mergeCell ref="PVS11:PVT11"/>
    <mergeCell ref="PVU11:PVV11"/>
    <mergeCell ref="PVW11:PWB11"/>
    <mergeCell ref="PWC11:PWF11"/>
    <mergeCell ref="PWG11:PWH11"/>
    <mergeCell ref="PWI11:PWJ11"/>
    <mergeCell ref="PWK11:PWL11"/>
    <mergeCell ref="PWM11:PWR11"/>
    <mergeCell ref="PUM11:PUN11"/>
    <mergeCell ref="PUO11:PUP11"/>
    <mergeCell ref="PUQ11:PUV11"/>
    <mergeCell ref="PUW11:PUZ11"/>
    <mergeCell ref="PVA11:PVB11"/>
    <mergeCell ref="PVC11:PVD11"/>
    <mergeCell ref="PVE11:PVF11"/>
    <mergeCell ref="PVG11:PVL11"/>
    <mergeCell ref="PVM11:PVP11"/>
    <mergeCell ref="PTI11:PTJ11"/>
    <mergeCell ref="PTK11:PTP11"/>
    <mergeCell ref="PTQ11:PTT11"/>
    <mergeCell ref="PTU11:PTV11"/>
    <mergeCell ref="PTW11:PTX11"/>
    <mergeCell ref="PTY11:PTZ11"/>
    <mergeCell ref="PUA11:PUF11"/>
    <mergeCell ref="PUG11:PUJ11"/>
    <mergeCell ref="PUK11:PUL11"/>
    <mergeCell ref="PSE11:PSJ11"/>
    <mergeCell ref="PSK11:PSN11"/>
    <mergeCell ref="PSO11:PSP11"/>
    <mergeCell ref="PSQ11:PSR11"/>
    <mergeCell ref="PSS11:PST11"/>
    <mergeCell ref="PSU11:PSZ11"/>
    <mergeCell ref="PTA11:PTD11"/>
    <mergeCell ref="PTE11:PTF11"/>
    <mergeCell ref="PTG11:PTH11"/>
    <mergeCell ref="PRE11:PRH11"/>
    <mergeCell ref="PRI11:PRJ11"/>
    <mergeCell ref="PRK11:PRL11"/>
    <mergeCell ref="PRM11:PRN11"/>
    <mergeCell ref="PRO11:PRT11"/>
    <mergeCell ref="PRU11:PRX11"/>
    <mergeCell ref="PRY11:PRZ11"/>
    <mergeCell ref="PSA11:PSB11"/>
    <mergeCell ref="PSC11:PSD11"/>
    <mergeCell ref="PQC11:PQD11"/>
    <mergeCell ref="PQE11:PQF11"/>
    <mergeCell ref="PQG11:PQH11"/>
    <mergeCell ref="PQI11:PQN11"/>
    <mergeCell ref="PQO11:PQR11"/>
    <mergeCell ref="PQS11:PQT11"/>
    <mergeCell ref="PQU11:PQV11"/>
    <mergeCell ref="PQW11:PQX11"/>
    <mergeCell ref="PQY11:PRD11"/>
    <mergeCell ref="POY11:POZ11"/>
    <mergeCell ref="PPA11:PPB11"/>
    <mergeCell ref="PPC11:PPH11"/>
    <mergeCell ref="PPI11:PPL11"/>
    <mergeCell ref="PPM11:PPN11"/>
    <mergeCell ref="PPO11:PPP11"/>
    <mergeCell ref="PPQ11:PPR11"/>
    <mergeCell ref="PPS11:PPX11"/>
    <mergeCell ref="PPY11:PQB11"/>
    <mergeCell ref="PNU11:PNV11"/>
    <mergeCell ref="PNW11:POB11"/>
    <mergeCell ref="POC11:POF11"/>
    <mergeCell ref="POG11:POH11"/>
    <mergeCell ref="POI11:POJ11"/>
    <mergeCell ref="POK11:POL11"/>
    <mergeCell ref="POM11:POR11"/>
    <mergeCell ref="POS11:POV11"/>
    <mergeCell ref="POW11:POX11"/>
    <mergeCell ref="PMQ11:PMV11"/>
    <mergeCell ref="PMW11:PMZ11"/>
    <mergeCell ref="PNA11:PNB11"/>
    <mergeCell ref="PNC11:PND11"/>
    <mergeCell ref="PNE11:PNF11"/>
    <mergeCell ref="PNG11:PNL11"/>
    <mergeCell ref="PNM11:PNP11"/>
    <mergeCell ref="PNQ11:PNR11"/>
    <mergeCell ref="PNS11:PNT11"/>
    <mergeCell ref="PLQ11:PLT11"/>
    <mergeCell ref="PLU11:PLV11"/>
    <mergeCell ref="PLW11:PLX11"/>
    <mergeCell ref="PLY11:PLZ11"/>
    <mergeCell ref="PMA11:PMF11"/>
    <mergeCell ref="PMG11:PMJ11"/>
    <mergeCell ref="PMK11:PML11"/>
    <mergeCell ref="PMM11:PMN11"/>
    <mergeCell ref="PMO11:PMP11"/>
    <mergeCell ref="PKO11:PKP11"/>
    <mergeCell ref="PKQ11:PKR11"/>
    <mergeCell ref="PKS11:PKT11"/>
    <mergeCell ref="PKU11:PKZ11"/>
    <mergeCell ref="PLA11:PLD11"/>
    <mergeCell ref="PLE11:PLF11"/>
    <mergeCell ref="PLG11:PLH11"/>
    <mergeCell ref="PLI11:PLJ11"/>
    <mergeCell ref="PLK11:PLP11"/>
    <mergeCell ref="PJK11:PJL11"/>
    <mergeCell ref="PJM11:PJN11"/>
    <mergeCell ref="PJO11:PJT11"/>
    <mergeCell ref="PJU11:PJX11"/>
    <mergeCell ref="PJY11:PJZ11"/>
    <mergeCell ref="PKA11:PKB11"/>
    <mergeCell ref="PKC11:PKD11"/>
    <mergeCell ref="PKE11:PKJ11"/>
    <mergeCell ref="PKK11:PKN11"/>
    <mergeCell ref="PIG11:PIH11"/>
    <mergeCell ref="PII11:PIN11"/>
    <mergeCell ref="PIO11:PIR11"/>
    <mergeCell ref="PIS11:PIT11"/>
    <mergeCell ref="PIU11:PIV11"/>
    <mergeCell ref="PIW11:PIX11"/>
    <mergeCell ref="PIY11:PJD11"/>
    <mergeCell ref="PJE11:PJH11"/>
    <mergeCell ref="PJI11:PJJ11"/>
    <mergeCell ref="PHC11:PHH11"/>
    <mergeCell ref="PHI11:PHL11"/>
    <mergeCell ref="PHM11:PHN11"/>
    <mergeCell ref="PHO11:PHP11"/>
    <mergeCell ref="PHQ11:PHR11"/>
    <mergeCell ref="PHS11:PHX11"/>
    <mergeCell ref="PHY11:PIB11"/>
    <mergeCell ref="PIC11:PID11"/>
    <mergeCell ref="PIE11:PIF11"/>
    <mergeCell ref="PGC11:PGF11"/>
    <mergeCell ref="PGG11:PGH11"/>
    <mergeCell ref="PGI11:PGJ11"/>
    <mergeCell ref="PGK11:PGL11"/>
    <mergeCell ref="PGM11:PGR11"/>
    <mergeCell ref="PGS11:PGV11"/>
    <mergeCell ref="PGW11:PGX11"/>
    <mergeCell ref="PGY11:PGZ11"/>
    <mergeCell ref="PHA11:PHB11"/>
    <mergeCell ref="PFA11:PFB11"/>
    <mergeCell ref="PFC11:PFD11"/>
    <mergeCell ref="PFE11:PFF11"/>
    <mergeCell ref="PFG11:PFL11"/>
    <mergeCell ref="PFM11:PFP11"/>
    <mergeCell ref="PFQ11:PFR11"/>
    <mergeCell ref="PFS11:PFT11"/>
    <mergeCell ref="PFU11:PFV11"/>
    <mergeCell ref="PFW11:PGB11"/>
    <mergeCell ref="PDW11:PDX11"/>
    <mergeCell ref="PDY11:PDZ11"/>
    <mergeCell ref="PEA11:PEF11"/>
    <mergeCell ref="PEG11:PEJ11"/>
    <mergeCell ref="PEK11:PEL11"/>
    <mergeCell ref="PEM11:PEN11"/>
    <mergeCell ref="PEO11:PEP11"/>
    <mergeCell ref="PEQ11:PEV11"/>
    <mergeCell ref="PEW11:PEZ11"/>
    <mergeCell ref="PCS11:PCT11"/>
    <mergeCell ref="PCU11:PCZ11"/>
    <mergeCell ref="PDA11:PDD11"/>
    <mergeCell ref="PDE11:PDF11"/>
    <mergeCell ref="PDG11:PDH11"/>
    <mergeCell ref="PDI11:PDJ11"/>
    <mergeCell ref="PDK11:PDP11"/>
    <mergeCell ref="PDQ11:PDT11"/>
    <mergeCell ref="PDU11:PDV11"/>
    <mergeCell ref="PBO11:PBT11"/>
    <mergeCell ref="PBU11:PBX11"/>
    <mergeCell ref="PBY11:PBZ11"/>
    <mergeCell ref="PCA11:PCB11"/>
    <mergeCell ref="PCC11:PCD11"/>
    <mergeCell ref="PCE11:PCJ11"/>
    <mergeCell ref="PCK11:PCN11"/>
    <mergeCell ref="PCO11:PCP11"/>
    <mergeCell ref="PCQ11:PCR11"/>
    <mergeCell ref="PAO11:PAR11"/>
    <mergeCell ref="PAS11:PAT11"/>
    <mergeCell ref="PAU11:PAV11"/>
    <mergeCell ref="PAW11:PAX11"/>
    <mergeCell ref="PAY11:PBD11"/>
    <mergeCell ref="PBE11:PBH11"/>
    <mergeCell ref="PBI11:PBJ11"/>
    <mergeCell ref="PBK11:PBL11"/>
    <mergeCell ref="PBM11:PBN11"/>
    <mergeCell ref="OZM11:OZN11"/>
    <mergeCell ref="OZO11:OZP11"/>
    <mergeCell ref="OZQ11:OZR11"/>
    <mergeCell ref="OZS11:OZX11"/>
    <mergeCell ref="OZY11:PAB11"/>
    <mergeCell ref="PAC11:PAD11"/>
    <mergeCell ref="PAE11:PAF11"/>
    <mergeCell ref="PAG11:PAH11"/>
    <mergeCell ref="PAI11:PAN11"/>
    <mergeCell ref="OYI11:OYJ11"/>
    <mergeCell ref="OYK11:OYL11"/>
    <mergeCell ref="OYM11:OYR11"/>
    <mergeCell ref="OYS11:OYV11"/>
    <mergeCell ref="OYW11:OYX11"/>
    <mergeCell ref="OYY11:OYZ11"/>
    <mergeCell ref="OZA11:OZB11"/>
    <mergeCell ref="OZC11:OZH11"/>
    <mergeCell ref="OZI11:OZL11"/>
    <mergeCell ref="OXE11:OXF11"/>
    <mergeCell ref="OXG11:OXL11"/>
    <mergeCell ref="OXM11:OXP11"/>
    <mergeCell ref="OXQ11:OXR11"/>
    <mergeCell ref="OXS11:OXT11"/>
    <mergeCell ref="OXU11:OXV11"/>
    <mergeCell ref="OXW11:OYB11"/>
    <mergeCell ref="OYC11:OYF11"/>
    <mergeCell ref="OYG11:OYH11"/>
    <mergeCell ref="OWA11:OWF11"/>
    <mergeCell ref="OWG11:OWJ11"/>
    <mergeCell ref="OWK11:OWL11"/>
    <mergeCell ref="OWM11:OWN11"/>
    <mergeCell ref="OWO11:OWP11"/>
    <mergeCell ref="OWQ11:OWV11"/>
    <mergeCell ref="OWW11:OWZ11"/>
    <mergeCell ref="OXA11:OXB11"/>
    <mergeCell ref="OXC11:OXD11"/>
    <mergeCell ref="OVA11:OVD11"/>
    <mergeCell ref="OVE11:OVF11"/>
    <mergeCell ref="OVG11:OVH11"/>
    <mergeCell ref="OVI11:OVJ11"/>
    <mergeCell ref="OVK11:OVP11"/>
    <mergeCell ref="OVQ11:OVT11"/>
    <mergeCell ref="OVU11:OVV11"/>
    <mergeCell ref="OVW11:OVX11"/>
    <mergeCell ref="OVY11:OVZ11"/>
    <mergeCell ref="OTY11:OTZ11"/>
    <mergeCell ref="OUA11:OUB11"/>
    <mergeCell ref="OUC11:OUD11"/>
    <mergeCell ref="OUE11:OUJ11"/>
    <mergeCell ref="OUK11:OUN11"/>
    <mergeCell ref="OUO11:OUP11"/>
    <mergeCell ref="OUQ11:OUR11"/>
    <mergeCell ref="OUS11:OUT11"/>
    <mergeCell ref="OUU11:OUZ11"/>
    <mergeCell ref="OSU11:OSV11"/>
    <mergeCell ref="OSW11:OSX11"/>
    <mergeCell ref="OSY11:OTD11"/>
    <mergeCell ref="OTE11:OTH11"/>
    <mergeCell ref="OTI11:OTJ11"/>
    <mergeCell ref="OTK11:OTL11"/>
    <mergeCell ref="OTM11:OTN11"/>
    <mergeCell ref="OTO11:OTT11"/>
    <mergeCell ref="OTU11:OTX11"/>
    <mergeCell ref="ORQ11:ORR11"/>
    <mergeCell ref="ORS11:ORX11"/>
    <mergeCell ref="ORY11:OSB11"/>
    <mergeCell ref="OSC11:OSD11"/>
    <mergeCell ref="OSE11:OSF11"/>
    <mergeCell ref="OSG11:OSH11"/>
    <mergeCell ref="OSI11:OSN11"/>
    <mergeCell ref="OSO11:OSR11"/>
    <mergeCell ref="OSS11:OST11"/>
    <mergeCell ref="OQM11:OQR11"/>
    <mergeCell ref="OQS11:OQV11"/>
    <mergeCell ref="OQW11:OQX11"/>
    <mergeCell ref="OQY11:OQZ11"/>
    <mergeCell ref="ORA11:ORB11"/>
    <mergeCell ref="ORC11:ORH11"/>
    <mergeCell ref="ORI11:ORL11"/>
    <mergeCell ref="ORM11:ORN11"/>
    <mergeCell ref="ORO11:ORP11"/>
    <mergeCell ref="OPM11:OPP11"/>
    <mergeCell ref="OPQ11:OPR11"/>
    <mergeCell ref="OPS11:OPT11"/>
    <mergeCell ref="OPU11:OPV11"/>
    <mergeCell ref="OPW11:OQB11"/>
    <mergeCell ref="OQC11:OQF11"/>
    <mergeCell ref="OQG11:OQH11"/>
    <mergeCell ref="OQI11:OQJ11"/>
    <mergeCell ref="OQK11:OQL11"/>
    <mergeCell ref="OOK11:OOL11"/>
    <mergeCell ref="OOM11:OON11"/>
    <mergeCell ref="OOO11:OOP11"/>
    <mergeCell ref="OOQ11:OOV11"/>
    <mergeCell ref="OOW11:OOZ11"/>
    <mergeCell ref="OPA11:OPB11"/>
    <mergeCell ref="OPC11:OPD11"/>
    <mergeCell ref="OPE11:OPF11"/>
    <mergeCell ref="OPG11:OPL11"/>
    <mergeCell ref="ONG11:ONH11"/>
    <mergeCell ref="ONI11:ONJ11"/>
    <mergeCell ref="ONK11:ONP11"/>
    <mergeCell ref="ONQ11:ONT11"/>
    <mergeCell ref="ONU11:ONV11"/>
    <mergeCell ref="ONW11:ONX11"/>
    <mergeCell ref="ONY11:ONZ11"/>
    <mergeCell ref="OOA11:OOF11"/>
    <mergeCell ref="OOG11:OOJ11"/>
    <mergeCell ref="OMC11:OMD11"/>
    <mergeCell ref="OME11:OMJ11"/>
    <mergeCell ref="OMK11:OMN11"/>
    <mergeCell ref="OMO11:OMP11"/>
    <mergeCell ref="OMQ11:OMR11"/>
    <mergeCell ref="OMS11:OMT11"/>
    <mergeCell ref="OMU11:OMZ11"/>
    <mergeCell ref="ONA11:OND11"/>
    <mergeCell ref="ONE11:ONF11"/>
    <mergeCell ref="OKY11:OLD11"/>
    <mergeCell ref="OLE11:OLH11"/>
    <mergeCell ref="OLI11:OLJ11"/>
    <mergeCell ref="OLK11:OLL11"/>
    <mergeCell ref="OLM11:OLN11"/>
    <mergeCell ref="OLO11:OLT11"/>
    <mergeCell ref="OLU11:OLX11"/>
    <mergeCell ref="OLY11:OLZ11"/>
    <mergeCell ref="OMA11:OMB11"/>
    <mergeCell ref="OJY11:OKB11"/>
    <mergeCell ref="OKC11:OKD11"/>
    <mergeCell ref="OKE11:OKF11"/>
    <mergeCell ref="OKG11:OKH11"/>
    <mergeCell ref="OKI11:OKN11"/>
    <mergeCell ref="OKO11:OKR11"/>
    <mergeCell ref="OKS11:OKT11"/>
    <mergeCell ref="OKU11:OKV11"/>
    <mergeCell ref="OKW11:OKX11"/>
    <mergeCell ref="OIW11:OIX11"/>
    <mergeCell ref="OIY11:OIZ11"/>
    <mergeCell ref="OJA11:OJB11"/>
    <mergeCell ref="OJC11:OJH11"/>
    <mergeCell ref="OJI11:OJL11"/>
    <mergeCell ref="OJM11:OJN11"/>
    <mergeCell ref="OJO11:OJP11"/>
    <mergeCell ref="OJQ11:OJR11"/>
    <mergeCell ref="OJS11:OJX11"/>
    <mergeCell ref="OHS11:OHT11"/>
    <mergeCell ref="OHU11:OHV11"/>
    <mergeCell ref="OHW11:OIB11"/>
    <mergeCell ref="OIC11:OIF11"/>
    <mergeCell ref="OIG11:OIH11"/>
    <mergeCell ref="OII11:OIJ11"/>
    <mergeCell ref="OIK11:OIL11"/>
    <mergeCell ref="OIM11:OIR11"/>
    <mergeCell ref="OIS11:OIV11"/>
    <mergeCell ref="OGO11:OGP11"/>
    <mergeCell ref="OGQ11:OGV11"/>
    <mergeCell ref="OGW11:OGZ11"/>
    <mergeCell ref="OHA11:OHB11"/>
    <mergeCell ref="OHC11:OHD11"/>
    <mergeCell ref="OHE11:OHF11"/>
    <mergeCell ref="OHG11:OHL11"/>
    <mergeCell ref="OHM11:OHP11"/>
    <mergeCell ref="OHQ11:OHR11"/>
    <mergeCell ref="OFK11:OFP11"/>
    <mergeCell ref="OFQ11:OFT11"/>
    <mergeCell ref="OFU11:OFV11"/>
    <mergeCell ref="OFW11:OFX11"/>
    <mergeCell ref="OFY11:OFZ11"/>
    <mergeCell ref="OGA11:OGF11"/>
    <mergeCell ref="OGG11:OGJ11"/>
    <mergeCell ref="OGK11:OGL11"/>
    <mergeCell ref="OGM11:OGN11"/>
    <mergeCell ref="OEK11:OEN11"/>
    <mergeCell ref="OEO11:OEP11"/>
    <mergeCell ref="OEQ11:OER11"/>
    <mergeCell ref="OES11:OET11"/>
    <mergeCell ref="OEU11:OEZ11"/>
    <mergeCell ref="OFA11:OFD11"/>
    <mergeCell ref="OFE11:OFF11"/>
    <mergeCell ref="OFG11:OFH11"/>
    <mergeCell ref="OFI11:OFJ11"/>
    <mergeCell ref="ODI11:ODJ11"/>
    <mergeCell ref="ODK11:ODL11"/>
    <mergeCell ref="ODM11:ODN11"/>
    <mergeCell ref="ODO11:ODT11"/>
    <mergeCell ref="ODU11:ODX11"/>
    <mergeCell ref="ODY11:ODZ11"/>
    <mergeCell ref="OEA11:OEB11"/>
    <mergeCell ref="OEC11:OED11"/>
    <mergeCell ref="OEE11:OEJ11"/>
    <mergeCell ref="OCE11:OCF11"/>
    <mergeCell ref="OCG11:OCH11"/>
    <mergeCell ref="OCI11:OCN11"/>
    <mergeCell ref="OCO11:OCR11"/>
    <mergeCell ref="OCS11:OCT11"/>
    <mergeCell ref="OCU11:OCV11"/>
    <mergeCell ref="OCW11:OCX11"/>
    <mergeCell ref="OCY11:ODD11"/>
    <mergeCell ref="ODE11:ODH11"/>
    <mergeCell ref="OBA11:OBB11"/>
    <mergeCell ref="OBC11:OBH11"/>
    <mergeCell ref="OBI11:OBL11"/>
    <mergeCell ref="OBM11:OBN11"/>
    <mergeCell ref="OBO11:OBP11"/>
    <mergeCell ref="OBQ11:OBR11"/>
    <mergeCell ref="OBS11:OBX11"/>
    <mergeCell ref="OBY11:OCB11"/>
    <mergeCell ref="OCC11:OCD11"/>
    <mergeCell ref="NZW11:OAB11"/>
    <mergeCell ref="OAC11:OAF11"/>
    <mergeCell ref="OAG11:OAH11"/>
    <mergeCell ref="OAI11:OAJ11"/>
    <mergeCell ref="OAK11:OAL11"/>
    <mergeCell ref="OAM11:OAR11"/>
    <mergeCell ref="OAS11:OAV11"/>
    <mergeCell ref="OAW11:OAX11"/>
    <mergeCell ref="OAY11:OAZ11"/>
    <mergeCell ref="NYW11:NYZ11"/>
    <mergeCell ref="NZA11:NZB11"/>
    <mergeCell ref="NZC11:NZD11"/>
    <mergeCell ref="NZE11:NZF11"/>
    <mergeCell ref="NZG11:NZL11"/>
    <mergeCell ref="NZM11:NZP11"/>
    <mergeCell ref="NZQ11:NZR11"/>
    <mergeCell ref="NZS11:NZT11"/>
    <mergeCell ref="NZU11:NZV11"/>
    <mergeCell ref="NXU11:NXV11"/>
    <mergeCell ref="NXW11:NXX11"/>
    <mergeCell ref="NXY11:NXZ11"/>
    <mergeCell ref="NYA11:NYF11"/>
    <mergeCell ref="NYG11:NYJ11"/>
    <mergeCell ref="NYK11:NYL11"/>
    <mergeCell ref="NYM11:NYN11"/>
    <mergeCell ref="NYO11:NYP11"/>
    <mergeCell ref="NYQ11:NYV11"/>
    <mergeCell ref="NWQ11:NWR11"/>
    <mergeCell ref="NWS11:NWT11"/>
    <mergeCell ref="NWU11:NWZ11"/>
    <mergeCell ref="NXA11:NXD11"/>
    <mergeCell ref="NXE11:NXF11"/>
    <mergeCell ref="NXG11:NXH11"/>
    <mergeCell ref="NXI11:NXJ11"/>
    <mergeCell ref="NXK11:NXP11"/>
    <mergeCell ref="NXQ11:NXT11"/>
    <mergeCell ref="NVM11:NVN11"/>
    <mergeCell ref="NVO11:NVT11"/>
    <mergeCell ref="NVU11:NVX11"/>
    <mergeCell ref="NVY11:NVZ11"/>
    <mergeCell ref="NWA11:NWB11"/>
    <mergeCell ref="NWC11:NWD11"/>
    <mergeCell ref="NWE11:NWJ11"/>
    <mergeCell ref="NWK11:NWN11"/>
    <mergeCell ref="NWO11:NWP11"/>
    <mergeCell ref="NUI11:NUN11"/>
    <mergeCell ref="NUO11:NUR11"/>
    <mergeCell ref="NUS11:NUT11"/>
    <mergeCell ref="NUU11:NUV11"/>
    <mergeCell ref="NUW11:NUX11"/>
    <mergeCell ref="NUY11:NVD11"/>
    <mergeCell ref="NVE11:NVH11"/>
    <mergeCell ref="NVI11:NVJ11"/>
    <mergeCell ref="NVK11:NVL11"/>
    <mergeCell ref="NTI11:NTL11"/>
    <mergeCell ref="NTM11:NTN11"/>
    <mergeCell ref="NTO11:NTP11"/>
    <mergeCell ref="NTQ11:NTR11"/>
    <mergeCell ref="NTS11:NTX11"/>
    <mergeCell ref="NTY11:NUB11"/>
    <mergeCell ref="NUC11:NUD11"/>
    <mergeCell ref="NUE11:NUF11"/>
    <mergeCell ref="NUG11:NUH11"/>
    <mergeCell ref="NSG11:NSH11"/>
    <mergeCell ref="NSI11:NSJ11"/>
    <mergeCell ref="NSK11:NSL11"/>
    <mergeCell ref="NSM11:NSR11"/>
    <mergeCell ref="NSS11:NSV11"/>
    <mergeCell ref="NSW11:NSX11"/>
    <mergeCell ref="NSY11:NSZ11"/>
    <mergeCell ref="NTA11:NTB11"/>
    <mergeCell ref="NTC11:NTH11"/>
    <mergeCell ref="NRC11:NRD11"/>
    <mergeCell ref="NRE11:NRF11"/>
    <mergeCell ref="NRG11:NRL11"/>
    <mergeCell ref="NRM11:NRP11"/>
    <mergeCell ref="NRQ11:NRR11"/>
    <mergeCell ref="NRS11:NRT11"/>
    <mergeCell ref="NRU11:NRV11"/>
    <mergeCell ref="NRW11:NSB11"/>
    <mergeCell ref="NSC11:NSF11"/>
    <mergeCell ref="NPY11:NPZ11"/>
    <mergeCell ref="NQA11:NQF11"/>
    <mergeCell ref="NQG11:NQJ11"/>
    <mergeCell ref="NQK11:NQL11"/>
    <mergeCell ref="NQM11:NQN11"/>
    <mergeCell ref="NQO11:NQP11"/>
    <mergeCell ref="NQQ11:NQV11"/>
    <mergeCell ref="NQW11:NQZ11"/>
    <mergeCell ref="NRA11:NRB11"/>
    <mergeCell ref="NOU11:NOZ11"/>
    <mergeCell ref="NPA11:NPD11"/>
    <mergeCell ref="NPE11:NPF11"/>
    <mergeCell ref="NPG11:NPH11"/>
    <mergeCell ref="NPI11:NPJ11"/>
    <mergeCell ref="NPK11:NPP11"/>
    <mergeCell ref="NPQ11:NPT11"/>
    <mergeCell ref="NPU11:NPV11"/>
    <mergeCell ref="NPW11:NPX11"/>
    <mergeCell ref="NNU11:NNX11"/>
    <mergeCell ref="NNY11:NNZ11"/>
    <mergeCell ref="NOA11:NOB11"/>
    <mergeCell ref="NOC11:NOD11"/>
    <mergeCell ref="NOE11:NOJ11"/>
    <mergeCell ref="NOK11:NON11"/>
    <mergeCell ref="NOO11:NOP11"/>
    <mergeCell ref="NOQ11:NOR11"/>
    <mergeCell ref="NOS11:NOT11"/>
    <mergeCell ref="NMS11:NMT11"/>
    <mergeCell ref="NMU11:NMV11"/>
    <mergeCell ref="NMW11:NMX11"/>
    <mergeCell ref="NMY11:NND11"/>
    <mergeCell ref="NNE11:NNH11"/>
    <mergeCell ref="NNI11:NNJ11"/>
    <mergeCell ref="NNK11:NNL11"/>
    <mergeCell ref="NNM11:NNN11"/>
    <mergeCell ref="NNO11:NNT11"/>
    <mergeCell ref="NLO11:NLP11"/>
    <mergeCell ref="NLQ11:NLR11"/>
    <mergeCell ref="NLS11:NLX11"/>
    <mergeCell ref="NLY11:NMB11"/>
    <mergeCell ref="NMC11:NMD11"/>
    <mergeCell ref="NME11:NMF11"/>
    <mergeCell ref="NMG11:NMH11"/>
    <mergeCell ref="NMI11:NMN11"/>
    <mergeCell ref="NMO11:NMR11"/>
    <mergeCell ref="NKK11:NKL11"/>
    <mergeCell ref="NKM11:NKR11"/>
    <mergeCell ref="NKS11:NKV11"/>
    <mergeCell ref="NKW11:NKX11"/>
    <mergeCell ref="NKY11:NKZ11"/>
    <mergeCell ref="NLA11:NLB11"/>
    <mergeCell ref="NLC11:NLH11"/>
    <mergeCell ref="NLI11:NLL11"/>
    <mergeCell ref="NLM11:NLN11"/>
    <mergeCell ref="NJG11:NJL11"/>
    <mergeCell ref="NJM11:NJP11"/>
    <mergeCell ref="NJQ11:NJR11"/>
    <mergeCell ref="NJS11:NJT11"/>
    <mergeCell ref="NJU11:NJV11"/>
    <mergeCell ref="NJW11:NKB11"/>
    <mergeCell ref="NKC11:NKF11"/>
    <mergeCell ref="NKG11:NKH11"/>
    <mergeCell ref="NKI11:NKJ11"/>
    <mergeCell ref="NIG11:NIJ11"/>
    <mergeCell ref="NIK11:NIL11"/>
    <mergeCell ref="NIM11:NIN11"/>
    <mergeCell ref="NIO11:NIP11"/>
    <mergeCell ref="NIQ11:NIV11"/>
    <mergeCell ref="NIW11:NIZ11"/>
    <mergeCell ref="NJA11:NJB11"/>
    <mergeCell ref="NJC11:NJD11"/>
    <mergeCell ref="NJE11:NJF11"/>
    <mergeCell ref="NHE11:NHF11"/>
    <mergeCell ref="NHG11:NHH11"/>
    <mergeCell ref="NHI11:NHJ11"/>
    <mergeCell ref="NHK11:NHP11"/>
    <mergeCell ref="NHQ11:NHT11"/>
    <mergeCell ref="NHU11:NHV11"/>
    <mergeCell ref="NHW11:NHX11"/>
    <mergeCell ref="NHY11:NHZ11"/>
    <mergeCell ref="NIA11:NIF11"/>
    <mergeCell ref="NGA11:NGB11"/>
    <mergeCell ref="NGC11:NGD11"/>
    <mergeCell ref="NGE11:NGJ11"/>
    <mergeCell ref="NGK11:NGN11"/>
    <mergeCell ref="NGO11:NGP11"/>
    <mergeCell ref="NGQ11:NGR11"/>
    <mergeCell ref="NGS11:NGT11"/>
    <mergeCell ref="NGU11:NGZ11"/>
    <mergeCell ref="NHA11:NHD11"/>
    <mergeCell ref="NEW11:NEX11"/>
    <mergeCell ref="NEY11:NFD11"/>
    <mergeCell ref="NFE11:NFH11"/>
    <mergeCell ref="NFI11:NFJ11"/>
    <mergeCell ref="NFK11:NFL11"/>
    <mergeCell ref="NFM11:NFN11"/>
    <mergeCell ref="NFO11:NFT11"/>
    <mergeCell ref="NFU11:NFX11"/>
    <mergeCell ref="NFY11:NFZ11"/>
    <mergeCell ref="NDS11:NDX11"/>
    <mergeCell ref="NDY11:NEB11"/>
    <mergeCell ref="NEC11:NED11"/>
    <mergeCell ref="NEE11:NEF11"/>
    <mergeCell ref="NEG11:NEH11"/>
    <mergeCell ref="NEI11:NEN11"/>
    <mergeCell ref="NEO11:NER11"/>
    <mergeCell ref="NES11:NET11"/>
    <mergeCell ref="NEU11:NEV11"/>
    <mergeCell ref="NCS11:NCV11"/>
    <mergeCell ref="NCW11:NCX11"/>
    <mergeCell ref="NCY11:NCZ11"/>
    <mergeCell ref="NDA11:NDB11"/>
    <mergeCell ref="NDC11:NDH11"/>
    <mergeCell ref="NDI11:NDL11"/>
    <mergeCell ref="NDM11:NDN11"/>
    <mergeCell ref="NDO11:NDP11"/>
    <mergeCell ref="NDQ11:NDR11"/>
    <mergeCell ref="NBQ11:NBR11"/>
    <mergeCell ref="NBS11:NBT11"/>
    <mergeCell ref="NBU11:NBV11"/>
    <mergeCell ref="NBW11:NCB11"/>
    <mergeCell ref="NCC11:NCF11"/>
    <mergeCell ref="NCG11:NCH11"/>
    <mergeCell ref="NCI11:NCJ11"/>
    <mergeCell ref="NCK11:NCL11"/>
    <mergeCell ref="NCM11:NCR11"/>
    <mergeCell ref="NAM11:NAN11"/>
    <mergeCell ref="NAO11:NAP11"/>
    <mergeCell ref="NAQ11:NAV11"/>
    <mergeCell ref="NAW11:NAZ11"/>
    <mergeCell ref="NBA11:NBB11"/>
    <mergeCell ref="NBC11:NBD11"/>
    <mergeCell ref="NBE11:NBF11"/>
    <mergeCell ref="NBG11:NBL11"/>
    <mergeCell ref="NBM11:NBP11"/>
    <mergeCell ref="MZI11:MZJ11"/>
    <mergeCell ref="MZK11:MZP11"/>
    <mergeCell ref="MZQ11:MZT11"/>
    <mergeCell ref="MZU11:MZV11"/>
    <mergeCell ref="MZW11:MZX11"/>
    <mergeCell ref="MZY11:MZZ11"/>
    <mergeCell ref="NAA11:NAF11"/>
    <mergeCell ref="NAG11:NAJ11"/>
    <mergeCell ref="NAK11:NAL11"/>
    <mergeCell ref="MYE11:MYJ11"/>
    <mergeCell ref="MYK11:MYN11"/>
    <mergeCell ref="MYO11:MYP11"/>
    <mergeCell ref="MYQ11:MYR11"/>
    <mergeCell ref="MYS11:MYT11"/>
    <mergeCell ref="MYU11:MYZ11"/>
    <mergeCell ref="MZA11:MZD11"/>
    <mergeCell ref="MZE11:MZF11"/>
    <mergeCell ref="MZG11:MZH11"/>
    <mergeCell ref="MXE11:MXH11"/>
    <mergeCell ref="MXI11:MXJ11"/>
    <mergeCell ref="MXK11:MXL11"/>
    <mergeCell ref="MXM11:MXN11"/>
    <mergeCell ref="MXO11:MXT11"/>
    <mergeCell ref="MXU11:MXX11"/>
    <mergeCell ref="MXY11:MXZ11"/>
    <mergeCell ref="MYA11:MYB11"/>
    <mergeCell ref="MYC11:MYD11"/>
    <mergeCell ref="MWC11:MWD11"/>
    <mergeCell ref="MWE11:MWF11"/>
    <mergeCell ref="MWG11:MWH11"/>
    <mergeCell ref="MWI11:MWN11"/>
    <mergeCell ref="MWO11:MWR11"/>
    <mergeCell ref="MWS11:MWT11"/>
    <mergeCell ref="MWU11:MWV11"/>
    <mergeCell ref="MWW11:MWX11"/>
    <mergeCell ref="MWY11:MXD11"/>
    <mergeCell ref="MUY11:MUZ11"/>
    <mergeCell ref="MVA11:MVB11"/>
    <mergeCell ref="MVC11:MVH11"/>
    <mergeCell ref="MVI11:MVL11"/>
    <mergeCell ref="MVM11:MVN11"/>
    <mergeCell ref="MVO11:MVP11"/>
    <mergeCell ref="MVQ11:MVR11"/>
    <mergeCell ref="MVS11:MVX11"/>
    <mergeCell ref="MVY11:MWB11"/>
    <mergeCell ref="MTU11:MTV11"/>
    <mergeCell ref="MTW11:MUB11"/>
    <mergeCell ref="MUC11:MUF11"/>
    <mergeCell ref="MUG11:MUH11"/>
    <mergeCell ref="MUI11:MUJ11"/>
    <mergeCell ref="MUK11:MUL11"/>
    <mergeCell ref="MUM11:MUR11"/>
    <mergeCell ref="MUS11:MUV11"/>
    <mergeCell ref="MUW11:MUX11"/>
    <mergeCell ref="MSQ11:MSV11"/>
    <mergeCell ref="MSW11:MSZ11"/>
    <mergeCell ref="MTA11:MTB11"/>
    <mergeCell ref="MTC11:MTD11"/>
    <mergeCell ref="MTE11:MTF11"/>
    <mergeCell ref="MTG11:MTL11"/>
    <mergeCell ref="MTM11:MTP11"/>
    <mergeCell ref="MTQ11:MTR11"/>
    <mergeCell ref="MTS11:MTT11"/>
    <mergeCell ref="MRQ11:MRT11"/>
    <mergeCell ref="MRU11:MRV11"/>
    <mergeCell ref="MRW11:MRX11"/>
    <mergeCell ref="MRY11:MRZ11"/>
    <mergeCell ref="MSA11:MSF11"/>
    <mergeCell ref="MSG11:MSJ11"/>
    <mergeCell ref="MSK11:MSL11"/>
    <mergeCell ref="MSM11:MSN11"/>
    <mergeCell ref="MSO11:MSP11"/>
    <mergeCell ref="MQO11:MQP11"/>
    <mergeCell ref="MQQ11:MQR11"/>
    <mergeCell ref="MQS11:MQT11"/>
    <mergeCell ref="MQU11:MQZ11"/>
    <mergeCell ref="MRA11:MRD11"/>
    <mergeCell ref="MRE11:MRF11"/>
    <mergeCell ref="MRG11:MRH11"/>
    <mergeCell ref="MRI11:MRJ11"/>
    <mergeCell ref="MRK11:MRP11"/>
    <mergeCell ref="MPK11:MPL11"/>
    <mergeCell ref="MPM11:MPN11"/>
    <mergeCell ref="MPO11:MPT11"/>
    <mergeCell ref="MPU11:MPX11"/>
    <mergeCell ref="MPY11:MPZ11"/>
    <mergeCell ref="MQA11:MQB11"/>
    <mergeCell ref="MQC11:MQD11"/>
    <mergeCell ref="MQE11:MQJ11"/>
    <mergeCell ref="MQK11:MQN11"/>
    <mergeCell ref="MOG11:MOH11"/>
    <mergeCell ref="MOI11:MON11"/>
    <mergeCell ref="MOO11:MOR11"/>
    <mergeCell ref="MOS11:MOT11"/>
    <mergeCell ref="MOU11:MOV11"/>
    <mergeCell ref="MOW11:MOX11"/>
    <mergeCell ref="MOY11:MPD11"/>
    <mergeCell ref="MPE11:MPH11"/>
    <mergeCell ref="MPI11:MPJ11"/>
    <mergeCell ref="MNC11:MNH11"/>
    <mergeCell ref="MNI11:MNL11"/>
    <mergeCell ref="MNM11:MNN11"/>
    <mergeCell ref="MNO11:MNP11"/>
    <mergeCell ref="MNQ11:MNR11"/>
    <mergeCell ref="MNS11:MNX11"/>
    <mergeCell ref="MNY11:MOB11"/>
    <mergeCell ref="MOC11:MOD11"/>
    <mergeCell ref="MOE11:MOF11"/>
    <mergeCell ref="MMC11:MMF11"/>
    <mergeCell ref="MMG11:MMH11"/>
    <mergeCell ref="MMI11:MMJ11"/>
    <mergeCell ref="MMK11:MML11"/>
    <mergeCell ref="MMM11:MMR11"/>
    <mergeCell ref="MMS11:MMV11"/>
    <mergeCell ref="MMW11:MMX11"/>
    <mergeCell ref="MMY11:MMZ11"/>
    <mergeCell ref="MNA11:MNB11"/>
    <mergeCell ref="MLA11:MLB11"/>
    <mergeCell ref="MLC11:MLD11"/>
    <mergeCell ref="MLE11:MLF11"/>
    <mergeCell ref="MLG11:MLL11"/>
    <mergeCell ref="MLM11:MLP11"/>
    <mergeCell ref="MLQ11:MLR11"/>
    <mergeCell ref="MLS11:MLT11"/>
    <mergeCell ref="MLU11:MLV11"/>
    <mergeCell ref="MLW11:MMB11"/>
    <mergeCell ref="MJW11:MJX11"/>
    <mergeCell ref="MJY11:MJZ11"/>
    <mergeCell ref="MKA11:MKF11"/>
    <mergeCell ref="MKG11:MKJ11"/>
    <mergeCell ref="MKK11:MKL11"/>
    <mergeCell ref="MKM11:MKN11"/>
    <mergeCell ref="MKO11:MKP11"/>
    <mergeCell ref="MKQ11:MKV11"/>
    <mergeCell ref="MKW11:MKZ11"/>
    <mergeCell ref="MIS11:MIT11"/>
    <mergeCell ref="MIU11:MIZ11"/>
    <mergeCell ref="MJA11:MJD11"/>
    <mergeCell ref="MJE11:MJF11"/>
    <mergeCell ref="MJG11:MJH11"/>
    <mergeCell ref="MJI11:MJJ11"/>
    <mergeCell ref="MJK11:MJP11"/>
    <mergeCell ref="MJQ11:MJT11"/>
    <mergeCell ref="MJU11:MJV11"/>
    <mergeCell ref="MHO11:MHT11"/>
    <mergeCell ref="MHU11:MHX11"/>
    <mergeCell ref="MHY11:MHZ11"/>
    <mergeCell ref="MIA11:MIB11"/>
    <mergeCell ref="MIC11:MID11"/>
    <mergeCell ref="MIE11:MIJ11"/>
    <mergeCell ref="MIK11:MIN11"/>
    <mergeCell ref="MIO11:MIP11"/>
    <mergeCell ref="MIQ11:MIR11"/>
    <mergeCell ref="MGO11:MGR11"/>
    <mergeCell ref="MGS11:MGT11"/>
    <mergeCell ref="MGU11:MGV11"/>
    <mergeCell ref="MGW11:MGX11"/>
    <mergeCell ref="MGY11:MHD11"/>
    <mergeCell ref="MHE11:MHH11"/>
    <mergeCell ref="MHI11:MHJ11"/>
    <mergeCell ref="MHK11:MHL11"/>
    <mergeCell ref="MHM11:MHN11"/>
    <mergeCell ref="MFM11:MFN11"/>
    <mergeCell ref="MFO11:MFP11"/>
    <mergeCell ref="MFQ11:MFR11"/>
    <mergeCell ref="MFS11:MFX11"/>
    <mergeCell ref="MFY11:MGB11"/>
    <mergeCell ref="MGC11:MGD11"/>
    <mergeCell ref="MGE11:MGF11"/>
    <mergeCell ref="MGG11:MGH11"/>
    <mergeCell ref="MGI11:MGN11"/>
    <mergeCell ref="MEI11:MEJ11"/>
    <mergeCell ref="MEK11:MEL11"/>
    <mergeCell ref="MEM11:MER11"/>
    <mergeCell ref="MES11:MEV11"/>
    <mergeCell ref="MEW11:MEX11"/>
    <mergeCell ref="MEY11:MEZ11"/>
    <mergeCell ref="MFA11:MFB11"/>
    <mergeCell ref="MFC11:MFH11"/>
    <mergeCell ref="MFI11:MFL11"/>
    <mergeCell ref="MDE11:MDF11"/>
    <mergeCell ref="MDG11:MDL11"/>
    <mergeCell ref="MDM11:MDP11"/>
    <mergeCell ref="MDQ11:MDR11"/>
    <mergeCell ref="MDS11:MDT11"/>
    <mergeCell ref="MDU11:MDV11"/>
    <mergeCell ref="MDW11:MEB11"/>
    <mergeCell ref="MEC11:MEF11"/>
    <mergeCell ref="MEG11:MEH11"/>
    <mergeCell ref="MCA11:MCF11"/>
    <mergeCell ref="MCG11:MCJ11"/>
    <mergeCell ref="MCK11:MCL11"/>
    <mergeCell ref="MCM11:MCN11"/>
    <mergeCell ref="MCO11:MCP11"/>
    <mergeCell ref="MCQ11:MCV11"/>
    <mergeCell ref="MCW11:MCZ11"/>
    <mergeCell ref="MDA11:MDB11"/>
    <mergeCell ref="MDC11:MDD11"/>
    <mergeCell ref="MBA11:MBD11"/>
    <mergeCell ref="MBE11:MBF11"/>
    <mergeCell ref="MBG11:MBH11"/>
    <mergeCell ref="MBI11:MBJ11"/>
    <mergeCell ref="MBK11:MBP11"/>
    <mergeCell ref="MBQ11:MBT11"/>
    <mergeCell ref="MBU11:MBV11"/>
    <mergeCell ref="MBW11:MBX11"/>
    <mergeCell ref="MBY11:MBZ11"/>
    <mergeCell ref="LZY11:LZZ11"/>
    <mergeCell ref="MAA11:MAB11"/>
    <mergeCell ref="MAC11:MAD11"/>
    <mergeCell ref="MAE11:MAJ11"/>
    <mergeCell ref="MAK11:MAN11"/>
    <mergeCell ref="MAO11:MAP11"/>
    <mergeCell ref="MAQ11:MAR11"/>
    <mergeCell ref="MAS11:MAT11"/>
    <mergeCell ref="MAU11:MAZ11"/>
    <mergeCell ref="LYU11:LYV11"/>
    <mergeCell ref="LYW11:LYX11"/>
    <mergeCell ref="LYY11:LZD11"/>
    <mergeCell ref="LZE11:LZH11"/>
    <mergeCell ref="LZI11:LZJ11"/>
    <mergeCell ref="LZK11:LZL11"/>
    <mergeCell ref="LZM11:LZN11"/>
    <mergeCell ref="LZO11:LZT11"/>
    <mergeCell ref="LZU11:LZX11"/>
    <mergeCell ref="LXQ11:LXR11"/>
    <mergeCell ref="LXS11:LXX11"/>
    <mergeCell ref="LXY11:LYB11"/>
    <mergeCell ref="LYC11:LYD11"/>
    <mergeCell ref="LYE11:LYF11"/>
    <mergeCell ref="LYG11:LYH11"/>
    <mergeCell ref="LYI11:LYN11"/>
    <mergeCell ref="LYO11:LYR11"/>
    <mergeCell ref="LYS11:LYT11"/>
    <mergeCell ref="LWM11:LWR11"/>
    <mergeCell ref="LWS11:LWV11"/>
    <mergeCell ref="LWW11:LWX11"/>
    <mergeCell ref="LWY11:LWZ11"/>
    <mergeCell ref="LXA11:LXB11"/>
    <mergeCell ref="LXC11:LXH11"/>
    <mergeCell ref="LXI11:LXL11"/>
    <mergeCell ref="LXM11:LXN11"/>
    <mergeCell ref="LXO11:LXP11"/>
    <mergeCell ref="LVM11:LVP11"/>
    <mergeCell ref="LVQ11:LVR11"/>
    <mergeCell ref="LVS11:LVT11"/>
    <mergeCell ref="LVU11:LVV11"/>
    <mergeCell ref="LVW11:LWB11"/>
    <mergeCell ref="LWC11:LWF11"/>
    <mergeCell ref="LWG11:LWH11"/>
    <mergeCell ref="LWI11:LWJ11"/>
    <mergeCell ref="LWK11:LWL11"/>
    <mergeCell ref="LUK11:LUL11"/>
    <mergeCell ref="LUM11:LUN11"/>
    <mergeCell ref="LUO11:LUP11"/>
    <mergeCell ref="LUQ11:LUV11"/>
    <mergeCell ref="LUW11:LUZ11"/>
    <mergeCell ref="LVA11:LVB11"/>
    <mergeCell ref="LVC11:LVD11"/>
    <mergeCell ref="LVE11:LVF11"/>
    <mergeCell ref="LVG11:LVL11"/>
    <mergeCell ref="LTG11:LTH11"/>
    <mergeCell ref="LTI11:LTJ11"/>
    <mergeCell ref="LTK11:LTP11"/>
    <mergeCell ref="LTQ11:LTT11"/>
    <mergeCell ref="LTU11:LTV11"/>
    <mergeCell ref="LTW11:LTX11"/>
    <mergeCell ref="LTY11:LTZ11"/>
    <mergeCell ref="LUA11:LUF11"/>
    <mergeCell ref="LUG11:LUJ11"/>
    <mergeCell ref="LSC11:LSD11"/>
    <mergeCell ref="LSE11:LSJ11"/>
    <mergeCell ref="LSK11:LSN11"/>
    <mergeCell ref="LSO11:LSP11"/>
    <mergeCell ref="LSQ11:LSR11"/>
    <mergeCell ref="LSS11:LST11"/>
    <mergeCell ref="LSU11:LSZ11"/>
    <mergeCell ref="LTA11:LTD11"/>
    <mergeCell ref="LTE11:LTF11"/>
    <mergeCell ref="LQY11:LRD11"/>
    <mergeCell ref="LRE11:LRH11"/>
    <mergeCell ref="LRI11:LRJ11"/>
    <mergeCell ref="LRK11:LRL11"/>
    <mergeCell ref="LRM11:LRN11"/>
    <mergeCell ref="LRO11:LRT11"/>
    <mergeCell ref="LRU11:LRX11"/>
    <mergeCell ref="LRY11:LRZ11"/>
    <mergeCell ref="LSA11:LSB11"/>
    <mergeCell ref="LPY11:LQB11"/>
    <mergeCell ref="LQC11:LQD11"/>
    <mergeCell ref="LQE11:LQF11"/>
    <mergeCell ref="LQG11:LQH11"/>
    <mergeCell ref="LQI11:LQN11"/>
    <mergeCell ref="LQO11:LQR11"/>
    <mergeCell ref="LQS11:LQT11"/>
    <mergeCell ref="LQU11:LQV11"/>
    <mergeCell ref="LQW11:LQX11"/>
    <mergeCell ref="LOW11:LOX11"/>
    <mergeCell ref="LOY11:LOZ11"/>
    <mergeCell ref="LPA11:LPB11"/>
    <mergeCell ref="LPC11:LPH11"/>
    <mergeCell ref="LPI11:LPL11"/>
    <mergeCell ref="LPM11:LPN11"/>
    <mergeCell ref="LPO11:LPP11"/>
    <mergeCell ref="LPQ11:LPR11"/>
    <mergeCell ref="LPS11:LPX11"/>
    <mergeCell ref="LNS11:LNT11"/>
    <mergeCell ref="LNU11:LNV11"/>
    <mergeCell ref="LNW11:LOB11"/>
    <mergeCell ref="LOC11:LOF11"/>
    <mergeCell ref="LOG11:LOH11"/>
    <mergeCell ref="LOI11:LOJ11"/>
    <mergeCell ref="LOK11:LOL11"/>
    <mergeCell ref="LOM11:LOR11"/>
    <mergeCell ref="LOS11:LOV11"/>
    <mergeCell ref="LMO11:LMP11"/>
    <mergeCell ref="LMQ11:LMV11"/>
    <mergeCell ref="LMW11:LMZ11"/>
    <mergeCell ref="LNA11:LNB11"/>
    <mergeCell ref="LNC11:LND11"/>
    <mergeCell ref="LNE11:LNF11"/>
    <mergeCell ref="LNG11:LNL11"/>
    <mergeCell ref="LNM11:LNP11"/>
    <mergeCell ref="LNQ11:LNR11"/>
    <mergeCell ref="LLK11:LLP11"/>
    <mergeCell ref="LLQ11:LLT11"/>
    <mergeCell ref="LLU11:LLV11"/>
    <mergeCell ref="LLW11:LLX11"/>
    <mergeCell ref="LLY11:LLZ11"/>
    <mergeCell ref="LMA11:LMF11"/>
    <mergeCell ref="LMG11:LMJ11"/>
    <mergeCell ref="LMK11:LML11"/>
    <mergeCell ref="LMM11:LMN11"/>
    <mergeCell ref="LKK11:LKN11"/>
    <mergeCell ref="LKO11:LKP11"/>
    <mergeCell ref="LKQ11:LKR11"/>
    <mergeCell ref="LKS11:LKT11"/>
    <mergeCell ref="LKU11:LKZ11"/>
    <mergeCell ref="LLA11:LLD11"/>
    <mergeCell ref="LLE11:LLF11"/>
    <mergeCell ref="LLG11:LLH11"/>
    <mergeCell ref="LLI11:LLJ11"/>
    <mergeCell ref="LJI11:LJJ11"/>
    <mergeCell ref="LJK11:LJL11"/>
    <mergeCell ref="LJM11:LJN11"/>
    <mergeCell ref="LJO11:LJT11"/>
    <mergeCell ref="LJU11:LJX11"/>
    <mergeCell ref="LJY11:LJZ11"/>
    <mergeCell ref="LKA11:LKB11"/>
    <mergeCell ref="LKC11:LKD11"/>
    <mergeCell ref="LKE11:LKJ11"/>
    <mergeCell ref="LIE11:LIF11"/>
    <mergeCell ref="LIG11:LIH11"/>
    <mergeCell ref="LII11:LIN11"/>
    <mergeCell ref="LIO11:LIR11"/>
    <mergeCell ref="LIS11:LIT11"/>
    <mergeCell ref="LIU11:LIV11"/>
    <mergeCell ref="LIW11:LIX11"/>
    <mergeCell ref="LIY11:LJD11"/>
    <mergeCell ref="LJE11:LJH11"/>
    <mergeCell ref="LHA11:LHB11"/>
    <mergeCell ref="LHC11:LHH11"/>
    <mergeCell ref="LHI11:LHL11"/>
    <mergeCell ref="LHM11:LHN11"/>
    <mergeCell ref="LHO11:LHP11"/>
    <mergeCell ref="LHQ11:LHR11"/>
    <mergeCell ref="LHS11:LHX11"/>
    <mergeCell ref="LHY11:LIB11"/>
    <mergeCell ref="LIC11:LID11"/>
    <mergeCell ref="LFW11:LGB11"/>
    <mergeCell ref="LGC11:LGF11"/>
    <mergeCell ref="LGG11:LGH11"/>
    <mergeCell ref="LGI11:LGJ11"/>
    <mergeCell ref="LGK11:LGL11"/>
    <mergeCell ref="LGM11:LGR11"/>
    <mergeCell ref="LGS11:LGV11"/>
    <mergeCell ref="LGW11:LGX11"/>
    <mergeCell ref="LGY11:LGZ11"/>
    <mergeCell ref="LEW11:LEZ11"/>
    <mergeCell ref="LFA11:LFB11"/>
    <mergeCell ref="LFC11:LFD11"/>
    <mergeCell ref="LFE11:LFF11"/>
    <mergeCell ref="LFG11:LFL11"/>
    <mergeCell ref="LFM11:LFP11"/>
    <mergeCell ref="LFQ11:LFR11"/>
    <mergeCell ref="LFS11:LFT11"/>
    <mergeCell ref="LFU11:LFV11"/>
    <mergeCell ref="LDU11:LDV11"/>
    <mergeCell ref="LDW11:LDX11"/>
    <mergeCell ref="LDY11:LDZ11"/>
    <mergeCell ref="LEA11:LEF11"/>
    <mergeCell ref="LEG11:LEJ11"/>
    <mergeCell ref="LEK11:LEL11"/>
    <mergeCell ref="LEM11:LEN11"/>
    <mergeCell ref="LEO11:LEP11"/>
    <mergeCell ref="LEQ11:LEV11"/>
    <mergeCell ref="LCQ11:LCR11"/>
    <mergeCell ref="LCS11:LCT11"/>
    <mergeCell ref="LCU11:LCZ11"/>
    <mergeCell ref="LDA11:LDD11"/>
    <mergeCell ref="LDE11:LDF11"/>
    <mergeCell ref="LDG11:LDH11"/>
    <mergeCell ref="LDI11:LDJ11"/>
    <mergeCell ref="LDK11:LDP11"/>
    <mergeCell ref="LDQ11:LDT11"/>
    <mergeCell ref="LBM11:LBN11"/>
    <mergeCell ref="LBO11:LBT11"/>
    <mergeCell ref="LBU11:LBX11"/>
    <mergeCell ref="LBY11:LBZ11"/>
    <mergeCell ref="LCA11:LCB11"/>
    <mergeCell ref="LCC11:LCD11"/>
    <mergeCell ref="LCE11:LCJ11"/>
    <mergeCell ref="LCK11:LCN11"/>
    <mergeCell ref="LCO11:LCP11"/>
    <mergeCell ref="LAI11:LAN11"/>
    <mergeCell ref="LAO11:LAR11"/>
    <mergeCell ref="LAS11:LAT11"/>
    <mergeCell ref="LAU11:LAV11"/>
    <mergeCell ref="LAW11:LAX11"/>
    <mergeCell ref="LAY11:LBD11"/>
    <mergeCell ref="LBE11:LBH11"/>
    <mergeCell ref="LBI11:LBJ11"/>
    <mergeCell ref="LBK11:LBL11"/>
    <mergeCell ref="KZI11:KZL11"/>
    <mergeCell ref="KZM11:KZN11"/>
    <mergeCell ref="KZO11:KZP11"/>
    <mergeCell ref="KZQ11:KZR11"/>
    <mergeCell ref="KZS11:KZX11"/>
    <mergeCell ref="KZY11:LAB11"/>
    <mergeCell ref="LAC11:LAD11"/>
    <mergeCell ref="LAE11:LAF11"/>
    <mergeCell ref="LAG11:LAH11"/>
    <mergeCell ref="KYG11:KYH11"/>
    <mergeCell ref="KYI11:KYJ11"/>
    <mergeCell ref="KYK11:KYL11"/>
    <mergeCell ref="KYM11:KYR11"/>
    <mergeCell ref="KYS11:KYV11"/>
    <mergeCell ref="KYW11:KYX11"/>
    <mergeCell ref="KYY11:KYZ11"/>
    <mergeCell ref="KZA11:KZB11"/>
    <mergeCell ref="KZC11:KZH11"/>
    <mergeCell ref="KXC11:KXD11"/>
    <mergeCell ref="KXE11:KXF11"/>
    <mergeCell ref="KXG11:KXL11"/>
    <mergeCell ref="KXM11:KXP11"/>
    <mergeCell ref="KXQ11:KXR11"/>
    <mergeCell ref="KXS11:KXT11"/>
    <mergeCell ref="KXU11:KXV11"/>
    <mergeCell ref="KXW11:KYB11"/>
    <mergeCell ref="KYC11:KYF11"/>
    <mergeCell ref="KVY11:KVZ11"/>
    <mergeCell ref="KWA11:KWF11"/>
    <mergeCell ref="KWG11:KWJ11"/>
    <mergeCell ref="KWK11:KWL11"/>
    <mergeCell ref="KWM11:KWN11"/>
    <mergeCell ref="KWO11:KWP11"/>
    <mergeCell ref="KWQ11:KWV11"/>
    <mergeCell ref="KWW11:KWZ11"/>
    <mergeCell ref="KXA11:KXB11"/>
    <mergeCell ref="KUU11:KUZ11"/>
    <mergeCell ref="KVA11:KVD11"/>
    <mergeCell ref="KVE11:KVF11"/>
    <mergeCell ref="KVG11:KVH11"/>
    <mergeCell ref="KVI11:KVJ11"/>
    <mergeCell ref="KVK11:KVP11"/>
    <mergeCell ref="KVQ11:KVT11"/>
    <mergeCell ref="KVU11:KVV11"/>
    <mergeCell ref="KVW11:KVX11"/>
    <mergeCell ref="KTU11:KTX11"/>
    <mergeCell ref="KTY11:KTZ11"/>
    <mergeCell ref="KUA11:KUB11"/>
    <mergeCell ref="KUC11:KUD11"/>
    <mergeCell ref="KUE11:KUJ11"/>
    <mergeCell ref="KUK11:KUN11"/>
    <mergeCell ref="KUO11:KUP11"/>
    <mergeCell ref="KUQ11:KUR11"/>
    <mergeCell ref="KUS11:KUT11"/>
    <mergeCell ref="KSS11:KST11"/>
    <mergeCell ref="KSU11:KSV11"/>
    <mergeCell ref="KSW11:KSX11"/>
    <mergeCell ref="KSY11:KTD11"/>
    <mergeCell ref="KTE11:KTH11"/>
    <mergeCell ref="KTI11:KTJ11"/>
    <mergeCell ref="KTK11:KTL11"/>
    <mergeCell ref="KTM11:KTN11"/>
    <mergeCell ref="KTO11:KTT11"/>
    <mergeCell ref="KRO11:KRP11"/>
    <mergeCell ref="KRQ11:KRR11"/>
    <mergeCell ref="KRS11:KRX11"/>
    <mergeCell ref="KRY11:KSB11"/>
    <mergeCell ref="KSC11:KSD11"/>
    <mergeCell ref="KSE11:KSF11"/>
    <mergeCell ref="KSG11:KSH11"/>
    <mergeCell ref="KSI11:KSN11"/>
    <mergeCell ref="KSO11:KSR11"/>
    <mergeCell ref="KQK11:KQL11"/>
    <mergeCell ref="KQM11:KQR11"/>
    <mergeCell ref="KQS11:KQV11"/>
    <mergeCell ref="KQW11:KQX11"/>
    <mergeCell ref="KQY11:KQZ11"/>
    <mergeCell ref="KRA11:KRB11"/>
    <mergeCell ref="KRC11:KRH11"/>
    <mergeCell ref="KRI11:KRL11"/>
    <mergeCell ref="KRM11:KRN11"/>
    <mergeCell ref="KPG11:KPL11"/>
    <mergeCell ref="KPM11:KPP11"/>
    <mergeCell ref="KPQ11:KPR11"/>
    <mergeCell ref="KPS11:KPT11"/>
    <mergeCell ref="KPU11:KPV11"/>
    <mergeCell ref="KPW11:KQB11"/>
    <mergeCell ref="KQC11:KQF11"/>
    <mergeCell ref="KQG11:KQH11"/>
    <mergeCell ref="KQI11:KQJ11"/>
    <mergeCell ref="KOG11:KOJ11"/>
    <mergeCell ref="KOK11:KOL11"/>
    <mergeCell ref="KOM11:KON11"/>
    <mergeCell ref="KOO11:KOP11"/>
    <mergeCell ref="KOQ11:KOV11"/>
    <mergeCell ref="KOW11:KOZ11"/>
    <mergeCell ref="KPA11:KPB11"/>
    <mergeCell ref="KPC11:KPD11"/>
    <mergeCell ref="KPE11:KPF11"/>
    <mergeCell ref="KNE11:KNF11"/>
    <mergeCell ref="KNG11:KNH11"/>
    <mergeCell ref="KNI11:KNJ11"/>
    <mergeCell ref="KNK11:KNP11"/>
    <mergeCell ref="KNQ11:KNT11"/>
    <mergeCell ref="KNU11:KNV11"/>
    <mergeCell ref="KNW11:KNX11"/>
    <mergeCell ref="KNY11:KNZ11"/>
    <mergeCell ref="KOA11:KOF11"/>
    <mergeCell ref="KMA11:KMB11"/>
    <mergeCell ref="KMC11:KMD11"/>
    <mergeCell ref="KME11:KMJ11"/>
    <mergeCell ref="KMK11:KMN11"/>
    <mergeCell ref="KMO11:KMP11"/>
    <mergeCell ref="KMQ11:KMR11"/>
    <mergeCell ref="KMS11:KMT11"/>
    <mergeCell ref="KMU11:KMZ11"/>
    <mergeCell ref="KNA11:KND11"/>
    <mergeCell ref="KKW11:KKX11"/>
    <mergeCell ref="KKY11:KLD11"/>
    <mergeCell ref="KLE11:KLH11"/>
    <mergeCell ref="KLI11:KLJ11"/>
    <mergeCell ref="KLK11:KLL11"/>
    <mergeCell ref="KLM11:KLN11"/>
    <mergeCell ref="KLO11:KLT11"/>
    <mergeCell ref="KLU11:KLX11"/>
    <mergeCell ref="KLY11:KLZ11"/>
    <mergeCell ref="KJS11:KJX11"/>
    <mergeCell ref="KJY11:KKB11"/>
    <mergeCell ref="KKC11:KKD11"/>
    <mergeCell ref="KKE11:KKF11"/>
    <mergeCell ref="KKG11:KKH11"/>
    <mergeCell ref="KKI11:KKN11"/>
    <mergeCell ref="KKO11:KKR11"/>
    <mergeCell ref="KKS11:KKT11"/>
    <mergeCell ref="KKU11:KKV11"/>
    <mergeCell ref="KIS11:KIV11"/>
    <mergeCell ref="KIW11:KIX11"/>
    <mergeCell ref="KIY11:KIZ11"/>
    <mergeCell ref="KJA11:KJB11"/>
    <mergeCell ref="KJC11:KJH11"/>
    <mergeCell ref="KJI11:KJL11"/>
    <mergeCell ref="KJM11:KJN11"/>
    <mergeCell ref="KJO11:KJP11"/>
    <mergeCell ref="KJQ11:KJR11"/>
    <mergeCell ref="KHQ11:KHR11"/>
    <mergeCell ref="KHS11:KHT11"/>
    <mergeCell ref="KHU11:KHV11"/>
    <mergeCell ref="KHW11:KIB11"/>
    <mergeCell ref="KIC11:KIF11"/>
    <mergeCell ref="KIG11:KIH11"/>
    <mergeCell ref="KII11:KIJ11"/>
    <mergeCell ref="KIK11:KIL11"/>
    <mergeCell ref="KIM11:KIR11"/>
    <mergeCell ref="KGM11:KGN11"/>
    <mergeCell ref="KGO11:KGP11"/>
    <mergeCell ref="KGQ11:KGV11"/>
    <mergeCell ref="KGW11:KGZ11"/>
    <mergeCell ref="KHA11:KHB11"/>
    <mergeCell ref="KHC11:KHD11"/>
    <mergeCell ref="KHE11:KHF11"/>
    <mergeCell ref="KHG11:KHL11"/>
    <mergeCell ref="KHM11:KHP11"/>
    <mergeCell ref="KFI11:KFJ11"/>
    <mergeCell ref="KFK11:KFP11"/>
    <mergeCell ref="KFQ11:KFT11"/>
    <mergeCell ref="KFU11:KFV11"/>
    <mergeCell ref="KFW11:KFX11"/>
    <mergeCell ref="KFY11:KFZ11"/>
    <mergeCell ref="KGA11:KGF11"/>
    <mergeCell ref="KGG11:KGJ11"/>
    <mergeCell ref="KGK11:KGL11"/>
    <mergeCell ref="KEE11:KEJ11"/>
    <mergeCell ref="KEK11:KEN11"/>
    <mergeCell ref="KEO11:KEP11"/>
    <mergeCell ref="KEQ11:KER11"/>
    <mergeCell ref="KES11:KET11"/>
    <mergeCell ref="KEU11:KEZ11"/>
    <mergeCell ref="KFA11:KFD11"/>
    <mergeCell ref="KFE11:KFF11"/>
    <mergeCell ref="KFG11:KFH11"/>
    <mergeCell ref="KDE11:KDH11"/>
    <mergeCell ref="KDI11:KDJ11"/>
    <mergeCell ref="KDK11:KDL11"/>
    <mergeCell ref="KDM11:KDN11"/>
    <mergeCell ref="KDO11:KDT11"/>
    <mergeCell ref="KDU11:KDX11"/>
    <mergeCell ref="KDY11:KDZ11"/>
    <mergeCell ref="KEA11:KEB11"/>
    <mergeCell ref="KEC11:KED11"/>
    <mergeCell ref="KCC11:KCD11"/>
    <mergeCell ref="KCE11:KCF11"/>
    <mergeCell ref="KCG11:KCH11"/>
    <mergeCell ref="KCI11:KCN11"/>
    <mergeCell ref="KCO11:KCR11"/>
    <mergeCell ref="KCS11:KCT11"/>
    <mergeCell ref="KCU11:KCV11"/>
    <mergeCell ref="KCW11:KCX11"/>
    <mergeCell ref="KCY11:KDD11"/>
    <mergeCell ref="KAY11:KAZ11"/>
    <mergeCell ref="KBA11:KBB11"/>
    <mergeCell ref="KBC11:KBH11"/>
    <mergeCell ref="KBI11:KBL11"/>
    <mergeCell ref="KBM11:KBN11"/>
    <mergeCell ref="KBO11:KBP11"/>
    <mergeCell ref="KBQ11:KBR11"/>
    <mergeCell ref="KBS11:KBX11"/>
    <mergeCell ref="KBY11:KCB11"/>
    <mergeCell ref="JZU11:JZV11"/>
    <mergeCell ref="JZW11:KAB11"/>
    <mergeCell ref="KAC11:KAF11"/>
    <mergeCell ref="KAG11:KAH11"/>
    <mergeCell ref="KAI11:KAJ11"/>
    <mergeCell ref="KAK11:KAL11"/>
    <mergeCell ref="KAM11:KAR11"/>
    <mergeCell ref="KAS11:KAV11"/>
    <mergeCell ref="KAW11:KAX11"/>
    <mergeCell ref="JYQ11:JYV11"/>
    <mergeCell ref="JYW11:JYZ11"/>
    <mergeCell ref="JZA11:JZB11"/>
    <mergeCell ref="JZC11:JZD11"/>
    <mergeCell ref="JZE11:JZF11"/>
    <mergeCell ref="JZG11:JZL11"/>
    <mergeCell ref="JZM11:JZP11"/>
    <mergeCell ref="JZQ11:JZR11"/>
    <mergeCell ref="JZS11:JZT11"/>
    <mergeCell ref="JXQ11:JXT11"/>
    <mergeCell ref="JXU11:JXV11"/>
    <mergeCell ref="JXW11:JXX11"/>
    <mergeCell ref="JXY11:JXZ11"/>
    <mergeCell ref="JYA11:JYF11"/>
    <mergeCell ref="JYG11:JYJ11"/>
    <mergeCell ref="JYK11:JYL11"/>
    <mergeCell ref="JYM11:JYN11"/>
    <mergeCell ref="JYO11:JYP11"/>
    <mergeCell ref="JWO11:JWP11"/>
    <mergeCell ref="JWQ11:JWR11"/>
    <mergeCell ref="JWS11:JWT11"/>
    <mergeCell ref="JWU11:JWZ11"/>
    <mergeCell ref="JXA11:JXD11"/>
    <mergeCell ref="JXE11:JXF11"/>
    <mergeCell ref="JXG11:JXH11"/>
    <mergeCell ref="JXI11:JXJ11"/>
    <mergeCell ref="JXK11:JXP11"/>
    <mergeCell ref="JVK11:JVL11"/>
    <mergeCell ref="JVM11:JVN11"/>
    <mergeCell ref="JVO11:JVT11"/>
    <mergeCell ref="JVU11:JVX11"/>
    <mergeCell ref="JVY11:JVZ11"/>
    <mergeCell ref="JWA11:JWB11"/>
    <mergeCell ref="JWC11:JWD11"/>
    <mergeCell ref="JWE11:JWJ11"/>
    <mergeCell ref="JWK11:JWN11"/>
    <mergeCell ref="JUG11:JUH11"/>
    <mergeCell ref="JUI11:JUN11"/>
    <mergeCell ref="JUO11:JUR11"/>
    <mergeCell ref="JUS11:JUT11"/>
    <mergeCell ref="JUU11:JUV11"/>
    <mergeCell ref="JUW11:JUX11"/>
    <mergeCell ref="JUY11:JVD11"/>
    <mergeCell ref="JVE11:JVH11"/>
    <mergeCell ref="JVI11:JVJ11"/>
    <mergeCell ref="JTC11:JTH11"/>
    <mergeCell ref="JTI11:JTL11"/>
    <mergeCell ref="JTM11:JTN11"/>
    <mergeCell ref="JTO11:JTP11"/>
    <mergeCell ref="JTQ11:JTR11"/>
    <mergeCell ref="JTS11:JTX11"/>
    <mergeCell ref="JTY11:JUB11"/>
    <mergeCell ref="JUC11:JUD11"/>
    <mergeCell ref="JUE11:JUF11"/>
    <mergeCell ref="JSC11:JSF11"/>
    <mergeCell ref="JSG11:JSH11"/>
    <mergeCell ref="JSI11:JSJ11"/>
    <mergeCell ref="JSK11:JSL11"/>
    <mergeCell ref="JSM11:JSR11"/>
    <mergeCell ref="JSS11:JSV11"/>
    <mergeCell ref="JSW11:JSX11"/>
    <mergeCell ref="JSY11:JSZ11"/>
    <mergeCell ref="JTA11:JTB11"/>
    <mergeCell ref="JRA11:JRB11"/>
    <mergeCell ref="JRC11:JRD11"/>
    <mergeCell ref="JRE11:JRF11"/>
    <mergeCell ref="JRG11:JRL11"/>
    <mergeCell ref="JRM11:JRP11"/>
    <mergeCell ref="JRQ11:JRR11"/>
    <mergeCell ref="JRS11:JRT11"/>
    <mergeCell ref="JRU11:JRV11"/>
    <mergeCell ref="JRW11:JSB11"/>
    <mergeCell ref="JPW11:JPX11"/>
    <mergeCell ref="JPY11:JPZ11"/>
    <mergeCell ref="JQA11:JQF11"/>
    <mergeCell ref="JQG11:JQJ11"/>
    <mergeCell ref="JQK11:JQL11"/>
    <mergeCell ref="JQM11:JQN11"/>
    <mergeCell ref="JQO11:JQP11"/>
    <mergeCell ref="JQQ11:JQV11"/>
    <mergeCell ref="JQW11:JQZ11"/>
    <mergeCell ref="JOS11:JOT11"/>
    <mergeCell ref="JOU11:JOZ11"/>
    <mergeCell ref="JPA11:JPD11"/>
    <mergeCell ref="JPE11:JPF11"/>
    <mergeCell ref="JPG11:JPH11"/>
    <mergeCell ref="JPI11:JPJ11"/>
    <mergeCell ref="JPK11:JPP11"/>
    <mergeCell ref="JPQ11:JPT11"/>
    <mergeCell ref="JPU11:JPV11"/>
    <mergeCell ref="JNO11:JNT11"/>
    <mergeCell ref="JNU11:JNX11"/>
    <mergeCell ref="JNY11:JNZ11"/>
    <mergeCell ref="JOA11:JOB11"/>
    <mergeCell ref="JOC11:JOD11"/>
    <mergeCell ref="JOE11:JOJ11"/>
    <mergeCell ref="JOK11:JON11"/>
    <mergeCell ref="JOO11:JOP11"/>
    <mergeCell ref="JOQ11:JOR11"/>
    <mergeCell ref="JMO11:JMR11"/>
    <mergeCell ref="JMS11:JMT11"/>
    <mergeCell ref="JMU11:JMV11"/>
    <mergeCell ref="JMW11:JMX11"/>
    <mergeCell ref="JMY11:JND11"/>
    <mergeCell ref="JNE11:JNH11"/>
    <mergeCell ref="JNI11:JNJ11"/>
    <mergeCell ref="JNK11:JNL11"/>
    <mergeCell ref="JNM11:JNN11"/>
    <mergeCell ref="JLM11:JLN11"/>
    <mergeCell ref="JLO11:JLP11"/>
    <mergeCell ref="JLQ11:JLR11"/>
    <mergeCell ref="JLS11:JLX11"/>
    <mergeCell ref="JLY11:JMB11"/>
    <mergeCell ref="JMC11:JMD11"/>
    <mergeCell ref="JME11:JMF11"/>
    <mergeCell ref="JMG11:JMH11"/>
    <mergeCell ref="JMI11:JMN11"/>
    <mergeCell ref="JKI11:JKJ11"/>
    <mergeCell ref="JKK11:JKL11"/>
    <mergeCell ref="JKM11:JKR11"/>
    <mergeCell ref="JKS11:JKV11"/>
    <mergeCell ref="JKW11:JKX11"/>
    <mergeCell ref="JKY11:JKZ11"/>
    <mergeCell ref="JLA11:JLB11"/>
    <mergeCell ref="JLC11:JLH11"/>
    <mergeCell ref="JLI11:JLL11"/>
    <mergeCell ref="JJE11:JJF11"/>
    <mergeCell ref="JJG11:JJL11"/>
    <mergeCell ref="JJM11:JJP11"/>
    <mergeCell ref="JJQ11:JJR11"/>
    <mergeCell ref="JJS11:JJT11"/>
    <mergeCell ref="JJU11:JJV11"/>
    <mergeCell ref="JJW11:JKB11"/>
    <mergeCell ref="JKC11:JKF11"/>
    <mergeCell ref="JKG11:JKH11"/>
    <mergeCell ref="JIA11:JIF11"/>
    <mergeCell ref="JIG11:JIJ11"/>
    <mergeCell ref="JIK11:JIL11"/>
    <mergeCell ref="JIM11:JIN11"/>
    <mergeCell ref="JIO11:JIP11"/>
    <mergeCell ref="JIQ11:JIV11"/>
    <mergeCell ref="JIW11:JIZ11"/>
    <mergeCell ref="JJA11:JJB11"/>
    <mergeCell ref="JJC11:JJD11"/>
    <mergeCell ref="JHA11:JHD11"/>
    <mergeCell ref="JHE11:JHF11"/>
    <mergeCell ref="JHG11:JHH11"/>
    <mergeCell ref="JHI11:JHJ11"/>
    <mergeCell ref="JHK11:JHP11"/>
    <mergeCell ref="JHQ11:JHT11"/>
    <mergeCell ref="JHU11:JHV11"/>
    <mergeCell ref="JHW11:JHX11"/>
    <mergeCell ref="JHY11:JHZ11"/>
    <mergeCell ref="JFY11:JFZ11"/>
    <mergeCell ref="JGA11:JGB11"/>
    <mergeCell ref="JGC11:JGD11"/>
    <mergeCell ref="JGE11:JGJ11"/>
    <mergeCell ref="JGK11:JGN11"/>
    <mergeCell ref="JGO11:JGP11"/>
    <mergeCell ref="JGQ11:JGR11"/>
    <mergeCell ref="JGS11:JGT11"/>
    <mergeCell ref="JGU11:JGZ11"/>
    <mergeCell ref="JEU11:JEV11"/>
    <mergeCell ref="JEW11:JEX11"/>
    <mergeCell ref="JEY11:JFD11"/>
    <mergeCell ref="JFE11:JFH11"/>
    <mergeCell ref="JFI11:JFJ11"/>
    <mergeCell ref="JFK11:JFL11"/>
    <mergeCell ref="JFM11:JFN11"/>
    <mergeCell ref="JFO11:JFT11"/>
    <mergeCell ref="JFU11:JFX11"/>
    <mergeCell ref="JDQ11:JDR11"/>
    <mergeCell ref="JDS11:JDX11"/>
    <mergeCell ref="JDY11:JEB11"/>
    <mergeCell ref="JEC11:JED11"/>
    <mergeCell ref="JEE11:JEF11"/>
    <mergeCell ref="JEG11:JEH11"/>
    <mergeCell ref="JEI11:JEN11"/>
    <mergeCell ref="JEO11:JER11"/>
    <mergeCell ref="JES11:JET11"/>
    <mergeCell ref="JCM11:JCR11"/>
    <mergeCell ref="JCS11:JCV11"/>
    <mergeCell ref="JCW11:JCX11"/>
    <mergeCell ref="JCY11:JCZ11"/>
    <mergeCell ref="JDA11:JDB11"/>
    <mergeCell ref="JDC11:JDH11"/>
    <mergeCell ref="JDI11:JDL11"/>
    <mergeCell ref="JDM11:JDN11"/>
    <mergeCell ref="JDO11:JDP11"/>
    <mergeCell ref="JBM11:JBP11"/>
    <mergeCell ref="JBQ11:JBR11"/>
    <mergeCell ref="JBS11:JBT11"/>
    <mergeCell ref="JBU11:JBV11"/>
    <mergeCell ref="JBW11:JCB11"/>
    <mergeCell ref="JCC11:JCF11"/>
    <mergeCell ref="JCG11:JCH11"/>
    <mergeCell ref="JCI11:JCJ11"/>
    <mergeCell ref="JCK11:JCL11"/>
    <mergeCell ref="JAK11:JAL11"/>
    <mergeCell ref="JAM11:JAN11"/>
    <mergeCell ref="JAO11:JAP11"/>
    <mergeCell ref="JAQ11:JAV11"/>
    <mergeCell ref="JAW11:JAZ11"/>
    <mergeCell ref="JBA11:JBB11"/>
    <mergeCell ref="JBC11:JBD11"/>
    <mergeCell ref="JBE11:JBF11"/>
    <mergeCell ref="JBG11:JBL11"/>
    <mergeCell ref="IZG11:IZH11"/>
    <mergeCell ref="IZI11:IZJ11"/>
    <mergeCell ref="IZK11:IZP11"/>
    <mergeCell ref="IZQ11:IZT11"/>
    <mergeCell ref="IZU11:IZV11"/>
    <mergeCell ref="IZW11:IZX11"/>
    <mergeCell ref="IZY11:IZZ11"/>
    <mergeCell ref="JAA11:JAF11"/>
    <mergeCell ref="JAG11:JAJ11"/>
    <mergeCell ref="IYC11:IYD11"/>
    <mergeCell ref="IYE11:IYJ11"/>
    <mergeCell ref="IYK11:IYN11"/>
    <mergeCell ref="IYO11:IYP11"/>
    <mergeCell ref="IYQ11:IYR11"/>
    <mergeCell ref="IYS11:IYT11"/>
    <mergeCell ref="IYU11:IYZ11"/>
    <mergeCell ref="IZA11:IZD11"/>
    <mergeCell ref="IZE11:IZF11"/>
    <mergeCell ref="IWY11:IXD11"/>
    <mergeCell ref="IXE11:IXH11"/>
    <mergeCell ref="IXI11:IXJ11"/>
    <mergeCell ref="IXK11:IXL11"/>
    <mergeCell ref="IXM11:IXN11"/>
    <mergeCell ref="IXO11:IXT11"/>
    <mergeCell ref="IXU11:IXX11"/>
    <mergeCell ref="IXY11:IXZ11"/>
    <mergeCell ref="IYA11:IYB11"/>
    <mergeCell ref="IVY11:IWB11"/>
    <mergeCell ref="IWC11:IWD11"/>
    <mergeCell ref="IWE11:IWF11"/>
    <mergeCell ref="IWG11:IWH11"/>
    <mergeCell ref="IWI11:IWN11"/>
    <mergeCell ref="IWO11:IWR11"/>
    <mergeCell ref="IWS11:IWT11"/>
    <mergeCell ref="IWU11:IWV11"/>
    <mergeCell ref="IWW11:IWX11"/>
    <mergeCell ref="IUW11:IUX11"/>
    <mergeCell ref="IUY11:IUZ11"/>
    <mergeCell ref="IVA11:IVB11"/>
    <mergeCell ref="IVC11:IVH11"/>
    <mergeCell ref="IVI11:IVL11"/>
    <mergeCell ref="IVM11:IVN11"/>
    <mergeCell ref="IVO11:IVP11"/>
    <mergeCell ref="IVQ11:IVR11"/>
    <mergeCell ref="IVS11:IVX11"/>
    <mergeCell ref="ITS11:ITT11"/>
    <mergeCell ref="ITU11:ITV11"/>
    <mergeCell ref="ITW11:IUB11"/>
    <mergeCell ref="IUC11:IUF11"/>
    <mergeCell ref="IUG11:IUH11"/>
    <mergeCell ref="IUI11:IUJ11"/>
    <mergeCell ref="IUK11:IUL11"/>
    <mergeCell ref="IUM11:IUR11"/>
    <mergeCell ref="IUS11:IUV11"/>
    <mergeCell ref="ISO11:ISP11"/>
    <mergeCell ref="ISQ11:ISV11"/>
    <mergeCell ref="ISW11:ISZ11"/>
    <mergeCell ref="ITA11:ITB11"/>
    <mergeCell ref="ITC11:ITD11"/>
    <mergeCell ref="ITE11:ITF11"/>
    <mergeCell ref="ITG11:ITL11"/>
    <mergeCell ref="ITM11:ITP11"/>
    <mergeCell ref="ITQ11:ITR11"/>
    <mergeCell ref="IRK11:IRP11"/>
    <mergeCell ref="IRQ11:IRT11"/>
    <mergeCell ref="IRU11:IRV11"/>
    <mergeCell ref="IRW11:IRX11"/>
    <mergeCell ref="IRY11:IRZ11"/>
    <mergeCell ref="ISA11:ISF11"/>
    <mergeCell ref="ISG11:ISJ11"/>
    <mergeCell ref="ISK11:ISL11"/>
    <mergeCell ref="ISM11:ISN11"/>
    <mergeCell ref="IQK11:IQN11"/>
    <mergeCell ref="IQO11:IQP11"/>
    <mergeCell ref="IQQ11:IQR11"/>
    <mergeCell ref="IQS11:IQT11"/>
    <mergeCell ref="IQU11:IQZ11"/>
    <mergeCell ref="IRA11:IRD11"/>
    <mergeCell ref="IRE11:IRF11"/>
    <mergeCell ref="IRG11:IRH11"/>
    <mergeCell ref="IRI11:IRJ11"/>
    <mergeCell ref="IPI11:IPJ11"/>
    <mergeCell ref="IPK11:IPL11"/>
    <mergeCell ref="IPM11:IPN11"/>
    <mergeCell ref="IPO11:IPT11"/>
    <mergeCell ref="IPU11:IPX11"/>
    <mergeCell ref="IPY11:IPZ11"/>
    <mergeCell ref="IQA11:IQB11"/>
    <mergeCell ref="IQC11:IQD11"/>
    <mergeCell ref="IQE11:IQJ11"/>
    <mergeCell ref="IOE11:IOF11"/>
    <mergeCell ref="IOG11:IOH11"/>
    <mergeCell ref="IOI11:ION11"/>
    <mergeCell ref="IOO11:IOR11"/>
    <mergeCell ref="IOS11:IOT11"/>
    <mergeCell ref="IOU11:IOV11"/>
    <mergeCell ref="IOW11:IOX11"/>
    <mergeCell ref="IOY11:IPD11"/>
    <mergeCell ref="IPE11:IPH11"/>
    <mergeCell ref="INA11:INB11"/>
    <mergeCell ref="INC11:INH11"/>
    <mergeCell ref="INI11:INL11"/>
    <mergeCell ref="INM11:INN11"/>
    <mergeCell ref="INO11:INP11"/>
    <mergeCell ref="INQ11:INR11"/>
    <mergeCell ref="INS11:INX11"/>
    <mergeCell ref="INY11:IOB11"/>
    <mergeCell ref="IOC11:IOD11"/>
    <mergeCell ref="ILW11:IMB11"/>
    <mergeCell ref="IMC11:IMF11"/>
    <mergeCell ref="IMG11:IMH11"/>
    <mergeCell ref="IMI11:IMJ11"/>
    <mergeCell ref="IMK11:IML11"/>
    <mergeCell ref="IMM11:IMR11"/>
    <mergeCell ref="IMS11:IMV11"/>
    <mergeCell ref="IMW11:IMX11"/>
    <mergeCell ref="IMY11:IMZ11"/>
    <mergeCell ref="IKW11:IKZ11"/>
    <mergeCell ref="ILA11:ILB11"/>
    <mergeCell ref="ILC11:ILD11"/>
    <mergeCell ref="ILE11:ILF11"/>
    <mergeCell ref="ILG11:ILL11"/>
    <mergeCell ref="ILM11:ILP11"/>
    <mergeCell ref="ILQ11:ILR11"/>
    <mergeCell ref="ILS11:ILT11"/>
    <mergeCell ref="ILU11:ILV11"/>
    <mergeCell ref="IJU11:IJV11"/>
    <mergeCell ref="IJW11:IJX11"/>
    <mergeCell ref="IJY11:IJZ11"/>
    <mergeCell ref="IKA11:IKF11"/>
    <mergeCell ref="IKG11:IKJ11"/>
    <mergeCell ref="IKK11:IKL11"/>
    <mergeCell ref="IKM11:IKN11"/>
    <mergeCell ref="IKO11:IKP11"/>
    <mergeCell ref="IKQ11:IKV11"/>
    <mergeCell ref="IIQ11:IIR11"/>
    <mergeCell ref="IIS11:IIT11"/>
    <mergeCell ref="IIU11:IIZ11"/>
    <mergeCell ref="IJA11:IJD11"/>
    <mergeCell ref="IJE11:IJF11"/>
    <mergeCell ref="IJG11:IJH11"/>
    <mergeCell ref="IJI11:IJJ11"/>
    <mergeCell ref="IJK11:IJP11"/>
    <mergeCell ref="IJQ11:IJT11"/>
    <mergeCell ref="IHM11:IHN11"/>
    <mergeCell ref="IHO11:IHT11"/>
    <mergeCell ref="IHU11:IHX11"/>
    <mergeCell ref="IHY11:IHZ11"/>
    <mergeCell ref="IIA11:IIB11"/>
    <mergeCell ref="IIC11:IID11"/>
    <mergeCell ref="IIE11:IIJ11"/>
    <mergeCell ref="IIK11:IIN11"/>
    <mergeCell ref="IIO11:IIP11"/>
    <mergeCell ref="IGI11:IGN11"/>
    <mergeCell ref="IGO11:IGR11"/>
    <mergeCell ref="IGS11:IGT11"/>
    <mergeCell ref="IGU11:IGV11"/>
    <mergeCell ref="IGW11:IGX11"/>
    <mergeCell ref="IGY11:IHD11"/>
    <mergeCell ref="IHE11:IHH11"/>
    <mergeCell ref="IHI11:IHJ11"/>
    <mergeCell ref="IHK11:IHL11"/>
    <mergeCell ref="IFI11:IFL11"/>
    <mergeCell ref="IFM11:IFN11"/>
    <mergeCell ref="IFO11:IFP11"/>
    <mergeCell ref="IFQ11:IFR11"/>
    <mergeCell ref="IFS11:IFX11"/>
    <mergeCell ref="IFY11:IGB11"/>
    <mergeCell ref="IGC11:IGD11"/>
    <mergeCell ref="IGE11:IGF11"/>
    <mergeCell ref="IGG11:IGH11"/>
    <mergeCell ref="IEG11:IEH11"/>
    <mergeCell ref="IEI11:IEJ11"/>
    <mergeCell ref="IEK11:IEL11"/>
    <mergeCell ref="IEM11:IER11"/>
    <mergeCell ref="IES11:IEV11"/>
    <mergeCell ref="IEW11:IEX11"/>
    <mergeCell ref="IEY11:IEZ11"/>
    <mergeCell ref="IFA11:IFB11"/>
    <mergeCell ref="IFC11:IFH11"/>
    <mergeCell ref="IDC11:IDD11"/>
    <mergeCell ref="IDE11:IDF11"/>
    <mergeCell ref="IDG11:IDL11"/>
    <mergeCell ref="IDM11:IDP11"/>
    <mergeCell ref="IDQ11:IDR11"/>
    <mergeCell ref="IDS11:IDT11"/>
    <mergeCell ref="IDU11:IDV11"/>
    <mergeCell ref="IDW11:IEB11"/>
    <mergeCell ref="IEC11:IEF11"/>
    <mergeCell ref="IBY11:IBZ11"/>
    <mergeCell ref="ICA11:ICF11"/>
    <mergeCell ref="ICG11:ICJ11"/>
    <mergeCell ref="ICK11:ICL11"/>
    <mergeCell ref="ICM11:ICN11"/>
    <mergeCell ref="ICO11:ICP11"/>
    <mergeCell ref="ICQ11:ICV11"/>
    <mergeCell ref="ICW11:ICZ11"/>
    <mergeCell ref="IDA11:IDB11"/>
    <mergeCell ref="IAU11:IAZ11"/>
    <mergeCell ref="IBA11:IBD11"/>
    <mergeCell ref="IBE11:IBF11"/>
    <mergeCell ref="IBG11:IBH11"/>
    <mergeCell ref="IBI11:IBJ11"/>
    <mergeCell ref="IBK11:IBP11"/>
    <mergeCell ref="IBQ11:IBT11"/>
    <mergeCell ref="IBU11:IBV11"/>
    <mergeCell ref="IBW11:IBX11"/>
    <mergeCell ref="HZU11:HZX11"/>
    <mergeCell ref="HZY11:HZZ11"/>
    <mergeCell ref="IAA11:IAB11"/>
    <mergeCell ref="IAC11:IAD11"/>
    <mergeCell ref="IAE11:IAJ11"/>
    <mergeCell ref="IAK11:IAN11"/>
    <mergeCell ref="IAO11:IAP11"/>
    <mergeCell ref="IAQ11:IAR11"/>
    <mergeCell ref="IAS11:IAT11"/>
    <mergeCell ref="HYS11:HYT11"/>
    <mergeCell ref="HYU11:HYV11"/>
    <mergeCell ref="HYW11:HYX11"/>
    <mergeCell ref="HYY11:HZD11"/>
    <mergeCell ref="HZE11:HZH11"/>
    <mergeCell ref="HZI11:HZJ11"/>
    <mergeCell ref="HZK11:HZL11"/>
    <mergeCell ref="HZM11:HZN11"/>
    <mergeCell ref="HZO11:HZT11"/>
    <mergeCell ref="HXO11:HXP11"/>
    <mergeCell ref="HXQ11:HXR11"/>
    <mergeCell ref="HXS11:HXX11"/>
    <mergeCell ref="HXY11:HYB11"/>
    <mergeCell ref="HYC11:HYD11"/>
    <mergeCell ref="HYE11:HYF11"/>
    <mergeCell ref="HYG11:HYH11"/>
    <mergeCell ref="HYI11:HYN11"/>
    <mergeCell ref="HYO11:HYR11"/>
    <mergeCell ref="HWK11:HWL11"/>
    <mergeCell ref="HWM11:HWR11"/>
    <mergeCell ref="HWS11:HWV11"/>
    <mergeCell ref="HWW11:HWX11"/>
    <mergeCell ref="HWY11:HWZ11"/>
    <mergeCell ref="HXA11:HXB11"/>
    <mergeCell ref="HXC11:HXH11"/>
    <mergeCell ref="HXI11:HXL11"/>
    <mergeCell ref="HXM11:HXN11"/>
    <mergeCell ref="HVG11:HVL11"/>
    <mergeCell ref="HVM11:HVP11"/>
    <mergeCell ref="HVQ11:HVR11"/>
    <mergeCell ref="HVS11:HVT11"/>
    <mergeCell ref="HVU11:HVV11"/>
    <mergeCell ref="HVW11:HWB11"/>
    <mergeCell ref="HWC11:HWF11"/>
    <mergeCell ref="HWG11:HWH11"/>
    <mergeCell ref="HWI11:HWJ11"/>
    <mergeCell ref="HUG11:HUJ11"/>
    <mergeCell ref="HUK11:HUL11"/>
    <mergeCell ref="HUM11:HUN11"/>
    <mergeCell ref="HUO11:HUP11"/>
    <mergeCell ref="HUQ11:HUV11"/>
    <mergeCell ref="HUW11:HUZ11"/>
    <mergeCell ref="HVA11:HVB11"/>
    <mergeCell ref="HVC11:HVD11"/>
    <mergeCell ref="HVE11:HVF11"/>
    <mergeCell ref="HTE11:HTF11"/>
    <mergeCell ref="HTG11:HTH11"/>
    <mergeCell ref="HTI11:HTJ11"/>
    <mergeCell ref="HTK11:HTP11"/>
    <mergeCell ref="HTQ11:HTT11"/>
    <mergeCell ref="HTU11:HTV11"/>
    <mergeCell ref="HTW11:HTX11"/>
    <mergeCell ref="HTY11:HTZ11"/>
    <mergeCell ref="HUA11:HUF11"/>
    <mergeCell ref="HSA11:HSB11"/>
    <mergeCell ref="HSC11:HSD11"/>
    <mergeCell ref="HSE11:HSJ11"/>
    <mergeCell ref="HSK11:HSN11"/>
    <mergeCell ref="HSO11:HSP11"/>
    <mergeCell ref="HSQ11:HSR11"/>
    <mergeCell ref="HSS11:HST11"/>
    <mergeCell ref="HSU11:HSZ11"/>
    <mergeCell ref="HTA11:HTD11"/>
    <mergeCell ref="HQW11:HQX11"/>
    <mergeCell ref="HQY11:HRD11"/>
    <mergeCell ref="HRE11:HRH11"/>
    <mergeCell ref="HRI11:HRJ11"/>
    <mergeCell ref="HRK11:HRL11"/>
    <mergeCell ref="HRM11:HRN11"/>
    <mergeCell ref="HRO11:HRT11"/>
    <mergeCell ref="HRU11:HRX11"/>
    <mergeCell ref="HRY11:HRZ11"/>
    <mergeCell ref="HPS11:HPX11"/>
    <mergeCell ref="HPY11:HQB11"/>
    <mergeCell ref="HQC11:HQD11"/>
    <mergeCell ref="HQE11:HQF11"/>
    <mergeCell ref="HQG11:HQH11"/>
    <mergeCell ref="HQI11:HQN11"/>
    <mergeCell ref="HQO11:HQR11"/>
    <mergeCell ref="HQS11:HQT11"/>
    <mergeCell ref="HQU11:HQV11"/>
    <mergeCell ref="HOS11:HOV11"/>
    <mergeCell ref="HOW11:HOX11"/>
    <mergeCell ref="HOY11:HOZ11"/>
    <mergeCell ref="HPA11:HPB11"/>
    <mergeCell ref="HPC11:HPH11"/>
    <mergeCell ref="HPI11:HPL11"/>
    <mergeCell ref="HPM11:HPN11"/>
    <mergeCell ref="HPO11:HPP11"/>
    <mergeCell ref="HPQ11:HPR11"/>
    <mergeCell ref="HNQ11:HNR11"/>
    <mergeCell ref="HNS11:HNT11"/>
    <mergeCell ref="HNU11:HNV11"/>
    <mergeCell ref="HNW11:HOB11"/>
    <mergeCell ref="HOC11:HOF11"/>
    <mergeCell ref="HOG11:HOH11"/>
    <mergeCell ref="HOI11:HOJ11"/>
    <mergeCell ref="HOK11:HOL11"/>
    <mergeCell ref="HOM11:HOR11"/>
    <mergeCell ref="HMM11:HMN11"/>
    <mergeCell ref="HMO11:HMP11"/>
    <mergeCell ref="HMQ11:HMV11"/>
    <mergeCell ref="HMW11:HMZ11"/>
    <mergeCell ref="HNA11:HNB11"/>
    <mergeCell ref="HNC11:HND11"/>
    <mergeCell ref="HNE11:HNF11"/>
    <mergeCell ref="HNG11:HNL11"/>
    <mergeCell ref="HNM11:HNP11"/>
    <mergeCell ref="HLI11:HLJ11"/>
    <mergeCell ref="HLK11:HLP11"/>
    <mergeCell ref="HLQ11:HLT11"/>
    <mergeCell ref="HLU11:HLV11"/>
    <mergeCell ref="HLW11:HLX11"/>
    <mergeCell ref="HLY11:HLZ11"/>
    <mergeCell ref="HMA11:HMF11"/>
    <mergeCell ref="HMG11:HMJ11"/>
    <mergeCell ref="HMK11:HML11"/>
    <mergeCell ref="HKE11:HKJ11"/>
    <mergeCell ref="HKK11:HKN11"/>
    <mergeCell ref="HKO11:HKP11"/>
    <mergeCell ref="HKQ11:HKR11"/>
    <mergeCell ref="HKS11:HKT11"/>
    <mergeCell ref="HKU11:HKZ11"/>
    <mergeCell ref="HLA11:HLD11"/>
    <mergeCell ref="HLE11:HLF11"/>
    <mergeCell ref="HLG11:HLH11"/>
    <mergeCell ref="HJE11:HJH11"/>
    <mergeCell ref="HJI11:HJJ11"/>
    <mergeCell ref="HJK11:HJL11"/>
    <mergeCell ref="HJM11:HJN11"/>
    <mergeCell ref="HJO11:HJT11"/>
    <mergeCell ref="HJU11:HJX11"/>
    <mergeCell ref="HJY11:HJZ11"/>
    <mergeCell ref="HKA11:HKB11"/>
    <mergeCell ref="HKC11:HKD11"/>
    <mergeCell ref="HIC11:HID11"/>
    <mergeCell ref="HIE11:HIF11"/>
    <mergeCell ref="HIG11:HIH11"/>
    <mergeCell ref="HII11:HIN11"/>
    <mergeCell ref="HIO11:HIR11"/>
    <mergeCell ref="HIS11:HIT11"/>
    <mergeCell ref="HIU11:HIV11"/>
    <mergeCell ref="HIW11:HIX11"/>
    <mergeCell ref="HIY11:HJD11"/>
    <mergeCell ref="HGY11:HGZ11"/>
    <mergeCell ref="HHA11:HHB11"/>
    <mergeCell ref="HHC11:HHH11"/>
    <mergeCell ref="HHI11:HHL11"/>
    <mergeCell ref="HHM11:HHN11"/>
    <mergeCell ref="HHO11:HHP11"/>
    <mergeCell ref="HHQ11:HHR11"/>
    <mergeCell ref="HHS11:HHX11"/>
    <mergeCell ref="HHY11:HIB11"/>
    <mergeCell ref="HFU11:HFV11"/>
    <mergeCell ref="HFW11:HGB11"/>
    <mergeCell ref="HGC11:HGF11"/>
    <mergeCell ref="HGG11:HGH11"/>
    <mergeCell ref="HGI11:HGJ11"/>
    <mergeCell ref="HGK11:HGL11"/>
    <mergeCell ref="HGM11:HGR11"/>
    <mergeCell ref="HGS11:HGV11"/>
    <mergeCell ref="HGW11:HGX11"/>
    <mergeCell ref="HEQ11:HEV11"/>
    <mergeCell ref="HEW11:HEZ11"/>
    <mergeCell ref="HFA11:HFB11"/>
    <mergeCell ref="HFC11:HFD11"/>
    <mergeCell ref="HFE11:HFF11"/>
    <mergeCell ref="HFG11:HFL11"/>
    <mergeCell ref="HFM11:HFP11"/>
    <mergeCell ref="HFQ11:HFR11"/>
    <mergeCell ref="HFS11:HFT11"/>
    <mergeCell ref="HDQ11:HDT11"/>
    <mergeCell ref="HDU11:HDV11"/>
    <mergeCell ref="HDW11:HDX11"/>
    <mergeCell ref="HDY11:HDZ11"/>
    <mergeCell ref="HEA11:HEF11"/>
    <mergeCell ref="HEG11:HEJ11"/>
    <mergeCell ref="HEK11:HEL11"/>
    <mergeCell ref="HEM11:HEN11"/>
    <mergeCell ref="HEO11:HEP11"/>
    <mergeCell ref="HCO11:HCP11"/>
    <mergeCell ref="HCQ11:HCR11"/>
    <mergeCell ref="HCS11:HCT11"/>
    <mergeCell ref="HCU11:HCZ11"/>
    <mergeCell ref="HDA11:HDD11"/>
    <mergeCell ref="HDE11:HDF11"/>
    <mergeCell ref="HDG11:HDH11"/>
    <mergeCell ref="HDI11:HDJ11"/>
    <mergeCell ref="HDK11:HDP11"/>
    <mergeCell ref="HBK11:HBL11"/>
    <mergeCell ref="HBM11:HBN11"/>
    <mergeCell ref="HBO11:HBT11"/>
    <mergeCell ref="HBU11:HBX11"/>
    <mergeCell ref="HBY11:HBZ11"/>
    <mergeCell ref="HCA11:HCB11"/>
    <mergeCell ref="HCC11:HCD11"/>
    <mergeCell ref="HCE11:HCJ11"/>
    <mergeCell ref="HCK11:HCN11"/>
    <mergeCell ref="HAG11:HAH11"/>
    <mergeCell ref="HAI11:HAN11"/>
    <mergeCell ref="HAO11:HAR11"/>
    <mergeCell ref="HAS11:HAT11"/>
    <mergeCell ref="HAU11:HAV11"/>
    <mergeCell ref="HAW11:HAX11"/>
    <mergeCell ref="HAY11:HBD11"/>
    <mergeCell ref="HBE11:HBH11"/>
    <mergeCell ref="HBI11:HBJ11"/>
    <mergeCell ref="GZC11:GZH11"/>
    <mergeCell ref="GZI11:GZL11"/>
    <mergeCell ref="GZM11:GZN11"/>
    <mergeCell ref="GZO11:GZP11"/>
    <mergeCell ref="GZQ11:GZR11"/>
    <mergeCell ref="GZS11:GZX11"/>
    <mergeCell ref="GZY11:HAB11"/>
    <mergeCell ref="HAC11:HAD11"/>
    <mergeCell ref="HAE11:HAF11"/>
    <mergeCell ref="GYC11:GYF11"/>
    <mergeCell ref="GYG11:GYH11"/>
    <mergeCell ref="GYI11:GYJ11"/>
    <mergeCell ref="GYK11:GYL11"/>
    <mergeCell ref="GYM11:GYR11"/>
    <mergeCell ref="GYS11:GYV11"/>
    <mergeCell ref="GYW11:GYX11"/>
    <mergeCell ref="GYY11:GYZ11"/>
    <mergeCell ref="GZA11:GZB11"/>
    <mergeCell ref="GXA11:GXB11"/>
    <mergeCell ref="GXC11:GXD11"/>
    <mergeCell ref="GXE11:GXF11"/>
    <mergeCell ref="GXG11:GXL11"/>
    <mergeCell ref="GXM11:GXP11"/>
    <mergeCell ref="GXQ11:GXR11"/>
    <mergeCell ref="GXS11:GXT11"/>
    <mergeCell ref="GXU11:GXV11"/>
    <mergeCell ref="GXW11:GYB11"/>
    <mergeCell ref="GVW11:GVX11"/>
    <mergeCell ref="GVY11:GVZ11"/>
    <mergeCell ref="GWA11:GWF11"/>
    <mergeCell ref="GWG11:GWJ11"/>
    <mergeCell ref="GWK11:GWL11"/>
    <mergeCell ref="GWM11:GWN11"/>
    <mergeCell ref="GWO11:GWP11"/>
    <mergeCell ref="GWQ11:GWV11"/>
    <mergeCell ref="GWW11:GWZ11"/>
    <mergeCell ref="GUS11:GUT11"/>
    <mergeCell ref="GUU11:GUZ11"/>
    <mergeCell ref="GVA11:GVD11"/>
    <mergeCell ref="GVE11:GVF11"/>
    <mergeCell ref="GVG11:GVH11"/>
    <mergeCell ref="GVI11:GVJ11"/>
    <mergeCell ref="GVK11:GVP11"/>
    <mergeCell ref="GVQ11:GVT11"/>
    <mergeCell ref="GVU11:GVV11"/>
    <mergeCell ref="GTO11:GTT11"/>
    <mergeCell ref="GTU11:GTX11"/>
    <mergeCell ref="GTY11:GTZ11"/>
    <mergeCell ref="GUA11:GUB11"/>
    <mergeCell ref="GUC11:GUD11"/>
    <mergeCell ref="GUE11:GUJ11"/>
    <mergeCell ref="GUK11:GUN11"/>
    <mergeCell ref="GUO11:GUP11"/>
    <mergeCell ref="GUQ11:GUR11"/>
    <mergeCell ref="GSO11:GSR11"/>
    <mergeCell ref="GSS11:GST11"/>
    <mergeCell ref="GSU11:GSV11"/>
    <mergeCell ref="GSW11:GSX11"/>
    <mergeCell ref="GSY11:GTD11"/>
    <mergeCell ref="GTE11:GTH11"/>
    <mergeCell ref="GTI11:GTJ11"/>
    <mergeCell ref="GTK11:GTL11"/>
    <mergeCell ref="GTM11:GTN11"/>
    <mergeCell ref="GRM11:GRN11"/>
    <mergeCell ref="GRO11:GRP11"/>
    <mergeCell ref="GRQ11:GRR11"/>
    <mergeCell ref="GRS11:GRX11"/>
    <mergeCell ref="GRY11:GSB11"/>
    <mergeCell ref="GSC11:GSD11"/>
    <mergeCell ref="GSE11:GSF11"/>
    <mergeCell ref="GSG11:GSH11"/>
    <mergeCell ref="GSI11:GSN11"/>
    <mergeCell ref="GQI11:GQJ11"/>
    <mergeCell ref="GQK11:GQL11"/>
    <mergeCell ref="GQM11:GQR11"/>
    <mergeCell ref="GQS11:GQV11"/>
    <mergeCell ref="GQW11:GQX11"/>
    <mergeCell ref="GQY11:GQZ11"/>
    <mergeCell ref="GRA11:GRB11"/>
    <mergeCell ref="GRC11:GRH11"/>
    <mergeCell ref="GRI11:GRL11"/>
    <mergeCell ref="GPE11:GPF11"/>
    <mergeCell ref="GPG11:GPL11"/>
    <mergeCell ref="GPM11:GPP11"/>
    <mergeCell ref="GPQ11:GPR11"/>
    <mergeCell ref="GPS11:GPT11"/>
    <mergeCell ref="GPU11:GPV11"/>
    <mergeCell ref="GPW11:GQB11"/>
    <mergeCell ref="GQC11:GQF11"/>
    <mergeCell ref="GQG11:GQH11"/>
    <mergeCell ref="GOA11:GOF11"/>
    <mergeCell ref="GOG11:GOJ11"/>
    <mergeCell ref="GOK11:GOL11"/>
    <mergeCell ref="GOM11:GON11"/>
    <mergeCell ref="GOO11:GOP11"/>
    <mergeCell ref="GOQ11:GOV11"/>
    <mergeCell ref="GOW11:GOZ11"/>
    <mergeCell ref="GPA11:GPB11"/>
    <mergeCell ref="GPC11:GPD11"/>
    <mergeCell ref="GNA11:GND11"/>
    <mergeCell ref="GNE11:GNF11"/>
    <mergeCell ref="GNG11:GNH11"/>
    <mergeCell ref="GNI11:GNJ11"/>
    <mergeCell ref="GNK11:GNP11"/>
    <mergeCell ref="GNQ11:GNT11"/>
    <mergeCell ref="GNU11:GNV11"/>
    <mergeCell ref="GNW11:GNX11"/>
    <mergeCell ref="GNY11:GNZ11"/>
    <mergeCell ref="GLY11:GLZ11"/>
    <mergeCell ref="GMA11:GMB11"/>
    <mergeCell ref="GMC11:GMD11"/>
    <mergeCell ref="GME11:GMJ11"/>
    <mergeCell ref="GMK11:GMN11"/>
    <mergeCell ref="GMO11:GMP11"/>
    <mergeCell ref="GMQ11:GMR11"/>
    <mergeCell ref="GMS11:GMT11"/>
    <mergeCell ref="GMU11:GMZ11"/>
    <mergeCell ref="GKU11:GKV11"/>
    <mergeCell ref="GKW11:GKX11"/>
    <mergeCell ref="GKY11:GLD11"/>
    <mergeCell ref="GLE11:GLH11"/>
    <mergeCell ref="GLI11:GLJ11"/>
    <mergeCell ref="GLK11:GLL11"/>
    <mergeCell ref="GLM11:GLN11"/>
    <mergeCell ref="GLO11:GLT11"/>
    <mergeCell ref="GLU11:GLX11"/>
    <mergeCell ref="GJQ11:GJR11"/>
    <mergeCell ref="GJS11:GJX11"/>
    <mergeCell ref="GJY11:GKB11"/>
    <mergeCell ref="GKC11:GKD11"/>
    <mergeCell ref="GKE11:GKF11"/>
    <mergeCell ref="GKG11:GKH11"/>
    <mergeCell ref="GKI11:GKN11"/>
    <mergeCell ref="GKO11:GKR11"/>
    <mergeCell ref="GKS11:GKT11"/>
    <mergeCell ref="GIM11:GIR11"/>
    <mergeCell ref="GIS11:GIV11"/>
    <mergeCell ref="GIW11:GIX11"/>
    <mergeCell ref="GIY11:GIZ11"/>
    <mergeCell ref="GJA11:GJB11"/>
    <mergeCell ref="GJC11:GJH11"/>
    <mergeCell ref="GJI11:GJL11"/>
    <mergeCell ref="GJM11:GJN11"/>
    <mergeCell ref="GJO11:GJP11"/>
    <mergeCell ref="GHM11:GHP11"/>
    <mergeCell ref="GHQ11:GHR11"/>
    <mergeCell ref="GHS11:GHT11"/>
    <mergeCell ref="GHU11:GHV11"/>
    <mergeCell ref="GHW11:GIB11"/>
    <mergeCell ref="GIC11:GIF11"/>
    <mergeCell ref="GIG11:GIH11"/>
    <mergeCell ref="GII11:GIJ11"/>
    <mergeCell ref="GIK11:GIL11"/>
    <mergeCell ref="GGK11:GGL11"/>
    <mergeCell ref="GGM11:GGN11"/>
    <mergeCell ref="GGO11:GGP11"/>
    <mergeCell ref="GGQ11:GGV11"/>
    <mergeCell ref="GGW11:GGZ11"/>
    <mergeCell ref="GHA11:GHB11"/>
    <mergeCell ref="GHC11:GHD11"/>
    <mergeCell ref="GHE11:GHF11"/>
    <mergeCell ref="GHG11:GHL11"/>
    <mergeCell ref="GFG11:GFH11"/>
    <mergeCell ref="GFI11:GFJ11"/>
    <mergeCell ref="GFK11:GFP11"/>
    <mergeCell ref="GFQ11:GFT11"/>
    <mergeCell ref="GFU11:GFV11"/>
    <mergeCell ref="GFW11:GFX11"/>
    <mergeCell ref="GFY11:GFZ11"/>
    <mergeCell ref="GGA11:GGF11"/>
    <mergeCell ref="GGG11:GGJ11"/>
    <mergeCell ref="GEC11:GED11"/>
    <mergeCell ref="GEE11:GEJ11"/>
    <mergeCell ref="GEK11:GEN11"/>
    <mergeCell ref="GEO11:GEP11"/>
    <mergeCell ref="GEQ11:GER11"/>
    <mergeCell ref="GES11:GET11"/>
    <mergeCell ref="GEU11:GEZ11"/>
    <mergeCell ref="GFA11:GFD11"/>
    <mergeCell ref="GFE11:GFF11"/>
    <mergeCell ref="GCY11:GDD11"/>
    <mergeCell ref="GDE11:GDH11"/>
    <mergeCell ref="GDI11:GDJ11"/>
    <mergeCell ref="GDK11:GDL11"/>
    <mergeCell ref="GDM11:GDN11"/>
    <mergeCell ref="GDO11:GDT11"/>
    <mergeCell ref="GDU11:GDX11"/>
    <mergeCell ref="GDY11:GDZ11"/>
    <mergeCell ref="GEA11:GEB11"/>
    <mergeCell ref="GBY11:GCB11"/>
    <mergeCell ref="GCC11:GCD11"/>
    <mergeCell ref="GCE11:GCF11"/>
    <mergeCell ref="GCG11:GCH11"/>
    <mergeCell ref="GCI11:GCN11"/>
    <mergeCell ref="GCO11:GCR11"/>
    <mergeCell ref="GCS11:GCT11"/>
    <mergeCell ref="GCU11:GCV11"/>
    <mergeCell ref="GCW11:GCX11"/>
    <mergeCell ref="GAW11:GAX11"/>
    <mergeCell ref="GAY11:GAZ11"/>
    <mergeCell ref="GBA11:GBB11"/>
    <mergeCell ref="GBC11:GBH11"/>
    <mergeCell ref="GBI11:GBL11"/>
    <mergeCell ref="GBM11:GBN11"/>
    <mergeCell ref="GBO11:GBP11"/>
    <mergeCell ref="GBQ11:GBR11"/>
    <mergeCell ref="GBS11:GBX11"/>
    <mergeCell ref="FZS11:FZT11"/>
    <mergeCell ref="FZU11:FZV11"/>
    <mergeCell ref="FZW11:GAB11"/>
    <mergeCell ref="GAC11:GAF11"/>
    <mergeCell ref="GAG11:GAH11"/>
    <mergeCell ref="GAI11:GAJ11"/>
    <mergeCell ref="GAK11:GAL11"/>
    <mergeCell ref="GAM11:GAR11"/>
    <mergeCell ref="GAS11:GAV11"/>
    <mergeCell ref="FYO11:FYP11"/>
    <mergeCell ref="FYQ11:FYV11"/>
    <mergeCell ref="FYW11:FYZ11"/>
    <mergeCell ref="FZA11:FZB11"/>
    <mergeCell ref="FZC11:FZD11"/>
    <mergeCell ref="FZE11:FZF11"/>
    <mergeCell ref="FZG11:FZL11"/>
    <mergeCell ref="FZM11:FZP11"/>
    <mergeCell ref="FZQ11:FZR11"/>
    <mergeCell ref="FXK11:FXP11"/>
    <mergeCell ref="FXQ11:FXT11"/>
    <mergeCell ref="FXU11:FXV11"/>
    <mergeCell ref="FXW11:FXX11"/>
    <mergeCell ref="FXY11:FXZ11"/>
    <mergeCell ref="FYA11:FYF11"/>
    <mergeCell ref="FYG11:FYJ11"/>
    <mergeCell ref="FYK11:FYL11"/>
    <mergeCell ref="FYM11:FYN11"/>
    <mergeCell ref="FWK11:FWN11"/>
    <mergeCell ref="FWO11:FWP11"/>
    <mergeCell ref="FWQ11:FWR11"/>
    <mergeCell ref="FWS11:FWT11"/>
    <mergeCell ref="FWU11:FWZ11"/>
    <mergeCell ref="FXA11:FXD11"/>
    <mergeCell ref="FXE11:FXF11"/>
    <mergeCell ref="FXG11:FXH11"/>
    <mergeCell ref="FXI11:FXJ11"/>
    <mergeCell ref="FVI11:FVJ11"/>
    <mergeCell ref="FVK11:FVL11"/>
    <mergeCell ref="FVM11:FVN11"/>
    <mergeCell ref="FVO11:FVT11"/>
    <mergeCell ref="FVU11:FVX11"/>
    <mergeCell ref="FVY11:FVZ11"/>
    <mergeCell ref="FWA11:FWB11"/>
    <mergeCell ref="FWC11:FWD11"/>
    <mergeCell ref="FWE11:FWJ11"/>
    <mergeCell ref="FUE11:FUF11"/>
    <mergeCell ref="FUG11:FUH11"/>
    <mergeCell ref="FUI11:FUN11"/>
    <mergeCell ref="FUO11:FUR11"/>
    <mergeCell ref="FUS11:FUT11"/>
    <mergeCell ref="FUU11:FUV11"/>
    <mergeCell ref="FUW11:FUX11"/>
    <mergeCell ref="FUY11:FVD11"/>
    <mergeCell ref="FVE11:FVH11"/>
    <mergeCell ref="FTA11:FTB11"/>
    <mergeCell ref="FTC11:FTH11"/>
    <mergeCell ref="FTI11:FTL11"/>
    <mergeCell ref="FTM11:FTN11"/>
    <mergeCell ref="FTO11:FTP11"/>
    <mergeCell ref="FTQ11:FTR11"/>
    <mergeCell ref="FTS11:FTX11"/>
    <mergeCell ref="FTY11:FUB11"/>
    <mergeCell ref="FUC11:FUD11"/>
    <mergeCell ref="FRW11:FSB11"/>
    <mergeCell ref="FSC11:FSF11"/>
    <mergeCell ref="FSG11:FSH11"/>
    <mergeCell ref="FSI11:FSJ11"/>
    <mergeCell ref="FSK11:FSL11"/>
    <mergeCell ref="FSM11:FSR11"/>
    <mergeCell ref="FSS11:FSV11"/>
    <mergeCell ref="FSW11:FSX11"/>
    <mergeCell ref="FSY11:FSZ11"/>
    <mergeCell ref="FQW11:FQZ11"/>
    <mergeCell ref="FRA11:FRB11"/>
    <mergeCell ref="FRC11:FRD11"/>
    <mergeCell ref="FRE11:FRF11"/>
    <mergeCell ref="FRG11:FRL11"/>
    <mergeCell ref="FRM11:FRP11"/>
    <mergeCell ref="FRQ11:FRR11"/>
    <mergeCell ref="FRS11:FRT11"/>
    <mergeCell ref="FRU11:FRV11"/>
    <mergeCell ref="FPU11:FPV11"/>
    <mergeCell ref="FPW11:FPX11"/>
    <mergeCell ref="FPY11:FPZ11"/>
    <mergeCell ref="FQA11:FQF11"/>
    <mergeCell ref="FQG11:FQJ11"/>
    <mergeCell ref="FQK11:FQL11"/>
    <mergeCell ref="FQM11:FQN11"/>
    <mergeCell ref="FQO11:FQP11"/>
    <mergeCell ref="FQQ11:FQV11"/>
    <mergeCell ref="FOQ11:FOR11"/>
    <mergeCell ref="FOS11:FOT11"/>
    <mergeCell ref="FOU11:FOZ11"/>
    <mergeCell ref="FPA11:FPD11"/>
    <mergeCell ref="FPE11:FPF11"/>
    <mergeCell ref="FPG11:FPH11"/>
    <mergeCell ref="FPI11:FPJ11"/>
    <mergeCell ref="FPK11:FPP11"/>
    <mergeCell ref="FPQ11:FPT11"/>
    <mergeCell ref="FNM11:FNN11"/>
    <mergeCell ref="FNO11:FNT11"/>
    <mergeCell ref="FNU11:FNX11"/>
    <mergeCell ref="FNY11:FNZ11"/>
    <mergeCell ref="FOA11:FOB11"/>
    <mergeCell ref="FOC11:FOD11"/>
    <mergeCell ref="FOE11:FOJ11"/>
    <mergeCell ref="FOK11:FON11"/>
    <mergeCell ref="FOO11:FOP11"/>
    <mergeCell ref="FMI11:FMN11"/>
    <mergeCell ref="FMO11:FMR11"/>
    <mergeCell ref="FMS11:FMT11"/>
    <mergeCell ref="FMU11:FMV11"/>
    <mergeCell ref="FMW11:FMX11"/>
    <mergeCell ref="FMY11:FND11"/>
    <mergeCell ref="FNE11:FNH11"/>
    <mergeCell ref="FNI11:FNJ11"/>
    <mergeCell ref="FNK11:FNL11"/>
    <mergeCell ref="FLI11:FLL11"/>
    <mergeCell ref="FLM11:FLN11"/>
    <mergeCell ref="FLO11:FLP11"/>
    <mergeCell ref="FLQ11:FLR11"/>
    <mergeCell ref="FLS11:FLX11"/>
    <mergeCell ref="FLY11:FMB11"/>
    <mergeCell ref="FMC11:FMD11"/>
    <mergeCell ref="FME11:FMF11"/>
    <mergeCell ref="FMG11:FMH11"/>
    <mergeCell ref="FKG11:FKH11"/>
    <mergeCell ref="FKI11:FKJ11"/>
    <mergeCell ref="FKK11:FKL11"/>
    <mergeCell ref="FKM11:FKR11"/>
    <mergeCell ref="FKS11:FKV11"/>
    <mergeCell ref="FKW11:FKX11"/>
    <mergeCell ref="FKY11:FKZ11"/>
    <mergeCell ref="FLA11:FLB11"/>
    <mergeCell ref="FLC11:FLH11"/>
    <mergeCell ref="FJC11:FJD11"/>
    <mergeCell ref="FJE11:FJF11"/>
    <mergeCell ref="FJG11:FJL11"/>
    <mergeCell ref="FJM11:FJP11"/>
    <mergeCell ref="FJQ11:FJR11"/>
    <mergeCell ref="FJS11:FJT11"/>
    <mergeCell ref="FJU11:FJV11"/>
    <mergeCell ref="FJW11:FKB11"/>
    <mergeCell ref="FKC11:FKF11"/>
    <mergeCell ref="FHY11:FHZ11"/>
    <mergeCell ref="FIA11:FIF11"/>
    <mergeCell ref="FIG11:FIJ11"/>
    <mergeCell ref="FIK11:FIL11"/>
    <mergeCell ref="FIM11:FIN11"/>
    <mergeCell ref="FIO11:FIP11"/>
    <mergeCell ref="FIQ11:FIV11"/>
    <mergeCell ref="FIW11:FIZ11"/>
    <mergeCell ref="FJA11:FJB11"/>
    <mergeCell ref="FGU11:FGZ11"/>
    <mergeCell ref="FHA11:FHD11"/>
    <mergeCell ref="FHE11:FHF11"/>
    <mergeCell ref="FHG11:FHH11"/>
    <mergeCell ref="FHI11:FHJ11"/>
    <mergeCell ref="FHK11:FHP11"/>
    <mergeCell ref="FHQ11:FHT11"/>
    <mergeCell ref="FHU11:FHV11"/>
    <mergeCell ref="FHW11:FHX11"/>
    <mergeCell ref="FFU11:FFX11"/>
    <mergeCell ref="FFY11:FFZ11"/>
    <mergeCell ref="FGA11:FGB11"/>
    <mergeCell ref="FGC11:FGD11"/>
    <mergeCell ref="FGE11:FGJ11"/>
    <mergeCell ref="FGK11:FGN11"/>
    <mergeCell ref="FGO11:FGP11"/>
    <mergeCell ref="FGQ11:FGR11"/>
    <mergeCell ref="FGS11:FGT11"/>
    <mergeCell ref="FES11:FET11"/>
    <mergeCell ref="FEU11:FEV11"/>
    <mergeCell ref="FEW11:FEX11"/>
    <mergeCell ref="FEY11:FFD11"/>
    <mergeCell ref="FFE11:FFH11"/>
    <mergeCell ref="FFI11:FFJ11"/>
    <mergeCell ref="FFK11:FFL11"/>
    <mergeCell ref="FFM11:FFN11"/>
    <mergeCell ref="FFO11:FFT11"/>
    <mergeCell ref="FDO11:FDP11"/>
    <mergeCell ref="FDQ11:FDR11"/>
    <mergeCell ref="FDS11:FDX11"/>
    <mergeCell ref="FDY11:FEB11"/>
    <mergeCell ref="FEC11:FED11"/>
    <mergeCell ref="FEE11:FEF11"/>
    <mergeCell ref="FEG11:FEH11"/>
    <mergeCell ref="FEI11:FEN11"/>
    <mergeCell ref="FEO11:FER11"/>
    <mergeCell ref="FCK11:FCL11"/>
    <mergeCell ref="FCM11:FCR11"/>
    <mergeCell ref="FCS11:FCV11"/>
    <mergeCell ref="FCW11:FCX11"/>
    <mergeCell ref="FCY11:FCZ11"/>
    <mergeCell ref="FDA11:FDB11"/>
    <mergeCell ref="FDC11:FDH11"/>
    <mergeCell ref="FDI11:FDL11"/>
    <mergeCell ref="FDM11:FDN11"/>
    <mergeCell ref="FBG11:FBL11"/>
    <mergeCell ref="FBM11:FBP11"/>
    <mergeCell ref="FBQ11:FBR11"/>
    <mergeCell ref="FBS11:FBT11"/>
    <mergeCell ref="FBU11:FBV11"/>
    <mergeCell ref="FBW11:FCB11"/>
    <mergeCell ref="FCC11:FCF11"/>
    <mergeCell ref="FCG11:FCH11"/>
    <mergeCell ref="FCI11:FCJ11"/>
    <mergeCell ref="FAG11:FAJ11"/>
    <mergeCell ref="FAK11:FAL11"/>
    <mergeCell ref="FAM11:FAN11"/>
    <mergeCell ref="FAO11:FAP11"/>
    <mergeCell ref="FAQ11:FAV11"/>
    <mergeCell ref="FAW11:FAZ11"/>
    <mergeCell ref="FBA11:FBB11"/>
    <mergeCell ref="FBC11:FBD11"/>
    <mergeCell ref="FBE11:FBF11"/>
    <mergeCell ref="EZE11:EZF11"/>
    <mergeCell ref="EZG11:EZH11"/>
    <mergeCell ref="EZI11:EZJ11"/>
    <mergeCell ref="EZK11:EZP11"/>
    <mergeCell ref="EZQ11:EZT11"/>
    <mergeCell ref="EZU11:EZV11"/>
    <mergeCell ref="EZW11:EZX11"/>
    <mergeCell ref="EZY11:EZZ11"/>
    <mergeCell ref="FAA11:FAF11"/>
    <mergeCell ref="EYA11:EYB11"/>
    <mergeCell ref="EYC11:EYD11"/>
    <mergeCell ref="EYE11:EYJ11"/>
    <mergeCell ref="EYK11:EYN11"/>
    <mergeCell ref="EYO11:EYP11"/>
    <mergeCell ref="EYQ11:EYR11"/>
    <mergeCell ref="EYS11:EYT11"/>
    <mergeCell ref="EYU11:EYZ11"/>
    <mergeCell ref="EZA11:EZD11"/>
    <mergeCell ref="EWW11:EWX11"/>
    <mergeCell ref="EWY11:EXD11"/>
    <mergeCell ref="EXE11:EXH11"/>
    <mergeCell ref="EXI11:EXJ11"/>
    <mergeCell ref="EXK11:EXL11"/>
    <mergeCell ref="EXM11:EXN11"/>
    <mergeCell ref="EXO11:EXT11"/>
    <mergeCell ref="EXU11:EXX11"/>
    <mergeCell ref="EXY11:EXZ11"/>
    <mergeCell ref="EVS11:EVX11"/>
    <mergeCell ref="EVY11:EWB11"/>
    <mergeCell ref="EWC11:EWD11"/>
    <mergeCell ref="EWE11:EWF11"/>
    <mergeCell ref="EWG11:EWH11"/>
    <mergeCell ref="EWI11:EWN11"/>
    <mergeCell ref="EWO11:EWR11"/>
    <mergeCell ref="EWS11:EWT11"/>
    <mergeCell ref="EWU11:EWV11"/>
    <mergeCell ref="EUS11:EUV11"/>
    <mergeCell ref="EUW11:EUX11"/>
    <mergeCell ref="EUY11:EUZ11"/>
    <mergeCell ref="EVA11:EVB11"/>
    <mergeCell ref="EVC11:EVH11"/>
    <mergeCell ref="EVI11:EVL11"/>
    <mergeCell ref="EVM11:EVN11"/>
    <mergeCell ref="EVO11:EVP11"/>
    <mergeCell ref="EVQ11:EVR11"/>
    <mergeCell ref="ETQ11:ETR11"/>
    <mergeCell ref="ETS11:ETT11"/>
    <mergeCell ref="ETU11:ETV11"/>
    <mergeCell ref="ETW11:EUB11"/>
    <mergeCell ref="EUC11:EUF11"/>
    <mergeCell ref="EUG11:EUH11"/>
    <mergeCell ref="EUI11:EUJ11"/>
    <mergeCell ref="EUK11:EUL11"/>
    <mergeCell ref="EUM11:EUR11"/>
    <mergeCell ref="ESM11:ESN11"/>
    <mergeCell ref="ESO11:ESP11"/>
    <mergeCell ref="ESQ11:ESV11"/>
    <mergeCell ref="ESW11:ESZ11"/>
    <mergeCell ref="ETA11:ETB11"/>
    <mergeCell ref="ETC11:ETD11"/>
    <mergeCell ref="ETE11:ETF11"/>
    <mergeCell ref="ETG11:ETL11"/>
    <mergeCell ref="ETM11:ETP11"/>
    <mergeCell ref="ERI11:ERJ11"/>
    <mergeCell ref="ERK11:ERP11"/>
    <mergeCell ref="ERQ11:ERT11"/>
    <mergeCell ref="ERU11:ERV11"/>
    <mergeCell ref="ERW11:ERX11"/>
    <mergeCell ref="ERY11:ERZ11"/>
    <mergeCell ref="ESA11:ESF11"/>
    <mergeCell ref="ESG11:ESJ11"/>
    <mergeCell ref="ESK11:ESL11"/>
    <mergeCell ref="EQE11:EQJ11"/>
    <mergeCell ref="EQK11:EQN11"/>
    <mergeCell ref="EQO11:EQP11"/>
    <mergeCell ref="EQQ11:EQR11"/>
    <mergeCell ref="EQS11:EQT11"/>
    <mergeCell ref="EQU11:EQZ11"/>
    <mergeCell ref="ERA11:ERD11"/>
    <mergeCell ref="ERE11:ERF11"/>
    <mergeCell ref="ERG11:ERH11"/>
    <mergeCell ref="EPE11:EPH11"/>
    <mergeCell ref="EPI11:EPJ11"/>
    <mergeCell ref="EPK11:EPL11"/>
    <mergeCell ref="EPM11:EPN11"/>
    <mergeCell ref="EPO11:EPT11"/>
    <mergeCell ref="EPU11:EPX11"/>
    <mergeCell ref="EPY11:EPZ11"/>
    <mergeCell ref="EQA11:EQB11"/>
    <mergeCell ref="EQC11:EQD11"/>
    <mergeCell ref="EOC11:EOD11"/>
    <mergeCell ref="EOE11:EOF11"/>
    <mergeCell ref="EOG11:EOH11"/>
    <mergeCell ref="EOI11:EON11"/>
    <mergeCell ref="EOO11:EOR11"/>
    <mergeCell ref="EOS11:EOT11"/>
    <mergeCell ref="EOU11:EOV11"/>
    <mergeCell ref="EOW11:EOX11"/>
    <mergeCell ref="EOY11:EPD11"/>
    <mergeCell ref="EMY11:EMZ11"/>
    <mergeCell ref="ENA11:ENB11"/>
    <mergeCell ref="ENC11:ENH11"/>
    <mergeCell ref="ENI11:ENL11"/>
    <mergeCell ref="ENM11:ENN11"/>
    <mergeCell ref="ENO11:ENP11"/>
    <mergeCell ref="ENQ11:ENR11"/>
    <mergeCell ref="ENS11:ENX11"/>
    <mergeCell ref="ENY11:EOB11"/>
    <mergeCell ref="ELU11:ELV11"/>
    <mergeCell ref="ELW11:EMB11"/>
    <mergeCell ref="EMC11:EMF11"/>
    <mergeCell ref="EMG11:EMH11"/>
    <mergeCell ref="EMI11:EMJ11"/>
    <mergeCell ref="EMK11:EML11"/>
    <mergeCell ref="EMM11:EMR11"/>
    <mergeCell ref="EMS11:EMV11"/>
    <mergeCell ref="EMW11:EMX11"/>
    <mergeCell ref="EKQ11:EKV11"/>
    <mergeCell ref="EKW11:EKZ11"/>
    <mergeCell ref="ELA11:ELB11"/>
    <mergeCell ref="ELC11:ELD11"/>
    <mergeCell ref="ELE11:ELF11"/>
    <mergeCell ref="ELG11:ELL11"/>
    <mergeCell ref="ELM11:ELP11"/>
    <mergeCell ref="ELQ11:ELR11"/>
    <mergeCell ref="ELS11:ELT11"/>
    <mergeCell ref="EJQ11:EJT11"/>
    <mergeCell ref="EJU11:EJV11"/>
    <mergeCell ref="EJW11:EJX11"/>
    <mergeCell ref="EJY11:EJZ11"/>
    <mergeCell ref="EKA11:EKF11"/>
    <mergeCell ref="EKG11:EKJ11"/>
    <mergeCell ref="EKK11:EKL11"/>
    <mergeCell ref="EKM11:EKN11"/>
    <mergeCell ref="EKO11:EKP11"/>
    <mergeCell ref="EIO11:EIP11"/>
    <mergeCell ref="EIQ11:EIR11"/>
    <mergeCell ref="EIS11:EIT11"/>
    <mergeCell ref="EIU11:EIZ11"/>
    <mergeCell ref="EJA11:EJD11"/>
    <mergeCell ref="EJE11:EJF11"/>
    <mergeCell ref="EJG11:EJH11"/>
    <mergeCell ref="EJI11:EJJ11"/>
    <mergeCell ref="EJK11:EJP11"/>
    <mergeCell ref="EHK11:EHL11"/>
    <mergeCell ref="EHM11:EHN11"/>
    <mergeCell ref="EHO11:EHT11"/>
    <mergeCell ref="EHU11:EHX11"/>
    <mergeCell ref="EHY11:EHZ11"/>
    <mergeCell ref="EIA11:EIB11"/>
    <mergeCell ref="EIC11:EID11"/>
    <mergeCell ref="EIE11:EIJ11"/>
    <mergeCell ref="EIK11:EIN11"/>
    <mergeCell ref="EGG11:EGH11"/>
    <mergeCell ref="EGI11:EGN11"/>
    <mergeCell ref="EGO11:EGR11"/>
    <mergeCell ref="EGS11:EGT11"/>
    <mergeCell ref="EGU11:EGV11"/>
    <mergeCell ref="EGW11:EGX11"/>
    <mergeCell ref="EGY11:EHD11"/>
    <mergeCell ref="EHE11:EHH11"/>
    <mergeCell ref="EHI11:EHJ11"/>
    <mergeCell ref="EFC11:EFH11"/>
    <mergeCell ref="EFI11:EFL11"/>
    <mergeCell ref="EFM11:EFN11"/>
    <mergeCell ref="EFO11:EFP11"/>
    <mergeCell ref="EFQ11:EFR11"/>
    <mergeCell ref="EFS11:EFX11"/>
    <mergeCell ref="EFY11:EGB11"/>
    <mergeCell ref="EGC11:EGD11"/>
    <mergeCell ref="EGE11:EGF11"/>
    <mergeCell ref="EEC11:EEF11"/>
    <mergeCell ref="EEG11:EEH11"/>
    <mergeCell ref="EEI11:EEJ11"/>
    <mergeCell ref="EEK11:EEL11"/>
    <mergeCell ref="EEM11:EER11"/>
    <mergeCell ref="EES11:EEV11"/>
    <mergeCell ref="EEW11:EEX11"/>
    <mergeCell ref="EEY11:EEZ11"/>
    <mergeCell ref="EFA11:EFB11"/>
    <mergeCell ref="EDA11:EDB11"/>
    <mergeCell ref="EDC11:EDD11"/>
    <mergeCell ref="EDE11:EDF11"/>
    <mergeCell ref="EDG11:EDL11"/>
    <mergeCell ref="EDM11:EDP11"/>
    <mergeCell ref="EDQ11:EDR11"/>
    <mergeCell ref="EDS11:EDT11"/>
    <mergeCell ref="EDU11:EDV11"/>
    <mergeCell ref="EDW11:EEB11"/>
    <mergeCell ref="EBW11:EBX11"/>
    <mergeCell ref="EBY11:EBZ11"/>
    <mergeCell ref="ECA11:ECF11"/>
    <mergeCell ref="ECG11:ECJ11"/>
    <mergeCell ref="ECK11:ECL11"/>
    <mergeCell ref="ECM11:ECN11"/>
    <mergeCell ref="ECO11:ECP11"/>
    <mergeCell ref="ECQ11:ECV11"/>
    <mergeCell ref="ECW11:ECZ11"/>
    <mergeCell ref="EAS11:EAT11"/>
    <mergeCell ref="EAU11:EAZ11"/>
    <mergeCell ref="EBA11:EBD11"/>
    <mergeCell ref="EBE11:EBF11"/>
    <mergeCell ref="EBG11:EBH11"/>
    <mergeCell ref="EBI11:EBJ11"/>
    <mergeCell ref="EBK11:EBP11"/>
    <mergeCell ref="EBQ11:EBT11"/>
    <mergeCell ref="EBU11:EBV11"/>
    <mergeCell ref="DZO11:DZT11"/>
    <mergeCell ref="DZU11:DZX11"/>
    <mergeCell ref="DZY11:DZZ11"/>
    <mergeCell ref="EAA11:EAB11"/>
    <mergeCell ref="EAC11:EAD11"/>
    <mergeCell ref="EAE11:EAJ11"/>
    <mergeCell ref="EAK11:EAN11"/>
    <mergeCell ref="EAO11:EAP11"/>
    <mergeCell ref="EAQ11:EAR11"/>
    <mergeCell ref="DYO11:DYR11"/>
    <mergeCell ref="DYS11:DYT11"/>
    <mergeCell ref="DYU11:DYV11"/>
    <mergeCell ref="DYW11:DYX11"/>
    <mergeCell ref="DYY11:DZD11"/>
    <mergeCell ref="DZE11:DZH11"/>
    <mergeCell ref="DZI11:DZJ11"/>
    <mergeCell ref="DZK11:DZL11"/>
    <mergeCell ref="DZM11:DZN11"/>
    <mergeCell ref="DXM11:DXN11"/>
    <mergeCell ref="DXO11:DXP11"/>
    <mergeCell ref="DXQ11:DXR11"/>
    <mergeCell ref="DXS11:DXX11"/>
    <mergeCell ref="DXY11:DYB11"/>
    <mergeCell ref="DYC11:DYD11"/>
    <mergeCell ref="DYE11:DYF11"/>
    <mergeCell ref="DYG11:DYH11"/>
    <mergeCell ref="DYI11:DYN11"/>
    <mergeCell ref="DWI11:DWJ11"/>
    <mergeCell ref="DWK11:DWL11"/>
    <mergeCell ref="DWM11:DWR11"/>
    <mergeCell ref="DWS11:DWV11"/>
    <mergeCell ref="DWW11:DWX11"/>
    <mergeCell ref="DWY11:DWZ11"/>
    <mergeCell ref="DXA11:DXB11"/>
    <mergeCell ref="DXC11:DXH11"/>
    <mergeCell ref="DXI11:DXL11"/>
    <mergeCell ref="DVE11:DVF11"/>
    <mergeCell ref="DVG11:DVL11"/>
    <mergeCell ref="DVM11:DVP11"/>
    <mergeCell ref="DVQ11:DVR11"/>
    <mergeCell ref="DVS11:DVT11"/>
    <mergeCell ref="DVU11:DVV11"/>
    <mergeCell ref="DVW11:DWB11"/>
    <mergeCell ref="DWC11:DWF11"/>
    <mergeCell ref="DWG11:DWH11"/>
    <mergeCell ref="DUA11:DUF11"/>
    <mergeCell ref="DUG11:DUJ11"/>
    <mergeCell ref="DUK11:DUL11"/>
    <mergeCell ref="DUM11:DUN11"/>
    <mergeCell ref="DUO11:DUP11"/>
    <mergeCell ref="DUQ11:DUV11"/>
    <mergeCell ref="DUW11:DUZ11"/>
    <mergeCell ref="DVA11:DVB11"/>
    <mergeCell ref="DVC11:DVD11"/>
    <mergeCell ref="DTA11:DTD11"/>
    <mergeCell ref="DTE11:DTF11"/>
    <mergeCell ref="DTG11:DTH11"/>
    <mergeCell ref="DTI11:DTJ11"/>
    <mergeCell ref="DTK11:DTP11"/>
    <mergeCell ref="DTQ11:DTT11"/>
    <mergeCell ref="DTU11:DTV11"/>
    <mergeCell ref="DTW11:DTX11"/>
    <mergeCell ref="DTY11:DTZ11"/>
    <mergeCell ref="DRY11:DRZ11"/>
    <mergeCell ref="DSA11:DSB11"/>
    <mergeCell ref="DSC11:DSD11"/>
    <mergeCell ref="DSE11:DSJ11"/>
    <mergeCell ref="DSK11:DSN11"/>
    <mergeCell ref="DSO11:DSP11"/>
    <mergeCell ref="DSQ11:DSR11"/>
    <mergeCell ref="DSS11:DST11"/>
    <mergeCell ref="DSU11:DSZ11"/>
    <mergeCell ref="DQU11:DQV11"/>
    <mergeCell ref="DQW11:DQX11"/>
    <mergeCell ref="DQY11:DRD11"/>
    <mergeCell ref="DRE11:DRH11"/>
    <mergeCell ref="DRI11:DRJ11"/>
    <mergeCell ref="DRK11:DRL11"/>
    <mergeCell ref="DRM11:DRN11"/>
    <mergeCell ref="DRO11:DRT11"/>
    <mergeCell ref="DRU11:DRX11"/>
    <mergeCell ref="DPQ11:DPR11"/>
    <mergeCell ref="DPS11:DPX11"/>
    <mergeCell ref="DPY11:DQB11"/>
    <mergeCell ref="DQC11:DQD11"/>
    <mergeCell ref="DQE11:DQF11"/>
    <mergeCell ref="DQG11:DQH11"/>
    <mergeCell ref="DQI11:DQN11"/>
    <mergeCell ref="DQO11:DQR11"/>
    <mergeCell ref="DQS11:DQT11"/>
    <mergeCell ref="DOM11:DOR11"/>
    <mergeCell ref="DOS11:DOV11"/>
    <mergeCell ref="DOW11:DOX11"/>
    <mergeCell ref="DOY11:DOZ11"/>
    <mergeCell ref="DPA11:DPB11"/>
    <mergeCell ref="DPC11:DPH11"/>
    <mergeCell ref="DPI11:DPL11"/>
    <mergeCell ref="DPM11:DPN11"/>
    <mergeCell ref="DPO11:DPP11"/>
    <mergeCell ref="DNM11:DNP11"/>
    <mergeCell ref="DNQ11:DNR11"/>
    <mergeCell ref="DNS11:DNT11"/>
    <mergeCell ref="DNU11:DNV11"/>
    <mergeCell ref="DNW11:DOB11"/>
    <mergeCell ref="DOC11:DOF11"/>
    <mergeCell ref="DOG11:DOH11"/>
    <mergeCell ref="DOI11:DOJ11"/>
    <mergeCell ref="DOK11:DOL11"/>
    <mergeCell ref="DMK11:DML11"/>
    <mergeCell ref="DMM11:DMN11"/>
    <mergeCell ref="DMO11:DMP11"/>
    <mergeCell ref="DMQ11:DMV11"/>
    <mergeCell ref="DMW11:DMZ11"/>
    <mergeCell ref="DNA11:DNB11"/>
    <mergeCell ref="DNC11:DND11"/>
    <mergeCell ref="DNE11:DNF11"/>
    <mergeCell ref="DNG11:DNL11"/>
    <mergeCell ref="DLG11:DLH11"/>
    <mergeCell ref="DLI11:DLJ11"/>
    <mergeCell ref="DLK11:DLP11"/>
    <mergeCell ref="DLQ11:DLT11"/>
    <mergeCell ref="DLU11:DLV11"/>
    <mergeCell ref="DLW11:DLX11"/>
    <mergeCell ref="DLY11:DLZ11"/>
    <mergeCell ref="DMA11:DMF11"/>
    <mergeCell ref="DMG11:DMJ11"/>
    <mergeCell ref="DKC11:DKD11"/>
    <mergeCell ref="DKE11:DKJ11"/>
    <mergeCell ref="DKK11:DKN11"/>
    <mergeCell ref="DKO11:DKP11"/>
    <mergeCell ref="DKQ11:DKR11"/>
    <mergeCell ref="DKS11:DKT11"/>
    <mergeCell ref="DKU11:DKZ11"/>
    <mergeCell ref="DLA11:DLD11"/>
    <mergeCell ref="DLE11:DLF11"/>
    <mergeCell ref="DIY11:DJD11"/>
    <mergeCell ref="DJE11:DJH11"/>
    <mergeCell ref="DJI11:DJJ11"/>
    <mergeCell ref="DJK11:DJL11"/>
    <mergeCell ref="DJM11:DJN11"/>
    <mergeCell ref="DJO11:DJT11"/>
    <mergeCell ref="DJU11:DJX11"/>
    <mergeCell ref="DJY11:DJZ11"/>
    <mergeCell ref="DKA11:DKB11"/>
    <mergeCell ref="DHY11:DIB11"/>
    <mergeCell ref="DIC11:DID11"/>
    <mergeCell ref="DIE11:DIF11"/>
    <mergeCell ref="DIG11:DIH11"/>
    <mergeCell ref="DII11:DIN11"/>
    <mergeCell ref="DIO11:DIR11"/>
    <mergeCell ref="DIS11:DIT11"/>
    <mergeCell ref="DIU11:DIV11"/>
    <mergeCell ref="DIW11:DIX11"/>
    <mergeCell ref="DGW11:DGX11"/>
    <mergeCell ref="DGY11:DGZ11"/>
    <mergeCell ref="DHA11:DHB11"/>
    <mergeCell ref="DHC11:DHH11"/>
    <mergeCell ref="DHI11:DHL11"/>
    <mergeCell ref="DHM11:DHN11"/>
    <mergeCell ref="DHO11:DHP11"/>
    <mergeCell ref="DHQ11:DHR11"/>
    <mergeCell ref="DHS11:DHX11"/>
    <mergeCell ref="DFS11:DFT11"/>
    <mergeCell ref="DFU11:DFV11"/>
    <mergeCell ref="DFW11:DGB11"/>
    <mergeCell ref="DGC11:DGF11"/>
    <mergeCell ref="DGG11:DGH11"/>
    <mergeCell ref="DGI11:DGJ11"/>
    <mergeCell ref="DGK11:DGL11"/>
    <mergeCell ref="DGM11:DGR11"/>
    <mergeCell ref="DGS11:DGV11"/>
    <mergeCell ref="DEO11:DEP11"/>
    <mergeCell ref="DEQ11:DEV11"/>
    <mergeCell ref="DEW11:DEZ11"/>
    <mergeCell ref="DFA11:DFB11"/>
    <mergeCell ref="DFC11:DFD11"/>
    <mergeCell ref="DFE11:DFF11"/>
    <mergeCell ref="DFG11:DFL11"/>
    <mergeCell ref="DFM11:DFP11"/>
    <mergeCell ref="DFQ11:DFR11"/>
    <mergeCell ref="DDK11:DDP11"/>
    <mergeCell ref="DDQ11:DDT11"/>
    <mergeCell ref="DDU11:DDV11"/>
    <mergeCell ref="DDW11:DDX11"/>
    <mergeCell ref="DDY11:DDZ11"/>
    <mergeCell ref="DEA11:DEF11"/>
    <mergeCell ref="DEG11:DEJ11"/>
    <mergeCell ref="DEK11:DEL11"/>
    <mergeCell ref="DEM11:DEN11"/>
    <mergeCell ref="DCK11:DCN11"/>
    <mergeCell ref="DCO11:DCP11"/>
    <mergeCell ref="DCQ11:DCR11"/>
    <mergeCell ref="DCS11:DCT11"/>
    <mergeCell ref="DCU11:DCZ11"/>
    <mergeCell ref="DDA11:DDD11"/>
    <mergeCell ref="DDE11:DDF11"/>
    <mergeCell ref="DDG11:DDH11"/>
    <mergeCell ref="DDI11:DDJ11"/>
    <mergeCell ref="DBI11:DBJ11"/>
    <mergeCell ref="DBK11:DBL11"/>
    <mergeCell ref="DBM11:DBN11"/>
    <mergeCell ref="DBO11:DBT11"/>
    <mergeCell ref="DBU11:DBX11"/>
    <mergeCell ref="DBY11:DBZ11"/>
    <mergeCell ref="DCA11:DCB11"/>
    <mergeCell ref="DCC11:DCD11"/>
    <mergeCell ref="DCE11:DCJ11"/>
    <mergeCell ref="DAE11:DAF11"/>
    <mergeCell ref="DAG11:DAH11"/>
    <mergeCell ref="DAI11:DAN11"/>
    <mergeCell ref="DAO11:DAR11"/>
    <mergeCell ref="DAS11:DAT11"/>
    <mergeCell ref="DAU11:DAV11"/>
    <mergeCell ref="DAW11:DAX11"/>
    <mergeCell ref="DAY11:DBD11"/>
    <mergeCell ref="DBE11:DBH11"/>
    <mergeCell ref="CZA11:CZB11"/>
    <mergeCell ref="CZC11:CZH11"/>
    <mergeCell ref="CZI11:CZL11"/>
    <mergeCell ref="CZM11:CZN11"/>
    <mergeCell ref="CZO11:CZP11"/>
    <mergeCell ref="CZQ11:CZR11"/>
    <mergeCell ref="CZS11:CZX11"/>
    <mergeCell ref="CZY11:DAB11"/>
    <mergeCell ref="DAC11:DAD11"/>
    <mergeCell ref="CXW11:CYB11"/>
    <mergeCell ref="CYC11:CYF11"/>
    <mergeCell ref="CYG11:CYH11"/>
    <mergeCell ref="CYI11:CYJ11"/>
    <mergeCell ref="CYK11:CYL11"/>
    <mergeCell ref="CYM11:CYR11"/>
    <mergeCell ref="CYS11:CYV11"/>
    <mergeCell ref="CYW11:CYX11"/>
    <mergeCell ref="CYY11:CYZ11"/>
    <mergeCell ref="CWW11:CWZ11"/>
    <mergeCell ref="CXA11:CXB11"/>
    <mergeCell ref="CXC11:CXD11"/>
    <mergeCell ref="CXE11:CXF11"/>
    <mergeCell ref="CXG11:CXL11"/>
    <mergeCell ref="CXM11:CXP11"/>
    <mergeCell ref="CXQ11:CXR11"/>
    <mergeCell ref="CXS11:CXT11"/>
    <mergeCell ref="CXU11:CXV11"/>
    <mergeCell ref="CVU11:CVV11"/>
    <mergeCell ref="CVW11:CVX11"/>
    <mergeCell ref="CVY11:CVZ11"/>
    <mergeCell ref="CWA11:CWF11"/>
    <mergeCell ref="CWG11:CWJ11"/>
    <mergeCell ref="CWK11:CWL11"/>
    <mergeCell ref="CWM11:CWN11"/>
    <mergeCell ref="CWO11:CWP11"/>
    <mergeCell ref="CWQ11:CWV11"/>
    <mergeCell ref="CUQ11:CUR11"/>
    <mergeCell ref="CUS11:CUT11"/>
    <mergeCell ref="CUU11:CUZ11"/>
    <mergeCell ref="CVA11:CVD11"/>
    <mergeCell ref="CVE11:CVF11"/>
    <mergeCell ref="CVG11:CVH11"/>
    <mergeCell ref="CVI11:CVJ11"/>
    <mergeCell ref="CVK11:CVP11"/>
    <mergeCell ref="CVQ11:CVT11"/>
    <mergeCell ref="CTM11:CTN11"/>
    <mergeCell ref="CTO11:CTT11"/>
    <mergeCell ref="CTU11:CTX11"/>
    <mergeCell ref="CTY11:CTZ11"/>
    <mergeCell ref="CUA11:CUB11"/>
    <mergeCell ref="CUC11:CUD11"/>
    <mergeCell ref="CUE11:CUJ11"/>
    <mergeCell ref="CUK11:CUN11"/>
    <mergeCell ref="CUO11:CUP11"/>
    <mergeCell ref="CSI11:CSN11"/>
    <mergeCell ref="CSO11:CSR11"/>
    <mergeCell ref="CSS11:CST11"/>
    <mergeCell ref="CSU11:CSV11"/>
    <mergeCell ref="CSW11:CSX11"/>
    <mergeCell ref="CSY11:CTD11"/>
    <mergeCell ref="CTE11:CTH11"/>
    <mergeCell ref="CTI11:CTJ11"/>
    <mergeCell ref="CTK11:CTL11"/>
    <mergeCell ref="CRI11:CRL11"/>
    <mergeCell ref="CRM11:CRN11"/>
    <mergeCell ref="CRO11:CRP11"/>
    <mergeCell ref="CRQ11:CRR11"/>
    <mergeCell ref="CRS11:CRX11"/>
    <mergeCell ref="CRY11:CSB11"/>
    <mergeCell ref="CSC11:CSD11"/>
    <mergeCell ref="CSE11:CSF11"/>
    <mergeCell ref="CSG11:CSH11"/>
    <mergeCell ref="CQG11:CQH11"/>
    <mergeCell ref="CQI11:CQJ11"/>
    <mergeCell ref="CQK11:CQL11"/>
    <mergeCell ref="CQM11:CQR11"/>
    <mergeCell ref="CQS11:CQV11"/>
    <mergeCell ref="CQW11:CQX11"/>
    <mergeCell ref="CQY11:CQZ11"/>
    <mergeCell ref="CRA11:CRB11"/>
    <mergeCell ref="CRC11:CRH11"/>
    <mergeCell ref="CPC11:CPD11"/>
    <mergeCell ref="CPE11:CPF11"/>
    <mergeCell ref="CPG11:CPL11"/>
    <mergeCell ref="CPM11:CPP11"/>
    <mergeCell ref="CPQ11:CPR11"/>
    <mergeCell ref="CPS11:CPT11"/>
    <mergeCell ref="CPU11:CPV11"/>
    <mergeCell ref="CPW11:CQB11"/>
    <mergeCell ref="CQC11:CQF11"/>
    <mergeCell ref="CNY11:CNZ11"/>
    <mergeCell ref="COA11:COF11"/>
    <mergeCell ref="COG11:COJ11"/>
    <mergeCell ref="COK11:COL11"/>
    <mergeCell ref="COM11:CON11"/>
    <mergeCell ref="COO11:COP11"/>
    <mergeCell ref="COQ11:COV11"/>
    <mergeCell ref="COW11:COZ11"/>
    <mergeCell ref="CPA11:CPB11"/>
    <mergeCell ref="CMU11:CMZ11"/>
    <mergeCell ref="CNA11:CND11"/>
    <mergeCell ref="CNE11:CNF11"/>
    <mergeCell ref="CNG11:CNH11"/>
    <mergeCell ref="CNI11:CNJ11"/>
    <mergeCell ref="CNK11:CNP11"/>
    <mergeCell ref="CNQ11:CNT11"/>
    <mergeCell ref="CNU11:CNV11"/>
    <mergeCell ref="CNW11:CNX11"/>
    <mergeCell ref="CLU11:CLX11"/>
    <mergeCell ref="CLY11:CLZ11"/>
    <mergeCell ref="CMA11:CMB11"/>
    <mergeCell ref="CMC11:CMD11"/>
    <mergeCell ref="CME11:CMJ11"/>
    <mergeCell ref="CMK11:CMN11"/>
    <mergeCell ref="CMO11:CMP11"/>
    <mergeCell ref="CMQ11:CMR11"/>
    <mergeCell ref="CMS11:CMT11"/>
    <mergeCell ref="CKS11:CKT11"/>
    <mergeCell ref="CKU11:CKV11"/>
    <mergeCell ref="CKW11:CKX11"/>
    <mergeCell ref="CKY11:CLD11"/>
    <mergeCell ref="CLE11:CLH11"/>
    <mergeCell ref="CLI11:CLJ11"/>
    <mergeCell ref="CLK11:CLL11"/>
    <mergeCell ref="CLM11:CLN11"/>
    <mergeCell ref="CLO11:CLT11"/>
    <mergeCell ref="CJO11:CJP11"/>
    <mergeCell ref="CJQ11:CJR11"/>
    <mergeCell ref="CJS11:CJX11"/>
    <mergeCell ref="CJY11:CKB11"/>
    <mergeCell ref="CKC11:CKD11"/>
    <mergeCell ref="CKE11:CKF11"/>
    <mergeCell ref="CKG11:CKH11"/>
    <mergeCell ref="CKI11:CKN11"/>
    <mergeCell ref="CKO11:CKR11"/>
    <mergeCell ref="CIK11:CIL11"/>
    <mergeCell ref="CIM11:CIR11"/>
    <mergeCell ref="CIS11:CIV11"/>
    <mergeCell ref="CIW11:CIX11"/>
    <mergeCell ref="CIY11:CIZ11"/>
    <mergeCell ref="CJA11:CJB11"/>
    <mergeCell ref="CJC11:CJH11"/>
    <mergeCell ref="CJI11:CJL11"/>
    <mergeCell ref="CJM11:CJN11"/>
    <mergeCell ref="CHG11:CHL11"/>
    <mergeCell ref="CHM11:CHP11"/>
    <mergeCell ref="CHQ11:CHR11"/>
    <mergeCell ref="CHS11:CHT11"/>
    <mergeCell ref="CHU11:CHV11"/>
    <mergeCell ref="CHW11:CIB11"/>
    <mergeCell ref="CIC11:CIF11"/>
    <mergeCell ref="CIG11:CIH11"/>
    <mergeCell ref="CII11:CIJ11"/>
    <mergeCell ref="CGG11:CGJ11"/>
    <mergeCell ref="CGK11:CGL11"/>
    <mergeCell ref="CGM11:CGN11"/>
    <mergeCell ref="CGO11:CGP11"/>
    <mergeCell ref="CGQ11:CGV11"/>
    <mergeCell ref="CGW11:CGZ11"/>
    <mergeCell ref="CHA11:CHB11"/>
    <mergeCell ref="CHC11:CHD11"/>
    <mergeCell ref="CHE11:CHF11"/>
    <mergeCell ref="CFE11:CFF11"/>
    <mergeCell ref="CFG11:CFH11"/>
    <mergeCell ref="CFI11:CFJ11"/>
    <mergeCell ref="CFK11:CFP11"/>
    <mergeCell ref="CFQ11:CFT11"/>
    <mergeCell ref="CFU11:CFV11"/>
    <mergeCell ref="CFW11:CFX11"/>
    <mergeCell ref="CFY11:CFZ11"/>
    <mergeCell ref="CGA11:CGF11"/>
    <mergeCell ref="CEA11:CEB11"/>
    <mergeCell ref="CEC11:CED11"/>
    <mergeCell ref="CEE11:CEJ11"/>
    <mergeCell ref="CEK11:CEN11"/>
    <mergeCell ref="CEO11:CEP11"/>
    <mergeCell ref="CEQ11:CER11"/>
    <mergeCell ref="CES11:CET11"/>
    <mergeCell ref="CEU11:CEZ11"/>
    <mergeCell ref="CFA11:CFD11"/>
    <mergeCell ref="CCW11:CCX11"/>
    <mergeCell ref="CCY11:CDD11"/>
    <mergeCell ref="CDE11:CDH11"/>
    <mergeCell ref="CDI11:CDJ11"/>
    <mergeCell ref="CDK11:CDL11"/>
    <mergeCell ref="CDM11:CDN11"/>
    <mergeCell ref="CDO11:CDT11"/>
    <mergeCell ref="CDU11:CDX11"/>
    <mergeCell ref="CDY11:CDZ11"/>
    <mergeCell ref="CBS11:CBX11"/>
    <mergeCell ref="CBY11:CCB11"/>
    <mergeCell ref="CCC11:CCD11"/>
    <mergeCell ref="CCE11:CCF11"/>
    <mergeCell ref="CCG11:CCH11"/>
    <mergeCell ref="CCI11:CCN11"/>
    <mergeCell ref="CCO11:CCR11"/>
    <mergeCell ref="CCS11:CCT11"/>
    <mergeCell ref="CCU11:CCV11"/>
    <mergeCell ref="CAS11:CAV11"/>
    <mergeCell ref="CAW11:CAX11"/>
    <mergeCell ref="CAY11:CAZ11"/>
    <mergeCell ref="CBA11:CBB11"/>
    <mergeCell ref="CBC11:CBH11"/>
    <mergeCell ref="CBI11:CBL11"/>
    <mergeCell ref="CBM11:CBN11"/>
    <mergeCell ref="CBO11:CBP11"/>
    <mergeCell ref="CBQ11:CBR11"/>
    <mergeCell ref="BZQ11:BZR11"/>
    <mergeCell ref="BZS11:BZT11"/>
    <mergeCell ref="BZU11:BZV11"/>
    <mergeCell ref="BZW11:CAB11"/>
    <mergeCell ref="CAC11:CAF11"/>
    <mergeCell ref="CAG11:CAH11"/>
    <mergeCell ref="CAI11:CAJ11"/>
    <mergeCell ref="CAK11:CAL11"/>
    <mergeCell ref="CAM11:CAR11"/>
    <mergeCell ref="BYM11:BYN11"/>
    <mergeCell ref="BYO11:BYP11"/>
    <mergeCell ref="BYQ11:BYV11"/>
    <mergeCell ref="BYW11:BYZ11"/>
    <mergeCell ref="BZA11:BZB11"/>
    <mergeCell ref="BZC11:BZD11"/>
    <mergeCell ref="BZE11:BZF11"/>
    <mergeCell ref="BZG11:BZL11"/>
    <mergeCell ref="BZM11:BZP11"/>
    <mergeCell ref="BXI11:BXJ11"/>
    <mergeCell ref="BXK11:BXP11"/>
    <mergeCell ref="BXQ11:BXT11"/>
    <mergeCell ref="BXU11:BXV11"/>
    <mergeCell ref="BXW11:BXX11"/>
    <mergeCell ref="BXY11:BXZ11"/>
    <mergeCell ref="BYA11:BYF11"/>
    <mergeCell ref="BYG11:BYJ11"/>
    <mergeCell ref="BYK11:BYL11"/>
    <mergeCell ref="BWE11:BWJ11"/>
    <mergeCell ref="BWK11:BWN11"/>
    <mergeCell ref="BWO11:BWP11"/>
    <mergeCell ref="BWQ11:BWR11"/>
    <mergeCell ref="BWS11:BWT11"/>
    <mergeCell ref="BWU11:BWZ11"/>
    <mergeCell ref="BXA11:BXD11"/>
    <mergeCell ref="BXE11:BXF11"/>
    <mergeCell ref="BXG11:BXH11"/>
    <mergeCell ref="BVE11:BVH11"/>
    <mergeCell ref="BVI11:BVJ11"/>
    <mergeCell ref="BVK11:BVL11"/>
    <mergeCell ref="BVM11:BVN11"/>
    <mergeCell ref="BVO11:BVT11"/>
    <mergeCell ref="BVU11:BVX11"/>
    <mergeCell ref="BVY11:BVZ11"/>
    <mergeCell ref="BWA11:BWB11"/>
    <mergeCell ref="BWC11:BWD11"/>
    <mergeCell ref="BUC11:BUD11"/>
    <mergeCell ref="BUE11:BUF11"/>
    <mergeCell ref="BUG11:BUH11"/>
    <mergeCell ref="BUI11:BUN11"/>
    <mergeCell ref="BUO11:BUR11"/>
    <mergeCell ref="BUS11:BUT11"/>
    <mergeCell ref="BUU11:BUV11"/>
    <mergeCell ref="BUW11:BUX11"/>
    <mergeCell ref="BUY11:BVD11"/>
    <mergeCell ref="BSY11:BSZ11"/>
    <mergeCell ref="BTA11:BTB11"/>
    <mergeCell ref="BTC11:BTH11"/>
    <mergeCell ref="BTI11:BTL11"/>
    <mergeCell ref="BTM11:BTN11"/>
    <mergeCell ref="BTO11:BTP11"/>
    <mergeCell ref="BTQ11:BTR11"/>
    <mergeCell ref="BTS11:BTX11"/>
    <mergeCell ref="BTY11:BUB11"/>
    <mergeCell ref="BRU11:BRV11"/>
    <mergeCell ref="BRW11:BSB11"/>
    <mergeCell ref="BSC11:BSF11"/>
    <mergeCell ref="BSG11:BSH11"/>
    <mergeCell ref="BSI11:BSJ11"/>
    <mergeCell ref="BSK11:BSL11"/>
    <mergeCell ref="BSM11:BSR11"/>
    <mergeCell ref="BSS11:BSV11"/>
    <mergeCell ref="BSW11:BSX11"/>
    <mergeCell ref="BQQ11:BQV11"/>
    <mergeCell ref="BQW11:BQZ11"/>
    <mergeCell ref="BRA11:BRB11"/>
    <mergeCell ref="BRC11:BRD11"/>
    <mergeCell ref="BRE11:BRF11"/>
    <mergeCell ref="BRG11:BRL11"/>
    <mergeCell ref="BRM11:BRP11"/>
    <mergeCell ref="BRQ11:BRR11"/>
    <mergeCell ref="BRS11:BRT11"/>
    <mergeCell ref="BPQ11:BPT11"/>
    <mergeCell ref="BPU11:BPV11"/>
    <mergeCell ref="BPW11:BPX11"/>
    <mergeCell ref="BPY11:BPZ11"/>
    <mergeCell ref="BQA11:BQF11"/>
    <mergeCell ref="BQG11:BQJ11"/>
    <mergeCell ref="BQK11:BQL11"/>
    <mergeCell ref="BQM11:BQN11"/>
    <mergeCell ref="BQO11:BQP11"/>
    <mergeCell ref="BOO11:BOP11"/>
    <mergeCell ref="BOQ11:BOR11"/>
    <mergeCell ref="BOS11:BOT11"/>
    <mergeCell ref="BOU11:BOZ11"/>
    <mergeCell ref="BPA11:BPD11"/>
    <mergeCell ref="BPE11:BPF11"/>
    <mergeCell ref="BPG11:BPH11"/>
    <mergeCell ref="BPI11:BPJ11"/>
    <mergeCell ref="BPK11:BPP11"/>
    <mergeCell ref="BNK11:BNL11"/>
    <mergeCell ref="BNM11:BNN11"/>
    <mergeCell ref="BNO11:BNT11"/>
    <mergeCell ref="BNU11:BNX11"/>
    <mergeCell ref="BNY11:BNZ11"/>
    <mergeCell ref="BOA11:BOB11"/>
    <mergeCell ref="BOC11:BOD11"/>
    <mergeCell ref="BOE11:BOJ11"/>
    <mergeCell ref="BOK11:BON11"/>
    <mergeCell ref="BMG11:BMH11"/>
    <mergeCell ref="BMI11:BMN11"/>
    <mergeCell ref="BMO11:BMR11"/>
    <mergeCell ref="BMS11:BMT11"/>
    <mergeCell ref="BMU11:BMV11"/>
    <mergeCell ref="BMW11:BMX11"/>
    <mergeCell ref="BMY11:BND11"/>
    <mergeCell ref="BNE11:BNH11"/>
    <mergeCell ref="BNI11:BNJ11"/>
    <mergeCell ref="BLC11:BLH11"/>
    <mergeCell ref="BLI11:BLL11"/>
    <mergeCell ref="BLM11:BLN11"/>
    <mergeCell ref="BLO11:BLP11"/>
    <mergeCell ref="BLQ11:BLR11"/>
    <mergeCell ref="BLS11:BLX11"/>
    <mergeCell ref="BLY11:BMB11"/>
    <mergeCell ref="BMC11:BMD11"/>
    <mergeCell ref="BME11:BMF11"/>
    <mergeCell ref="BKC11:BKF11"/>
    <mergeCell ref="BKG11:BKH11"/>
    <mergeCell ref="BKI11:BKJ11"/>
    <mergeCell ref="BKK11:BKL11"/>
    <mergeCell ref="BKM11:BKR11"/>
    <mergeCell ref="BKS11:BKV11"/>
    <mergeCell ref="BKW11:BKX11"/>
    <mergeCell ref="BKY11:BKZ11"/>
    <mergeCell ref="BLA11:BLB11"/>
    <mergeCell ref="BJA11:BJB11"/>
    <mergeCell ref="BJC11:BJD11"/>
    <mergeCell ref="BJE11:BJF11"/>
    <mergeCell ref="BJG11:BJL11"/>
    <mergeCell ref="BJM11:BJP11"/>
    <mergeCell ref="BJQ11:BJR11"/>
    <mergeCell ref="BJS11:BJT11"/>
    <mergeCell ref="BJU11:BJV11"/>
    <mergeCell ref="BJW11:BKB11"/>
    <mergeCell ref="BHW11:BHX11"/>
    <mergeCell ref="BHY11:BHZ11"/>
    <mergeCell ref="BIA11:BIF11"/>
    <mergeCell ref="BIG11:BIJ11"/>
    <mergeCell ref="BIK11:BIL11"/>
    <mergeCell ref="BIM11:BIN11"/>
    <mergeCell ref="BIO11:BIP11"/>
    <mergeCell ref="BIQ11:BIV11"/>
    <mergeCell ref="BIW11:BIZ11"/>
    <mergeCell ref="BGS11:BGT11"/>
    <mergeCell ref="BGU11:BGZ11"/>
    <mergeCell ref="BHA11:BHD11"/>
    <mergeCell ref="BHE11:BHF11"/>
    <mergeCell ref="BHG11:BHH11"/>
    <mergeCell ref="BHI11:BHJ11"/>
    <mergeCell ref="BHK11:BHP11"/>
    <mergeCell ref="BHQ11:BHT11"/>
    <mergeCell ref="BHU11:BHV11"/>
    <mergeCell ref="BFO11:BFT11"/>
    <mergeCell ref="BFU11:BFX11"/>
    <mergeCell ref="BFY11:BFZ11"/>
    <mergeCell ref="BGA11:BGB11"/>
    <mergeCell ref="BGC11:BGD11"/>
    <mergeCell ref="BGE11:BGJ11"/>
    <mergeCell ref="BGK11:BGN11"/>
    <mergeCell ref="BGO11:BGP11"/>
    <mergeCell ref="BGQ11:BGR11"/>
    <mergeCell ref="BEO11:BER11"/>
    <mergeCell ref="BES11:BET11"/>
    <mergeCell ref="BEU11:BEV11"/>
    <mergeCell ref="BEW11:BEX11"/>
    <mergeCell ref="BEY11:BFD11"/>
    <mergeCell ref="BFE11:BFH11"/>
    <mergeCell ref="BFI11:BFJ11"/>
    <mergeCell ref="BFK11:BFL11"/>
    <mergeCell ref="BFM11:BFN11"/>
    <mergeCell ref="BDM11:BDN11"/>
    <mergeCell ref="BDO11:BDP11"/>
    <mergeCell ref="BDQ11:BDR11"/>
    <mergeCell ref="BDS11:BDX11"/>
    <mergeCell ref="BDY11:BEB11"/>
    <mergeCell ref="BEC11:BED11"/>
    <mergeCell ref="BEE11:BEF11"/>
    <mergeCell ref="BEG11:BEH11"/>
    <mergeCell ref="BEI11:BEN11"/>
    <mergeCell ref="BCI11:BCJ11"/>
    <mergeCell ref="BCK11:BCL11"/>
    <mergeCell ref="BCM11:BCR11"/>
    <mergeCell ref="BCS11:BCV11"/>
    <mergeCell ref="BCW11:BCX11"/>
    <mergeCell ref="BCY11:BCZ11"/>
    <mergeCell ref="BDA11:BDB11"/>
    <mergeCell ref="BDC11:BDH11"/>
    <mergeCell ref="BDI11:BDL11"/>
    <mergeCell ref="BBE11:BBF11"/>
    <mergeCell ref="BBG11:BBL11"/>
    <mergeCell ref="BBM11:BBP11"/>
    <mergeCell ref="BBQ11:BBR11"/>
    <mergeCell ref="BBS11:BBT11"/>
    <mergeCell ref="BBU11:BBV11"/>
    <mergeCell ref="BBW11:BCB11"/>
    <mergeCell ref="BCC11:BCF11"/>
    <mergeCell ref="BCG11:BCH11"/>
    <mergeCell ref="BAA11:BAF11"/>
    <mergeCell ref="BAG11:BAJ11"/>
    <mergeCell ref="BAK11:BAL11"/>
    <mergeCell ref="BAM11:BAN11"/>
    <mergeCell ref="BAO11:BAP11"/>
    <mergeCell ref="BAQ11:BAV11"/>
    <mergeCell ref="BAW11:BAZ11"/>
    <mergeCell ref="BBA11:BBB11"/>
    <mergeCell ref="BBC11:BBD11"/>
    <mergeCell ref="AZA11:AZD11"/>
    <mergeCell ref="AZE11:AZF11"/>
    <mergeCell ref="AZG11:AZH11"/>
    <mergeCell ref="AZI11:AZJ11"/>
    <mergeCell ref="AZK11:AZP11"/>
    <mergeCell ref="AZQ11:AZT11"/>
    <mergeCell ref="AZU11:AZV11"/>
    <mergeCell ref="AZW11:AZX11"/>
    <mergeCell ref="AZY11:AZZ11"/>
    <mergeCell ref="AXY11:AXZ11"/>
    <mergeCell ref="AYA11:AYB11"/>
    <mergeCell ref="AYC11:AYD11"/>
    <mergeCell ref="AYE11:AYJ11"/>
    <mergeCell ref="AYK11:AYN11"/>
    <mergeCell ref="AYO11:AYP11"/>
    <mergeCell ref="AYQ11:AYR11"/>
    <mergeCell ref="AYS11:AYT11"/>
    <mergeCell ref="AYU11:AYZ11"/>
    <mergeCell ref="AWU11:AWV11"/>
    <mergeCell ref="AWW11:AWX11"/>
    <mergeCell ref="AWY11:AXD11"/>
    <mergeCell ref="AXE11:AXH11"/>
    <mergeCell ref="AXI11:AXJ11"/>
    <mergeCell ref="AXK11:AXL11"/>
    <mergeCell ref="AXM11:AXN11"/>
    <mergeCell ref="AXO11:AXT11"/>
    <mergeCell ref="AXU11:AXX11"/>
    <mergeCell ref="AVQ11:AVR11"/>
    <mergeCell ref="AVS11:AVX11"/>
    <mergeCell ref="AVY11:AWB11"/>
    <mergeCell ref="AWC11:AWD11"/>
    <mergeCell ref="AWE11:AWF11"/>
    <mergeCell ref="AWG11:AWH11"/>
    <mergeCell ref="AWI11:AWN11"/>
    <mergeCell ref="AWO11:AWR11"/>
    <mergeCell ref="AWS11:AWT11"/>
    <mergeCell ref="AUM11:AUR11"/>
    <mergeCell ref="AUS11:AUV11"/>
    <mergeCell ref="AUW11:AUX11"/>
    <mergeCell ref="AUY11:AUZ11"/>
    <mergeCell ref="AVA11:AVB11"/>
    <mergeCell ref="AVC11:AVH11"/>
    <mergeCell ref="AVI11:AVL11"/>
    <mergeCell ref="AVM11:AVN11"/>
    <mergeCell ref="AVO11:AVP11"/>
    <mergeCell ref="ATM11:ATP11"/>
    <mergeCell ref="ATQ11:ATR11"/>
    <mergeCell ref="ATS11:ATT11"/>
    <mergeCell ref="ATU11:ATV11"/>
    <mergeCell ref="ATW11:AUB11"/>
    <mergeCell ref="AUC11:AUF11"/>
    <mergeCell ref="AUG11:AUH11"/>
    <mergeCell ref="AUI11:AUJ11"/>
    <mergeCell ref="AUK11:AUL11"/>
    <mergeCell ref="ASK11:ASL11"/>
    <mergeCell ref="ASM11:ASN11"/>
    <mergeCell ref="ASO11:ASP11"/>
    <mergeCell ref="ASQ11:ASV11"/>
    <mergeCell ref="ASW11:ASZ11"/>
    <mergeCell ref="ATA11:ATB11"/>
    <mergeCell ref="ATC11:ATD11"/>
    <mergeCell ref="ATE11:ATF11"/>
    <mergeCell ref="ATG11:ATL11"/>
    <mergeCell ref="ARG11:ARH11"/>
    <mergeCell ref="ARI11:ARJ11"/>
    <mergeCell ref="ARK11:ARP11"/>
    <mergeCell ref="ARQ11:ART11"/>
    <mergeCell ref="ARU11:ARV11"/>
    <mergeCell ref="ARW11:ARX11"/>
    <mergeCell ref="ARY11:ARZ11"/>
    <mergeCell ref="ASA11:ASF11"/>
    <mergeCell ref="ASG11:ASJ11"/>
    <mergeCell ref="AQC11:AQD11"/>
    <mergeCell ref="AQE11:AQJ11"/>
    <mergeCell ref="AQK11:AQN11"/>
    <mergeCell ref="AQO11:AQP11"/>
    <mergeCell ref="AQQ11:AQR11"/>
    <mergeCell ref="AQS11:AQT11"/>
    <mergeCell ref="AQU11:AQZ11"/>
    <mergeCell ref="ARA11:ARD11"/>
    <mergeCell ref="ARE11:ARF11"/>
    <mergeCell ref="AOY11:APD11"/>
    <mergeCell ref="APE11:APH11"/>
    <mergeCell ref="API11:APJ11"/>
    <mergeCell ref="APK11:APL11"/>
    <mergeCell ref="APM11:APN11"/>
    <mergeCell ref="APO11:APT11"/>
    <mergeCell ref="APU11:APX11"/>
    <mergeCell ref="APY11:APZ11"/>
    <mergeCell ref="AQA11:AQB11"/>
    <mergeCell ref="ANY11:AOB11"/>
    <mergeCell ref="AOC11:AOD11"/>
    <mergeCell ref="AOE11:AOF11"/>
    <mergeCell ref="AOG11:AOH11"/>
    <mergeCell ref="AOI11:AON11"/>
    <mergeCell ref="AOO11:AOR11"/>
    <mergeCell ref="AOS11:AOT11"/>
    <mergeCell ref="AOU11:AOV11"/>
    <mergeCell ref="AOW11:AOX11"/>
    <mergeCell ref="AMW11:AMX11"/>
    <mergeCell ref="AMY11:AMZ11"/>
    <mergeCell ref="ANA11:ANB11"/>
    <mergeCell ref="ANC11:ANH11"/>
    <mergeCell ref="ANI11:ANL11"/>
    <mergeCell ref="ANM11:ANN11"/>
    <mergeCell ref="ANO11:ANP11"/>
    <mergeCell ref="ANQ11:ANR11"/>
    <mergeCell ref="ANS11:ANX11"/>
    <mergeCell ref="ALS11:ALT11"/>
    <mergeCell ref="ALU11:ALV11"/>
    <mergeCell ref="ALW11:AMB11"/>
    <mergeCell ref="AMC11:AMF11"/>
    <mergeCell ref="AMG11:AMH11"/>
    <mergeCell ref="AMI11:AMJ11"/>
    <mergeCell ref="AMK11:AML11"/>
    <mergeCell ref="AMM11:AMR11"/>
    <mergeCell ref="AMS11:AMV11"/>
    <mergeCell ref="AKO11:AKP11"/>
    <mergeCell ref="AKQ11:AKV11"/>
    <mergeCell ref="AKW11:AKZ11"/>
    <mergeCell ref="ALA11:ALB11"/>
    <mergeCell ref="ALC11:ALD11"/>
    <mergeCell ref="ALE11:ALF11"/>
    <mergeCell ref="ALG11:ALL11"/>
    <mergeCell ref="ALM11:ALP11"/>
    <mergeCell ref="ALQ11:ALR11"/>
    <mergeCell ref="AJK11:AJP11"/>
    <mergeCell ref="AJQ11:AJT11"/>
    <mergeCell ref="AJU11:AJV11"/>
    <mergeCell ref="AJW11:AJX11"/>
    <mergeCell ref="AJY11:AJZ11"/>
    <mergeCell ref="AKA11:AKF11"/>
    <mergeCell ref="AKG11:AKJ11"/>
    <mergeCell ref="AKK11:AKL11"/>
    <mergeCell ref="AKM11:AKN11"/>
    <mergeCell ref="AIK11:AIN11"/>
    <mergeCell ref="AIO11:AIP11"/>
    <mergeCell ref="AIQ11:AIR11"/>
    <mergeCell ref="AIS11:AIT11"/>
    <mergeCell ref="AIU11:AIZ11"/>
    <mergeCell ref="AJA11:AJD11"/>
    <mergeCell ref="AJE11:AJF11"/>
    <mergeCell ref="AJG11:AJH11"/>
    <mergeCell ref="AJI11:AJJ11"/>
    <mergeCell ref="AHI11:AHJ11"/>
    <mergeCell ref="AHK11:AHL11"/>
    <mergeCell ref="AHM11:AHN11"/>
    <mergeCell ref="AHO11:AHT11"/>
    <mergeCell ref="AHU11:AHX11"/>
    <mergeCell ref="AHY11:AHZ11"/>
    <mergeCell ref="AIA11:AIB11"/>
    <mergeCell ref="AIC11:AID11"/>
    <mergeCell ref="AIE11:AIJ11"/>
    <mergeCell ref="AGE11:AGF11"/>
    <mergeCell ref="AGG11:AGH11"/>
    <mergeCell ref="AGI11:AGN11"/>
    <mergeCell ref="AGO11:AGR11"/>
    <mergeCell ref="AGS11:AGT11"/>
    <mergeCell ref="AGU11:AGV11"/>
    <mergeCell ref="AGW11:AGX11"/>
    <mergeCell ref="AGY11:AHD11"/>
    <mergeCell ref="AHE11:AHH11"/>
    <mergeCell ref="AFA11:AFB11"/>
    <mergeCell ref="AFC11:AFH11"/>
    <mergeCell ref="AFI11:AFL11"/>
    <mergeCell ref="AFM11:AFN11"/>
    <mergeCell ref="AFO11:AFP11"/>
    <mergeCell ref="AFQ11:AFR11"/>
    <mergeCell ref="AFS11:AFX11"/>
    <mergeCell ref="AFY11:AGB11"/>
    <mergeCell ref="AGC11:AGD11"/>
    <mergeCell ref="ADW11:AEB11"/>
    <mergeCell ref="AEC11:AEF11"/>
    <mergeCell ref="AEG11:AEH11"/>
    <mergeCell ref="AEI11:AEJ11"/>
    <mergeCell ref="AEK11:AEL11"/>
    <mergeCell ref="AEM11:AER11"/>
    <mergeCell ref="AES11:AEV11"/>
    <mergeCell ref="AEW11:AEX11"/>
    <mergeCell ref="AEY11:AEZ11"/>
    <mergeCell ref="ACW11:ACZ11"/>
    <mergeCell ref="ADA11:ADB11"/>
    <mergeCell ref="ADC11:ADD11"/>
    <mergeCell ref="ADE11:ADF11"/>
    <mergeCell ref="ADG11:ADL11"/>
    <mergeCell ref="ADM11:ADP11"/>
    <mergeCell ref="ADQ11:ADR11"/>
    <mergeCell ref="ADS11:ADT11"/>
    <mergeCell ref="ADU11:ADV11"/>
    <mergeCell ref="ABU11:ABV11"/>
    <mergeCell ref="ABW11:ABX11"/>
    <mergeCell ref="ABY11:ABZ11"/>
    <mergeCell ref="ACA11:ACF11"/>
    <mergeCell ref="ACG11:ACJ11"/>
    <mergeCell ref="ACK11:ACL11"/>
    <mergeCell ref="ACM11:ACN11"/>
    <mergeCell ref="ACO11:ACP11"/>
    <mergeCell ref="ACQ11:ACV11"/>
    <mergeCell ref="AAQ11:AAR11"/>
    <mergeCell ref="AAS11:AAT11"/>
    <mergeCell ref="AAU11:AAZ11"/>
    <mergeCell ref="ABA11:ABD11"/>
    <mergeCell ref="ABE11:ABF11"/>
    <mergeCell ref="ABG11:ABH11"/>
    <mergeCell ref="ABI11:ABJ11"/>
    <mergeCell ref="ABK11:ABP11"/>
    <mergeCell ref="ABQ11:ABT11"/>
    <mergeCell ref="ZM11:ZN11"/>
    <mergeCell ref="ZO11:ZT11"/>
    <mergeCell ref="ZU11:ZX11"/>
    <mergeCell ref="ZY11:ZZ11"/>
    <mergeCell ref="AAA11:AAB11"/>
    <mergeCell ref="AAC11:AAD11"/>
    <mergeCell ref="AAE11:AAJ11"/>
    <mergeCell ref="AAK11:AAN11"/>
    <mergeCell ref="AAO11:AAP11"/>
    <mergeCell ref="YI11:YN11"/>
    <mergeCell ref="YO11:YR11"/>
    <mergeCell ref="YS11:YT11"/>
    <mergeCell ref="YU11:YV11"/>
    <mergeCell ref="YW11:YX11"/>
    <mergeCell ref="YY11:ZD11"/>
    <mergeCell ref="ZE11:ZH11"/>
    <mergeCell ref="ZI11:ZJ11"/>
    <mergeCell ref="ZK11:ZL11"/>
    <mergeCell ref="XI11:XL11"/>
    <mergeCell ref="XM11:XN11"/>
    <mergeCell ref="XO11:XP11"/>
    <mergeCell ref="XQ11:XR11"/>
    <mergeCell ref="XS11:XX11"/>
    <mergeCell ref="XY11:YB11"/>
    <mergeCell ref="YC11:YD11"/>
    <mergeCell ref="YE11:YF11"/>
    <mergeCell ref="YG11:YH11"/>
    <mergeCell ref="WG11:WH11"/>
    <mergeCell ref="WI11:WJ11"/>
    <mergeCell ref="WK11:WL11"/>
    <mergeCell ref="WM11:WR11"/>
    <mergeCell ref="WS11:WV11"/>
    <mergeCell ref="WW11:WX11"/>
    <mergeCell ref="WY11:WZ11"/>
    <mergeCell ref="XA11:XB11"/>
    <mergeCell ref="XC11:XH11"/>
    <mergeCell ref="VC11:VD11"/>
    <mergeCell ref="VE11:VF11"/>
    <mergeCell ref="VG11:VL11"/>
    <mergeCell ref="VM11:VP11"/>
    <mergeCell ref="VQ11:VR11"/>
    <mergeCell ref="VS11:VT11"/>
    <mergeCell ref="VU11:VV11"/>
    <mergeCell ref="VW11:WB11"/>
    <mergeCell ref="WC11:WF11"/>
    <mergeCell ref="TY11:TZ11"/>
    <mergeCell ref="UA11:UF11"/>
    <mergeCell ref="UG11:UJ11"/>
    <mergeCell ref="UK11:UL11"/>
    <mergeCell ref="UM11:UN11"/>
    <mergeCell ref="UO11:UP11"/>
    <mergeCell ref="UQ11:UV11"/>
    <mergeCell ref="UW11:UZ11"/>
    <mergeCell ref="VA11:VB11"/>
    <mergeCell ref="SU11:SZ11"/>
    <mergeCell ref="TA11:TD11"/>
    <mergeCell ref="TE11:TF11"/>
    <mergeCell ref="TG11:TH11"/>
    <mergeCell ref="TI11:TJ11"/>
    <mergeCell ref="TK11:TP11"/>
    <mergeCell ref="TQ11:TT11"/>
    <mergeCell ref="TU11:TV11"/>
    <mergeCell ref="TW11:TX11"/>
    <mergeCell ref="RU11:RX11"/>
    <mergeCell ref="RY11:RZ11"/>
    <mergeCell ref="SA11:SB11"/>
    <mergeCell ref="SC11:SD11"/>
    <mergeCell ref="SE11:SJ11"/>
    <mergeCell ref="SK11:SN11"/>
    <mergeCell ref="SO11:SP11"/>
    <mergeCell ref="SQ11:SR11"/>
    <mergeCell ref="SS11:ST11"/>
    <mergeCell ref="QS11:QT11"/>
    <mergeCell ref="QU11:QV11"/>
    <mergeCell ref="QW11:QX11"/>
    <mergeCell ref="QY11:RD11"/>
    <mergeCell ref="RE11:RH11"/>
    <mergeCell ref="RI11:RJ11"/>
    <mergeCell ref="RK11:RL11"/>
    <mergeCell ref="RM11:RN11"/>
    <mergeCell ref="RO11:RT11"/>
    <mergeCell ref="PO11:PP11"/>
    <mergeCell ref="PQ11:PR11"/>
    <mergeCell ref="PS11:PX11"/>
    <mergeCell ref="PY11:QB11"/>
    <mergeCell ref="QC11:QD11"/>
    <mergeCell ref="QE11:QF11"/>
    <mergeCell ref="QG11:QH11"/>
    <mergeCell ref="QI11:QN11"/>
    <mergeCell ref="QO11:QR11"/>
    <mergeCell ref="OK11:OL11"/>
    <mergeCell ref="OM11:OR11"/>
    <mergeCell ref="OS11:OV11"/>
    <mergeCell ref="OW11:OX11"/>
    <mergeCell ref="OY11:OZ11"/>
    <mergeCell ref="PA11:PB11"/>
    <mergeCell ref="PC11:PH11"/>
    <mergeCell ref="PI11:PL11"/>
    <mergeCell ref="PM11:PN11"/>
    <mergeCell ref="NG11:NL11"/>
    <mergeCell ref="NM11:NP11"/>
    <mergeCell ref="NQ11:NR11"/>
    <mergeCell ref="NS11:NT11"/>
    <mergeCell ref="NU11:NV11"/>
    <mergeCell ref="NW11:OB11"/>
    <mergeCell ref="OC11:OF11"/>
    <mergeCell ref="OG11:OH11"/>
    <mergeCell ref="OI11:OJ11"/>
    <mergeCell ref="MG11:MJ11"/>
    <mergeCell ref="MK11:ML11"/>
    <mergeCell ref="MM11:MN11"/>
    <mergeCell ref="MO11:MP11"/>
    <mergeCell ref="MQ11:MV11"/>
    <mergeCell ref="MW11:MZ11"/>
    <mergeCell ref="NA11:NB11"/>
    <mergeCell ref="NC11:ND11"/>
    <mergeCell ref="NE11:NF11"/>
    <mergeCell ref="LE11:LF11"/>
    <mergeCell ref="LG11:LH11"/>
    <mergeCell ref="LI11:LJ11"/>
    <mergeCell ref="LK11:LP11"/>
    <mergeCell ref="LQ11:LT11"/>
    <mergeCell ref="LU11:LV11"/>
    <mergeCell ref="LW11:LX11"/>
    <mergeCell ref="LY11:LZ11"/>
    <mergeCell ref="MA11:MF11"/>
    <mergeCell ref="KA11:KB11"/>
    <mergeCell ref="KC11:KD11"/>
    <mergeCell ref="KE11:KJ11"/>
    <mergeCell ref="KK11:KN11"/>
    <mergeCell ref="KO11:KP11"/>
    <mergeCell ref="KQ11:KR11"/>
    <mergeCell ref="KS11:KT11"/>
    <mergeCell ref="KU11:KZ11"/>
    <mergeCell ref="LA11:LD11"/>
    <mergeCell ref="IW11:IX11"/>
    <mergeCell ref="IY11:JD11"/>
    <mergeCell ref="JE11:JH11"/>
    <mergeCell ref="JI11:JJ11"/>
    <mergeCell ref="JK11:JL11"/>
    <mergeCell ref="JM11:JN11"/>
    <mergeCell ref="JO11:JT11"/>
    <mergeCell ref="JU11:JX11"/>
    <mergeCell ref="JY11:JZ11"/>
    <mergeCell ref="HS11:HX11"/>
    <mergeCell ref="HY11:IB11"/>
    <mergeCell ref="IC11:ID11"/>
    <mergeCell ref="IE11:IF11"/>
    <mergeCell ref="IG11:IH11"/>
    <mergeCell ref="II11:IN11"/>
    <mergeCell ref="IO11:IR11"/>
    <mergeCell ref="IS11:IT11"/>
    <mergeCell ref="IU11:IV11"/>
    <mergeCell ref="GS11:GV11"/>
    <mergeCell ref="GW11:GX11"/>
    <mergeCell ref="GY11:GZ11"/>
    <mergeCell ref="HA11:HB11"/>
    <mergeCell ref="HC11:HH11"/>
    <mergeCell ref="HI11:HL11"/>
    <mergeCell ref="HM11:HN11"/>
    <mergeCell ref="HO11:HP11"/>
    <mergeCell ref="HQ11:HR11"/>
    <mergeCell ref="FQ11:FR11"/>
    <mergeCell ref="FS11:FT11"/>
    <mergeCell ref="FU11:FV11"/>
    <mergeCell ref="FW11:GB11"/>
    <mergeCell ref="GC11:GF11"/>
    <mergeCell ref="GG11:GH11"/>
    <mergeCell ref="GI11:GJ11"/>
    <mergeCell ref="GK11:GL11"/>
    <mergeCell ref="GM11:GR11"/>
    <mergeCell ref="EM11:EN11"/>
    <mergeCell ref="EO11:EP11"/>
    <mergeCell ref="EQ11:EV11"/>
    <mergeCell ref="EW11:EZ11"/>
    <mergeCell ref="FA11:FB11"/>
    <mergeCell ref="FC11:FD11"/>
    <mergeCell ref="FE11:FF11"/>
    <mergeCell ref="FG11:FL11"/>
    <mergeCell ref="FM11:FP11"/>
    <mergeCell ref="DI11:DJ11"/>
    <mergeCell ref="DK11:DP11"/>
    <mergeCell ref="DQ11:DT11"/>
    <mergeCell ref="DU11:DV11"/>
    <mergeCell ref="DW11:DX11"/>
    <mergeCell ref="DY11:DZ11"/>
    <mergeCell ref="EA11:EF11"/>
    <mergeCell ref="EG11:EJ11"/>
    <mergeCell ref="EK11:EL11"/>
    <mergeCell ref="XAY15:XBD15"/>
    <mergeCell ref="XBE15:XBH15"/>
    <mergeCell ref="XBI15:XBJ15"/>
    <mergeCell ref="XBK15:XBL15"/>
    <mergeCell ref="XBM15:XBN15"/>
    <mergeCell ref="XBO15:XBT15"/>
    <mergeCell ref="A11:D11"/>
    <mergeCell ref="E11:F11"/>
    <mergeCell ref="G11:H11"/>
    <mergeCell ref="I11:J11"/>
    <mergeCell ref="K11:P11"/>
    <mergeCell ref="WZY15:XAB15"/>
    <mergeCell ref="XAC15:XAD15"/>
    <mergeCell ref="XAE15:XAF15"/>
    <mergeCell ref="XAG15:XAH15"/>
    <mergeCell ref="XAI15:XAN15"/>
    <mergeCell ref="XAO15:XAR15"/>
    <mergeCell ref="XAS15:XAT15"/>
    <mergeCell ref="XAU15:XAV15"/>
    <mergeCell ref="XAW15:XAX15"/>
    <mergeCell ref="WYW15:WYX15"/>
    <mergeCell ref="WYY15:WYZ15"/>
    <mergeCell ref="WZA15:WZB15"/>
    <mergeCell ref="WZC15:WZH15"/>
    <mergeCell ref="WZI15:WZL15"/>
    <mergeCell ref="WZM15:WZN15"/>
    <mergeCell ref="WZO15:WZP15"/>
    <mergeCell ref="WZQ15:WZR15"/>
    <mergeCell ref="WZS15:WZX15"/>
    <mergeCell ref="WXS15:WXT15"/>
    <mergeCell ref="WXU15:WXV15"/>
    <mergeCell ref="WXW15:WYB15"/>
    <mergeCell ref="WYC15:WYF15"/>
    <mergeCell ref="WYG15:WYH15"/>
    <mergeCell ref="WYI15:WYJ15"/>
    <mergeCell ref="WYK15:WYL15"/>
    <mergeCell ref="WYM15:WYR15"/>
    <mergeCell ref="WYS15:WYV15"/>
    <mergeCell ref="WWO15:WWP15"/>
    <mergeCell ref="WWQ15:WWV15"/>
    <mergeCell ref="WWW15:WWZ15"/>
    <mergeCell ref="WXA15:WXB15"/>
    <mergeCell ref="CE11:CJ11"/>
    <mergeCell ref="CK11:CN11"/>
    <mergeCell ref="CO11:CP11"/>
    <mergeCell ref="CQ11:CR11"/>
    <mergeCell ref="CS11:CT11"/>
    <mergeCell ref="CU11:CZ11"/>
    <mergeCell ref="DA11:DD11"/>
    <mergeCell ref="DE11:DF11"/>
    <mergeCell ref="DG11:DH11"/>
    <mergeCell ref="BE11:BH11"/>
    <mergeCell ref="BI11:BJ11"/>
    <mergeCell ref="BK11:BL11"/>
    <mergeCell ref="BM11:BN11"/>
    <mergeCell ref="BO11:BT11"/>
    <mergeCell ref="BU11:BX11"/>
    <mergeCell ref="BY11:BZ11"/>
    <mergeCell ref="CA11:CB11"/>
    <mergeCell ref="CC11:CD11"/>
    <mergeCell ref="AC11:AD11"/>
    <mergeCell ref="AE11:AF11"/>
    <mergeCell ref="AG11:AH11"/>
    <mergeCell ref="AI11:AN11"/>
    <mergeCell ref="WXC15:WXD15"/>
    <mergeCell ref="WXE15:WXF15"/>
    <mergeCell ref="WXG15:WXL15"/>
    <mergeCell ref="WXM15:WXP15"/>
    <mergeCell ref="WXQ15:WXR15"/>
    <mergeCell ref="WVK15:WVP15"/>
    <mergeCell ref="WVQ15:WVT15"/>
    <mergeCell ref="WVU15:WVV15"/>
    <mergeCell ref="WVW15:WVX15"/>
    <mergeCell ref="WVY15:WVZ15"/>
    <mergeCell ref="WWA15:WWF15"/>
    <mergeCell ref="WWG15:WWJ15"/>
    <mergeCell ref="WWK15:WWL15"/>
    <mergeCell ref="WWM15:WWN15"/>
    <mergeCell ref="WUK15:WUN15"/>
    <mergeCell ref="WUO15:WUP15"/>
    <mergeCell ref="WUQ15:WUR15"/>
    <mergeCell ref="WUS15:WUT15"/>
    <mergeCell ref="WUU15:WUZ15"/>
    <mergeCell ref="WVA15:WVD15"/>
    <mergeCell ref="WVE15:WVF15"/>
    <mergeCell ref="WVG15:WVH15"/>
    <mergeCell ref="WVI15:WVJ15"/>
    <mergeCell ref="WTI15:WTJ15"/>
    <mergeCell ref="WTK15:WTL15"/>
    <mergeCell ref="WTM15:WTN15"/>
    <mergeCell ref="WTO15:WTT15"/>
    <mergeCell ref="WTU15:WTX15"/>
    <mergeCell ref="WTY15:WTZ15"/>
    <mergeCell ref="WUA15:WUB15"/>
    <mergeCell ref="WUC15:WUD15"/>
    <mergeCell ref="WUE15:WUJ15"/>
    <mergeCell ref="WSE15:WSF15"/>
    <mergeCell ref="WSG15:WSH15"/>
    <mergeCell ref="WSI15:WSN15"/>
    <mergeCell ref="WSO15:WSR15"/>
    <mergeCell ref="WSS15:WST15"/>
    <mergeCell ref="WSU15:WSV15"/>
    <mergeCell ref="WSW15:WSX15"/>
    <mergeCell ref="WSY15:WTD15"/>
    <mergeCell ref="WTE15:WTH15"/>
    <mergeCell ref="WRA15:WRB15"/>
    <mergeCell ref="WRC15:WRH15"/>
    <mergeCell ref="WRI15:WRL15"/>
    <mergeCell ref="WRM15:WRN15"/>
    <mergeCell ref="WRO15:WRP15"/>
    <mergeCell ref="WRQ15:WRR15"/>
    <mergeCell ref="WRS15:WRX15"/>
    <mergeCell ref="WRY15:WSB15"/>
    <mergeCell ref="WSC15:WSD15"/>
    <mergeCell ref="WPW15:WQB15"/>
    <mergeCell ref="WQC15:WQF15"/>
    <mergeCell ref="WQG15:WQH15"/>
    <mergeCell ref="WQI15:WQJ15"/>
    <mergeCell ref="WQK15:WQL15"/>
    <mergeCell ref="WQM15:WQR15"/>
    <mergeCell ref="WQS15:WQV15"/>
    <mergeCell ref="WQW15:WQX15"/>
    <mergeCell ref="WQY15:WQZ15"/>
    <mergeCell ref="WOW15:WOZ15"/>
    <mergeCell ref="WPA15:WPB15"/>
    <mergeCell ref="WPC15:WPD15"/>
    <mergeCell ref="WPE15:WPF15"/>
    <mergeCell ref="WPG15:WPL15"/>
    <mergeCell ref="WPM15:WPP15"/>
    <mergeCell ref="WPQ15:WPR15"/>
    <mergeCell ref="WPS15:WPT15"/>
    <mergeCell ref="WPU15:WPV15"/>
    <mergeCell ref="WNU15:WNV15"/>
    <mergeCell ref="WNW15:WNX15"/>
    <mergeCell ref="WNY15:WNZ15"/>
    <mergeCell ref="WOA15:WOF15"/>
    <mergeCell ref="WOG15:WOJ15"/>
    <mergeCell ref="WOK15:WOL15"/>
    <mergeCell ref="WOM15:WON15"/>
    <mergeCell ref="WOO15:WOP15"/>
    <mergeCell ref="WOQ15:WOV15"/>
    <mergeCell ref="WMQ15:WMR15"/>
    <mergeCell ref="WMS15:WMT15"/>
    <mergeCell ref="WMU15:WMZ15"/>
    <mergeCell ref="WNA15:WND15"/>
    <mergeCell ref="WNE15:WNF15"/>
    <mergeCell ref="WNG15:WNH15"/>
    <mergeCell ref="WNI15:WNJ15"/>
    <mergeCell ref="WNK15:WNP15"/>
    <mergeCell ref="WNQ15:WNT15"/>
    <mergeCell ref="WLM15:WLN15"/>
    <mergeCell ref="WLO15:WLT15"/>
    <mergeCell ref="WLU15:WLX15"/>
    <mergeCell ref="WLY15:WLZ15"/>
    <mergeCell ref="WMA15:WMB15"/>
    <mergeCell ref="WMC15:WMD15"/>
    <mergeCell ref="WME15:WMJ15"/>
    <mergeCell ref="WMK15:WMN15"/>
    <mergeCell ref="WMO15:WMP15"/>
    <mergeCell ref="WKI15:WKN15"/>
    <mergeCell ref="WKO15:WKR15"/>
    <mergeCell ref="WKS15:WKT15"/>
    <mergeCell ref="WKU15:WKV15"/>
    <mergeCell ref="WKW15:WKX15"/>
    <mergeCell ref="WKY15:WLD15"/>
    <mergeCell ref="WLE15:WLH15"/>
    <mergeCell ref="WLI15:WLJ15"/>
    <mergeCell ref="WLK15:WLL15"/>
    <mergeCell ref="WJI15:WJL15"/>
    <mergeCell ref="WJM15:WJN15"/>
    <mergeCell ref="WJO15:WJP15"/>
    <mergeCell ref="WJQ15:WJR15"/>
    <mergeCell ref="WJS15:WJX15"/>
    <mergeCell ref="WJY15:WKB15"/>
    <mergeCell ref="WKC15:WKD15"/>
    <mergeCell ref="WKE15:WKF15"/>
    <mergeCell ref="WKG15:WKH15"/>
    <mergeCell ref="WIG15:WIH15"/>
    <mergeCell ref="WII15:WIJ15"/>
    <mergeCell ref="WIK15:WIL15"/>
    <mergeCell ref="WIM15:WIR15"/>
    <mergeCell ref="WIS15:WIV15"/>
    <mergeCell ref="WIW15:WIX15"/>
    <mergeCell ref="WIY15:WIZ15"/>
    <mergeCell ref="WJA15:WJB15"/>
    <mergeCell ref="WJC15:WJH15"/>
    <mergeCell ref="WHC15:WHD15"/>
    <mergeCell ref="WHE15:WHF15"/>
    <mergeCell ref="WHG15:WHL15"/>
    <mergeCell ref="WHM15:WHP15"/>
    <mergeCell ref="WHQ15:WHR15"/>
    <mergeCell ref="WHS15:WHT15"/>
    <mergeCell ref="WHU15:WHV15"/>
    <mergeCell ref="WHW15:WIB15"/>
    <mergeCell ref="WIC15:WIF15"/>
    <mergeCell ref="WFY15:WFZ15"/>
    <mergeCell ref="WGA15:WGF15"/>
    <mergeCell ref="WGG15:WGJ15"/>
    <mergeCell ref="WGK15:WGL15"/>
    <mergeCell ref="WGM15:WGN15"/>
    <mergeCell ref="WGO15:WGP15"/>
    <mergeCell ref="WGQ15:WGV15"/>
    <mergeCell ref="WGW15:WGZ15"/>
    <mergeCell ref="WHA15:WHB15"/>
    <mergeCell ref="WEU15:WEZ15"/>
    <mergeCell ref="WFA15:WFD15"/>
    <mergeCell ref="WFE15:WFF15"/>
    <mergeCell ref="WFG15:WFH15"/>
    <mergeCell ref="WFI15:WFJ15"/>
    <mergeCell ref="WFK15:WFP15"/>
    <mergeCell ref="WFQ15:WFT15"/>
    <mergeCell ref="WFU15:WFV15"/>
    <mergeCell ref="WFW15:WFX15"/>
    <mergeCell ref="WDU15:WDX15"/>
    <mergeCell ref="WDY15:WDZ15"/>
    <mergeCell ref="WEA15:WEB15"/>
    <mergeCell ref="WEC15:WED15"/>
    <mergeCell ref="WEE15:WEJ15"/>
    <mergeCell ref="WEK15:WEN15"/>
    <mergeCell ref="WEO15:WEP15"/>
    <mergeCell ref="WEQ15:WER15"/>
    <mergeCell ref="WES15:WET15"/>
    <mergeCell ref="WCS15:WCT15"/>
    <mergeCell ref="WCU15:WCV15"/>
    <mergeCell ref="WCW15:WCX15"/>
    <mergeCell ref="WCY15:WDD15"/>
    <mergeCell ref="WDE15:WDH15"/>
    <mergeCell ref="WDI15:WDJ15"/>
    <mergeCell ref="WDK15:WDL15"/>
    <mergeCell ref="WDM15:WDN15"/>
    <mergeCell ref="WDO15:WDT15"/>
    <mergeCell ref="WBO15:WBP15"/>
    <mergeCell ref="WBQ15:WBR15"/>
    <mergeCell ref="WBS15:WBX15"/>
    <mergeCell ref="WBY15:WCB15"/>
    <mergeCell ref="WCC15:WCD15"/>
    <mergeCell ref="WCE15:WCF15"/>
    <mergeCell ref="WCG15:WCH15"/>
    <mergeCell ref="WCI15:WCN15"/>
    <mergeCell ref="WCO15:WCR15"/>
    <mergeCell ref="WAK15:WAL15"/>
    <mergeCell ref="WAM15:WAR15"/>
    <mergeCell ref="WAS15:WAV15"/>
    <mergeCell ref="WAW15:WAX15"/>
    <mergeCell ref="WAY15:WAZ15"/>
    <mergeCell ref="WBA15:WBB15"/>
    <mergeCell ref="WBC15:WBH15"/>
    <mergeCell ref="WBI15:WBL15"/>
    <mergeCell ref="WBM15:WBN15"/>
    <mergeCell ref="VZG15:VZL15"/>
    <mergeCell ref="VZM15:VZP15"/>
    <mergeCell ref="VZQ15:VZR15"/>
    <mergeCell ref="VZS15:VZT15"/>
    <mergeCell ref="VZU15:VZV15"/>
    <mergeCell ref="VZW15:WAB15"/>
    <mergeCell ref="WAC15:WAF15"/>
    <mergeCell ref="WAG15:WAH15"/>
    <mergeCell ref="WAI15:WAJ15"/>
    <mergeCell ref="VYG15:VYJ15"/>
    <mergeCell ref="VYK15:VYL15"/>
    <mergeCell ref="VYM15:VYN15"/>
    <mergeCell ref="VYO15:VYP15"/>
    <mergeCell ref="VYQ15:VYV15"/>
    <mergeCell ref="VYW15:VYZ15"/>
    <mergeCell ref="VZA15:VZB15"/>
    <mergeCell ref="VZC15:VZD15"/>
    <mergeCell ref="VZE15:VZF15"/>
    <mergeCell ref="VXE15:VXF15"/>
    <mergeCell ref="VXG15:VXH15"/>
    <mergeCell ref="VXI15:VXJ15"/>
    <mergeCell ref="VXK15:VXP15"/>
    <mergeCell ref="VXQ15:VXT15"/>
    <mergeCell ref="VXU15:VXV15"/>
    <mergeCell ref="VXW15:VXX15"/>
    <mergeCell ref="VXY15:VXZ15"/>
    <mergeCell ref="VYA15:VYF15"/>
    <mergeCell ref="VWA15:VWB15"/>
    <mergeCell ref="VWC15:VWD15"/>
    <mergeCell ref="VWE15:VWJ15"/>
    <mergeCell ref="VWK15:VWN15"/>
    <mergeCell ref="VWO15:VWP15"/>
    <mergeCell ref="VWQ15:VWR15"/>
    <mergeCell ref="VWS15:VWT15"/>
    <mergeCell ref="VWU15:VWZ15"/>
    <mergeCell ref="VXA15:VXD15"/>
    <mergeCell ref="VUW15:VUX15"/>
    <mergeCell ref="VUY15:VVD15"/>
    <mergeCell ref="VVE15:VVH15"/>
    <mergeCell ref="VVI15:VVJ15"/>
    <mergeCell ref="VVK15:VVL15"/>
    <mergeCell ref="VVM15:VVN15"/>
    <mergeCell ref="VVO15:VVT15"/>
    <mergeCell ref="VVU15:VVX15"/>
    <mergeCell ref="VVY15:VVZ15"/>
    <mergeCell ref="VTS15:VTX15"/>
    <mergeCell ref="VTY15:VUB15"/>
    <mergeCell ref="VUC15:VUD15"/>
    <mergeCell ref="VUE15:VUF15"/>
    <mergeCell ref="VUG15:VUH15"/>
    <mergeCell ref="VUI15:VUN15"/>
    <mergeCell ref="VUO15:VUR15"/>
    <mergeCell ref="VUS15:VUT15"/>
    <mergeCell ref="VUU15:VUV15"/>
    <mergeCell ref="VSS15:VSV15"/>
    <mergeCell ref="VSW15:VSX15"/>
    <mergeCell ref="VSY15:VSZ15"/>
    <mergeCell ref="VTA15:VTB15"/>
    <mergeCell ref="VTC15:VTH15"/>
    <mergeCell ref="VTI15:VTL15"/>
    <mergeCell ref="VTM15:VTN15"/>
    <mergeCell ref="VTO15:VTP15"/>
    <mergeCell ref="VTQ15:VTR15"/>
    <mergeCell ref="VRQ15:VRR15"/>
    <mergeCell ref="VRS15:VRT15"/>
    <mergeCell ref="VRU15:VRV15"/>
    <mergeCell ref="VRW15:VSB15"/>
    <mergeCell ref="VSC15:VSF15"/>
    <mergeCell ref="VSG15:VSH15"/>
    <mergeCell ref="VSI15:VSJ15"/>
    <mergeCell ref="VSK15:VSL15"/>
    <mergeCell ref="VSM15:VSR15"/>
    <mergeCell ref="VQM15:VQN15"/>
    <mergeCell ref="VQO15:VQP15"/>
    <mergeCell ref="VQQ15:VQV15"/>
    <mergeCell ref="VQW15:VQZ15"/>
    <mergeCell ref="VRA15:VRB15"/>
    <mergeCell ref="VRC15:VRD15"/>
    <mergeCell ref="VRE15:VRF15"/>
    <mergeCell ref="VRG15:VRL15"/>
    <mergeCell ref="VRM15:VRP15"/>
    <mergeCell ref="VPI15:VPJ15"/>
    <mergeCell ref="VPK15:VPP15"/>
    <mergeCell ref="VPQ15:VPT15"/>
    <mergeCell ref="VPU15:VPV15"/>
    <mergeCell ref="VPW15:VPX15"/>
    <mergeCell ref="VPY15:VPZ15"/>
    <mergeCell ref="VQA15:VQF15"/>
    <mergeCell ref="VQG15:VQJ15"/>
    <mergeCell ref="VQK15:VQL15"/>
    <mergeCell ref="VOE15:VOJ15"/>
    <mergeCell ref="VOK15:VON15"/>
    <mergeCell ref="VOO15:VOP15"/>
    <mergeCell ref="VOQ15:VOR15"/>
    <mergeCell ref="VOS15:VOT15"/>
    <mergeCell ref="VOU15:VOZ15"/>
    <mergeCell ref="VPA15:VPD15"/>
    <mergeCell ref="VPE15:VPF15"/>
    <mergeCell ref="VPG15:VPH15"/>
    <mergeCell ref="VNE15:VNH15"/>
    <mergeCell ref="VNI15:VNJ15"/>
    <mergeCell ref="VNK15:VNL15"/>
    <mergeCell ref="VNM15:VNN15"/>
    <mergeCell ref="VNO15:VNT15"/>
    <mergeCell ref="VNU15:VNX15"/>
    <mergeCell ref="VNY15:VNZ15"/>
    <mergeCell ref="VOA15:VOB15"/>
    <mergeCell ref="VOC15:VOD15"/>
    <mergeCell ref="VMC15:VMD15"/>
    <mergeCell ref="VME15:VMF15"/>
    <mergeCell ref="VMG15:VMH15"/>
    <mergeCell ref="VMI15:VMN15"/>
    <mergeCell ref="VMO15:VMR15"/>
    <mergeCell ref="VMS15:VMT15"/>
    <mergeCell ref="VMU15:VMV15"/>
    <mergeCell ref="VMW15:VMX15"/>
    <mergeCell ref="VMY15:VND15"/>
    <mergeCell ref="VKY15:VKZ15"/>
    <mergeCell ref="VLA15:VLB15"/>
    <mergeCell ref="VLC15:VLH15"/>
    <mergeCell ref="VLI15:VLL15"/>
    <mergeCell ref="VLM15:VLN15"/>
    <mergeCell ref="VLO15:VLP15"/>
    <mergeCell ref="VLQ15:VLR15"/>
    <mergeCell ref="VLS15:VLX15"/>
    <mergeCell ref="VLY15:VMB15"/>
    <mergeCell ref="VJU15:VJV15"/>
    <mergeCell ref="VJW15:VKB15"/>
    <mergeCell ref="VKC15:VKF15"/>
    <mergeCell ref="VKG15:VKH15"/>
    <mergeCell ref="VKI15:VKJ15"/>
    <mergeCell ref="VKK15:VKL15"/>
    <mergeCell ref="VKM15:VKR15"/>
    <mergeCell ref="VKS15:VKV15"/>
    <mergeCell ref="VKW15:VKX15"/>
    <mergeCell ref="VIQ15:VIV15"/>
    <mergeCell ref="VIW15:VIZ15"/>
    <mergeCell ref="VJA15:VJB15"/>
    <mergeCell ref="VJC15:VJD15"/>
    <mergeCell ref="VJE15:VJF15"/>
    <mergeCell ref="VJG15:VJL15"/>
    <mergeCell ref="VJM15:VJP15"/>
    <mergeCell ref="VJQ15:VJR15"/>
    <mergeCell ref="VJS15:VJT15"/>
    <mergeCell ref="VHQ15:VHT15"/>
    <mergeCell ref="VHU15:VHV15"/>
    <mergeCell ref="VHW15:VHX15"/>
    <mergeCell ref="VHY15:VHZ15"/>
    <mergeCell ref="VIA15:VIF15"/>
    <mergeCell ref="VIG15:VIJ15"/>
    <mergeCell ref="VIK15:VIL15"/>
    <mergeCell ref="VIM15:VIN15"/>
    <mergeCell ref="VIO15:VIP15"/>
    <mergeCell ref="VGO15:VGP15"/>
    <mergeCell ref="VGQ15:VGR15"/>
    <mergeCell ref="VGS15:VGT15"/>
    <mergeCell ref="VGU15:VGZ15"/>
    <mergeCell ref="VHA15:VHD15"/>
    <mergeCell ref="VHE15:VHF15"/>
    <mergeCell ref="VHG15:VHH15"/>
    <mergeCell ref="VHI15:VHJ15"/>
    <mergeCell ref="VHK15:VHP15"/>
    <mergeCell ref="VFK15:VFL15"/>
    <mergeCell ref="VFM15:VFN15"/>
    <mergeCell ref="VFO15:VFT15"/>
    <mergeCell ref="VFU15:VFX15"/>
    <mergeCell ref="VFY15:VFZ15"/>
    <mergeCell ref="VGA15:VGB15"/>
    <mergeCell ref="VGC15:VGD15"/>
    <mergeCell ref="VGE15:VGJ15"/>
    <mergeCell ref="VGK15:VGN15"/>
    <mergeCell ref="VEG15:VEH15"/>
    <mergeCell ref="VEI15:VEN15"/>
    <mergeCell ref="VEO15:VER15"/>
    <mergeCell ref="VES15:VET15"/>
    <mergeCell ref="VEU15:VEV15"/>
    <mergeCell ref="VEW15:VEX15"/>
    <mergeCell ref="VEY15:VFD15"/>
    <mergeCell ref="VFE15:VFH15"/>
    <mergeCell ref="VFI15:VFJ15"/>
    <mergeCell ref="VDC15:VDH15"/>
    <mergeCell ref="VDI15:VDL15"/>
    <mergeCell ref="VDM15:VDN15"/>
    <mergeCell ref="VDO15:VDP15"/>
    <mergeCell ref="VDQ15:VDR15"/>
    <mergeCell ref="VDS15:VDX15"/>
    <mergeCell ref="VDY15:VEB15"/>
    <mergeCell ref="VEC15:VED15"/>
    <mergeCell ref="VEE15:VEF15"/>
    <mergeCell ref="VCC15:VCF15"/>
    <mergeCell ref="VCG15:VCH15"/>
    <mergeCell ref="VCI15:VCJ15"/>
    <mergeCell ref="VCK15:VCL15"/>
    <mergeCell ref="VCM15:VCR15"/>
    <mergeCell ref="VCS15:VCV15"/>
    <mergeCell ref="VCW15:VCX15"/>
    <mergeCell ref="VCY15:VCZ15"/>
    <mergeCell ref="VDA15:VDB15"/>
    <mergeCell ref="VBA15:VBB15"/>
    <mergeCell ref="VBC15:VBD15"/>
    <mergeCell ref="VBE15:VBF15"/>
    <mergeCell ref="VBG15:VBL15"/>
    <mergeCell ref="VBM15:VBP15"/>
    <mergeCell ref="VBQ15:VBR15"/>
    <mergeCell ref="VBS15:VBT15"/>
    <mergeCell ref="VBU15:VBV15"/>
    <mergeCell ref="VBW15:VCB15"/>
    <mergeCell ref="UZW15:UZX15"/>
    <mergeCell ref="UZY15:UZZ15"/>
    <mergeCell ref="VAA15:VAF15"/>
    <mergeCell ref="VAG15:VAJ15"/>
    <mergeCell ref="VAK15:VAL15"/>
    <mergeCell ref="VAM15:VAN15"/>
    <mergeCell ref="VAO15:VAP15"/>
    <mergeCell ref="VAQ15:VAV15"/>
    <mergeCell ref="VAW15:VAZ15"/>
    <mergeCell ref="UYS15:UYT15"/>
    <mergeCell ref="UYU15:UYZ15"/>
    <mergeCell ref="UZA15:UZD15"/>
    <mergeCell ref="UZE15:UZF15"/>
    <mergeCell ref="UZG15:UZH15"/>
    <mergeCell ref="UZI15:UZJ15"/>
    <mergeCell ref="UZK15:UZP15"/>
    <mergeCell ref="UZQ15:UZT15"/>
    <mergeCell ref="UZU15:UZV15"/>
    <mergeCell ref="UXO15:UXT15"/>
    <mergeCell ref="UXU15:UXX15"/>
    <mergeCell ref="UXY15:UXZ15"/>
    <mergeCell ref="UYA15:UYB15"/>
    <mergeCell ref="UYC15:UYD15"/>
    <mergeCell ref="UYE15:UYJ15"/>
    <mergeCell ref="UYK15:UYN15"/>
    <mergeCell ref="UYO15:UYP15"/>
    <mergeCell ref="UYQ15:UYR15"/>
    <mergeCell ref="UWO15:UWR15"/>
    <mergeCell ref="UWS15:UWT15"/>
    <mergeCell ref="UWU15:UWV15"/>
    <mergeCell ref="UWW15:UWX15"/>
    <mergeCell ref="UWY15:UXD15"/>
    <mergeCell ref="UXE15:UXH15"/>
    <mergeCell ref="UXI15:UXJ15"/>
    <mergeCell ref="UXK15:UXL15"/>
    <mergeCell ref="UXM15:UXN15"/>
    <mergeCell ref="UVM15:UVN15"/>
    <mergeCell ref="UVO15:UVP15"/>
    <mergeCell ref="UVQ15:UVR15"/>
    <mergeCell ref="UVS15:UVX15"/>
    <mergeCell ref="UVY15:UWB15"/>
    <mergeCell ref="UWC15:UWD15"/>
    <mergeCell ref="UWE15:UWF15"/>
    <mergeCell ref="UWG15:UWH15"/>
    <mergeCell ref="UWI15:UWN15"/>
    <mergeCell ref="UUI15:UUJ15"/>
    <mergeCell ref="UUK15:UUL15"/>
    <mergeCell ref="UUM15:UUR15"/>
    <mergeCell ref="UUS15:UUV15"/>
    <mergeCell ref="UUW15:UUX15"/>
    <mergeCell ref="UUY15:UUZ15"/>
    <mergeCell ref="UVA15:UVB15"/>
    <mergeCell ref="UVC15:UVH15"/>
    <mergeCell ref="UVI15:UVL15"/>
    <mergeCell ref="UTE15:UTF15"/>
    <mergeCell ref="UTG15:UTL15"/>
    <mergeCell ref="UTM15:UTP15"/>
    <mergeCell ref="UTQ15:UTR15"/>
    <mergeCell ref="UTS15:UTT15"/>
    <mergeCell ref="UTU15:UTV15"/>
    <mergeCell ref="UTW15:UUB15"/>
    <mergeCell ref="UUC15:UUF15"/>
    <mergeCell ref="UUG15:UUH15"/>
    <mergeCell ref="USA15:USF15"/>
    <mergeCell ref="USG15:USJ15"/>
    <mergeCell ref="USK15:USL15"/>
    <mergeCell ref="USM15:USN15"/>
    <mergeCell ref="USO15:USP15"/>
    <mergeCell ref="USQ15:USV15"/>
    <mergeCell ref="USW15:USZ15"/>
    <mergeCell ref="UTA15:UTB15"/>
    <mergeCell ref="UTC15:UTD15"/>
    <mergeCell ref="URA15:URD15"/>
    <mergeCell ref="URE15:URF15"/>
    <mergeCell ref="URG15:URH15"/>
    <mergeCell ref="URI15:URJ15"/>
    <mergeCell ref="URK15:URP15"/>
    <mergeCell ref="URQ15:URT15"/>
    <mergeCell ref="URU15:URV15"/>
    <mergeCell ref="URW15:URX15"/>
    <mergeCell ref="URY15:URZ15"/>
    <mergeCell ref="UPY15:UPZ15"/>
    <mergeCell ref="UQA15:UQB15"/>
    <mergeCell ref="UQC15:UQD15"/>
    <mergeCell ref="UQE15:UQJ15"/>
    <mergeCell ref="UQK15:UQN15"/>
    <mergeCell ref="UQO15:UQP15"/>
    <mergeCell ref="UQQ15:UQR15"/>
    <mergeCell ref="UQS15:UQT15"/>
    <mergeCell ref="UQU15:UQZ15"/>
    <mergeCell ref="UOU15:UOV15"/>
    <mergeCell ref="UOW15:UOX15"/>
    <mergeCell ref="UOY15:UPD15"/>
    <mergeCell ref="UPE15:UPH15"/>
    <mergeCell ref="UPI15:UPJ15"/>
    <mergeCell ref="UPK15:UPL15"/>
    <mergeCell ref="UPM15:UPN15"/>
    <mergeCell ref="UPO15:UPT15"/>
    <mergeCell ref="UPU15:UPX15"/>
    <mergeCell ref="UNQ15:UNR15"/>
    <mergeCell ref="UNS15:UNX15"/>
    <mergeCell ref="UNY15:UOB15"/>
    <mergeCell ref="UOC15:UOD15"/>
    <mergeCell ref="UOE15:UOF15"/>
    <mergeCell ref="UOG15:UOH15"/>
    <mergeCell ref="UOI15:UON15"/>
    <mergeCell ref="UOO15:UOR15"/>
    <mergeCell ref="UOS15:UOT15"/>
    <mergeCell ref="UMM15:UMR15"/>
    <mergeCell ref="UMS15:UMV15"/>
    <mergeCell ref="UMW15:UMX15"/>
    <mergeCell ref="UMY15:UMZ15"/>
    <mergeCell ref="UNA15:UNB15"/>
    <mergeCell ref="UNC15:UNH15"/>
    <mergeCell ref="UNI15:UNL15"/>
    <mergeCell ref="UNM15:UNN15"/>
    <mergeCell ref="UNO15:UNP15"/>
    <mergeCell ref="ULM15:ULP15"/>
    <mergeCell ref="ULQ15:ULR15"/>
    <mergeCell ref="ULS15:ULT15"/>
    <mergeCell ref="ULU15:ULV15"/>
    <mergeCell ref="ULW15:UMB15"/>
    <mergeCell ref="UMC15:UMF15"/>
    <mergeCell ref="UMG15:UMH15"/>
    <mergeCell ref="UMI15:UMJ15"/>
    <mergeCell ref="UMK15:UML15"/>
    <mergeCell ref="UKK15:UKL15"/>
    <mergeCell ref="UKM15:UKN15"/>
    <mergeCell ref="UKO15:UKP15"/>
    <mergeCell ref="UKQ15:UKV15"/>
    <mergeCell ref="UKW15:UKZ15"/>
    <mergeCell ref="ULA15:ULB15"/>
    <mergeCell ref="ULC15:ULD15"/>
    <mergeCell ref="ULE15:ULF15"/>
    <mergeCell ref="ULG15:ULL15"/>
    <mergeCell ref="UJG15:UJH15"/>
    <mergeCell ref="UJI15:UJJ15"/>
    <mergeCell ref="UJK15:UJP15"/>
    <mergeCell ref="UJQ15:UJT15"/>
    <mergeCell ref="UJU15:UJV15"/>
    <mergeCell ref="UJW15:UJX15"/>
    <mergeCell ref="UJY15:UJZ15"/>
    <mergeCell ref="UKA15:UKF15"/>
    <mergeCell ref="UKG15:UKJ15"/>
    <mergeCell ref="UIC15:UID15"/>
    <mergeCell ref="UIE15:UIJ15"/>
    <mergeCell ref="UIK15:UIN15"/>
    <mergeCell ref="UIO15:UIP15"/>
    <mergeCell ref="UIQ15:UIR15"/>
    <mergeCell ref="UIS15:UIT15"/>
    <mergeCell ref="UIU15:UIZ15"/>
    <mergeCell ref="UJA15:UJD15"/>
    <mergeCell ref="UJE15:UJF15"/>
    <mergeCell ref="UGY15:UHD15"/>
    <mergeCell ref="UHE15:UHH15"/>
    <mergeCell ref="UHI15:UHJ15"/>
    <mergeCell ref="UHK15:UHL15"/>
    <mergeCell ref="UHM15:UHN15"/>
    <mergeCell ref="UHO15:UHT15"/>
    <mergeCell ref="UHU15:UHX15"/>
    <mergeCell ref="UHY15:UHZ15"/>
    <mergeCell ref="UIA15:UIB15"/>
    <mergeCell ref="UFY15:UGB15"/>
    <mergeCell ref="UGC15:UGD15"/>
    <mergeCell ref="UGE15:UGF15"/>
    <mergeCell ref="UGG15:UGH15"/>
    <mergeCell ref="UGI15:UGN15"/>
    <mergeCell ref="UGO15:UGR15"/>
    <mergeCell ref="UGS15:UGT15"/>
    <mergeCell ref="UGU15:UGV15"/>
    <mergeCell ref="UGW15:UGX15"/>
    <mergeCell ref="UEW15:UEX15"/>
    <mergeCell ref="UEY15:UEZ15"/>
    <mergeCell ref="UFA15:UFB15"/>
    <mergeCell ref="UFC15:UFH15"/>
    <mergeCell ref="UFI15:UFL15"/>
    <mergeCell ref="UFM15:UFN15"/>
    <mergeCell ref="UFO15:UFP15"/>
    <mergeCell ref="UFQ15:UFR15"/>
    <mergeCell ref="UFS15:UFX15"/>
    <mergeCell ref="UDS15:UDT15"/>
    <mergeCell ref="UDU15:UDV15"/>
    <mergeCell ref="UDW15:UEB15"/>
    <mergeCell ref="UEC15:UEF15"/>
    <mergeCell ref="UEG15:UEH15"/>
    <mergeCell ref="UEI15:UEJ15"/>
    <mergeCell ref="UEK15:UEL15"/>
    <mergeCell ref="UEM15:UER15"/>
    <mergeCell ref="UES15:UEV15"/>
    <mergeCell ref="UCO15:UCP15"/>
    <mergeCell ref="UCQ15:UCV15"/>
    <mergeCell ref="UCW15:UCZ15"/>
    <mergeCell ref="UDA15:UDB15"/>
    <mergeCell ref="UDC15:UDD15"/>
    <mergeCell ref="UDE15:UDF15"/>
    <mergeCell ref="UDG15:UDL15"/>
    <mergeCell ref="UDM15:UDP15"/>
    <mergeCell ref="UDQ15:UDR15"/>
    <mergeCell ref="UBK15:UBP15"/>
    <mergeCell ref="UBQ15:UBT15"/>
    <mergeCell ref="UBU15:UBV15"/>
    <mergeCell ref="UBW15:UBX15"/>
    <mergeCell ref="UBY15:UBZ15"/>
    <mergeCell ref="UCA15:UCF15"/>
    <mergeCell ref="UCG15:UCJ15"/>
    <mergeCell ref="UCK15:UCL15"/>
    <mergeCell ref="UCM15:UCN15"/>
    <mergeCell ref="UAK15:UAN15"/>
    <mergeCell ref="UAO15:UAP15"/>
    <mergeCell ref="UAQ15:UAR15"/>
    <mergeCell ref="UAS15:UAT15"/>
    <mergeCell ref="UAU15:UAZ15"/>
    <mergeCell ref="UBA15:UBD15"/>
    <mergeCell ref="UBE15:UBF15"/>
    <mergeCell ref="UBG15:UBH15"/>
    <mergeCell ref="UBI15:UBJ15"/>
    <mergeCell ref="TZI15:TZJ15"/>
    <mergeCell ref="TZK15:TZL15"/>
    <mergeCell ref="TZM15:TZN15"/>
    <mergeCell ref="TZO15:TZT15"/>
    <mergeCell ref="TZU15:TZX15"/>
    <mergeCell ref="TZY15:TZZ15"/>
    <mergeCell ref="UAA15:UAB15"/>
    <mergeCell ref="UAC15:UAD15"/>
    <mergeCell ref="UAE15:UAJ15"/>
    <mergeCell ref="TYE15:TYF15"/>
    <mergeCell ref="TYG15:TYH15"/>
    <mergeCell ref="TYI15:TYN15"/>
    <mergeCell ref="TYO15:TYR15"/>
    <mergeCell ref="TYS15:TYT15"/>
    <mergeCell ref="TYU15:TYV15"/>
    <mergeCell ref="TYW15:TYX15"/>
    <mergeCell ref="TYY15:TZD15"/>
    <mergeCell ref="TZE15:TZH15"/>
    <mergeCell ref="TXA15:TXB15"/>
    <mergeCell ref="TXC15:TXH15"/>
    <mergeCell ref="TXI15:TXL15"/>
    <mergeCell ref="TXM15:TXN15"/>
    <mergeCell ref="TXO15:TXP15"/>
    <mergeCell ref="TXQ15:TXR15"/>
    <mergeCell ref="TXS15:TXX15"/>
    <mergeCell ref="TXY15:TYB15"/>
    <mergeCell ref="TYC15:TYD15"/>
    <mergeCell ref="TVW15:TWB15"/>
    <mergeCell ref="TWC15:TWF15"/>
    <mergeCell ref="TWG15:TWH15"/>
    <mergeCell ref="TWI15:TWJ15"/>
    <mergeCell ref="TWK15:TWL15"/>
    <mergeCell ref="TWM15:TWR15"/>
    <mergeCell ref="TWS15:TWV15"/>
    <mergeCell ref="TWW15:TWX15"/>
    <mergeCell ref="TWY15:TWZ15"/>
    <mergeCell ref="TUW15:TUZ15"/>
    <mergeCell ref="TVA15:TVB15"/>
    <mergeCell ref="TVC15:TVD15"/>
    <mergeCell ref="TVE15:TVF15"/>
    <mergeCell ref="TVG15:TVL15"/>
    <mergeCell ref="TVM15:TVP15"/>
    <mergeCell ref="TVQ15:TVR15"/>
    <mergeCell ref="TVS15:TVT15"/>
    <mergeCell ref="TVU15:TVV15"/>
    <mergeCell ref="TTU15:TTV15"/>
    <mergeCell ref="TTW15:TTX15"/>
    <mergeCell ref="TTY15:TTZ15"/>
    <mergeCell ref="TUA15:TUF15"/>
    <mergeCell ref="TUG15:TUJ15"/>
    <mergeCell ref="TUK15:TUL15"/>
    <mergeCell ref="TUM15:TUN15"/>
    <mergeCell ref="TUO15:TUP15"/>
    <mergeCell ref="TUQ15:TUV15"/>
    <mergeCell ref="TSQ15:TSR15"/>
    <mergeCell ref="TSS15:TST15"/>
    <mergeCell ref="TSU15:TSZ15"/>
    <mergeCell ref="TTA15:TTD15"/>
    <mergeCell ref="TTE15:TTF15"/>
    <mergeCell ref="TTG15:TTH15"/>
    <mergeCell ref="TTI15:TTJ15"/>
    <mergeCell ref="TTK15:TTP15"/>
    <mergeCell ref="TTQ15:TTT15"/>
    <mergeCell ref="TRM15:TRN15"/>
    <mergeCell ref="TRO15:TRT15"/>
    <mergeCell ref="TRU15:TRX15"/>
    <mergeCell ref="TRY15:TRZ15"/>
    <mergeCell ref="TSA15:TSB15"/>
    <mergeCell ref="TSC15:TSD15"/>
    <mergeCell ref="TSE15:TSJ15"/>
    <mergeCell ref="TSK15:TSN15"/>
    <mergeCell ref="TSO15:TSP15"/>
    <mergeCell ref="TQI15:TQN15"/>
    <mergeCell ref="TQO15:TQR15"/>
    <mergeCell ref="TQS15:TQT15"/>
    <mergeCell ref="TQU15:TQV15"/>
    <mergeCell ref="TQW15:TQX15"/>
    <mergeCell ref="TQY15:TRD15"/>
    <mergeCell ref="TRE15:TRH15"/>
    <mergeCell ref="TRI15:TRJ15"/>
    <mergeCell ref="TRK15:TRL15"/>
    <mergeCell ref="TPI15:TPL15"/>
    <mergeCell ref="TPM15:TPN15"/>
    <mergeCell ref="TPO15:TPP15"/>
    <mergeCell ref="TPQ15:TPR15"/>
    <mergeCell ref="TPS15:TPX15"/>
    <mergeCell ref="TPY15:TQB15"/>
    <mergeCell ref="TQC15:TQD15"/>
    <mergeCell ref="TQE15:TQF15"/>
    <mergeCell ref="TQG15:TQH15"/>
    <mergeCell ref="TOG15:TOH15"/>
    <mergeCell ref="TOI15:TOJ15"/>
    <mergeCell ref="TOK15:TOL15"/>
    <mergeCell ref="TOM15:TOR15"/>
    <mergeCell ref="TOS15:TOV15"/>
    <mergeCell ref="TOW15:TOX15"/>
    <mergeCell ref="TOY15:TOZ15"/>
    <mergeCell ref="TPA15:TPB15"/>
    <mergeCell ref="TPC15:TPH15"/>
    <mergeCell ref="TNC15:TND15"/>
    <mergeCell ref="TNE15:TNF15"/>
    <mergeCell ref="TNG15:TNL15"/>
    <mergeCell ref="TNM15:TNP15"/>
    <mergeCell ref="TNQ15:TNR15"/>
    <mergeCell ref="TNS15:TNT15"/>
    <mergeCell ref="TNU15:TNV15"/>
    <mergeCell ref="TNW15:TOB15"/>
    <mergeCell ref="TOC15:TOF15"/>
    <mergeCell ref="TLY15:TLZ15"/>
    <mergeCell ref="TMA15:TMF15"/>
    <mergeCell ref="TMG15:TMJ15"/>
    <mergeCell ref="TMK15:TML15"/>
    <mergeCell ref="TMM15:TMN15"/>
    <mergeCell ref="TMO15:TMP15"/>
    <mergeCell ref="TMQ15:TMV15"/>
    <mergeCell ref="TMW15:TMZ15"/>
    <mergeCell ref="TNA15:TNB15"/>
    <mergeCell ref="TKU15:TKZ15"/>
    <mergeCell ref="TLA15:TLD15"/>
    <mergeCell ref="TLE15:TLF15"/>
    <mergeCell ref="TLG15:TLH15"/>
    <mergeCell ref="TLI15:TLJ15"/>
    <mergeCell ref="TLK15:TLP15"/>
    <mergeCell ref="TLQ15:TLT15"/>
    <mergeCell ref="TLU15:TLV15"/>
    <mergeCell ref="TLW15:TLX15"/>
    <mergeCell ref="TJU15:TJX15"/>
    <mergeCell ref="TJY15:TJZ15"/>
    <mergeCell ref="TKA15:TKB15"/>
    <mergeCell ref="TKC15:TKD15"/>
    <mergeCell ref="TKE15:TKJ15"/>
    <mergeCell ref="TKK15:TKN15"/>
    <mergeCell ref="TKO15:TKP15"/>
    <mergeCell ref="TKQ15:TKR15"/>
    <mergeCell ref="TKS15:TKT15"/>
    <mergeCell ref="TIS15:TIT15"/>
    <mergeCell ref="TIU15:TIV15"/>
    <mergeCell ref="TIW15:TIX15"/>
    <mergeCell ref="TIY15:TJD15"/>
    <mergeCell ref="TJE15:TJH15"/>
    <mergeCell ref="TJI15:TJJ15"/>
    <mergeCell ref="TJK15:TJL15"/>
    <mergeCell ref="TJM15:TJN15"/>
    <mergeCell ref="TJO15:TJT15"/>
    <mergeCell ref="THO15:THP15"/>
    <mergeCell ref="THQ15:THR15"/>
    <mergeCell ref="THS15:THX15"/>
    <mergeCell ref="THY15:TIB15"/>
    <mergeCell ref="TIC15:TID15"/>
    <mergeCell ref="TIE15:TIF15"/>
    <mergeCell ref="TIG15:TIH15"/>
    <mergeCell ref="TII15:TIN15"/>
    <mergeCell ref="TIO15:TIR15"/>
    <mergeCell ref="TGK15:TGL15"/>
    <mergeCell ref="TGM15:TGR15"/>
    <mergeCell ref="TGS15:TGV15"/>
    <mergeCell ref="TGW15:TGX15"/>
    <mergeCell ref="TGY15:TGZ15"/>
    <mergeCell ref="THA15:THB15"/>
    <mergeCell ref="THC15:THH15"/>
    <mergeCell ref="THI15:THL15"/>
    <mergeCell ref="THM15:THN15"/>
    <mergeCell ref="TFG15:TFL15"/>
    <mergeCell ref="TFM15:TFP15"/>
    <mergeCell ref="TFQ15:TFR15"/>
    <mergeCell ref="TFS15:TFT15"/>
    <mergeCell ref="TFU15:TFV15"/>
    <mergeCell ref="TFW15:TGB15"/>
    <mergeCell ref="TGC15:TGF15"/>
    <mergeCell ref="TGG15:TGH15"/>
    <mergeCell ref="TGI15:TGJ15"/>
    <mergeCell ref="TEG15:TEJ15"/>
    <mergeCell ref="TEK15:TEL15"/>
    <mergeCell ref="TEM15:TEN15"/>
    <mergeCell ref="TEO15:TEP15"/>
    <mergeCell ref="TEQ15:TEV15"/>
    <mergeCell ref="TEW15:TEZ15"/>
    <mergeCell ref="TFA15:TFB15"/>
    <mergeCell ref="TFC15:TFD15"/>
    <mergeCell ref="TFE15:TFF15"/>
    <mergeCell ref="TDE15:TDF15"/>
    <mergeCell ref="TDG15:TDH15"/>
    <mergeCell ref="TDI15:TDJ15"/>
    <mergeCell ref="TDK15:TDP15"/>
    <mergeCell ref="TDQ15:TDT15"/>
    <mergeCell ref="TDU15:TDV15"/>
    <mergeCell ref="TDW15:TDX15"/>
    <mergeCell ref="TDY15:TDZ15"/>
    <mergeCell ref="TEA15:TEF15"/>
    <mergeCell ref="TCA15:TCB15"/>
    <mergeCell ref="TCC15:TCD15"/>
    <mergeCell ref="TCE15:TCJ15"/>
    <mergeCell ref="TCK15:TCN15"/>
    <mergeCell ref="TCO15:TCP15"/>
    <mergeCell ref="TCQ15:TCR15"/>
    <mergeCell ref="TCS15:TCT15"/>
    <mergeCell ref="TCU15:TCZ15"/>
    <mergeCell ref="TDA15:TDD15"/>
    <mergeCell ref="TAW15:TAX15"/>
    <mergeCell ref="TAY15:TBD15"/>
    <mergeCell ref="TBE15:TBH15"/>
    <mergeCell ref="TBI15:TBJ15"/>
    <mergeCell ref="TBK15:TBL15"/>
    <mergeCell ref="TBM15:TBN15"/>
    <mergeCell ref="TBO15:TBT15"/>
    <mergeCell ref="TBU15:TBX15"/>
    <mergeCell ref="TBY15:TBZ15"/>
    <mergeCell ref="SZS15:SZX15"/>
    <mergeCell ref="SZY15:TAB15"/>
    <mergeCell ref="TAC15:TAD15"/>
    <mergeCell ref="TAE15:TAF15"/>
    <mergeCell ref="TAG15:TAH15"/>
    <mergeCell ref="TAI15:TAN15"/>
    <mergeCell ref="TAO15:TAR15"/>
    <mergeCell ref="TAS15:TAT15"/>
    <mergeCell ref="TAU15:TAV15"/>
    <mergeCell ref="SYS15:SYV15"/>
    <mergeCell ref="SYW15:SYX15"/>
    <mergeCell ref="SYY15:SYZ15"/>
    <mergeCell ref="SZA15:SZB15"/>
    <mergeCell ref="SZC15:SZH15"/>
    <mergeCell ref="SZI15:SZL15"/>
    <mergeCell ref="SZM15:SZN15"/>
    <mergeCell ref="SZO15:SZP15"/>
    <mergeCell ref="SZQ15:SZR15"/>
    <mergeCell ref="SXQ15:SXR15"/>
    <mergeCell ref="SXS15:SXT15"/>
    <mergeCell ref="SXU15:SXV15"/>
    <mergeCell ref="SXW15:SYB15"/>
    <mergeCell ref="SYC15:SYF15"/>
    <mergeCell ref="SYG15:SYH15"/>
    <mergeCell ref="SYI15:SYJ15"/>
    <mergeCell ref="SYK15:SYL15"/>
    <mergeCell ref="SYM15:SYR15"/>
    <mergeCell ref="SWM15:SWN15"/>
    <mergeCell ref="SWO15:SWP15"/>
    <mergeCell ref="SWQ15:SWV15"/>
    <mergeCell ref="SWW15:SWZ15"/>
    <mergeCell ref="SXA15:SXB15"/>
    <mergeCell ref="SXC15:SXD15"/>
    <mergeCell ref="SXE15:SXF15"/>
    <mergeCell ref="SXG15:SXL15"/>
    <mergeCell ref="SXM15:SXP15"/>
    <mergeCell ref="SVI15:SVJ15"/>
    <mergeCell ref="SVK15:SVP15"/>
    <mergeCell ref="SVQ15:SVT15"/>
    <mergeCell ref="SVU15:SVV15"/>
    <mergeCell ref="SVW15:SVX15"/>
    <mergeCell ref="SVY15:SVZ15"/>
    <mergeCell ref="SWA15:SWF15"/>
    <mergeCell ref="SWG15:SWJ15"/>
    <mergeCell ref="SWK15:SWL15"/>
    <mergeCell ref="SUE15:SUJ15"/>
    <mergeCell ref="SUK15:SUN15"/>
    <mergeCell ref="SUO15:SUP15"/>
    <mergeCell ref="SUQ15:SUR15"/>
    <mergeCell ref="SUS15:SUT15"/>
    <mergeCell ref="SUU15:SUZ15"/>
    <mergeCell ref="SVA15:SVD15"/>
    <mergeCell ref="SVE15:SVF15"/>
    <mergeCell ref="SVG15:SVH15"/>
    <mergeCell ref="STE15:STH15"/>
    <mergeCell ref="STI15:STJ15"/>
    <mergeCell ref="STK15:STL15"/>
    <mergeCell ref="STM15:STN15"/>
    <mergeCell ref="STO15:STT15"/>
    <mergeCell ref="STU15:STX15"/>
    <mergeCell ref="STY15:STZ15"/>
    <mergeCell ref="SUA15:SUB15"/>
    <mergeCell ref="SUC15:SUD15"/>
    <mergeCell ref="SSC15:SSD15"/>
    <mergeCell ref="SSE15:SSF15"/>
    <mergeCell ref="SSG15:SSH15"/>
    <mergeCell ref="SSI15:SSN15"/>
    <mergeCell ref="SSO15:SSR15"/>
    <mergeCell ref="SSS15:SST15"/>
    <mergeCell ref="SSU15:SSV15"/>
    <mergeCell ref="SSW15:SSX15"/>
    <mergeCell ref="SSY15:STD15"/>
    <mergeCell ref="SQY15:SQZ15"/>
    <mergeCell ref="SRA15:SRB15"/>
    <mergeCell ref="SRC15:SRH15"/>
    <mergeCell ref="SRI15:SRL15"/>
    <mergeCell ref="SRM15:SRN15"/>
    <mergeCell ref="SRO15:SRP15"/>
    <mergeCell ref="SRQ15:SRR15"/>
    <mergeCell ref="SRS15:SRX15"/>
    <mergeCell ref="SRY15:SSB15"/>
    <mergeCell ref="SPU15:SPV15"/>
    <mergeCell ref="SPW15:SQB15"/>
    <mergeCell ref="SQC15:SQF15"/>
    <mergeCell ref="SQG15:SQH15"/>
    <mergeCell ref="SQI15:SQJ15"/>
    <mergeCell ref="SQK15:SQL15"/>
    <mergeCell ref="SQM15:SQR15"/>
    <mergeCell ref="SQS15:SQV15"/>
    <mergeCell ref="SQW15:SQX15"/>
    <mergeCell ref="SOQ15:SOV15"/>
    <mergeCell ref="SOW15:SOZ15"/>
    <mergeCell ref="SPA15:SPB15"/>
    <mergeCell ref="SPC15:SPD15"/>
    <mergeCell ref="SPE15:SPF15"/>
    <mergeCell ref="SPG15:SPL15"/>
    <mergeCell ref="SPM15:SPP15"/>
    <mergeCell ref="SPQ15:SPR15"/>
    <mergeCell ref="SPS15:SPT15"/>
    <mergeCell ref="SNQ15:SNT15"/>
    <mergeCell ref="SNU15:SNV15"/>
    <mergeCell ref="SNW15:SNX15"/>
    <mergeCell ref="SNY15:SNZ15"/>
    <mergeCell ref="SOA15:SOF15"/>
    <mergeCell ref="SOG15:SOJ15"/>
    <mergeCell ref="SOK15:SOL15"/>
    <mergeCell ref="SOM15:SON15"/>
    <mergeCell ref="SOO15:SOP15"/>
    <mergeCell ref="SMO15:SMP15"/>
    <mergeCell ref="SMQ15:SMR15"/>
    <mergeCell ref="SMS15:SMT15"/>
    <mergeCell ref="SMU15:SMZ15"/>
    <mergeCell ref="SNA15:SND15"/>
    <mergeCell ref="SNE15:SNF15"/>
    <mergeCell ref="SNG15:SNH15"/>
    <mergeCell ref="SNI15:SNJ15"/>
    <mergeCell ref="SNK15:SNP15"/>
    <mergeCell ref="SLK15:SLL15"/>
    <mergeCell ref="SLM15:SLN15"/>
    <mergeCell ref="SLO15:SLT15"/>
    <mergeCell ref="SLU15:SLX15"/>
    <mergeCell ref="SLY15:SLZ15"/>
    <mergeCell ref="SMA15:SMB15"/>
    <mergeCell ref="SMC15:SMD15"/>
    <mergeCell ref="SME15:SMJ15"/>
    <mergeCell ref="SMK15:SMN15"/>
    <mergeCell ref="SKG15:SKH15"/>
    <mergeCell ref="SKI15:SKN15"/>
    <mergeCell ref="SKO15:SKR15"/>
    <mergeCell ref="SKS15:SKT15"/>
    <mergeCell ref="SKU15:SKV15"/>
    <mergeCell ref="SKW15:SKX15"/>
    <mergeCell ref="SKY15:SLD15"/>
    <mergeCell ref="SLE15:SLH15"/>
    <mergeCell ref="SLI15:SLJ15"/>
    <mergeCell ref="SJC15:SJH15"/>
    <mergeCell ref="SJI15:SJL15"/>
    <mergeCell ref="SJM15:SJN15"/>
    <mergeCell ref="SJO15:SJP15"/>
    <mergeCell ref="SJQ15:SJR15"/>
    <mergeCell ref="SJS15:SJX15"/>
    <mergeCell ref="SJY15:SKB15"/>
    <mergeCell ref="SKC15:SKD15"/>
    <mergeCell ref="SKE15:SKF15"/>
    <mergeCell ref="SIC15:SIF15"/>
    <mergeCell ref="SIG15:SIH15"/>
    <mergeCell ref="SII15:SIJ15"/>
    <mergeCell ref="SIK15:SIL15"/>
    <mergeCell ref="SIM15:SIR15"/>
    <mergeCell ref="SIS15:SIV15"/>
    <mergeCell ref="SIW15:SIX15"/>
    <mergeCell ref="SIY15:SIZ15"/>
    <mergeCell ref="SJA15:SJB15"/>
    <mergeCell ref="SHA15:SHB15"/>
    <mergeCell ref="SHC15:SHD15"/>
    <mergeCell ref="SHE15:SHF15"/>
    <mergeCell ref="SHG15:SHL15"/>
    <mergeCell ref="SHM15:SHP15"/>
    <mergeCell ref="SHQ15:SHR15"/>
    <mergeCell ref="SHS15:SHT15"/>
    <mergeCell ref="SHU15:SHV15"/>
    <mergeCell ref="SHW15:SIB15"/>
    <mergeCell ref="SFW15:SFX15"/>
    <mergeCell ref="SFY15:SFZ15"/>
    <mergeCell ref="SGA15:SGF15"/>
    <mergeCell ref="SGG15:SGJ15"/>
    <mergeCell ref="SGK15:SGL15"/>
    <mergeCell ref="SGM15:SGN15"/>
    <mergeCell ref="SGO15:SGP15"/>
    <mergeCell ref="SGQ15:SGV15"/>
    <mergeCell ref="SGW15:SGZ15"/>
    <mergeCell ref="SES15:SET15"/>
    <mergeCell ref="SEU15:SEZ15"/>
    <mergeCell ref="SFA15:SFD15"/>
    <mergeCell ref="SFE15:SFF15"/>
    <mergeCell ref="SFG15:SFH15"/>
    <mergeCell ref="SFI15:SFJ15"/>
    <mergeCell ref="SFK15:SFP15"/>
    <mergeCell ref="SFQ15:SFT15"/>
    <mergeCell ref="SFU15:SFV15"/>
    <mergeCell ref="SDO15:SDT15"/>
    <mergeCell ref="SDU15:SDX15"/>
    <mergeCell ref="SDY15:SDZ15"/>
    <mergeCell ref="SEA15:SEB15"/>
    <mergeCell ref="SEC15:SED15"/>
    <mergeCell ref="SEE15:SEJ15"/>
    <mergeCell ref="SEK15:SEN15"/>
    <mergeCell ref="SEO15:SEP15"/>
    <mergeCell ref="SEQ15:SER15"/>
    <mergeCell ref="SCO15:SCR15"/>
    <mergeCell ref="SCS15:SCT15"/>
    <mergeCell ref="SCU15:SCV15"/>
    <mergeCell ref="SCW15:SCX15"/>
    <mergeCell ref="SCY15:SDD15"/>
    <mergeCell ref="SDE15:SDH15"/>
    <mergeCell ref="SDI15:SDJ15"/>
    <mergeCell ref="SDK15:SDL15"/>
    <mergeCell ref="SDM15:SDN15"/>
    <mergeCell ref="SBM15:SBN15"/>
    <mergeCell ref="SBO15:SBP15"/>
    <mergeCell ref="SBQ15:SBR15"/>
    <mergeCell ref="SBS15:SBX15"/>
    <mergeCell ref="SBY15:SCB15"/>
    <mergeCell ref="SCC15:SCD15"/>
    <mergeCell ref="SCE15:SCF15"/>
    <mergeCell ref="SCG15:SCH15"/>
    <mergeCell ref="SCI15:SCN15"/>
    <mergeCell ref="SAI15:SAJ15"/>
    <mergeCell ref="SAK15:SAL15"/>
    <mergeCell ref="SAM15:SAR15"/>
    <mergeCell ref="SAS15:SAV15"/>
    <mergeCell ref="SAW15:SAX15"/>
    <mergeCell ref="SAY15:SAZ15"/>
    <mergeCell ref="SBA15:SBB15"/>
    <mergeCell ref="SBC15:SBH15"/>
    <mergeCell ref="SBI15:SBL15"/>
    <mergeCell ref="RZE15:RZF15"/>
    <mergeCell ref="RZG15:RZL15"/>
    <mergeCell ref="RZM15:RZP15"/>
    <mergeCell ref="RZQ15:RZR15"/>
    <mergeCell ref="RZS15:RZT15"/>
    <mergeCell ref="RZU15:RZV15"/>
    <mergeCell ref="RZW15:SAB15"/>
    <mergeCell ref="SAC15:SAF15"/>
    <mergeCell ref="SAG15:SAH15"/>
    <mergeCell ref="RYA15:RYF15"/>
    <mergeCell ref="RYG15:RYJ15"/>
    <mergeCell ref="RYK15:RYL15"/>
    <mergeCell ref="RYM15:RYN15"/>
    <mergeCell ref="RYO15:RYP15"/>
    <mergeCell ref="RYQ15:RYV15"/>
    <mergeCell ref="RYW15:RYZ15"/>
    <mergeCell ref="RZA15:RZB15"/>
    <mergeCell ref="RZC15:RZD15"/>
    <mergeCell ref="RXA15:RXD15"/>
    <mergeCell ref="RXE15:RXF15"/>
    <mergeCell ref="RXG15:RXH15"/>
    <mergeCell ref="RXI15:RXJ15"/>
    <mergeCell ref="RXK15:RXP15"/>
    <mergeCell ref="RXQ15:RXT15"/>
    <mergeCell ref="RXU15:RXV15"/>
    <mergeCell ref="RXW15:RXX15"/>
    <mergeCell ref="RXY15:RXZ15"/>
    <mergeCell ref="RVY15:RVZ15"/>
    <mergeCell ref="RWA15:RWB15"/>
    <mergeCell ref="RWC15:RWD15"/>
    <mergeCell ref="RWE15:RWJ15"/>
    <mergeCell ref="RWK15:RWN15"/>
    <mergeCell ref="RWO15:RWP15"/>
    <mergeCell ref="RWQ15:RWR15"/>
    <mergeCell ref="RWS15:RWT15"/>
    <mergeCell ref="RWU15:RWZ15"/>
    <mergeCell ref="RUU15:RUV15"/>
    <mergeCell ref="RUW15:RUX15"/>
    <mergeCell ref="RUY15:RVD15"/>
    <mergeCell ref="RVE15:RVH15"/>
    <mergeCell ref="RVI15:RVJ15"/>
    <mergeCell ref="RVK15:RVL15"/>
    <mergeCell ref="RVM15:RVN15"/>
    <mergeCell ref="RVO15:RVT15"/>
    <mergeCell ref="RVU15:RVX15"/>
    <mergeCell ref="RTQ15:RTR15"/>
    <mergeCell ref="RTS15:RTX15"/>
    <mergeCell ref="RTY15:RUB15"/>
    <mergeCell ref="RUC15:RUD15"/>
    <mergeCell ref="RUE15:RUF15"/>
    <mergeCell ref="RUG15:RUH15"/>
    <mergeCell ref="RUI15:RUN15"/>
    <mergeCell ref="RUO15:RUR15"/>
    <mergeCell ref="RUS15:RUT15"/>
    <mergeCell ref="RSM15:RSR15"/>
    <mergeCell ref="RSS15:RSV15"/>
    <mergeCell ref="RSW15:RSX15"/>
    <mergeCell ref="RSY15:RSZ15"/>
    <mergeCell ref="RTA15:RTB15"/>
    <mergeCell ref="RTC15:RTH15"/>
    <mergeCell ref="RTI15:RTL15"/>
    <mergeCell ref="RTM15:RTN15"/>
    <mergeCell ref="RTO15:RTP15"/>
    <mergeCell ref="RRM15:RRP15"/>
    <mergeCell ref="RRQ15:RRR15"/>
    <mergeCell ref="RRS15:RRT15"/>
    <mergeCell ref="RRU15:RRV15"/>
    <mergeCell ref="RRW15:RSB15"/>
    <mergeCell ref="RSC15:RSF15"/>
    <mergeCell ref="RSG15:RSH15"/>
    <mergeCell ref="RSI15:RSJ15"/>
    <mergeCell ref="RSK15:RSL15"/>
    <mergeCell ref="RQK15:RQL15"/>
    <mergeCell ref="RQM15:RQN15"/>
    <mergeCell ref="RQO15:RQP15"/>
    <mergeCell ref="RQQ15:RQV15"/>
    <mergeCell ref="RQW15:RQZ15"/>
    <mergeCell ref="RRA15:RRB15"/>
    <mergeCell ref="RRC15:RRD15"/>
    <mergeCell ref="RRE15:RRF15"/>
    <mergeCell ref="RRG15:RRL15"/>
    <mergeCell ref="RPG15:RPH15"/>
    <mergeCell ref="RPI15:RPJ15"/>
    <mergeCell ref="RPK15:RPP15"/>
    <mergeCell ref="RPQ15:RPT15"/>
    <mergeCell ref="RPU15:RPV15"/>
    <mergeCell ref="RPW15:RPX15"/>
    <mergeCell ref="RPY15:RPZ15"/>
    <mergeCell ref="RQA15:RQF15"/>
    <mergeCell ref="RQG15:RQJ15"/>
    <mergeCell ref="ROC15:ROD15"/>
    <mergeCell ref="ROE15:ROJ15"/>
    <mergeCell ref="ROK15:RON15"/>
    <mergeCell ref="ROO15:ROP15"/>
    <mergeCell ref="ROQ15:ROR15"/>
    <mergeCell ref="ROS15:ROT15"/>
    <mergeCell ref="ROU15:ROZ15"/>
    <mergeCell ref="RPA15:RPD15"/>
    <mergeCell ref="RPE15:RPF15"/>
    <mergeCell ref="RMY15:RND15"/>
    <mergeCell ref="RNE15:RNH15"/>
    <mergeCell ref="RNI15:RNJ15"/>
    <mergeCell ref="RNK15:RNL15"/>
    <mergeCell ref="RNM15:RNN15"/>
    <mergeCell ref="RNO15:RNT15"/>
    <mergeCell ref="RNU15:RNX15"/>
    <mergeCell ref="RNY15:RNZ15"/>
    <mergeCell ref="ROA15:ROB15"/>
    <mergeCell ref="RLY15:RMB15"/>
    <mergeCell ref="RMC15:RMD15"/>
    <mergeCell ref="RME15:RMF15"/>
    <mergeCell ref="RMG15:RMH15"/>
    <mergeCell ref="RMI15:RMN15"/>
    <mergeCell ref="RMO15:RMR15"/>
    <mergeCell ref="RMS15:RMT15"/>
    <mergeCell ref="RMU15:RMV15"/>
    <mergeCell ref="RMW15:RMX15"/>
    <mergeCell ref="RKW15:RKX15"/>
    <mergeCell ref="RKY15:RKZ15"/>
    <mergeCell ref="RLA15:RLB15"/>
    <mergeCell ref="RLC15:RLH15"/>
    <mergeCell ref="RLI15:RLL15"/>
    <mergeCell ref="RLM15:RLN15"/>
    <mergeCell ref="RLO15:RLP15"/>
    <mergeCell ref="RLQ15:RLR15"/>
    <mergeCell ref="RLS15:RLX15"/>
    <mergeCell ref="RJS15:RJT15"/>
    <mergeCell ref="RJU15:RJV15"/>
    <mergeCell ref="RJW15:RKB15"/>
    <mergeCell ref="RKC15:RKF15"/>
    <mergeCell ref="RKG15:RKH15"/>
    <mergeCell ref="RKI15:RKJ15"/>
    <mergeCell ref="RKK15:RKL15"/>
    <mergeCell ref="RKM15:RKR15"/>
    <mergeCell ref="RKS15:RKV15"/>
    <mergeCell ref="RIO15:RIP15"/>
    <mergeCell ref="RIQ15:RIV15"/>
    <mergeCell ref="RIW15:RIZ15"/>
    <mergeCell ref="RJA15:RJB15"/>
    <mergeCell ref="RJC15:RJD15"/>
    <mergeCell ref="RJE15:RJF15"/>
    <mergeCell ref="RJG15:RJL15"/>
    <mergeCell ref="RJM15:RJP15"/>
    <mergeCell ref="RJQ15:RJR15"/>
    <mergeCell ref="RHK15:RHP15"/>
    <mergeCell ref="RHQ15:RHT15"/>
    <mergeCell ref="RHU15:RHV15"/>
    <mergeCell ref="RHW15:RHX15"/>
    <mergeCell ref="RHY15:RHZ15"/>
    <mergeCell ref="RIA15:RIF15"/>
    <mergeCell ref="RIG15:RIJ15"/>
    <mergeCell ref="RIK15:RIL15"/>
    <mergeCell ref="RIM15:RIN15"/>
    <mergeCell ref="RGK15:RGN15"/>
    <mergeCell ref="RGO15:RGP15"/>
    <mergeCell ref="RGQ15:RGR15"/>
    <mergeCell ref="RGS15:RGT15"/>
    <mergeCell ref="RGU15:RGZ15"/>
    <mergeCell ref="RHA15:RHD15"/>
    <mergeCell ref="RHE15:RHF15"/>
    <mergeCell ref="RHG15:RHH15"/>
    <mergeCell ref="RHI15:RHJ15"/>
    <mergeCell ref="RFI15:RFJ15"/>
    <mergeCell ref="RFK15:RFL15"/>
    <mergeCell ref="RFM15:RFN15"/>
    <mergeCell ref="RFO15:RFT15"/>
    <mergeCell ref="RFU15:RFX15"/>
    <mergeCell ref="RFY15:RFZ15"/>
    <mergeCell ref="RGA15:RGB15"/>
    <mergeCell ref="RGC15:RGD15"/>
    <mergeCell ref="RGE15:RGJ15"/>
    <mergeCell ref="REE15:REF15"/>
    <mergeCell ref="REG15:REH15"/>
    <mergeCell ref="REI15:REN15"/>
    <mergeCell ref="REO15:RER15"/>
    <mergeCell ref="RES15:RET15"/>
    <mergeCell ref="REU15:REV15"/>
    <mergeCell ref="REW15:REX15"/>
    <mergeCell ref="REY15:RFD15"/>
    <mergeCell ref="RFE15:RFH15"/>
    <mergeCell ref="RDA15:RDB15"/>
    <mergeCell ref="RDC15:RDH15"/>
    <mergeCell ref="RDI15:RDL15"/>
    <mergeCell ref="RDM15:RDN15"/>
    <mergeCell ref="RDO15:RDP15"/>
    <mergeCell ref="RDQ15:RDR15"/>
    <mergeCell ref="RDS15:RDX15"/>
    <mergeCell ref="RDY15:REB15"/>
    <mergeCell ref="REC15:RED15"/>
    <mergeCell ref="RBW15:RCB15"/>
    <mergeCell ref="RCC15:RCF15"/>
    <mergeCell ref="RCG15:RCH15"/>
    <mergeCell ref="RCI15:RCJ15"/>
    <mergeCell ref="RCK15:RCL15"/>
    <mergeCell ref="RCM15:RCR15"/>
    <mergeCell ref="RCS15:RCV15"/>
    <mergeCell ref="RCW15:RCX15"/>
    <mergeCell ref="RCY15:RCZ15"/>
    <mergeCell ref="RAW15:RAZ15"/>
    <mergeCell ref="RBA15:RBB15"/>
    <mergeCell ref="RBC15:RBD15"/>
    <mergeCell ref="RBE15:RBF15"/>
    <mergeCell ref="RBG15:RBL15"/>
    <mergeCell ref="RBM15:RBP15"/>
    <mergeCell ref="RBQ15:RBR15"/>
    <mergeCell ref="RBS15:RBT15"/>
    <mergeCell ref="RBU15:RBV15"/>
    <mergeCell ref="QZU15:QZV15"/>
    <mergeCell ref="QZW15:QZX15"/>
    <mergeCell ref="QZY15:QZZ15"/>
    <mergeCell ref="RAA15:RAF15"/>
    <mergeCell ref="RAG15:RAJ15"/>
    <mergeCell ref="RAK15:RAL15"/>
    <mergeCell ref="RAM15:RAN15"/>
    <mergeCell ref="RAO15:RAP15"/>
    <mergeCell ref="RAQ15:RAV15"/>
    <mergeCell ref="QYQ15:QYR15"/>
    <mergeCell ref="QYS15:QYT15"/>
    <mergeCell ref="QYU15:QYZ15"/>
    <mergeCell ref="QZA15:QZD15"/>
    <mergeCell ref="QZE15:QZF15"/>
    <mergeCell ref="QZG15:QZH15"/>
    <mergeCell ref="QZI15:QZJ15"/>
    <mergeCell ref="QZK15:QZP15"/>
    <mergeCell ref="QZQ15:QZT15"/>
    <mergeCell ref="QXM15:QXN15"/>
    <mergeCell ref="QXO15:QXT15"/>
    <mergeCell ref="QXU15:QXX15"/>
    <mergeCell ref="QXY15:QXZ15"/>
    <mergeCell ref="QYA15:QYB15"/>
    <mergeCell ref="QYC15:QYD15"/>
    <mergeCell ref="QYE15:QYJ15"/>
    <mergeCell ref="QYK15:QYN15"/>
    <mergeCell ref="QYO15:QYP15"/>
    <mergeCell ref="QWI15:QWN15"/>
    <mergeCell ref="QWO15:QWR15"/>
    <mergeCell ref="QWS15:QWT15"/>
    <mergeCell ref="QWU15:QWV15"/>
    <mergeCell ref="QWW15:QWX15"/>
    <mergeCell ref="QWY15:QXD15"/>
    <mergeCell ref="QXE15:QXH15"/>
    <mergeCell ref="QXI15:QXJ15"/>
    <mergeCell ref="QXK15:QXL15"/>
    <mergeCell ref="QVI15:QVL15"/>
    <mergeCell ref="QVM15:QVN15"/>
    <mergeCell ref="QVO15:QVP15"/>
    <mergeCell ref="QVQ15:QVR15"/>
    <mergeCell ref="QVS15:QVX15"/>
    <mergeCell ref="QVY15:QWB15"/>
    <mergeCell ref="QWC15:QWD15"/>
    <mergeCell ref="QWE15:QWF15"/>
    <mergeCell ref="QWG15:QWH15"/>
    <mergeCell ref="QUG15:QUH15"/>
    <mergeCell ref="QUI15:QUJ15"/>
    <mergeCell ref="QUK15:QUL15"/>
    <mergeCell ref="QUM15:QUR15"/>
    <mergeCell ref="QUS15:QUV15"/>
    <mergeCell ref="QUW15:QUX15"/>
    <mergeCell ref="QUY15:QUZ15"/>
    <mergeCell ref="QVA15:QVB15"/>
    <mergeCell ref="QVC15:QVH15"/>
    <mergeCell ref="QTC15:QTD15"/>
    <mergeCell ref="QTE15:QTF15"/>
    <mergeCell ref="QTG15:QTL15"/>
    <mergeCell ref="QTM15:QTP15"/>
    <mergeCell ref="QTQ15:QTR15"/>
    <mergeCell ref="QTS15:QTT15"/>
    <mergeCell ref="QTU15:QTV15"/>
    <mergeCell ref="QTW15:QUB15"/>
    <mergeCell ref="QUC15:QUF15"/>
    <mergeCell ref="QRY15:QRZ15"/>
    <mergeCell ref="QSA15:QSF15"/>
    <mergeCell ref="QSG15:QSJ15"/>
    <mergeCell ref="QSK15:QSL15"/>
    <mergeCell ref="QSM15:QSN15"/>
    <mergeCell ref="QSO15:QSP15"/>
    <mergeCell ref="QSQ15:QSV15"/>
    <mergeCell ref="QSW15:QSZ15"/>
    <mergeCell ref="QTA15:QTB15"/>
    <mergeCell ref="QQU15:QQZ15"/>
    <mergeCell ref="QRA15:QRD15"/>
    <mergeCell ref="QRE15:QRF15"/>
    <mergeCell ref="QRG15:QRH15"/>
    <mergeCell ref="QRI15:QRJ15"/>
    <mergeCell ref="QRK15:QRP15"/>
    <mergeCell ref="QRQ15:QRT15"/>
    <mergeCell ref="QRU15:QRV15"/>
    <mergeCell ref="QRW15:QRX15"/>
    <mergeCell ref="QPU15:QPX15"/>
    <mergeCell ref="QPY15:QPZ15"/>
    <mergeCell ref="QQA15:QQB15"/>
    <mergeCell ref="QQC15:QQD15"/>
    <mergeCell ref="QQE15:QQJ15"/>
    <mergeCell ref="QQK15:QQN15"/>
    <mergeCell ref="QQO15:QQP15"/>
    <mergeCell ref="QQQ15:QQR15"/>
    <mergeCell ref="QQS15:QQT15"/>
    <mergeCell ref="QOS15:QOT15"/>
    <mergeCell ref="QOU15:QOV15"/>
    <mergeCell ref="QOW15:QOX15"/>
    <mergeCell ref="QOY15:QPD15"/>
    <mergeCell ref="QPE15:QPH15"/>
    <mergeCell ref="QPI15:QPJ15"/>
    <mergeCell ref="QPK15:QPL15"/>
    <mergeCell ref="QPM15:QPN15"/>
    <mergeCell ref="QPO15:QPT15"/>
    <mergeCell ref="QNO15:QNP15"/>
    <mergeCell ref="QNQ15:QNR15"/>
    <mergeCell ref="QNS15:QNX15"/>
    <mergeCell ref="QNY15:QOB15"/>
    <mergeCell ref="QOC15:QOD15"/>
    <mergeCell ref="QOE15:QOF15"/>
    <mergeCell ref="QOG15:QOH15"/>
    <mergeCell ref="QOI15:QON15"/>
    <mergeCell ref="QOO15:QOR15"/>
    <mergeCell ref="QMK15:QML15"/>
    <mergeCell ref="QMM15:QMR15"/>
    <mergeCell ref="QMS15:QMV15"/>
    <mergeCell ref="QMW15:QMX15"/>
    <mergeCell ref="QMY15:QMZ15"/>
    <mergeCell ref="QNA15:QNB15"/>
    <mergeCell ref="QNC15:QNH15"/>
    <mergeCell ref="QNI15:QNL15"/>
    <mergeCell ref="QNM15:QNN15"/>
    <mergeCell ref="QLG15:QLL15"/>
    <mergeCell ref="QLM15:QLP15"/>
    <mergeCell ref="QLQ15:QLR15"/>
    <mergeCell ref="QLS15:QLT15"/>
    <mergeCell ref="QLU15:QLV15"/>
    <mergeCell ref="QLW15:QMB15"/>
    <mergeCell ref="QMC15:QMF15"/>
    <mergeCell ref="QMG15:QMH15"/>
    <mergeCell ref="QMI15:QMJ15"/>
    <mergeCell ref="QKG15:QKJ15"/>
    <mergeCell ref="QKK15:QKL15"/>
    <mergeCell ref="QKM15:QKN15"/>
    <mergeCell ref="QKO15:QKP15"/>
    <mergeCell ref="QKQ15:QKV15"/>
    <mergeCell ref="QKW15:QKZ15"/>
    <mergeCell ref="QLA15:QLB15"/>
    <mergeCell ref="QLC15:QLD15"/>
    <mergeCell ref="QLE15:QLF15"/>
    <mergeCell ref="QJE15:QJF15"/>
    <mergeCell ref="QJG15:QJH15"/>
    <mergeCell ref="QJI15:QJJ15"/>
    <mergeCell ref="QJK15:QJP15"/>
    <mergeCell ref="QJQ15:QJT15"/>
    <mergeCell ref="QJU15:QJV15"/>
    <mergeCell ref="QJW15:QJX15"/>
    <mergeCell ref="QJY15:QJZ15"/>
    <mergeCell ref="QKA15:QKF15"/>
    <mergeCell ref="QIA15:QIB15"/>
    <mergeCell ref="QIC15:QID15"/>
    <mergeCell ref="QIE15:QIJ15"/>
    <mergeCell ref="QIK15:QIN15"/>
    <mergeCell ref="QIO15:QIP15"/>
    <mergeCell ref="QIQ15:QIR15"/>
    <mergeCell ref="QIS15:QIT15"/>
    <mergeCell ref="QIU15:QIZ15"/>
    <mergeCell ref="QJA15:QJD15"/>
    <mergeCell ref="QGW15:QGX15"/>
    <mergeCell ref="QGY15:QHD15"/>
    <mergeCell ref="QHE15:QHH15"/>
    <mergeCell ref="QHI15:QHJ15"/>
    <mergeCell ref="QHK15:QHL15"/>
    <mergeCell ref="QHM15:QHN15"/>
    <mergeCell ref="QHO15:QHT15"/>
    <mergeCell ref="QHU15:QHX15"/>
    <mergeCell ref="QHY15:QHZ15"/>
    <mergeCell ref="QFS15:QFX15"/>
    <mergeCell ref="QFY15:QGB15"/>
    <mergeCell ref="QGC15:QGD15"/>
    <mergeCell ref="QGE15:QGF15"/>
    <mergeCell ref="QGG15:QGH15"/>
    <mergeCell ref="QGI15:QGN15"/>
    <mergeCell ref="QGO15:QGR15"/>
    <mergeCell ref="QGS15:QGT15"/>
    <mergeCell ref="QGU15:QGV15"/>
    <mergeCell ref="QES15:QEV15"/>
    <mergeCell ref="QEW15:QEX15"/>
    <mergeCell ref="QEY15:QEZ15"/>
    <mergeCell ref="QFA15:QFB15"/>
    <mergeCell ref="QFC15:QFH15"/>
    <mergeCell ref="QFI15:QFL15"/>
    <mergeCell ref="QFM15:QFN15"/>
    <mergeCell ref="QFO15:QFP15"/>
    <mergeCell ref="QFQ15:QFR15"/>
    <mergeCell ref="QDQ15:QDR15"/>
    <mergeCell ref="QDS15:QDT15"/>
    <mergeCell ref="QDU15:QDV15"/>
    <mergeCell ref="QDW15:QEB15"/>
    <mergeCell ref="QEC15:QEF15"/>
    <mergeCell ref="QEG15:QEH15"/>
    <mergeCell ref="QEI15:QEJ15"/>
    <mergeCell ref="QEK15:QEL15"/>
    <mergeCell ref="QEM15:QER15"/>
    <mergeCell ref="QCM15:QCN15"/>
    <mergeCell ref="QCO15:QCP15"/>
    <mergeCell ref="QCQ15:QCV15"/>
    <mergeCell ref="QCW15:QCZ15"/>
    <mergeCell ref="QDA15:QDB15"/>
    <mergeCell ref="QDC15:QDD15"/>
    <mergeCell ref="QDE15:QDF15"/>
    <mergeCell ref="QDG15:QDL15"/>
    <mergeCell ref="QDM15:QDP15"/>
    <mergeCell ref="QBI15:QBJ15"/>
    <mergeCell ref="QBK15:QBP15"/>
    <mergeCell ref="QBQ15:QBT15"/>
    <mergeCell ref="QBU15:QBV15"/>
    <mergeCell ref="QBW15:QBX15"/>
    <mergeCell ref="QBY15:QBZ15"/>
    <mergeCell ref="QCA15:QCF15"/>
    <mergeCell ref="QCG15:QCJ15"/>
    <mergeCell ref="QCK15:QCL15"/>
    <mergeCell ref="QAE15:QAJ15"/>
    <mergeCell ref="QAK15:QAN15"/>
    <mergeCell ref="QAO15:QAP15"/>
    <mergeCell ref="QAQ15:QAR15"/>
    <mergeCell ref="QAS15:QAT15"/>
    <mergeCell ref="QAU15:QAZ15"/>
    <mergeCell ref="QBA15:QBD15"/>
    <mergeCell ref="QBE15:QBF15"/>
    <mergeCell ref="QBG15:QBH15"/>
    <mergeCell ref="PZE15:PZH15"/>
    <mergeCell ref="PZI15:PZJ15"/>
    <mergeCell ref="PZK15:PZL15"/>
    <mergeCell ref="PZM15:PZN15"/>
    <mergeCell ref="PZO15:PZT15"/>
    <mergeCell ref="PZU15:PZX15"/>
    <mergeCell ref="PZY15:PZZ15"/>
    <mergeCell ref="QAA15:QAB15"/>
    <mergeCell ref="QAC15:QAD15"/>
    <mergeCell ref="PYC15:PYD15"/>
    <mergeCell ref="PYE15:PYF15"/>
    <mergeCell ref="PYG15:PYH15"/>
    <mergeCell ref="PYI15:PYN15"/>
    <mergeCell ref="PYO15:PYR15"/>
    <mergeCell ref="PYS15:PYT15"/>
    <mergeCell ref="PYU15:PYV15"/>
    <mergeCell ref="PYW15:PYX15"/>
    <mergeCell ref="PYY15:PZD15"/>
    <mergeCell ref="PWY15:PWZ15"/>
    <mergeCell ref="PXA15:PXB15"/>
    <mergeCell ref="PXC15:PXH15"/>
    <mergeCell ref="PXI15:PXL15"/>
    <mergeCell ref="PXM15:PXN15"/>
    <mergeCell ref="PXO15:PXP15"/>
    <mergeCell ref="PXQ15:PXR15"/>
    <mergeCell ref="PXS15:PXX15"/>
    <mergeCell ref="PXY15:PYB15"/>
    <mergeCell ref="PVU15:PVV15"/>
    <mergeCell ref="PVW15:PWB15"/>
    <mergeCell ref="PWC15:PWF15"/>
    <mergeCell ref="PWG15:PWH15"/>
    <mergeCell ref="PWI15:PWJ15"/>
    <mergeCell ref="PWK15:PWL15"/>
    <mergeCell ref="PWM15:PWR15"/>
    <mergeCell ref="PWS15:PWV15"/>
    <mergeCell ref="PWW15:PWX15"/>
    <mergeCell ref="PUQ15:PUV15"/>
    <mergeCell ref="PUW15:PUZ15"/>
    <mergeCell ref="PVA15:PVB15"/>
    <mergeCell ref="PVC15:PVD15"/>
    <mergeCell ref="PVE15:PVF15"/>
    <mergeCell ref="PVG15:PVL15"/>
    <mergeCell ref="PVM15:PVP15"/>
    <mergeCell ref="PVQ15:PVR15"/>
    <mergeCell ref="PVS15:PVT15"/>
    <mergeCell ref="PTQ15:PTT15"/>
    <mergeCell ref="PTU15:PTV15"/>
    <mergeCell ref="PTW15:PTX15"/>
    <mergeCell ref="PTY15:PTZ15"/>
    <mergeCell ref="PUA15:PUF15"/>
    <mergeCell ref="PUG15:PUJ15"/>
    <mergeCell ref="PUK15:PUL15"/>
    <mergeCell ref="PUM15:PUN15"/>
    <mergeCell ref="PUO15:PUP15"/>
    <mergeCell ref="PSO15:PSP15"/>
    <mergeCell ref="PSQ15:PSR15"/>
    <mergeCell ref="PSS15:PST15"/>
    <mergeCell ref="PSU15:PSZ15"/>
    <mergeCell ref="PTA15:PTD15"/>
    <mergeCell ref="PTE15:PTF15"/>
    <mergeCell ref="PTG15:PTH15"/>
    <mergeCell ref="PTI15:PTJ15"/>
    <mergeCell ref="PTK15:PTP15"/>
    <mergeCell ref="PRK15:PRL15"/>
    <mergeCell ref="PRM15:PRN15"/>
    <mergeCell ref="PRO15:PRT15"/>
    <mergeCell ref="PRU15:PRX15"/>
    <mergeCell ref="PRY15:PRZ15"/>
    <mergeCell ref="PSA15:PSB15"/>
    <mergeCell ref="PSC15:PSD15"/>
    <mergeCell ref="PSE15:PSJ15"/>
    <mergeCell ref="PSK15:PSN15"/>
    <mergeCell ref="PQG15:PQH15"/>
    <mergeCell ref="PQI15:PQN15"/>
    <mergeCell ref="PQO15:PQR15"/>
    <mergeCell ref="PQS15:PQT15"/>
    <mergeCell ref="PQU15:PQV15"/>
    <mergeCell ref="PQW15:PQX15"/>
    <mergeCell ref="PQY15:PRD15"/>
    <mergeCell ref="PRE15:PRH15"/>
    <mergeCell ref="PRI15:PRJ15"/>
    <mergeCell ref="PPC15:PPH15"/>
    <mergeCell ref="PPI15:PPL15"/>
    <mergeCell ref="PPM15:PPN15"/>
    <mergeCell ref="PPO15:PPP15"/>
    <mergeCell ref="PPQ15:PPR15"/>
    <mergeCell ref="PPS15:PPX15"/>
    <mergeCell ref="PPY15:PQB15"/>
    <mergeCell ref="PQC15:PQD15"/>
    <mergeCell ref="PQE15:PQF15"/>
    <mergeCell ref="POC15:POF15"/>
    <mergeCell ref="POG15:POH15"/>
    <mergeCell ref="POI15:POJ15"/>
    <mergeCell ref="POK15:POL15"/>
    <mergeCell ref="POM15:POR15"/>
    <mergeCell ref="POS15:POV15"/>
    <mergeCell ref="POW15:POX15"/>
    <mergeCell ref="POY15:POZ15"/>
    <mergeCell ref="PPA15:PPB15"/>
    <mergeCell ref="PNA15:PNB15"/>
    <mergeCell ref="PNC15:PND15"/>
    <mergeCell ref="PNE15:PNF15"/>
    <mergeCell ref="PNG15:PNL15"/>
    <mergeCell ref="PNM15:PNP15"/>
    <mergeCell ref="PNQ15:PNR15"/>
    <mergeCell ref="PNS15:PNT15"/>
    <mergeCell ref="PNU15:PNV15"/>
    <mergeCell ref="PNW15:POB15"/>
    <mergeCell ref="PLW15:PLX15"/>
    <mergeCell ref="PLY15:PLZ15"/>
    <mergeCell ref="PMA15:PMF15"/>
    <mergeCell ref="PMG15:PMJ15"/>
    <mergeCell ref="PMK15:PML15"/>
    <mergeCell ref="PMM15:PMN15"/>
    <mergeCell ref="PMO15:PMP15"/>
    <mergeCell ref="PMQ15:PMV15"/>
    <mergeCell ref="PMW15:PMZ15"/>
    <mergeCell ref="PKS15:PKT15"/>
    <mergeCell ref="PKU15:PKZ15"/>
    <mergeCell ref="PLA15:PLD15"/>
    <mergeCell ref="PLE15:PLF15"/>
    <mergeCell ref="PLG15:PLH15"/>
    <mergeCell ref="PLI15:PLJ15"/>
    <mergeCell ref="PLK15:PLP15"/>
    <mergeCell ref="PLQ15:PLT15"/>
    <mergeCell ref="PLU15:PLV15"/>
    <mergeCell ref="PJO15:PJT15"/>
    <mergeCell ref="PJU15:PJX15"/>
    <mergeCell ref="PJY15:PJZ15"/>
    <mergeCell ref="PKA15:PKB15"/>
    <mergeCell ref="PKC15:PKD15"/>
    <mergeCell ref="PKE15:PKJ15"/>
    <mergeCell ref="PKK15:PKN15"/>
    <mergeCell ref="PKO15:PKP15"/>
    <mergeCell ref="PKQ15:PKR15"/>
    <mergeCell ref="PIO15:PIR15"/>
    <mergeCell ref="PIS15:PIT15"/>
    <mergeCell ref="PIU15:PIV15"/>
    <mergeCell ref="PIW15:PIX15"/>
    <mergeCell ref="PIY15:PJD15"/>
    <mergeCell ref="PJE15:PJH15"/>
    <mergeCell ref="PJI15:PJJ15"/>
    <mergeCell ref="PJK15:PJL15"/>
    <mergeCell ref="PJM15:PJN15"/>
    <mergeCell ref="PHM15:PHN15"/>
    <mergeCell ref="PHO15:PHP15"/>
    <mergeCell ref="PHQ15:PHR15"/>
    <mergeCell ref="PHS15:PHX15"/>
    <mergeCell ref="PHY15:PIB15"/>
    <mergeCell ref="PIC15:PID15"/>
    <mergeCell ref="PIE15:PIF15"/>
    <mergeCell ref="PIG15:PIH15"/>
    <mergeCell ref="PII15:PIN15"/>
    <mergeCell ref="PGI15:PGJ15"/>
    <mergeCell ref="PGK15:PGL15"/>
    <mergeCell ref="PGM15:PGR15"/>
    <mergeCell ref="PGS15:PGV15"/>
    <mergeCell ref="PGW15:PGX15"/>
    <mergeCell ref="PGY15:PGZ15"/>
    <mergeCell ref="PHA15:PHB15"/>
    <mergeCell ref="PHC15:PHH15"/>
    <mergeCell ref="PHI15:PHL15"/>
    <mergeCell ref="PFE15:PFF15"/>
    <mergeCell ref="PFG15:PFL15"/>
    <mergeCell ref="PFM15:PFP15"/>
    <mergeCell ref="PFQ15:PFR15"/>
    <mergeCell ref="PFS15:PFT15"/>
    <mergeCell ref="PFU15:PFV15"/>
    <mergeCell ref="PFW15:PGB15"/>
    <mergeCell ref="PGC15:PGF15"/>
    <mergeCell ref="PGG15:PGH15"/>
    <mergeCell ref="PEA15:PEF15"/>
    <mergeCell ref="PEG15:PEJ15"/>
    <mergeCell ref="PEK15:PEL15"/>
    <mergeCell ref="PEM15:PEN15"/>
    <mergeCell ref="PEO15:PEP15"/>
    <mergeCell ref="PEQ15:PEV15"/>
    <mergeCell ref="PEW15:PEZ15"/>
    <mergeCell ref="PFA15:PFB15"/>
    <mergeCell ref="PFC15:PFD15"/>
    <mergeCell ref="PDA15:PDD15"/>
    <mergeCell ref="PDE15:PDF15"/>
    <mergeCell ref="PDG15:PDH15"/>
    <mergeCell ref="PDI15:PDJ15"/>
    <mergeCell ref="PDK15:PDP15"/>
    <mergeCell ref="PDQ15:PDT15"/>
    <mergeCell ref="PDU15:PDV15"/>
    <mergeCell ref="PDW15:PDX15"/>
    <mergeCell ref="PDY15:PDZ15"/>
    <mergeCell ref="PBY15:PBZ15"/>
    <mergeCell ref="PCA15:PCB15"/>
    <mergeCell ref="PCC15:PCD15"/>
    <mergeCell ref="PCE15:PCJ15"/>
    <mergeCell ref="PCK15:PCN15"/>
    <mergeCell ref="PCO15:PCP15"/>
    <mergeCell ref="PCQ15:PCR15"/>
    <mergeCell ref="PCS15:PCT15"/>
    <mergeCell ref="PCU15:PCZ15"/>
    <mergeCell ref="PAU15:PAV15"/>
    <mergeCell ref="PAW15:PAX15"/>
    <mergeCell ref="PAY15:PBD15"/>
    <mergeCell ref="PBE15:PBH15"/>
    <mergeCell ref="PBI15:PBJ15"/>
    <mergeCell ref="PBK15:PBL15"/>
    <mergeCell ref="PBM15:PBN15"/>
    <mergeCell ref="PBO15:PBT15"/>
    <mergeCell ref="PBU15:PBX15"/>
    <mergeCell ref="OZQ15:OZR15"/>
    <mergeCell ref="OZS15:OZX15"/>
    <mergeCell ref="OZY15:PAB15"/>
    <mergeCell ref="PAC15:PAD15"/>
    <mergeCell ref="PAE15:PAF15"/>
    <mergeCell ref="PAG15:PAH15"/>
    <mergeCell ref="PAI15:PAN15"/>
    <mergeCell ref="PAO15:PAR15"/>
    <mergeCell ref="PAS15:PAT15"/>
    <mergeCell ref="OYM15:OYR15"/>
    <mergeCell ref="OYS15:OYV15"/>
    <mergeCell ref="OYW15:OYX15"/>
    <mergeCell ref="OYY15:OYZ15"/>
    <mergeCell ref="OZA15:OZB15"/>
    <mergeCell ref="OZC15:OZH15"/>
    <mergeCell ref="OZI15:OZL15"/>
    <mergeCell ref="OZM15:OZN15"/>
    <mergeCell ref="OZO15:OZP15"/>
    <mergeCell ref="OXM15:OXP15"/>
    <mergeCell ref="OXQ15:OXR15"/>
    <mergeCell ref="OXS15:OXT15"/>
    <mergeCell ref="OXU15:OXV15"/>
    <mergeCell ref="OXW15:OYB15"/>
    <mergeCell ref="OYC15:OYF15"/>
    <mergeCell ref="OYG15:OYH15"/>
    <mergeCell ref="OYI15:OYJ15"/>
    <mergeCell ref="OYK15:OYL15"/>
    <mergeCell ref="OWK15:OWL15"/>
    <mergeCell ref="OWM15:OWN15"/>
    <mergeCell ref="OWO15:OWP15"/>
    <mergeCell ref="OWQ15:OWV15"/>
    <mergeCell ref="OWW15:OWZ15"/>
    <mergeCell ref="OXA15:OXB15"/>
    <mergeCell ref="OXC15:OXD15"/>
    <mergeCell ref="OXE15:OXF15"/>
    <mergeCell ref="OXG15:OXL15"/>
    <mergeCell ref="OVG15:OVH15"/>
    <mergeCell ref="OVI15:OVJ15"/>
    <mergeCell ref="OVK15:OVP15"/>
    <mergeCell ref="OVQ15:OVT15"/>
    <mergeCell ref="OVU15:OVV15"/>
    <mergeCell ref="OVW15:OVX15"/>
    <mergeCell ref="OVY15:OVZ15"/>
    <mergeCell ref="OWA15:OWF15"/>
    <mergeCell ref="OWG15:OWJ15"/>
    <mergeCell ref="OUC15:OUD15"/>
    <mergeCell ref="OUE15:OUJ15"/>
    <mergeCell ref="OUK15:OUN15"/>
    <mergeCell ref="OUO15:OUP15"/>
    <mergeCell ref="OUQ15:OUR15"/>
    <mergeCell ref="OUS15:OUT15"/>
    <mergeCell ref="OUU15:OUZ15"/>
    <mergeCell ref="OVA15:OVD15"/>
    <mergeCell ref="OVE15:OVF15"/>
    <mergeCell ref="OSY15:OTD15"/>
    <mergeCell ref="OTE15:OTH15"/>
    <mergeCell ref="OTI15:OTJ15"/>
    <mergeCell ref="OTK15:OTL15"/>
    <mergeCell ref="OTM15:OTN15"/>
    <mergeCell ref="OTO15:OTT15"/>
    <mergeCell ref="OTU15:OTX15"/>
    <mergeCell ref="OTY15:OTZ15"/>
    <mergeCell ref="OUA15:OUB15"/>
    <mergeCell ref="ORY15:OSB15"/>
    <mergeCell ref="OSC15:OSD15"/>
    <mergeCell ref="OSE15:OSF15"/>
    <mergeCell ref="OSG15:OSH15"/>
    <mergeCell ref="OSI15:OSN15"/>
    <mergeCell ref="OSO15:OSR15"/>
    <mergeCell ref="OSS15:OST15"/>
    <mergeCell ref="OSU15:OSV15"/>
    <mergeCell ref="OSW15:OSX15"/>
    <mergeCell ref="OQW15:OQX15"/>
    <mergeCell ref="OQY15:OQZ15"/>
    <mergeCell ref="ORA15:ORB15"/>
    <mergeCell ref="ORC15:ORH15"/>
    <mergeCell ref="ORI15:ORL15"/>
    <mergeCell ref="ORM15:ORN15"/>
    <mergeCell ref="ORO15:ORP15"/>
    <mergeCell ref="ORQ15:ORR15"/>
    <mergeCell ref="ORS15:ORX15"/>
    <mergeCell ref="OPS15:OPT15"/>
    <mergeCell ref="OPU15:OPV15"/>
    <mergeCell ref="OPW15:OQB15"/>
    <mergeCell ref="OQC15:OQF15"/>
    <mergeCell ref="OQG15:OQH15"/>
    <mergeCell ref="OQI15:OQJ15"/>
    <mergeCell ref="OQK15:OQL15"/>
    <mergeCell ref="OQM15:OQR15"/>
    <mergeCell ref="OQS15:OQV15"/>
    <mergeCell ref="OOO15:OOP15"/>
    <mergeCell ref="OOQ15:OOV15"/>
    <mergeCell ref="OOW15:OOZ15"/>
    <mergeCell ref="OPA15:OPB15"/>
    <mergeCell ref="OPC15:OPD15"/>
    <mergeCell ref="OPE15:OPF15"/>
    <mergeCell ref="OPG15:OPL15"/>
    <mergeCell ref="OPM15:OPP15"/>
    <mergeCell ref="OPQ15:OPR15"/>
    <mergeCell ref="ONK15:ONP15"/>
    <mergeCell ref="ONQ15:ONT15"/>
    <mergeCell ref="ONU15:ONV15"/>
    <mergeCell ref="ONW15:ONX15"/>
    <mergeCell ref="ONY15:ONZ15"/>
    <mergeCell ref="OOA15:OOF15"/>
    <mergeCell ref="OOG15:OOJ15"/>
    <mergeCell ref="OOK15:OOL15"/>
    <mergeCell ref="OOM15:OON15"/>
    <mergeCell ref="OMK15:OMN15"/>
    <mergeCell ref="OMO15:OMP15"/>
    <mergeCell ref="OMQ15:OMR15"/>
    <mergeCell ref="OMS15:OMT15"/>
    <mergeCell ref="OMU15:OMZ15"/>
    <mergeCell ref="ONA15:OND15"/>
    <mergeCell ref="ONE15:ONF15"/>
    <mergeCell ref="ONG15:ONH15"/>
    <mergeCell ref="ONI15:ONJ15"/>
    <mergeCell ref="OLI15:OLJ15"/>
    <mergeCell ref="OLK15:OLL15"/>
    <mergeCell ref="OLM15:OLN15"/>
    <mergeCell ref="OLO15:OLT15"/>
    <mergeCell ref="OLU15:OLX15"/>
    <mergeCell ref="OLY15:OLZ15"/>
    <mergeCell ref="OMA15:OMB15"/>
    <mergeCell ref="OMC15:OMD15"/>
    <mergeCell ref="OME15:OMJ15"/>
    <mergeCell ref="OKE15:OKF15"/>
    <mergeCell ref="OKG15:OKH15"/>
    <mergeCell ref="OKI15:OKN15"/>
    <mergeCell ref="OKO15:OKR15"/>
    <mergeCell ref="OKS15:OKT15"/>
    <mergeCell ref="OKU15:OKV15"/>
    <mergeCell ref="OKW15:OKX15"/>
    <mergeCell ref="OKY15:OLD15"/>
    <mergeCell ref="OLE15:OLH15"/>
    <mergeCell ref="OJA15:OJB15"/>
    <mergeCell ref="OJC15:OJH15"/>
    <mergeCell ref="OJI15:OJL15"/>
    <mergeCell ref="OJM15:OJN15"/>
    <mergeCell ref="OJO15:OJP15"/>
    <mergeCell ref="OJQ15:OJR15"/>
    <mergeCell ref="OJS15:OJX15"/>
    <mergeCell ref="OJY15:OKB15"/>
    <mergeCell ref="OKC15:OKD15"/>
    <mergeCell ref="OHW15:OIB15"/>
    <mergeCell ref="OIC15:OIF15"/>
    <mergeCell ref="OIG15:OIH15"/>
    <mergeCell ref="OII15:OIJ15"/>
    <mergeCell ref="OIK15:OIL15"/>
    <mergeCell ref="OIM15:OIR15"/>
    <mergeCell ref="OIS15:OIV15"/>
    <mergeCell ref="OIW15:OIX15"/>
    <mergeCell ref="OIY15:OIZ15"/>
    <mergeCell ref="OGW15:OGZ15"/>
    <mergeCell ref="OHA15:OHB15"/>
    <mergeCell ref="OHC15:OHD15"/>
    <mergeCell ref="OHE15:OHF15"/>
    <mergeCell ref="OHG15:OHL15"/>
    <mergeCell ref="OHM15:OHP15"/>
    <mergeCell ref="OHQ15:OHR15"/>
    <mergeCell ref="OHS15:OHT15"/>
    <mergeCell ref="OHU15:OHV15"/>
    <mergeCell ref="OFU15:OFV15"/>
    <mergeCell ref="OFW15:OFX15"/>
    <mergeCell ref="OFY15:OFZ15"/>
    <mergeCell ref="OGA15:OGF15"/>
    <mergeCell ref="OGG15:OGJ15"/>
    <mergeCell ref="OGK15:OGL15"/>
    <mergeCell ref="OGM15:OGN15"/>
    <mergeCell ref="OGO15:OGP15"/>
    <mergeCell ref="OGQ15:OGV15"/>
    <mergeCell ref="OEQ15:OER15"/>
    <mergeCell ref="OES15:OET15"/>
    <mergeCell ref="OEU15:OEZ15"/>
    <mergeCell ref="OFA15:OFD15"/>
    <mergeCell ref="OFE15:OFF15"/>
    <mergeCell ref="OFG15:OFH15"/>
    <mergeCell ref="OFI15:OFJ15"/>
    <mergeCell ref="OFK15:OFP15"/>
    <mergeCell ref="OFQ15:OFT15"/>
    <mergeCell ref="ODM15:ODN15"/>
    <mergeCell ref="ODO15:ODT15"/>
    <mergeCell ref="ODU15:ODX15"/>
    <mergeCell ref="ODY15:ODZ15"/>
    <mergeCell ref="OEA15:OEB15"/>
    <mergeCell ref="OEC15:OED15"/>
    <mergeCell ref="OEE15:OEJ15"/>
    <mergeCell ref="OEK15:OEN15"/>
    <mergeCell ref="OEO15:OEP15"/>
    <mergeCell ref="OCI15:OCN15"/>
    <mergeCell ref="OCO15:OCR15"/>
    <mergeCell ref="OCS15:OCT15"/>
    <mergeCell ref="OCU15:OCV15"/>
    <mergeCell ref="OCW15:OCX15"/>
    <mergeCell ref="OCY15:ODD15"/>
    <mergeCell ref="ODE15:ODH15"/>
    <mergeCell ref="ODI15:ODJ15"/>
    <mergeCell ref="ODK15:ODL15"/>
    <mergeCell ref="OBI15:OBL15"/>
    <mergeCell ref="OBM15:OBN15"/>
    <mergeCell ref="OBO15:OBP15"/>
    <mergeCell ref="OBQ15:OBR15"/>
    <mergeCell ref="OBS15:OBX15"/>
    <mergeCell ref="OBY15:OCB15"/>
    <mergeCell ref="OCC15:OCD15"/>
    <mergeCell ref="OCE15:OCF15"/>
    <mergeCell ref="OCG15:OCH15"/>
    <mergeCell ref="OAG15:OAH15"/>
    <mergeCell ref="OAI15:OAJ15"/>
    <mergeCell ref="OAK15:OAL15"/>
    <mergeCell ref="OAM15:OAR15"/>
    <mergeCell ref="OAS15:OAV15"/>
    <mergeCell ref="OAW15:OAX15"/>
    <mergeCell ref="OAY15:OAZ15"/>
    <mergeCell ref="OBA15:OBB15"/>
    <mergeCell ref="OBC15:OBH15"/>
    <mergeCell ref="NZC15:NZD15"/>
    <mergeCell ref="NZE15:NZF15"/>
    <mergeCell ref="NZG15:NZL15"/>
    <mergeCell ref="NZM15:NZP15"/>
    <mergeCell ref="NZQ15:NZR15"/>
    <mergeCell ref="NZS15:NZT15"/>
    <mergeCell ref="NZU15:NZV15"/>
    <mergeCell ref="NZW15:OAB15"/>
    <mergeCell ref="OAC15:OAF15"/>
    <mergeCell ref="NXY15:NXZ15"/>
    <mergeCell ref="NYA15:NYF15"/>
    <mergeCell ref="NYG15:NYJ15"/>
    <mergeCell ref="NYK15:NYL15"/>
    <mergeCell ref="NYM15:NYN15"/>
    <mergeCell ref="NYO15:NYP15"/>
    <mergeCell ref="NYQ15:NYV15"/>
    <mergeCell ref="NYW15:NYZ15"/>
    <mergeCell ref="NZA15:NZB15"/>
    <mergeCell ref="NWU15:NWZ15"/>
    <mergeCell ref="NXA15:NXD15"/>
    <mergeCell ref="NXE15:NXF15"/>
    <mergeCell ref="NXG15:NXH15"/>
    <mergeCell ref="NXI15:NXJ15"/>
    <mergeCell ref="NXK15:NXP15"/>
    <mergeCell ref="NXQ15:NXT15"/>
    <mergeCell ref="NXU15:NXV15"/>
    <mergeCell ref="NXW15:NXX15"/>
    <mergeCell ref="NVU15:NVX15"/>
    <mergeCell ref="NVY15:NVZ15"/>
    <mergeCell ref="NWA15:NWB15"/>
    <mergeCell ref="NWC15:NWD15"/>
    <mergeCell ref="NWE15:NWJ15"/>
    <mergeCell ref="NWK15:NWN15"/>
    <mergeCell ref="NWO15:NWP15"/>
    <mergeCell ref="NWQ15:NWR15"/>
    <mergeCell ref="NWS15:NWT15"/>
    <mergeCell ref="NUS15:NUT15"/>
    <mergeCell ref="NUU15:NUV15"/>
    <mergeCell ref="NUW15:NUX15"/>
    <mergeCell ref="NUY15:NVD15"/>
    <mergeCell ref="NVE15:NVH15"/>
    <mergeCell ref="NVI15:NVJ15"/>
    <mergeCell ref="NVK15:NVL15"/>
    <mergeCell ref="NVM15:NVN15"/>
    <mergeCell ref="NVO15:NVT15"/>
    <mergeCell ref="NTO15:NTP15"/>
    <mergeCell ref="NTQ15:NTR15"/>
    <mergeCell ref="NTS15:NTX15"/>
    <mergeCell ref="NTY15:NUB15"/>
    <mergeCell ref="NUC15:NUD15"/>
    <mergeCell ref="NUE15:NUF15"/>
    <mergeCell ref="NUG15:NUH15"/>
    <mergeCell ref="NUI15:NUN15"/>
    <mergeCell ref="NUO15:NUR15"/>
    <mergeCell ref="NSK15:NSL15"/>
    <mergeCell ref="NSM15:NSR15"/>
    <mergeCell ref="NSS15:NSV15"/>
    <mergeCell ref="NSW15:NSX15"/>
    <mergeCell ref="NSY15:NSZ15"/>
    <mergeCell ref="NTA15:NTB15"/>
    <mergeCell ref="NTC15:NTH15"/>
    <mergeCell ref="NTI15:NTL15"/>
    <mergeCell ref="NTM15:NTN15"/>
    <mergeCell ref="NRG15:NRL15"/>
    <mergeCell ref="NRM15:NRP15"/>
    <mergeCell ref="NRQ15:NRR15"/>
    <mergeCell ref="NRS15:NRT15"/>
    <mergeCell ref="NRU15:NRV15"/>
    <mergeCell ref="NRW15:NSB15"/>
    <mergeCell ref="NSC15:NSF15"/>
    <mergeCell ref="NSG15:NSH15"/>
    <mergeCell ref="NSI15:NSJ15"/>
    <mergeCell ref="NQG15:NQJ15"/>
    <mergeCell ref="NQK15:NQL15"/>
    <mergeCell ref="NQM15:NQN15"/>
    <mergeCell ref="NQO15:NQP15"/>
    <mergeCell ref="NQQ15:NQV15"/>
    <mergeCell ref="NQW15:NQZ15"/>
    <mergeCell ref="NRA15:NRB15"/>
    <mergeCell ref="NRC15:NRD15"/>
    <mergeCell ref="NRE15:NRF15"/>
    <mergeCell ref="NPE15:NPF15"/>
    <mergeCell ref="NPG15:NPH15"/>
    <mergeCell ref="NPI15:NPJ15"/>
    <mergeCell ref="NPK15:NPP15"/>
    <mergeCell ref="NPQ15:NPT15"/>
    <mergeCell ref="NPU15:NPV15"/>
    <mergeCell ref="NPW15:NPX15"/>
    <mergeCell ref="NPY15:NPZ15"/>
    <mergeCell ref="NQA15:NQF15"/>
    <mergeCell ref="NOA15:NOB15"/>
    <mergeCell ref="NOC15:NOD15"/>
    <mergeCell ref="NOE15:NOJ15"/>
    <mergeCell ref="NOK15:NON15"/>
    <mergeCell ref="NOO15:NOP15"/>
    <mergeCell ref="NOQ15:NOR15"/>
    <mergeCell ref="NOS15:NOT15"/>
    <mergeCell ref="NOU15:NOZ15"/>
    <mergeCell ref="NPA15:NPD15"/>
    <mergeCell ref="NMW15:NMX15"/>
    <mergeCell ref="NMY15:NND15"/>
    <mergeCell ref="NNE15:NNH15"/>
    <mergeCell ref="NNI15:NNJ15"/>
    <mergeCell ref="NNK15:NNL15"/>
    <mergeCell ref="NNM15:NNN15"/>
    <mergeCell ref="NNO15:NNT15"/>
    <mergeCell ref="NNU15:NNX15"/>
    <mergeCell ref="NNY15:NNZ15"/>
    <mergeCell ref="NLS15:NLX15"/>
    <mergeCell ref="NLY15:NMB15"/>
    <mergeCell ref="NMC15:NMD15"/>
    <mergeCell ref="NME15:NMF15"/>
    <mergeCell ref="NMG15:NMH15"/>
    <mergeCell ref="NMI15:NMN15"/>
    <mergeCell ref="NMO15:NMR15"/>
    <mergeCell ref="NMS15:NMT15"/>
    <mergeCell ref="NMU15:NMV15"/>
    <mergeCell ref="NKS15:NKV15"/>
    <mergeCell ref="NKW15:NKX15"/>
    <mergeCell ref="NKY15:NKZ15"/>
    <mergeCell ref="NLA15:NLB15"/>
    <mergeCell ref="NLC15:NLH15"/>
    <mergeCell ref="NLI15:NLL15"/>
    <mergeCell ref="NLM15:NLN15"/>
    <mergeCell ref="NLO15:NLP15"/>
    <mergeCell ref="NLQ15:NLR15"/>
    <mergeCell ref="NJQ15:NJR15"/>
    <mergeCell ref="NJS15:NJT15"/>
    <mergeCell ref="NJU15:NJV15"/>
    <mergeCell ref="NJW15:NKB15"/>
    <mergeCell ref="NKC15:NKF15"/>
    <mergeCell ref="NKG15:NKH15"/>
    <mergeCell ref="NKI15:NKJ15"/>
    <mergeCell ref="NKK15:NKL15"/>
    <mergeCell ref="NKM15:NKR15"/>
    <mergeCell ref="NIM15:NIN15"/>
    <mergeCell ref="NIO15:NIP15"/>
    <mergeCell ref="NIQ15:NIV15"/>
    <mergeCell ref="NIW15:NIZ15"/>
    <mergeCell ref="NJA15:NJB15"/>
    <mergeCell ref="NJC15:NJD15"/>
    <mergeCell ref="NJE15:NJF15"/>
    <mergeCell ref="NJG15:NJL15"/>
    <mergeCell ref="NJM15:NJP15"/>
    <mergeCell ref="NHI15:NHJ15"/>
    <mergeCell ref="NHK15:NHP15"/>
    <mergeCell ref="NHQ15:NHT15"/>
    <mergeCell ref="NHU15:NHV15"/>
    <mergeCell ref="NHW15:NHX15"/>
    <mergeCell ref="NHY15:NHZ15"/>
    <mergeCell ref="NIA15:NIF15"/>
    <mergeCell ref="NIG15:NIJ15"/>
    <mergeCell ref="NIK15:NIL15"/>
    <mergeCell ref="NGE15:NGJ15"/>
    <mergeCell ref="NGK15:NGN15"/>
    <mergeCell ref="NGO15:NGP15"/>
    <mergeCell ref="NGQ15:NGR15"/>
    <mergeCell ref="NGS15:NGT15"/>
    <mergeCell ref="NGU15:NGZ15"/>
    <mergeCell ref="NHA15:NHD15"/>
    <mergeCell ref="NHE15:NHF15"/>
    <mergeCell ref="NHG15:NHH15"/>
    <mergeCell ref="NFE15:NFH15"/>
    <mergeCell ref="NFI15:NFJ15"/>
    <mergeCell ref="NFK15:NFL15"/>
    <mergeCell ref="NFM15:NFN15"/>
    <mergeCell ref="NFO15:NFT15"/>
    <mergeCell ref="NFU15:NFX15"/>
    <mergeCell ref="NFY15:NFZ15"/>
    <mergeCell ref="NGA15:NGB15"/>
    <mergeCell ref="NGC15:NGD15"/>
    <mergeCell ref="NEC15:NED15"/>
    <mergeCell ref="NEE15:NEF15"/>
    <mergeCell ref="NEG15:NEH15"/>
    <mergeCell ref="NEI15:NEN15"/>
    <mergeCell ref="NEO15:NER15"/>
    <mergeCell ref="NES15:NET15"/>
    <mergeCell ref="NEU15:NEV15"/>
    <mergeCell ref="NEW15:NEX15"/>
    <mergeCell ref="NEY15:NFD15"/>
    <mergeCell ref="NCY15:NCZ15"/>
    <mergeCell ref="NDA15:NDB15"/>
    <mergeCell ref="NDC15:NDH15"/>
    <mergeCell ref="NDI15:NDL15"/>
    <mergeCell ref="NDM15:NDN15"/>
    <mergeCell ref="NDO15:NDP15"/>
    <mergeCell ref="NDQ15:NDR15"/>
    <mergeCell ref="NDS15:NDX15"/>
    <mergeCell ref="NDY15:NEB15"/>
    <mergeCell ref="NBU15:NBV15"/>
    <mergeCell ref="NBW15:NCB15"/>
    <mergeCell ref="NCC15:NCF15"/>
    <mergeCell ref="NCG15:NCH15"/>
    <mergeCell ref="NCI15:NCJ15"/>
    <mergeCell ref="NCK15:NCL15"/>
    <mergeCell ref="NCM15:NCR15"/>
    <mergeCell ref="NCS15:NCV15"/>
    <mergeCell ref="NCW15:NCX15"/>
    <mergeCell ref="NAQ15:NAV15"/>
    <mergeCell ref="NAW15:NAZ15"/>
    <mergeCell ref="NBA15:NBB15"/>
    <mergeCell ref="NBC15:NBD15"/>
    <mergeCell ref="NBE15:NBF15"/>
    <mergeCell ref="NBG15:NBL15"/>
    <mergeCell ref="NBM15:NBP15"/>
    <mergeCell ref="NBQ15:NBR15"/>
    <mergeCell ref="NBS15:NBT15"/>
    <mergeCell ref="MZQ15:MZT15"/>
    <mergeCell ref="MZU15:MZV15"/>
    <mergeCell ref="MZW15:MZX15"/>
    <mergeCell ref="MZY15:MZZ15"/>
    <mergeCell ref="NAA15:NAF15"/>
    <mergeCell ref="NAG15:NAJ15"/>
    <mergeCell ref="NAK15:NAL15"/>
    <mergeCell ref="NAM15:NAN15"/>
    <mergeCell ref="NAO15:NAP15"/>
    <mergeCell ref="MYO15:MYP15"/>
    <mergeCell ref="MYQ15:MYR15"/>
    <mergeCell ref="MYS15:MYT15"/>
    <mergeCell ref="MYU15:MYZ15"/>
    <mergeCell ref="MZA15:MZD15"/>
    <mergeCell ref="MZE15:MZF15"/>
    <mergeCell ref="MZG15:MZH15"/>
    <mergeCell ref="MZI15:MZJ15"/>
    <mergeCell ref="MZK15:MZP15"/>
    <mergeCell ref="MXK15:MXL15"/>
    <mergeCell ref="MXM15:MXN15"/>
    <mergeCell ref="MXO15:MXT15"/>
    <mergeCell ref="MXU15:MXX15"/>
    <mergeCell ref="MXY15:MXZ15"/>
    <mergeCell ref="MYA15:MYB15"/>
    <mergeCell ref="MYC15:MYD15"/>
    <mergeCell ref="MYE15:MYJ15"/>
    <mergeCell ref="MYK15:MYN15"/>
    <mergeCell ref="MWG15:MWH15"/>
    <mergeCell ref="MWI15:MWN15"/>
    <mergeCell ref="MWO15:MWR15"/>
    <mergeCell ref="MWS15:MWT15"/>
    <mergeCell ref="MWU15:MWV15"/>
    <mergeCell ref="MWW15:MWX15"/>
    <mergeCell ref="MWY15:MXD15"/>
    <mergeCell ref="MXE15:MXH15"/>
    <mergeCell ref="MXI15:MXJ15"/>
    <mergeCell ref="MVC15:MVH15"/>
    <mergeCell ref="MVI15:MVL15"/>
    <mergeCell ref="MVM15:MVN15"/>
    <mergeCell ref="MVO15:MVP15"/>
    <mergeCell ref="MVQ15:MVR15"/>
    <mergeCell ref="MVS15:MVX15"/>
    <mergeCell ref="MVY15:MWB15"/>
    <mergeCell ref="MWC15:MWD15"/>
    <mergeCell ref="MWE15:MWF15"/>
    <mergeCell ref="MUC15:MUF15"/>
    <mergeCell ref="MUG15:MUH15"/>
    <mergeCell ref="MUI15:MUJ15"/>
    <mergeCell ref="MUK15:MUL15"/>
    <mergeCell ref="MUM15:MUR15"/>
    <mergeCell ref="MUS15:MUV15"/>
    <mergeCell ref="MUW15:MUX15"/>
    <mergeCell ref="MUY15:MUZ15"/>
    <mergeCell ref="MVA15:MVB15"/>
    <mergeCell ref="MTA15:MTB15"/>
    <mergeCell ref="MTC15:MTD15"/>
    <mergeCell ref="MTE15:MTF15"/>
    <mergeCell ref="MTG15:MTL15"/>
    <mergeCell ref="MTM15:MTP15"/>
    <mergeCell ref="MTQ15:MTR15"/>
    <mergeCell ref="MTS15:MTT15"/>
    <mergeCell ref="MTU15:MTV15"/>
    <mergeCell ref="MTW15:MUB15"/>
    <mergeCell ref="MRW15:MRX15"/>
    <mergeCell ref="MRY15:MRZ15"/>
    <mergeCell ref="MSA15:MSF15"/>
    <mergeCell ref="MSG15:MSJ15"/>
    <mergeCell ref="MSK15:MSL15"/>
    <mergeCell ref="MSM15:MSN15"/>
    <mergeCell ref="MSO15:MSP15"/>
    <mergeCell ref="MSQ15:MSV15"/>
    <mergeCell ref="MSW15:MSZ15"/>
    <mergeCell ref="MQS15:MQT15"/>
    <mergeCell ref="MQU15:MQZ15"/>
    <mergeCell ref="MRA15:MRD15"/>
    <mergeCell ref="MRE15:MRF15"/>
    <mergeCell ref="MRG15:MRH15"/>
    <mergeCell ref="MRI15:MRJ15"/>
    <mergeCell ref="MRK15:MRP15"/>
    <mergeCell ref="MRQ15:MRT15"/>
    <mergeCell ref="MRU15:MRV15"/>
    <mergeCell ref="MPO15:MPT15"/>
    <mergeCell ref="MPU15:MPX15"/>
    <mergeCell ref="MPY15:MPZ15"/>
    <mergeCell ref="MQA15:MQB15"/>
    <mergeCell ref="MQC15:MQD15"/>
    <mergeCell ref="MQE15:MQJ15"/>
    <mergeCell ref="MQK15:MQN15"/>
    <mergeCell ref="MQO15:MQP15"/>
    <mergeCell ref="MQQ15:MQR15"/>
    <mergeCell ref="MOO15:MOR15"/>
    <mergeCell ref="MOS15:MOT15"/>
    <mergeCell ref="MOU15:MOV15"/>
    <mergeCell ref="MOW15:MOX15"/>
    <mergeCell ref="MOY15:MPD15"/>
    <mergeCell ref="MPE15:MPH15"/>
    <mergeCell ref="MPI15:MPJ15"/>
    <mergeCell ref="MPK15:MPL15"/>
    <mergeCell ref="MPM15:MPN15"/>
    <mergeCell ref="MNM15:MNN15"/>
    <mergeCell ref="MNO15:MNP15"/>
    <mergeCell ref="MNQ15:MNR15"/>
    <mergeCell ref="MNS15:MNX15"/>
    <mergeCell ref="MNY15:MOB15"/>
    <mergeCell ref="MOC15:MOD15"/>
    <mergeCell ref="MOE15:MOF15"/>
    <mergeCell ref="MOG15:MOH15"/>
    <mergeCell ref="MOI15:MON15"/>
    <mergeCell ref="MMI15:MMJ15"/>
    <mergeCell ref="MMK15:MML15"/>
    <mergeCell ref="MMM15:MMR15"/>
    <mergeCell ref="MMS15:MMV15"/>
    <mergeCell ref="MMW15:MMX15"/>
    <mergeCell ref="MMY15:MMZ15"/>
    <mergeCell ref="MNA15:MNB15"/>
    <mergeCell ref="MNC15:MNH15"/>
    <mergeCell ref="MNI15:MNL15"/>
    <mergeCell ref="MLE15:MLF15"/>
    <mergeCell ref="MLG15:MLL15"/>
    <mergeCell ref="MLM15:MLP15"/>
    <mergeCell ref="MLQ15:MLR15"/>
    <mergeCell ref="MLS15:MLT15"/>
    <mergeCell ref="MLU15:MLV15"/>
    <mergeCell ref="MLW15:MMB15"/>
    <mergeCell ref="MMC15:MMF15"/>
    <mergeCell ref="MMG15:MMH15"/>
    <mergeCell ref="MKA15:MKF15"/>
    <mergeCell ref="MKG15:MKJ15"/>
    <mergeCell ref="MKK15:MKL15"/>
    <mergeCell ref="MKM15:MKN15"/>
    <mergeCell ref="MKO15:MKP15"/>
    <mergeCell ref="MKQ15:MKV15"/>
    <mergeCell ref="MKW15:MKZ15"/>
    <mergeCell ref="MLA15:MLB15"/>
    <mergeCell ref="MLC15:MLD15"/>
    <mergeCell ref="MJA15:MJD15"/>
    <mergeCell ref="MJE15:MJF15"/>
    <mergeCell ref="MJG15:MJH15"/>
    <mergeCell ref="MJI15:MJJ15"/>
    <mergeCell ref="MJK15:MJP15"/>
    <mergeCell ref="MJQ15:MJT15"/>
    <mergeCell ref="MJU15:MJV15"/>
    <mergeCell ref="MJW15:MJX15"/>
    <mergeCell ref="MJY15:MJZ15"/>
    <mergeCell ref="MHY15:MHZ15"/>
    <mergeCell ref="MIA15:MIB15"/>
    <mergeCell ref="MIC15:MID15"/>
    <mergeCell ref="MIE15:MIJ15"/>
    <mergeCell ref="MIK15:MIN15"/>
    <mergeCell ref="MIO15:MIP15"/>
    <mergeCell ref="MIQ15:MIR15"/>
    <mergeCell ref="MIS15:MIT15"/>
    <mergeCell ref="MIU15:MIZ15"/>
    <mergeCell ref="MGU15:MGV15"/>
    <mergeCell ref="MGW15:MGX15"/>
    <mergeCell ref="MGY15:MHD15"/>
    <mergeCell ref="MHE15:MHH15"/>
    <mergeCell ref="MHI15:MHJ15"/>
    <mergeCell ref="MHK15:MHL15"/>
    <mergeCell ref="MHM15:MHN15"/>
    <mergeCell ref="MHO15:MHT15"/>
    <mergeCell ref="MHU15:MHX15"/>
    <mergeCell ref="MFQ15:MFR15"/>
    <mergeCell ref="MFS15:MFX15"/>
    <mergeCell ref="MFY15:MGB15"/>
    <mergeCell ref="MGC15:MGD15"/>
    <mergeCell ref="MGE15:MGF15"/>
    <mergeCell ref="MGG15:MGH15"/>
    <mergeCell ref="MGI15:MGN15"/>
    <mergeCell ref="MGO15:MGR15"/>
    <mergeCell ref="MGS15:MGT15"/>
    <mergeCell ref="MEM15:MER15"/>
    <mergeCell ref="MES15:MEV15"/>
    <mergeCell ref="MEW15:MEX15"/>
    <mergeCell ref="MEY15:MEZ15"/>
    <mergeCell ref="MFA15:MFB15"/>
    <mergeCell ref="MFC15:MFH15"/>
    <mergeCell ref="MFI15:MFL15"/>
    <mergeCell ref="MFM15:MFN15"/>
    <mergeCell ref="MFO15:MFP15"/>
    <mergeCell ref="MDM15:MDP15"/>
    <mergeCell ref="MDQ15:MDR15"/>
    <mergeCell ref="MDS15:MDT15"/>
    <mergeCell ref="MDU15:MDV15"/>
    <mergeCell ref="MDW15:MEB15"/>
    <mergeCell ref="MEC15:MEF15"/>
    <mergeCell ref="MEG15:MEH15"/>
    <mergeCell ref="MEI15:MEJ15"/>
    <mergeCell ref="MEK15:MEL15"/>
    <mergeCell ref="MCK15:MCL15"/>
    <mergeCell ref="MCM15:MCN15"/>
    <mergeCell ref="MCO15:MCP15"/>
    <mergeCell ref="MCQ15:MCV15"/>
    <mergeCell ref="MCW15:MCZ15"/>
    <mergeCell ref="MDA15:MDB15"/>
    <mergeCell ref="MDC15:MDD15"/>
    <mergeCell ref="MDE15:MDF15"/>
    <mergeCell ref="MDG15:MDL15"/>
    <mergeCell ref="MBG15:MBH15"/>
    <mergeCell ref="MBI15:MBJ15"/>
    <mergeCell ref="MBK15:MBP15"/>
    <mergeCell ref="MBQ15:MBT15"/>
    <mergeCell ref="MBU15:MBV15"/>
    <mergeCell ref="MBW15:MBX15"/>
    <mergeCell ref="MBY15:MBZ15"/>
    <mergeCell ref="MCA15:MCF15"/>
    <mergeCell ref="MCG15:MCJ15"/>
    <mergeCell ref="MAC15:MAD15"/>
    <mergeCell ref="MAE15:MAJ15"/>
    <mergeCell ref="MAK15:MAN15"/>
    <mergeCell ref="MAO15:MAP15"/>
    <mergeCell ref="MAQ15:MAR15"/>
    <mergeCell ref="MAS15:MAT15"/>
    <mergeCell ref="MAU15:MAZ15"/>
    <mergeCell ref="MBA15:MBD15"/>
    <mergeCell ref="MBE15:MBF15"/>
    <mergeCell ref="LYY15:LZD15"/>
    <mergeCell ref="LZE15:LZH15"/>
    <mergeCell ref="LZI15:LZJ15"/>
    <mergeCell ref="LZK15:LZL15"/>
    <mergeCell ref="LZM15:LZN15"/>
    <mergeCell ref="LZO15:LZT15"/>
    <mergeCell ref="LZU15:LZX15"/>
    <mergeCell ref="LZY15:LZZ15"/>
    <mergeCell ref="MAA15:MAB15"/>
    <mergeCell ref="LXY15:LYB15"/>
    <mergeCell ref="LYC15:LYD15"/>
    <mergeCell ref="LYE15:LYF15"/>
    <mergeCell ref="LYG15:LYH15"/>
    <mergeCell ref="LYI15:LYN15"/>
    <mergeCell ref="LYO15:LYR15"/>
    <mergeCell ref="LYS15:LYT15"/>
    <mergeCell ref="LYU15:LYV15"/>
    <mergeCell ref="LYW15:LYX15"/>
    <mergeCell ref="LWW15:LWX15"/>
    <mergeCell ref="LWY15:LWZ15"/>
    <mergeCell ref="LXA15:LXB15"/>
    <mergeCell ref="LXC15:LXH15"/>
    <mergeCell ref="LXI15:LXL15"/>
    <mergeCell ref="LXM15:LXN15"/>
    <mergeCell ref="LXO15:LXP15"/>
    <mergeCell ref="LXQ15:LXR15"/>
    <mergeCell ref="LXS15:LXX15"/>
    <mergeCell ref="LVS15:LVT15"/>
    <mergeCell ref="LVU15:LVV15"/>
    <mergeCell ref="LVW15:LWB15"/>
    <mergeCell ref="LWC15:LWF15"/>
    <mergeCell ref="LWG15:LWH15"/>
    <mergeCell ref="LWI15:LWJ15"/>
    <mergeCell ref="LWK15:LWL15"/>
    <mergeCell ref="LWM15:LWR15"/>
    <mergeCell ref="LWS15:LWV15"/>
    <mergeCell ref="LUO15:LUP15"/>
    <mergeCell ref="LUQ15:LUV15"/>
    <mergeCell ref="LUW15:LUZ15"/>
    <mergeCell ref="LVA15:LVB15"/>
    <mergeCell ref="LVC15:LVD15"/>
    <mergeCell ref="LVE15:LVF15"/>
    <mergeCell ref="LVG15:LVL15"/>
    <mergeCell ref="LVM15:LVP15"/>
    <mergeCell ref="LVQ15:LVR15"/>
    <mergeCell ref="LTK15:LTP15"/>
    <mergeCell ref="LTQ15:LTT15"/>
    <mergeCell ref="LTU15:LTV15"/>
    <mergeCell ref="LTW15:LTX15"/>
    <mergeCell ref="LTY15:LTZ15"/>
    <mergeCell ref="LUA15:LUF15"/>
    <mergeCell ref="LUG15:LUJ15"/>
    <mergeCell ref="LUK15:LUL15"/>
    <mergeCell ref="LUM15:LUN15"/>
    <mergeCell ref="LSK15:LSN15"/>
    <mergeCell ref="LSO15:LSP15"/>
    <mergeCell ref="LSQ15:LSR15"/>
    <mergeCell ref="LSS15:LST15"/>
    <mergeCell ref="LSU15:LSZ15"/>
    <mergeCell ref="LTA15:LTD15"/>
    <mergeCell ref="LTE15:LTF15"/>
    <mergeCell ref="LTG15:LTH15"/>
    <mergeCell ref="LTI15:LTJ15"/>
    <mergeCell ref="LRI15:LRJ15"/>
    <mergeCell ref="LRK15:LRL15"/>
    <mergeCell ref="LRM15:LRN15"/>
    <mergeCell ref="LRO15:LRT15"/>
    <mergeCell ref="LRU15:LRX15"/>
    <mergeCell ref="LRY15:LRZ15"/>
    <mergeCell ref="LSA15:LSB15"/>
    <mergeCell ref="LSC15:LSD15"/>
    <mergeCell ref="LSE15:LSJ15"/>
    <mergeCell ref="LQE15:LQF15"/>
    <mergeCell ref="LQG15:LQH15"/>
    <mergeCell ref="LQI15:LQN15"/>
    <mergeCell ref="LQO15:LQR15"/>
    <mergeCell ref="LQS15:LQT15"/>
    <mergeCell ref="LQU15:LQV15"/>
    <mergeCell ref="LQW15:LQX15"/>
    <mergeCell ref="LQY15:LRD15"/>
    <mergeCell ref="LRE15:LRH15"/>
    <mergeCell ref="LPA15:LPB15"/>
    <mergeCell ref="LPC15:LPH15"/>
    <mergeCell ref="LPI15:LPL15"/>
    <mergeCell ref="LPM15:LPN15"/>
    <mergeCell ref="LPO15:LPP15"/>
    <mergeCell ref="LPQ15:LPR15"/>
    <mergeCell ref="LPS15:LPX15"/>
    <mergeCell ref="LPY15:LQB15"/>
    <mergeCell ref="LQC15:LQD15"/>
    <mergeCell ref="LNW15:LOB15"/>
    <mergeCell ref="LOC15:LOF15"/>
    <mergeCell ref="LOG15:LOH15"/>
    <mergeCell ref="LOI15:LOJ15"/>
    <mergeCell ref="LOK15:LOL15"/>
    <mergeCell ref="LOM15:LOR15"/>
    <mergeCell ref="LOS15:LOV15"/>
    <mergeCell ref="LOW15:LOX15"/>
    <mergeCell ref="LOY15:LOZ15"/>
    <mergeCell ref="LMW15:LMZ15"/>
    <mergeCell ref="LNA15:LNB15"/>
    <mergeCell ref="LNC15:LND15"/>
    <mergeCell ref="LNE15:LNF15"/>
    <mergeCell ref="LNG15:LNL15"/>
    <mergeCell ref="LNM15:LNP15"/>
    <mergeCell ref="LNQ15:LNR15"/>
    <mergeCell ref="LNS15:LNT15"/>
    <mergeCell ref="LNU15:LNV15"/>
    <mergeCell ref="LLU15:LLV15"/>
    <mergeCell ref="LLW15:LLX15"/>
    <mergeCell ref="LLY15:LLZ15"/>
    <mergeCell ref="LMA15:LMF15"/>
    <mergeCell ref="LMG15:LMJ15"/>
    <mergeCell ref="LMK15:LML15"/>
    <mergeCell ref="LMM15:LMN15"/>
    <mergeCell ref="LMO15:LMP15"/>
    <mergeCell ref="LMQ15:LMV15"/>
    <mergeCell ref="LKQ15:LKR15"/>
    <mergeCell ref="LKS15:LKT15"/>
    <mergeCell ref="LKU15:LKZ15"/>
    <mergeCell ref="LLA15:LLD15"/>
    <mergeCell ref="LLE15:LLF15"/>
    <mergeCell ref="LLG15:LLH15"/>
    <mergeCell ref="LLI15:LLJ15"/>
    <mergeCell ref="LLK15:LLP15"/>
    <mergeCell ref="LLQ15:LLT15"/>
    <mergeCell ref="LJM15:LJN15"/>
    <mergeCell ref="LJO15:LJT15"/>
    <mergeCell ref="LJU15:LJX15"/>
    <mergeCell ref="LJY15:LJZ15"/>
    <mergeCell ref="LKA15:LKB15"/>
    <mergeCell ref="LKC15:LKD15"/>
    <mergeCell ref="LKE15:LKJ15"/>
    <mergeCell ref="LKK15:LKN15"/>
    <mergeCell ref="LKO15:LKP15"/>
    <mergeCell ref="LII15:LIN15"/>
    <mergeCell ref="LIO15:LIR15"/>
    <mergeCell ref="LIS15:LIT15"/>
    <mergeCell ref="LIU15:LIV15"/>
    <mergeCell ref="LIW15:LIX15"/>
    <mergeCell ref="LIY15:LJD15"/>
    <mergeCell ref="LJE15:LJH15"/>
    <mergeCell ref="LJI15:LJJ15"/>
    <mergeCell ref="LJK15:LJL15"/>
    <mergeCell ref="LHI15:LHL15"/>
    <mergeCell ref="LHM15:LHN15"/>
    <mergeCell ref="LHO15:LHP15"/>
    <mergeCell ref="LHQ15:LHR15"/>
    <mergeCell ref="LHS15:LHX15"/>
    <mergeCell ref="LHY15:LIB15"/>
    <mergeCell ref="LIC15:LID15"/>
    <mergeCell ref="LIE15:LIF15"/>
    <mergeCell ref="LIG15:LIH15"/>
    <mergeCell ref="LGG15:LGH15"/>
    <mergeCell ref="LGI15:LGJ15"/>
    <mergeCell ref="LGK15:LGL15"/>
    <mergeCell ref="LGM15:LGR15"/>
    <mergeCell ref="LGS15:LGV15"/>
    <mergeCell ref="LGW15:LGX15"/>
    <mergeCell ref="LGY15:LGZ15"/>
    <mergeCell ref="LHA15:LHB15"/>
    <mergeCell ref="LHC15:LHH15"/>
    <mergeCell ref="LFC15:LFD15"/>
    <mergeCell ref="LFE15:LFF15"/>
    <mergeCell ref="LFG15:LFL15"/>
    <mergeCell ref="LFM15:LFP15"/>
    <mergeCell ref="LFQ15:LFR15"/>
    <mergeCell ref="LFS15:LFT15"/>
    <mergeCell ref="LFU15:LFV15"/>
    <mergeCell ref="LFW15:LGB15"/>
    <mergeCell ref="LGC15:LGF15"/>
    <mergeCell ref="LDY15:LDZ15"/>
    <mergeCell ref="LEA15:LEF15"/>
    <mergeCell ref="LEG15:LEJ15"/>
    <mergeCell ref="LEK15:LEL15"/>
    <mergeCell ref="LEM15:LEN15"/>
    <mergeCell ref="LEO15:LEP15"/>
    <mergeCell ref="LEQ15:LEV15"/>
    <mergeCell ref="LEW15:LEZ15"/>
    <mergeCell ref="LFA15:LFB15"/>
    <mergeCell ref="LCU15:LCZ15"/>
    <mergeCell ref="LDA15:LDD15"/>
    <mergeCell ref="LDE15:LDF15"/>
    <mergeCell ref="LDG15:LDH15"/>
    <mergeCell ref="LDI15:LDJ15"/>
    <mergeCell ref="LDK15:LDP15"/>
    <mergeCell ref="LDQ15:LDT15"/>
    <mergeCell ref="LDU15:LDV15"/>
    <mergeCell ref="LDW15:LDX15"/>
    <mergeCell ref="LBU15:LBX15"/>
    <mergeCell ref="LBY15:LBZ15"/>
    <mergeCell ref="LCA15:LCB15"/>
    <mergeCell ref="LCC15:LCD15"/>
    <mergeCell ref="LCE15:LCJ15"/>
    <mergeCell ref="LCK15:LCN15"/>
    <mergeCell ref="LCO15:LCP15"/>
    <mergeCell ref="LCQ15:LCR15"/>
    <mergeCell ref="LCS15:LCT15"/>
    <mergeCell ref="LAS15:LAT15"/>
    <mergeCell ref="LAU15:LAV15"/>
    <mergeCell ref="LAW15:LAX15"/>
    <mergeCell ref="LAY15:LBD15"/>
    <mergeCell ref="LBE15:LBH15"/>
    <mergeCell ref="LBI15:LBJ15"/>
    <mergeCell ref="LBK15:LBL15"/>
    <mergeCell ref="LBM15:LBN15"/>
    <mergeCell ref="LBO15:LBT15"/>
    <mergeCell ref="KZO15:KZP15"/>
    <mergeCell ref="KZQ15:KZR15"/>
    <mergeCell ref="KZS15:KZX15"/>
    <mergeCell ref="KZY15:LAB15"/>
    <mergeCell ref="LAC15:LAD15"/>
    <mergeCell ref="LAE15:LAF15"/>
    <mergeCell ref="LAG15:LAH15"/>
    <mergeCell ref="LAI15:LAN15"/>
    <mergeCell ref="LAO15:LAR15"/>
    <mergeCell ref="KYK15:KYL15"/>
    <mergeCell ref="KYM15:KYR15"/>
    <mergeCell ref="KYS15:KYV15"/>
    <mergeCell ref="KYW15:KYX15"/>
    <mergeCell ref="KYY15:KYZ15"/>
    <mergeCell ref="KZA15:KZB15"/>
    <mergeCell ref="KZC15:KZH15"/>
    <mergeCell ref="KZI15:KZL15"/>
    <mergeCell ref="KZM15:KZN15"/>
    <mergeCell ref="KXG15:KXL15"/>
    <mergeCell ref="KXM15:KXP15"/>
    <mergeCell ref="KXQ15:KXR15"/>
    <mergeCell ref="KXS15:KXT15"/>
    <mergeCell ref="KXU15:KXV15"/>
    <mergeCell ref="KXW15:KYB15"/>
    <mergeCell ref="KYC15:KYF15"/>
    <mergeCell ref="KYG15:KYH15"/>
    <mergeCell ref="KYI15:KYJ15"/>
    <mergeCell ref="KWG15:KWJ15"/>
    <mergeCell ref="KWK15:KWL15"/>
    <mergeCell ref="KWM15:KWN15"/>
    <mergeCell ref="KWO15:KWP15"/>
    <mergeCell ref="KWQ15:KWV15"/>
    <mergeCell ref="KWW15:KWZ15"/>
    <mergeCell ref="KXA15:KXB15"/>
    <mergeCell ref="KXC15:KXD15"/>
    <mergeCell ref="KXE15:KXF15"/>
    <mergeCell ref="KVE15:KVF15"/>
    <mergeCell ref="KVG15:KVH15"/>
    <mergeCell ref="KVI15:KVJ15"/>
    <mergeCell ref="KVK15:KVP15"/>
    <mergeCell ref="KVQ15:KVT15"/>
    <mergeCell ref="KVU15:KVV15"/>
    <mergeCell ref="KVW15:KVX15"/>
    <mergeCell ref="KVY15:KVZ15"/>
    <mergeCell ref="KWA15:KWF15"/>
    <mergeCell ref="KUA15:KUB15"/>
    <mergeCell ref="KUC15:KUD15"/>
    <mergeCell ref="KUE15:KUJ15"/>
    <mergeCell ref="KUK15:KUN15"/>
    <mergeCell ref="KUO15:KUP15"/>
    <mergeCell ref="KUQ15:KUR15"/>
    <mergeCell ref="KUS15:KUT15"/>
    <mergeCell ref="KUU15:KUZ15"/>
    <mergeCell ref="KVA15:KVD15"/>
    <mergeCell ref="KSW15:KSX15"/>
    <mergeCell ref="KSY15:KTD15"/>
    <mergeCell ref="KTE15:KTH15"/>
    <mergeCell ref="KTI15:KTJ15"/>
    <mergeCell ref="KTK15:KTL15"/>
    <mergeCell ref="KTM15:KTN15"/>
    <mergeCell ref="KTO15:KTT15"/>
    <mergeCell ref="KTU15:KTX15"/>
    <mergeCell ref="KTY15:KTZ15"/>
    <mergeCell ref="KRS15:KRX15"/>
    <mergeCell ref="KRY15:KSB15"/>
    <mergeCell ref="KSC15:KSD15"/>
    <mergeCell ref="KSE15:KSF15"/>
    <mergeCell ref="KSG15:KSH15"/>
    <mergeCell ref="KSI15:KSN15"/>
    <mergeCell ref="KSO15:KSR15"/>
    <mergeCell ref="KSS15:KST15"/>
    <mergeCell ref="KSU15:KSV15"/>
    <mergeCell ref="KQS15:KQV15"/>
    <mergeCell ref="KQW15:KQX15"/>
    <mergeCell ref="KQY15:KQZ15"/>
    <mergeCell ref="KRA15:KRB15"/>
    <mergeCell ref="KRC15:KRH15"/>
    <mergeCell ref="KRI15:KRL15"/>
    <mergeCell ref="KRM15:KRN15"/>
    <mergeCell ref="KRO15:KRP15"/>
    <mergeCell ref="KRQ15:KRR15"/>
    <mergeCell ref="KPQ15:KPR15"/>
    <mergeCell ref="KPS15:KPT15"/>
    <mergeCell ref="KPU15:KPV15"/>
    <mergeCell ref="KPW15:KQB15"/>
    <mergeCell ref="KQC15:KQF15"/>
    <mergeCell ref="KQG15:KQH15"/>
    <mergeCell ref="KQI15:KQJ15"/>
    <mergeCell ref="KQK15:KQL15"/>
    <mergeCell ref="KQM15:KQR15"/>
    <mergeCell ref="KOM15:KON15"/>
    <mergeCell ref="KOO15:KOP15"/>
    <mergeCell ref="KOQ15:KOV15"/>
    <mergeCell ref="KOW15:KOZ15"/>
    <mergeCell ref="KPA15:KPB15"/>
    <mergeCell ref="KPC15:KPD15"/>
    <mergeCell ref="KPE15:KPF15"/>
    <mergeCell ref="KPG15:KPL15"/>
    <mergeCell ref="KPM15:KPP15"/>
    <mergeCell ref="KNI15:KNJ15"/>
    <mergeCell ref="KNK15:KNP15"/>
    <mergeCell ref="KNQ15:KNT15"/>
    <mergeCell ref="KNU15:KNV15"/>
    <mergeCell ref="KNW15:KNX15"/>
    <mergeCell ref="KNY15:KNZ15"/>
    <mergeCell ref="KOA15:KOF15"/>
    <mergeCell ref="KOG15:KOJ15"/>
    <mergeCell ref="KOK15:KOL15"/>
    <mergeCell ref="KME15:KMJ15"/>
    <mergeCell ref="KMK15:KMN15"/>
    <mergeCell ref="KMO15:KMP15"/>
    <mergeCell ref="KMQ15:KMR15"/>
    <mergeCell ref="KMS15:KMT15"/>
    <mergeCell ref="KMU15:KMZ15"/>
    <mergeCell ref="KNA15:KND15"/>
    <mergeCell ref="KNE15:KNF15"/>
    <mergeCell ref="KNG15:KNH15"/>
    <mergeCell ref="KLE15:KLH15"/>
    <mergeCell ref="KLI15:KLJ15"/>
    <mergeCell ref="KLK15:KLL15"/>
    <mergeCell ref="KLM15:KLN15"/>
    <mergeCell ref="KLO15:KLT15"/>
    <mergeCell ref="KLU15:KLX15"/>
    <mergeCell ref="KLY15:KLZ15"/>
    <mergeCell ref="KMA15:KMB15"/>
    <mergeCell ref="KMC15:KMD15"/>
    <mergeCell ref="KKC15:KKD15"/>
    <mergeCell ref="KKE15:KKF15"/>
    <mergeCell ref="KKG15:KKH15"/>
    <mergeCell ref="KKI15:KKN15"/>
    <mergeCell ref="KKO15:KKR15"/>
    <mergeCell ref="KKS15:KKT15"/>
    <mergeCell ref="KKU15:KKV15"/>
    <mergeCell ref="KKW15:KKX15"/>
    <mergeCell ref="KKY15:KLD15"/>
    <mergeCell ref="KIY15:KIZ15"/>
    <mergeCell ref="KJA15:KJB15"/>
    <mergeCell ref="KJC15:KJH15"/>
    <mergeCell ref="KJI15:KJL15"/>
    <mergeCell ref="KJM15:KJN15"/>
    <mergeCell ref="KJO15:KJP15"/>
    <mergeCell ref="KJQ15:KJR15"/>
    <mergeCell ref="KJS15:KJX15"/>
    <mergeCell ref="KJY15:KKB15"/>
    <mergeCell ref="KHU15:KHV15"/>
    <mergeCell ref="KHW15:KIB15"/>
    <mergeCell ref="KIC15:KIF15"/>
    <mergeCell ref="KIG15:KIH15"/>
    <mergeCell ref="KII15:KIJ15"/>
    <mergeCell ref="KIK15:KIL15"/>
    <mergeCell ref="KIM15:KIR15"/>
    <mergeCell ref="KIS15:KIV15"/>
    <mergeCell ref="KIW15:KIX15"/>
    <mergeCell ref="KGQ15:KGV15"/>
    <mergeCell ref="KGW15:KGZ15"/>
    <mergeCell ref="KHA15:KHB15"/>
    <mergeCell ref="KHC15:KHD15"/>
    <mergeCell ref="KHE15:KHF15"/>
    <mergeCell ref="KHG15:KHL15"/>
    <mergeCell ref="KHM15:KHP15"/>
    <mergeCell ref="KHQ15:KHR15"/>
    <mergeCell ref="KHS15:KHT15"/>
    <mergeCell ref="KFQ15:KFT15"/>
    <mergeCell ref="KFU15:KFV15"/>
    <mergeCell ref="KFW15:KFX15"/>
    <mergeCell ref="KFY15:KFZ15"/>
    <mergeCell ref="KGA15:KGF15"/>
    <mergeCell ref="KGG15:KGJ15"/>
    <mergeCell ref="KGK15:KGL15"/>
    <mergeCell ref="KGM15:KGN15"/>
    <mergeCell ref="KGO15:KGP15"/>
    <mergeCell ref="KEO15:KEP15"/>
    <mergeCell ref="KEQ15:KER15"/>
    <mergeCell ref="KES15:KET15"/>
    <mergeCell ref="KEU15:KEZ15"/>
    <mergeCell ref="KFA15:KFD15"/>
    <mergeCell ref="KFE15:KFF15"/>
    <mergeCell ref="KFG15:KFH15"/>
    <mergeCell ref="KFI15:KFJ15"/>
    <mergeCell ref="KFK15:KFP15"/>
    <mergeCell ref="KDK15:KDL15"/>
    <mergeCell ref="KDM15:KDN15"/>
    <mergeCell ref="KDO15:KDT15"/>
    <mergeCell ref="KDU15:KDX15"/>
    <mergeCell ref="KDY15:KDZ15"/>
    <mergeCell ref="KEA15:KEB15"/>
    <mergeCell ref="KEC15:KED15"/>
    <mergeCell ref="KEE15:KEJ15"/>
    <mergeCell ref="KEK15:KEN15"/>
    <mergeCell ref="KCG15:KCH15"/>
    <mergeCell ref="KCI15:KCN15"/>
    <mergeCell ref="KCO15:KCR15"/>
    <mergeCell ref="KCS15:KCT15"/>
    <mergeCell ref="KCU15:KCV15"/>
    <mergeCell ref="KCW15:KCX15"/>
    <mergeCell ref="KCY15:KDD15"/>
    <mergeCell ref="KDE15:KDH15"/>
    <mergeCell ref="KDI15:KDJ15"/>
    <mergeCell ref="KBC15:KBH15"/>
    <mergeCell ref="KBI15:KBL15"/>
    <mergeCell ref="KBM15:KBN15"/>
    <mergeCell ref="KBO15:KBP15"/>
    <mergeCell ref="KBQ15:KBR15"/>
    <mergeCell ref="KBS15:KBX15"/>
    <mergeCell ref="KBY15:KCB15"/>
    <mergeCell ref="KCC15:KCD15"/>
    <mergeCell ref="KCE15:KCF15"/>
    <mergeCell ref="KAC15:KAF15"/>
    <mergeCell ref="KAG15:KAH15"/>
    <mergeCell ref="KAI15:KAJ15"/>
    <mergeCell ref="KAK15:KAL15"/>
    <mergeCell ref="KAM15:KAR15"/>
    <mergeCell ref="KAS15:KAV15"/>
    <mergeCell ref="KAW15:KAX15"/>
    <mergeCell ref="KAY15:KAZ15"/>
    <mergeCell ref="KBA15:KBB15"/>
    <mergeCell ref="JZA15:JZB15"/>
    <mergeCell ref="JZC15:JZD15"/>
    <mergeCell ref="JZE15:JZF15"/>
    <mergeCell ref="JZG15:JZL15"/>
    <mergeCell ref="JZM15:JZP15"/>
    <mergeCell ref="JZQ15:JZR15"/>
    <mergeCell ref="JZS15:JZT15"/>
    <mergeCell ref="JZU15:JZV15"/>
    <mergeCell ref="JZW15:KAB15"/>
    <mergeCell ref="JXW15:JXX15"/>
    <mergeCell ref="JXY15:JXZ15"/>
    <mergeCell ref="JYA15:JYF15"/>
    <mergeCell ref="JYG15:JYJ15"/>
    <mergeCell ref="JYK15:JYL15"/>
    <mergeCell ref="JYM15:JYN15"/>
    <mergeCell ref="JYO15:JYP15"/>
    <mergeCell ref="JYQ15:JYV15"/>
    <mergeCell ref="JYW15:JYZ15"/>
    <mergeCell ref="JWS15:JWT15"/>
    <mergeCell ref="JWU15:JWZ15"/>
    <mergeCell ref="JXA15:JXD15"/>
    <mergeCell ref="JXE15:JXF15"/>
    <mergeCell ref="JXG15:JXH15"/>
    <mergeCell ref="JXI15:JXJ15"/>
    <mergeCell ref="JXK15:JXP15"/>
    <mergeCell ref="JXQ15:JXT15"/>
    <mergeCell ref="JXU15:JXV15"/>
    <mergeCell ref="JVO15:JVT15"/>
    <mergeCell ref="JVU15:JVX15"/>
    <mergeCell ref="JVY15:JVZ15"/>
    <mergeCell ref="JWA15:JWB15"/>
    <mergeCell ref="JWC15:JWD15"/>
    <mergeCell ref="JWE15:JWJ15"/>
    <mergeCell ref="JWK15:JWN15"/>
    <mergeCell ref="JWO15:JWP15"/>
    <mergeCell ref="JWQ15:JWR15"/>
    <mergeCell ref="JUO15:JUR15"/>
    <mergeCell ref="JUS15:JUT15"/>
    <mergeCell ref="JUU15:JUV15"/>
    <mergeCell ref="JUW15:JUX15"/>
    <mergeCell ref="JUY15:JVD15"/>
    <mergeCell ref="JVE15:JVH15"/>
    <mergeCell ref="JVI15:JVJ15"/>
    <mergeCell ref="JVK15:JVL15"/>
    <mergeCell ref="JVM15:JVN15"/>
    <mergeCell ref="JTM15:JTN15"/>
    <mergeCell ref="JTO15:JTP15"/>
    <mergeCell ref="JTQ15:JTR15"/>
    <mergeCell ref="JTS15:JTX15"/>
    <mergeCell ref="JTY15:JUB15"/>
    <mergeCell ref="JUC15:JUD15"/>
    <mergeCell ref="JUE15:JUF15"/>
    <mergeCell ref="JUG15:JUH15"/>
    <mergeCell ref="JUI15:JUN15"/>
    <mergeCell ref="JSI15:JSJ15"/>
    <mergeCell ref="JSK15:JSL15"/>
    <mergeCell ref="JSM15:JSR15"/>
    <mergeCell ref="JSS15:JSV15"/>
    <mergeCell ref="JSW15:JSX15"/>
    <mergeCell ref="JSY15:JSZ15"/>
    <mergeCell ref="JTA15:JTB15"/>
    <mergeCell ref="JTC15:JTH15"/>
    <mergeCell ref="JTI15:JTL15"/>
    <mergeCell ref="JRE15:JRF15"/>
    <mergeCell ref="JRG15:JRL15"/>
    <mergeCell ref="JRM15:JRP15"/>
    <mergeCell ref="JRQ15:JRR15"/>
    <mergeCell ref="JRS15:JRT15"/>
    <mergeCell ref="JRU15:JRV15"/>
    <mergeCell ref="JRW15:JSB15"/>
    <mergeCell ref="JSC15:JSF15"/>
    <mergeCell ref="JSG15:JSH15"/>
    <mergeCell ref="JQA15:JQF15"/>
    <mergeCell ref="JQG15:JQJ15"/>
    <mergeCell ref="JQK15:JQL15"/>
    <mergeCell ref="JQM15:JQN15"/>
    <mergeCell ref="JQO15:JQP15"/>
    <mergeCell ref="JQQ15:JQV15"/>
    <mergeCell ref="JQW15:JQZ15"/>
    <mergeCell ref="JRA15:JRB15"/>
    <mergeCell ref="JRC15:JRD15"/>
    <mergeCell ref="JPA15:JPD15"/>
    <mergeCell ref="JPE15:JPF15"/>
    <mergeCell ref="JPG15:JPH15"/>
    <mergeCell ref="JPI15:JPJ15"/>
    <mergeCell ref="JPK15:JPP15"/>
    <mergeCell ref="JPQ15:JPT15"/>
    <mergeCell ref="JPU15:JPV15"/>
    <mergeCell ref="JPW15:JPX15"/>
    <mergeCell ref="JPY15:JPZ15"/>
    <mergeCell ref="JNY15:JNZ15"/>
    <mergeCell ref="JOA15:JOB15"/>
    <mergeCell ref="JOC15:JOD15"/>
    <mergeCell ref="JOE15:JOJ15"/>
    <mergeCell ref="JOK15:JON15"/>
    <mergeCell ref="JOO15:JOP15"/>
    <mergeCell ref="JOQ15:JOR15"/>
    <mergeCell ref="JOS15:JOT15"/>
    <mergeCell ref="JOU15:JOZ15"/>
    <mergeCell ref="JMU15:JMV15"/>
    <mergeCell ref="JMW15:JMX15"/>
    <mergeCell ref="JMY15:JND15"/>
    <mergeCell ref="JNE15:JNH15"/>
    <mergeCell ref="JNI15:JNJ15"/>
    <mergeCell ref="JNK15:JNL15"/>
    <mergeCell ref="JNM15:JNN15"/>
    <mergeCell ref="JNO15:JNT15"/>
    <mergeCell ref="JNU15:JNX15"/>
    <mergeCell ref="JLQ15:JLR15"/>
    <mergeCell ref="JLS15:JLX15"/>
    <mergeCell ref="JLY15:JMB15"/>
    <mergeCell ref="JMC15:JMD15"/>
    <mergeCell ref="JME15:JMF15"/>
    <mergeCell ref="JMG15:JMH15"/>
    <mergeCell ref="JMI15:JMN15"/>
    <mergeCell ref="JMO15:JMR15"/>
    <mergeCell ref="JMS15:JMT15"/>
    <mergeCell ref="JKM15:JKR15"/>
    <mergeCell ref="JKS15:JKV15"/>
    <mergeCell ref="JKW15:JKX15"/>
    <mergeCell ref="JKY15:JKZ15"/>
    <mergeCell ref="JLA15:JLB15"/>
    <mergeCell ref="JLC15:JLH15"/>
    <mergeCell ref="JLI15:JLL15"/>
    <mergeCell ref="JLM15:JLN15"/>
    <mergeCell ref="JLO15:JLP15"/>
    <mergeCell ref="JJM15:JJP15"/>
    <mergeCell ref="JJQ15:JJR15"/>
    <mergeCell ref="JJS15:JJT15"/>
    <mergeCell ref="JJU15:JJV15"/>
    <mergeCell ref="JJW15:JKB15"/>
    <mergeCell ref="JKC15:JKF15"/>
    <mergeCell ref="JKG15:JKH15"/>
    <mergeCell ref="JKI15:JKJ15"/>
    <mergeCell ref="JKK15:JKL15"/>
    <mergeCell ref="JIK15:JIL15"/>
    <mergeCell ref="JIM15:JIN15"/>
    <mergeCell ref="JIO15:JIP15"/>
    <mergeCell ref="JIQ15:JIV15"/>
    <mergeCell ref="JIW15:JIZ15"/>
    <mergeCell ref="JJA15:JJB15"/>
    <mergeCell ref="JJC15:JJD15"/>
    <mergeCell ref="JJE15:JJF15"/>
    <mergeCell ref="JJG15:JJL15"/>
    <mergeCell ref="JHG15:JHH15"/>
    <mergeCell ref="JHI15:JHJ15"/>
    <mergeCell ref="JHK15:JHP15"/>
    <mergeCell ref="JHQ15:JHT15"/>
    <mergeCell ref="JHU15:JHV15"/>
    <mergeCell ref="JHW15:JHX15"/>
    <mergeCell ref="JHY15:JHZ15"/>
    <mergeCell ref="JIA15:JIF15"/>
    <mergeCell ref="JIG15:JIJ15"/>
    <mergeCell ref="JGC15:JGD15"/>
    <mergeCell ref="JGE15:JGJ15"/>
    <mergeCell ref="JGK15:JGN15"/>
    <mergeCell ref="JGO15:JGP15"/>
    <mergeCell ref="JGQ15:JGR15"/>
    <mergeCell ref="JGS15:JGT15"/>
    <mergeCell ref="JGU15:JGZ15"/>
    <mergeCell ref="JHA15:JHD15"/>
    <mergeCell ref="JHE15:JHF15"/>
    <mergeCell ref="JEY15:JFD15"/>
    <mergeCell ref="JFE15:JFH15"/>
    <mergeCell ref="JFI15:JFJ15"/>
    <mergeCell ref="JFK15:JFL15"/>
    <mergeCell ref="JFM15:JFN15"/>
    <mergeCell ref="JFO15:JFT15"/>
    <mergeCell ref="JFU15:JFX15"/>
    <mergeCell ref="JFY15:JFZ15"/>
    <mergeCell ref="JGA15:JGB15"/>
    <mergeCell ref="JDY15:JEB15"/>
    <mergeCell ref="JEC15:JED15"/>
    <mergeCell ref="JEE15:JEF15"/>
    <mergeCell ref="JEG15:JEH15"/>
    <mergeCell ref="JEI15:JEN15"/>
    <mergeCell ref="JEO15:JER15"/>
    <mergeCell ref="JES15:JET15"/>
    <mergeCell ref="JEU15:JEV15"/>
    <mergeCell ref="JEW15:JEX15"/>
    <mergeCell ref="JCW15:JCX15"/>
    <mergeCell ref="JCY15:JCZ15"/>
    <mergeCell ref="JDA15:JDB15"/>
    <mergeCell ref="JDC15:JDH15"/>
    <mergeCell ref="JDI15:JDL15"/>
    <mergeCell ref="JDM15:JDN15"/>
    <mergeCell ref="JDO15:JDP15"/>
    <mergeCell ref="JDQ15:JDR15"/>
    <mergeCell ref="JDS15:JDX15"/>
    <mergeCell ref="JBS15:JBT15"/>
    <mergeCell ref="JBU15:JBV15"/>
    <mergeCell ref="JBW15:JCB15"/>
    <mergeCell ref="JCC15:JCF15"/>
    <mergeCell ref="JCG15:JCH15"/>
    <mergeCell ref="JCI15:JCJ15"/>
    <mergeCell ref="JCK15:JCL15"/>
    <mergeCell ref="JCM15:JCR15"/>
    <mergeCell ref="JCS15:JCV15"/>
    <mergeCell ref="JAO15:JAP15"/>
    <mergeCell ref="JAQ15:JAV15"/>
    <mergeCell ref="JAW15:JAZ15"/>
    <mergeCell ref="JBA15:JBB15"/>
    <mergeCell ref="JBC15:JBD15"/>
    <mergeCell ref="JBE15:JBF15"/>
    <mergeCell ref="JBG15:JBL15"/>
    <mergeCell ref="JBM15:JBP15"/>
    <mergeCell ref="JBQ15:JBR15"/>
    <mergeCell ref="IZK15:IZP15"/>
    <mergeCell ref="IZQ15:IZT15"/>
    <mergeCell ref="IZU15:IZV15"/>
    <mergeCell ref="IZW15:IZX15"/>
    <mergeCell ref="IZY15:IZZ15"/>
    <mergeCell ref="JAA15:JAF15"/>
    <mergeCell ref="JAG15:JAJ15"/>
    <mergeCell ref="JAK15:JAL15"/>
    <mergeCell ref="JAM15:JAN15"/>
    <mergeCell ref="IYK15:IYN15"/>
    <mergeCell ref="IYO15:IYP15"/>
    <mergeCell ref="IYQ15:IYR15"/>
    <mergeCell ref="IYS15:IYT15"/>
    <mergeCell ref="IYU15:IYZ15"/>
    <mergeCell ref="IZA15:IZD15"/>
    <mergeCell ref="IZE15:IZF15"/>
    <mergeCell ref="IZG15:IZH15"/>
    <mergeCell ref="IZI15:IZJ15"/>
    <mergeCell ref="IXI15:IXJ15"/>
    <mergeCell ref="IXK15:IXL15"/>
    <mergeCell ref="IXM15:IXN15"/>
    <mergeCell ref="IXO15:IXT15"/>
    <mergeCell ref="IXU15:IXX15"/>
    <mergeCell ref="IXY15:IXZ15"/>
    <mergeCell ref="IYA15:IYB15"/>
    <mergeCell ref="IYC15:IYD15"/>
    <mergeCell ref="IYE15:IYJ15"/>
    <mergeCell ref="IWE15:IWF15"/>
    <mergeCell ref="IWG15:IWH15"/>
    <mergeCell ref="IWI15:IWN15"/>
    <mergeCell ref="IWO15:IWR15"/>
    <mergeCell ref="IWS15:IWT15"/>
    <mergeCell ref="IWU15:IWV15"/>
    <mergeCell ref="IWW15:IWX15"/>
    <mergeCell ref="IWY15:IXD15"/>
    <mergeCell ref="IXE15:IXH15"/>
    <mergeCell ref="IVA15:IVB15"/>
    <mergeCell ref="IVC15:IVH15"/>
    <mergeCell ref="IVI15:IVL15"/>
    <mergeCell ref="IVM15:IVN15"/>
    <mergeCell ref="IVO15:IVP15"/>
    <mergeCell ref="IVQ15:IVR15"/>
    <mergeCell ref="IVS15:IVX15"/>
    <mergeCell ref="IVY15:IWB15"/>
    <mergeCell ref="IWC15:IWD15"/>
    <mergeCell ref="ITW15:IUB15"/>
    <mergeCell ref="IUC15:IUF15"/>
    <mergeCell ref="IUG15:IUH15"/>
    <mergeCell ref="IUI15:IUJ15"/>
    <mergeCell ref="IUK15:IUL15"/>
    <mergeCell ref="IUM15:IUR15"/>
    <mergeCell ref="IUS15:IUV15"/>
    <mergeCell ref="IUW15:IUX15"/>
    <mergeCell ref="IUY15:IUZ15"/>
    <mergeCell ref="ISW15:ISZ15"/>
    <mergeCell ref="ITA15:ITB15"/>
    <mergeCell ref="ITC15:ITD15"/>
    <mergeCell ref="ITE15:ITF15"/>
    <mergeCell ref="ITG15:ITL15"/>
    <mergeCell ref="ITM15:ITP15"/>
    <mergeCell ref="ITQ15:ITR15"/>
    <mergeCell ref="ITS15:ITT15"/>
    <mergeCell ref="ITU15:ITV15"/>
    <mergeCell ref="IRU15:IRV15"/>
    <mergeCell ref="IRW15:IRX15"/>
    <mergeCell ref="IRY15:IRZ15"/>
    <mergeCell ref="ISA15:ISF15"/>
    <mergeCell ref="ISG15:ISJ15"/>
    <mergeCell ref="ISK15:ISL15"/>
    <mergeCell ref="ISM15:ISN15"/>
    <mergeCell ref="ISO15:ISP15"/>
    <mergeCell ref="ISQ15:ISV15"/>
    <mergeCell ref="IQQ15:IQR15"/>
    <mergeCell ref="IQS15:IQT15"/>
    <mergeCell ref="IQU15:IQZ15"/>
    <mergeCell ref="IRA15:IRD15"/>
    <mergeCell ref="IRE15:IRF15"/>
    <mergeCell ref="IRG15:IRH15"/>
    <mergeCell ref="IRI15:IRJ15"/>
    <mergeCell ref="IRK15:IRP15"/>
    <mergeCell ref="IRQ15:IRT15"/>
    <mergeCell ref="IPM15:IPN15"/>
    <mergeCell ref="IPO15:IPT15"/>
    <mergeCell ref="IPU15:IPX15"/>
    <mergeCell ref="IPY15:IPZ15"/>
    <mergeCell ref="IQA15:IQB15"/>
    <mergeCell ref="IQC15:IQD15"/>
    <mergeCell ref="IQE15:IQJ15"/>
    <mergeCell ref="IQK15:IQN15"/>
    <mergeCell ref="IQO15:IQP15"/>
    <mergeCell ref="IOI15:ION15"/>
    <mergeCell ref="IOO15:IOR15"/>
    <mergeCell ref="IOS15:IOT15"/>
    <mergeCell ref="IOU15:IOV15"/>
    <mergeCell ref="IOW15:IOX15"/>
    <mergeCell ref="IOY15:IPD15"/>
    <mergeCell ref="IPE15:IPH15"/>
    <mergeCell ref="IPI15:IPJ15"/>
    <mergeCell ref="IPK15:IPL15"/>
    <mergeCell ref="INI15:INL15"/>
    <mergeCell ref="INM15:INN15"/>
    <mergeCell ref="INO15:INP15"/>
    <mergeCell ref="INQ15:INR15"/>
    <mergeCell ref="INS15:INX15"/>
    <mergeCell ref="INY15:IOB15"/>
    <mergeCell ref="IOC15:IOD15"/>
    <mergeCell ref="IOE15:IOF15"/>
    <mergeCell ref="IOG15:IOH15"/>
    <mergeCell ref="IMG15:IMH15"/>
    <mergeCell ref="IMI15:IMJ15"/>
    <mergeCell ref="IMK15:IML15"/>
    <mergeCell ref="IMM15:IMR15"/>
    <mergeCell ref="IMS15:IMV15"/>
    <mergeCell ref="IMW15:IMX15"/>
    <mergeCell ref="IMY15:IMZ15"/>
    <mergeCell ref="INA15:INB15"/>
    <mergeCell ref="INC15:INH15"/>
    <mergeCell ref="ILC15:ILD15"/>
    <mergeCell ref="ILE15:ILF15"/>
    <mergeCell ref="ILG15:ILL15"/>
    <mergeCell ref="ILM15:ILP15"/>
    <mergeCell ref="ILQ15:ILR15"/>
    <mergeCell ref="ILS15:ILT15"/>
    <mergeCell ref="ILU15:ILV15"/>
    <mergeCell ref="ILW15:IMB15"/>
    <mergeCell ref="IMC15:IMF15"/>
    <mergeCell ref="IJY15:IJZ15"/>
    <mergeCell ref="IKA15:IKF15"/>
    <mergeCell ref="IKG15:IKJ15"/>
    <mergeCell ref="IKK15:IKL15"/>
    <mergeCell ref="IKM15:IKN15"/>
    <mergeCell ref="IKO15:IKP15"/>
    <mergeCell ref="IKQ15:IKV15"/>
    <mergeCell ref="IKW15:IKZ15"/>
    <mergeCell ref="ILA15:ILB15"/>
    <mergeCell ref="IIU15:IIZ15"/>
    <mergeCell ref="IJA15:IJD15"/>
    <mergeCell ref="IJE15:IJF15"/>
    <mergeCell ref="IJG15:IJH15"/>
    <mergeCell ref="IJI15:IJJ15"/>
    <mergeCell ref="IJK15:IJP15"/>
    <mergeCell ref="IJQ15:IJT15"/>
    <mergeCell ref="IJU15:IJV15"/>
    <mergeCell ref="IJW15:IJX15"/>
    <mergeCell ref="IHU15:IHX15"/>
    <mergeCell ref="IHY15:IHZ15"/>
    <mergeCell ref="IIA15:IIB15"/>
    <mergeCell ref="IIC15:IID15"/>
    <mergeCell ref="IIE15:IIJ15"/>
    <mergeCell ref="IIK15:IIN15"/>
    <mergeCell ref="IIO15:IIP15"/>
    <mergeCell ref="IIQ15:IIR15"/>
    <mergeCell ref="IIS15:IIT15"/>
    <mergeCell ref="IGS15:IGT15"/>
    <mergeCell ref="IGU15:IGV15"/>
    <mergeCell ref="IGW15:IGX15"/>
    <mergeCell ref="IGY15:IHD15"/>
    <mergeCell ref="IHE15:IHH15"/>
    <mergeCell ref="IHI15:IHJ15"/>
    <mergeCell ref="IHK15:IHL15"/>
    <mergeCell ref="IHM15:IHN15"/>
    <mergeCell ref="IHO15:IHT15"/>
    <mergeCell ref="IFO15:IFP15"/>
    <mergeCell ref="IFQ15:IFR15"/>
    <mergeCell ref="IFS15:IFX15"/>
    <mergeCell ref="IFY15:IGB15"/>
    <mergeCell ref="IGC15:IGD15"/>
    <mergeCell ref="IGE15:IGF15"/>
    <mergeCell ref="IGG15:IGH15"/>
    <mergeCell ref="IGI15:IGN15"/>
    <mergeCell ref="IGO15:IGR15"/>
    <mergeCell ref="IEK15:IEL15"/>
    <mergeCell ref="IEM15:IER15"/>
    <mergeCell ref="IES15:IEV15"/>
    <mergeCell ref="IEW15:IEX15"/>
    <mergeCell ref="IEY15:IEZ15"/>
    <mergeCell ref="IFA15:IFB15"/>
    <mergeCell ref="IFC15:IFH15"/>
    <mergeCell ref="IFI15:IFL15"/>
    <mergeCell ref="IFM15:IFN15"/>
    <mergeCell ref="IDG15:IDL15"/>
    <mergeCell ref="IDM15:IDP15"/>
    <mergeCell ref="IDQ15:IDR15"/>
    <mergeCell ref="IDS15:IDT15"/>
    <mergeCell ref="IDU15:IDV15"/>
    <mergeCell ref="IDW15:IEB15"/>
    <mergeCell ref="IEC15:IEF15"/>
    <mergeCell ref="IEG15:IEH15"/>
    <mergeCell ref="IEI15:IEJ15"/>
    <mergeCell ref="ICG15:ICJ15"/>
    <mergeCell ref="ICK15:ICL15"/>
    <mergeCell ref="ICM15:ICN15"/>
    <mergeCell ref="ICO15:ICP15"/>
    <mergeCell ref="ICQ15:ICV15"/>
    <mergeCell ref="ICW15:ICZ15"/>
    <mergeCell ref="IDA15:IDB15"/>
    <mergeCell ref="IDC15:IDD15"/>
    <mergeCell ref="IDE15:IDF15"/>
    <mergeCell ref="IBE15:IBF15"/>
    <mergeCell ref="IBG15:IBH15"/>
    <mergeCell ref="IBI15:IBJ15"/>
    <mergeCell ref="IBK15:IBP15"/>
    <mergeCell ref="IBQ15:IBT15"/>
    <mergeCell ref="IBU15:IBV15"/>
    <mergeCell ref="IBW15:IBX15"/>
    <mergeCell ref="IBY15:IBZ15"/>
    <mergeCell ref="ICA15:ICF15"/>
    <mergeCell ref="IAA15:IAB15"/>
    <mergeCell ref="IAC15:IAD15"/>
    <mergeCell ref="IAE15:IAJ15"/>
    <mergeCell ref="IAK15:IAN15"/>
    <mergeCell ref="IAO15:IAP15"/>
    <mergeCell ref="IAQ15:IAR15"/>
    <mergeCell ref="IAS15:IAT15"/>
    <mergeCell ref="IAU15:IAZ15"/>
    <mergeCell ref="IBA15:IBD15"/>
    <mergeCell ref="HYW15:HYX15"/>
    <mergeCell ref="HYY15:HZD15"/>
    <mergeCell ref="HZE15:HZH15"/>
    <mergeCell ref="HZI15:HZJ15"/>
    <mergeCell ref="HZK15:HZL15"/>
    <mergeCell ref="HZM15:HZN15"/>
    <mergeCell ref="HZO15:HZT15"/>
    <mergeCell ref="HZU15:HZX15"/>
    <mergeCell ref="HZY15:HZZ15"/>
    <mergeCell ref="HXS15:HXX15"/>
    <mergeCell ref="HXY15:HYB15"/>
    <mergeCell ref="HYC15:HYD15"/>
    <mergeCell ref="HYE15:HYF15"/>
    <mergeCell ref="HYG15:HYH15"/>
    <mergeCell ref="HYI15:HYN15"/>
    <mergeCell ref="HYO15:HYR15"/>
    <mergeCell ref="HYS15:HYT15"/>
    <mergeCell ref="HYU15:HYV15"/>
    <mergeCell ref="HWS15:HWV15"/>
    <mergeCell ref="HWW15:HWX15"/>
    <mergeCell ref="HWY15:HWZ15"/>
    <mergeCell ref="HXA15:HXB15"/>
    <mergeCell ref="HXC15:HXH15"/>
    <mergeCell ref="HXI15:HXL15"/>
    <mergeCell ref="HXM15:HXN15"/>
    <mergeCell ref="HXO15:HXP15"/>
    <mergeCell ref="HXQ15:HXR15"/>
    <mergeCell ref="HVQ15:HVR15"/>
    <mergeCell ref="HVS15:HVT15"/>
    <mergeCell ref="HVU15:HVV15"/>
    <mergeCell ref="HVW15:HWB15"/>
    <mergeCell ref="HWC15:HWF15"/>
    <mergeCell ref="HWG15:HWH15"/>
    <mergeCell ref="HWI15:HWJ15"/>
    <mergeCell ref="HWK15:HWL15"/>
    <mergeCell ref="HWM15:HWR15"/>
    <mergeCell ref="HUM15:HUN15"/>
    <mergeCell ref="HUO15:HUP15"/>
    <mergeCell ref="HUQ15:HUV15"/>
    <mergeCell ref="HUW15:HUZ15"/>
    <mergeCell ref="HVA15:HVB15"/>
    <mergeCell ref="HVC15:HVD15"/>
    <mergeCell ref="HVE15:HVF15"/>
    <mergeCell ref="HVG15:HVL15"/>
    <mergeCell ref="HVM15:HVP15"/>
    <mergeCell ref="HTI15:HTJ15"/>
    <mergeCell ref="HTK15:HTP15"/>
    <mergeCell ref="HTQ15:HTT15"/>
    <mergeCell ref="HTU15:HTV15"/>
    <mergeCell ref="HTW15:HTX15"/>
    <mergeCell ref="HTY15:HTZ15"/>
    <mergeCell ref="HUA15:HUF15"/>
    <mergeCell ref="HUG15:HUJ15"/>
    <mergeCell ref="HUK15:HUL15"/>
    <mergeCell ref="HSE15:HSJ15"/>
    <mergeCell ref="HSK15:HSN15"/>
    <mergeCell ref="HSO15:HSP15"/>
    <mergeCell ref="HSQ15:HSR15"/>
    <mergeCell ref="HSS15:HST15"/>
    <mergeCell ref="HSU15:HSZ15"/>
    <mergeCell ref="HTA15:HTD15"/>
    <mergeCell ref="HTE15:HTF15"/>
    <mergeCell ref="HTG15:HTH15"/>
    <mergeCell ref="HRE15:HRH15"/>
    <mergeCell ref="HRI15:HRJ15"/>
    <mergeCell ref="HRK15:HRL15"/>
    <mergeCell ref="HRM15:HRN15"/>
    <mergeCell ref="HRO15:HRT15"/>
    <mergeCell ref="HRU15:HRX15"/>
    <mergeCell ref="HRY15:HRZ15"/>
    <mergeCell ref="HSA15:HSB15"/>
    <mergeCell ref="HSC15:HSD15"/>
    <mergeCell ref="HQC15:HQD15"/>
    <mergeCell ref="HQE15:HQF15"/>
    <mergeCell ref="HQG15:HQH15"/>
    <mergeCell ref="HQI15:HQN15"/>
    <mergeCell ref="HQO15:HQR15"/>
    <mergeCell ref="HQS15:HQT15"/>
    <mergeCell ref="HQU15:HQV15"/>
    <mergeCell ref="HQW15:HQX15"/>
    <mergeCell ref="HQY15:HRD15"/>
    <mergeCell ref="HOY15:HOZ15"/>
    <mergeCell ref="HPA15:HPB15"/>
    <mergeCell ref="HPC15:HPH15"/>
    <mergeCell ref="HPI15:HPL15"/>
    <mergeCell ref="HPM15:HPN15"/>
    <mergeCell ref="HPO15:HPP15"/>
    <mergeCell ref="HPQ15:HPR15"/>
    <mergeCell ref="HPS15:HPX15"/>
    <mergeCell ref="HPY15:HQB15"/>
    <mergeCell ref="HNU15:HNV15"/>
    <mergeCell ref="HNW15:HOB15"/>
    <mergeCell ref="HOC15:HOF15"/>
    <mergeCell ref="HOG15:HOH15"/>
    <mergeCell ref="HOI15:HOJ15"/>
    <mergeCell ref="HOK15:HOL15"/>
    <mergeCell ref="HOM15:HOR15"/>
    <mergeCell ref="HOS15:HOV15"/>
    <mergeCell ref="HOW15:HOX15"/>
    <mergeCell ref="HMQ15:HMV15"/>
    <mergeCell ref="HMW15:HMZ15"/>
    <mergeCell ref="HNA15:HNB15"/>
    <mergeCell ref="HNC15:HND15"/>
    <mergeCell ref="HNE15:HNF15"/>
    <mergeCell ref="HNG15:HNL15"/>
    <mergeCell ref="HNM15:HNP15"/>
    <mergeCell ref="HNQ15:HNR15"/>
    <mergeCell ref="HNS15:HNT15"/>
    <mergeCell ref="HLQ15:HLT15"/>
    <mergeCell ref="HLU15:HLV15"/>
    <mergeCell ref="HLW15:HLX15"/>
    <mergeCell ref="HLY15:HLZ15"/>
    <mergeCell ref="HMA15:HMF15"/>
    <mergeCell ref="HMG15:HMJ15"/>
    <mergeCell ref="HMK15:HML15"/>
    <mergeCell ref="HMM15:HMN15"/>
    <mergeCell ref="HMO15:HMP15"/>
    <mergeCell ref="HKO15:HKP15"/>
    <mergeCell ref="HKQ15:HKR15"/>
    <mergeCell ref="HKS15:HKT15"/>
    <mergeCell ref="HKU15:HKZ15"/>
    <mergeCell ref="HLA15:HLD15"/>
    <mergeCell ref="HLE15:HLF15"/>
    <mergeCell ref="HLG15:HLH15"/>
    <mergeCell ref="HLI15:HLJ15"/>
    <mergeCell ref="HLK15:HLP15"/>
    <mergeCell ref="HJK15:HJL15"/>
    <mergeCell ref="HJM15:HJN15"/>
    <mergeCell ref="HJO15:HJT15"/>
    <mergeCell ref="HJU15:HJX15"/>
    <mergeCell ref="HJY15:HJZ15"/>
    <mergeCell ref="HKA15:HKB15"/>
    <mergeCell ref="HKC15:HKD15"/>
    <mergeCell ref="HKE15:HKJ15"/>
    <mergeCell ref="HKK15:HKN15"/>
    <mergeCell ref="HIG15:HIH15"/>
    <mergeCell ref="HII15:HIN15"/>
    <mergeCell ref="HIO15:HIR15"/>
    <mergeCell ref="HIS15:HIT15"/>
    <mergeCell ref="HIU15:HIV15"/>
    <mergeCell ref="HIW15:HIX15"/>
    <mergeCell ref="HIY15:HJD15"/>
    <mergeCell ref="HJE15:HJH15"/>
    <mergeCell ref="HJI15:HJJ15"/>
    <mergeCell ref="HHC15:HHH15"/>
    <mergeCell ref="HHI15:HHL15"/>
    <mergeCell ref="HHM15:HHN15"/>
    <mergeCell ref="HHO15:HHP15"/>
    <mergeCell ref="HHQ15:HHR15"/>
    <mergeCell ref="HHS15:HHX15"/>
    <mergeCell ref="HHY15:HIB15"/>
    <mergeCell ref="HIC15:HID15"/>
    <mergeCell ref="HIE15:HIF15"/>
    <mergeCell ref="HGC15:HGF15"/>
    <mergeCell ref="HGG15:HGH15"/>
    <mergeCell ref="HGI15:HGJ15"/>
    <mergeCell ref="HGK15:HGL15"/>
    <mergeCell ref="HGM15:HGR15"/>
    <mergeCell ref="HGS15:HGV15"/>
    <mergeCell ref="HGW15:HGX15"/>
    <mergeCell ref="HGY15:HGZ15"/>
    <mergeCell ref="HHA15:HHB15"/>
    <mergeCell ref="HFA15:HFB15"/>
    <mergeCell ref="HFC15:HFD15"/>
    <mergeCell ref="HFE15:HFF15"/>
    <mergeCell ref="HFG15:HFL15"/>
    <mergeCell ref="HFM15:HFP15"/>
    <mergeCell ref="HFQ15:HFR15"/>
    <mergeCell ref="HFS15:HFT15"/>
    <mergeCell ref="HFU15:HFV15"/>
    <mergeCell ref="HFW15:HGB15"/>
    <mergeCell ref="HDW15:HDX15"/>
    <mergeCell ref="HDY15:HDZ15"/>
    <mergeCell ref="HEA15:HEF15"/>
    <mergeCell ref="HEG15:HEJ15"/>
    <mergeCell ref="HEK15:HEL15"/>
    <mergeCell ref="HEM15:HEN15"/>
    <mergeCell ref="HEO15:HEP15"/>
    <mergeCell ref="HEQ15:HEV15"/>
    <mergeCell ref="HEW15:HEZ15"/>
    <mergeCell ref="HCS15:HCT15"/>
    <mergeCell ref="HCU15:HCZ15"/>
    <mergeCell ref="HDA15:HDD15"/>
    <mergeCell ref="HDE15:HDF15"/>
    <mergeCell ref="HDG15:HDH15"/>
    <mergeCell ref="HDI15:HDJ15"/>
    <mergeCell ref="HDK15:HDP15"/>
    <mergeCell ref="HDQ15:HDT15"/>
    <mergeCell ref="HDU15:HDV15"/>
    <mergeCell ref="HBO15:HBT15"/>
    <mergeCell ref="HBU15:HBX15"/>
    <mergeCell ref="HBY15:HBZ15"/>
    <mergeCell ref="HCA15:HCB15"/>
    <mergeCell ref="HCC15:HCD15"/>
    <mergeCell ref="HCE15:HCJ15"/>
    <mergeCell ref="HCK15:HCN15"/>
    <mergeCell ref="HCO15:HCP15"/>
    <mergeCell ref="HCQ15:HCR15"/>
    <mergeCell ref="HAO15:HAR15"/>
    <mergeCell ref="HAS15:HAT15"/>
    <mergeCell ref="HAU15:HAV15"/>
    <mergeCell ref="HAW15:HAX15"/>
    <mergeCell ref="HAY15:HBD15"/>
    <mergeCell ref="HBE15:HBH15"/>
    <mergeCell ref="HBI15:HBJ15"/>
    <mergeCell ref="HBK15:HBL15"/>
    <mergeCell ref="HBM15:HBN15"/>
    <mergeCell ref="GZM15:GZN15"/>
    <mergeCell ref="GZO15:GZP15"/>
    <mergeCell ref="GZQ15:GZR15"/>
    <mergeCell ref="GZS15:GZX15"/>
    <mergeCell ref="GZY15:HAB15"/>
    <mergeCell ref="HAC15:HAD15"/>
    <mergeCell ref="HAE15:HAF15"/>
    <mergeCell ref="HAG15:HAH15"/>
    <mergeCell ref="HAI15:HAN15"/>
    <mergeCell ref="GYI15:GYJ15"/>
    <mergeCell ref="GYK15:GYL15"/>
    <mergeCell ref="GYM15:GYR15"/>
    <mergeCell ref="GYS15:GYV15"/>
    <mergeCell ref="GYW15:GYX15"/>
    <mergeCell ref="GYY15:GYZ15"/>
    <mergeCell ref="GZA15:GZB15"/>
    <mergeCell ref="GZC15:GZH15"/>
    <mergeCell ref="GZI15:GZL15"/>
    <mergeCell ref="GXE15:GXF15"/>
    <mergeCell ref="GXG15:GXL15"/>
    <mergeCell ref="GXM15:GXP15"/>
    <mergeCell ref="GXQ15:GXR15"/>
    <mergeCell ref="GXS15:GXT15"/>
    <mergeCell ref="GXU15:GXV15"/>
    <mergeCell ref="GXW15:GYB15"/>
    <mergeCell ref="GYC15:GYF15"/>
    <mergeCell ref="GYG15:GYH15"/>
    <mergeCell ref="GWA15:GWF15"/>
    <mergeCell ref="GWG15:GWJ15"/>
    <mergeCell ref="GWK15:GWL15"/>
    <mergeCell ref="GWM15:GWN15"/>
    <mergeCell ref="GWO15:GWP15"/>
    <mergeCell ref="GWQ15:GWV15"/>
    <mergeCell ref="GWW15:GWZ15"/>
    <mergeCell ref="GXA15:GXB15"/>
    <mergeCell ref="GXC15:GXD15"/>
    <mergeCell ref="GVA15:GVD15"/>
    <mergeCell ref="GVE15:GVF15"/>
    <mergeCell ref="GVG15:GVH15"/>
    <mergeCell ref="GVI15:GVJ15"/>
    <mergeCell ref="GVK15:GVP15"/>
    <mergeCell ref="GVQ15:GVT15"/>
    <mergeCell ref="GVU15:GVV15"/>
    <mergeCell ref="GVW15:GVX15"/>
    <mergeCell ref="GVY15:GVZ15"/>
    <mergeCell ref="GTY15:GTZ15"/>
    <mergeCell ref="GUA15:GUB15"/>
    <mergeCell ref="GUC15:GUD15"/>
    <mergeCell ref="GUE15:GUJ15"/>
    <mergeCell ref="GUK15:GUN15"/>
    <mergeCell ref="GUO15:GUP15"/>
    <mergeCell ref="GUQ15:GUR15"/>
    <mergeCell ref="GUS15:GUT15"/>
    <mergeCell ref="GUU15:GUZ15"/>
    <mergeCell ref="GSU15:GSV15"/>
    <mergeCell ref="GSW15:GSX15"/>
    <mergeCell ref="GSY15:GTD15"/>
    <mergeCell ref="GTE15:GTH15"/>
    <mergeCell ref="GTI15:GTJ15"/>
    <mergeCell ref="GTK15:GTL15"/>
    <mergeCell ref="GTM15:GTN15"/>
    <mergeCell ref="GTO15:GTT15"/>
    <mergeCell ref="GTU15:GTX15"/>
    <mergeCell ref="GRQ15:GRR15"/>
    <mergeCell ref="GRS15:GRX15"/>
    <mergeCell ref="GRY15:GSB15"/>
    <mergeCell ref="GSC15:GSD15"/>
    <mergeCell ref="GSE15:GSF15"/>
    <mergeCell ref="GSG15:GSH15"/>
    <mergeCell ref="GSI15:GSN15"/>
    <mergeCell ref="GSO15:GSR15"/>
    <mergeCell ref="GSS15:GST15"/>
    <mergeCell ref="GQM15:GQR15"/>
    <mergeCell ref="GQS15:GQV15"/>
    <mergeCell ref="GQW15:GQX15"/>
    <mergeCell ref="GQY15:GQZ15"/>
    <mergeCell ref="GRA15:GRB15"/>
    <mergeCell ref="GRC15:GRH15"/>
    <mergeCell ref="GRI15:GRL15"/>
    <mergeCell ref="GRM15:GRN15"/>
    <mergeCell ref="GRO15:GRP15"/>
    <mergeCell ref="GPM15:GPP15"/>
    <mergeCell ref="GPQ15:GPR15"/>
    <mergeCell ref="GPS15:GPT15"/>
    <mergeCell ref="GPU15:GPV15"/>
    <mergeCell ref="GPW15:GQB15"/>
    <mergeCell ref="GQC15:GQF15"/>
    <mergeCell ref="GQG15:GQH15"/>
    <mergeCell ref="GQI15:GQJ15"/>
    <mergeCell ref="GQK15:GQL15"/>
    <mergeCell ref="GOK15:GOL15"/>
    <mergeCell ref="GOM15:GON15"/>
    <mergeCell ref="GOO15:GOP15"/>
    <mergeCell ref="GOQ15:GOV15"/>
    <mergeCell ref="GOW15:GOZ15"/>
    <mergeCell ref="GPA15:GPB15"/>
    <mergeCell ref="GPC15:GPD15"/>
    <mergeCell ref="GPE15:GPF15"/>
    <mergeCell ref="GPG15:GPL15"/>
    <mergeCell ref="GNG15:GNH15"/>
    <mergeCell ref="GNI15:GNJ15"/>
    <mergeCell ref="GNK15:GNP15"/>
    <mergeCell ref="GNQ15:GNT15"/>
    <mergeCell ref="GNU15:GNV15"/>
    <mergeCell ref="GNW15:GNX15"/>
    <mergeCell ref="GNY15:GNZ15"/>
    <mergeCell ref="GOA15:GOF15"/>
    <mergeCell ref="GOG15:GOJ15"/>
    <mergeCell ref="GMC15:GMD15"/>
    <mergeCell ref="GME15:GMJ15"/>
    <mergeCell ref="GMK15:GMN15"/>
    <mergeCell ref="GMO15:GMP15"/>
    <mergeCell ref="GMQ15:GMR15"/>
    <mergeCell ref="GMS15:GMT15"/>
    <mergeCell ref="GMU15:GMZ15"/>
    <mergeCell ref="GNA15:GND15"/>
    <mergeCell ref="GNE15:GNF15"/>
    <mergeCell ref="GKY15:GLD15"/>
    <mergeCell ref="GLE15:GLH15"/>
    <mergeCell ref="GLI15:GLJ15"/>
    <mergeCell ref="GLK15:GLL15"/>
    <mergeCell ref="GLM15:GLN15"/>
    <mergeCell ref="GLO15:GLT15"/>
    <mergeCell ref="GLU15:GLX15"/>
    <mergeCell ref="GLY15:GLZ15"/>
    <mergeCell ref="GMA15:GMB15"/>
    <mergeCell ref="GJY15:GKB15"/>
    <mergeCell ref="GKC15:GKD15"/>
    <mergeCell ref="GKE15:GKF15"/>
    <mergeCell ref="GKG15:GKH15"/>
    <mergeCell ref="GKI15:GKN15"/>
    <mergeCell ref="GKO15:GKR15"/>
    <mergeCell ref="GKS15:GKT15"/>
    <mergeCell ref="GKU15:GKV15"/>
    <mergeCell ref="GKW15:GKX15"/>
    <mergeCell ref="GIW15:GIX15"/>
    <mergeCell ref="GIY15:GIZ15"/>
    <mergeCell ref="GJA15:GJB15"/>
    <mergeCell ref="GJC15:GJH15"/>
    <mergeCell ref="GJI15:GJL15"/>
    <mergeCell ref="GJM15:GJN15"/>
    <mergeCell ref="GJO15:GJP15"/>
    <mergeCell ref="GJQ15:GJR15"/>
    <mergeCell ref="GJS15:GJX15"/>
    <mergeCell ref="GHS15:GHT15"/>
    <mergeCell ref="GHU15:GHV15"/>
    <mergeCell ref="GHW15:GIB15"/>
    <mergeCell ref="GIC15:GIF15"/>
    <mergeCell ref="GIG15:GIH15"/>
    <mergeCell ref="GII15:GIJ15"/>
    <mergeCell ref="GIK15:GIL15"/>
    <mergeCell ref="GIM15:GIR15"/>
    <mergeCell ref="GIS15:GIV15"/>
    <mergeCell ref="GGO15:GGP15"/>
    <mergeCell ref="GGQ15:GGV15"/>
    <mergeCell ref="GGW15:GGZ15"/>
    <mergeCell ref="GHA15:GHB15"/>
    <mergeCell ref="GHC15:GHD15"/>
    <mergeCell ref="GHE15:GHF15"/>
    <mergeCell ref="GHG15:GHL15"/>
    <mergeCell ref="GHM15:GHP15"/>
    <mergeCell ref="GHQ15:GHR15"/>
    <mergeCell ref="GFK15:GFP15"/>
    <mergeCell ref="GFQ15:GFT15"/>
    <mergeCell ref="GFU15:GFV15"/>
    <mergeCell ref="GFW15:GFX15"/>
    <mergeCell ref="GFY15:GFZ15"/>
    <mergeCell ref="GGA15:GGF15"/>
    <mergeCell ref="GGG15:GGJ15"/>
    <mergeCell ref="GGK15:GGL15"/>
    <mergeCell ref="GGM15:GGN15"/>
    <mergeCell ref="GEK15:GEN15"/>
    <mergeCell ref="GEO15:GEP15"/>
    <mergeCell ref="GEQ15:GER15"/>
    <mergeCell ref="GES15:GET15"/>
    <mergeCell ref="GEU15:GEZ15"/>
    <mergeCell ref="GFA15:GFD15"/>
    <mergeCell ref="GFE15:GFF15"/>
    <mergeCell ref="GFG15:GFH15"/>
    <mergeCell ref="GFI15:GFJ15"/>
    <mergeCell ref="GDI15:GDJ15"/>
    <mergeCell ref="GDK15:GDL15"/>
    <mergeCell ref="GDM15:GDN15"/>
    <mergeCell ref="GDO15:GDT15"/>
    <mergeCell ref="GDU15:GDX15"/>
    <mergeCell ref="GDY15:GDZ15"/>
    <mergeCell ref="GEA15:GEB15"/>
    <mergeCell ref="GEC15:GED15"/>
    <mergeCell ref="GEE15:GEJ15"/>
    <mergeCell ref="GCE15:GCF15"/>
    <mergeCell ref="GCG15:GCH15"/>
    <mergeCell ref="GCI15:GCN15"/>
    <mergeCell ref="GCO15:GCR15"/>
    <mergeCell ref="GCS15:GCT15"/>
    <mergeCell ref="GCU15:GCV15"/>
    <mergeCell ref="GCW15:GCX15"/>
    <mergeCell ref="GCY15:GDD15"/>
    <mergeCell ref="GDE15:GDH15"/>
    <mergeCell ref="GBA15:GBB15"/>
    <mergeCell ref="GBC15:GBH15"/>
    <mergeCell ref="GBI15:GBL15"/>
    <mergeCell ref="GBM15:GBN15"/>
    <mergeCell ref="GBO15:GBP15"/>
    <mergeCell ref="GBQ15:GBR15"/>
    <mergeCell ref="GBS15:GBX15"/>
    <mergeCell ref="GBY15:GCB15"/>
    <mergeCell ref="GCC15:GCD15"/>
    <mergeCell ref="FZW15:GAB15"/>
    <mergeCell ref="GAC15:GAF15"/>
    <mergeCell ref="GAG15:GAH15"/>
    <mergeCell ref="GAI15:GAJ15"/>
    <mergeCell ref="GAK15:GAL15"/>
    <mergeCell ref="GAM15:GAR15"/>
    <mergeCell ref="GAS15:GAV15"/>
    <mergeCell ref="GAW15:GAX15"/>
    <mergeCell ref="GAY15:GAZ15"/>
    <mergeCell ref="FYW15:FYZ15"/>
    <mergeCell ref="FZA15:FZB15"/>
    <mergeCell ref="FZC15:FZD15"/>
    <mergeCell ref="FZE15:FZF15"/>
    <mergeCell ref="FZG15:FZL15"/>
    <mergeCell ref="FZM15:FZP15"/>
    <mergeCell ref="FZQ15:FZR15"/>
    <mergeCell ref="FZS15:FZT15"/>
    <mergeCell ref="FZU15:FZV15"/>
    <mergeCell ref="FXU15:FXV15"/>
    <mergeCell ref="FXW15:FXX15"/>
    <mergeCell ref="FXY15:FXZ15"/>
    <mergeCell ref="FYA15:FYF15"/>
    <mergeCell ref="FYG15:FYJ15"/>
    <mergeCell ref="FYK15:FYL15"/>
    <mergeCell ref="FYM15:FYN15"/>
    <mergeCell ref="FYO15:FYP15"/>
    <mergeCell ref="FYQ15:FYV15"/>
    <mergeCell ref="FWQ15:FWR15"/>
    <mergeCell ref="FWS15:FWT15"/>
    <mergeCell ref="FWU15:FWZ15"/>
    <mergeCell ref="FXA15:FXD15"/>
    <mergeCell ref="FXE15:FXF15"/>
    <mergeCell ref="FXG15:FXH15"/>
    <mergeCell ref="FXI15:FXJ15"/>
    <mergeCell ref="FXK15:FXP15"/>
    <mergeCell ref="FXQ15:FXT15"/>
    <mergeCell ref="FVM15:FVN15"/>
    <mergeCell ref="FVO15:FVT15"/>
    <mergeCell ref="FVU15:FVX15"/>
    <mergeCell ref="FVY15:FVZ15"/>
    <mergeCell ref="FWA15:FWB15"/>
    <mergeCell ref="FWC15:FWD15"/>
    <mergeCell ref="FWE15:FWJ15"/>
    <mergeCell ref="FWK15:FWN15"/>
    <mergeCell ref="FWO15:FWP15"/>
    <mergeCell ref="FUI15:FUN15"/>
    <mergeCell ref="FUO15:FUR15"/>
    <mergeCell ref="FUS15:FUT15"/>
    <mergeCell ref="FUU15:FUV15"/>
    <mergeCell ref="FUW15:FUX15"/>
    <mergeCell ref="FUY15:FVD15"/>
    <mergeCell ref="FVE15:FVH15"/>
    <mergeCell ref="FVI15:FVJ15"/>
    <mergeCell ref="FVK15:FVL15"/>
    <mergeCell ref="FTI15:FTL15"/>
    <mergeCell ref="FTM15:FTN15"/>
    <mergeCell ref="FTO15:FTP15"/>
    <mergeCell ref="FTQ15:FTR15"/>
    <mergeCell ref="FTS15:FTX15"/>
    <mergeCell ref="FTY15:FUB15"/>
    <mergeCell ref="FUC15:FUD15"/>
    <mergeCell ref="FUE15:FUF15"/>
    <mergeCell ref="FUG15:FUH15"/>
    <mergeCell ref="FSG15:FSH15"/>
    <mergeCell ref="FSI15:FSJ15"/>
    <mergeCell ref="FSK15:FSL15"/>
    <mergeCell ref="FSM15:FSR15"/>
    <mergeCell ref="FSS15:FSV15"/>
    <mergeCell ref="FSW15:FSX15"/>
    <mergeCell ref="FSY15:FSZ15"/>
    <mergeCell ref="FTA15:FTB15"/>
    <mergeCell ref="FTC15:FTH15"/>
    <mergeCell ref="FRC15:FRD15"/>
    <mergeCell ref="FRE15:FRF15"/>
    <mergeCell ref="FRG15:FRL15"/>
    <mergeCell ref="FRM15:FRP15"/>
    <mergeCell ref="FRQ15:FRR15"/>
    <mergeCell ref="FRS15:FRT15"/>
    <mergeCell ref="FRU15:FRV15"/>
    <mergeCell ref="FRW15:FSB15"/>
    <mergeCell ref="FSC15:FSF15"/>
    <mergeCell ref="FPY15:FPZ15"/>
    <mergeCell ref="FQA15:FQF15"/>
    <mergeCell ref="FQG15:FQJ15"/>
    <mergeCell ref="FQK15:FQL15"/>
    <mergeCell ref="FQM15:FQN15"/>
    <mergeCell ref="FQO15:FQP15"/>
    <mergeCell ref="FQQ15:FQV15"/>
    <mergeCell ref="FQW15:FQZ15"/>
    <mergeCell ref="FRA15:FRB15"/>
    <mergeCell ref="FOU15:FOZ15"/>
    <mergeCell ref="FPA15:FPD15"/>
    <mergeCell ref="FPE15:FPF15"/>
    <mergeCell ref="FPG15:FPH15"/>
    <mergeCell ref="FPI15:FPJ15"/>
    <mergeCell ref="FPK15:FPP15"/>
    <mergeCell ref="FPQ15:FPT15"/>
    <mergeCell ref="FPU15:FPV15"/>
    <mergeCell ref="FPW15:FPX15"/>
    <mergeCell ref="FNU15:FNX15"/>
    <mergeCell ref="FNY15:FNZ15"/>
    <mergeCell ref="FOA15:FOB15"/>
    <mergeCell ref="FOC15:FOD15"/>
    <mergeCell ref="FOE15:FOJ15"/>
    <mergeCell ref="FOK15:FON15"/>
    <mergeCell ref="FOO15:FOP15"/>
    <mergeCell ref="FOQ15:FOR15"/>
    <mergeCell ref="FOS15:FOT15"/>
    <mergeCell ref="FMS15:FMT15"/>
    <mergeCell ref="FMU15:FMV15"/>
    <mergeCell ref="FMW15:FMX15"/>
    <mergeCell ref="FMY15:FND15"/>
    <mergeCell ref="FNE15:FNH15"/>
    <mergeCell ref="FNI15:FNJ15"/>
    <mergeCell ref="FNK15:FNL15"/>
    <mergeCell ref="FNM15:FNN15"/>
    <mergeCell ref="FNO15:FNT15"/>
    <mergeCell ref="FLO15:FLP15"/>
    <mergeCell ref="FLQ15:FLR15"/>
    <mergeCell ref="FLS15:FLX15"/>
    <mergeCell ref="FLY15:FMB15"/>
    <mergeCell ref="FMC15:FMD15"/>
    <mergeCell ref="FME15:FMF15"/>
    <mergeCell ref="FMG15:FMH15"/>
    <mergeCell ref="FMI15:FMN15"/>
    <mergeCell ref="FMO15:FMR15"/>
    <mergeCell ref="FKK15:FKL15"/>
    <mergeCell ref="FKM15:FKR15"/>
    <mergeCell ref="FKS15:FKV15"/>
    <mergeCell ref="FKW15:FKX15"/>
    <mergeCell ref="FKY15:FKZ15"/>
    <mergeCell ref="FLA15:FLB15"/>
    <mergeCell ref="FLC15:FLH15"/>
    <mergeCell ref="FLI15:FLL15"/>
    <mergeCell ref="FLM15:FLN15"/>
    <mergeCell ref="FJG15:FJL15"/>
    <mergeCell ref="FJM15:FJP15"/>
    <mergeCell ref="FJQ15:FJR15"/>
    <mergeCell ref="FJS15:FJT15"/>
    <mergeCell ref="FJU15:FJV15"/>
    <mergeCell ref="FJW15:FKB15"/>
    <mergeCell ref="FKC15:FKF15"/>
    <mergeCell ref="FKG15:FKH15"/>
    <mergeCell ref="FKI15:FKJ15"/>
    <mergeCell ref="FIG15:FIJ15"/>
    <mergeCell ref="FIK15:FIL15"/>
    <mergeCell ref="FIM15:FIN15"/>
    <mergeCell ref="FIO15:FIP15"/>
    <mergeCell ref="FIQ15:FIV15"/>
    <mergeCell ref="FIW15:FIZ15"/>
    <mergeCell ref="FJA15:FJB15"/>
    <mergeCell ref="FJC15:FJD15"/>
    <mergeCell ref="FJE15:FJF15"/>
    <mergeCell ref="FHE15:FHF15"/>
    <mergeCell ref="FHG15:FHH15"/>
    <mergeCell ref="FHI15:FHJ15"/>
    <mergeCell ref="FHK15:FHP15"/>
    <mergeCell ref="FHQ15:FHT15"/>
    <mergeCell ref="FHU15:FHV15"/>
    <mergeCell ref="FHW15:FHX15"/>
    <mergeCell ref="FHY15:FHZ15"/>
    <mergeCell ref="FIA15:FIF15"/>
    <mergeCell ref="FGA15:FGB15"/>
    <mergeCell ref="FGC15:FGD15"/>
    <mergeCell ref="FGE15:FGJ15"/>
    <mergeCell ref="FGK15:FGN15"/>
    <mergeCell ref="FGO15:FGP15"/>
    <mergeCell ref="FGQ15:FGR15"/>
    <mergeCell ref="FGS15:FGT15"/>
    <mergeCell ref="FGU15:FGZ15"/>
    <mergeCell ref="FHA15:FHD15"/>
    <mergeCell ref="FEW15:FEX15"/>
    <mergeCell ref="FEY15:FFD15"/>
    <mergeCell ref="FFE15:FFH15"/>
    <mergeCell ref="FFI15:FFJ15"/>
    <mergeCell ref="FFK15:FFL15"/>
    <mergeCell ref="FFM15:FFN15"/>
    <mergeCell ref="FFO15:FFT15"/>
    <mergeCell ref="FFU15:FFX15"/>
    <mergeCell ref="FFY15:FFZ15"/>
    <mergeCell ref="FDS15:FDX15"/>
    <mergeCell ref="FDY15:FEB15"/>
    <mergeCell ref="FEC15:FED15"/>
    <mergeCell ref="FEE15:FEF15"/>
    <mergeCell ref="FEG15:FEH15"/>
    <mergeCell ref="FEI15:FEN15"/>
    <mergeCell ref="FEO15:FER15"/>
    <mergeCell ref="FES15:FET15"/>
    <mergeCell ref="FEU15:FEV15"/>
    <mergeCell ref="FCS15:FCV15"/>
    <mergeCell ref="FCW15:FCX15"/>
    <mergeCell ref="FCY15:FCZ15"/>
    <mergeCell ref="FDA15:FDB15"/>
    <mergeCell ref="FDC15:FDH15"/>
    <mergeCell ref="FDI15:FDL15"/>
    <mergeCell ref="FDM15:FDN15"/>
    <mergeCell ref="FDO15:FDP15"/>
    <mergeCell ref="FDQ15:FDR15"/>
    <mergeCell ref="FBQ15:FBR15"/>
    <mergeCell ref="FBS15:FBT15"/>
    <mergeCell ref="FBU15:FBV15"/>
    <mergeCell ref="FBW15:FCB15"/>
    <mergeCell ref="FCC15:FCF15"/>
    <mergeCell ref="FCG15:FCH15"/>
    <mergeCell ref="FCI15:FCJ15"/>
    <mergeCell ref="FCK15:FCL15"/>
    <mergeCell ref="FCM15:FCR15"/>
    <mergeCell ref="FAM15:FAN15"/>
    <mergeCell ref="FAO15:FAP15"/>
    <mergeCell ref="FAQ15:FAV15"/>
    <mergeCell ref="FAW15:FAZ15"/>
    <mergeCell ref="FBA15:FBB15"/>
    <mergeCell ref="FBC15:FBD15"/>
    <mergeCell ref="FBE15:FBF15"/>
    <mergeCell ref="FBG15:FBL15"/>
    <mergeCell ref="FBM15:FBP15"/>
    <mergeCell ref="EZI15:EZJ15"/>
    <mergeCell ref="EZK15:EZP15"/>
    <mergeCell ref="EZQ15:EZT15"/>
    <mergeCell ref="EZU15:EZV15"/>
    <mergeCell ref="EZW15:EZX15"/>
    <mergeCell ref="EZY15:EZZ15"/>
    <mergeCell ref="FAA15:FAF15"/>
    <mergeCell ref="FAG15:FAJ15"/>
    <mergeCell ref="FAK15:FAL15"/>
    <mergeCell ref="EYE15:EYJ15"/>
    <mergeCell ref="EYK15:EYN15"/>
    <mergeCell ref="EYO15:EYP15"/>
    <mergeCell ref="EYQ15:EYR15"/>
    <mergeCell ref="EYS15:EYT15"/>
    <mergeCell ref="EYU15:EYZ15"/>
    <mergeCell ref="EZA15:EZD15"/>
    <mergeCell ref="EZE15:EZF15"/>
    <mergeCell ref="EZG15:EZH15"/>
    <mergeCell ref="EXE15:EXH15"/>
    <mergeCell ref="EXI15:EXJ15"/>
    <mergeCell ref="EXK15:EXL15"/>
    <mergeCell ref="EXM15:EXN15"/>
    <mergeCell ref="EXO15:EXT15"/>
    <mergeCell ref="EXU15:EXX15"/>
    <mergeCell ref="EXY15:EXZ15"/>
    <mergeCell ref="EYA15:EYB15"/>
    <mergeCell ref="EYC15:EYD15"/>
    <mergeCell ref="EWC15:EWD15"/>
    <mergeCell ref="EWE15:EWF15"/>
    <mergeCell ref="EWG15:EWH15"/>
    <mergeCell ref="EWI15:EWN15"/>
    <mergeCell ref="EWO15:EWR15"/>
    <mergeCell ref="EWS15:EWT15"/>
    <mergeCell ref="EWU15:EWV15"/>
    <mergeCell ref="EWW15:EWX15"/>
    <mergeCell ref="EWY15:EXD15"/>
    <mergeCell ref="EUY15:EUZ15"/>
    <mergeCell ref="EVA15:EVB15"/>
    <mergeCell ref="EVC15:EVH15"/>
    <mergeCell ref="EVI15:EVL15"/>
    <mergeCell ref="EVM15:EVN15"/>
    <mergeCell ref="EVO15:EVP15"/>
    <mergeCell ref="EVQ15:EVR15"/>
    <mergeCell ref="EVS15:EVX15"/>
    <mergeCell ref="EVY15:EWB15"/>
    <mergeCell ref="ETU15:ETV15"/>
    <mergeCell ref="ETW15:EUB15"/>
    <mergeCell ref="EUC15:EUF15"/>
    <mergeCell ref="EUG15:EUH15"/>
    <mergeCell ref="EUI15:EUJ15"/>
    <mergeCell ref="EUK15:EUL15"/>
    <mergeCell ref="EUM15:EUR15"/>
    <mergeCell ref="EUS15:EUV15"/>
    <mergeCell ref="EUW15:EUX15"/>
    <mergeCell ref="ESQ15:ESV15"/>
    <mergeCell ref="ESW15:ESZ15"/>
    <mergeCell ref="ETA15:ETB15"/>
    <mergeCell ref="ETC15:ETD15"/>
    <mergeCell ref="ETE15:ETF15"/>
    <mergeCell ref="ETG15:ETL15"/>
    <mergeCell ref="ETM15:ETP15"/>
    <mergeCell ref="ETQ15:ETR15"/>
    <mergeCell ref="ETS15:ETT15"/>
    <mergeCell ref="ERQ15:ERT15"/>
    <mergeCell ref="ERU15:ERV15"/>
    <mergeCell ref="ERW15:ERX15"/>
    <mergeCell ref="ERY15:ERZ15"/>
    <mergeCell ref="ESA15:ESF15"/>
    <mergeCell ref="ESG15:ESJ15"/>
    <mergeCell ref="ESK15:ESL15"/>
    <mergeCell ref="ESM15:ESN15"/>
    <mergeCell ref="ESO15:ESP15"/>
    <mergeCell ref="EQO15:EQP15"/>
    <mergeCell ref="EQQ15:EQR15"/>
    <mergeCell ref="EQS15:EQT15"/>
    <mergeCell ref="EQU15:EQZ15"/>
    <mergeCell ref="ERA15:ERD15"/>
    <mergeCell ref="ERE15:ERF15"/>
    <mergeCell ref="ERG15:ERH15"/>
    <mergeCell ref="ERI15:ERJ15"/>
    <mergeCell ref="ERK15:ERP15"/>
    <mergeCell ref="EPK15:EPL15"/>
    <mergeCell ref="EPM15:EPN15"/>
    <mergeCell ref="EPO15:EPT15"/>
    <mergeCell ref="EPU15:EPX15"/>
    <mergeCell ref="EPY15:EPZ15"/>
    <mergeCell ref="EQA15:EQB15"/>
    <mergeCell ref="EQC15:EQD15"/>
    <mergeCell ref="EQE15:EQJ15"/>
    <mergeCell ref="EQK15:EQN15"/>
    <mergeCell ref="EOG15:EOH15"/>
    <mergeCell ref="EOI15:EON15"/>
    <mergeCell ref="EOO15:EOR15"/>
    <mergeCell ref="EOS15:EOT15"/>
    <mergeCell ref="EOU15:EOV15"/>
    <mergeCell ref="EOW15:EOX15"/>
    <mergeCell ref="EOY15:EPD15"/>
    <mergeCell ref="EPE15:EPH15"/>
    <mergeCell ref="EPI15:EPJ15"/>
    <mergeCell ref="ENC15:ENH15"/>
    <mergeCell ref="ENI15:ENL15"/>
    <mergeCell ref="ENM15:ENN15"/>
    <mergeCell ref="ENO15:ENP15"/>
    <mergeCell ref="ENQ15:ENR15"/>
    <mergeCell ref="ENS15:ENX15"/>
    <mergeCell ref="ENY15:EOB15"/>
    <mergeCell ref="EOC15:EOD15"/>
    <mergeCell ref="EOE15:EOF15"/>
    <mergeCell ref="EMC15:EMF15"/>
    <mergeCell ref="EMG15:EMH15"/>
    <mergeCell ref="EMI15:EMJ15"/>
    <mergeCell ref="EMK15:EML15"/>
    <mergeCell ref="EMM15:EMR15"/>
    <mergeCell ref="EMS15:EMV15"/>
    <mergeCell ref="EMW15:EMX15"/>
    <mergeCell ref="EMY15:EMZ15"/>
    <mergeCell ref="ENA15:ENB15"/>
    <mergeCell ref="ELA15:ELB15"/>
    <mergeCell ref="ELC15:ELD15"/>
    <mergeCell ref="ELE15:ELF15"/>
    <mergeCell ref="ELG15:ELL15"/>
    <mergeCell ref="ELM15:ELP15"/>
    <mergeCell ref="ELQ15:ELR15"/>
    <mergeCell ref="ELS15:ELT15"/>
    <mergeCell ref="ELU15:ELV15"/>
    <mergeCell ref="ELW15:EMB15"/>
    <mergeCell ref="EJW15:EJX15"/>
    <mergeCell ref="EJY15:EJZ15"/>
    <mergeCell ref="EKA15:EKF15"/>
    <mergeCell ref="EKG15:EKJ15"/>
    <mergeCell ref="EKK15:EKL15"/>
    <mergeCell ref="EKM15:EKN15"/>
    <mergeCell ref="EKO15:EKP15"/>
    <mergeCell ref="EKQ15:EKV15"/>
    <mergeCell ref="EKW15:EKZ15"/>
    <mergeCell ref="EIS15:EIT15"/>
    <mergeCell ref="EIU15:EIZ15"/>
    <mergeCell ref="EJA15:EJD15"/>
    <mergeCell ref="EJE15:EJF15"/>
    <mergeCell ref="EJG15:EJH15"/>
    <mergeCell ref="EJI15:EJJ15"/>
    <mergeCell ref="EJK15:EJP15"/>
    <mergeCell ref="EJQ15:EJT15"/>
    <mergeCell ref="EJU15:EJV15"/>
    <mergeCell ref="EHO15:EHT15"/>
    <mergeCell ref="EHU15:EHX15"/>
    <mergeCell ref="EHY15:EHZ15"/>
    <mergeCell ref="EIA15:EIB15"/>
    <mergeCell ref="EIC15:EID15"/>
    <mergeCell ref="EIE15:EIJ15"/>
    <mergeCell ref="EIK15:EIN15"/>
    <mergeCell ref="EIO15:EIP15"/>
    <mergeCell ref="EIQ15:EIR15"/>
    <mergeCell ref="EGO15:EGR15"/>
    <mergeCell ref="EGS15:EGT15"/>
    <mergeCell ref="EGU15:EGV15"/>
    <mergeCell ref="EGW15:EGX15"/>
    <mergeCell ref="EGY15:EHD15"/>
    <mergeCell ref="EHE15:EHH15"/>
    <mergeCell ref="EHI15:EHJ15"/>
    <mergeCell ref="EHK15:EHL15"/>
    <mergeCell ref="EHM15:EHN15"/>
    <mergeCell ref="EFM15:EFN15"/>
    <mergeCell ref="EFO15:EFP15"/>
    <mergeCell ref="EFQ15:EFR15"/>
    <mergeCell ref="EFS15:EFX15"/>
    <mergeCell ref="EFY15:EGB15"/>
    <mergeCell ref="EGC15:EGD15"/>
    <mergeCell ref="EGE15:EGF15"/>
    <mergeCell ref="EGG15:EGH15"/>
    <mergeCell ref="EGI15:EGN15"/>
    <mergeCell ref="EEI15:EEJ15"/>
    <mergeCell ref="EEK15:EEL15"/>
    <mergeCell ref="EEM15:EER15"/>
    <mergeCell ref="EES15:EEV15"/>
    <mergeCell ref="EEW15:EEX15"/>
    <mergeCell ref="EEY15:EEZ15"/>
    <mergeCell ref="EFA15:EFB15"/>
    <mergeCell ref="EFC15:EFH15"/>
    <mergeCell ref="EFI15:EFL15"/>
    <mergeCell ref="EDE15:EDF15"/>
    <mergeCell ref="EDG15:EDL15"/>
    <mergeCell ref="EDM15:EDP15"/>
    <mergeCell ref="EDQ15:EDR15"/>
    <mergeCell ref="EDS15:EDT15"/>
    <mergeCell ref="EDU15:EDV15"/>
    <mergeCell ref="EDW15:EEB15"/>
    <mergeCell ref="EEC15:EEF15"/>
    <mergeCell ref="EEG15:EEH15"/>
    <mergeCell ref="ECA15:ECF15"/>
    <mergeCell ref="ECG15:ECJ15"/>
    <mergeCell ref="ECK15:ECL15"/>
    <mergeCell ref="ECM15:ECN15"/>
    <mergeCell ref="ECO15:ECP15"/>
    <mergeCell ref="ECQ15:ECV15"/>
    <mergeCell ref="ECW15:ECZ15"/>
    <mergeCell ref="EDA15:EDB15"/>
    <mergeCell ref="EDC15:EDD15"/>
    <mergeCell ref="EBA15:EBD15"/>
    <mergeCell ref="EBE15:EBF15"/>
    <mergeCell ref="EBG15:EBH15"/>
    <mergeCell ref="EBI15:EBJ15"/>
    <mergeCell ref="EBK15:EBP15"/>
    <mergeCell ref="EBQ15:EBT15"/>
    <mergeCell ref="EBU15:EBV15"/>
    <mergeCell ref="EBW15:EBX15"/>
    <mergeCell ref="EBY15:EBZ15"/>
    <mergeCell ref="DZY15:DZZ15"/>
    <mergeCell ref="EAA15:EAB15"/>
    <mergeCell ref="EAC15:EAD15"/>
    <mergeCell ref="EAE15:EAJ15"/>
    <mergeCell ref="EAK15:EAN15"/>
    <mergeCell ref="EAO15:EAP15"/>
    <mergeCell ref="EAQ15:EAR15"/>
    <mergeCell ref="EAS15:EAT15"/>
    <mergeCell ref="EAU15:EAZ15"/>
    <mergeCell ref="DYU15:DYV15"/>
    <mergeCell ref="DYW15:DYX15"/>
    <mergeCell ref="DYY15:DZD15"/>
    <mergeCell ref="DZE15:DZH15"/>
    <mergeCell ref="DZI15:DZJ15"/>
    <mergeCell ref="DZK15:DZL15"/>
    <mergeCell ref="DZM15:DZN15"/>
    <mergeCell ref="DZO15:DZT15"/>
    <mergeCell ref="DZU15:DZX15"/>
    <mergeCell ref="DXQ15:DXR15"/>
    <mergeCell ref="DXS15:DXX15"/>
    <mergeCell ref="DXY15:DYB15"/>
    <mergeCell ref="DYC15:DYD15"/>
    <mergeCell ref="DYE15:DYF15"/>
    <mergeCell ref="DYG15:DYH15"/>
    <mergeCell ref="DYI15:DYN15"/>
    <mergeCell ref="DYO15:DYR15"/>
    <mergeCell ref="DYS15:DYT15"/>
    <mergeCell ref="DWM15:DWR15"/>
    <mergeCell ref="DWS15:DWV15"/>
    <mergeCell ref="DWW15:DWX15"/>
    <mergeCell ref="DWY15:DWZ15"/>
    <mergeCell ref="DXA15:DXB15"/>
    <mergeCell ref="DXC15:DXH15"/>
    <mergeCell ref="DXI15:DXL15"/>
    <mergeCell ref="DXM15:DXN15"/>
    <mergeCell ref="DXO15:DXP15"/>
    <mergeCell ref="DVM15:DVP15"/>
    <mergeCell ref="DVQ15:DVR15"/>
    <mergeCell ref="DVS15:DVT15"/>
    <mergeCell ref="DVU15:DVV15"/>
    <mergeCell ref="DVW15:DWB15"/>
    <mergeCell ref="DWC15:DWF15"/>
    <mergeCell ref="DWG15:DWH15"/>
    <mergeCell ref="DWI15:DWJ15"/>
    <mergeCell ref="DWK15:DWL15"/>
    <mergeCell ref="DUK15:DUL15"/>
    <mergeCell ref="DUM15:DUN15"/>
    <mergeCell ref="DUO15:DUP15"/>
    <mergeCell ref="DUQ15:DUV15"/>
    <mergeCell ref="DUW15:DUZ15"/>
    <mergeCell ref="DVA15:DVB15"/>
    <mergeCell ref="DVC15:DVD15"/>
    <mergeCell ref="DVE15:DVF15"/>
    <mergeCell ref="DVG15:DVL15"/>
    <mergeCell ref="DTG15:DTH15"/>
    <mergeCell ref="DTI15:DTJ15"/>
    <mergeCell ref="DTK15:DTP15"/>
    <mergeCell ref="DTQ15:DTT15"/>
    <mergeCell ref="DTU15:DTV15"/>
    <mergeCell ref="DTW15:DTX15"/>
    <mergeCell ref="DTY15:DTZ15"/>
    <mergeCell ref="DUA15:DUF15"/>
    <mergeCell ref="DUG15:DUJ15"/>
    <mergeCell ref="DSC15:DSD15"/>
    <mergeCell ref="DSE15:DSJ15"/>
    <mergeCell ref="DSK15:DSN15"/>
    <mergeCell ref="DSO15:DSP15"/>
    <mergeCell ref="DSQ15:DSR15"/>
    <mergeCell ref="DSS15:DST15"/>
    <mergeCell ref="DSU15:DSZ15"/>
    <mergeCell ref="DTA15:DTD15"/>
    <mergeCell ref="DTE15:DTF15"/>
    <mergeCell ref="DQY15:DRD15"/>
    <mergeCell ref="DRE15:DRH15"/>
    <mergeCell ref="DRI15:DRJ15"/>
    <mergeCell ref="DRK15:DRL15"/>
    <mergeCell ref="DRM15:DRN15"/>
    <mergeCell ref="DRO15:DRT15"/>
    <mergeCell ref="DRU15:DRX15"/>
    <mergeCell ref="DRY15:DRZ15"/>
    <mergeCell ref="DSA15:DSB15"/>
    <mergeCell ref="DPY15:DQB15"/>
    <mergeCell ref="DQC15:DQD15"/>
    <mergeCell ref="DQE15:DQF15"/>
    <mergeCell ref="DQG15:DQH15"/>
    <mergeCell ref="DQI15:DQN15"/>
    <mergeCell ref="DQO15:DQR15"/>
    <mergeCell ref="DQS15:DQT15"/>
    <mergeCell ref="DQU15:DQV15"/>
    <mergeCell ref="DQW15:DQX15"/>
    <mergeCell ref="DOW15:DOX15"/>
    <mergeCell ref="DOY15:DOZ15"/>
    <mergeCell ref="DPA15:DPB15"/>
    <mergeCell ref="DPC15:DPH15"/>
    <mergeCell ref="DPI15:DPL15"/>
    <mergeCell ref="DPM15:DPN15"/>
    <mergeCell ref="DPO15:DPP15"/>
    <mergeCell ref="DPQ15:DPR15"/>
    <mergeCell ref="DPS15:DPX15"/>
    <mergeCell ref="DNS15:DNT15"/>
    <mergeCell ref="DNU15:DNV15"/>
    <mergeCell ref="DNW15:DOB15"/>
    <mergeCell ref="DOC15:DOF15"/>
    <mergeCell ref="DOG15:DOH15"/>
    <mergeCell ref="DOI15:DOJ15"/>
    <mergeCell ref="DOK15:DOL15"/>
    <mergeCell ref="DOM15:DOR15"/>
    <mergeCell ref="DOS15:DOV15"/>
    <mergeCell ref="DMO15:DMP15"/>
    <mergeCell ref="DMQ15:DMV15"/>
    <mergeCell ref="DMW15:DMZ15"/>
    <mergeCell ref="DNA15:DNB15"/>
    <mergeCell ref="DNC15:DND15"/>
    <mergeCell ref="DNE15:DNF15"/>
    <mergeCell ref="DNG15:DNL15"/>
    <mergeCell ref="DNM15:DNP15"/>
    <mergeCell ref="DNQ15:DNR15"/>
    <mergeCell ref="DLK15:DLP15"/>
    <mergeCell ref="DLQ15:DLT15"/>
    <mergeCell ref="DLU15:DLV15"/>
    <mergeCell ref="DLW15:DLX15"/>
    <mergeCell ref="DLY15:DLZ15"/>
    <mergeCell ref="DMA15:DMF15"/>
    <mergeCell ref="DMG15:DMJ15"/>
    <mergeCell ref="DMK15:DML15"/>
    <mergeCell ref="DMM15:DMN15"/>
    <mergeCell ref="DKK15:DKN15"/>
    <mergeCell ref="DKO15:DKP15"/>
    <mergeCell ref="DKQ15:DKR15"/>
    <mergeCell ref="DKS15:DKT15"/>
    <mergeCell ref="DKU15:DKZ15"/>
    <mergeCell ref="DLA15:DLD15"/>
    <mergeCell ref="DLE15:DLF15"/>
    <mergeCell ref="DLG15:DLH15"/>
    <mergeCell ref="DLI15:DLJ15"/>
    <mergeCell ref="DJI15:DJJ15"/>
    <mergeCell ref="DJK15:DJL15"/>
    <mergeCell ref="DJM15:DJN15"/>
    <mergeCell ref="DJO15:DJT15"/>
    <mergeCell ref="DJU15:DJX15"/>
    <mergeCell ref="DJY15:DJZ15"/>
    <mergeCell ref="DKA15:DKB15"/>
    <mergeCell ref="DKC15:DKD15"/>
    <mergeCell ref="DKE15:DKJ15"/>
    <mergeCell ref="DIE15:DIF15"/>
    <mergeCell ref="DIG15:DIH15"/>
    <mergeCell ref="DII15:DIN15"/>
    <mergeCell ref="DIO15:DIR15"/>
    <mergeCell ref="DIS15:DIT15"/>
    <mergeCell ref="DIU15:DIV15"/>
    <mergeCell ref="DIW15:DIX15"/>
    <mergeCell ref="DIY15:DJD15"/>
    <mergeCell ref="DJE15:DJH15"/>
    <mergeCell ref="DHA15:DHB15"/>
    <mergeCell ref="DHC15:DHH15"/>
    <mergeCell ref="DHI15:DHL15"/>
    <mergeCell ref="DHM15:DHN15"/>
    <mergeCell ref="DHO15:DHP15"/>
    <mergeCell ref="DHQ15:DHR15"/>
    <mergeCell ref="DHS15:DHX15"/>
    <mergeCell ref="DHY15:DIB15"/>
    <mergeCell ref="DIC15:DID15"/>
    <mergeCell ref="DFW15:DGB15"/>
    <mergeCell ref="DGC15:DGF15"/>
    <mergeCell ref="DGG15:DGH15"/>
    <mergeCell ref="DGI15:DGJ15"/>
    <mergeCell ref="DGK15:DGL15"/>
    <mergeCell ref="DGM15:DGR15"/>
    <mergeCell ref="DGS15:DGV15"/>
    <mergeCell ref="DGW15:DGX15"/>
    <mergeCell ref="DGY15:DGZ15"/>
    <mergeCell ref="DEW15:DEZ15"/>
    <mergeCell ref="DFA15:DFB15"/>
    <mergeCell ref="DFC15:DFD15"/>
    <mergeCell ref="DFE15:DFF15"/>
    <mergeCell ref="DFG15:DFL15"/>
    <mergeCell ref="DFM15:DFP15"/>
    <mergeCell ref="DFQ15:DFR15"/>
    <mergeCell ref="DFS15:DFT15"/>
    <mergeCell ref="DFU15:DFV15"/>
    <mergeCell ref="DDU15:DDV15"/>
    <mergeCell ref="DDW15:DDX15"/>
    <mergeCell ref="DDY15:DDZ15"/>
    <mergeCell ref="DEA15:DEF15"/>
    <mergeCell ref="DEG15:DEJ15"/>
    <mergeCell ref="DEK15:DEL15"/>
    <mergeCell ref="DEM15:DEN15"/>
    <mergeCell ref="DEO15:DEP15"/>
    <mergeCell ref="DEQ15:DEV15"/>
    <mergeCell ref="DCQ15:DCR15"/>
    <mergeCell ref="DCS15:DCT15"/>
    <mergeCell ref="DCU15:DCZ15"/>
    <mergeCell ref="DDA15:DDD15"/>
    <mergeCell ref="DDE15:DDF15"/>
    <mergeCell ref="DDG15:DDH15"/>
    <mergeCell ref="DDI15:DDJ15"/>
    <mergeCell ref="DDK15:DDP15"/>
    <mergeCell ref="DDQ15:DDT15"/>
    <mergeCell ref="DBM15:DBN15"/>
    <mergeCell ref="DBO15:DBT15"/>
    <mergeCell ref="DBU15:DBX15"/>
    <mergeCell ref="DBY15:DBZ15"/>
    <mergeCell ref="DCA15:DCB15"/>
    <mergeCell ref="DCC15:DCD15"/>
    <mergeCell ref="DCE15:DCJ15"/>
    <mergeCell ref="DCK15:DCN15"/>
    <mergeCell ref="DCO15:DCP15"/>
    <mergeCell ref="DAI15:DAN15"/>
    <mergeCell ref="DAO15:DAR15"/>
    <mergeCell ref="DAS15:DAT15"/>
    <mergeCell ref="DAU15:DAV15"/>
    <mergeCell ref="DAW15:DAX15"/>
    <mergeCell ref="DAY15:DBD15"/>
    <mergeCell ref="DBE15:DBH15"/>
    <mergeCell ref="DBI15:DBJ15"/>
    <mergeCell ref="DBK15:DBL15"/>
    <mergeCell ref="CZI15:CZL15"/>
    <mergeCell ref="CZM15:CZN15"/>
    <mergeCell ref="CZO15:CZP15"/>
    <mergeCell ref="CZQ15:CZR15"/>
    <mergeCell ref="CZS15:CZX15"/>
    <mergeCell ref="CZY15:DAB15"/>
    <mergeCell ref="DAC15:DAD15"/>
    <mergeCell ref="DAE15:DAF15"/>
    <mergeCell ref="DAG15:DAH15"/>
    <mergeCell ref="CYG15:CYH15"/>
    <mergeCell ref="CYI15:CYJ15"/>
    <mergeCell ref="CYK15:CYL15"/>
    <mergeCell ref="CYM15:CYR15"/>
    <mergeCell ref="CYS15:CYV15"/>
    <mergeCell ref="CYW15:CYX15"/>
    <mergeCell ref="CYY15:CYZ15"/>
    <mergeCell ref="CZA15:CZB15"/>
    <mergeCell ref="CZC15:CZH15"/>
    <mergeCell ref="CXC15:CXD15"/>
    <mergeCell ref="CXE15:CXF15"/>
    <mergeCell ref="CXG15:CXL15"/>
    <mergeCell ref="CXM15:CXP15"/>
    <mergeCell ref="CXQ15:CXR15"/>
    <mergeCell ref="CXS15:CXT15"/>
    <mergeCell ref="CXU15:CXV15"/>
    <mergeCell ref="CXW15:CYB15"/>
    <mergeCell ref="CYC15:CYF15"/>
    <mergeCell ref="CVY15:CVZ15"/>
    <mergeCell ref="CWA15:CWF15"/>
    <mergeCell ref="CWG15:CWJ15"/>
    <mergeCell ref="CWK15:CWL15"/>
    <mergeCell ref="CWM15:CWN15"/>
    <mergeCell ref="CWO15:CWP15"/>
    <mergeCell ref="CWQ15:CWV15"/>
    <mergeCell ref="CWW15:CWZ15"/>
    <mergeCell ref="CXA15:CXB15"/>
    <mergeCell ref="CUU15:CUZ15"/>
    <mergeCell ref="CVA15:CVD15"/>
    <mergeCell ref="CVE15:CVF15"/>
    <mergeCell ref="CVG15:CVH15"/>
    <mergeCell ref="CVI15:CVJ15"/>
    <mergeCell ref="CVK15:CVP15"/>
    <mergeCell ref="CVQ15:CVT15"/>
    <mergeCell ref="CVU15:CVV15"/>
    <mergeCell ref="CVW15:CVX15"/>
    <mergeCell ref="CTU15:CTX15"/>
    <mergeCell ref="CTY15:CTZ15"/>
    <mergeCell ref="CUA15:CUB15"/>
    <mergeCell ref="CUC15:CUD15"/>
    <mergeCell ref="CUE15:CUJ15"/>
    <mergeCell ref="CUK15:CUN15"/>
    <mergeCell ref="CUO15:CUP15"/>
    <mergeCell ref="CUQ15:CUR15"/>
    <mergeCell ref="CUS15:CUT15"/>
    <mergeCell ref="CSS15:CST15"/>
    <mergeCell ref="CSU15:CSV15"/>
    <mergeCell ref="CSW15:CSX15"/>
    <mergeCell ref="CSY15:CTD15"/>
    <mergeCell ref="CTE15:CTH15"/>
    <mergeCell ref="CTI15:CTJ15"/>
    <mergeCell ref="CTK15:CTL15"/>
    <mergeCell ref="CTM15:CTN15"/>
    <mergeCell ref="CTO15:CTT15"/>
    <mergeCell ref="CRO15:CRP15"/>
    <mergeCell ref="CRQ15:CRR15"/>
    <mergeCell ref="CRS15:CRX15"/>
    <mergeCell ref="CRY15:CSB15"/>
    <mergeCell ref="CSC15:CSD15"/>
    <mergeCell ref="CSE15:CSF15"/>
    <mergeCell ref="CSG15:CSH15"/>
    <mergeCell ref="CSI15:CSN15"/>
    <mergeCell ref="CSO15:CSR15"/>
    <mergeCell ref="CQK15:CQL15"/>
    <mergeCell ref="CQM15:CQR15"/>
    <mergeCell ref="CQS15:CQV15"/>
    <mergeCell ref="CQW15:CQX15"/>
    <mergeCell ref="CQY15:CQZ15"/>
    <mergeCell ref="CRA15:CRB15"/>
    <mergeCell ref="CRC15:CRH15"/>
    <mergeCell ref="CRI15:CRL15"/>
    <mergeCell ref="CRM15:CRN15"/>
    <mergeCell ref="CPG15:CPL15"/>
    <mergeCell ref="CPM15:CPP15"/>
    <mergeCell ref="CPQ15:CPR15"/>
    <mergeCell ref="CPS15:CPT15"/>
    <mergeCell ref="CPU15:CPV15"/>
    <mergeCell ref="CPW15:CQB15"/>
    <mergeCell ref="CQC15:CQF15"/>
    <mergeCell ref="CQG15:CQH15"/>
    <mergeCell ref="CQI15:CQJ15"/>
    <mergeCell ref="COG15:COJ15"/>
    <mergeCell ref="COK15:COL15"/>
    <mergeCell ref="COM15:CON15"/>
    <mergeCell ref="COO15:COP15"/>
    <mergeCell ref="COQ15:COV15"/>
    <mergeCell ref="COW15:COZ15"/>
    <mergeCell ref="CPA15:CPB15"/>
    <mergeCell ref="CPC15:CPD15"/>
    <mergeCell ref="CPE15:CPF15"/>
    <mergeCell ref="CNE15:CNF15"/>
    <mergeCell ref="CNG15:CNH15"/>
    <mergeCell ref="CNI15:CNJ15"/>
    <mergeCell ref="CNK15:CNP15"/>
    <mergeCell ref="CNQ15:CNT15"/>
    <mergeCell ref="CNU15:CNV15"/>
    <mergeCell ref="CNW15:CNX15"/>
    <mergeCell ref="CNY15:CNZ15"/>
    <mergeCell ref="COA15:COF15"/>
    <mergeCell ref="CMA15:CMB15"/>
    <mergeCell ref="CMC15:CMD15"/>
    <mergeCell ref="CME15:CMJ15"/>
    <mergeCell ref="CMK15:CMN15"/>
    <mergeCell ref="CMO15:CMP15"/>
    <mergeCell ref="CMQ15:CMR15"/>
    <mergeCell ref="CMS15:CMT15"/>
    <mergeCell ref="CMU15:CMZ15"/>
    <mergeCell ref="CNA15:CND15"/>
    <mergeCell ref="CKW15:CKX15"/>
    <mergeCell ref="CKY15:CLD15"/>
    <mergeCell ref="CLE15:CLH15"/>
    <mergeCell ref="CLI15:CLJ15"/>
    <mergeCell ref="CLK15:CLL15"/>
    <mergeCell ref="CLM15:CLN15"/>
    <mergeCell ref="CLO15:CLT15"/>
    <mergeCell ref="CLU15:CLX15"/>
    <mergeCell ref="CLY15:CLZ15"/>
    <mergeCell ref="CJS15:CJX15"/>
    <mergeCell ref="CJY15:CKB15"/>
    <mergeCell ref="CKC15:CKD15"/>
    <mergeCell ref="CKE15:CKF15"/>
    <mergeCell ref="CKG15:CKH15"/>
    <mergeCell ref="CKI15:CKN15"/>
    <mergeCell ref="CKO15:CKR15"/>
    <mergeCell ref="CKS15:CKT15"/>
    <mergeCell ref="CKU15:CKV15"/>
    <mergeCell ref="CIS15:CIV15"/>
    <mergeCell ref="CIW15:CIX15"/>
    <mergeCell ref="CIY15:CIZ15"/>
    <mergeCell ref="CJA15:CJB15"/>
    <mergeCell ref="CJC15:CJH15"/>
    <mergeCell ref="CJI15:CJL15"/>
    <mergeCell ref="CJM15:CJN15"/>
    <mergeCell ref="CJO15:CJP15"/>
    <mergeCell ref="CJQ15:CJR15"/>
    <mergeCell ref="CHQ15:CHR15"/>
    <mergeCell ref="CHS15:CHT15"/>
    <mergeCell ref="CHU15:CHV15"/>
    <mergeCell ref="CHW15:CIB15"/>
    <mergeCell ref="CIC15:CIF15"/>
    <mergeCell ref="CIG15:CIH15"/>
    <mergeCell ref="CII15:CIJ15"/>
    <mergeCell ref="CIK15:CIL15"/>
    <mergeCell ref="CIM15:CIR15"/>
    <mergeCell ref="CGM15:CGN15"/>
    <mergeCell ref="CGO15:CGP15"/>
    <mergeCell ref="CGQ15:CGV15"/>
    <mergeCell ref="CGW15:CGZ15"/>
    <mergeCell ref="CHA15:CHB15"/>
    <mergeCell ref="CHC15:CHD15"/>
    <mergeCell ref="CHE15:CHF15"/>
    <mergeCell ref="CHG15:CHL15"/>
    <mergeCell ref="CHM15:CHP15"/>
    <mergeCell ref="CFI15:CFJ15"/>
    <mergeCell ref="CFK15:CFP15"/>
    <mergeCell ref="CFQ15:CFT15"/>
    <mergeCell ref="CFU15:CFV15"/>
    <mergeCell ref="CFW15:CFX15"/>
    <mergeCell ref="CFY15:CFZ15"/>
    <mergeCell ref="CGA15:CGF15"/>
    <mergeCell ref="CGG15:CGJ15"/>
    <mergeCell ref="CGK15:CGL15"/>
    <mergeCell ref="CEE15:CEJ15"/>
    <mergeCell ref="CEK15:CEN15"/>
    <mergeCell ref="CEO15:CEP15"/>
    <mergeCell ref="CEQ15:CER15"/>
    <mergeCell ref="CES15:CET15"/>
    <mergeCell ref="CEU15:CEZ15"/>
    <mergeCell ref="CFA15:CFD15"/>
    <mergeCell ref="CFE15:CFF15"/>
    <mergeCell ref="CFG15:CFH15"/>
    <mergeCell ref="CDE15:CDH15"/>
    <mergeCell ref="CDI15:CDJ15"/>
    <mergeCell ref="CDK15:CDL15"/>
    <mergeCell ref="CDM15:CDN15"/>
    <mergeCell ref="CDO15:CDT15"/>
    <mergeCell ref="CDU15:CDX15"/>
    <mergeCell ref="CDY15:CDZ15"/>
    <mergeCell ref="CEA15:CEB15"/>
    <mergeCell ref="CEC15:CED15"/>
    <mergeCell ref="CCC15:CCD15"/>
    <mergeCell ref="CCE15:CCF15"/>
    <mergeCell ref="CCG15:CCH15"/>
    <mergeCell ref="CCI15:CCN15"/>
    <mergeCell ref="CCO15:CCR15"/>
    <mergeCell ref="CCS15:CCT15"/>
    <mergeCell ref="CCU15:CCV15"/>
    <mergeCell ref="CCW15:CCX15"/>
    <mergeCell ref="CCY15:CDD15"/>
    <mergeCell ref="CAY15:CAZ15"/>
    <mergeCell ref="CBA15:CBB15"/>
    <mergeCell ref="CBC15:CBH15"/>
    <mergeCell ref="CBI15:CBL15"/>
    <mergeCell ref="CBM15:CBN15"/>
    <mergeCell ref="CBO15:CBP15"/>
    <mergeCell ref="CBQ15:CBR15"/>
    <mergeCell ref="CBS15:CBX15"/>
    <mergeCell ref="CBY15:CCB15"/>
    <mergeCell ref="BZU15:BZV15"/>
    <mergeCell ref="BZW15:CAB15"/>
    <mergeCell ref="CAC15:CAF15"/>
    <mergeCell ref="CAG15:CAH15"/>
    <mergeCell ref="CAI15:CAJ15"/>
    <mergeCell ref="CAK15:CAL15"/>
    <mergeCell ref="CAM15:CAR15"/>
    <mergeCell ref="CAS15:CAV15"/>
    <mergeCell ref="CAW15:CAX15"/>
    <mergeCell ref="BYQ15:BYV15"/>
    <mergeCell ref="BYW15:BYZ15"/>
    <mergeCell ref="BZA15:BZB15"/>
    <mergeCell ref="BZC15:BZD15"/>
    <mergeCell ref="BZE15:BZF15"/>
    <mergeCell ref="BZG15:BZL15"/>
    <mergeCell ref="BZM15:BZP15"/>
    <mergeCell ref="BZQ15:BZR15"/>
    <mergeCell ref="BZS15:BZT15"/>
    <mergeCell ref="BXQ15:BXT15"/>
    <mergeCell ref="BXU15:BXV15"/>
    <mergeCell ref="BXW15:BXX15"/>
    <mergeCell ref="BXY15:BXZ15"/>
    <mergeCell ref="BYA15:BYF15"/>
    <mergeCell ref="BYG15:BYJ15"/>
    <mergeCell ref="BYK15:BYL15"/>
    <mergeCell ref="BYM15:BYN15"/>
    <mergeCell ref="BYO15:BYP15"/>
    <mergeCell ref="BWO15:BWP15"/>
    <mergeCell ref="BWQ15:BWR15"/>
    <mergeCell ref="BWS15:BWT15"/>
    <mergeCell ref="BWU15:BWZ15"/>
    <mergeCell ref="BXA15:BXD15"/>
    <mergeCell ref="BXE15:BXF15"/>
    <mergeCell ref="BXG15:BXH15"/>
    <mergeCell ref="BXI15:BXJ15"/>
    <mergeCell ref="BXK15:BXP15"/>
    <mergeCell ref="BVK15:BVL15"/>
    <mergeCell ref="BVM15:BVN15"/>
    <mergeCell ref="BVO15:BVT15"/>
    <mergeCell ref="BVU15:BVX15"/>
    <mergeCell ref="BVY15:BVZ15"/>
    <mergeCell ref="BWA15:BWB15"/>
    <mergeCell ref="BWC15:BWD15"/>
    <mergeCell ref="BWE15:BWJ15"/>
    <mergeCell ref="BWK15:BWN15"/>
    <mergeCell ref="BUG15:BUH15"/>
    <mergeCell ref="BUI15:BUN15"/>
    <mergeCell ref="BUO15:BUR15"/>
    <mergeCell ref="BUS15:BUT15"/>
    <mergeCell ref="BUU15:BUV15"/>
    <mergeCell ref="BUW15:BUX15"/>
    <mergeCell ref="BUY15:BVD15"/>
    <mergeCell ref="BVE15:BVH15"/>
    <mergeCell ref="BVI15:BVJ15"/>
    <mergeCell ref="BTC15:BTH15"/>
    <mergeCell ref="BTI15:BTL15"/>
    <mergeCell ref="BTM15:BTN15"/>
    <mergeCell ref="BTO15:BTP15"/>
    <mergeCell ref="BTQ15:BTR15"/>
    <mergeCell ref="BTS15:BTX15"/>
    <mergeCell ref="BTY15:BUB15"/>
    <mergeCell ref="BUC15:BUD15"/>
    <mergeCell ref="BUE15:BUF15"/>
    <mergeCell ref="BSC15:BSF15"/>
    <mergeCell ref="BSG15:BSH15"/>
    <mergeCell ref="BSI15:BSJ15"/>
    <mergeCell ref="BSK15:BSL15"/>
    <mergeCell ref="BSM15:BSR15"/>
    <mergeCell ref="BSS15:BSV15"/>
    <mergeCell ref="BSW15:BSX15"/>
    <mergeCell ref="BSY15:BSZ15"/>
    <mergeCell ref="BTA15:BTB15"/>
    <mergeCell ref="BRA15:BRB15"/>
    <mergeCell ref="BRC15:BRD15"/>
    <mergeCell ref="BRE15:BRF15"/>
    <mergeCell ref="BRG15:BRL15"/>
    <mergeCell ref="BRM15:BRP15"/>
    <mergeCell ref="BRQ15:BRR15"/>
    <mergeCell ref="BRS15:BRT15"/>
    <mergeCell ref="BRU15:BRV15"/>
    <mergeCell ref="BRW15:BSB15"/>
    <mergeCell ref="BPW15:BPX15"/>
    <mergeCell ref="BPY15:BPZ15"/>
    <mergeCell ref="BQA15:BQF15"/>
    <mergeCell ref="BQG15:BQJ15"/>
    <mergeCell ref="BQK15:BQL15"/>
    <mergeCell ref="BQM15:BQN15"/>
    <mergeCell ref="BQO15:BQP15"/>
    <mergeCell ref="BQQ15:BQV15"/>
    <mergeCell ref="BQW15:BQZ15"/>
    <mergeCell ref="BOS15:BOT15"/>
    <mergeCell ref="BOU15:BOZ15"/>
    <mergeCell ref="BPA15:BPD15"/>
    <mergeCell ref="BPE15:BPF15"/>
    <mergeCell ref="BPG15:BPH15"/>
    <mergeCell ref="BPI15:BPJ15"/>
    <mergeCell ref="BPK15:BPP15"/>
    <mergeCell ref="BPQ15:BPT15"/>
    <mergeCell ref="BPU15:BPV15"/>
    <mergeCell ref="BNO15:BNT15"/>
    <mergeCell ref="BNU15:BNX15"/>
    <mergeCell ref="BNY15:BNZ15"/>
    <mergeCell ref="BOA15:BOB15"/>
    <mergeCell ref="BOC15:BOD15"/>
    <mergeCell ref="BOE15:BOJ15"/>
    <mergeCell ref="BOK15:BON15"/>
    <mergeCell ref="BOO15:BOP15"/>
    <mergeCell ref="BOQ15:BOR15"/>
    <mergeCell ref="BMO15:BMR15"/>
    <mergeCell ref="BMS15:BMT15"/>
    <mergeCell ref="BMU15:BMV15"/>
    <mergeCell ref="BMW15:BMX15"/>
    <mergeCell ref="BMY15:BND15"/>
    <mergeCell ref="BNE15:BNH15"/>
    <mergeCell ref="BNI15:BNJ15"/>
    <mergeCell ref="BNK15:BNL15"/>
    <mergeCell ref="BNM15:BNN15"/>
    <mergeCell ref="BLM15:BLN15"/>
    <mergeCell ref="BLO15:BLP15"/>
    <mergeCell ref="BLQ15:BLR15"/>
    <mergeCell ref="BLS15:BLX15"/>
    <mergeCell ref="BLY15:BMB15"/>
    <mergeCell ref="BMC15:BMD15"/>
    <mergeCell ref="BME15:BMF15"/>
    <mergeCell ref="BMG15:BMH15"/>
    <mergeCell ref="BMI15:BMN15"/>
    <mergeCell ref="BKI15:BKJ15"/>
    <mergeCell ref="BKK15:BKL15"/>
    <mergeCell ref="BKM15:BKR15"/>
    <mergeCell ref="BKS15:BKV15"/>
    <mergeCell ref="BKW15:BKX15"/>
    <mergeCell ref="BKY15:BKZ15"/>
    <mergeCell ref="BLA15:BLB15"/>
    <mergeCell ref="BLC15:BLH15"/>
    <mergeCell ref="BLI15:BLL15"/>
    <mergeCell ref="BJE15:BJF15"/>
    <mergeCell ref="BJG15:BJL15"/>
    <mergeCell ref="BJM15:BJP15"/>
    <mergeCell ref="BJQ15:BJR15"/>
    <mergeCell ref="BJS15:BJT15"/>
    <mergeCell ref="BJU15:BJV15"/>
    <mergeCell ref="BJW15:BKB15"/>
    <mergeCell ref="BKC15:BKF15"/>
    <mergeCell ref="BKG15:BKH15"/>
    <mergeCell ref="BIA15:BIF15"/>
    <mergeCell ref="BIG15:BIJ15"/>
    <mergeCell ref="BIK15:BIL15"/>
    <mergeCell ref="BIM15:BIN15"/>
    <mergeCell ref="BIO15:BIP15"/>
    <mergeCell ref="BIQ15:BIV15"/>
    <mergeCell ref="BIW15:BIZ15"/>
    <mergeCell ref="BJA15:BJB15"/>
    <mergeCell ref="BJC15:BJD15"/>
    <mergeCell ref="BHA15:BHD15"/>
    <mergeCell ref="BHE15:BHF15"/>
    <mergeCell ref="BHG15:BHH15"/>
    <mergeCell ref="BHI15:BHJ15"/>
    <mergeCell ref="BHK15:BHP15"/>
    <mergeCell ref="BHQ15:BHT15"/>
    <mergeCell ref="BHU15:BHV15"/>
    <mergeCell ref="BHW15:BHX15"/>
    <mergeCell ref="BHY15:BHZ15"/>
    <mergeCell ref="BFY15:BFZ15"/>
    <mergeCell ref="BGA15:BGB15"/>
    <mergeCell ref="BGC15:BGD15"/>
    <mergeCell ref="BGE15:BGJ15"/>
    <mergeCell ref="BGK15:BGN15"/>
    <mergeCell ref="BGO15:BGP15"/>
    <mergeCell ref="BGQ15:BGR15"/>
    <mergeCell ref="BGS15:BGT15"/>
    <mergeCell ref="BGU15:BGZ15"/>
    <mergeCell ref="BEU15:BEV15"/>
    <mergeCell ref="BEW15:BEX15"/>
    <mergeCell ref="BEY15:BFD15"/>
    <mergeCell ref="BFE15:BFH15"/>
    <mergeCell ref="BFI15:BFJ15"/>
    <mergeCell ref="BFK15:BFL15"/>
    <mergeCell ref="BFM15:BFN15"/>
    <mergeCell ref="BFO15:BFT15"/>
    <mergeCell ref="BFU15:BFX15"/>
    <mergeCell ref="BDQ15:BDR15"/>
    <mergeCell ref="BDS15:BDX15"/>
    <mergeCell ref="BDY15:BEB15"/>
    <mergeCell ref="BEC15:BED15"/>
    <mergeCell ref="BEE15:BEF15"/>
    <mergeCell ref="BEG15:BEH15"/>
    <mergeCell ref="BEI15:BEN15"/>
    <mergeCell ref="BEO15:BER15"/>
    <mergeCell ref="BES15:BET15"/>
    <mergeCell ref="BCM15:BCR15"/>
    <mergeCell ref="BCS15:BCV15"/>
    <mergeCell ref="BCW15:BCX15"/>
    <mergeCell ref="BCY15:BCZ15"/>
    <mergeCell ref="BDA15:BDB15"/>
    <mergeCell ref="BDC15:BDH15"/>
    <mergeCell ref="BDI15:BDL15"/>
    <mergeCell ref="BDM15:BDN15"/>
    <mergeCell ref="BDO15:BDP15"/>
    <mergeCell ref="BBM15:BBP15"/>
    <mergeCell ref="BBQ15:BBR15"/>
    <mergeCell ref="BBS15:BBT15"/>
    <mergeCell ref="BBU15:BBV15"/>
    <mergeCell ref="BBW15:BCB15"/>
    <mergeCell ref="BCC15:BCF15"/>
    <mergeCell ref="BCG15:BCH15"/>
    <mergeCell ref="BCI15:BCJ15"/>
    <mergeCell ref="BCK15:BCL15"/>
    <mergeCell ref="BAK15:BAL15"/>
    <mergeCell ref="BAM15:BAN15"/>
    <mergeCell ref="BAO15:BAP15"/>
    <mergeCell ref="BAQ15:BAV15"/>
    <mergeCell ref="BAW15:BAZ15"/>
    <mergeCell ref="BBA15:BBB15"/>
    <mergeCell ref="BBC15:BBD15"/>
    <mergeCell ref="BBE15:BBF15"/>
    <mergeCell ref="BBG15:BBL15"/>
    <mergeCell ref="AZG15:AZH15"/>
    <mergeCell ref="AZI15:AZJ15"/>
    <mergeCell ref="AZK15:AZP15"/>
    <mergeCell ref="AZQ15:AZT15"/>
    <mergeCell ref="AZU15:AZV15"/>
    <mergeCell ref="AZW15:AZX15"/>
    <mergeCell ref="AZY15:AZZ15"/>
    <mergeCell ref="BAA15:BAF15"/>
    <mergeCell ref="BAG15:BAJ15"/>
    <mergeCell ref="AYC15:AYD15"/>
    <mergeCell ref="AYE15:AYJ15"/>
    <mergeCell ref="AYK15:AYN15"/>
    <mergeCell ref="AYO15:AYP15"/>
    <mergeCell ref="AYQ15:AYR15"/>
    <mergeCell ref="AYS15:AYT15"/>
    <mergeCell ref="AYU15:AYZ15"/>
    <mergeCell ref="AZA15:AZD15"/>
    <mergeCell ref="AZE15:AZF15"/>
    <mergeCell ref="AWY15:AXD15"/>
    <mergeCell ref="AXE15:AXH15"/>
    <mergeCell ref="AXI15:AXJ15"/>
    <mergeCell ref="AXK15:AXL15"/>
    <mergeCell ref="AXM15:AXN15"/>
    <mergeCell ref="AXO15:AXT15"/>
    <mergeCell ref="AXU15:AXX15"/>
    <mergeCell ref="AXY15:AXZ15"/>
    <mergeCell ref="AYA15:AYB15"/>
    <mergeCell ref="AVY15:AWB15"/>
    <mergeCell ref="AWC15:AWD15"/>
    <mergeCell ref="AWE15:AWF15"/>
    <mergeCell ref="AWG15:AWH15"/>
    <mergeCell ref="AWI15:AWN15"/>
    <mergeCell ref="AWO15:AWR15"/>
    <mergeCell ref="AWS15:AWT15"/>
    <mergeCell ref="AWU15:AWV15"/>
    <mergeCell ref="AWW15:AWX15"/>
    <mergeCell ref="AUW15:AUX15"/>
    <mergeCell ref="AUY15:AUZ15"/>
    <mergeCell ref="AVA15:AVB15"/>
    <mergeCell ref="AVC15:AVH15"/>
    <mergeCell ref="AVI15:AVL15"/>
    <mergeCell ref="AVM15:AVN15"/>
    <mergeCell ref="AVO15:AVP15"/>
    <mergeCell ref="AVQ15:AVR15"/>
    <mergeCell ref="AVS15:AVX15"/>
    <mergeCell ref="ATS15:ATT15"/>
    <mergeCell ref="ATU15:ATV15"/>
    <mergeCell ref="ATW15:AUB15"/>
    <mergeCell ref="AUC15:AUF15"/>
    <mergeCell ref="AUG15:AUH15"/>
    <mergeCell ref="AUI15:AUJ15"/>
    <mergeCell ref="AUK15:AUL15"/>
    <mergeCell ref="AUM15:AUR15"/>
    <mergeCell ref="AUS15:AUV15"/>
    <mergeCell ref="ASO15:ASP15"/>
    <mergeCell ref="ASQ15:ASV15"/>
    <mergeCell ref="ASW15:ASZ15"/>
    <mergeCell ref="ATA15:ATB15"/>
    <mergeCell ref="ATC15:ATD15"/>
    <mergeCell ref="ATE15:ATF15"/>
    <mergeCell ref="ATG15:ATL15"/>
    <mergeCell ref="ATM15:ATP15"/>
    <mergeCell ref="ATQ15:ATR15"/>
    <mergeCell ref="ARK15:ARP15"/>
    <mergeCell ref="ARQ15:ART15"/>
    <mergeCell ref="ARU15:ARV15"/>
    <mergeCell ref="ARW15:ARX15"/>
    <mergeCell ref="ARY15:ARZ15"/>
    <mergeCell ref="ASA15:ASF15"/>
    <mergeCell ref="ASG15:ASJ15"/>
    <mergeCell ref="ASK15:ASL15"/>
    <mergeCell ref="ASM15:ASN15"/>
    <mergeCell ref="AQK15:AQN15"/>
    <mergeCell ref="AQO15:AQP15"/>
    <mergeCell ref="AQQ15:AQR15"/>
    <mergeCell ref="AQS15:AQT15"/>
    <mergeCell ref="AQU15:AQZ15"/>
    <mergeCell ref="ARA15:ARD15"/>
    <mergeCell ref="ARE15:ARF15"/>
    <mergeCell ref="ARG15:ARH15"/>
    <mergeCell ref="ARI15:ARJ15"/>
    <mergeCell ref="API15:APJ15"/>
    <mergeCell ref="APK15:APL15"/>
    <mergeCell ref="APM15:APN15"/>
    <mergeCell ref="APO15:APT15"/>
    <mergeCell ref="APU15:APX15"/>
    <mergeCell ref="APY15:APZ15"/>
    <mergeCell ref="AQA15:AQB15"/>
    <mergeCell ref="AQC15:AQD15"/>
    <mergeCell ref="AQE15:AQJ15"/>
    <mergeCell ref="AOE15:AOF15"/>
    <mergeCell ref="AOG15:AOH15"/>
    <mergeCell ref="AOI15:AON15"/>
    <mergeCell ref="AOO15:AOR15"/>
    <mergeCell ref="AOS15:AOT15"/>
    <mergeCell ref="AOU15:AOV15"/>
    <mergeCell ref="AOW15:AOX15"/>
    <mergeCell ref="AOY15:APD15"/>
    <mergeCell ref="APE15:APH15"/>
    <mergeCell ref="ANA15:ANB15"/>
    <mergeCell ref="ANC15:ANH15"/>
    <mergeCell ref="ANI15:ANL15"/>
    <mergeCell ref="ANM15:ANN15"/>
    <mergeCell ref="ANO15:ANP15"/>
    <mergeCell ref="ANQ15:ANR15"/>
    <mergeCell ref="ANS15:ANX15"/>
    <mergeCell ref="ANY15:AOB15"/>
    <mergeCell ref="AOC15:AOD15"/>
    <mergeCell ref="ALW15:AMB15"/>
    <mergeCell ref="AMC15:AMF15"/>
    <mergeCell ref="AMG15:AMH15"/>
    <mergeCell ref="AMI15:AMJ15"/>
    <mergeCell ref="AMK15:AML15"/>
    <mergeCell ref="AMM15:AMR15"/>
    <mergeCell ref="AMS15:AMV15"/>
    <mergeCell ref="AMW15:AMX15"/>
    <mergeCell ref="AMY15:AMZ15"/>
    <mergeCell ref="AKW15:AKZ15"/>
    <mergeCell ref="ALA15:ALB15"/>
    <mergeCell ref="ALC15:ALD15"/>
    <mergeCell ref="ALE15:ALF15"/>
    <mergeCell ref="ALG15:ALL15"/>
    <mergeCell ref="ALM15:ALP15"/>
    <mergeCell ref="ALQ15:ALR15"/>
    <mergeCell ref="ALS15:ALT15"/>
    <mergeCell ref="ALU15:ALV15"/>
    <mergeCell ref="AJU15:AJV15"/>
    <mergeCell ref="AJW15:AJX15"/>
    <mergeCell ref="AJY15:AJZ15"/>
    <mergeCell ref="AKA15:AKF15"/>
    <mergeCell ref="AKG15:AKJ15"/>
    <mergeCell ref="AKK15:AKL15"/>
    <mergeCell ref="AKM15:AKN15"/>
    <mergeCell ref="AKO15:AKP15"/>
    <mergeCell ref="AKQ15:AKV15"/>
    <mergeCell ref="AIQ15:AIR15"/>
    <mergeCell ref="AIS15:AIT15"/>
    <mergeCell ref="AIU15:AIZ15"/>
    <mergeCell ref="AJA15:AJD15"/>
    <mergeCell ref="AJE15:AJF15"/>
    <mergeCell ref="AJG15:AJH15"/>
    <mergeCell ref="AJI15:AJJ15"/>
    <mergeCell ref="AJK15:AJP15"/>
    <mergeCell ref="AJQ15:AJT15"/>
    <mergeCell ref="AHM15:AHN15"/>
    <mergeCell ref="AHO15:AHT15"/>
    <mergeCell ref="AHU15:AHX15"/>
    <mergeCell ref="AHY15:AHZ15"/>
    <mergeCell ref="AIA15:AIB15"/>
    <mergeCell ref="AIC15:AID15"/>
    <mergeCell ref="AIE15:AIJ15"/>
    <mergeCell ref="AIK15:AIN15"/>
    <mergeCell ref="AIO15:AIP15"/>
    <mergeCell ref="AGI15:AGN15"/>
    <mergeCell ref="AGO15:AGR15"/>
    <mergeCell ref="AGS15:AGT15"/>
    <mergeCell ref="AGU15:AGV15"/>
    <mergeCell ref="AGW15:AGX15"/>
    <mergeCell ref="AGY15:AHD15"/>
    <mergeCell ref="AHE15:AHH15"/>
    <mergeCell ref="AHI15:AHJ15"/>
    <mergeCell ref="AHK15:AHL15"/>
    <mergeCell ref="AFI15:AFL15"/>
    <mergeCell ref="AFM15:AFN15"/>
    <mergeCell ref="AFO15:AFP15"/>
    <mergeCell ref="AFQ15:AFR15"/>
    <mergeCell ref="AFS15:AFX15"/>
    <mergeCell ref="AFY15:AGB15"/>
    <mergeCell ref="AGC15:AGD15"/>
    <mergeCell ref="AGE15:AGF15"/>
    <mergeCell ref="AGG15:AGH15"/>
    <mergeCell ref="AEG15:AEH15"/>
    <mergeCell ref="AEI15:AEJ15"/>
    <mergeCell ref="AEK15:AEL15"/>
    <mergeCell ref="AEM15:AER15"/>
    <mergeCell ref="AES15:AEV15"/>
    <mergeCell ref="AEW15:AEX15"/>
    <mergeCell ref="AEY15:AEZ15"/>
    <mergeCell ref="AFA15:AFB15"/>
    <mergeCell ref="AFC15:AFH15"/>
    <mergeCell ref="ADC15:ADD15"/>
    <mergeCell ref="ADE15:ADF15"/>
    <mergeCell ref="ADG15:ADL15"/>
    <mergeCell ref="ADM15:ADP15"/>
    <mergeCell ref="ADQ15:ADR15"/>
    <mergeCell ref="ADS15:ADT15"/>
    <mergeCell ref="ADU15:ADV15"/>
    <mergeCell ref="ADW15:AEB15"/>
    <mergeCell ref="AEC15:AEF15"/>
    <mergeCell ref="ABY15:ABZ15"/>
    <mergeCell ref="ACA15:ACF15"/>
    <mergeCell ref="ACG15:ACJ15"/>
    <mergeCell ref="ACK15:ACL15"/>
    <mergeCell ref="ACM15:ACN15"/>
    <mergeCell ref="ACO15:ACP15"/>
    <mergeCell ref="ACQ15:ACV15"/>
    <mergeCell ref="ACW15:ACZ15"/>
    <mergeCell ref="ADA15:ADB15"/>
    <mergeCell ref="AAU15:AAZ15"/>
    <mergeCell ref="ABA15:ABD15"/>
    <mergeCell ref="ABE15:ABF15"/>
    <mergeCell ref="ABG15:ABH15"/>
    <mergeCell ref="ABI15:ABJ15"/>
    <mergeCell ref="ABK15:ABP15"/>
    <mergeCell ref="ABQ15:ABT15"/>
    <mergeCell ref="ABU15:ABV15"/>
    <mergeCell ref="ABW15:ABX15"/>
    <mergeCell ref="ZU15:ZX15"/>
    <mergeCell ref="ZY15:ZZ15"/>
    <mergeCell ref="AAA15:AAB15"/>
    <mergeCell ref="AAC15:AAD15"/>
    <mergeCell ref="AAE15:AAJ15"/>
    <mergeCell ref="AAK15:AAN15"/>
    <mergeCell ref="AAO15:AAP15"/>
    <mergeCell ref="AAQ15:AAR15"/>
    <mergeCell ref="AAS15:AAT15"/>
    <mergeCell ref="YS15:YT15"/>
    <mergeCell ref="YU15:YV15"/>
    <mergeCell ref="YW15:YX15"/>
    <mergeCell ref="YY15:ZD15"/>
    <mergeCell ref="ZE15:ZH15"/>
    <mergeCell ref="ZI15:ZJ15"/>
    <mergeCell ref="ZK15:ZL15"/>
    <mergeCell ref="ZM15:ZN15"/>
    <mergeCell ref="ZO15:ZT15"/>
    <mergeCell ref="XO15:XP15"/>
    <mergeCell ref="XQ15:XR15"/>
    <mergeCell ref="XS15:XX15"/>
    <mergeCell ref="XY15:YB15"/>
    <mergeCell ref="YC15:YD15"/>
    <mergeCell ref="YE15:YF15"/>
    <mergeCell ref="YG15:YH15"/>
    <mergeCell ref="YI15:YN15"/>
    <mergeCell ref="YO15:YR15"/>
    <mergeCell ref="WK15:WL15"/>
    <mergeCell ref="WM15:WR15"/>
    <mergeCell ref="WS15:WV15"/>
    <mergeCell ref="WW15:WX15"/>
    <mergeCell ref="WY15:WZ15"/>
    <mergeCell ref="XA15:XB15"/>
    <mergeCell ref="XC15:XH15"/>
    <mergeCell ref="XI15:XL15"/>
    <mergeCell ref="XM15:XN15"/>
    <mergeCell ref="VG15:VL15"/>
    <mergeCell ref="VM15:VP15"/>
    <mergeCell ref="VQ15:VR15"/>
    <mergeCell ref="VS15:VT15"/>
    <mergeCell ref="VU15:VV15"/>
    <mergeCell ref="VW15:WB15"/>
    <mergeCell ref="WC15:WF15"/>
    <mergeCell ref="WG15:WH15"/>
    <mergeCell ref="WI15:WJ15"/>
    <mergeCell ref="UG15:UJ15"/>
    <mergeCell ref="UK15:UL15"/>
    <mergeCell ref="UM15:UN15"/>
    <mergeCell ref="UO15:UP15"/>
    <mergeCell ref="UQ15:UV15"/>
    <mergeCell ref="UW15:UZ15"/>
    <mergeCell ref="VA15:VB15"/>
    <mergeCell ref="VC15:VD15"/>
    <mergeCell ref="VE15:VF15"/>
    <mergeCell ref="TE15:TF15"/>
    <mergeCell ref="TG15:TH15"/>
    <mergeCell ref="TI15:TJ15"/>
    <mergeCell ref="TK15:TP15"/>
    <mergeCell ref="TQ15:TT15"/>
    <mergeCell ref="TU15:TV15"/>
    <mergeCell ref="TW15:TX15"/>
    <mergeCell ref="TY15:TZ15"/>
    <mergeCell ref="UA15:UF15"/>
    <mergeCell ref="SA15:SB15"/>
    <mergeCell ref="SC15:SD15"/>
    <mergeCell ref="SE15:SJ15"/>
    <mergeCell ref="SK15:SN15"/>
    <mergeCell ref="SO15:SP15"/>
    <mergeCell ref="SQ15:SR15"/>
    <mergeCell ref="SS15:ST15"/>
    <mergeCell ref="SU15:SZ15"/>
    <mergeCell ref="TA15:TD15"/>
    <mergeCell ref="QW15:QX15"/>
    <mergeCell ref="QY15:RD15"/>
    <mergeCell ref="RE15:RH15"/>
    <mergeCell ref="RI15:RJ15"/>
    <mergeCell ref="RK15:RL15"/>
    <mergeCell ref="RM15:RN15"/>
    <mergeCell ref="RO15:RT15"/>
    <mergeCell ref="RU15:RX15"/>
    <mergeCell ref="RY15:RZ15"/>
    <mergeCell ref="PS15:PX15"/>
    <mergeCell ref="PY15:QB15"/>
    <mergeCell ref="QC15:QD15"/>
    <mergeCell ref="QE15:QF15"/>
    <mergeCell ref="QG15:QH15"/>
    <mergeCell ref="QI15:QN15"/>
    <mergeCell ref="QO15:QR15"/>
    <mergeCell ref="QS15:QT15"/>
    <mergeCell ref="QU15:QV15"/>
    <mergeCell ref="OS15:OV15"/>
    <mergeCell ref="OW15:OX15"/>
    <mergeCell ref="OY15:OZ15"/>
    <mergeCell ref="PA15:PB15"/>
    <mergeCell ref="PC15:PH15"/>
    <mergeCell ref="PI15:PL15"/>
    <mergeCell ref="PM15:PN15"/>
    <mergeCell ref="PO15:PP15"/>
    <mergeCell ref="PQ15:PR15"/>
    <mergeCell ref="NQ15:NR15"/>
    <mergeCell ref="NS15:NT15"/>
    <mergeCell ref="NU15:NV15"/>
    <mergeCell ref="NW15:OB15"/>
    <mergeCell ref="OC15:OF15"/>
    <mergeCell ref="OG15:OH15"/>
    <mergeCell ref="OI15:OJ15"/>
    <mergeCell ref="OK15:OL15"/>
    <mergeCell ref="OM15:OR15"/>
    <mergeCell ref="MM15:MN15"/>
    <mergeCell ref="MO15:MP15"/>
    <mergeCell ref="MQ15:MV15"/>
    <mergeCell ref="MW15:MZ15"/>
    <mergeCell ref="NA15:NB15"/>
    <mergeCell ref="NC15:ND15"/>
    <mergeCell ref="NE15:NF15"/>
    <mergeCell ref="NG15:NL15"/>
    <mergeCell ref="NM15:NP15"/>
    <mergeCell ref="LI15:LJ15"/>
    <mergeCell ref="LK15:LP15"/>
    <mergeCell ref="LQ15:LT15"/>
    <mergeCell ref="LU15:LV15"/>
    <mergeCell ref="LW15:LX15"/>
    <mergeCell ref="LY15:LZ15"/>
    <mergeCell ref="MA15:MF15"/>
    <mergeCell ref="MG15:MJ15"/>
    <mergeCell ref="MK15:ML15"/>
    <mergeCell ref="KE15:KJ15"/>
    <mergeCell ref="KK15:KN15"/>
    <mergeCell ref="KO15:KP15"/>
    <mergeCell ref="KQ15:KR15"/>
    <mergeCell ref="KS15:KT15"/>
    <mergeCell ref="KU15:KZ15"/>
    <mergeCell ref="LA15:LD15"/>
    <mergeCell ref="LE15:LF15"/>
    <mergeCell ref="LG15:LH15"/>
    <mergeCell ref="JE15:JH15"/>
    <mergeCell ref="JI15:JJ15"/>
    <mergeCell ref="JK15:JL15"/>
    <mergeCell ref="JM15:JN15"/>
    <mergeCell ref="JO15:JT15"/>
    <mergeCell ref="JU15:JX15"/>
    <mergeCell ref="JY15:JZ15"/>
    <mergeCell ref="KA15:KB15"/>
    <mergeCell ref="KC15:KD15"/>
    <mergeCell ref="IC15:ID15"/>
    <mergeCell ref="IE15:IF15"/>
    <mergeCell ref="IG15:IH15"/>
    <mergeCell ref="II15:IN15"/>
    <mergeCell ref="IO15:IR15"/>
    <mergeCell ref="IS15:IT15"/>
    <mergeCell ref="IU15:IV15"/>
    <mergeCell ref="IW15:IX15"/>
    <mergeCell ref="IY15:JD15"/>
    <mergeCell ref="GY15:GZ15"/>
    <mergeCell ref="HA15:HB15"/>
    <mergeCell ref="HC15:HH15"/>
    <mergeCell ref="HI15:HL15"/>
    <mergeCell ref="HM15:HN15"/>
    <mergeCell ref="HO15:HP15"/>
    <mergeCell ref="HQ15:HR15"/>
    <mergeCell ref="HS15:HX15"/>
    <mergeCell ref="HY15:IB15"/>
    <mergeCell ref="FU15:FV15"/>
    <mergeCell ref="FW15:GB15"/>
    <mergeCell ref="GC15:GF15"/>
    <mergeCell ref="GG15:GH15"/>
    <mergeCell ref="GI15:GJ15"/>
    <mergeCell ref="GK15:GL15"/>
    <mergeCell ref="GM15:GR15"/>
    <mergeCell ref="GS15:GV15"/>
    <mergeCell ref="GW15:GX15"/>
    <mergeCell ref="EQ15:EV15"/>
    <mergeCell ref="EW15:EZ15"/>
    <mergeCell ref="FA15:FB15"/>
    <mergeCell ref="FC15:FD15"/>
    <mergeCell ref="FE15:FF15"/>
    <mergeCell ref="FG15:FL15"/>
    <mergeCell ref="FM15:FP15"/>
    <mergeCell ref="FQ15:FR15"/>
    <mergeCell ref="FS15:FT15"/>
    <mergeCell ref="DQ15:DT15"/>
    <mergeCell ref="DU15:DV15"/>
    <mergeCell ref="DW15:DX15"/>
    <mergeCell ref="DY15:DZ15"/>
    <mergeCell ref="EA15:EF15"/>
    <mergeCell ref="EG15:EJ15"/>
    <mergeCell ref="EK15:EL15"/>
    <mergeCell ref="EM15:EN15"/>
    <mergeCell ref="EO15:EP15"/>
    <mergeCell ref="CO15:CP15"/>
    <mergeCell ref="CQ15:CR15"/>
    <mergeCell ref="CS15:CT15"/>
    <mergeCell ref="CU15:CZ15"/>
    <mergeCell ref="DA15:DD15"/>
    <mergeCell ref="DE15:DF15"/>
    <mergeCell ref="DG15:DH15"/>
    <mergeCell ref="DI15:DJ15"/>
    <mergeCell ref="DK15:DP15"/>
    <mergeCell ref="BK15:BL15"/>
    <mergeCell ref="BM15:BN15"/>
    <mergeCell ref="BO15:BT15"/>
    <mergeCell ref="BU15:BX15"/>
    <mergeCell ref="BY15:BZ15"/>
    <mergeCell ref="CA15:CB15"/>
    <mergeCell ref="CC15:CD15"/>
    <mergeCell ref="CE15:CJ15"/>
    <mergeCell ref="CK15:CN15"/>
    <mergeCell ref="AG15:AH15"/>
    <mergeCell ref="AI15:AN15"/>
    <mergeCell ref="AO15:AR15"/>
    <mergeCell ref="AS15:AT15"/>
    <mergeCell ref="AU15:AV15"/>
    <mergeCell ref="AW15:AX15"/>
    <mergeCell ref="AY15:BD15"/>
    <mergeCell ref="BE15:BH15"/>
    <mergeCell ref="BI15:BJ15"/>
    <mergeCell ref="XAW17:XAX17"/>
    <mergeCell ref="XAY17:XBD17"/>
    <mergeCell ref="XBE17:XBH17"/>
    <mergeCell ref="XBI17:XBJ17"/>
    <mergeCell ref="XBK17:XBL17"/>
    <mergeCell ref="WUE17:WUJ17"/>
    <mergeCell ref="WUK17:WUN17"/>
    <mergeCell ref="WUO17:WUP17"/>
    <mergeCell ref="WUQ17:WUR17"/>
    <mergeCell ref="WUS17:WUT17"/>
    <mergeCell ref="WUU17:WUZ17"/>
    <mergeCell ref="WVA17:WVD17"/>
    <mergeCell ref="WVE17:WVF17"/>
    <mergeCell ref="WSY17:WTD17"/>
    <mergeCell ref="WTE17:WTH17"/>
    <mergeCell ref="WTI17:WTJ17"/>
    <mergeCell ref="WTK17:WTL17"/>
    <mergeCell ref="WTM17:WTN17"/>
    <mergeCell ref="WTO17:WTT17"/>
    <mergeCell ref="WTU17:WTX17"/>
    <mergeCell ref="WTY17:WTZ17"/>
    <mergeCell ref="WUA17:WUB17"/>
    <mergeCell ref="WRY17:WSB17"/>
    <mergeCell ref="WSC17:WSD17"/>
    <mergeCell ref="WSE17:WSF17"/>
    <mergeCell ref="WSG17:WSH17"/>
    <mergeCell ref="WSI17:WSN17"/>
    <mergeCell ref="WSO17:WSR17"/>
    <mergeCell ref="WSS17:WST17"/>
    <mergeCell ref="WSU17:WSV17"/>
    <mergeCell ref="WSW17:WSX17"/>
    <mergeCell ref="WQW17:WQX17"/>
    <mergeCell ref="WQY17:WQZ17"/>
    <mergeCell ref="WRA17:WRB17"/>
    <mergeCell ref="WRC17:WRH17"/>
    <mergeCell ref="WRI17:WRL17"/>
    <mergeCell ref="WRM17:WRN17"/>
    <mergeCell ref="WRO17:WRP17"/>
    <mergeCell ref="WRQ17:WRR17"/>
    <mergeCell ref="WRS17:WRX17"/>
    <mergeCell ref="XBM17:XBN17"/>
    <mergeCell ref="XBO17:XBT17"/>
    <mergeCell ref="A14:D14"/>
    <mergeCell ref="E14:F14"/>
    <mergeCell ref="G14:H14"/>
    <mergeCell ref="I14:J14"/>
    <mergeCell ref="K14:P14"/>
    <mergeCell ref="A15:D15"/>
    <mergeCell ref="E15:F15"/>
    <mergeCell ref="G15:H15"/>
    <mergeCell ref="I15:J15"/>
    <mergeCell ref="K15:P15"/>
    <mergeCell ref="WZQ17:WZR17"/>
    <mergeCell ref="WZS17:WZX17"/>
    <mergeCell ref="WZY17:XAB17"/>
    <mergeCell ref="XAC17:XAD17"/>
    <mergeCell ref="XAE17:XAF17"/>
    <mergeCell ref="XAG17:XAH17"/>
    <mergeCell ref="XAI17:XAN17"/>
    <mergeCell ref="XAO17:XAR17"/>
    <mergeCell ref="XAS17:XAT17"/>
    <mergeCell ref="WYM17:WYR17"/>
    <mergeCell ref="WYS17:WYV17"/>
    <mergeCell ref="WYW17:WYX17"/>
    <mergeCell ref="WYY17:WYZ17"/>
    <mergeCell ref="WZA17:WZB17"/>
    <mergeCell ref="WZC17:WZH17"/>
    <mergeCell ref="WZI17:WZL17"/>
    <mergeCell ref="WZM17:WZN17"/>
    <mergeCell ref="WZO17:WZP17"/>
    <mergeCell ref="WXM17:WXP17"/>
    <mergeCell ref="WXQ17:WXR17"/>
    <mergeCell ref="WXS17:WXT17"/>
    <mergeCell ref="WXU17:WXV17"/>
    <mergeCell ref="WXW17:WYB17"/>
    <mergeCell ref="WYC17:WYF17"/>
    <mergeCell ref="WYG17:WYH17"/>
    <mergeCell ref="WYI17:WYJ17"/>
    <mergeCell ref="WYK17:WYL17"/>
    <mergeCell ref="WWK17:WWL17"/>
    <mergeCell ref="WWM17:WWN17"/>
    <mergeCell ref="WWO17:WWP17"/>
    <mergeCell ref="WWQ17:WWV17"/>
    <mergeCell ref="WWW17:WWZ17"/>
    <mergeCell ref="WXA17:WXB17"/>
    <mergeCell ref="WXC17:WXD17"/>
    <mergeCell ref="WXE17:WXF17"/>
    <mergeCell ref="WXG17:WXL17"/>
    <mergeCell ref="WVG17:WVH17"/>
    <mergeCell ref="WVI17:WVJ17"/>
    <mergeCell ref="WVK17:WVP17"/>
    <mergeCell ref="WVQ17:WVT17"/>
    <mergeCell ref="WVU17:WVV17"/>
    <mergeCell ref="WVW17:WVX17"/>
    <mergeCell ref="WVY17:WVZ17"/>
    <mergeCell ref="WWA17:WWF17"/>
    <mergeCell ref="WWG17:WWJ17"/>
    <mergeCell ref="WUC17:WUD17"/>
    <mergeCell ref="Q15:R15"/>
    <mergeCell ref="S15:X15"/>
    <mergeCell ref="Y15:AB15"/>
    <mergeCell ref="AC15:AD15"/>
    <mergeCell ref="AE15:AF15"/>
    <mergeCell ref="XAU17:XAV17"/>
    <mergeCell ref="WPS17:WPT17"/>
    <mergeCell ref="WPU17:WPV17"/>
    <mergeCell ref="WPW17:WQB17"/>
    <mergeCell ref="WQC17:WQF17"/>
    <mergeCell ref="WQG17:WQH17"/>
    <mergeCell ref="WQI17:WQJ17"/>
    <mergeCell ref="WQK17:WQL17"/>
    <mergeCell ref="WQM17:WQR17"/>
    <mergeCell ref="WQS17:WQV17"/>
    <mergeCell ref="WOO17:WOP17"/>
    <mergeCell ref="WOQ17:WOV17"/>
    <mergeCell ref="WOW17:WOZ17"/>
    <mergeCell ref="WPA17:WPB17"/>
    <mergeCell ref="WPC17:WPD17"/>
    <mergeCell ref="WPE17:WPF17"/>
    <mergeCell ref="WPG17:WPL17"/>
    <mergeCell ref="WPM17:WPP17"/>
    <mergeCell ref="WPQ17:WPR17"/>
    <mergeCell ref="WNK17:WNP17"/>
    <mergeCell ref="WNQ17:WNT17"/>
    <mergeCell ref="WNU17:WNV17"/>
    <mergeCell ref="WNW17:WNX17"/>
    <mergeCell ref="WNY17:WNZ17"/>
    <mergeCell ref="WOA17:WOF17"/>
    <mergeCell ref="WOG17:WOJ17"/>
    <mergeCell ref="WOK17:WOL17"/>
    <mergeCell ref="WOM17:WON17"/>
    <mergeCell ref="WMK17:WMN17"/>
    <mergeCell ref="WMO17:WMP17"/>
    <mergeCell ref="WMQ17:WMR17"/>
    <mergeCell ref="WMS17:WMT17"/>
    <mergeCell ref="WMU17:WMZ17"/>
    <mergeCell ref="WNA17:WND17"/>
    <mergeCell ref="WNE17:WNF17"/>
    <mergeCell ref="WNG17:WNH17"/>
    <mergeCell ref="WNI17:WNJ17"/>
    <mergeCell ref="WLI17:WLJ17"/>
    <mergeCell ref="WLK17:WLL17"/>
    <mergeCell ref="WLM17:WLN17"/>
    <mergeCell ref="WLO17:WLT17"/>
    <mergeCell ref="WLU17:WLX17"/>
    <mergeCell ref="WLY17:WLZ17"/>
    <mergeCell ref="WMA17:WMB17"/>
    <mergeCell ref="WMC17:WMD17"/>
    <mergeCell ref="WME17:WMJ17"/>
    <mergeCell ref="WKE17:WKF17"/>
    <mergeCell ref="WKG17:WKH17"/>
    <mergeCell ref="WKI17:WKN17"/>
    <mergeCell ref="WKO17:WKR17"/>
    <mergeCell ref="WKS17:WKT17"/>
    <mergeCell ref="WKU17:WKV17"/>
    <mergeCell ref="WKW17:WKX17"/>
    <mergeCell ref="WKY17:WLD17"/>
    <mergeCell ref="WLE17:WLH17"/>
    <mergeCell ref="WJA17:WJB17"/>
    <mergeCell ref="WJC17:WJH17"/>
    <mergeCell ref="WJI17:WJL17"/>
    <mergeCell ref="WJM17:WJN17"/>
    <mergeCell ref="WJO17:WJP17"/>
    <mergeCell ref="WJQ17:WJR17"/>
    <mergeCell ref="WJS17:WJX17"/>
    <mergeCell ref="WJY17:WKB17"/>
    <mergeCell ref="WKC17:WKD17"/>
    <mergeCell ref="WHW17:WIB17"/>
    <mergeCell ref="WIC17:WIF17"/>
    <mergeCell ref="WIG17:WIH17"/>
    <mergeCell ref="WII17:WIJ17"/>
    <mergeCell ref="WIK17:WIL17"/>
    <mergeCell ref="WIM17:WIR17"/>
    <mergeCell ref="WIS17:WIV17"/>
    <mergeCell ref="WIW17:WIX17"/>
    <mergeCell ref="WIY17:WIZ17"/>
    <mergeCell ref="WGW17:WGZ17"/>
    <mergeCell ref="WHA17:WHB17"/>
    <mergeCell ref="WHC17:WHD17"/>
    <mergeCell ref="WHE17:WHF17"/>
    <mergeCell ref="WHG17:WHL17"/>
    <mergeCell ref="WHM17:WHP17"/>
    <mergeCell ref="WHQ17:WHR17"/>
    <mergeCell ref="WHS17:WHT17"/>
    <mergeCell ref="WHU17:WHV17"/>
    <mergeCell ref="WFU17:WFV17"/>
    <mergeCell ref="WFW17:WFX17"/>
    <mergeCell ref="WFY17:WFZ17"/>
    <mergeCell ref="WGA17:WGF17"/>
    <mergeCell ref="WGG17:WGJ17"/>
    <mergeCell ref="WGK17:WGL17"/>
    <mergeCell ref="WGM17:WGN17"/>
    <mergeCell ref="WGO17:WGP17"/>
    <mergeCell ref="WGQ17:WGV17"/>
    <mergeCell ref="WEQ17:WER17"/>
    <mergeCell ref="WES17:WET17"/>
    <mergeCell ref="WEU17:WEZ17"/>
    <mergeCell ref="WFA17:WFD17"/>
    <mergeCell ref="WFE17:WFF17"/>
    <mergeCell ref="WFG17:WFH17"/>
    <mergeCell ref="WFI17:WFJ17"/>
    <mergeCell ref="WFK17:WFP17"/>
    <mergeCell ref="WFQ17:WFT17"/>
    <mergeCell ref="WDM17:WDN17"/>
    <mergeCell ref="WDO17:WDT17"/>
    <mergeCell ref="WDU17:WDX17"/>
    <mergeCell ref="WDY17:WDZ17"/>
    <mergeCell ref="WEA17:WEB17"/>
    <mergeCell ref="WEC17:WED17"/>
    <mergeCell ref="WEE17:WEJ17"/>
    <mergeCell ref="WEK17:WEN17"/>
    <mergeCell ref="WEO17:WEP17"/>
    <mergeCell ref="WCI17:WCN17"/>
    <mergeCell ref="WCO17:WCR17"/>
    <mergeCell ref="WCS17:WCT17"/>
    <mergeCell ref="WCU17:WCV17"/>
    <mergeCell ref="WCW17:WCX17"/>
    <mergeCell ref="WCY17:WDD17"/>
    <mergeCell ref="WDE17:WDH17"/>
    <mergeCell ref="WDI17:WDJ17"/>
    <mergeCell ref="WDK17:WDL17"/>
    <mergeCell ref="WBI17:WBL17"/>
    <mergeCell ref="WBM17:WBN17"/>
    <mergeCell ref="WBO17:WBP17"/>
    <mergeCell ref="WBQ17:WBR17"/>
    <mergeCell ref="WBS17:WBX17"/>
    <mergeCell ref="WBY17:WCB17"/>
    <mergeCell ref="WCC17:WCD17"/>
    <mergeCell ref="WCE17:WCF17"/>
    <mergeCell ref="WCG17:WCH17"/>
    <mergeCell ref="WAG17:WAH17"/>
    <mergeCell ref="WAI17:WAJ17"/>
    <mergeCell ref="WAK17:WAL17"/>
    <mergeCell ref="WAM17:WAR17"/>
    <mergeCell ref="WAS17:WAV17"/>
    <mergeCell ref="WAW17:WAX17"/>
    <mergeCell ref="WAY17:WAZ17"/>
    <mergeCell ref="WBA17:WBB17"/>
    <mergeCell ref="WBC17:WBH17"/>
    <mergeCell ref="VZC17:VZD17"/>
    <mergeCell ref="VZE17:VZF17"/>
    <mergeCell ref="VZG17:VZL17"/>
    <mergeCell ref="VZM17:VZP17"/>
    <mergeCell ref="VZQ17:VZR17"/>
    <mergeCell ref="VZS17:VZT17"/>
    <mergeCell ref="VZU17:VZV17"/>
    <mergeCell ref="VZW17:WAB17"/>
    <mergeCell ref="WAC17:WAF17"/>
    <mergeCell ref="VXY17:VXZ17"/>
    <mergeCell ref="VYA17:VYF17"/>
    <mergeCell ref="VYG17:VYJ17"/>
    <mergeCell ref="VYK17:VYL17"/>
    <mergeCell ref="VYM17:VYN17"/>
    <mergeCell ref="VYO17:VYP17"/>
    <mergeCell ref="VYQ17:VYV17"/>
    <mergeCell ref="VYW17:VYZ17"/>
    <mergeCell ref="VZA17:VZB17"/>
    <mergeCell ref="VWU17:VWZ17"/>
    <mergeCell ref="VXA17:VXD17"/>
    <mergeCell ref="VXE17:VXF17"/>
    <mergeCell ref="VXG17:VXH17"/>
    <mergeCell ref="VXI17:VXJ17"/>
    <mergeCell ref="VXK17:VXP17"/>
    <mergeCell ref="VXQ17:VXT17"/>
    <mergeCell ref="VXU17:VXV17"/>
    <mergeCell ref="VXW17:VXX17"/>
    <mergeCell ref="VVU17:VVX17"/>
    <mergeCell ref="VVY17:VVZ17"/>
    <mergeCell ref="VWA17:VWB17"/>
    <mergeCell ref="VWC17:VWD17"/>
    <mergeCell ref="VWE17:VWJ17"/>
    <mergeCell ref="VWK17:VWN17"/>
    <mergeCell ref="VWO17:VWP17"/>
    <mergeCell ref="VWQ17:VWR17"/>
    <mergeCell ref="VWS17:VWT17"/>
    <mergeCell ref="VUS17:VUT17"/>
    <mergeCell ref="VUU17:VUV17"/>
    <mergeCell ref="VUW17:VUX17"/>
    <mergeCell ref="VUY17:VVD17"/>
    <mergeCell ref="VVE17:VVH17"/>
    <mergeCell ref="VVI17:VVJ17"/>
    <mergeCell ref="VVK17:VVL17"/>
    <mergeCell ref="VVM17:VVN17"/>
    <mergeCell ref="VVO17:VVT17"/>
    <mergeCell ref="VTO17:VTP17"/>
    <mergeCell ref="VTQ17:VTR17"/>
    <mergeCell ref="VTS17:VTX17"/>
    <mergeCell ref="VTY17:VUB17"/>
    <mergeCell ref="VUC17:VUD17"/>
    <mergeCell ref="VUE17:VUF17"/>
    <mergeCell ref="VUG17:VUH17"/>
    <mergeCell ref="VUI17:VUN17"/>
    <mergeCell ref="VUO17:VUR17"/>
    <mergeCell ref="VSK17:VSL17"/>
    <mergeCell ref="VSM17:VSR17"/>
    <mergeCell ref="VSS17:VSV17"/>
    <mergeCell ref="VSW17:VSX17"/>
    <mergeCell ref="VSY17:VSZ17"/>
    <mergeCell ref="VTA17:VTB17"/>
    <mergeCell ref="VTC17:VTH17"/>
    <mergeCell ref="VTI17:VTL17"/>
    <mergeCell ref="VTM17:VTN17"/>
    <mergeCell ref="VRG17:VRL17"/>
    <mergeCell ref="VRM17:VRP17"/>
    <mergeCell ref="VRQ17:VRR17"/>
    <mergeCell ref="VRS17:VRT17"/>
    <mergeCell ref="VRU17:VRV17"/>
    <mergeCell ref="VRW17:VSB17"/>
    <mergeCell ref="VSC17:VSF17"/>
    <mergeCell ref="VSG17:VSH17"/>
    <mergeCell ref="VSI17:VSJ17"/>
    <mergeCell ref="VQG17:VQJ17"/>
    <mergeCell ref="VQK17:VQL17"/>
    <mergeCell ref="VQM17:VQN17"/>
    <mergeCell ref="VQO17:VQP17"/>
    <mergeCell ref="VQQ17:VQV17"/>
    <mergeCell ref="VQW17:VQZ17"/>
    <mergeCell ref="VRA17:VRB17"/>
    <mergeCell ref="VRC17:VRD17"/>
    <mergeCell ref="VRE17:VRF17"/>
    <mergeCell ref="VPE17:VPF17"/>
    <mergeCell ref="VPG17:VPH17"/>
    <mergeCell ref="VPI17:VPJ17"/>
    <mergeCell ref="VPK17:VPP17"/>
    <mergeCell ref="VPQ17:VPT17"/>
    <mergeCell ref="VPU17:VPV17"/>
    <mergeCell ref="VPW17:VPX17"/>
    <mergeCell ref="VPY17:VPZ17"/>
    <mergeCell ref="VQA17:VQF17"/>
    <mergeCell ref="VOA17:VOB17"/>
    <mergeCell ref="VOC17:VOD17"/>
    <mergeCell ref="VOE17:VOJ17"/>
    <mergeCell ref="VOK17:VON17"/>
    <mergeCell ref="VOO17:VOP17"/>
    <mergeCell ref="VOQ17:VOR17"/>
    <mergeCell ref="VOS17:VOT17"/>
    <mergeCell ref="VOU17:VOZ17"/>
    <mergeCell ref="VPA17:VPD17"/>
    <mergeCell ref="VMW17:VMX17"/>
    <mergeCell ref="VMY17:VND17"/>
    <mergeCell ref="VNE17:VNH17"/>
    <mergeCell ref="VNI17:VNJ17"/>
    <mergeCell ref="VNK17:VNL17"/>
    <mergeCell ref="VNM17:VNN17"/>
    <mergeCell ref="VNO17:VNT17"/>
    <mergeCell ref="VNU17:VNX17"/>
    <mergeCell ref="VNY17:VNZ17"/>
    <mergeCell ref="VLS17:VLX17"/>
    <mergeCell ref="VLY17:VMB17"/>
    <mergeCell ref="VMC17:VMD17"/>
    <mergeCell ref="VME17:VMF17"/>
    <mergeCell ref="VMG17:VMH17"/>
    <mergeCell ref="VMI17:VMN17"/>
    <mergeCell ref="VMO17:VMR17"/>
    <mergeCell ref="VMS17:VMT17"/>
    <mergeCell ref="VMU17:VMV17"/>
    <mergeCell ref="VKS17:VKV17"/>
    <mergeCell ref="VKW17:VKX17"/>
    <mergeCell ref="VKY17:VKZ17"/>
    <mergeCell ref="VLA17:VLB17"/>
    <mergeCell ref="VLC17:VLH17"/>
    <mergeCell ref="VLI17:VLL17"/>
    <mergeCell ref="VLM17:VLN17"/>
    <mergeCell ref="VLO17:VLP17"/>
    <mergeCell ref="VLQ17:VLR17"/>
    <mergeCell ref="VJQ17:VJR17"/>
    <mergeCell ref="VJS17:VJT17"/>
    <mergeCell ref="VJU17:VJV17"/>
    <mergeCell ref="VJW17:VKB17"/>
    <mergeCell ref="VKC17:VKF17"/>
    <mergeCell ref="VKG17:VKH17"/>
    <mergeCell ref="VKI17:VKJ17"/>
    <mergeCell ref="VKK17:VKL17"/>
    <mergeCell ref="VKM17:VKR17"/>
    <mergeCell ref="VIM17:VIN17"/>
    <mergeCell ref="VIO17:VIP17"/>
    <mergeCell ref="VIQ17:VIV17"/>
    <mergeCell ref="VIW17:VIZ17"/>
    <mergeCell ref="VJA17:VJB17"/>
    <mergeCell ref="VJC17:VJD17"/>
    <mergeCell ref="VJE17:VJF17"/>
    <mergeCell ref="VJG17:VJL17"/>
    <mergeCell ref="VJM17:VJP17"/>
    <mergeCell ref="VHI17:VHJ17"/>
    <mergeCell ref="VHK17:VHP17"/>
    <mergeCell ref="VHQ17:VHT17"/>
    <mergeCell ref="VHU17:VHV17"/>
    <mergeCell ref="VHW17:VHX17"/>
    <mergeCell ref="VHY17:VHZ17"/>
    <mergeCell ref="VIA17:VIF17"/>
    <mergeCell ref="VIG17:VIJ17"/>
    <mergeCell ref="VIK17:VIL17"/>
    <mergeCell ref="VGE17:VGJ17"/>
    <mergeCell ref="VGK17:VGN17"/>
    <mergeCell ref="VGO17:VGP17"/>
    <mergeCell ref="VGQ17:VGR17"/>
    <mergeCell ref="VGS17:VGT17"/>
    <mergeCell ref="VGU17:VGZ17"/>
    <mergeCell ref="VHA17:VHD17"/>
    <mergeCell ref="VHE17:VHF17"/>
    <mergeCell ref="VHG17:VHH17"/>
    <mergeCell ref="VFE17:VFH17"/>
    <mergeCell ref="VFI17:VFJ17"/>
    <mergeCell ref="VFK17:VFL17"/>
    <mergeCell ref="VFM17:VFN17"/>
    <mergeCell ref="VFO17:VFT17"/>
    <mergeCell ref="VFU17:VFX17"/>
    <mergeCell ref="VFY17:VFZ17"/>
    <mergeCell ref="VGA17:VGB17"/>
    <mergeCell ref="VGC17:VGD17"/>
    <mergeCell ref="VEC17:VED17"/>
    <mergeCell ref="VEE17:VEF17"/>
    <mergeCell ref="VEG17:VEH17"/>
    <mergeCell ref="VEI17:VEN17"/>
    <mergeCell ref="VEO17:VER17"/>
    <mergeCell ref="VES17:VET17"/>
    <mergeCell ref="VEU17:VEV17"/>
    <mergeCell ref="VEW17:VEX17"/>
    <mergeCell ref="VEY17:VFD17"/>
    <mergeCell ref="VCY17:VCZ17"/>
    <mergeCell ref="VDA17:VDB17"/>
    <mergeCell ref="VDC17:VDH17"/>
    <mergeCell ref="VDI17:VDL17"/>
    <mergeCell ref="VDM17:VDN17"/>
    <mergeCell ref="VDO17:VDP17"/>
    <mergeCell ref="VDQ17:VDR17"/>
    <mergeCell ref="VDS17:VDX17"/>
    <mergeCell ref="VDY17:VEB17"/>
    <mergeCell ref="VBU17:VBV17"/>
    <mergeCell ref="VBW17:VCB17"/>
    <mergeCell ref="VCC17:VCF17"/>
    <mergeCell ref="VCG17:VCH17"/>
    <mergeCell ref="VCI17:VCJ17"/>
    <mergeCell ref="VCK17:VCL17"/>
    <mergeCell ref="VCM17:VCR17"/>
    <mergeCell ref="VCS17:VCV17"/>
    <mergeCell ref="VCW17:VCX17"/>
    <mergeCell ref="VAQ17:VAV17"/>
    <mergeCell ref="VAW17:VAZ17"/>
    <mergeCell ref="VBA17:VBB17"/>
    <mergeCell ref="VBC17:VBD17"/>
    <mergeCell ref="VBE17:VBF17"/>
    <mergeCell ref="VBG17:VBL17"/>
    <mergeCell ref="VBM17:VBP17"/>
    <mergeCell ref="VBQ17:VBR17"/>
    <mergeCell ref="VBS17:VBT17"/>
    <mergeCell ref="UZQ17:UZT17"/>
    <mergeCell ref="UZU17:UZV17"/>
    <mergeCell ref="UZW17:UZX17"/>
    <mergeCell ref="UZY17:UZZ17"/>
    <mergeCell ref="VAA17:VAF17"/>
    <mergeCell ref="VAG17:VAJ17"/>
    <mergeCell ref="VAK17:VAL17"/>
    <mergeCell ref="VAM17:VAN17"/>
    <mergeCell ref="VAO17:VAP17"/>
    <mergeCell ref="UYO17:UYP17"/>
    <mergeCell ref="UYQ17:UYR17"/>
    <mergeCell ref="UYS17:UYT17"/>
    <mergeCell ref="UYU17:UYZ17"/>
    <mergeCell ref="UZA17:UZD17"/>
    <mergeCell ref="UZE17:UZF17"/>
    <mergeCell ref="UZG17:UZH17"/>
    <mergeCell ref="UZI17:UZJ17"/>
    <mergeCell ref="UZK17:UZP17"/>
    <mergeCell ref="UXK17:UXL17"/>
    <mergeCell ref="UXM17:UXN17"/>
    <mergeCell ref="UXO17:UXT17"/>
    <mergeCell ref="UXU17:UXX17"/>
    <mergeCell ref="UXY17:UXZ17"/>
    <mergeCell ref="UYA17:UYB17"/>
    <mergeCell ref="UYC17:UYD17"/>
    <mergeCell ref="UYE17:UYJ17"/>
    <mergeCell ref="UYK17:UYN17"/>
    <mergeCell ref="UWG17:UWH17"/>
    <mergeCell ref="UWI17:UWN17"/>
    <mergeCell ref="UWO17:UWR17"/>
    <mergeCell ref="UWS17:UWT17"/>
    <mergeCell ref="UWU17:UWV17"/>
    <mergeCell ref="UWW17:UWX17"/>
    <mergeCell ref="UWY17:UXD17"/>
    <mergeCell ref="UXE17:UXH17"/>
    <mergeCell ref="UXI17:UXJ17"/>
    <mergeCell ref="UVC17:UVH17"/>
    <mergeCell ref="UVI17:UVL17"/>
    <mergeCell ref="UVM17:UVN17"/>
    <mergeCell ref="UVO17:UVP17"/>
    <mergeCell ref="UVQ17:UVR17"/>
    <mergeCell ref="UVS17:UVX17"/>
    <mergeCell ref="UVY17:UWB17"/>
    <mergeCell ref="UWC17:UWD17"/>
    <mergeCell ref="UWE17:UWF17"/>
    <mergeCell ref="UUC17:UUF17"/>
    <mergeCell ref="UUG17:UUH17"/>
    <mergeCell ref="UUI17:UUJ17"/>
    <mergeCell ref="UUK17:UUL17"/>
    <mergeCell ref="UUM17:UUR17"/>
    <mergeCell ref="UUS17:UUV17"/>
    <mergeCell ref="UUW17:UUX17"/>
    <mergeCell ref="UUY17:UUZ17"/>
    <mergeCell ref="UVA17:UVB17"/>
    <mergeCell ref="UTA17:UTB17"/>
    <mergeCell ref="UTC17:UTD17"/>
    <mergeCell ref="UTE17:UTF17"/>
    <mergeCell ref="UTG17:UTL17"/>
    <mergeCell ref="UTM17:UTP17"/>
    <mergeCell ref="UTQ17:UTR17"/>
    <mergeCell ref="UTS17:UTT17"/>
    <mergeCell ref="UTU17:UTV17"/>
    <mergeCell ref="UTW17:UUB17"/>
    <mergeCell ref="URW17:URX17"/>
    <mergeCell ref="URY17:URZ17"/>
    <mergeCell ref="USA17:USF17"/>
    <mergeCell ref="USG17:USJ17"/>
    <mergeCell ref="USK17:USL17"/>
    <mergeCell ref="USM17:USN17"/>
    <mergeCell ref="USO17:USP17"/>
    <mergeCell ref="USQ17:USV17"/>
    <mergeCell ref="USW17:USZ17"/>
    <mergeCell ref="UQS17:UQT17"/>
    <mergeCell ref="UQU17:UQZ17"/>
    <mergeCell ref="URA17:URD17"/>
    <mergeCell ref="URE17:URF17"/>
    <mergeCell ref="URG17:URH17"/>
    <mergeCell ref="URI17:URJ17"/>
    <mergeCell ref="URK17:URP17"/>
    <mergeCell ref="URQ17:URT17"/>
    <mergeCell ref="URU17:URV17"/>
    <mergeCell ref="UPO17:UPT17"/>
    <mergeCell ref="UPU17:UPX17"/>
    <mergeCell ref="UPY17:UPZ17"/>
    <mergeCell ref="UQA17:UQB17"/>
    <mergeCell ref="UQC17:UQD17"/>
    <mergeCell ref="UQE17:UQJ17"/>
    <mergeCell ref="UQK17:UQN17"/>
    <mergeCell ref="UQO17:UQP17"/>
    <mergeCell ref="UQQ17:UQR17"/>
    <mergeCell ref="UOO17:UOR17"/>
    <mergeCell ref="UOS17:UOT17"/>
    <mergeCell ref="UOU17:UOV17"/>
    <mergeCell ref="UOW17:UOX17"/>
    <mergeCell ref="UOY17:UPD17"/>
    <mergeCell ref="UPE17:UPH17"/>
    <mergeCell ref="UPI17:UPJ17"/>
    <mergeCell ref="UPK17:UPL17"/>
    <mergeCell ref="UPM17:UPN17"/>
    <mergeCell ref="UNM17:UNN17"/>
    <mergeCell ref="UNO17:UNP17"/>
    <mergeCell ref="UNQ17:UNR17"/>
    <mergeCell ref="UNS17:UNX17"/>
    <mergeCell ref="UNY17:UOB17"/>
    <mergeCell ref="UOC17:UOD17"/>
    <mergeCell ref="UOE17:UOF17"/>
    <mergeCell ref="UOG17:UOH17"/>
    <mergeCell ref="UOI17:UON17"/>
    <mergeCell ref="UMI17:UMJ17"/>
    <mergeCell ref="UMK17:UML17"/>
    <mergeCell ref="UMM17:UMR17"/>
    <mergeCell ref="UMS17:UMV17"/>
    <mergeCell ref="UMW17:UMX17"/>
    <mergeCell ref="UMY17:UMZ17"/>
    <mergeCell ref="UNA17:UNB17"/>
    <mergeCell ref="UNC17:UNH17"/>
    <mergeCell ref="UNI17:UNL17"/>
    <mergeCell ref="ULE17:ULF17"/>
    <mergeCell ref="ULG17:ULL17"/>
    <mergeCell ref="ULM17:ULP17"/>
    <mergeCell ref="ULQ17:ULR17"/>
    <mergeCell ref="ULS17:ULT17"/>
    <mergeCell ref="ULU17:ULV17"/>
    <mergeCell ref="ULW17:UMB17"/>
    <mergeCell ref="UMC17:UMF17"/>
    <mergeCell ref="UMG17:UMH17"/>
    <mergeCell ref="UKA17:UKF17"/>
    <mergeCell ref="UKG17:UKJ17"/>
    <mergeCell ref="UKK17:UKL17"/>
    <mergeCell ref="UKM17:UKN17"/>
    <mergeCell ref="UKO17:UKP17"/>
    <mergeCell ref="UKQ17:UKV17"/>
    <mergeCell ref="UKW17:UKZ17"/>
    <mergeCell ref="ULA17:ULB17"/>
    <mergeCell ref="ULC17:ULD17"/>
    <mergeCell ref="UJA17:UJD17"/>
    <mergeCell ref="UJE17:UJF17"/>
    <mergeCell ref="UJG17:UJH17"/>
    <mergeCell ref="UJI17:UJJ17"/>
    <mergeCell ref="UJK17:UJP17"/>
    <mergeCell ref="UJQ17:UJT17"/>
    <mergeCell ref="UJU17:UJV17"/>
    <mergeCell ref="UJW17:UJX17"/>
    <mergeCell ref="UJY17:UJZ17"/>
    <mergeCell ref="UHY17:UHZ17"/>
    <mergeCell ref="UIA17:UIB17"/>
    <mergeCell ref="UIC17:UID17"/>
    <mergeCell ref="UIE17:UIJ17"/>
    <mergeCell ref="UIK17:UIN17"/>
    <mergeCell ref="UIO17:UIP17"/>
    <mergeCell ref="UIQ17:UIR17"/>
    <mergeCell ref="UIS17:UIT17"/>
    <mergeCell ref="UIU17:UIZ17"/>
    <mergeCell ref="UGU17:UGV17"/>
    <mergeCell ref="UGW17:UGX17"/>
    <mergeCell ref="UGY17:UHD17"/>
    <mergeCell ref="UHE17:UHH17"/>
    <mergeCell ref="UHI17:UHJ17"/>
    <mergeCell ref="UHK17:UHL17"/>
    <mergeCell ref="UHM17:UHN17"/>
    <mergeCell ref="UHO17:UHT17"/>
    <mergeCell ref="UHU17:UHX17"/>
    <mergeCell ref="UFQ17:UFR17"/>
    <mergeCell ref="UFS17:UFX17"/>
    <mergeCell ref="UFY17:UGB17"/>
    <mergeCell ref="UGC17:UGD17"/>
    <mergeCell ref="UGE17:UGF17"/>
    <mergeCell ref="UGG17:UGH17"/>
    <mergeCell ref="UGI17:UGN17"/>
    <mergeCell ref="UGO17:UGR17"/>
    <mergeCell ref="UGS17:UGT17"/>
    <mergeCell ref="UEM17:UER17"/>
    <mergeCell ref="UES17:UEV17"/>
    <mergeCell ref="UEW17:UEX17"/>
    <mergeCell ref="UEY17:UEZ17"/>
    <mergeCell ref="UFA17:UFB17"/>
    <mergeCell ref="UFC17:UFH17"/>
    <mergeCell ref="UFI17:UFL17"/>
    <mergeCell ref="UFM17:UFN17"/>
    <mergeCell ref="UFO17:UFP17"/>
    <mergeCell ref="UDM17:UDP17"/>
    <mergeCell ref="UDQ17:UDR17"/>
    <mergeCell ref="UDS17:UDT17"/>
    <mergeCell ref="UDU17:UDV17"/>
    <mergeCell ref="UDW17:UEB17"/>
    <mergeCell ref="UEC17:UEF17"/>
    <mergeCell ref="UEG17:UEH17"/>
    <mergeCell ref="UEI17:UEJ17"/>
    <mergeCell ref="UEK17:UEL17"/>
    <mergeCell ref="UCK17:UCL17"/>
    <mergeCell ref="UCM17:UCN17"/>
    <mergeCell ref="UCO17:UCP17"/>
    <mergeCell ref="UCQ17:UCV17"/>
    <mergeCell ref="UCW17:UCZ17"/>
    <mergeCell ref="UDA17:UDB17"/>
    <mergeCell ref="UDC17:UDD17"/>
    <mergeCell ref="UDE17:UDF17"/>
    <mergeCell ref="UDG17:UDL17"/>
    <mergeCell ref="UBG17:UBH17"/>
    <mergeCell ref="UBI17:UBJ17"/>
    <mergeCell ref="UBK17:UBP17"/>
    <mergeCell ref="UBQ17:UBT17"/>
    <mergeCell ref="UBU17:UBV17"/>
    <mergeCell ref="UBW17:UBX17"/>
    <mergeCell ref="UBY17:UBZ17"/>
    <mergeCell ref="UCA17:UCF17"/>
    <mergeCell ref="UCG17:UCJ17"/>
    <mergeCell ref="UAC17:UAD17"/>
    <mergeCell ref="UAE17:UAJ17"/>
    <mergeCell ref="UAK17:UAN17"/>
    <mergeCell ref="UAO17:UAP17"/>
    <mergeCell ref="UAQ17:UAR17"/>
    <mergeCell ref="UAS17:UAT17"/>
    <mergeCell ref="UAU17:UAZ17"/>
    <mergeCell ref="UBA17:UBD17"/>
    <mergeCell ref="UBE17:UBF17"/>
    <mergeCell ref="TYY17:TZD17"/>
    <mergeCell ref="TZE17:TZH17"/>
    <mergeCell ref="TZI17:TZJ17"/>
    <mergeCell ref="TZK17:TZL17"/>
    <mergeCell ref="TZM17:TZN17"/>
    <mergeCell ref="TZO17:TZT17"/>
    <mergeCell ref="TZU17:TZX17"/>
    <mergeCell ref="TZY17:TZZ17"/>
    <mergeCell ref="UAA17:UAB17"/>
    <mergeCell ref="TXY17:TYB17"/>
    <mergeCell ref="TYC17:TYD17"/>
    <mergeCell ref="TYE17:TYF17"/>
    <mergeCell ref="TYG17:TYH17"/>
    <mergeCell ref="TYI17:TYN17"/>
    <mergeCell ref="TYO17:TYR17"/>
    <mergeCell ref="TYS17:TYT17"/>
    <mergeCell ref="TYU17:TYV17"/>
    <mergeCell ref="TYW17:TYX17"/>
    <mergeCell ref="TWW17:TWX17"/>
    <mergeCell ref="TWY17:TWZ17"/>
    <mergeCell ref="TXA17:TXB17"/>
    <mergeCell ref="TXC17:TXH17"/>
    <mergeCell ref="TXI17:TXL17"/>
    <mergeCell ref="TXM17:TXN17"/>
    <mergeCell ref="TXO17:TXP17"/>
    <mergeCell ref="TXQ17:TXR17"/>
    <mergeCell ref="TXS17:TXX17"/>
    <mergeCell ref="TVS17:TVT17"/>
    <mergeCell ref="TVU17:TVV17"/>
    <mergeCell ref="TVW17:TWB17"/>
    <mergeCell ref="TWC17:TWF17"/>
    <mergeCell ref="TWG17:TWH17"/>
    <mergeCell ref="TWI17:TWJ17"/>
    <mergeCell ref="TWK17:TWL17"/>
    <mergeCell ref="TWM17:TWR17"/>
    <mergeCell ref="TWS17:TWV17"/>
    <mergeCell ref="TUO17:TUP17"/>
    <mergeCell ref="TUQ17:TUV17"/>
    <mergeCell ref="TUW17:TUZ17"/>
    <mergeCell ref="TVA17:TVB17"/>
    <mergeCell ref="TVC17:TVD17"/>
    <mergeCell ref="TVE17:TVF17"/>
    <mergeCell ref="TVG17:TVL17"/>
    <mergeCell ref="TVM17:TVP17"/>
    <mergeCell ref="TVQ17:TVR17"/>
    <mergeCell ref="TTK17:TTP17"/>
    <mergeCell ref="TTQ17:TTT17"/>
    <mergeCell ref="TTU17:TTV17"/>
    <mergeCell ref="TTW17:TTX17"/>
    <mergeCell ref="TTY17:TTZ17"/>
    <mergeCell ref="TUA17:TUF17"/>
    <mergeCell ref="TUG17:TUJ17"/>
    <mergeCell ref="TUK17:TUL17"/>
    <mergeCell ref="TUM17:TUN17"/>
    <mergeCell ref="TSK17:TSN17"/>
    <mergeCell ref="TSO17:TSP17"/>
    <mergeCell ref="TSQ17:TSR17"/>
    <mergeCell ref="TSS17:TST17"/>
    <mergeCell ref="TSU17:TSZ17"/>
    <mergeCell ref="TTA17:TTD17"/>
    <mergeCell ref="TTE17:TTF17"/>
    <mergeCell ref="TTG17:TTH17"/>
    <mergeCell ref="TTI17:TTJ17"/>
    <mergeCell ref="TRI17:TRJ17"/>
    <mergeCell ref="TRK17:TRL17"/>
    <mergeCell ref="TRM17:TRN17"/>
    <mergeCell ref="TRO17:TRT17"/>
    <mergeCell ref="TRU17:TRX17"/>
    <mergeCell ref="TRY17:TRZ17"/>
    <mergeCell ref="TSA17:TSB17"/>
    <mergeCell ref="TSC17:TSD17"/>
    <mergeCell ref="TSE17:TSJ17"/>
    <mergeCell ref="TQE17:TQF17"/>
    <mergeCell ref="TQG17:TQH17"/>
    <mergeCell ref="TQI17:TQN17"/>
    <mergeCell ref="TQO17:TQR17"/>
    <mergeCell ref="TQS17:TQT17"/>
    <mergeCell ref="TQU17:TQV17"/>
    <mergeCell ref="TQW17:TQX17"/>
    <mergeCell ref="TQY17:TRD17"/>
    <mergeCell ref="TRE17:TRH17"/>
    <mergeCell ref="TPA17:TPB17"/>
    <mergeCell ref="TPC17:TPH17"/>
    <mergeCell ref="TPI17:TPL17"/>
    <mergeCell ref="TPM17:TPN17"/>
    <mergeCell ref="TPO17:TPP17"/>
    <mergeCell ref="TPQ17:TPR17"/>
    <mergeCell ref="TPS17:TPX17"/>
    <mergeCell ref="TPY17:TQB17"/>
    <mergeCell ref="TQC17:TQD17"/>
    <mergeCell ref="TNW17:TOB17"/>
    <mergeCell ref="TOC17:TOF17"/>
    <mergeCell ref="TOG17:TOH17"/>
    <mergeCell ref="TOI17:TOJ17"/>
    <mergeCell ref="TOK17:TOL17"/>
    <mergeCell ref="TOM17:TOR17"/>
    <mergeCell ref="TOS17:TOV17"/>
    <mergeCell ref="TOW17:TOX17"/>
    <mergeCell ref="TOY17:TOZ17"/>
    <mergeCell ref="TMW17:TMZ17"/>
    <mergeCell ref="TNA17:TNB17"/>
    <mergeCell ref="TNC17:TND17"/>
    <mergeCell ref="TNE17:TNF17"/>
    <mergeCell ref="TNG17:TNL17"/>
    <mergeCell ref="TNM17:TNP17"/>
    <mergeCell ref="TNQ17:TNR17"/>
    <mergeCell ref="TNS17:TNT17"/>
    <mergeCell ref="TNU17:TNV17"/>
    <mergeCell ref="TLU17:TLV17"/>
    <mergeCell ref="TLW17:TLX17"/>
    <mergeCell ref="TLY17:TLZ17"/>
    <mergeCell ref="TMA17:TMF17"/>
    <mergeCell ref="TMG17:TMJ17"/>
    <mergeCell ref="TMK17:TML17"/>
    <mergeCell ref="TMM17:TMN17"/>
    <mergeCell ref="TMO17:TMP17"/>
    <mergeCell ref="TMQ17:TMV17"/>
    <mergeCell ref="TKQ17:TKR17"/>
    <mergeCell ref="TKS17:TKT17"/>
    <mergeCell ref="TKU17:TKZ17"/>
    <mergeCell ref="TLA17:TLD17"/>
    <mergeCell ref="TLE17:TLF17"/>
    <mergeCell ref="TLG17:TLH17"/>
    <mergeCell ref="TLI17:TLJ17"/>
    <mergeCell ref="TLK17:TLP17"/>
    <mergeCell ref="TLQ17:TLT17"/>
    <mergeCell ref="TJM17:TJN17"/>
    <mergeCell ref="TJO17:TJT17"/>
    <mergeCell ref="TJU17:TJX17"/>
    <mergeCell ref="TJY17:TJZ17"/>
    <mergeCell ref="TKA17:TKB17"/>
    <mergeCell ref="TKC17:TKD17"/>
    <mergeCell ref="TKE17:TKJ17"/>
    <mergeCell ref="TKK17:TKN17"/>
    <mergeCell ref="TKO17:TKP17"/>
    <mergeCell ref="TII17:TIN17"/>
    <mergeCell ref="TIO17:TIR17"/>
    <mergeCell ref="TIS17:TIT17"/>
    <mergeCell ref="TIU17:TIV17"/>
    <mergeCell ref="TIW17:TIX17"/>
    <mergeCell ref="TIY17:TJD17"/>
    <mergeCell ref="TJE17:TJH17"/>
    <mergeCell ref="TJI17:TJJ17"/>
    <mergeCell ref="TJK17:TJL17"/>
    <mergeCell ref="THI17:THL17"/>
    <mergeCell ref="THM17:THN17"/>
    <mergeCell ref="THO17:THP17"/>
    <mergeCell ref="THQ17:THR17"/>
    <mergeCell ref="THS17:THX17"/>
    <mergeCell ref="THY17:TIB17"/>
    <mergeCell ref="TIC17:TID17"/>
    <mergeCell ref="TIE17:TIF17"/>
    <mergeCell ref="TIG17:TIH17"/>
    <mergeCell ref="TGG17:TGH17"/>
    <mergeCell ref="TGI17:TGJ17"/>
    <mergeCell ref="TGK17:TGL17"/>
    <mergeCell ref="TGM17:TGR17"/>
    <mergeCell ref="TGS17:TGV17"/>
    <mergeCell ref="TGW17:TGX17"/>
    <mergeCell ref="TGY17:TGZ17"/>
    <mergeCell ref="THA17:THB17"/>
    <mergeCell ref="THC17:THH17"/>
    <mergeCell ref="TFC17:TFD17"/>
    <mergeCell ref="TFE17:TFF17"/>
    <mergeCell ref="TFG17:TFL17"/>
    <mergeCell ref="TFM17:TFP17"/>
    <mergeCell ref="TFQ17:TFR17"/>
    <mergeCell ref="TFS17:TFT17"/>
    <mergeCell ref="TFU17:TFV17"/>
    <mergeCell ref="TFW17:TGB17"/>
    <mergeCell ref="TGC17:TGF17"/>
    <mergeCell ref="TDY17:TDZ17"/>
    <mergeCell ref="TEA17:TEF17"/>
    <mergeCell ref="TEG17:TEJ17"/>
    <mergeCell ref="TEK17:TEL17"/>
    <mergeCell ref="TEM17:TEN17"/>
    <mergeCell ref="TEO17:TEP17"/>
    <mergeCell ref="TEQ17:TEV17"/>
    <mergeCell ref="TEW17:TEZ17"/>
    <mergeCell ref="TFA17:TFB17"/>
    <mergeCell ref="TCU17:TCZ17"/>
    <mergeCell ref="TDA17:TDD17"/>
    <mergeCell ref="TDE17:TDF17"/>
    <mergeCell ref="TDG17:TDH17"/>
    <mergeCell ref="TDI17:TDJ17"/>
    <mergeCell ref="TDK17:TDP17"/>
    <mergeCell ref="TDQ17:TDT17"/>
    <mergeCell ref="TDU17:TDV17"/>
    <mergeCell ref="TDW17:TDX17"/>
    <mergeCell ref="TBU17:TBX17"/>
    <mergeCell ref="TBY17:TBZ17"/>
    <mergeCell ref="TCA17:TCB17"/>
    <mergeCell ref="TCC17:TCD17"/>
    <mergeCell ref="TCE17:TCJ17"/>
    <mergeCell ref="TCK17:TCN17"/>
    <mergeCell ref="TCO17:TCP17"/>
    <mergeCell ref="TCQ17:TCR17"/>
    <mergeCell ref="TCS17:TCT17"/>
    <mergeCell ref="TAS17:TAT17"/>
    <mergeCell ref="TAU17:TAV17"/>
    <mergeCell ref="TAW17:TAX17"/>
    <mergeCell ref="TAY17:TBD17"/>
    <mergeCell ref="TBE17:TBH17"/>
    <mergeCell ref="TBI17:TBJ17"/>
    <mergeCell ref="TBK17:TBL17"/>
    <mergeCell ref="TBM17:TBN17"/>
    <mergeCell ref="TBO17:TBT17"/>
    <mergeCell ref="SZO17:SZP17"/>
    <mergeCell ref="SZQ17:SZR17"/>
    <mergeCell ref="SZS17:SZX17"/>
    <mergeCell ref="SZY17:TAB17"/>
    <mergeCell ref="TAC17:TAD17"/>
    <mergeCell ref="TAE17:TAF17"/>
    <mergeCell ref="TAG17:TAH17"/>
    <mergeCell ref="TAI17:TAN17"/>
    <mergeCell ref="TAO17:TAR17"/>
    <mergeCell ref="SYK17:SYL17"/>
    <mergeCell ref="SYM17:SYR17"/>
    <mergeCell ref="SYS17:SYV17"/>
    <mergeCell ref="SYW17:SYX17"/>
    <mergeCell ref="SYY17:SYZ17"/>
    <mergeCell ref="SZA17:SZB17"/>
    <mergeCell ref="SZC17:SZH17"/>
    <mergeCell ref="SZI17:SZL17"/>
    <mergeCell ref="SZM17:SZN17"/>
    <mergeCell ref="SXG17:SXL17"/>
    <mergeCell ref="SXM17:SXP17"/>
    <mergeCell ref="SXQ17:SXR17"/>
    <mergeCell ref="SXS17:SXT17"/>
    <mergeCell ref="SXU17:SXV17"/>
    <mergeCell ref="SXW17:SYB17"/>
    <mergeCell ref="SYC17:SYF17"/>
    <mergeCell ref="SYG17:SYH17"/>
    <mergeCell ref="SYI17:SYJ17"/>
    <mergeCell ref="SWG17:SWJ17"/>
    <mergeCell ref="SWK17:SWL17"/>
    <mergeCell ref="SWM17:SWN17"/>
    <mergeCell ref="SWO17:SWP17"/>
    <mergeCell ref="SWQ17:SWV17"/>
    <mergeCell ref="SWW17:SWZ17"/>
    <mergeCell ref="SXA17:SXB17"/>
    <mergeCell ref="SXC17:SXD17"/>
    <mergeCell ref="SXE17:SXF17"/>
    <mergeCell ref="SVE17:SVF17"/>
    <mergeCell ref="SVG17:SVH17"/>
    <mergeCell ref="SVI17:SVJ17"/>
    <mergeCell ref="SVK17:SVP17"/>
    <mergeCell ref="SVQ17:SVT17"/>
    <mergeCell ref="SVU17:SVV17"/>
    <mergeCell ref="SVW17:SVX17"/>
    <mergeCell ref="SVY17:SVZ17"/>
    <mergeCell ref="SWA17:SWF17"/>
    <mergeCell ref="SUA17:SUB17"/>
    <mergeCell ref="SUC17:SUD17"/>
    <mergeCell ref="SUE17:SUJ17"/>
    <mergeCell ref="SUK17:SUN17"/>
    <mergeCell ref="SUO17:SUP17"/>
    <mergeCell ref="SUQ17:SUR17"/>
    <mergeCell ref="SUS17:SUT17"/>
    <mergeCell ref="SUU17:SUZ17"/>
    <mergeCell ref="SVA17:SVD17"/>
    <mergeCell ref="SSW17:SSX17"/>
    <mergeCell ref="SSY17:STD17"/>
    <mergeCell ref="STE17:STH17"/>
    <mergeCell ref="STI17:STJ17"/>
    <mergeCell ref="STK17:STL17"/>
    <mergeCell ref="STM17:STN17"/>
    <mergeCell ref="STO17:STT17"/>
    <mergeCell ref="STU17:STX17"/>
    <mergeCell ref="STY17:STZ17"/>
    <mergeCell ref="SRS17:SRX17"/>
    <mergeCell ref="SRY17:SSB17"/>
    <mergeCell ref="SSC17:SSD17"/>
    <mergeCell ref="SSE17:SSF17"/>
    <mergeCell ref="SSG17:SSH17"/>
    <mergeCell ref="SSI17:SSN17"/>
    <mergeCell ref="SSO17:SSR17"/>
    <mergeCell ref="SSS17:SST17"/>
    <mergeCell ref="SSU17:SSV17"/>
    <mergeCell ref="SQS17:SQV17"/>
    <mergeCell ref="SQW17:SQX17"/>
    <mergeCell ref="SQY17:SQZ17"/>
    <mergeCell ref="SRA17:SRB17"/>
    <mergeCell ref="SRC17:SRH17"/>
    <mergeCell ref="SRI17:SRL17"/>
    <mergeCell ref="SRM17:SRN17"/>
    <mergeCell ref="SRO17:SRP17"/>
    <mergeCell ref="SRQ17:SRR17"/>
    <mergeCell ref="SPQ17:SPR17"/>
    <mergeCell ref="SPS17:SPT17"/>
    <mergeCell ref="SPU17:SPV17"/>
    <mergeCell ref="SPW17:SQB17"/>
    <mergeCell ref="SQC17:SQF17"/>
    <mergeCell ref="SQG17:SQH17"/>
    <mergeCell ref="SQI17:SQJ17"/>
    <mergeCell ref="SQK17:SQL17"/>
    <mergeCell ref="SQM17:SQR17"/>
    <mergeCell ref="SOM17:SON17"/>
    <mergeCell ref="SOO17:SOP17"/>
    <mergeCell ref="SOQ17:SOV17"/>
    <mergeCell ref="SOW17:SOZ17"/>
    <mergeCell ref="SPA17:SPB17"/>
    <mergeCell ref="SPC17:SPD17"/>
    <mergeCell ref="SPE17:SPF17"/>
    <mergeCell ref="SPG17:SPL17"/>
    <mergeCell ref="SPM17:SPP17"/>
    <mergeCell ref="SNI17:SNJ17"/>
    <mergeCell ref="SNK17:SNP17"/>
    <mergeCell ref="SNQ17:SNT17"/>
    <mergeCell ref="SNU17:SNV17"/>
    <mergeCell ref="SNW17:SNX17"/>
    <mergeCell ref="SNY17:SNZ17"/>
    <mergeCell ref="SOA17:SOF17"/>
    <mergeCell ref="SOG17:SOJ17"/>
    <mergeCell ref="SOK17:SOL17"/>
    <mergeCell ref="SME17:SMJ17"/>
    <mergeCell ref="SMK17:SMN17"/>
    <mergeCell ref="SMO17:SMP17"/>
    <mergeCell ref="SMQ17:SMR17"/>
    <mergeCell ref="SMS17:SMT17"/>
    <mergeCell ref="SMU17:SMZ17"/>
    <mergeCell ref="SNA17:SND17"/>
    <mergeCell ref="SNE17:SNF17"/>
    <mergeCell ref="SNG17:SNH17"/>
    <mergeCell ref="SLE17:SLH17"/>
    <mergeCell ref="SLI17:SLJ17"/>
    <mergeCell ref="SLK17:SLL17"/>
    <mergeCell ref="SLM17:SLN17"/>
    <mergeCell ref="SLO17:SLT17"/>
    <mergeCell ref="SLU17:SLX17"/>
    <mergeCell ref="SLY17:SLZ17"/>
    <mergeCell ref="SMA17:SMB17"/>
    <mergeCell ref="SMC17:SMD17"/>
    <mergeCell ref="SKC17:SKD17"/>
    <mergeCell ref="SKE17:SKF17"/>
    <mergeCell ref="SKG17:SKH17"/>
    <mergeCell ref="SKI17:SKN17"/>
    <mergeCell ref="SKO17:SKR17"/>
    <mergeCell ref="SKS17:SKT17"/>
    <mergeCell ref="SKU17:SKV17"/>
    <mergeCell ref="SKW17:SKX17"/>
    <mergeCell ref="SKY17:SLD17"/>
    <mergeCell ref="SIY17:SIZ17"/>
    <mergeCell ref="SJA17:SJB17"/>
    <mergeCell ref="SJC17:SJH17"/>
    <mergeCell ref="SJI17:SJL17"/>
    <mergeCell ref="SJM17:SJN17"/>
    <mergeCell ref="SJO17:SJP17"/>
    <mergeCell ref="SJQ17:SJR17"/>
    <mergeCell ref="SJS17:SJX17"/>
    <mergeCell ref="SJY17:SKB17"/>
    <mergeCell ref="SHU17:SHV17"/>
    <mergeCell ref="SHW17:SIB17"/>
    <mergeCell ref="SIC17:SIF17"/>
    <mergeCell ref="SIG17:SIH17"/>
    <mergeCell ref="SII17:SIJ17"/>
    <mergeCell ref="SIK17:SIL17"/>
    <mergeCell ref="SIM17:SIR17"/>
    <mergeCell ref="SIS17:SIV17"/>
    <mergeCell ref="SIW17:SIX17"/>
    <mergeCell ref="SGQ17:SGV17"/>
    <mergeCell ref="SGW17:SGZ17"/>
    <mergeCell ref="SHA17:SHB17"/>
    <mergeCell ref="SHC17:SHD17"/>
    <mergeCell ref="SHE17:SHF17"/>
    <mergeCell ref="SHG17:SHL17"/>
    <mergeCell ref="SHM17:SHP17"/>
    <mergeCell ref="SHQ17:SHR17"/>
    <mergeCell ref="SHS17:SHT17"/>
    <mergeCell ref="SFQ17:SFT17"/>
    <mergeCell ref="SFU17:SFV17"/>
    <mergeCell ref="SFW17:SFX17"/>
    <mergeCell ref="SFY17:SFZ17"/>
    <mergeCell ref="SGA17:SGF17"/>
    <mergeCell ref="SGG17:SGJ17"/>
    <mergeCell ref="SGK17:SGL17"/>
    <mergeCell ref="SGM17:SGN17"/>
    <mergeCell ref="SGO17:SGP17"/>
    <mergeCell ref="SEO17:SEP17"/>
    <mergeCell ref="SEQ17:SER17"/>
    <mergeCell ref="SES17:SET17"/>
    <mergeCell ref="SEU17:SEZ17"/>
    <mergeCell ref="SFA17:SFD17"/>
    <mergeCell ref="SFE17:SFF17"/>
    <mergeCell ref="SFG17:SFH17"/>
    <mergeCell ref="SFI17:SFJ17"/>
    <mergeCell ref="SFK17:SFP17"/>
    <mergeCell ref="SDK17:SDL17"/>
    <mergeCell ref="SDM17:SDN17"/>
    <mergeCell ref="SDO17:SDT17"/>
    <mergeCell ref="SDU17:SDX17"/>
    <mergeCell ref="SDY17:SDZ17"/>
    <mergeCell ref="SEA17:SEB17"/>
    <mergeCell ref="SEC17:SED17"/>
    <mergeCell ref="SEE17:SEJ17"/>
    <mergeCell ref="SEK17:SEN17"/>
    <mergeCell ref="SCG17:SCH17"/>
    <mergeCell ref="SCI17:SCN17"/>
    <mergeCell ref="SCO17:SCR17"/>
    <mergeCell ref="SCS17:SCT17"/>
    <mergeCell ref="SCU17:SCV17"/>
    <mergeCell ref="SCW17:SCX17"/>
    <mergeCell ref="SCY17:SDD17"/>
    <mergeCell ref="SDE17:SDH17"/>
    <mergeCell ref="SDI17:SDJ17"/>
    <mergeCell ref="SBC17:SBH17"/>
    <mergeCell ref="SBI17:SBL17"/>
    <mergeCell ref="SBM17:SBN17"/>
    <mergeCell ref="SBO17:SBP17"/>
    <mergeCell ref="SBQ17:SBR17"/>
    <mergeCell ref="SBS17:SBX17"/>
    <mergeCell ref="SBY17:SCB17"/>
    <mergeCell ref="SCC17:SCD17"/>
    <mergeCell ref="SCE17:SCF17"/>
    <mergeCell ref="SAC17:SAF17"/>
    <mergeCell ref="SAG17:SAH17"/>
    <mergeCell ref="SAI17:SAJ17"/>
    <mergeCell ref="SAK17:SAL17"/>
    <mergeCell ref="SAM17:SAR17"/>
    <mergeCell ref="SAS17:SAV17"/>
    <mergeCell ref="SAW17:SAX17"/>
    <mergeCell ref="SAY17:SAZ17"/>
    <mergeCell ref="SBA17:SBB17"/>
    <mergeCell ref="RZA17:RZB17"/>
    <mergeCell ref="RZC17:RZD17"/>
    <mergeCell ref="RZE17:RZF17"/>
    <mergeCell ref="RZG17:RZL17"/>
    <mergeCell ref="RZM17:RZP17"/>
    <mergeCell ref="RZQ17:RZR17"/>
    <mergeCell ref="RZS17:RZT17"/>
    <mergeCell ref="RZU17:RZV17"/>
    <mergeCell ref="RZW17:SAB17"/>
    <mergeCell ref="RXW17:RXX17"/>
    <mergeCell ref="RXY17:RXZ17"/>
    <mergeCell ref="RYA17:RYF17"/>
    <mergeCell ref="RYG17:RYJ17"/>
    <mergeCell ref="RYK17:RYL17"/>
    <mergeCell ref="RYM17:RYN17"/>
    <mergeCell ref="RYO17:RYP17"/>
    <mergeCell ref="RYQ17:RYV17"/>
    <mergeCell ref="RYW17:RYZ17"/>
    <mergeCell ref="RWS17:RWT17"/>
    <mergeCell ref="RWU17:RWZ17"/>
    <mergeCell ref="RXA17:RXD17"/>
    <mergeCell ref="RXE17:RXF17"/>
    <mergeCell ref="RXG17:RXH17"/>
    <mergeCell ref="RXI17:RXJ17"/>
    <mergeCell ref="RXK17:RXP17"/>
    <mergeCell ref="RXQ17:RXT17"/>
    <mergeCell ref="RXU17:RXV17"/>
    <mergeCell ref="RVO17:RVT17"/>
    <mergeCell ref="RVU17:RVX17"/>
    <mergeCell ref="RVY17:RVZ17"/>
    <mergeCell ref="RWA17:RWB17"/>
    <mergeCell ref="RWC17:RWD17"/>
    <mergeCell ref="RWE17:RWJ17"/>
    <mergeCell ref="RWK17:RWN17"/>
    <mergeCell ref="RWO17:RWP17"/>
    <mergeCell ref="RWQ17:RWR17"/>
    <mergeCell ref="RUO17:RUR17"/>
    <mergeCell ref="RUS17:RUT17"/>
    <mergeCell ref="RUU17:RUV17"/>
    <mergeCell ref="RUW17:RUX17"/>
    <mergeCell ref="RUY17:RVD17"/>
    <mergeCell ref="RVE17:RVH17"/>
    <mergeCell ref="RVI17:RVJ17"/>
    <mergeCell ref="RVK17:RVL17"/>
    <mergeCell ref="RVM17:RVN17"/>
    <mergeCell ref="RTM17:RTN17"/>
    <mergeCell ref="RTO17:RTP17"/>
    <mergeCell ref="RTQ17:RTR17"/>
    <mergeCell ref="RTS17:RTX17"/>
    <mergeCell ref="RTY17:RUB17"/>
    <mergeCell ref="RUC17:RUD17"/>
    <mergeCell ref="RUE17:RUF17"/>
    <mergeCell ref="RUG17:RUH17"/>
    <mergeCell ref="RUI17:RUN17"/>
    <mergeCell ref="RSI17:RSJ17"/>
    <mergeCell ref="RSK17:RSL17"/>
    <mergeCell ref="RSM17:RSR17"/>
    <mergeCell ref="RSS17:RSV17"/>
    <mergeCell ref="RSW17:RSX17"/>
    <mergeCell ref="RSY17:RSZ17"/>
    <mergeCell ref="RTA17:RTB17"/>
    <mergeCell ref="RTC17:RTH17"/>
    <mergeCell ref="RTI17:RTL17"/>
    <mergeCell ref="RRE17:RRF17"/>
    <mergeCell ref="RRG17:RRL17"/>
    <mergeCell ref="RRM17:RRP17"/>
    <mergeCell ref="RRQ17:RRR17"/>
    <mergeCell ref="RRS17:RRT17"/>
    <mergeCell ref="RRU17:RRV17"/>
    <mergeCell ref="RRW17:RSB17"/>
    <mergeCell ref="RSC17:RSF17"/>
    <mergeCell ref="RSG17:RSH17"/>
    <mergeCell ref="RQA17:RQF17"/>
    <mergeCell ref="RQG17:RQJ17"/>
    <mergeCell ref="RQK17:RQL17"/>
    <mergeCell ref="RQM17:RQN17"/>
    <mergeCell ref="RQO17:RQP17"/>
    <mergeCell ref="RQQ17:RQV17"/>
    <mergeCell ref="RQW17:RQZ17"/>
    <mergeCell ref="RRA17:RRB17"/>
    <mergeCell ref="RRC17:RRD17"/>
    <mergeCell ref="RPA17:RPD17"/>
    <mergeCell ref="RPE17:RPF17"/>
    <mergeCell ref="RPG17:RPH17"/>
    <mergeCell ref="RPI17:RPJ17"/>
    <mergeCell ref="RPK17:RPP17"/>
    <mergeCell ref="RPQ17:RPT17"/>
    <mergeCell ref="RPU17:RPV17"/>
    <mergeCell ref="RPW17:RPX17"/>
    <mergeCell ref="RPY17:RPZ17"/>
    <mergeCell ref="RNY17:RNZ17"/>
    <mergeCell ref="ROA17:ROB17"/>
    <mergeCell ref="ROC17:ROD17"/>
    <mergeCell ref="ROE17:ROJ17"/>
    <mergeCell ref="ROK17:RON17"/>
    <mergeCell ref="ROO17:ROP17"/>
    <mergeCell ref="ROQ17:ROR17"/>
    <mergeCell ref="ROS17:ROT17"/>
    <mergeCell ref="ROU17:ROZ17"/>
    <mergeCell ref="RMU17:RMV17"/>
    <mergeCell ref="RMW17:RMX17"/>
    <mergeCell ref="RMY17:RND17"/>
    <mergeCell ref="RNE17:RNH17"/>
    <mergeCell ref="RNI17:RNJ17"/>
    <mergeCell ref="RNK17:RNL17"/>
    <mergeCell ref="RNM17:RNN17"/>
    <mergeCell ref="RNO17:RNT17"/>
    <mergeCell ref="RNU17:RNX17"/>
    <mergeCell ref="RLQ17:RLR17"/>
    <mergeCell ref="RLS17:RLX17"/>
    <mergeCell ref="RLY17:RMB17"/>
    <mergeCell ref="RMC17:RMD17"/>
    <mergeCell ref="RME17:RMF17"/>
    <mergeCell ref="RMG17:RMH17"/>
    <mergeCell ref="RMI17:RMN17"/>
    <mergeCell ref="RMO17:RMR17"/>
    <mergeCell ref="RMS17:RMT17"/>
    <mergeCell ref="RKM17:RKR17"/>
    <mergeCell ref="RKS17:RKV17"/>
    <mergeCell ref="RKW17:RKX17"/>
    <mergeCell ref="RKY17:RKZ17"/>
    <mergeCell ref="RLA17:RLB17"/>
    <mergeCell ref="RLC17:RLH17"/>
    <mergeCell ref="RLI17:RLL17"/>
    <mergeCell ref="RLM17:RLN17"/>
    <mergeCell ref="RLO17:RLP17"/>
    <mergeCell ref="RJM17:RJP17"/>
    <mergeCell ref="RJQ17:RJR17"/>
    <mergeCell ref="RJS17:RJT17"/>
    <mergeCell ref="RJU17:RJV17"/>
    <mergeCell ref="RJW17:RKB17"/>
    <mergeCell ref="RKC17:RKF17"/>
    <mergeCell ref="RKG17:RKH17"/>
    <mergeCell ref="RKI17:RKJ17"/>
    <mergeCell ref="RKK17:RKL17"/>
    <mergeCell ref="RIK17:RIL17"/>
    <mergeCell ref="RIM17:RIN17"/>
    <mergeCell ref="RIO17:RIP17"/>
    <mergeCell ref="RIQ17:RIV17"/>
    <mergeCell ref="RIW17:RIZ17"/>
    <mergeCell ref="RJA17:RJB17"/>
    <mergeCell ref="RJC17:RJD17"/>
    <mergeCell ref="RJE17:RJF17"/>
    <mergeCell ref="RJG17:RJL17"/>
    <mergeCell ref="RHG17:RHH17"/>
    <mergeCell ref="RHI17:RHJ17"/>
    <mergeCell ref="RHK17:RHP17"/>
    <mergeCell ref="RHQ17:RHT17"/>
    <mergeCell ref="RHU17:RHV17"/>
    <mergeCell ref="RHW17:RHX17"/>
    <mergeCell ref="RHY17:RHZ17"/>
    <mergeCell ref="RIA17:RIF17"/>
    <mergeCell ref="RIG17:RIJ17"/>
    <mergeCell ref="RGC17:RGD17"/>
    <mergeCell ref="RGE17:RGJ17"/>
    <mergeCell ref="RGK17:RGN17"/>
    <mergeCell ref="RGO17:RGP17"/>
    <mergeCell ref="RGQ17:RGR17"/>
    <mergeCell ref="RGS17:RGT17"/>
    <mergeCell ref="RGU17:RGZ17"/>
    <mergeCell ref="RHA17:RHD17"/>
    <mergeCell ref="RHE17:RHF17"/>
    <mergeCell ref="REY17:RFD17"/>
    <mergeCell ref="RFE17:RFH17"/>
    <mergeCell ref="RFI17:RFJ17"/>
    <mergeCell ref="RFK17:RFL17"/>
    <mergeCell ref="RFM17:RFN17"/>
    <mergeCell ref="RFO17:RFT17"/>
    <mergeCell ref="RFU17:RFX17"/>
    <mergeCell ref="RFY17:RFZ17"/>
    <mergeCell ref="RGA17:RGB17"/>
    <mergeCell ref="RDY17:REB17"/>
    <mergeCell ref="REC17:RED17"/>
    <mergeCell ref="REE17:REF17"/>
    <mergeCell ref="REG17:REH17"/>
    <mergeCell ref="REI17:REN17"/>
    <mergeCell ref="REO17:RER17"/>
    <mergeCell ref="RES17:RET17"/>
    <mergeCell ref="REU17:REV17"/>
    <mergeCell ref="REW17:REX17"/>
    <mergeCell ref="RCW17:RCX17"/>
    <mergeCell ref="RCY17:RCZ17"/>
    <mergeCell ref="RDA17:RDB17"/>
    <mergeCell ref="RDC17:RDH17"/>
    <mergeCell ref="RDI17:RDL17"/>
    <mergeCell ref="RDM17:RDN17"/>
    <mergeCell ref="RDO17:RDP17"/>
    <mergeCell ref="RDQ17:RDR17"/>
    <mergeCell ref="RDS17:RDX17"/>
    <mergeCell ref="RBS17:RBT17"/>
    <mergeCell ref="RBU17:RBV17"/>
    <mergeCell ref="RBW17:RCB17"/>
    <mergeCell ref="RCC17:RCF17"/>
    <mergeCell ref="RCG17:RCH17"/>
    <mergeCell ref="RCI17:RCJ17"/>
    <mergeCell ref="RCK17:RCL17"/>
    <mergeCell ref="RCM17:RCR17"/>
    <mergeCell ref="RCS17:RCV17"/>
    <mergeCell ref="RAO17:RAP17"/>
    <mergeCell ref="RAQ17:RAV17"/>
    <mergeCell ref="RAW17:RAZ17"/>
    <mergeCell ref="RBA17:RBB17"/>
    <mergeCell ref="RBC17:RBD17"/>
    <mergeCell ref="RBE17:RBF17"/>
    <mergeCell ref="RBG17:RBL17"/>
    <mergeCell ref="RBM17:RBP17"/>
    <mergeCell ref="RBQ17:RBR17"/>
    <mergeCell ref="QZK17:QZP17"/>
    <mergeCell ref="QZQ17:QZT17"/>
    <mergeCell ref="QZU17:QZV17"/>
    <mergeCell ref="QZW17:QZX17"/>
    <mergeCell ref="QZY17:QZZ17"/>
    <mergeCell ref="RAA17:RAF17"/>
    <mergeCell ref="RAG17:RAJ17"/>
    <mergeCell ref="RAK17:RAL17"/>
    <mergeCell ref="RAM17:RAN17"/>
    <mergeCell ref="QYK17:QYN17"/>
    <mergeCell ref="QYO17:QYP17"/>
    <mergeCell ref="QYQ17:QYR17"/>
    <mergeCell ref="QYS17:QYT17"/>
    <mergeCell ref="QYU17:QYZ17"/>
    <mergeCell ref="QZA17:QZD17"/>
    <mergeCell ref="QZE17:QZF17"/>
    <mergeCell ref="QZG17:QZH17"/>
    <mergeCell ref="QZI17:QZJ17"/>
    <mergeCell ref="QXI17:QXJ17"/>
    <mergeCell ref="QXK17:QXL17"/>
    <mergeCell ref="QXM17:QXN17"/>
    <mergeCell ref="QXO17:QXT17"/>
    <mergeCell ref="QXU17:QXX17"/>
    <mergeCell ref="QXY17:QXZ17"/>
    <mergeCell ref="QYA17:QYB17"/>
    <mergeCell ref="QYC17:QYD17"/>
    <mergeCell ref="QYE17:QYJ17"/>
    <mergeCell ref="QWE17:QWF17"/>
    <mergeCell ref="QWG17:QWH17"/>
    <mergeCell ref="QWI17:QWN17"/>
    <mergeCell ref="QWO17:QWR17"/>
    <mergeCell ref="QWS17:QWT17"/>
    <mergeCell ref="QWU17:QWV17"/>
    <mergeCell ref="QWW17:QWX17"/>
    <mergeCell ref="QWY17:QXD17"/>
    <mergeCell ref="QXE17:QXH17"/>
    <mergeCell ref="QVA17:QVB17"/>
    <mergeCell ref="QVC17:QVH17"/>
    <mergeCell ref="QVI17:QVL17"/>
    <mergeCell ref="QVM17:QVN17"/>
    <mergeCell ref="QVO17:QVP17"/>
    <mergeCell ref="QVQ17:QVR17"/>
    <mergeCell ref="QVS17:QVX17"/>
    <mergeCell ref="QVY17:QWB17"/>
    <mergeCell ref="QWC17:QWD17"/>
    <mergeCell ref="QTW17:QUB17"/>
    <mergeCell ref="QUC17:QUF17"/>
    <mergeCell ref="QUG17:QUH17"/>
    <mergeCell ref="QUI17:QUJ17"/>
    <mergeCell ref="QUK17:QUL17"/>
    <mergeCell ref="QUM17:QUR17"/>
    <mergeCell ref="QUS17:QUV17"/>
    <mergeCell ref="QUW17:QUX17"/>
    <mergeCell ref="QUY17:QUZ17"/>
    <mergeCell ref="QSW17:QSZ17"/>
    <mergeCell ref="QTA17:QTB17"/>
    <mergeCell ref="QTC17:QTD17"/>
    <mergeCell ref="QTE17:QTF17"/>
    <mergeCell ref="QTG17:QTL17"/>
    <mergeCell ref="QTM17:QTP17"/>
    <mergeCell ref="QTQ17:QTR17"/>
    <mergeCell ref="QTS17:QTT17"/>
    <mergeCell ref="QTU17:QTV17"/>
    <mergeCell ref="QRU17:QRV17"/>
    <mergeCell ref="QRW17:QRX17"/>
    <mergeCell ref="QRY17:QRZ17"/>
    <mergeCell ref="QSA17:QSF17"/>
    <mergeCell ref="QSG17:QSJ17"/>
    <mergeCell ref="QSK17:QSL17"/>
    <mergeCell ref="QSM17:QSN17"/>
    <mergeCell ref="QSO17:QSP17"/>
    <mergeCell ref="QSQ17:QSV17"/>
    <mergeCell ref="QQQ17:QQR17"/>
    <mergeCell ref="QQS17:QQT17"/>
    <mergeCell ref="QQU17:QQZ17"/>
    <mergeCell ref="QRA17:QRD17"/>
    <mergeCell ref="QRE17:QRF17"/>
    <mergeCell ref="QRG17:QRH17"/>
    <mergeCell ref="QRI17:QRJ17"/>
    <mergeCell ref="QRK17:QRP17"/>
    <mergeCell ref="QRQ17:QRT17"/>
    <mergeCell ref="QPM17:QPN17"/>
    <mergeCell ref="QPO17:QPT17"/>
    <mergeCell ref="QPU17:QPX17"/>
    <mergeCell ref="QPY17:QPZ17"/>
    <mergeCell ref="QQA17:QQB17"/>
    <mergeCell ref="QQC17:QQD17"/>
    <mergeCell ref="QQE17:QQJ17"/>
    <mergeCell ref="QQK17:QQN17"/>
    <mergeCell ref="QQO17:QQP17"/>
    <mergeCell ref="QOI17:QON17"/>
    <mergeCell ref="QOO17:QOR17"/>
    <mergeCell ref="QOS17:QOT17"/>
    <mergeCell ref="QOU17:QOV17"/>
    <mergeCell ref="QOW17:QOX17"/>
    <mergeCell ref="QOY17:QPD17"/>
    <mergeCell ref="QPE17:QPH17"/>
    <mergeCell ref="QPI17:QPJ17"/>
    <mergeCell ref="QPK17:QPL17"/>
    <mergeCell ref="QNI17:QNL17"/>
    <mergeCell ref="QNM17:QNN17"/>
    <mergeCell ref="QNO17:QNP17"/>
    <mergeCell ref="QNQ17:QNR17"/>
    <mergeCell ref="QNS17:QNX17"/>
    <mergeCell ref="QNY17:QOB17"/>
    <mergeCell ref="QOC17:QOD17"/>
    <mergeCell ref="QOE17:QOF17"/>
    <mergeCell ref="QOG17:QOH17"/>
    <mergeCell ref="QMG17:QMH17"/>
    <mergeCell ref="QMI17:QMJ17"/>
    <mergeCell ref="QMK17:QML17"/>
    <mergeCell ref="QMM17:QMR17"/>
    <mergeCell ref="QMS17:QMV17"/>
    <mergeCell ref="QMW17:QMX17"/>
    <mergeCell ref="QMY17:QMZ17"/>
    <mergeCell ref="QNA17:QNB17"/>
    <mergeCell ref="QNC17:QNH17"/>
    <mergeCell ref="QLC17:QLD17"/>
    <mergeCell ref="QLE17:QLF17"/>
    <mergeCell ref="QLG17:QLL17"/>
    <mergeCell ref="QLM17:QLP17"/>
    <mergeCell ref="QLQ17:QLR17"/>
    <mergeCell ref="QLS17:QLT17"/>
    <mergeCell ref="QLU17:QLV17"/>
    <mergeCell ref="QLW17:QMB17"/>
    <mergeCell ref="QMC17:QMF17"/>
    <mergeCell ref="QJY17:QJZ17"/>
    <mergeCell ref="QKA17:QKF17"/>
    <mergeCell ref="QKG17:QKJ17"/>
    <mergeCell ref="QKK17:QKL17"/>
    <mergeCell ref="QKM17:QKN17"/>
    <mergeCell ref="QKO17:QKP17"/>
    <mergeCell ref="QKQ17:QKV17"/>
    <mergeCell ref="QKW17:QKZ17"/>
    <mergeCell ref="QLA17:QLB17"/>
    <mergeCell ref="QIU17:QIZ17"/>
    <mergeCell ref="QJA17:QJD17"/>
    <mergeCell ref="QJE17:QJF17"/>
    <mergeCell ref="QJG17:QJH17"/>
    <mergeCell ref="QJI17:QJJ17"/>
    <mergeCell ref="QJK17:QJP17"/>
    <mergeCell ref="QJQ17:QJT17"/>
    <mergeCell ref="QJU17:QJV17"/>
    <mergeCell ref="QJW17:QJX17"/>
    <mergeCell ref="QHU17:QHX17"/>
    <mergeCell ref="QHY17:QHZ17"/>
    <mergeCell ref="QIA17:QIB17"/>
    <mergeCell ref="QIC17:QID17"/>
    <mergeCell ref="QIE17:QIJ17"/>
    <mergeCell ref="QIK17:QIN17"/>
    <mergeCell ref="QIO17:QIP17"/>
    <mergeCell ref="QIQ17:QIR17"/>
    <mergeCell ref="QIS17:QIT17"/>
    <mergeCell ref="QGS17:QGT17"/>
    <mergeCell ref="QGU17:QGV17"/>
    <mergeCell ref="QGW17:QGX17"/>
    <mergeCell ref="QGY17:QHD17"/>
    <mergeCell ref="QHE17:QHH17"/>
    <mergeCell ref="QHI17:QHJ17"/>
    <mergeCell ref="QHK17:QHL17"/>
    <mergeCell ref="QHM17:QHN17"/>
    <mergeCell ref="QHO17:QHT17"/>
    <mergeCell ref="QFO17:QFP17"/>
    <mergeCell ref="QFQ17:QFR17"/>
    <mergeCell ref="QFS17:QFX17"/>
    <mergeCell ref="QFY17:QGB17"/>
    <mergeCell ref="QGC17:QGD17"/>
    <mergeCell ref="QGE17:QGF17"/>
    <mergeCell ref="QGG17:QGH17"/>
    <mergeCell ref="QGI17:QGN17"/>
    <mergeCell ref="QGO17:QGR17"/>
    <mergeCell ref="QEK17:QEL17"/>
    <mergeCell ref="QEM17:QER17"/>
    <mergeCell ref="QES17:QEV17"/>
    <mergeCell ref="QEW17:QEX17"/>
    <mergeCell ref="QEY17:QEZ17"/>
    <mergeCell ref="QFA17:QFB17"/>
    <mergeCell ref="QFC17:QFH17"/>
    <mergeCell ref="QFI17:QFL17"/>
    <mergeCell ref="QFM17:QFN17"/>
    <mergeCell ref="QDG17:QDL17"/>
    <mergeCell ref="QDM17:QDP17"/>
    <mergeCell ref="QDQ17:QDR17"/>
    <mergeCell ref="QDS17:QDT17"/>
    <mergeCell ref="QDU17:QDV17"/>
    <mergeCell ref="QDW17:QEB17"/>
    <mergeCell ref="QEC17:QEF17"/>
    <mergeCell ref="QEG17:QEH17"/>
    <mergeCell ref="QEI17:QEJ17"/>
    <mergeCell ref="QCG17:QCJ17"/>
    <mergeCell ref="QCK17:QCL17"/>
    <mergeCell ref="QCM17:QCN17"/>
    <mergeCell ref="QCO17:QCP17"/>
    <mergeCell ref="QCQ17:QCV17"/>
    <mergeCell ref="QCW17:QCZ17"/>
    <mergeCell ref="QDA17:QDB17"/>
    <mergeCell ref="QDC17:QDD17"/>
    <mergeCell ref="QDE17:QDF17"/>
    <mergeCell ref="QBE17:QBF17"/>
    <mergeCell ref="QBG17:QBH17"/>
    <mergeCell ref="QBI17:QBJ17"/>
    <mergeCell ref="QBK17:QBP17"/>
    <mergeCell ref="QBQ17:QBT17"/>
    <mergeCell ref="QBU17:QBV17"/>
    <mergeCell ref="QBW17:QBX17"/>
    <mergeCell ref="QBY17:QBZ17"/>
    <mergeCell ref="QCA17:QCF17"/>
    <mergeCell ref="QAA17:QAB17"/>
    <mergeCell ref="QAC17:QAD17"/>
    <mergeCell ref="QAE17:QAJ17"/>
    <mergeCell ref="QAK17:QAN17"/>
    <mergeCell ref="QAO17:QAP17"/>
    <mergeCell ref="QAQ17:QAR17"/>
    <mergeCell ref="QAS17:QAT17"/>
    <mergeCell ref="QAU17:QAZ17"/>
    <mergeCell ref="QBA17:QBD17"/>
    <mergeCell ref="PYW17:PYX17"/>
    <mergeCell ref="PYY17:PZD17"/>
    <mergeCell ref="PZE17:PZH17"/>
    <mergeCell ref="PZI17:PZJ17"/>
    <mergeCell ref="PZK17:PZL17"/>
    <mergeCell ref="PZM17:PZN17"/>
    <mergeCell ref="PZO17:PZT17"/>
    <mergeCell ref="PZU17:PZX17"/>
    <mergeCell ref="PZY17:PZZ17"/>
    <mergeCell ref="PXS17:PXX17"/>
    <mergeCell ref="PXY17:PYB17"/>
    <mergeCell ref="PYC17:PYD17"/>
    <mergeCell ref="PYE17:PYF17"/>
    <mergeCell ref="PYG17:PYH17"/>
    <mergeCell ref="PYI17:PYN17"/>
    <mergeCell ref="PYO17:PYR17"/>
    <mergeCell ref="PYS17:PYT17"/>
    <mergeCell ref="PYU17:PYV17"/>
    <mergeCell ref="PWS17:PWV17"/>
    <mergeCell ref="PWW17:PWX17"/>
    <mergeCell ref="PWY17:PWZ17"/>
    <mergeCell ref="PXA17:PXB17"/>
    <mergeCell ref="PXC17:PXH17"/>
    <mergeCell ref="PXI17:PXL17"/>
    <mergeCell ref="PXM17:PXN17"/>
    <mergeCell ref="PXO17:PXP17"/>
    <mergeCell ref="PXQ17:PXR17"/>
    <mergeCell ref="PVQ17:PVR17"/>
    <mergeCell ref="PVS17:PVT17"/>
    <mergeCell ref="PVU17:PVV17"/>
    <mergeCell ref="PVW17:PWB17"/>
    <mergeCell ref="PWC17:PWF17"/>
    <mergeCell ref="PWG17:PWH17"/>
    <mergeCell ref="PWI17:PWJ17"/>
    <mergeCell ref="PWK17:PWL17"/>
    <mergeCell ref="PWM17:PWR17"/>
    <mergeCell ref="PUM17:PUN17"/>
    <mergeCell ref="PUO17:PUP17"/>
    <mergeCell ref="PUQ17:PUV17"/>
    <mergeCell ref="PUW17:PUZ17"/>
    <mergeCell ref="PVA17:PVB17"/>
    <mergeCell ref="PVC17:PVD17"/>
    <mergeCell ref="PVE17:PVF17"/>
    <mergeCell ref="PVG17:PVL17"/>
    <mergeCell ref="PVM17:PVP17"/>
    <mergeCell ref="PTI17:PTJ17"/>
    <mergeCell ref="PTK17:PTP17"/>
    <mergeCell ref="PTQ17:PTT17"/>
    <mergeCell ref="PTU17:PTV17"/>
    <mergeCell ref="PTW17:PTX17"/>
    <mergeCell ref="PTY17:PTZ17"/>
    <mergeCell ref="PUA17:PUF17"/>
    <mergeCell ref="PUG17:PUJ17"/>
    <mergeCell ref="PUK17:PUL17"/>
    <mergeCell ref="PSE17:PSJ17"/>
    <mergeCell ref="PSK17:PSN17"/>
    <mergeCell ref="PSO17:PSP17"/>
    <mergeCell ref="PSQ17:PSR17"/>
    <mergeCell ref="PSS17:PST17"/>
    <mergeCell ref="PSU17:PSZ17"/>
    <mergeCell ref="PTA17:PTD17"/>
    <mergeCell ref="PTE17:PTF17"/>
    <mergeCell ref="PTG17:PTH17"/>
    <mergeCell ref="PRE17:PRH17"/>
    <mergeCell ref="PRI17:PRJ17"/>
    <mergeCell ref="PRK17:PRL17"/>
    <mergeCell ref="PRM17:PRN17"/>
    <mergeCell ref="PRO17:PRT17"/>
    <mergeCell ref="PRU17:PRX17"/>
    <mergeCell ref="PRY17:PRZ17"/>
    <mergeCell ref="PSA17:PSB17"/>
    <mergeCell ref="PSC17:PSD17"/>
    <mergeCell ref="PQC17:PQD17"/>
    <mergeCell ref="PQE17:PQF17"/>
    <mergeCell ref="PQG17:PQH17"/>
    <mergeCell ref="PQI17:PQN17"/>
    <mergeCell ref="PQO17:PQR17"/>
    <mergeCell ref="PQS17:PQT17"/>
    <mergeCell ref="PQU17:PQV17"/>
    <mergeCell ref="PQW17:PQX17"/>
    <mergeCell ref="PQY17:PRD17"/>
    <mergeCell ref="POY17:POZ17"/>
    <mergeCell ref="PPA17:PPB17"/>
    <mergeCell ref="PPC17:PPH17"/>
    <mergeCell ref="PPI17:PPL17"/>
    <mergeCell ref="PPM17:PPN17"/>
    <mergeCell ref="PPO17:PPP17"/>
    <mergeCell ref="PPQ17:PPR17"/>
    <mergeCell ref="PPS17:PPX17"/>
    <mergeCell ref="PPY17:PQB17"/>
    <mergeCell ref="PNU17:PNV17"/>
    <mergeCell ref="PNW17:POB17"/>
    <mergeCell ref="POC17:POF17"/>
    <mergeCell ref="POG17:POH17"/>
    <mergeCell ref="POI17:POJ17"/>
    <mergeCell ref="POK17:POL17"/>
    <mergeCell ref="POM17:POR17"/>
    <mergeCell ref="POS17:POV17"/>
    <mergeCell ref="POW17:POX17"/>
    <mergeCell ref="PMQ17:PMV17"/>
    <mergeCell ref="PMW17:PMZ17"/>
    <mergeCell ref="PNA17:PNB17"/>
    <mergeCell ref="PNC17:PND17"/>
    <mergeCell ref="PNE17:PNF17"/>
    <mergeCell ref="PNG17:PNL17"/>
    <mergeCell ref="PNM17:PNP17"/>
    <mergeCell ref="PNQ17:PNR17"/>
    <mergeCell ref="PNS17:PNT17"/>
    <mergeCell ref="PLQ17:PLT17"/>
    <mergeCell ref="PLU17:PLV17"/>
    <mergeCell ref="PLW17:PLX17"/>
    <mergeCell ref="PLY17:PLZ17"/>
    <mergeCell ref="PMA17:PMF17"/>
    <mergeCell ref="PMG17:PMJ17"/>
    <mergeCell ref="PMK17:PML17"/>
    <mergeCell ref="PMM17:PMN17"/>
    <mergeCell ref="PMO17:PMP17"/>
    <mergeCell ref="PKO17:PKP17"/>
    <mergeCell ref="PKQ17:PKR17"/>
    <mergeCell ref="PKS17:PKT17"/>
    <mergeCell ref="PKU17:PKZ17"/>
    <mergeCell ref="PLA17:PLD17"/>
    <mergeCell ref="PLE17:PLF17"/>
    <mergeCell ref="PLG17:PLH17"/>
    <mergeCell ref="PLI17:PLJ17"/>
    <mergeCell ref="PLK17:PLP17"/>
    <mergeCell ref="PJK17:PJL17"/>
    <mergeCell ref="PJM17:PJN17"/>
    <mergeCell ref="PJO17:PJT17"/>
    <mergeCell ref="PJU17:PJX17"/>
    <mergeCell ref="PJY17:PJZ17"/>
    <mergeCell ref="PKA17:PKB17"/>
    <mergeCell ref="PKC17:PKD17"/>
    <mergeCell ref="PKE17:PKJ17"/>
    <mergeCell ref="PKK17:PKN17"/>
    <mergeCell ref="PIG17:PIH17"/>
    <mergeCell ref="PII17:PIN17"/>
    <mergeCell ref="PIO17:PIR17"/>
    <mergeCell ref="PIS17:PIT17"/>
    <mergeCell ref="PIU17:PIV17"/>
    <mergeCell ref="PIW17:PIX17"/>
    <mergeCell ref="PIY17:PJD17"/>
    <mergeCell ref="PJE17:PJH17"/>
    <mergeCell ref="PJI17:PJJ17"/>
    <mergeCell ref="PHC17:PHH17"/>
    <mergeCell ref="PHI17:PHL17"/>
    <mergeCell ref="PHM17:PHN17"/>
    <mergeCell ref="PHO17:PHP17"/>
    <mergeCell ref="PHQ17:PHR17"/>
    <mergeCell ref="PHS17:PHX17"/>
    <mergeCell ref="PHY17:PIB17"/>
    <mergeCell ref="PIC17:PID17"/>
    <mergeCell ref="PIE17:PIF17"/>
    <mergeCell ref="PGC17:PGF17"/>
    <mergeCell ref="PGG17:PGH17"/>
    <mergeCell ref="PGI17:PGJ17"/>
    <mergeCell ref="PGK17:PGL17"/>
    <mergeCell ref="PGM17:PGR17"/>
    <mergeCell ref="PGS17:PGV17"/>
    <mergeCell ref="PGW17:PGX17"/>
    <mergeCell ref="PGY17:PGZ17"/>
    <mergeCell ref="PHA17:PHB17"/>
    <mergeCell ref="PFA17:PFB17"/>
    <mergeCell ref="PFC17:PFD17"/>
    <mergeCell ref="PFE17:PFF17"/>
    <mergeCell ref="PFG17:PFL17"/>
    <mergeCell ref="PFM17:PFP17"/>
    <mergeCell ref="PFQ17:PFR17"/>
    <mergeCell ref="PFS17:PFT17"/>
    <mergeCell ref="PFU17:PFV17"/>
    <mergeCell ref="PFW17:PGB17"/>
    <mergeCell ref="PDW17:PDX17"/>
    <mergeCell ref="PDY17:PDZ17"/>
    <mergeCell ref="PEA17:PEF17"/>
    <mergeCell ref="PEG17:PEJ17"/>
    <mergeCell ref="PEK17:PEL17"/>
    <mergeCell ref="PEM17:PEN17"/>
    <mergeCell ref="PEO17:PEP17"/>
    <mergeCell ref="PEQ17:PEV17"/>
    <mergeCell ref="PEW17:PEZ17"/>
    <mergeCell ref="PCS17:PCT17"/>
    <mergeCell ref="PCU17:PCZ17"/>
    <mergeCell ref="PDA17:PDD17"/>
    <mergeCell ref="PDE17:PDF17"/>
    <mergeCell ref="PDG17:PDH17"/>
    <mergeCell ref="PDI17:PDJ17"/>
    <mergeCell ref="PDK17:PDP17"/>
    <mergeCell ref="PDQ17:PDT17"/>
    <mergeCell ref="PDU17:PDV17"/>
    <mergeCell ref="PBO17:PBT17"/>
    <mergeCell ref="PBU17:PBX17"/>
    <mergeCell ref="PBY17:PBZ17"/>
    <mergeCell ref="PCA17:PCB17"/>
    <mergeCell ref="PCC17:PCD17"/>
    <mergeCell ref="PCE17:PCJ17"/>
    <mergeCell ref="PCK17:PCN17"/>
    <mergeCell ref="PCO17:PCP17"/>
    <mergeCell ref="PCQ17:PCR17"/>
    <mergeCell ref="PAO17:PAR17"/>
    <mergeCell ref="PAS17:PAT17"/>
    <mergeCell ref="PAU17:PAV17"/>
    <mergeCell ref="PAW17:PAX17"/>
    <mergeCell ref="PAY17:PBD17"/>
    <mergeCell ref="PBE17:PBH17"/>
    <mergeCell ref="PBI17:PBJ17"/>
    <mergeCell ref="PBK17:PBL17"/>
    <mergeCell ref="PBM17:PBN17"/>
    <mergeCell ref="OZM17:OZN17"/>
    <mergeCell ref="OZO17:OZP17"/>
    <mergeCell ref="OZQ17:OZR17"/>
    <mergeCell ref="OZS17:OZX17"/>
    <mergeCell ref="OZY17:PAB17"/>
    <mergeCell ref="PAC17:PAD17"/>
    <mergeCell ref="PAE17:PAF17"/>
    <mergeCell ref="PAG17:PAH17"/>
    <mergeCell ref="PAI17:PAN17"/>
    <mergeCell ref="OYI17:OYJ17"/>
    <mergeCell ref="OYK17:OYL17"/>
    <mergeCell ref="OYM17:OYR17"/>
    <mergeCell ref="OYS17:OYV17"/>
    <mergeCell ref="OYW17:OYX17"/>
    <mergeCell ref="OYY17:OYZ17"/>
    <mergeCell ref="OZA17:OZB17"/>
    <mergeCell ref="OZC17:OZH17"/>
    <mergeCell ref="OZI17:OZL17"/>
    <mergeCell ref="OXE17:OXF17"/>
    <mergeCell ref="OXG17:OXL17"/>
    <mergeCell ref="OXM17:OXP17"/>
    <mergeCell ref="OXQ17:OXR17"/>
    <mergeCell ref="OXS17:OXT17"/>
    <mergeCell ref="OXU17:OXV17"/>
    <mergeCell ref="OXW17:OYB17"/>
    <mergeCell ref="OYC17:OYF17"/>
    <mergeCell ref="OYG17:OYH17"/>
    <mergeCell ref="OWA17:OWF17"/>
    <mergeCell ref="OWG17:OWJ17"/>
    <mergeCell ref="OWK17:OWL17"/>
    <mergeCell ref="OWM17:OWN17"/>
    <mergeCell ref="OWO17:OWP17"/>
    <mergeCell ref="OWQ17:OWV17"/>
    <mergeCell ref="OWW17:OWZ17"/>
    <mergeCell ref="OXA17:OXB17"/>
    <mergeCell ref="OXC17:OXD17"/>
    <mergeCell ref="OVA17:OVD17"/>
    <mergeCell ref="OVE17:OVF17"/>
    <mergeCell ref="OVG17:OVH17"/>
    <mergeCell ref="OVI17:OVJ17"/>
    <mergeCell ref="OVK17:OVP17"/>
    <mergeCell ref="OVQ17:OVT17"/>
    <mergeCell ref="OVU17:OVV17"/>
    <mergeCell ref="OVW17:OVX17"/>
    <mergeCell ref="OVY17:OVZ17"/>
    <mergeCell ref="OTY17:OTZ17"/>
    <mergeCell ref="OUA17:OUB17"/>
    <mergeCell ref="OUC17:OUD17"/>
    <mergeCell ref="OUE17:OUJ17"/>
    <mergeCell ref="OUK17:OUN17"/>
    <mergeCell ref="OUO17:OUP17"/>
    <mergeCell ref="OUQ17:OUR17"/>
    <mergeCell ref="OUS17:OUT17"/>
    <mergeCell ref="OUU17:OUZ17"/>
    <mergeCell ref="OSU17:OSV17"/>
    <mergeCell ref="OSW17:OSX17"/>
    <mergeCell ref="OSY17:OTD17"/>
    <mergeCell ref="OTE17:OTH17"/>
    <mergeCell ref="OTI17:OTJ17"/>
    <mergeCell ref="OTK17:OTL17"/>
    <mergeCell ref="OTM17:OTN17"/>
    <mergeCell ref="OTO17:OTT17"/>
    <mergeCell ref="OTU17:OTX17"/>
    <mergeCell ref="ORQ17:ORR17"/>
    <mergeCell ref="ORS17:ORX17"/>
    <mergeCell ref="ORY17:OSB17"/>
    <mergeCell ref="OSC17:OSD17"/>
    <mergeCell ref="OSE17:OSF17"/>
    <mergeCell ref="OSG17:OSH17"/>
    <mergeCell ref="OSI17:OSN17"/>
    <mergeCell ref="OSO17:OSR17"/>
    <mergeCell ref="OSS17:OST17"/>
    <mergeCell ref="OQM17:OQR17"/>
    <mergeCell ref="OQS17:OQV17"/>
    <mergeCell ref="OQW17:OQX17"/>
    <mergeCell ref="OQY17:OQZ17"/>
    <mergeCell ref="ORA17:ORB17"/>
    <mergeCell ref="ORC17:ORH17"/>
    <mergeCell ref="ORI17:ORL17"/>
    <mergeCell ref="ORM17:ORN17"/>
    <mergeCell ref="ORO17:ORP17"/>
    <mergeCell ref="OPM17:OPP17"/>
    <mergeCell ref="OPQ17:OPR17"/>
    <mergeCell ref="OPS17:OPT17"/>
    <mergeCell ref="OPU17:OPV17"/>
    <mergeCell ref="OPW17:OQB17"/>
    <mergeCell ref="OQC17:OQF17"/>
    <mergeCell ref="OQG17:OQH17"/>
    <mergeCell ref="OQI17:OQJ17"/>
    <mergeCell ref="OQK17:OQL17"/>
    <mergeCell ref="OOK17:OOL17"/>
    <mergeCell ref="OOM17:OON17"/>
    <mergeCell ref="OOO17:OOP17"/>
    <mergeCell ref="OOQ17:OOV17"/>
    <mergeCell ref="OOW17:OOZ17"/>
    <mergeCell ref="OPA17:OPB17"/>
    <mergeCell ref="OPC17:OPD17"/>
    <mergeCell ref="OPE17:OPF17"/>
    <mergeCell ref="OPG17:OPL17"/>
    <mergeCell ref="ONG17:ONH17"/>
    <mergeCell ref="ONI17:ONJ17"/>
    <mergeCell ref="ONK17:ONP17"/>
    <mergeCell ref="ONQ17:ONT17"/>
    <mergeCell ref="ONU17:ONV17"/>
    <mergeCell ref="ONW17:ONX17"/>
    <mergeCell ref="ONY17:ONZ17"/>
    <mergeCell ref="OOA17:OOF17"/>
    <mergeCell ref="OOG17:OOJ17"/>
    <mergeCell ref="OMC17:OMD17"/>
    <mergeCell ref="OME17:OMJ17"/>
    <mergeCell ref="OMK17:OMN17"/>
    <mergeCell ref="OMO17:OMP17"/>
    <mergeCell ref="OMQ17:OMR17"/>
    <mergeCell ref="OMS17:OMT17"/>
    <mergeCell ref="OMU17:OMZ17"/>
    <mergeCell ref="ONA17:OND17"/>
    <mergeCell ref="ONE17:ONF17"/>
    <mergeCell ref="OKY17:OLD17"/>
    <mergeCell ref="OLE17:OLH17"/>
    <mergeCell ref="OLI17:OLJ17"/>
    <mergeCell ref="OLK17:OLL17"/>
    <mergeCell ref="OLM17:OLN17"/>
    <mergeCell ref="OLO17:OLT17"/>
    <mergeCell ref="OLU17:OLX17"/>
    <mergeCell ref="OLY17:OLZ17"/>
    <mergeCell ref="OMA17:OMB17"/>
    <mergeCell ref="OJY17:OKB17"/>
    <mergeCell ref="OKC17:OKD17"/>
    <mergeCell ref="OKE17:OKF17"/>
    <mergeCell ref="OKG17:OKH17"/>
    <mergeCell ref="OKI17:OKN17"/>
    <mergeCell ref="OKO17:OKR17"/>
    <mergeCell ref="OKS17:OKT17"/>
    <mergeCell ref="OKU17:OKV17"/>
    <mergeCell ref="OKW17:OKX17"/>
    <mergeCell ref="OIW17:OIX17"/>
    <mergeCell ref="OIY17:OIZ17"/>
    <mergeCell ref="OJA17:OJB17"/>
    <mergeCell ref="OJC17:OJH17"/>
    <mergeCell ref="OJI17:OJL17"/>
    <mergeCell ref="OJM17:OJN17"/>
    <mergeCell ref="OJO17:OJP17"/>
    <mergeCell ref="OJQ17:OJR17"/>
    <mergeCell ref="OJS17:OJX17"/>
    <mergeCell ref="OHS17:OHT17"/>
    <mergeCell ref="OHU17:OHV17"/>
    <mergeCell ref="OHW17:OIB17"/>
    <mergeCell ref="OIC17:OIF17"/>
    <mergeCell ref="OIG17:OIH17"/>
    <mergeCell ref="OII17:OIJ17"/>
    <mergeCell ref="OIK17:OIL17"/>
    <mergeCell ref="OIM17:OIR17"/>
    <mergeCell ref="OIS17:OIV17"/>
    <mergeCell ref="OGO17:OGP17"/>
    <mergeCell ref="OGQ17:OGV17"/>
    <mergeCell ref="OGW17:OGZ17"/>
    <mergeCell ref="OHA17:OHB17"/>
    <mergeCell ref="OHC17:OHD17"/>
    <mergeCell ref="OHE17:OHF17"/>
    <mergeCell ref="OHG17:OHL17"/>
    <mergeCell ref="OHM17:OHP17"/>
    <mergeCell ref="OHQ17:OHR17"/>
    <mergeCell ref="OFK17:OFP17"/>
    <mergeCell ref="OFQ17:OFT17"/>
    <mergeCell ref="OFU17:OFV17"/>
    <mergeCell ref="OFW17:OFX17"/>
    <mergeCell ref="OFY17:OFZ17"/>
    <mergeCell ref="OGA17:OGF17"/>
    <mergeCell ref="OGG17:OGJ17"/>
    <mergeCell ref="OGK17:OGL17"/>
    <mergeCell ref="OGM17:OGN17"/>
    <mergeCell ref="OEK17:OEN17"/>
    <mergeCell ref="OEO17:OEP17"/>
    <mergeCell ref="OEQ17:OER17"/>
    <mergeCell ref="OES17:OET17"/>
    <mergeCell ref="OEU17:OEZ17"/>
    <mergeCell ref="OFA17:OFD17"/>
    <mergeCell ref="OFE17:OFF17"/>
    <mergeCell ref="OFG17:OFH17"/>
    <mergeCell ref="OFI17:OFJ17"/>
    <mergeCell ref="ODI17:ODJ17"/>
    <mergeCell ref="ODK17:ODL17"/>
    <mergeCell ref="ODM17:ODN17"/>
    <mergeCell ref="ODO17:ODT17"/>
    <mergeCell ref="ODU17:ODX17"/>
    <mergeCell ref="ODY17:ODZ17"/>
    <mergeCell ref="OEA17:OEB17"/>
    <mergeCell ref="OEC17:OED17"/>
    <mergeCell ref="OEE17:OEJ17"/>
    <mergeCell ref="OCE17:OCF17"/>
    <mergeCell ref="OCG17:OCH17"/>
    <mergeCell ref="OCI17:OCN17"/>
    <mergeCell ref="OCO17:OCR17"/>
    <mergeCell ref="OCS17:OCT17"/>
    <mergeCell ref="OCU17:OCV17"/>
    <mergeCell ref="OCW17:OCX17"/>
    <mergeCell ref="OCY17:ODD17"/>
    <mergeCell ref="ODE17:ODH17"/>
    <mergeCell ref="OBA17:OBB17"/>
    <mergeCell ref="OBC17:OBH17"/>
    <mergeCell ref="OBI17:OBL17"/>
    <mergeCell ref="OBM17:OBN17"/>
    <mergeCell ref="OBO17:OBP17"/>
    <mergeCell ref="OBQ17:OBR17"/>
    <mergeCell ref="OBS17:OBX17"/>
    <mergeCell ref="OBY17:OCB17"/>
    <mergeCell ref="OCC17:OCD17"/>
    <mergeCell ref="NZW17:OAB17"/>
    <mergeCell ref="OAC17:OAF17"/>
    <mergeCell ref="OAG17:OAH17"/>
    <mergeCell ref="OAI17:OAJ17"/>
    <mergeCell ref="OAK17:OAL17"/>
    <mergeCell ref="OAM17:OAR17"/>
    <mergeCell ref="OAS17:OAV17"/>
    <mergeCell ref="OAW17:OAX17"/>
    <mergeCell ref="OAY17:OAZ17"/>
    <mergeCell ref="NYW17:NYZ17"/>
    <mergeCell ref="NZA17:NZB17"/>
    <mergeCell ref="NZC17:NZD17"/>
    <mergeCell ref="NZE17:NZF17"/>
    <mergeCell ref="NZG17:NZL17"/>
    <mergeCell ref="NZM17:NZP17"/>
    <mergeCell ref="NZQ17:NZR17"/>
    <mergeCell ref="NZS17:NZT17"/>
    <mergeCell ref="NZU17:NZV17"/>
    <mergeCell ref="NXU17:NXV17"/>
    <mergeCell ref="NXW17:NXX17"/>
    <mergeCell ref="NXY17:NXZ17"/>
    <mergeCell ref="NYA17:NYF17"/>
    <mergeCell ref="NYG17:NYJ17"/>
    <mergeCell ref="NYK17:NYL17"/>
    <mergeCell ref="NYM17:NYN17"/>
    <mergeCell ref="NYO17:NYP17"/>
    <mergeCell ref="NYQ17:NYV17"/>
    <mergeCell ref="NWQ17:NWR17"/>
    <mergeCell ref="NWS17:NWT17"/>
    <mergeCell ref="NWU17:NWZ17"/>
    <mergeCell ref="NXA17:NXD17"/>
    <mergeCell ref="NXE17:NXF17"/>
    <mergeCell ref="NXG17:NXH17"/>
    <mergeCell ref="NXI17:NXJ17"/>
    <mergeCell ref="NXK17:NXP17"/>
    <mergeCell ref="NXQ17:NXT17"/>
    <mergeCell ref="NVM17:NVN17"/>
    <mergeCell ref="NVO17:NVT17"/>
    <mergeCell ref="NVU17:NVX17"/>
    <mergeCell ref="NVY17:NVZ17"/>
    <mergeCell ref="NWA17:NWB17"/>
    <mergeCell ref="NWC17:NWD17"/>
    <mergeCell ref="NWE17:NWJ17"/>
    <mergeCell ref="NWK17:NWN17"/>
    <mergeCell ref="NWO17:NWP17"/>
    <mergeCell ref="NUI17:NUN17"/>
    <mergeCell ref="NUO17:NUR17"/>
    <mergeCell ref="NUS17:NUT17"/>
    <mergeCell ref="NUU17:NUV17"/>
    <mergeCell ref="NUW17:NUX17"/>
    <mergeCell ref="NUY17:NVD17"/>
    <mergeCell ref="NVE17:NVH17"/>
    <mergeCell ref="NVI17:NVJ17"/>
    <mergeCell ref="NVK17:NVL17"/>
    <mergeCell ref="NTI17:NTL17"/>
    <mergeCell ref="NTM17:NTN17"/>
    <mergeCell ref="NTO17:NTP17"/>
    <mergeCell ref="NTQ17:NTR17"/>
    <mergeCell ref="NTS17:NTX17"/>
    <mergeCell ref="NTY17:NUB17"/>
    <mergeCell ref="NUC17:NUD17"/>
    <mergeCell ref="NUE17:NUF17"/>
    <mergeCell ref="NUG17:NUH17"/>
    <mergeCell ref="NSG17:NSH17"/>
    <mergeCell ref="NSI17:NSJ17"/>
    <mergeCell ref="NSK17:NSL17"/>
    <mergeCell ref="NSM17:NSR17"/>
    <mergeCell ref="NSS17:NSV17"/>
    <mergeCell ref="NSW17:NSX17"/>
    <mergeCell ref="NSY17:NSZ17"/>
    <mergeCell ref="NTA17:NTB17"/>
    <mergeCell ref="NTC17:NTH17"/>
    <mergeCell ref="NRC17:NRD17"/>
    <mergeCell ref="NRE17:NRF17"/>
    <mergeCell ref="NRG17:NRL17"/>
    <mergeCell ref="NRM17:NRP17"/>
    <mergeCell ref="NRQ17:NRR17"/>
    <mergeCell ref="NRS17:NRT17"/>
    <mergeCell ref="NRU17:NRV17"/>
    <mergeCell ref="NRW17:NSB17"/>
    <mergeCell ref="NSC17:NSF17"/>
    <mergeCell ref="NPY17:NPZ17"/>
    <mergeCell ref="NQA17:NQF17"/>
    <mergeCell ref="NQG17:NQJ17"/>
    <mergeCell ref="NQK17:NQL17"/>
    <mergeCell ref="NQM17:NQN17"/>
    <mergeCell ref="NQO17:NQP17"/>
    <mergeCell ref="NQQ17:NQV17"/>
    <mergeCell ref="NQW17:NQZ17"/>
    <mergeCell ref="NRA17:NRB17"/>
    <mergeCell ref="NOU17:NOZ17"/>
    <mergeCell ref="NPA17:NPD17"/>
    <mergeCell ref="NPE17:NPF17"/>
    <mergeCell ref="NPG17:NPH17"/>
    <mergeCell ref="NPI17:NPJ17"/>
    <mergeCell ref="NPK17:NPP17"/>
    <mergeCell ref="NPQ17:NPT17"/>
    <mergeCell ref="NPU17:NPV17"/>
    <mergeCell ref="NPW17:NPX17"/>
    <mergeCell ref="NNU17:NNX17"/>
    <mergeCell ref="NNY17:NNZ17"/>
    <mergeCell ref="NOA17:NOB17"/>
    <mergeCell ref="NOC17:NOD17"/>
    <mergeCell ref="NOE17:NOJ17"/>
    <mergeCell ref="NOK17:NON17"/>
    <mergeCell ref="NOO17:NOP17"/>
    <mergeCell ref="NOQ17:NOR17"/>
    <mergeCell ref="NOS17:NOT17"/>
    <mergeCell ref="NMS17:NMT17"/>
    <mergeCell ref="NMU17:NMV17"/>
    <mergeCell ref="NMW17:NMX17"/>
    <mergeCell ref="NMY17:NND17"/>
    <mergeCell ref="NNE17:NNH17"/>
    <mergeCell ref="NNI17:NNJ17"/>
    <mergeCell ref="NNK17:NNL17"/>
    <mergeCell ref="NNM17:NNN17"/>
    <mergeCell ref="NNO17:NNT17"/>
    <mergeCell ref="NLO17:NLP17"/>
    <mergeCell ref="NLQ17:NLR17"/>
    <mergeCell ref="NLS17:NLX17"/>
    <mergeCell ref="NLY17:NMB17"/>
    <mergeCell ref="NMC17:NMD17"/>
    <mergeCell ref="NME17:NMF17"/>
    <mergeCell ref="NMG17:NMH17"/>
    <mergeCell ref="NMI17:NMN17"/>
    <mergeCell ref="NMO17:NMR17"/>
    <mergeCell ref="NKK17:NKL17"/>
    <mergeCell ref="NKM17:NKR17"/>
    <mergeCell ref="NKS17:NKV17"/>
    <mergeCell ref="NKW17:NKX17"/>
    <mergeCell ref="NKY17:NKZ17"/>
    <mergeCell ref="NLA17:NLB17"/>
    <mergeCell ref="NLC17:NLH17"/>
    <mergeCell ref="NLI17:NLL17"/>
    <mergeCell ref="NLM17:NLN17"/>
    <mergeCell ref="NJG17:NJL17"/>
    <mergeCell ref="NJM17:NJP17"/>
    <mergeCell ref="NJQ17:NJR17"/>
    <mergeCell ref="NJS17:NJT17"/>
    <mergeCell ref="NJU17:NJV17"/>
    <mergeCell ref="NJW17:NKB17"/>
    <mergeCell ref="NKC17:NKF17"/>
    <mergeCell ref="NKG17:NKH17"/>
    <mergeCell ref="NKI17:NKJ17"/>
    <mergeCell ref="NIG17:NIJ17"/>
    <mergeCell ref="NIK17:NIL17"/>
    <mergeCell ref="NIM17:NIN17"/>
    <mergeCell ref="NIO17:NIP17"/>
    <mergeCell ref="NIQ17:NIV17"/>
    <mergeCell ref="NIW17:NIZ17"/>
    <mergeCell ref="NJA17:NJB17"/>
    <mergeCell ref="NJC17:NJD17"/>
    <mergeCell ref="NJE17:NJF17"/>
    <mergeCell ref="NHE17:NHF17"/>
    <mergeCell ref="NHG17:NHH17"/>
    <mergeCell ref="NHI17:NHJ17"/>
    <mergeCell ref="NHK17:NHP17"/>
    <mergeCell ref="NHQ17:NHT17"/>
    <mergeCell ref="NHU17:NHV17"/>
    <mergeCell ref="NHW17:NHX17"/>
    <mergeCell ref="NHY17:NHZ17"/>
    <mergeCell ref="NIA17:NIF17"/>
    <mergeCell ref="NGA17:NGB17"/>
    <mergeCell ref="NGC17:NGD17"/>
    <mergeCell ref="NGE17:NGJ17"/>
    <mergeCell ref="NGK17:NGN17"/>
    <mergeCell ref="NGO17:NGP17"/>
    <mergeCell ref="NGQ17:NGR17"/>
    <mergeCell ref="NGS17:NGT17"/>
    <mergeCell ref="NGU17:NGZ17"/>
    <mergeCell ref="NHA17:NHD17"/>
    <mergeCell ref="NEW17:NEX17"/>
    <mergeCell ref="NEY17:NFD17"/>
    <mergeCell ref="NFE17:NFH17"/>
    <mergeCell ref="NFI17:NFJ17"/>
    <mergeCell ref="NFK17:NFL17"/>
    <mergeCell ref="NFM17:NFN17"/>
    <mergeCell ref="NFO17:NFT17"/>
    <mergeCell ref="NFU17:NFX17"/>
    <mergeCell ref="NFY17:NFZ17"/>
    <mergeCell ref="NDS17:NDX17"/>
    <mergeCell ref="NDY17:NEB17"/>
    <mergeCell ref="NEC17:NED17"/>
    <mergeCell ref="NEE17:NEF17"/>
    <mergeCell ref="NEG17:NEH17"/>
    <mergeCell ref="NEI17:NEN17"/>
    <mergeCell ref="NEO17:NER17"/>
    <mergeCell ref="NES17:NET17"/>
    <mergeCell ref="NEU17:NEV17"/>
    <mergeCell ref="NCS17:NCV17"/>
    <mergeCell ref="NCW17:NCX17"/>
    <mergeCell ref="NCY17:NCZ17"/>
    <mergeCell ref="NDA17:NDB17"/>
    <mergeCell ref="NDC17:NDH17"/>
    <mergeCell ref="NDI17:NDL17"/>
    <mergeCell ref="NDM17:NDN17"/>
    <mergeCell ref="NDO17:NDP17"/>
    <mergeCell ref="NDQ17:NDR17"/>
    <mergeCell ref="NBQ17:NBR17"/>
    <mergeCell ref="NBS17:NBT17"/>
    <mergeCell ref="NBU17:NBV17"/>
    <mergeCell ref="NBW17:NCB17"/>
    <mergeCell ref="NCC17:NCF17"/>
    <mergeCell ref="NCG17:NCH17"/>
    <mergeCell ref="NCI17:NCJ17"/>
    <mergeCell ref="NCK17:NCL17"/>
    <mergeCell ref="NCM17:NCR17"/>
    <mergeCell ref="NAM17:NAN17"/>
    <mergeCell ref="NAO17:NAP17"/>
    <mergeCell ref="NAQ17:NAV17"/>
    <mergeCell ref="NAW17:NAZ17"/>
    <mergeCell ref="NBA17:NBB17"/>
    <mergeCell ref="NBC17:NBD17"/>
    <mergeCell ref="NBE17:NBF17"/>
    <mergeCell ref="NBG17:NBL17"/>
    <mergeCell ref="NBM17:NBP17"/>
    <mergeCell ref="MZI17:MZJ17"/>
    <mergeCell ref="MZK17:MZP17"/>
    <mergeCell ref="MZQ17:MZT17"/>
    <mergeCell ref="MZU17:MZV17"/>
    <mergeCell ref="MZW17:MZX17"/>
    <mergeCell ref="MZY17:MZZ17"/>
    <mergeCell ref="NAA17:NAF17"/>
    <mergeCell ref="NAG17:NAJ17"/>
    <mergeCell ref="NAK17:NAL17"/>
    <mergeCell ref="MYE17:MYJ17"/>
    <mergeCell ref="MYK17:MYN17"/>
    <mergeCell ref="MYO17:MYP17"/>
    <mergeCell ref="MYQ17:MYR17"/>
    <mergeCell ref="MYS17:MYT17"/>
    <mergeCell ref="MYU17:MYZ17"/>
    <mergeCell ref="MZA17:MZD17"/>
    <mergeCell ref="MZE17:MZF17"/>
    <mergeCell ref="MZG17:MZH17"/>
    <mergeCell ref="MXE17:MXH17"/>
    <mergeCell ref="MXI17:MXJ17"/>
    <mergeCell ref="MXK17:MXL17"/>
    <mergeCell ref="MXM17:MXN17"/>
    <mergeCell ref="MXO17:MXT17"/>
    <mergeCell ref="MXU17:MXX17"/>
    <mergeCell ref="MXY17:MXZ17"/>
    <mergeCell ref="MYA17:MYB17"/>
    <mergeCell ref="MYC17:MYD17"/>
    <mergeCell ref="MWC17:MWD17"/>
    <mergeCell ref="MWE17:MWF17"/>
    <mergeCell ref="MWG17:MWH17"/>
    <mergeCell ref="MWI17:MWN17"/>
    <mergeCell ref="MWO17:MWR17"/>
    <mergeCell ref="MWS17:MWT17"/>
    <mergeCell ref="MWU17:MWV17"/>
    <mergeCell ref="MWW17:MWX17"/>
    <mergeCell ref="MWY17:MXD17"/>
    <mergeCell ref="MUY17:MUZ17"/>
    <mergeCell ref="MVA17:MVB17"/>
    <mergeCell ref="MVC17:MVH17"/>
    <mergeCell ref="MVI17:MVL17"/>
    <mergeCell ref="MVM17:MVN17"/>
    <mergeCell ref="MVO17:MVP17"/>
    <mergeCell ref="MVQ17:MVR17"/>
    <mergeCell ref="MVS17:MVX17"/>
    <mergeCell ref="MVY17:MWB17"/>
    <mergeCell ref="MTU17:MTV17"/>
    <mergeCell ref="MTW17:MUB17"/>
    <mergeCell ref="MUC17:MUF17"/>
    <mergeCell ref="MUG17:MUH17"/>
    <mergeCell ref="MUI17:MUJ17"/>
    <mergeCell ref="MUK17:MUL17"/>
    <mergeCell ref="MUM17:MUR17"/>
    <mergeCell ref="MUS17:MUV17"/>
    <mergeCell ref="MUW17:MUX17"/>
    <mergeCell ref="MSQ17:MSV17"/>
    <mergeCell ref="MSW17:MSZ17"/>
    <mergeCell ref="MTA17:MTB17"/>
    <mergeCell ref="MTC17:MTD17"/>
    <mergeCell ref="MTE17:MTF17"/>
    <mergeCell ref="MTG17:MTL17"/>
    <mergeCell ref="MTM17:MTP17"/>
    <mergeCell ref="MTQ17:MTR17"/>
    <mergeCell ref="MTS17:MTT17"/>
    <mergeCell ref="MRQ17:MRT17"/>
    <mergeCell ref="MRU17:MRV17"/>
    <mergeCell ref="MRW17:MRX17"/>
    <mergeCell ref="MRY17:MRZ17"/>
    <mergeCell ref="MSA17:MSF17"/>
    <mergeCell ref="MSG17:MSJ17"/>
    <mergeCell ref="MSK17:MSL17"/>
    <mergeCell ref="MSM17:MSN17"/>
    <mergeCell ref="MSO17:MSP17"/>
    <mergeCell ref="MQO17:MQP17"/>
    <mergeCell ref="MQQ17:MQR17"/>
    <mergeCell ref="MQS17:MQT17"/>
    <mergeCell ref="MQU17:MQZ17"/>
    <mergeCell ref="MRA17:MRD17"/>
    <mergeCell ref="MRE17:MRF17"/>
    <mergeCell ref="MRG17:MRH17"/>
    <mergeCell ref="MRI17:MRJ17"/>
    <mergeCell ref="MRK17:MRP17"/>
    <mergeCell ref="MPK17:MPL17"/>
    <mergeCell ref="MPM17:MPN17"/>
    <mergeCell ref="MPO17:MPT17"/>
    <mergeCell ref="MPU17:MPX17"/>
    <mergeCell ref="MPY17:MPZ17"/>
    <mergeCell ref="MQA17:MQB17"/>
    <mergeCell ref="MQC17:MQD17"/>
    <mergeCell ref="MQE17:MQJ17"/>
    <mergeCell ref="MQK17:MQN17"/>
    <mergeCell ref="MOG17:MOH17"/>
    <mergeCell ref="MOI17:MON17"/>
    <mergeCell ref="MOO17:MOR17"/>
    <mergeCell ref="MOS17:MOT17"/>
    <mergeCell ref="MOU17:MOV17"/>
    <mergeCell ref="MOW17:MOX17"/>
    <mergeCell ref="MOY17:MPD17"/>
    <mergeCell ref="MPE17:MPH17"/>
    <mergeCell ref="MPI17:MPJ17"/>
    <mergeCell ref="MNC17:MNH17"/>
    <mergeCell ref="MNI17:MNL17"/>
    <mergeCell ref="MNM17:MNN17"/>
    <mergeCell ref="MNO17:MNP17"/>
    <mergeCell ref="MNQ17:MNR17"/>
    <mergeCell ref="MNS17:MNX17"/>
    <mergeCell ref="MNY17:MOB17"/>
    <mergeCell ref="MOC17:MOD17"/>
    <mergeCell ref="MOE17:MOF17"/>
    <mergeCell ref="MMC17:MMF17"/>
    <mergeCell ref="MMG17:MMH17"/>
    <mergeCell ref="MMI17:MMJ17"/>
    <mergeCell ref="MMK17:MML17"/>
    <mergeCell ref="MMM17:MMR17"/>
    <mergeCell ref="MMS17:MMV17"/>
    <mergeCell ref="MMW17:MMX17"/>
    <mergeCell ref="MMY17:MMZ17"/>
    <mergeCell ref="MNA17:MNB17"/>
    <mergeCell ref="MLA17:MLB17"/>
    <mergeCell ref="MLC17:MLD17"/>
    <mergeCell ref="MLE17:MLF17"/>
    <mergeCell ref="MLG17:MLL17"/>
    <mergeCell ref="MLM17:MLP17"/>
    <mergeCell ref="MLQ17:MLR17"/>
    <mergeCell ref="MLS17:MLT17"/>
    <mergeCell ref="MLU17:MLV17"/>
    <mergeCell ref="MLW17:MMB17"/>
    <mergeCell ref="MJW17:MJX17"/>
    <mergeCell ref="MJY17:MJZ17"/>
    <mergeCell ref="MKA17:MKF17"/>
    <mergeCell ref="MKG17:MKJ17"/>
    <mergeCell ref="MKK17:MKL17"/>
    <mergeCell ref="MKM17:MKN17"/>
    <mergeCell ref="MKO17:MKP17"/>
    <mergeCell ref="MKQ17:MKV17"/>
    <mergeCell ref="MKW17:MKZ17"/>
    <mergeCell ref="MIS17:MIT17"/>
    <mergeCell ref="MIU17:MIZ17"/>
    <mergeCell ref="MJA17:MJD17"/>
    <mergeCell ref="MJE17:MJF17"/>
    <mergeCell ref="MJG17:MJH17"/>
    <mergeCell ref="MJI17:MJJ17"/>
    <mergeCell ref="MJK17:MJP17"/>
    <mergeCell ref="MJQ17:MJT17"/>
    <mergeCell ref="MJU17:MJV17"/>
    <mergeCell ref="MHO17:MHT17"/>
    <mergeCell ref="MHU17:MHX17"/>
    <mergeCell ref="MHY17:MHZ17"/>
    <mergeCell ref="MIA17:MIB17"/>
    <mergeCell ref="MIC17:MID17"/>
    <mergeCell ref="MIE17:MIJ17"/>
    <mergeCell ref="MIK17:MIN17"/>
    <mergeCell ref="MIO17:MIP17"/>
    <mergeCell ref="MIQ17:MIR17"/>
    <mergeCell ref="MGO17:MGR17"/>
    <mergeCell ref="MGS17:MGT17"/>
    <mergeCell ref="MGU17:MGV17"/>
    <mergeCell ref="MGW17:MGX17"/>
    <mergeCell ref="MGY17:MHD17"/>
    <mergeCell ref="MHE17:MHH17"/>
    <mergeCell ref="MHI17:MHJ17"/>
    <mergeCell ref="MHK17:MHL17"/>
    <mergeCell ref="MHM17:MHN17"/>
    <mergeCell ref="MFM17:MFN17"/>
    <mergeCell ref="MFO17:MFP17"/>
    <mergeCell ref="MFQ17:MFR17"/>
    <mergeCell ref="MFS17:MFX17"/>
    <mergeCell ref="MFY17:MGB17"/>
    <mergeCell ref="MGC17:MGD17"/>
    <mergeCell ref="MGE17:MGF17"/>
    <mergeCell ref="MGG17:MGH17"/>
    <mergeCell ref="MGI17:MGN17"/>
    <mergeCell ref="MEI17:MEJ17"/>
    <mergeCell ref="MEK17:MEL17"/>
    <mergeCell ref="MEM17:MER17"/>
    <mergeCell ref="MES17:MEV17"/>
    <mergeCell ref="MEW17:MEX17"/>
    <mergeCell ref="MEY17:MEZ17"/>
    <mergeCell ref="MFA17:MFB17"/>
    <mergeCell ref="MFC17:MFH17"/>
    <mergeCell ref="MFI17:MFL17"/>
    <mergeCell ref="MDE17:MDF17"/>
    <mergeCell ref="MDG17:MDL17"/>
    <mergeCell ref="MDM17:MDP17"/>
    <mergeCell ref="MDQ17:MDR17"/>
    <mergeCell ref="MDS17:MDT17"/>
    <mergeCell ref="MDU17:MDV17"/>
    <mergeCell ref="MDW17:MEB17"/>
    <mergeCell ref="MEC17:MEF17"/>
    <mergeCell ref="MEG17:MEH17"/>
    <mergeCell ref="MCA17:MCF17"/>
    <mergeCell ref="MCG17:MCJ17"/>
    <mergeCell ref="MCK17:MCL17"/>
    <mergeCell ref="MCM17:MCN17"/>
    <mergeCell ref="MCO17:MCP17"/>
    <mergeCell ref="MCQ17:MCV17"/>
    <mergeCell ref="MCW17:MCZ17"/>
    <mergeCell ref="MDA17:MDB17"/>
    <mergeCell ref="MDC17:MDD17"/>
    <mergeCell ref="MBA17:MBD17"/>
    <mergeCell ref="MBE17:MBF17"/>
    <mergeCell ref="MBG17:MBH17"/>
    <mergeCell ref="MBI17:MBJ17"/>
    <mergeCell ref="MBK17:MBP17"/>
    <mergeCell ref="MBQ17:MBT17"/>
    <mergeCell ref="MBU17:MBV17"/>
    <mergeCell ref="MBW17:MBX17"/>
    <mergeCell ref="MBY17:MBZ17"/>
    <mergeCell ref="LZY17:LZZ17"/>
    <mergeCell ref="MAA17:MAB17"/>
    <mergeCell ref="MAC17:MAD17"/>
    <mergeCell ref="MAE17:MAJ17"/>
    <mergeCell ref="MAK17:MAN17"/>
    <mergeCell ref="MAO17:MAP17"/>
    <mergeCell ref="MAQ17:MAR17"/>
    <mergeCell ref="MAS17:MAT17"/>
    <mergeCell ref="MAU17:MAZ17"/>
    <mergeCell ref="LYU17:LYV17"/>
    <mergeCell ref="LYW17:LYX17"/>
    <mergeCell ref="LYY17:LZD17"/>
    <mergeCell ref="LZE17:LZH17"/>
    <mergeCell ref="LZI17:LZJ17"/>
    <mergeCell ref="LZK17:LZL17"/>
    <mergeCell ref="LZM17:LZN17"/>
    <mergeCell ref="LZO17:LZT17"/>
    <mergeCell ref="LZU17:LZX17"/>
    <mergeCell ref="LXQ17:LXR17"/>
    <mergeCell ref="LXS17:LXX17"/>
    <mergeCell ref="LXY17:LYB17"/>
    <mergeCell ref="LYC17:LYD17"/>
    <mergeCell ref="LYE17:LYF17"/>
    <mergeCell ref="LYG17:LYH17"/>
    <mergeCell ref="LYI17:LYN17"/>
    <mergeCell ref="LYO17:LYR17"/>
    <mergeCell ref="LYS17:LYT17"/>
    <mergeCell ref="LWM17:LWR17"/>
    <mergeCell ref="LWS17:LWV17"/>
    <mergeCell ref="LWW17:LWX17"/>
    <mergeCell ref="LWY17:LWZ17"/>
    <mergeCell ref="LXA17:LXB17"/>
    <mergeCell ref="LXC17:LXH17"/>
    <mergeCell ref="LXI17:LXL17"/>
    <mergeCell ref="LXM17:LXN17"/>
    <mergeCell ref="LXO17:LXP17"/>
    <mergeCell ref="LVM17:LVP17"/>
    <mergeCell ref="LVQ17:LVR17"/>
    <mergeCell ref="LVS17:LVT17"/>
    <mergeCell ref="LVU17:LVV17"/>
    <mergeCell ref="LVW17:LWB17"/>
    <mergeCell ref="LWC17:LWF17"/>
    <mergeCell ref="LWG17:LWH17"/>
    <mergeCell ref="LWI17:LWJ17"/>
    <mergeCell ref="LWK17:LWL17"/>
    <mergeCell ref="LUK17:LUL17"/>
    <mergeCell ref="LUM17:LUN17"/>
    <mergeCell ref="LUO17:LUP17"/>
    <mergeCell ref="LUQ17:LUV17"/>
    <mergeCell ref="LUW17:LUZ17"/>
    <mergeCell ref="LVA17:LVB17"/>
    <mergeCell ref="LVC17:LVD17"/>
    <mergeCell ref="LVE17:LVF17"/>
    <mergeCell ref="LVG17:LVL17"/>
    <mergeCell ref="LTG17:LTH17"/>
    <mergeCell ref="LTI17:LTJ17"/>
    <mergeCell ref="LTK17:LTP17"/>
    <mergeCell ref="LTQ17:LTT17"/>
    <mergeCell ref="LTU17:LTV17"/>
    <mergeCell ref="LTW17:LTX17"/>
    <mergeCell ref="LTY17:LTZ17"/>
    <mergeCell ref="LUA17:LUF17"/>
    <mergeCell ref="LUG17:LUJ17"/>
    <mergeCell ref="LSC17:LSD17"/>
    <mergeCell ref="LSE17:LSJ17"/>
    <mergeCell ref="LSK17:LSN17"/>
    <mergeCell ref="LSO17:LSP17"/>
    <mergeCell ref="LSQ17:LSR17"/>
    <mergeCell ref="LSS17:LST17"/>
    <mergeCell ref="LSU17:LSZ17"/>
    <mergeCell ref="LTA17:LTD17"/>
    <mergeCell ref="LTE17:LTF17"/>
    <mergeCell ref="LQY17:LRD17"/>
    <mergeCell ref="LRE17:LRH17"/>
    <mergeCell ref="LRI17:LRJ17"/>
    <mergeCell ref="LRK17:LRL17"/>
    <mergeCell ref="LRM17:LRN17"/>
    <mergeCell ref="LRO17:LRT17"/>
    <mergeCell ref="LRU17:LRX17"/>
    <mergeCell ref="LRY17:LRZ17"/>
    <mergeCell ref="LSA17:LSB17"/>
    <mergeCell ref="LPY17:LQB17"/>
    <mergeCell ref="LQC17:LQD17"/>
    <mergeCell ref="LQE17:LQF17"/>
    <mergeCell ref="LQG17:LQH17"/>
    <mergeCell ref="LQI17:LQN17"/>
    <mergeCell ref="LQO17:LQR17"/>
    <mergeCell ref="LQS17:LQT17"/>
    <mergeCell ref="LQU17:LQV17"/>
    <mergeCell ref="LQW17:LQX17"/>
    <mergeCell ref="LOW17:LOX17"/>
    <mergeCell ref="LOY17:LOZ17"/>
    <mergeCell ref="LPA17:LPB17"/>
    <mergeCell ref="LPC17:LPH17"/>
    <mergeCell ref="LPI17:LPL17"/>
    <mergeCell ref="LPM17:LPN17"/>
    <mergeCell ref="LPO17:LPP17"/>
    <mergeCell ref="LPQ17:LPR17"/>
    <mergeCell ref="LPS17:LPX17"/>
    <mergeCell ref="LNS17:LNT17"/>
    <mergeCell ref="LNU17:LNV17"/>
    <mergeCell ref="LNW17:LOB17"/>
    <mergeCell ref="LOC17:LOF17"/>
    <mergeCell ref="LOG17:LOH17"/>
    <mergeCell ref="LOI17:LOJ17"/>
    <mergeCell ref="LOK17:LOL17"/>
    <mergeCell ref="LOM17:LOR17"/>
    <mergeCell ref="LOS17:LOV17"/>
    <mergeCell ref="LMO17:LMP17"/>
    <mergeCell ref="LMQ17:LMV17"/>
    <mergeCell ref="LMW17:LMZ17"/>
    <mergeCell ref="LNA17:LNB17"/>
    <mergeCell ref="LNC17:LND17"/>
    <mergeCell ref="LNE17:LNF17"/>
    <mergeCell ref="LNG17:LNL17"/>
    <mergeCell ref="LNM17:LNP17"/>
    <mergeCell ref="LNQ17:LNR17"/>
    <mergeCell ref="LLK17:LLP17"/>
    <mergeCell ref="LLQ17:LLT17"/>
    <mergeCell ref="LLU17:LLV17"/>
    <mergeCell ref="LLW17:LLX17"/>
    <mergeCell ref="LLY17:LLZ17"/>
    <mergeCell ref="LMA17:LMF17"/>
    <mergeCell ref="LMG17:LMJ17"/>
    <mergeCell ref="LMK17:LML17"/>
    <mergeCell ref="LMM17:LMN17"/>
    <mergeCell ref="LKK17:LKN17"/>
    <mergeCell ref="LKO17:LKP17"/>
    <mergeCell ref="LKQ17:LKR17"/>
    <mergeCell ref="LKS17:LKT17"/>
    <mergeCell ref="LKU17:LKZ17"/>
    <mergeCell ref="LLA17:LLD17"/>
    <mergeCell ref="LLE17:LLF17"/>
    <mergeCell ref="LLG17:LLH17"/>
    <mergeCell ref="LLI17:LLJ17"/>
    <mergeCell ref="LJI17:LJJ17"/>
    <mergeCell ref="LJK17:LJL17"/>
    <mergeCell ref="LJM17:LJN17"/>
    <mergeCell ref="LJO17:LJT17"/>
    <mergeCell ref="LJU17:LJX17"/>
    <mergeCell ref="LJY17:LJZ17"/>
    <mergeCell ref="LKA17:LKB17"/>
    <mergeCell ref="LKC17:LKD17"/>
    <mergeCell ref="LKE17:LKJ17"/>
    <mergeCell ref="LIE17:LIF17"/>
    <mergeCell ref="LIG17:LIH17"/>
    <mergeCell ref="LII17:LIN17"/>
    <mergeCell ref="LIO17:LIR17"/>
    <mergeCell ref="LIS17:LIT17"/>
    <mergeCell ref="LIU17:LIV17"/>
    <mergeCell ref="LIW17:LIX17"/>
    <mergeCell ref="LIY17:LJD17"/>
    <mergeCell ref="LJE17:LJH17"/>
    <mergeCell ref="LHA17:LHB17"/>
    <mergeCell ref="LHC17:LHH17"/>
    <mergeCell ref="LHI17:LHL17"/>
    <mergeCell ref="LHM17:LHN17"/>
    <mergeCell ref="LHO17:LHP17"/>
    <mergeCell ref="LHQ17:LHR17"/>
    <mergeCell ref="LHS17:LHX17"/>
    <mergeCell ref="LHY17:LIB17"/>
    <mergeCell ref="LIC17:LID17"/>
    <mergeCell ref="LFW17:LGB17"/>
    <mergeCell ref="LGC17:LGF17"/>
    <mergeCell ref="LGG17:LGH17"/>
    <mergeCell ref="LGI17:LGJ17"/>
    <mergeCell ref="LGK17:LGL17"/>
    <mergeCell ref="LGM17:LGR17"/>
    <mergeCell ref="LGS17:LGV17"/>
    <mergeCell ref="LGW17:LGX17"/>
    <mergeCell ref="LGY17:LGZ17"/>
    <mergeCell ref="LEW17:LEZ17"/>
    <mergeCell ref="LFA17:LFB17"/>
    <mergeCell ref="LFC17:LFD17"/>
    <mergeCell ref="LFE17:LFF17"/>
    <mergeCell ref="LFG17:LFL17"/>
    <mergeCell ref="LFM17:LFP17"/>
    <mergeCell ref="LFQ17:LFR17"/>
    <mergeCell ref="LFS17:LFT17"/>
    <mergeCell ref="LFU17:LFV17"/>
    <mergeCell ref="LDU17:LDV17"/>
    <mergeCell ref="LDW17:LDX17"/>
    <mergeCell ref="LDY17:LDZ17"/>
    <mergeCell ref="LEA17:LEF17"/>
    <mergeCell ref="LEG17:LEJ17"/>
    <mergeCell ref="LEK17:LEL17"/>
    <mergeCell ref="LEM17:LEN17"/>
    <mergeCell ref="LEO17:LEP17"/>
    <mergeCell ref="LEQ17:LEV17"/>
    <mergeCell ref="LCQ17:LCR17"/>
    <mergeCell ref="LCS17:LCT17"/>
    <mergeCell ref="LCU17:LCZ17"/>
    <mergeCell ref="LDA17:LDD17"/>
    <mergeCell ref="LDE17:LDF17"/>
    <mergeCell ref="LDG17:LDH17"/>
    <mergeCell ref="LDI17:LDJ17"/>
    <mergeCell ref="LDK17:LDP17"/>
    <mergeCell ref="LDQ17:LDT17"/>
    <mergeCell ref="LBM17:LBN17"/>
    <mergeCell ref="LBO17:LBT17"/>
    <mergeCell ref="LBU17:LBX17"/>
    <mergeCell ref="LBY17:LBZ17"/>
    <mergeCell ref="LCA17:LCB17"/>
    <mergeCell ref="LCC17:LCD17"/>
    <mergeCell ref="LCE17:LCJ17"/>
    <mergeCell ref="LCK17:LCN17"/>
    <mergeCell ref="LCO17:LCP17"/>
    <mergeCell ref="LAI17:LAN17"/>
    <mergeCell ref="LAO17:LAR17"/>
    <mergeCell ref="LAS17:LAT17"/>
    <mergeCell ref="LAU17:LAV17"/>
    <mergeCell ref="LAW17:LAX17"/>
    <mergeCell ref="LAY17:LBD17"/>
    <mergeCell ref="LBE17:LBH17"/>
    <mergeCell ref="LBI17:LBJ17"/>
    <mergeCell ref="LBK17:LBL17"/>
    <mergeCell ref="KZI17:KZL17"/>
    <mergeCell ref="KZM17:KZN17"/>
    <mergeCell ref="KZO17:KZP17"/>
    <mergeCell ref="KZQ17:KZR17"/>
    <mergeCell ref="KZS17:KZX17"/>
    <mergeCell ref="KZY17:LAB17"/>
    <mergeCell ref="LAC17:LAD17"/>
    <mergeCell ref="LAE17:LAF17"/>
    <mergeCell ref="LAG17:LAH17"/>
    <mergeCell ref="KYG17:KYH17"/>
    <mergeCell ref="KYI17:KYJ17"/>
    <mergeCell ref="KYK17:KYL17"/>
    <mergeCell ref="KYM17:KYR17"/>
    <mergeCell ref="KYS17:KYV17"/>
    <mergeCell ref="KYW17:KYX17"/>
    <mergeCell ref="KYY17:KYZ17"/>
    <mergeCell ref="KZA17:KZB17"/>
    <mergeCell ref="KZC17:KZH17"/>
    <mergeCell ref="KXC17:KXD17"/>
    <mergeCell ref="KXE17:KXF17"/>
    <mergeCell ref="KXG17:KXL17"/>
    <mergeCell ref="KXM17:KXP17"/>
    <mergeCell ref="KXQ17:KXR17"/>
    <mergeCell ref="KXS17:KXT17"/>
    <mergeCell ref="KXU17:KXV17"/>
    <mergeCell ref="KXW17:KYB17"/>
    <mergeCell ref="KYC17:KYF17"/>
    <mergeCell ref="KVY17:KVZ17"/>
    <mergeCell ref="KWA17:KWF17"/>
    <mergeCell ref="KWG17:KWJ17"/>
    <mergeCell ref="KWK17:KWL17"/>
    <mergeCell ref="KWM17:KWN17"/>
    <mergeCell ref="KWO17:KWP17"/>
    <mergeCell ref="KWQ17:KWV17"/>
    <mergeCell ref="KWW17:KWZ17"/>
    <mergeCell ref="KXA17:KXB17"/>
    <mergeCell ref="KUU17:KUZ17"/>
    <mergeCell ref="KVA17:KVD17"/>
    <mergeCell ref="KVE17:KVF17"/>
    <mergeCell ref="KVG17:KVH17"/>
    <mergeCell ref="KVI17:KVJ17"/>
    <mergeCell ref="KVK17:KVP17"/>
    <mergeCell ref="KVQ17:KVT17"/>
    <mergeCell ref="KVU17:KVV17"/>
    <mergeCell ref="KVW17:KVX17"/>
    <mergeCell ref="KTU17:KTX17"/>
    <mergeCell ref="KTY17:KTZ17"/>
    <mergeCell ref="KUA17:KUB17"/>
    <mergeCell ref="KUC17:KUD17"/>
    <mergeCell ref="KUE17:KUJ17"/>
    <mergeCell ref="KUK17:KUN17"/>
    <mergeCell ref="KUO17:KUP17"/>
    <mergeCell ref="KUQ17:KUR17"/>
    <mergeCell ref="KUS17:KUT17"/>
    <mergeCell ref="KSS17:KST17"/>
    <mergeCell ref="KSU17:KSV17"/>
    <mergeCell ref="KSW17:KSX17"/>
    <mergeCell ref="KSY17:KTD17"/>
    <mergeCell ref="KTE17:KTH17"/>
    <mergeCell ref="KTI17:KTJ17"/>
    <mergeCell ref="KTK17:KTL17"/>
    <mergeCell ref="KTM17:KTN17"/>
    <mergeCell ref="KTO17:KTT17"/>
    <mergeCell ref="KRO17:KRP17"/>
    <mergeCell ref="KRQ17:KRR17"/>
    <mergeCell ref="KRS17:KRX17"/>
    <mergeCell ref="KRY17:KSB17"/>
    <mergeCell ref="KSC17:KSD17"/>
    <mergeCell ref="KSE17:KSF17"/>
    <mergeCell ref="KSG17:KSH17"/>
    <mergeCell ref="KSI17:KSN17"/>
    <mergeCell ref="KSO17:KSR17"/>
    <mergeCell ref="KQK17:KQL17"/>
    <mergeCell ref="KQM17:KQR17"/>
    <mergeCell ref="KQS17:KQV17"/>
    <mergeCell ref="KQW17:KQX17"/>
    <mergeCell ref="KQY17:KQZ17"/>
    <mergeCell ref="KRA17:KRB17"/>
    <mergeCell ref="KRC17:KRH17"/>
    <mergeCell ref="KRI17:KRL17"/>
    <mergeCell ref="KRM17:KRN17"/>
    <mergeCell ref="KPG17:KPL17"/>
    <mergeCell ref="KPM17:KPP17"/>
    <mergeCell ref="KPQ17:KPR17"/>
    <mergeCell ref="KPS17:KPT17"/>
    <mergeCell ref="KPU17:KPV17"/>
    <mergeCell ref="KPW17:KQB17"/>
    <mergeCell ref="KQC17:KQF17"/>
    <mergeCell ref="KQG17:KQH17"/>
    <mergeCell ref="KQI17:KQJ17"/>
    <mergeCell ref="KOG17:KOJ17"/>
    <mergeCell ref="KOK17:KOL17"/>
    <mergeCell ref="KOM17:KON17"/>
    <mergeCell ref="KOO17:KOP17"/>
    <mergeCell ref="KOQ17:KOV17"/>
    <mergeCell ref="KOW17:KOZ17"/>
    <mergeCell ref="KPA17:KPB17"/>
    <mergeCell ref="KPC17:KPD17"/>
    <mergeCell ref="KPE17:KPF17"/>
    <mergeCell ref="KNE17:KNF17"/>
    <mergeCell ref="KNG17:KNH17"/>
    <mergeCell ref="KNI17:KNJ17"/>
    <mergeCell ref="KNK17:KNP17"/>
    <mergeCell ref="KNQ17:KNT17"/>
    <mergeCell ref="KNU17:KNV17"/>
    <mergeCell ref="KNW17:KNX17"/>
    <mergeCell ref="KNY17:KNZ17"/>
    <mergeCell ref="KOA17:KOF17"/>
    <mergeCell ref="KMA17:KMB17"/>
    <mergeCell ref="KMC17:KMD17"/>
    <mergeCell ref="KME17:KMJ17"/>
    <mergeCell ref="KMK17:KMN17"/>
    <mergeCell ref="KMO17:KMP17"/>
    <mergeCell ref="KMQ17:KMR17"/>
    <mergeCell ref="KMS17:KMT17"/>
    <mergeCell ref="KMU17:KMZ17"/>
    <mergeCell ref="KNA17:KND17"/>
    <mergeCell ref="KKW17:KKX17"/>
    <mergeCell ref="KKY17:KLD17"/>
    <mergeCell ref="KLE17:KLH17"/>
    <mergeCell ref="KLI17:KLJ17"/>
    <mergeCell ref="KLK17:KLL17"/>
    <mergeCell ref="KLM17:KLN17"/>
    <mergeCell ref="KLO17:KLT17"/>
    <mergeCell ref="KLU17:KLX17"/>
    <mergeCell ref="KLY17:KLZ17"/>
    <mergeCell ref="KJS17:KJX17"/>
    <mergeCell ref="KJY17:KKB17"/>
    <mergeCell ref="KKC17:KKD17"/>
    <mergeCell ref="KKE17:KKF17"/>
    <mergeCell ref="KKG17:KKH17"/>
    <mergeCell ref="KKI17:KKN17"/>
    <mergeCell ref="KKO17:KKR17"/>
    <mergeCell ref="KKS17:KKT17"/>
    <mergeCell ref="KKU17:KKV17"/>
    <mergeCell ref="KIS17:KIV17"/>
    <mergeCell ref="KIW17:KIX17"/>
    <mergeCell ref="KIY17:KIZ17"/>
    <mergeCell ref="KJA17:KJB17"/>
    <mergeCell ref="KJC17:KJH17"/>
    <mergeCell ref="KJI17:KJL17"/>
    <mergeCell ref="KJM17:KJN17"/>
    <mergeCell ref="KJO17:KJP17"/>
    <mergeCell ref="KJQ17:KJR17"/>
    <mergeCell ref="KHQ17:KHR17"/>
    <mergeCell ref="KHS17:KHT17"/>
    <mergeCell ref="KHU17:KHV17"/>
    <mergeCell ref="KHW17:KIB17"/>
    <mergeCell ref="KIC17:KIF17"/>
    <mergeCell ref="KIG17:KIH17"/>
    <mergeCell ref="KII17:KIJ17"/>
    <mergeCell ref="KIK17:KIL17"/>
    <mergeCell ref="KIM17:KIR17"/>
    <mergeCell ref="KGM17:KGN17"/>
    <mergeCell ref="KGO17:KGP17"/>
    <mergeCell ref="KGQ17:KGV17"/>
    <mergeCell ref="KGW17:KGZ17"/>
    <mergeCell ref="KHA17:KHB17"/>
    <mergeCell ref="KHC17:KHD17"/>
    <mergeCell ref="KHE17:KHF17"/>
    <mergeCell ref="KHG17:KHL17"/>
    <mergeCell ref="KHM17:KHP17"/>
    <mergeCell ref="KFI17:KFJ17"/>
    <mergeCell ref="KFK17:KFP17"/>
    <mergeCell ref="KFQ17:KFT17"/>
    <mergeCell ref="KFU17:KFV17"/>
    <mergeCell ref="KFW17:KFX17"/>
    <mergeCell ref="KFY17:KFZ17"/>
    <mergeCell ref="KGA17:KGF17"/>
    <mergeCell ref="KGG17:KGJ17"/>
    <mergeCell ref="KGK17:KGL17"/>
    <mergeCell ref="KEE17:KEJ17"/>
    <mergeCell ref="KEK17:KEN17"/>
    <mergeCell ref="KEO17:KEP17"/>
    <mergeCell ref="KEQ17:KER17"/>
    <mergeCell ref="KES17:KET17"/>
    <mergeCell ref="KEU17:KEZ17"/>
    <mergeCell ref="KFA17:KFD17"/>
    <mergeCell ref="KFE17:KFF17"/>
    <mergeCell ref="KFG17:KFH17"/>
    <mergeCell ref="KDE17:KDH17"/>
    <mergeCell ref="KDI17:KDJ17"/>
    <mergeCell ref="KDK17:KDL17"/>
    <mergeCell ref="KDM17:KDN17"/>
    <mergeCell ref="KDO17:KDT17"/>
    <mergeCell ref="KDU17:KDX17"/>
    <mergeCell ref="KDY17:KDZ17"/>
    <mergeCell ref="KEA17:KEB17"/>
    <mergeCell ref="KEC17:KED17"/>
    <mergeCell ref="KCC17:KCD17"/>
    <mergeCell ref="KCE17:KCF17"/>
    <mergeCell ref="KCG17:KCH17"/>
    <mergeCell ref="KCI17:KCN17"/>
    <mergeCell ref="KCO17:KCR17"/>
    <mergeCell ref="KCS17:KCT17"/>
    <mergeCell ref="KCU17:KCV17"/>
    <mergeCell ref="KCW17:KCX17"/>
    <mergeCell ref="KCY17:KDD17"/>
    <mergeCell ref="KAY17:KAZ17"/>
    <mergeCell ref="KBA17:KBB17"/>
    <mergeCell ref="KBC17:KBH17"/>
    <mergeCell ref="KBI17:KBL17"/>
    <mergeCell ref="KBM17:KBN17"/>
    <mergeCell ref="KBO17:KBP17"/>
    <mergeCell ref="KBQ17:KBR17"/>
    <mergeCell ref="KBS17:KBX17"/>
    <mergeCell ref="KBY17:KCB17"/>
    <mergeCell ref="JZU17:JZV17"/>
    <mergeCell ref="JZW17:KAB17"/>
    <mergeCell ref="KAC17:KAF17"/>
    <mergeCell ref="KAG17:KAH17"/>
    <mergeCell ref="KAI17:KAJ17"/>
    <mergeCell ref="KAK17:KAL17"/>
    <mergeCell ref="KAM17:KAR17"/>
    <mergeCell ref="KAS17:KAV17"/>
    <mergeCell ref="KAW17:KAX17"/>
    <mergeCell ref="JYQ17:JYV17"/>
    <mergeCell ref="JYW17:JYZ17"/>
    <mergeCell ref="JZA17:JZB17"/>
    <mergeCell ref="JZC17:JZD17"/>
    <mergeCell ref="JZE17:JZF17"/>
    <mergeCell ref="JZG17:JZL17"/>
    <mergeCell ref="JZM17:JZP17"/>
    <mergeCell ref="JZQ17:JZR17"/>
    <mergeCell ref="JZS17:JZT17"/>
    <mergeCell ref="JXQ17:JXT17"/>
    <mergeCell ref="JXU17:JXV17"/>
    <mergeCell ref="JXW17:JXX17"/>
    <mergeCell ref="JXY17:JXZ17"/>
    <mergeCell ref="JYA17:JYF17"/>
    <mergeCell ref="JYG17:JYJ17"/>
    <mergeCell ref="JYK17:JYL17"/>
    <mergeCell ref="JYM17:JYN17"/>
    <mergeCell ref="JYO17:JYP17"/>
    <mergeCell ref="JWO17:JWP17"/>
    <mergeCell ref="JWQ17:JWR17"/>
    <mergeCell ref="JWS17:JWT17"/>
    <mergeCell ref="JWU17:JWZ17"/>
    <mergeCell ref="JXA17:JXD17"/>
    <mergeCell ref="JXE17:JXF17"/>
    <mergeCell ref="JXG17:JXH17"/>
    <mergeCell ref="JXI17:JXJ17"/>
    <mergeCell ref="JXK17:JXP17"/>
    <mergeCell ref="JVK17:JVL17"/>
    <mergeCell ref="JVM17:JVN17"/>
    <mergeCell ref="JVO17:JVT17"/>
    <mergeCell ref="JVU17:JVX17"/>
    <mergeCell ref="JVY17:JVZ17"/>
    <mergeCell ref="JWA17:JWB17"/>
    <mergeCell ref="JWC17:JWD17"/>
    <mergeCell ref="JWE17:JWJ17"/>
    <mergeCell ref="JWK17:JWN17"/>
    <mergeCell ref="JUG17:JUH17"/>
    <mergeCell ref="JUI17:JUN17"/>
    <mergeCell ref="JUO17:JUR17"/>
    <mergeCell ref="JUS17:JUT17"/>
    <mergeCell ref="JUU17:JUV17"/>
    <mergeCell ref="JUW17:JUX17"/>
    <mergeCell ref="JUY17:JVD17"/>
    <mergeCell ref="JVE17:JVH17"/>
    <mergeCell ref="JVI17:JVJ17"/>
    <mergeCell ref="JTC17:JTH17"/>
    <mergeCell ref="JTI17:JTL17"/>
    <mergeCell ref="JTM17:JTN17"/>
    <mergeCell ref="JTO17:JTP17"/>
    <mergeCell ref="JTQ17:JTR17"/>
    <mergeCell ref="JTS17:JTX17"/>
    <mergeCell ref="JTY17:JUB17"/>
    <mergeCell ref="JUC17:JUD17"/>
    <mergeCell ref="JUE17:JUF17"/>
    <mergeCell ref="JSC17:JSF17"/>
    <mergeCell ref="JSG17:JSH17"/>
    <mergeCell ref="JSI17:JSJ17"/>
    <mergeCell ref="JSK17:JSL17"/>
    <mergeCell ref="JSM17:JSR17"/>
    <mergeCell ref="JSS17:JSV17"/>
    <mergeCell ref="JSW17:JSX17"/>
    <mergeCell ref="JSY17:JSZ17"/>
    <mergeCell ref="JTA17:JTB17"/>
    <mergeCell ref="JRA17:JRB17"/>
    <mergeCell ref="JRC17:JRD17"/>
    <mergeCell ref="JRE17:JRF17"/>
    <mergeCell ref="JRG17:JRL17"/>
    <mergeCell ref="JRM17:JRP17"/>
    <mergeCell ref="JRQ17:JRR17"/>
    <mergeCell ref="JRS17:JRT17"/>
    <mergeCell ref="JRU17:JRV17"/>
    <mergeCell ref="JRW17:JSB17"/>
    <mergeCell ref="JPW17:JPX17"/>
    <mergeCell ref="JPY17:JPZ17"/>
    <mergeCell ref="JQA17:JQF17"/>
    <mergeCell ref="JQG17:JQJ17"/>
    <mergeCell ref="JQK17:JQL17"/>
    <mergeCell ref="JQM17:JQN17"/>
    <mergeCell ref="JQO17:JQP17"/>
    <mergeCell ref="JQQ17:JQV17"/>
    <mergeCell ref="JQW17:JQZ17"/>
    <mergeCell ref="JOS17:JOT17"/>
    <mergeCell ref="JOU17:JOZ17"/>
    <mergeCell ref="JPA17:JPD17"/>
    <mergeCell ref="JPE17:JPF17"/>
    <mergeCell ref="JPG17:JPH17"/>
    <mergeCell ref="JPI17:JPJ17"/>
    <mergeCell ref="JPK17:JPP17"/>
    <mergeCell ref="JPQ17:JPT17"/>
    <mergeCell ref="JPU17:JPV17"/>
    <mergeCell ref="JNO17:JNT17"/>
    <mergeCell ref="JNU17:JNX17"/>
    <mergeCell ref="JNY17:JNZ17"/>
    <mergeCell ref="JOA17:JOB17"/>
    <mergeCell ref="JOC17:JOD17"/>
    <mergeCell ref="JOE17:JOJ17"/>
    <mergeCell ref="JOK17:JON17"/>
    <mergeCell ref="JOO17:JOP17"/>
    <mergeCell ref="JOQ17:JOR17"/>
    <mergeCell ref="JMO17:JMR17"/>
    <mergeCell ref="JMS17:JMT17"/>
    <mergeCell ref="JMU17:JMV17"/>
    <mergeCell ref="JMW17:JMX17"/>
    <mergeCell ref="JMY17:JND17"/>
    <mergeCell ref="JNE17:JNH17"/>
    <mergeCell ref="JNI17:JNJ17"/>
    <mergeCell ref="JNK17:JNL17"/>
    <mergeCell ref="JNM17:JNN17"/>
    <mergeCell ref="JLM17:JLN17"/>
    <mergeCell ref="JLO17:JLP17"/>
    <mergeCell ref="JLQ17:JLR17"/>
    <mergeCell ref="JLS17:JLX17"/>
    <mergeCell ref="JLY17:JMB17"/>
    <mergeCell ref="JMC17:JMD17"/>
    <mergeCell ref="JME17:JMF17"/>
    <mergeCell ref="JMG17:JMH17"/>
    <mergeCell ref="JMI17:JMN17"/>
    <mergeCell ref="JKI17:JKJ17"/>
    <mergeCell ref="JKK17:JKL17"/>
    <mergeCell ref="JKM17:JKR17"/>
    <mergeCell ref="JKS17:JKV17"/>
    <mergeCell ref="JKW17:JKX17"/>
    <mergeCell ref="JKY17:JKZ17"/>
    <mergeCell ref="JLA17:JLB17"/>
    <mergeCell ref="JLC17:JLH17"/>
    <mergeCell ref="JLI17:JLL17"/>
    <mergeCell ref="JJE17:JJF17"/>
    <mergeCell ref="JJG17:JJL17"/>
    <mergeCell ref="JJM17:JJP17"/>
    <mergeCell ref="JJQ17:JJR17"/>
    <mergeCell ref="JJS17:JJT17"/>
    <mergeCell ref="JJU17:JJV17"/>
    <mergeCell ref="JJW17:JKB17"/>
    <mergeCell ref="JKC17:JKF17"/>
    <mergeCell ref="JKG17:JKH17"/>
    <mergeCell ref="JIA17:JIF17"/>
    <mergeCell ref="JIG17:JIJ17"/>
    <mergeCell ref="JIK17:JIL17"/>
    <mergeCell ref="JIM17:JIN17"/>
    <mergeCell ref="JIO17:JIP17"/>
    <mergeCell ref="JIQ17:JIV17"/>
    <mergeCell ref="JIW17:JIZ17"/>
    <mergeCell ref="JJA17:JJB17"/>
    <mergeCell ref="JJC17:JJD17"/>
    <mergeCell ref="JHA17:JHD17"/>
    <mergeCell ref="JHE17:JHF17"/>
    <mergeCell ref="JHG17:JHH17"/>
    <mergeCell ref="JHI17:JHJ17"/>
    <mergeCell ref="JHK17:JHP17"/>
    <mergeCell ref="JHQ17:JHT17"/>
    <mergeCell ref="JHU17:JHV17"/>
    <mergeCell ref="JHW17:JHX17"/>
    <mergeCell ref="JHY17:JHZ17"/>
    <mergeCell ref="JFY17:JFZ17"/>
    <mergeCell ref="JGA17:JGB17"/>
    <mergeCell ref="JGC17:JGD17"/>
    <mergeCell ref="JGE17:JGJ17"/>
    <mergeCell ref="JGK17:JGN17"/>
    <mergeCell ref="JGO17:JGP17"/>
    <mergeCell ref="JGQ17:JGR17"/>
    <mergeCell ref="JGS17:JGT17"/>
    <mergeCell ref="JGU17:JGZ17"/>
    <mergeCell ref="JEU17:JEV17"/>
    <mergeCell ref="JEW17:JEX17"/>
    <mergeCell ref="JEY17:JFD17"/>
    <mergeCell ref="JFE17:JFH17"/>
    <mergeCell ref="JFI17:JFJ17"/>
    <mergeCell ref="JFK17:JFL17"/>
    <mergeCell ref="JFM17:JFN17"/>
    <mergeCell ref="JFO17:JFT17"/>
    <mergeCell ref="JFU17:JFX17"/>
    <mergeCell ref="JDQ17:JDR17"/>
    <mergeCell ref="JDS17:JDX17"/>
    <mergeCell ref="JDY17:JEB17"/>
    <mergeCell ref="JEC17:JED17"/>
    <mergeCell ref="JEE17:JEF17"/>
    <mergeCell ref="JEG17:JEH17"/>
    <mergeCell ref="JEI17:JEN17"/>
    <mergeCell ref="JEO17:JER17"/>
    <mergeCell ref="JES17:JET17"/>
    <mergeCell ref="JCM17:JCR17"/>
    <mergeCell ref="JCS17:JCV17"/>
    <mergeCell ref="JCW17:JCX17"/>
    <mergeCell ref="JCY17:JCZ17"/>
    <mergeCell ref="JDA17:JDB17"/>
    <mergeCell ref="JDC17:JDH17"/>
    <mergeCell ref="JDI17:JDL17"/>
    <mergeCell ref="JDM17:JDN17"/>
    <mergeCell ref="JDO17:JDP17"/>
    <mergeCell ref="JBM17:JBP17"/>
    <mergeCell ref="JBQ17:JBR17"/>
    <mergeCell ref="JBS17:JBT17"/>
    <mergeCell ref="JBU17:JBV17"/>
    <mergeCell ref="JBW17:JCB17"/>
    <mergeCell ref="JCC17:JCF17"/>
    <mergeCell ref="JCG17:JCH17"/>
    <mergeCell ref="JCI17:JCJ17"/>
    <mergeCell ref="JCK17:JCL17"/>
    <mergeCell ref="JAK17:JAL17"/>
    <mergeCell ref="JAM17:JAN17"/>
    <mergeCell ref="JAO17:JAP17"/>
    <mergeCell ref="JAQ17:JAV17"/>
    <mergeCell ref="JAW17:JAZ17"/>
    <mergeCell ref="JBA17:JBB17"/>
    <mergeCell ref="JBC17:JBD17"/>
    <mergeCell ref="JBE17:JBF17"/>
    <mergeCell ref="JBG17:JBL17"/>
    <mergeCell ref="IZG17:IZH17"/>
    <mergeCell ref="IZI17:IZJ17"/>
    <mergeCell ref="IZK17:IZP17"/>
    <mergeCell ref="IZQ17:IZT17"/>
    <mergeCell ref="IZU17:IZV17"/>
    <mergeCell ref="IZW17:IZX17"/>
    <mergeCell ref="IZY17:IZZ17"/>
    <mergeCell ref="JAA17:JAF17"/>
    <mergeCell ref="JAG17:JAJ17"/>
    <mergeCell ref="IYC17:IYD17"/>
    <mergeCell ref="IYE17:IYJ17"/>
    <mergeCell ref="IYK17:IYN17"/>
    <mergeCell ref="IYO17:IYP17"/>
    <mergeCell ref="IYQ17:IYR17"/>
    <mergeCell ref="IYS17:IYT17"/>
    <mergeCell ref="IYU17:IYZ17"/>
    <mergeCell ref="IZA17:IZD17"/>
    <mergeCell ref="IZE17:IZF17"/>
    <mergeCell ref="IWY17:IXD17"/>
    <mergeCell ref="IXE17:IXH17"/>
    <mergeCell ref="IXI17:IXJ17"/>
    <mergeCell ref="IXK17:IXL17"/>
    <mergeCell ref="IXM17:IXN17"/>
    <mergeCell ref="IXO17:IXT17"/>
    <mergeCell ref="IXU17:IXX17"/>
    <mergeCell ref="IXY17:IXZ17"/>
    <mergeCell ref="IYA17:IYB17"/>
    <mergeCell ref="IVY17:IWB17"/>
    <mergeCell ref="IWC17:IWD17"/>
    <mergeCell ref="IWE17:IWF17"/>
    <mergeCell ref="IWG17:IWH17"/>
    <mergeCell ref="IWI17:IWN17"/>
    <mergeCell ref="IWO17:IWR17"/>
    <mergeCell ref="IWS17:IWT17"/>
    <mergeCell ref="IWU17:IWV17"/>
    <mergeCell ref="IWW17:IWX17"/>
    <mergeCell ref="IUW17:IUX17"/>
    <mergeCell ref="IUY17:IUZ17"/>
    <mergeCell ref="IVA17:IVB17"/>
    <mergeCell ref="IVC17:IVH17"/>
    <mergeCell ref="IVI17:IVL17"/>
    <mergeCell ref="IVM17:IVN17"/>
    <mergeCell ref="IVO17:IVP17"/>
    <mergeCell ref="IVQ17:IVR17"/>
    <mergeCell ref="IVS17:IVX17"/>
    <mergeCell ref="ITS17:ITT17"/>
    <mergeCell ref="ITU17:ITV17"/>
    <mergeCell ref="ITW17:IUB17"/>
    <mergeCell ref="IUC17:IUF17"/>
    <mergeCell ref="IUG17:IUH17"/>
    <mergeCell ref="IUI17:IUJ17"/>
    <mergeCell ref="IUK17:IUL17"/>
    <mergeCell ref="IUM17:IUR17"/>
    <mergeCell ref="IUS17:IUV17"/>
    <mergeCell ref="ISO17:ISP17"/>
    <mergeCell ref="ISQ17:ISV17"/>
    <mergeCell ref="ISW17:ISZ17"/>
    <mergeCell ref="ITA17:ITB17"/>
    <mergeCell ref="ITC17:ITD17"/>
    <mergeCell ref="ITE17:ITF17"/>
    <mergeCell ref="ITG17:ITL17"/>
    <mergeCell ref="ITM17:ITP17"/>
    <mergeCell ref="ITQ17:ITR17"/>
    <mergeCell ref="IRK17:IRP17"/>
    <mergeCell ref="IRQ17:IRT17"/>
    <mergeCell ref="IRU17:IRV17"/>
    <mergeCell ref="IRW17:IRX17"/>
    <mergeCell ref="IRY17:IRZ17"/>
    <mergeCell ref="ISA17:ISF17"/>
    <mergeCell ref="ISG17:ISJ17"/>
    <mergeCell ref="ISK17:ISL17"/>
    <mergeCell ref="ISM17:ISN17"/>
    <mergeCell ref="IQK17:IQN17"/>
    <mergeCell ref="IQO17:IQP17"/>
    <mergeCell ref="IQQ17:IQR17"/>
    <mergeCell ref="IQS17:IQT17"/>
    <mergeCell ref="IQU17:IQZ17"/>
    <mergeCell ref="IRA17:IRD17"/>
    <mergeCell ref="IRE17:IRF17"/>
    <mergeCell ref="IRG17:IRH17"/>
    <mergeCell ref="IRI17:IRJ17"/>
    <mergeCell ref="IPI17:IPJ17"/>
    <mergeCell ref="IPK17:IPL17"/>
    <mergeCell ref="IPM17:IPN17"/>
    <mergeCell ref="IPO17:IPT17"/>
    <mergeCell ref="IPU17:IPX17"/>
    <mergeCell ref="IPY17:IPZ17"/>
    <mergeCell ref="IQA17:IQB17"/>
    <mergeCell ref="IQC17:IQD17"/>
    <mergeCell ref="IQE17:IQJ17"/>
    <mergeCell ref="IOE17:IOF17"/>
    <mergeCell ref="IOG17:IOH17"/>
    <mergeCell ref="IOI17:ION17"/>
    <mergeCell ref="IOO17:IOR17"/>
    <mergeCell ref="IOS17:IOT17"/>
    <mergeCell ref="IOU17:IOV17"/>
    <mergeCell ref="IOW17:IOX17"/>
    <mergeCell ref="IOY17:IPD17"/>
    <mergeCell ref="IPE17:IPH17"/>
    <mergeCell ref="INA17:INB17"/>
    <mergeCell ref="INC17:INH17"/>
    <mergeCell ref="INI17:INL17"/>
    <mergeCell ref="INM17:INN17"/>
    <mergeCell ref="INO17:INP17"/>
    <mergeCell ref="INQ17:INR17"/>
    <mergeCell ref="INS17:INX17"/>
    <mergeCell ref="INY17:IOB17"/>
    <mergeCell ref="IOC17:IOD17"/>
    <mergeCell ref="ILW17:IMB17"/>
    <mergeCell ref="IMC17:IMF17"/>
    <mergeCell ref="IMG17:IMH17"/>
    <mergeCell ref="IMI17:IMJ17"/>
    <mergeCell ref="IMK17:IML17"/>
    <mergeCell ref="IMM17:IMR17"/>
    <mergeCell ref="IMS17:IMV17"/>
    <mergeCell ref="IMW17:IMX17"/>
    <mergeCell ref="IMY17:IMZ17"/>
    <mergeCell ref="IKW17:IKZ17"/>
    <mergeCell ref="ILA17:ILB17"/>
    <mergeCell ref="ILC17:ILD17"/>
    <mergeCell ref="ILE17:ILF17"/>
    <mergeCell ref="ILG17:ILL17"/>
    <mergeCell ref="ILM17:ILP17"/>
    <mergeCell ref="ILQ17:ILR17"/>
    <mergeCell ref="ILS17:ILT17"/>
    <mergeCell ref="ILU17:ILV17"/>
    <mergeCell ref="IJU17:IJV17"/>
    <mergeCell ref="IJW17:IJX17"/>
    <mergeCell ref="IJY17:IJZ17"/>
    <mergeCell ref="IKA17:IKF17"/>
    <mergeCell ref="IKG17:IKJ17"/>
    <mergeCell ref="IKK17:IKL17"/>
    <mergeCell ref="IKM17:IKN17"/>
    <mergeCell ref="IKO17:IKP17"/>
    <mergeCell ref="IKQ17:IKV17"/>
    <mergeCell ref="IIQ17:IIR17"/>
    <mergeCell ref="IIS17:IIT17"/>
    <mergeCell ref="IIU17:IIZ17"/>
    <mergeCell ref="IJA17:IJD17"/>
    <mergeCell ref="IJE17:IJF17"/>
    <mergeCell ref="IJG17:IJH17"/>
    <mergeCell ref="IJI17:IJJ17"/>
    <mergeCell ref="IJK17:IJP17"/>
    <mergeCell ref="IJQ17:IJT17"/>
    <mergeCell ref="IHM17:IHN17"/>
    <mergeCell ref="IHO17:IHT17"/>
    <mergeCell ref="IHU17:IHX17"/>
    <mergeCell ref="IHY17:IHZ17"/>
    <mergeCell ref="IIA17:IIB17"/>
    <mergeCell ref="IIC17:IID17"/>
    <mergeCell ref="IIE17:IIJ17"/>
    <mergeCell ref="IIK17:IIN17"/>
    <mergeCell ref="IIO17:IIP17"/>
    <mergeCell ref="IGI17:IGN17"/>
    <mergeCell ref="IGO17:IGR17"/>
    <mergeCell ref="IGS17:IGT17"/>
    <mergeCell ref="IGU17:IGV17"/>
    <mergeCell ref="IGW17:IGX17"/>
    <mergeCell ref="IGY17:IHD17"/>
    <mergeCell ref="IHE17:IHH17"/>
    <mergeCell ref="IHI17:IHJ17"/>
    <mergeCell ref="IHK17:IHL17"/>
    <mergeCell ref="IFI17:IFL17"/>
    <mergeCell ref="IFM17:IFN17"/>
    <mergeCell ref="IFO17:IFP17"/>
    <mergeCell ref="IFQ17:IFR17"/>
    <mergeCell ref="IFS17:IFX17"/>
    <mergeCell ref="IFY17:IGB17"/>
    <mergeCell ref="IGC17:IGD17"/>
    <mergeCell ref="IGE17:IGF17"/>
    <mergeCell ref="IGG17:IGH17"/>
    <mergeCell ref="IEG17:IEH17"/>
    <mergeCell ref="IEI17:IEJ17"/>
    <mergeCell ref="IEK17:IEL17"/>
    <mergeCell ref="IEM17:IER17"/>
    <mergeCell ref="IES17:IEV17"/>
    <mergeCell ref="IEW17:IEX17"/>
    <mergeCell ref="IEY17:IEZ17"/>
    <mergeCell ref="IFA17:IFB17"/>
    <mergeCell ref="IFC17:IFH17"/>
    <mergeCell ref="IDC17:IDD17"/>
    <mergeCell ref="IDE17:IDF17"/>
    <mergeCell ref="IDG17:IDL17"/>
    <mergeCell ref="IDM17:IDP17"/>
    <mergeCell ref="IDQ17:IDR17"/>
    <mergeCell ref="IDS17:IDT17"/>
    <mergeCell ref="IDU17:IDV17"/>
    <mergeCell ref="IDW17:IEB17"/>
    <mergeCell ref="IEC17:IEF17"/>
    <mergeCell ref="IBY17:IBZ17"/>
    <mergeCell ref="ICA17:ICF17"/>
    <mergeCell ref="ICG17:ICJ17"/>
    <mergeCell ref="ICK17:ICL17"/>
    <mergeCell ref="ICM17:ICN17"/>
    <mergeCell ref="ICO17:ICP17"/>
    <mergeCell ref="ICQ17:ICV17"/>
    <mergeCell ref="ICW17:ICZ17"/>
    <mergeCell ref="IDA17:IDB17"/>
    <mergeCell ref="IAU17:IAZ17"/>
    <mergeCell ref="IBA17:IBD17"/>
    <mergeCell ref="IBE17:IBF17"/>
    <mergeCell ref="IBG17:IBH17"/>
    <mergeCell ref="IBI17:IBJ17"/>
    <mergeCell ref="IBK17:IBP17"/>
    <mergeCell ref="IBQ17:IBT17"/>
    <mergeCell ref="IBU17:IBV17"/>
    <mergeCell ref="IBW17:IBX17"/>
    <mergeCell ref="HZU17:HZX17"/>
    <mergeCell ref="HZY17:HZZ17"/>
    <mergeCell ref="IAA17:IAB17"/>
    <mergeCell ref="IAC17:IAD17"/>
    <mergeCell ref="IAE17:IAJ17"/>
    <mergeCell ref="IAK17:IAN17"/>
    <mergeCell ref="IAO17:IAP17"/>
    <mergeCell ref="IAQ17:IAR17"/>
    <mergeCell ref="IAS17:IAT17"/>
    <mergeCell ref="HYS17:HYT17"/>
    <mergeCell ref="HYU17:HYV17"/>
    <mergeCell ref="HYW17:HYX17"/>
    <mergeCell ref="HYY17:HZD17"/>
    <mergeCell ref="HZE17:HZH17"/>
    <mergeCell ref="HZI17:HZJ17"/>
    <mergeCell ref="HZK17:HZL17"/>
    <mergeCell ref="HZM17:HZN17"/>
    <mergeCell ref="HZO17:HZT17"/>
    <mergeCell ref="HXO17:HXP17"/>
    <mergeCell ref="HXQ17:HXR17"/>
    <mergeCell ref="HXS17:HXX17"/>
    <mergeCell ref="HXY17:HYB17"/>
    <mergeCell ref="HYC17:HYD17"/>
    <mergeCell ref="HYE17:HYF17"/>
    <mergeCell ref="HYG17:HYH17"/>
    <mergeCell ref="HYI17:HYN17"/>
    <mergeCell ref="HYO17:HYR17"/>
    <mergeCell ref="HWK17:HWL17"/>
    <mergeCell ref="HWM17:HWR17"/>
    <mergeCell ref="HWS17:HWV17"/>
    <mergeCell ref="HWW17:HWX17"/>
    <mergeCell ref="HWY17:HWZ17"/>
    <mergeCell ref="HXA17:HXB17"/>
    <mergeCell ref="HXC17:HXH17"/>
    <mergeCell ref="HXI17:HXL17"/>
    <mergeCell ref="HXM17:HXN17"/>
    <mergeCell ref="HVG17:HVL17"/>
    <mergeCell ref="HVM17:HVP17"/>
    <mergeCell ref="HVQ17:HVR17"/>
    <mergeCell ref="HVS17:HVT17"/>
    <mergeCell ref="HVU17:HVV17"/>
    <mergeCell ref="HVW17:HWB17"/>
    <mergeCell ref="HWC17:HWF17"/>
    <mergeCell ref="HWG17:HWH17"/>
    <mergeCell ref="HWI17:HWJ17"/>
    <mergeCell ref="HUG17:HUJ17"/>
    <mergeCell ref="HUK17:HUL17"/>
    <mergeCell ref="HUM17:HUN17"/>
    <mergeCell ref="HUO17:HUP17"/>
    <mergeCell ref="HUQ17:HUV17"/>
    <mergeCell ref="HUW17:HUZ17"/>
    <mergeCell ref="HVA17:HVB17"/>
    <mergeCell ref="HVC17:HVD17"/>
    <mergeCell ref="HVE17:HVF17"/>
    <mergeCell ref="HTE17:HTF17"/>
    <mergeCell ref="HTG17:HTH17"/>
    <mergeCell ref="HTI17:HTJ17"/>
    <mergeCell ref="HTK17:HTP17"/>
    <mergeCell ref="HTQ17:HTT17"/>
    <mergeCell ref="HTU17:HTV17"/>
    <mergeCell ref="HTW17:HTX17"/>
    <mergeCell ref="HTY17:HTZ17"/>
    <mergeCell ref="HUA17:HUF17"/>
    <mergeCell ref="HSA17:HSB17"/>
    <mergeCell ref="HSC17:HSD17"/>
    <mergeCell ref="HSE17:HSJ17"/>
    <mergeCell ref="HSK17:HSN17"/>
    <mergeCell ref="HSO17:HSP17"/>
    <mergeCell ref="HSQ17:HSR17"/>
    <mergeCell ref="HSS17:HST17"/>
    <mergeCell ref="HSU17:HSZ17"/>
    <mergeCell ref="HTA17:HTD17"/>
    <mergeCell ref="HQW17:HQX17"/>
    <mergeCell ref="HQY17:HRD17"/>
    <mergeCell ref="HRE17:HRH17"/>
    <mergeCell ref="HRI17:HRJ17"/>
    <mergeCell ref="HRK17:HRL17"/>
    <mergeCell ref="HRM17:HRN17"/>
    <mergeCell ref="HRO17:HRT17"/>
    <mergeCell ref="HRU17:HRX17"/>
    <mergeCell ref="HRY17:HRZ17"/>
    <mergeCell ref="HPS17:HPX17"/>
    <mergeCell ref="HPY17:HQB17"/>
    <mergeCell ref="HQC17:HQD17"/>
    <mergeCell ref="HQE17:HQF17"/>
    <mergeCell ref="HQG17:HQH17"/>
    <mergeCell ref="HQI17:HQN17"/>
    <mergeCell ref="HQO17:HQR17"/>
    <mergeCell ref="HQS17:HQT17"/>
    <mergeCell ref="HQU17:HQV17"/>
    <mergeCell ref="HOS17:HOV17"/>
    <mergeCell ref="HOW17:HOX17"/>
    <mergeCell ref="HOY17:HOZ17"/>
    <mergeCell ref="HPA17:HPB17"/>
    <mergeCell ref="HPC17:HPH17"/>
    <mergeCell ref="HPI17:HPL17"/>
    <mergeCell ref="HPM17:HPN17"/>
    <mergeCell ref="HPO17:HPP17"/>
    <mergeCell ref="HPQ17:HPR17"/>
    <mergeCell ref="HNQ17:HNR17"/>
    <mergeCell ref="HNS17:HNT17"/>
    <mergeCell ref="HNU17:HNV17"/>
    <mergeCell ref="HNW17:HOB17"/>
    <mergeCell ref="HOC17:HOF17"/>
    <mergeCell ref="HOG17:HOH17"/>
    <mergeCell ref="HOI17:HOJ17"/>
    <mergeCell ref="HOK17:HOL17"/>
    <mergeCell ref="HOM17:HOR17"/>
    <mergeCell ref="HMM17:HMN17"/>
    <mergeCell ref="HMO17:HMP17"/>
    <mergeCell ref="HMQ17:HMV17"/>
    <mergeCell ref="HMW17:HMZ17"/>
    <mergeCell ref="HNA17:HNB17"/>
    <mergeCell ref="HNC17:HND17"/>
    <mergeCell ref="HNE17:HNF17"/>
    <mergeCell ref="HNG17:HNL17"/>
    <mergeCell ref="HNM17:HNP17"/>
    <mergeCell ref="HLI17:HLJ17"/>
    <mergeCell ref="HLK17:HLP17"/>
    <mergeCell ref="HLQ17:HLT17"/>
    <mergeCell ref="HLU17:HLV17"/>
    <mergeCell ref="HLW17:HLX17"/>
    <mergeCell ref="HLY17:HLZ17"/>
    <mergeCell ref="HMA17:HMF17"/>
    <mergeCell ref="HMG17:HMJ17"/>
    <mergeCell ref="HMK17:HML17"/>
    <mergeCell ref="HKE17:HKJ17"/>
    <mergeCell ref="HKK17:HKN17"/>
    <mergeCell ref="HKO17:HKP17"/>
    <mergeCell ref="HKQ17:HKR17"/>
    <mergeCell ref="HKS17:HKT17"/>
    <mergeCell ref="HKU17:HKZ17"/>
    <mergeCell ref="HLA17:HLD17"/>
    <mergeCell ref="HLE17:HLF17"/>
    <mergeCell ref="HLG17:HLH17"/>
    <mergeCell ref="HJE17:HJH17"/>
    <mergeCell ref="HJI17:HJJ17"/>
    <mergeCell ref="HJK17:HJL17"/>
    <mergeCell ref="HJM17:HJN17"/>
    <mergeCell ref="HJO17:HJT17"/>
    <mergeCell ref="HJU17:HJX17"/>
    <mergeCell ref="HJY17:HJZ17"/>
    <mergeCell ref="HKA17:HKB17"/>
    <mergeCell ref="HKC17:HKD17"/>
    <mergeCell ref="HIC17:HID17"/>
    <mergeCell ref="HIE17:HIF17"/>
    <mergeCell ref="HIG17:HIH17"/>
    <mergeCell ref="HII17:HIN17"/>
    <mergeCell ref="HIO17:HIR17"/>
    <mergeCell ref="HIS17:HIT17"/>
    <mergeCell ref="HIU17:HIV17"/>
    <mergeCell ref="HIW17:HIX17"/>
    <mergeCell ref="HIY17:HJD17"/>
    <mergeCell ref="HGY17:HGZ17"/>
    <mergeCell ref="HHA17:HHB17"/>
    <mergeCell ref="HHC17:HHH17"/>
    <mergeCell ref="HHI17:HHL17"/>
    <mergeCell ref="HHM17:HHN17"/>
    <mergeCell ref="HHO17:HHP17"/>
    <mergeCell ref="HHQ17:HHR17"/>
    <mergeCell ref="HHS17:HHX17"/>
    <mergeCell ref="HHY17:HIB17"/>
    <mergeCell ref="HFU17:HFV17"/>
    <mergeCell ref="HFW17:HGB17"/>
    <mergeCell ref="HGC17:HGF17"/>
    <mergeCell ref="HGG17:HGH17"/>
    <mergeCell ref="HGI17:HGJ17"/>
    <mergeCell ref="HGK17:HGL17"/>
    <mergeCell ref="HGM17:HGR17"/>
    <mergeCell ref="HGS17:HGV17"/>
    <mergeCell ref="HGW17:HGX17"/>
    <mergeCell ref="HEQ17:HEV17"/>
    <mergeCell ref="HEW17:HEZ17"/>
    <mergeCell ref="HFA17:HFB17"/>
    <mergeCell ref="HFC17:HFD17"/>
    <mergeCell ref="HFE17:HFF17"/>
    <mergeCell ref="HFG17:HFL17"/>
    <mergeCell ref="HFM17:HFP17"/>
    <mergeCell ref="HFQ17:HFR17"/>
    <mergeCell ref="HFS17:HFT17"/>
    <mergeCell ref="HDQ17:HDT17"/>
    <mergeCell ref="HDU17:HDV17"/>
    <mergeCell ref="HDW17:HDX17"/>
    <mergeCell ref="HDY17:HDZ17"/>
    <mergeCell ref="HEA17:HEF17"/>
    <mergeCell ref="HEG17:HEJ17"/>
    <mergeCell ref="HEK17:HEL17"/>
    <mergeCell ref="HEM17:HEN17"/>
    <mergeCell ref="HEO17:HEP17"/>
    <mergeCell ref="HCO17:HCP17"/>
    <mergeCell ref="HCQ17:HCR17"/>
    <mergeCell ref="HCS17:HCT17"/>
    <mergeCell ref="HCU17:HCZ17"/>
    <mergeCell ref="HDA17:HDD17"/>
    <mergeCell ref="HDE17:HDF17"/>
    <mergeCell ref="HDG17:HDH17"/>
    <mergeCell ref="HDI17:HDJ17"/>
    <mergeCell ref="HDK17:HDP17"/>
    <mergeCell ref="HBK17:HBL17"/>
    <mergeCell ref="HBM17:HBN17"/>
    <mergeCell ref="HBO17:HBT17"/>
    <mergeCell ref="HBU17:HBX17"/>
    <mergeCell ref="HBY17:HBZ17"/>
    <mergeCell ref="HCA17:HCB17"/>
    <mergeCell ref="HCC17:HCD17"/>
    <mergeCell ref="HCE17:HCJ17"/>
    <mergeCell ref="HCK17:HCN17"/>
    <mergeCell ref="HAG17:HAH17"/>
    <mergeCell ref="HAI17:HAN17"/>
    <mergeCell ref="HAO17:HAR17"/>
    <mergeCell ref="HAS17:HAT17"/>
    <mergeCell ref="HAU17:HAV17"/>
    <mergeCell ref="HAW17:HAX17"/>
    <mergeCell ref="HAY17:HBD17"/>
    <mergeCell ref="HBE17:HBH17"/>
    <mergeCell ref="HBI17:HBJ17"/>
    <mergeCell ref="GZC17:GZH17"/>
    <mergeCell ref="GZI17:GZL17"/>
    <mergeCell ref="GZM17:GZN17"/>
    <mergeCell ref="GZO17:GZP17"/>
    <mergeCell ref="GZQ17:GZR17"/>
    <mergeCell ref="GZS17:GZX17"/>
    <mergeCell ref="GZY17:HAB17"/>
    <mergeCell ref="HAC17:HAD17"/>
    <mergeCell ref="HAE17:HAF17"/>
    <mergeCell ref="GYC17:GYF17"/>
    <mergeCell ref="GYG17:GYH17"/>
    <mergeCell ref="GYI17:GYJ17"/>
    <mergeCell ref="GYK17:GYL17"/>
    <mergeCell ref="GYM17:GYR17"/>
    <mergeCell ref="GYS17:GYV17"/>
    <mergeCell ref="GYW17:GYX17"/>
    <mergeCell ref="GYY17:GYZ17"/>
    <mergeCell ref="GZA17:GZB17"/>
    <mergeCell ref="GXA17:GXB17"/>
    <mergeCell ref="GXC17:GXD17"/>
    <mergeCell ref="GXE17:GXF17"/>
    <mergeCell ref="GXG17:GXL17"/>
    <mergeCell ref="GXM17:GXP17"/>
    <mergeCell ref="GXQ17:GXR17"/>
    <mergeCell ref="GXS17:GXT17"/>
    <mergeCell ref="GXU17:GXV17"/>
    <mergeCell ref="GXW17:GYB17"/>
    <mergeCell ref="GVW17:GVX17"/>
    <mergeCell ref="GVY17:GVZ17"/>
    <mergeCell ref="GWA17:GWF17"/>
    <mergeCell ref="GWG17:GWJ17"/>
    <mergeCell ref="GWK17:GWL17"/>
    <mergeCell ref="GWM17:GWN17"/>
    <mergeCell ref="GWO17:GWP17"/>
    <mergeCell ref="GWQ17:GWV17"/>
    <mergeCell ref="GWW17:GWZ17"/>
    <mergeCell ref="GUS17:GUT17"/>
    <mergeCell ref="GUU17:GUZ17"/>
    <mergeCell ref="GVA17:GVD17"/>
    <mergeCell ref="GVE17:GVF17"/>
    <mergeCell ref="GVG17:GVH17"/>
    <mergeCell ref="GVI17:GVJ17"/>
    <mergeCell ref="GVK17:GVP17"/>
    <mergeCell ref="GVQ17:GVT17"/>
    <mergeCell ref="GVU17:GVV17"/>
    <mergeCell ref="GTO17:GTT17"/>
    <mergeCell ref="GTU17:GTX17"/>
    <mergeCell ref="GTY17:GTZ17"/>
    <mergeCell ref="GUA17:GUB17"/>
    <mergeCell ref="GUC17:GUD17"/>
    <mergeCell ref="GUE17:GUJ17"/>
    <mergeCell ref="GUK17:GUN17"/>
    <mergeCell ref="GUO17:GUP17"/>
    <mergeCell ref="GUQ17:GUR17"/>
    <mergeCell ref="GSO17:GSR17"/>
    <mergeCell ref="GSS17:GST17"/>
    <mergeCell ref="GSU17:GSV17"/>
    <mergeCell ref="GSW17:GSX17"/>
    <mergeCell ref="GSY17:GTD17"/>
    <mergeCell ref="GTE17:GTH17"/>
    <mergeCell ref="GTI17:GTJ17"/>
    <mergeCell ref="GTK17:GTL17"/>
    <mergeCell ref="GTM17:GTN17"/>
    <mergeCell ref="GRM17:GRN17"/>
    <mergeCell ref="GRO17:GRP17"/>
    <mergeCell ref="GRQ17:GRR17"/>
    <mergeCell ref="GRS17:GRX17"/>
    <mergeCell ref="GRY17:GSB17"/>
    <mergeCell ref="GSC17:GSD17"/>
    <mergeCell ref="GSE17:GSF17"/>
    <mergeCell ref="GSG17:GSH17"/>
    <mergeCell ref="GSI17:GSN17"/>
    <mergeCell ref="GQI17:GQJ17"/>
    <mergeCell ref="GQK17:GQL17"/>
    <mergeCell ref="GQM17:GQR17"/>
    <mergeCell ref="GQS17:GQV17"/>
    <mergeCell ref="GQW17:GQX17"/>
    <mergeCell ref="GQY17:GQZ17"/>
    <mergeCell ref="GRA17:GRB17"/>
    <mergeCell ref="GRC17:GRH17"/>
    <mergeCell ref="GRI17:GRL17"/>
    <mergeCell ref="GPE17:GPF17"/>
    <mergeCell ref="GPG17:GPL17"/>
    <mergeCell ref="GPM17:GPP17"/>
    <mergeCell ref="GPQ17:GPR17"/>
    <mergeCell ref="GPS17:GPT17"/>
    <mergeCell ref="GPU17:GPV17"/>
    <mergeCell ref="GPW17:GQB17"/>
    <mergeCell ref="GQC17:GQF17"/>
    <mergeCell ref="GQG17:GQH17"/>
    <mergeCell ref="GOA17:GOF17"/>
    <mergeCell ref="GOG17:GOJ17"/>
    <mergeCell ref="GOK17:GOL17"/>
    <mergeCell ref="GOM17:GON17"/>
    <mergeCell ref="GOO17:GOP17"/>
    <mergeCell ref="GOQ17:GOV17"/>
    <mergeCell ref="GOW17:GOZ17"/>
    <mergeCell ref="GPA17:GPB17"/>
    <mergeCell ref="GPC17:GPD17"/>
    <mergeCell ref="GNA17:GND17"/>
    <mergeCell ref="GNE17:GNF17"/>
    <mergeCell ref="GNG17:GNH17"/>
    <mergeCell ref="GNI17:GNJ17"/>
    <mergeCell ref="GNK17:GNP17"/>
    <mergeCell ref="GNQ17:GNT17"/>
    <mergeCell ref="GNU17:GNV17"/>
    <mergeCell ref="GNW17:GNX17"/>
    <mergeCell ref="GNY17:GNZ17"/>
    <mergeCell ref="GLY17:GLZ17"/>
    <mergeCell ref="GMA17:GMB17"/>
    <mergeCell ref="GMC17:GMD17"/>
    <mergeCell ref="GME17:GMJ17"/>
    <mergeCell ref="GMK17:GMN17"/>
    <mergeCell ref="GMO17:GMP17"/>
    <mergeCell ref="GMQ17:GMR17"/>
    <mergeCell ref="GMS17:GMT17"/>
    <mergeCell ref="GMU17:GMZ17"/>
    <mergeCell ref="GKU17:GKV17"/>
    <mergeCell ref="GKW17:GKX17"/>
    <mergeCell ref="GKY17:GLD17"/>
    <mergeCell ref="GLE17:GLH17"/>
    <mergeCell ref="GLI17:GLJ17"/>
    <mergeCell ref="GLK17:GLL17"/>
    <mergeCell ref="GLM17:GLN17"/>
    <mergeCell ref="GLO17:GLT17"/>
    <mergeCell ref="GLU17:GLX17"/>
    <mergeCell ref="GJQ17:GJR17"/>
    <mergeCell ref="GJS17:GJX17"/>
    <mergeCell ref="GJY17:GKB17"/>
    <mergeCell ref="GKC17:GKD17"/>
    <mergeCell ref="GKE17:GKF17"/>
    <mergeCell ref="GKG17:GKH17"/>
    <mergeCell ref="GKI17:GKN17"/>
    <mergeCell ref="GKO17:GKR17"/>
    <mergeCell ref="GKS17:GKT17"/>
    <mergeCell ref="GIM17:GIR17"/>
    <mergeCell ref="GIS17:GIV17"/>
    <mergeCell ref="GIW17:GIX17"/>
    <mergeCell ref="GIY17:GIZ17"/>
    <mergeCell ref="GJA17:GJB17"/>
    <mergeCell ref="GJC17:GJH17"/>
    <mergeCell ref="GJI17:GJL17"/>
    <mergeCell ref="GJM17:GJN17"/>
    <mergeCell ref="GJO17:GJP17"/>
    <mergeCell ref="GHM17:GHP17"/>
    <mergeCell ref="GHQ17:GHR17"/>
    <mergeCell ref="GHS17:GHT17"/>
    <mergeCell ref="GHU17:GHV17"/>
    <mergeCell ref="GHW17:GIB17"/>
    <mergeCell ref="GIC17:GIF17"/>
    <mergeCell ref="GIG17:GIH17"/>
    <mergeCell ref="GII17:GIJ17"/>
    <mergeCell ref="GIK17:GIL17"/>
    <mergeCell ref="GGK17:GGL17"/>
    <mergeCell ref="GGM17:GGN17"/>
    <mergeCell ref="GGO17:GGP17"/>
    <mergeCell ref="GGQ17:GGV17"/>
    <mergeCell ref="GGW17:GGZ17"/>
    <mergeCell ref="GHA17:GHB17"/>
    <mergeCell ref="GHC17:GHD17"/>
    <mergeCell ref="GHE17:GHF17"/>
    <mergeCell ref="GHG17:GHL17"/>
    <mergeCell ref="GFG17:GFH17"/>
    <mergeCell ref="GFI17:GFJ17"/>
    <mergeCell ref="GFK17:GFP17"/>
    <mergeCell ref="GFQ17:GFT17"/>
    <mergeCell ref="GFU17:GFV17"/>
    <mergeCell ref="GFW17:GFX17"/>
    <mergeCell ref="GFY17:GFZ17"/>
    <mergeCell ref="GGA17:GGF17"/>
    <mergeCell ref="GGG17:GGJ17"/>
    <mergeCell ref="GEC17:GED17"/>
    <mergeCell ref="GEE17:GEJ17"/>
    <mergeCell ref="GEK17:GEN17"/>
    <mergeCell ref="GEO17:GEP17"/>
    <mergeCell ref="GEQ17:GER17"/>
    <mergeCell ref="GES17:GET17"/>
    <mergeCell ref="GEU17:GEZ17"/>
    <mergeCell ref="GFA17:GFD17"/>
    <mergeCell ref="GFE17:GFF17"/>
    <mergeCell ref="GCY17:GDD17"/>
    <mergeCell ref="GDE17:GDH17"/>
    <mergeCell ref="GDI17:GDJ17"/>
    <mergeCell ref="GDK17:GDL17"/>
    <mergeCell ref="GDM17:GDN17"/>
    <mergeCell ref="GDO17:GDT17"/>
    <mergeCell ref="GDU17:GDX17"/>
    <mergeCell ref="GDY17:GDZ17"/>
    <mergeCell ref="GEA17:GEB17"/>
    <mergeCell ref="GBY17:GCB17"/>
    <mergeCell ref="GCC17:GCD17"/>
    <mergeCell ref="GCE17:GCF17"/>
    <mergeCell ref="GCG17:GCH17"/>
    <mergeCell ref="GCI17:GCN17"/>
    <mergeCell ref="GCO17:GCR17"/>
    <mergeCell ref="GCS17:GCT17"/>
    <mergeCell ref="GCU17:GCV17"/>
    <mergeCell ref="GCW17:GCX17"/>
    <mergeCell ref="GAW17:GAX17"/>
    <mergeCell ref="GAY17:GAZ17"/>
    <mergeCell ref="GBA17:GBB17"/>
    <mergeCell ref="GBC17:GBH17"/>
    <mergeCell ref="GBI17:GBL17"/>
    <mergeCell ref="GBM17:GBN17"/>
    <mergeCell ref="GBO17:GBP17"/>
    <mergeCell ref="GBQ17:GBR17"/>
    <mergeCell ref="GBS17:GBX17"/>
    <mergeCell ref="FZS17:FZT17"/>
    <mergeCell ref="FZU17:FZV17"/>
    <mergeCell ref="FZW17:GAB17"/>
    <mergeCell ref="GAC17:GAF17"/>
    <mergeCell ref="GAG17:GAH17"/>
    <mergeCell ref="GAI17:GAJ17"/>
    <mergeCell ref="GAK17:GAL17"/>
    <mergeCell ref="GAM17:GAR17"/>
    <mergeCell ref="GAS17:GAV17"/>
    <mergeCell ref="FYO17:FYP17"/>
    <mergeCell ref="FYQ17:FYV17"/>
    <mergeCell ref="FYW17:FYZ17"/>
    <mergeCell ref="FZA17:FZB17"/>
    <mergeCell ref="FZC17:FZD17"/>
    <mergeCell ref="FZE17:FZF17"/>
    <mergeCell ref="FZG17:FZL17"/>
    <mergeCell ref="FZM17:FZP17"/>
    <mergeCell ref="FZQ17:FZR17"/>
    <mergeCell ref="FXK17:FXP17"/>
    <mergeCell ref="FXQ17:FXT17"/>
    <mergeCell ref="FXU17:FXV17"/>
    <mergeCell ref="FXW17:FXX17"/>
    <mergeCell ref="FXY17:FXZ17"/>
    <mergeCell ref="FYA17:FYF17"/>
    <mergeCell ref="FYG17:FYJ17"/>
    <mergeCell ref="FYK17:FYL17"/>
    <mergeCell ref="FYM17:FYN17"/>
    <mergeCell ref="FWK17:FWN17"/>
    <mergeCell ref="FWO17:FWP17"/>
    <mergeCell ref="FWQ17:FWR17"/>
    <mergeCell ref="FWS17:FWT17"/>
    <mergeCell ref="FWU17:FWZ17"/>
    <mergeCell ref="FXA17:FXD17"/>
    <mergeCell ref="FXE17:FXF17"/>
    <mergeCell ref="FXG17:FXH17"/>
    <mergeCell ref="FXI17:FXJ17"/>
    <mergeCell ref="FVI17:FVJ17"/>
    <mergeCell ref="FVK17:FVL17"/>
    <mergeCell ref="FVM17:FVN17"/>
    <mergeCell ref="FVO17:FVT17"/>
    <mergeCell ref="FVU17:FVX17"/>
    <mergeCell ref="FVY17:FVZ17"/>
    <mergeCell ref="FWA17:FWB17"/>
    <mergeCell ref="FWC17:FWD17"/>
    <mergeCell ref="FWE17:FWJ17"/>
    <mergeCell ref="FUE17:FUF17"/>
    <mergeCell ref="FUG17:FUH17"/>
    <mergeCell ref="FUI17:FUN17"/>
    <mergeCell ref="FUO17:FUR17"/>
    <mergeCell ref="FUS17:FUT17"/>
    <mergeCell ref="FUU17:FUV17"/>
    <mergeCell ref="FUW17:FUX17"/>
    <mergeCell ref="FUY17:FVD17"/>
    <mergeCell ref="FVE17:FVH17"/>
    <mergeCell ref="FTA17:FTB17"/>
    <mergeCell ref="FTC17:FTH17"/>
    <mergeCell ref="FTI17:FTL17"/>
    <mergeCell ref="FTM17:FTN17"/>
    <mergeCell ref="FTO17:FTP17"/>
    <mergeCell ref="FTQ17:FTR17"/>
    <mergeCell ref="FTS17:FTX17"/>
    <mergeCell ref="FTY17:FUB17"/>
    <mergeCell ref="FUC17:FUD17"/>
    <mergeCell ref="FRW17:FSB17"/>
    <mergeCell ref="FSC17:FSF17"/>
    <mergeCell ref="FSG17:FSH17"/>
    <mergeCell ref="FSI17:FSJ17"/>
    <mergeCell ref="FSK17:FSL17"/>
    <mergeCell ref="FSM17:FSR17"/>
    <mergeCell ref="FSS17:FSV17"/>
    <mergeCell ref="FSW17:FSX17"/>
    <mergeCell ref="FSY17:FSZ17"/>
    <mergeCell ref="FQW17:FQZ17"/>
    <mergeCell ref="FRA17:FRB17"/>
    <mergeCell ref="FRC17:FRD17"/>
    <mergeCell ref="FRE17:FRF17"/>
    <mergeCell ref="FRG17:FRL17"/>
    <mergeCell ref="FRM17:FRP17"/>
    <mergeCell ref="FRQ17:FRR17"/>
    <mergeCell ref="FRS17:FRT17"/>
    <mergeCell ref="FRU17:FRV17"/>
    <mergeCell ref="FPU17:FPV17"/>
    <mergeCell ref="FPW17:FPX17"/>
    <mergeCell ref="FPY17:FPZ17"/>
    <mergeCell ref="FQA17:FQF17"/>
    <mergeCell ref="FQG17:FQJ17"/>
    <mergeCell ref="FQK17:FQL17"/>
    <mergeCell ref="FQM17:FQN17"/>
    <mergeCell ref="FQO17:FQP17"/>
    <mergeCell ref="FQQ17:FQV17"/>
    <mergeCell ref="FOQ17:FOR17"/>
    <mergeCell ref="FOS17:FOT17"/>
    <mergeCell ref="FOU17:FOZ17"/>
    <mergeCell ref="FPA17:FPD17"/>
    <mergeCell ref="FPE17:FPF17"/>
    <mergeCell ref="FPG17:FPH17"/>
    <mergeCell ref="FPI17:FPJ17"/>
    <mergeCell ref="FPK17:FPP17"/>
    <mergeCell ref="FPQ17:FPT17"/>
    <mergeCell ref="FNM17:FNN17"/>
    <mergeCell ref="FNO17:FNT17"/>
    <mergeCell ref="FNU17:FNX17"/>
    <mergeCell ref="FNY17:FNZ17"/>
    <mergeCell ref="FOA17:FOB17"/>
    <mergeCell ref="FOC17:FOD17"/>
    <mergeCell ref="FOE17:FOJ17"/>
    <mergeCell ref="FOK17:FON17"/>
    <mergeCell ref="FOO17:FOP17"/>
    <mergeCell ref="FMI17:FMN17"/>
    <mergeCell ref="FMO17:FMR17"/>
    <mergeCell ref="FMS17:FMT17"/>
    <mergeCell ref="FMU17:FMV17"/>
    <mergeCell ref="FMW17:FMX17"/>
    <mergeCell ref="FMY17:FND17"/>
    <mergeCell ref="FNE17:FNH17"/>
    <mergeCell ref="FNI17:FNJ17"/>
    <mergeCell ref="FNK17:FNL17"/>
    <mergeCell ref="FLI17:FLL17"/>
    <mergeCell ref="FLM17:FLN17"/>
    <mergeCell ref="FLO17:FLP17"/>
    <mergeCell ref="FLQ17:FLR17"/>
    <mergeCell ref="FLS17:FLX17"/>
    <mergeCell ref="FLY17:FMB17"/>
    <mergeCell ref="FMC17:FMD17"/>
    <mergeCell ref="FME17:FMF17"/>
    <mergeCell ref="FMG17:FMH17"/>
    <mergeCell ref="FKG17:FKH17"/>
    <mergeCell ref="FKI17:FKJ17"/>
    <mergeCell ref="FKK17:FKL17"/>
    <mergeCell ref="FKM17:FKR17"/>
    <mergeCell ref="FKS17:FKV17"/>
    <mergeCell ref="FKW17:FKX17"/>
    <mergeCell ref="FKY17:FKZ17"/>
    <mergeCell ref="FLA17:FLB17"/>
    <mergeCell ref="FLC17:FLH17"/>
    <mergeCell ref="FJC17:FJD17"/>
    <mergeCell ref="FJE17:FJF17"/>
    <mergeCell ref="FJG17:FJL17"/>
    <mergeCell ref="FJM17:FJP17"/>
    <mergeCell ref="FJQ17:FJR17"/>
    <mergeCell ref="FJS17:FJT17"/>
    <mergeCell ref="FJU17:FJV17"/>
    <mergeCell ref="FJW17:FKB17"/>
    <mergeCell ref="FKC17:FKF17"/>
    <mergeCell ref="FHY17:FHZ17"/>
    <mergeCell ref="FIA17:FIF17"/>
    <mergeCell ref="FIG17:FIJ17"/>
    <mergeCell ref="FIK17:FIL17"/>
    <mergeCell ref="FIM17:FIN17"/>
    <mergeCell ref="FIO17:FIP17"/>
    <mergeCell ref="FIQ17:FIV17"/>
    <mergeCell ref="FIW17:FIZ17"/>
    <mergeCell ref="FJA17:FJB17"/>
    <mergeCell ref="FGU17:FGZ17"/>
    <mergeCell ref="FHA17:FHD17"/>
    <mergeCell ref="FHE17:FHF17"/>
    <mergeCell ref="FHG17:FHH17"/>
    <mergeCell ref="FHI17:FHJ17"/>
    <mergeCell ref="FHK17:FHP17"/>
    <mergeCell ref="FHQ17:FHT17"/>
    <mergeCell ref="FHU17:FHV17"/>
    <mergeCell ref="FHW17:FHX17"/>
    <mergeCell ref="FFU17:FFX17"/>
    <mergeCell ref="FFY17:FFZ17"/>
    <mergeCell ref="FGA17:FGB17"/>
    <mergeCell ref="FGC17:FGD17"/>
    <mergeCell ref="FGE17:FGJ17"/>
    <mergeCell ref="FGK17:FGN17"/>
    <mergeCell ref="FGO17:FGP17"/>
    <mergeCell ref="FGQ17:FGR17"/>
    <mergeCell ref="FGS17:FGT17"/>
    <mergeCell ref="FES17:FET17"/>
    <mergeCell ref="FEU17:FEV17"/>
    <mergeCell ref="FEW17:FEX17"/>
    <mergeCell ref="FEY17:FFD17"/>
    <mergeCell ref="FFE17:FFH17"/>
    <mergeCell ref="FFI17:FFJ17"/>
    <mergeCell ref="FFK17:FFL17"/>
    <mergeCell ref="FFM17:FFN17"/>
    <mergeCell ref="FFO17:FFT17"/>
    <mergeCell ref="FDO17:FDP17"/>
    <mergeCell ref="FDQ17:FDR17"/>
    <mergeCell ref="FDS17:FDX17"/>
    <mergeCell ref="FDY17:FEB17"/>
    <mergeCell ref="FEC17:FED17"/>
    <mergeCell ref="FEE17:FEF17"/>
    <mergeCell ref="FEG17:FEH17"/>
    <mergeCell ref="FEI17:FEN17"/>
    <mergeCell ref="FEO17:FER17"/>
    <mergeCell ref="FCK17:FCL17"/>
    <mergeCell ref="FCM17:FCR17"/>
    <mergeCell ref="FCS17:FCV17"/>
    <mergeCell ref="FCW17:FCX17"/>
    <mergeCell ref="FCY17:FCZ17"/>
    <mergeCell ref="FDA17:FDB17"/>
    <mergeCell ref="FDC17:FDH17"/>
    <mergeCell ref="FDI17:FDL17"/>
    <mergeCell ref="FDM17:FDN17"/>
    <mergeCell ref="FBG17:FBL17"/>
    <mergeCell ref="FBM17:FBP17"/>
    <mergeCell ref="FBQ17:FBR17"/>
    <mergeCell ref="FBS17:FBT17"/>
    <mergeCell ref="FBU17:FBV17"/>
    <mergeCell ref="FBW17:FCB17"/>
    <mergeCell ref="FCC17:FCF17"/>
    <mergeCell ref="FCG17:FCH17"/>
    <mergeCell ref="FCI17:FCJ17"/>
    <mergeCell ref="FAG17:FAJ17"/>
    <mergeCell ref="FAK17:FAL17"/>
    <mergeCell ref="FAM17:FAN17"/>
    <mergeCell ref="FAO17:FAP17"/>
    <mergeCell ref="FAQ17:FAV17"/>
    <mergeCell ref="FAW17:FAZ17"/>
    <mergeCell ref="FBA17:FBB17"/>
    <mergeCell ref="FBC17:FBD17"/>
    <mergeCell ref="FBE17:FBF17"/>
    <mergeCell ref="EZE17:EZF17"/>
    <mergeCell ref="EZG17:EZH17"/>
    <mergeCell ref="EZI17:EZJ17"/>
    <mergeCell ref="EZK17:EZP17"/>
    <mergeCell ref="EZQ17:EZT17"/>
    <mergeCell ref="EZU17:EZV17"/>
    <mergeCell ref="EZW17:EZX17"/>
    <mergeCell ref="EZY17:EZZ17"/>
    <mergeCell ref="FAA17:FAF17"/>
    <mergeCell ref="EYA17:EYB17"/>
    <mergeCell ref="EYC17:EYD17"/>
    <mergeCell ref="EYE17:EYJ17"/>
    <mergeCell ref="EYK17:EYN17"/>
    <mergeCell ref="EYO17:EYP17"/>
    <mergeCell ref="EYQ17:EYR17"/>
    <mergeCell ref="EYS17:EYT17"/>
    <mergeCell ref="EYU17:EYZ17"/>
    <mergeCell ref="EZA17:EZD17"/>
    <mergeCell ref="EWW17:EWX17"/>
    <mergeCell ref="EWY17:EXD17"/>
    <mergeCell ref="EXE17:EXH17"/>
    <mergeCell ref="EXI17:EXJ17"/>
    <mergeCell ref="EXK17:EXL17"/>
    <mergeCell ref="EXM17:EXN17"/>
    <mergeCell ref="EXO17:EXT17"/>
    <mergeCell ref="EXU17:EXX17"/>
    <mergeCell ref="EXY17:EXZ17"/>
    <mergeCell ref="EVS17:EVX17"/>
    <mergeCell ref="EVY17:EWB17"/>
    <mergeCell ref="EWC17:EWD17"/>
    <mergeCell ref="EWE17:EWF17"/>
    <mergeCell ref="EWG17:EWH17"/>
    <mergeCell ref="EWI17:EWN17"/>
    <mergeCell ref="EWO17:EWR17"/>
    <mergeCell ref="EWS17:EWT17"/>
    <mergeCell ref="EWU17:EWV17"/>
    <mergeCell ref="EUS17:EUV17"/>
    <mergeCell ref="EUW17:EUX17"/>
    <mergeCell ref="EUY17:EUZ17"/>
    <mergeCell ref="EVA17:EVB17"/>
    <mergeCell ref="EVC17:EVH17"/>
    <mergeCell ref="EVI17:EVL17"/>
    <mergeCell ref="EVM17:EVN17"/>
    <mergeCell ref="EVO17:EVP17"/>
    <mergeCell ref="EVQ17:EVR17"/>
    <mergeCell ref="ETQ17:ETR17"/>
    <mergeCell ref="ETS17:ETT17"/>
    <mergeCell ref="ETU17:ETV17"/>
    <mergeCell ref="ETW17:EUB17"/>
    <mergeCell ref="EUC17:EUF17"/>
    <mergeCell ref="EUG17:EUH17"/>
    <mergeCell ref="EUI17:EUJ17"/>
    <mergeCell ref="EUK17:EUL17"/>
    <mergeCell ref="EUM17:EUR17"/>
    <mergeCell ref="ESM17:ESN17"/>
    <mergeCell ref="ESO17:ESP17"/>
    <mergeCell ref="ESQ17:ESV17"/>
    <mergeCell ref="ESW17:ESZ17"/>
    <mergeCell ref="ETA17:ETB17"/>
    <mergeCell ref="ETC17:ETD17"/>
    <mergeCell ref="ETE17:ETF17"/>
    <mergeCell ref="ETG17:ETL17"/>
    <mergeCell ref="ETM17:ETP17"/>
    <mergeCell ref="ERI17:ERJ17"/>
    <mergeCell ref="ERK17:ERP17"/>
    <mergeCell ref="ERQ17:ERT17"/>
    <mergeCell ref="ERU17:ERV17"/>
    <mergeCell ref="ERW17:ERX17"/>
    <mergeCell ref="ERY17:ERZ17"/>
    <mergeCell ref="ESA17:ESF17"/>
    <mergeCell ref="ESG17:ESJ17"/>
    <mergeCell ref="ESK17:ESL17"/>
    <mergeCell ref="EQE17:EQJ17"/>
    <mergeCell ref="EQK17:EQN17"/>
    <mergeCell ref="EQO17:EQP17"/>
    <mergeCell ref="EQQ17:EQR17"/>
    <mergeCell ref="EQS17:EQT17"/>
    <mergeCell ref="EQU17:EQZ17"/>
    <mergeCell ref="ERA17:ERD17"/>
    <mergeCell ref="ERE17:ERF17"/>
    <mergeCell ref="ERG17:ERH17"/>
    <mergeCell ref="EPE17:EPH17"/>
    <mergeCell ref="EPI17:EPJ17"/>
    <mergeCell ref="EPK17:EPL17"/>
    <mergeCell ref="EPM17:EPN17"/>
    <mergeCell ref="EPO17:EPT17"/>
    <mergeCell ref="EPU17:EPX17"/>
    <mergeCell ref="EPY17:EPZ17"/>
    <mergeCell ref="EQA17:EQB17"/>
    <mergeCell ref="EQC17:EQD17"/>
    <mergeCell ref="EOC17:EOD17"/>
    <mergeCell ref="EOE17:EOF17"/>
    <mergeCell ref="EOG17:EOH17"/>
    <mergeCell ref="EOI17:EON17"/>
    <mergeCell ref="EOO17:EOR17"/>
    <mergeCell ref="EOS17:EOT17"/>
    <mergeCell ref="EOU17:EOV17"/>
    <mergeCell ref="EOW17:EOX17"/>
    <mergeCell ref="EOY17:EPD17"/>
    <mergeCell ref="EMY17:EMZ17"/>
    <mergeCell ref="ENA17:ENB17"/>
    <mergeCell ref="ENC17:ENH17"/>
    <mergeCell ref="ENI17:ENL17"/>
    <mergeCell ref="ENM17:ENN17"/>
    <mergeCell ref="ENO17:ENP17"/>
    <mergeCell ref="ENQ17:ENR17"/>
    <mergeCell ref="ENS17:ENX17"/>
    <mergeCell ref="ENY17:EOB17"/>
    <mergeCell ref="ELU17:ELV17"/>
    <mergeCell ref="ELW17:EMB17"/>
    <mergeCell ref="EMC17:EMF17"/>
    <mergeCell ref="EMG17:EMH17"/>
    <mergeCell ref="EMI17:EMJ17"/>
    <mergeCell ref="EMK17:EML17"/>
    <mergeCell ref="EMM17:EMR17"/>
    <mergeCell ref="EMS17:EMV17"/>
    <mergeCell ref="EMW17:EMX17"/>
    <mergeCell ref="EKQ17:EKV17"/>
    <mergeCell ref="EKW17:EKZ17"/>
    <mergeCell ref="ELA17:ELB17"/>
    <mergeCell ref="ELC17:ELD17"/>
    <mergeCell ref="ELE17:ELF17"/>
    <mergeCell ref="ELG17:ELL17"/>
    <mergeCell ref="ELM17:ELP17"/>
    <mergeCell ref="ELQ17:ELR17"/>
    <mergeCell ref="ELS17:ELT17"/>
    <mergeCell ref="EJQ17:EJT17"/>
    <mergeCell ref="EJU17:EJV17"/>
    <mergeCell ref="EJW17:EJX17"/>
    <mergeCell ref="EJY17:EJZ17"/>
    <mergeCell ref="EKA17:EKF17"/>
    <mergeCell ref="EKG17:EKJ17"/>
    <mergeCell ref="EKK17:EKL17"/>
    <mergeCell ref="EKM17:EKN17"/>
    <mergeCell ref="EKO17:EKP17"/>
    <mergeCell ref="EIO17:EIP17"/>
    <mergeCell ref="EIQ17:EIR17"/>
    <mergeCell ref="EIS17:EIT17"/>
    <mergeCell ref="EIU17:EIZ17"/>
    <mergeCell ref="EJA17:EJD17"/>
    <mergeCell ref="EJE17:EJF17"/>
    <mergeCell ref="EJG17:EJH17"/>
    <mergeCell ref="EJI17:EJJ17"/>
    <mergeCell ref="EJK17:EJP17"/>
    <mergeCell ref="EHK17:EHL17"/>
    <mergeCell ref="EHM17:EHN17"/>
    <mergeCell ref="EHO17:EHT17"/>
    <mergeCell ref="EHU17:EHX17"/>
    <mergeCell ref="EHY17:EHZ17"/>
    <mergeCell ref="EIA17:EIB17"/>
    <mergeCell ref="EIC17:EID17"/>
    <mergeCell ref="EIE17:EIJ17"/>
    <mergeCell ref="EIK17:EIN17"/>
    <mergeCell ref="EGG17:EGH17"/>
    <mergeCell ref="EGI17:EGN17"/>
    <mergeCell ref="EGO17:EGR17"/>
    <mergeCell ref="EGS17:EGT17"/>
    <mergeCell ref="EGU17:EGV17"/>
    <mergeCell ref="EGW17:EGX17"/>
    <mergeCell ref="EGY17:EHD17"/>
    <mergeCell ref="EHE17:EHH17"/>
    <mergeCell ref="EHI17:EHJ17"/>
    <mergeCell ref="EFC17:EFH17"/>
    <mergeCell ref="EFI17:EFL17"/>
    <mergeCell ref="EFM17:EFN17"/>
    <mergeCell ref="EFO17:EFP17"/>
    <mergeCell ref="EFQ17:EFR17"/>
    <mergeCell ref="EFS17:EFX17"/>
    <mergeCell ref="EFY17:EGB17"/>
    <mergeCell ref="EGC17:EGD17"/>
    <mergeCell ref="EGE17:EGF17"/>
    <mergeCell ref="EEC17:EEF17"/>
    <mergeCell ref="EEG17:EEH17"/>
    <mergeCell ref="EEI17:EEJ17"/>
    <mergeCell ref="EEK17:EEL17"/>
    <mergeCell ref="EEM17:EER17"/>
    <mergeCell ref="EES17:EEV17"/>
    <mergeCell ref="EEW17:EEX17"/>
    <mergeCell ref="EEY17:EEZ17"/>
    <mergeCell ref="EFA17:EFB17"/>
    <mergeCell ref="EDA17:EDB17"/>
    <mergeCell ref="EDC17:EDD17"/>
    <mergeCell ref="EDE17:EDF17"/>
    <mergeCell ref="EDG17:EDL17"/>
    <mergeCell ref="EDM17:EDP17"/>
    <mergeCell ref="EDQ17:EDR17"/>
    <mergeCell ref="EDS17:EDT17"/>
    <mergeCell ref="EDU17:EDV17"/>
    <mergeCell ref="EDW17:EEB17"/>
    <mergeCell ref="EBW17:EBX17"/>
    <mergeCell ref="EBY17:EBZ17"/>
    <mergeCell ref="ECA17:ECF17"/>
    <mergeCell ref="ECG17:ECJ17"/>
    <mergeCell ref="ECK17:ECL17"/>
    <mergeCell ref="ECM17:ECN17"/>
    <mergeCell ref="ECO17:ECP17"/>
    <mergeCell ref="ECQ17:ECV17"/>
    <mergeCell ref="ECW17:ECZ17"/>
    <mergeCell ref="EAS17:EAT17"/>
    <mergeCell ref="EAU17:EAZ17"/>
    <mergeCell ref="EBA17:EBD17"/>
    <mergeCell ref="EBE17:EBF17"/>
    <mergeCell ref="EBG17:EBH17"/>
    <mergeCell ref="EBI17:EBJ17"/>
    <mergeCell ref="EBK17:EBP17"/>
    <mergeCell ref="EBQ17:EBT17"/>
    <mergeCell ref="EBU17:EBV17"/>
    <mergeCell ref="DZO17:DZT17"/>
    <mergeCell ref="DZU17:DZX17"/>
    <mergeCell ref="DZY17:DZZ17"/>
    <mergeCell ref="EAA17:EAB17"/>
    <mergeCell ref="EAC17:EAD17"/>
    <mergeCell ref="EAE17:EAJ17"/>
    <mergeCell ref="EAK17:EAN17"/>
    <mergeCell ref="EAO17:EAP17"/>
    <mergeCell ref="EAQ17:EAR17"/>
    <mergeCell ref="DYO17:DYR17"/>
    <mergeCell ref="DYS17:DYT17"/>
    <mergeCell ref="DYU17:DYV17"/>
    <mergeCell ref="DYW17:DYX17"/>
    <mergeCell ref="DYY17:DZD17"/>
    <mergeCell ref="DZE17:DZH17"/>
    <mergeCell ref="DZI17:DZJ17"/>
    <mergeCell ref="DZK17:DZL17"/>
    <mergeCell ref="DZM17:DZN17"/>
    <mergeCell ref="DXM17:DXN17"/>
    <mergeCell ref="DXO17:DXP17"/>
    <mergeCell ref="DXQ17:DXR17"/>
    <mergeCell ref="DXS17:DXX17"/>
    <mergeCell ref="DXY17:DYB17"/>
    <mergeCell ref="DYC17:DYD17"/>
    <mergeCell ref="DYE17:DYF17"/>
    <mergeCell ref="DYG17:DYH17"/>
    <mergeCell ref="DYI17:DYN17"/>
    <mergeCell ref="DWI17:DWJ17"/>
    <mergeCell ref="DWK17:DWL17"/>
    <mergeCell ref="DWM17:DWR17"/>
    <mergeCell ref="DWS17:DWV17"/>
    <mergeCell ref="DWW17:DWX17"/>
    <mergeCell ref="DWY17:DWZ17"/>
    <mergeCell ref="DXA17:DXB17"/>
    <mergeCell ref="DXC17:DXH17"/>
    <mergeCell ref="DXI17:DXL17"/>
    <mergeCell ref="DVE17:DVF17"/>
    <mergeCell ref="DVG17:DVL17"/>
    <mergeCell ref="DVM17:DVP17"/>
    <mergeCell ref="DVQ17:DVR17"/>
    <mergeCell ref="DVS17:DVT17"/>
    <mergeCell ref="DVU17:DVV17"/>
    <mergeCell ref="DVW17:DWB17"/>
    <mergeCell ref="DWC17:DWF17"/>
    <mergeCell ref="DWG17:DWH17"/>
    <mergeCell ref="DUA17:DUF17"/>
    <mergeCell ref="DUG17:DUJ17"/>
    <mergeCell ref="DUK17:DUL17"/>
    <mergeCell ref="DUM17:DUN17"/>
    <mergeCell ref="DUO17:DUP17"/>
    <mergeCell ref="DUQ17:DUV17"/>
    <mergeCell ref="DUW17:DUZ17"/>
    <mergeCell ref="DVA17:DVB17"/>
    <mergeCell ref="DVC17:DVD17"/>
    <mergeCell ref="DTA17:DTD17"/>
    <mergeCell ref="DTE17:DTF17"/>
    <mergeCell ref="DTG17:DTH17"/>
    <mergeCell ref="DTI17:DTJ17"/>
    <mergeCell ref="DTK17:DTP17"/>
    <mergeCell ref="DTQ17:DTT17"/>
    <mergeCell ref="DTU17:DTV17"/>
    <mergeCell ref="DTW17:DTX17"/>
    <mergeCell ref="DTY17:DTZ17"/>
    <mergeCell ref="DRY17:DRZ17"/>
    <mergeCell ref="DSA17:DSB17"/>
    <mergeCell ref="DSC17:DSD17"/>
    <mergeCell ref="DSE17:DSJ17"/>
    <mergeCell ref="DSK17:DSN17"/>
    <mergeCell ref="DSO17:DSP17"/>
    <mergeCell ref="DSQ17:DSR17"/>
    <mergeCell ref="DSS17:DST17"/>
    <mergeCell ref="DSU17:DSZ17"/>
    <mergeCell ref="DQU17:DQV17"/>
    <mergeCell ref="DQW17:DQX17"/>
    <mergeCell ref="DQY17:DRD17"/>
    <mergeCell ref="DRE17:DRH17"/>
    <mergeCell ref="DRI17:DRJ17"/>
    <mergeCell ref="DRK17:DRL17"/>
    <mergeCell ref="DRM17:DRN17"/>
    <mergeCell ref="DRO17:DRT17"/>
    <mergeCell ref="DRU17:DRX17"/>
    <mergeCell ref="DPQ17:DPR17"/>
    <mergeCell ref="DPS17:DPX17"/>
    <mergeCell ref="DPY17:DQB17"/>
    <mergeCell ref="DQC17:DQD17"/>
    <mergeCell ref="DQE17:DQF17"/>
    <mergeCell ref="DQG17:DQH17"/>
    <mergeCell ref="DQI17:DQN17"/>
    <mergeCell ref="DQO17:DQR17"/>
    <mergeCell ref="DQS17:DQT17"/>
    <mergeCell ref="DOM17:DOR17"/>
    <mergeCell ref="DOS17:DOV17"/>
    <mergeCell ref="DOW17:DOX17"/>
    <mergeCell ref="DOY17:DOZ17"/>
    <mergeCell ref="DPA17:DPB17"/>
    <mergeCell ref="DPC17:DPH17"/>
    <mergeCell ref="DPI17:DPL17"/>
    <mergeCell ref="DPM17:DPN17"/>
    <mergeCell ref="DPO17:DPP17"/>
    <mergeCell ref="DNM17:DNP17"/>
    <mergeCell ref="DNQ17:DNR17"/>
    <mergeCell ref="DNS17:DNT17"/>
    <mergeCell ref="DNU17:DNV17"/>
    <mergeCell ref="DNW17:DOB17"/>
    <mergeCell ref="DOC17:DOF17"/>
    <mergeCell ref="DOG17:DOH17"/>
    <mergeCell ref="DOI17:DOJ17"/>
    <mergeCell ref="DOK17:DOL17"/>
    <mergeCell ref="DMK17:DML17"/>
    <mergeCell ref="DMM17:DMN17"/>
    <mergeCell ref="DMO17:DMP17"/>
    <mergeCell ref="DMQ17:DMV17"/>
    <mergeCell ref="DMW17:DMZ17"/>
    <mergeCell ref="DNA17:DNB17"/>
    <mergeCell ref="DNC17:DND17"/>
    <mergeCell ref="DNE17:DNF17"/>
    <mergeCell ref="DNG17:DNL17"/>
    <mergeCell ref="DLG17:DLH17"/>
    <mergeCell ref="DLI17:DLJ17"/>
    <mergeCell ref="DLK17:DLP17"/>
    <mergeCell ref="DLQ17:DLT17"/>
    <mergeCell ref="DLU17:DLV17"/>
    <mergeCell ref="DLW17:DLX17"/>
    <mergeCell ref="DLY17:DLZ17"/>
    <mergeCell ref="DMA17:DMF17"/>
    <mergeCell ref="DMG17:DMJ17"/>
    <mergeCell ref="DKC17:DKD17"/>
    <mergeCell ref="DKE17:DKJ17"/>
    <mergeCell ref="DKK17:DKN17"/>
    <mergeCell ref="DKO17:DKP17"/>
    <mergeCell ref="DKQ17:DKR17"/>
    <mergeCell ref="DKS17:DKT17"/>
    <mergeCell ref="DKU17:DKZ17"/>
    <mergeCell ref="DLA17:DLD17"/>
    <mergeCell ref="DLE17:DLF17"/>
    <mergeCell ref="DIY17:DJD17"/>
    <mergeCell ref="DJE17:DJH17"/>
    <mergeCell ref="DJI17:DJJ17"/>
    <mergeCell ref="DJK17:DJL17"/>
    <mergeCell ref="DJM17:DJN17"/>
    <mergeCell ref="DJO17:DJT17"/>
    <mergeCell ref="DJU17:DJX17"/>
    <mergeCell ref="DJY17:DJZ17"/>
    <mergeCell ref="DKA17:DKB17"/>
    <mergeCell ref="DHY17:DIB17"/>
    <mergeCell ref="DIC17:DID17"/>
    <mergeCell ref="DIE17:DIF17"/>
    <mergeCell ref="DIG17:DIH17"/>
    <mergeCell ref="DII17:DIN17"/>
    <mergeCell ref="DIO17:DIR17"/>
    <mergeCell ref="DIS17:DIT17"/>
    <mergeCell ref="DIU17:DIV17"/>
    <mergeCell ref="DIW17:DIX17"/>
    <mergeCell ref="DGW17:DGX17"/>
    <mergeCell ref="DGY17:DGZ17"/>
    <mergeCell ref="DHA17:DHB17"/>
    <mergeCell ref="DHC17:DHH17"/>
    <mergeCell ref="DHI17:DHL17"/>
    <mergeCell ref="DHM17:DHN17"/>
    <mergeCell ref="DHO17:DHP17"/>
    <mergeCell ref="DHQ17:DHR17"/>
    <mergeCell ref="DHS17:DHX17"/>
    <mergeCell ref="DFS17:DFT17"/>
    <mergeCell ref="DFU17:DFV17"/>
    <mergeCell ref="DFW17:DGB17"/>
    <mergeCell ref="DGC17:DGF17"/>
    <mergeCell ref="DGG17:DGH17"/>
    <mergeCell ref="DGI17:DGJ17"/>
    <mergeCell ref="DGK17:DGL17"/>
    <mergeCell ref="DGM17:DGR17"/>
    <mergeCell ref="DGS17:DGV17"/>
    <mergeCell ref="DEO17:DEP17"/>
    <mergeCell ref="DEQ17:DEV17"/>
    <mergeCell ref="DEW17:DEZ17"/>
    <mergeCell ref="DFA17:DFB17"/>
    <mergeCell ref="DFC17:DFD17"/>
    <mergeCell ref="DFE17:DFF17"/>
    <mergeCell ref="DFG17:DFL17"/>
    <mergeCell ref="DFM17:DFP17"/>
    <mergeCell ref="DFQ17:DFR17"/>
    <mergeCell ref="DDK17:DDP17"/>
    <mergeCell ref="DDQ17:DDT17"/>
    <mergeCell ref="DDU17:DDV17"/>
    <mergeCell ref="DDW17:DDX17"/>
    <mergeCell ref="DDY17:DDZ17"/>
    <mergeCell ref="DEA17:DEF17"/>
    <mergeCell ref="DEG17:DEJ17"/>
    <mergeCell ref="DEK17:DEL17"/>
    <mergeCell ref="DEM17:DEN17"/>
    <mergeCell ref="DCK17:DCN17"/>
    <mergeCell ref="DCO17:DCP17"/>
    <mergeCell ref="DCQ17:DCR17"/>
    <mergeCell ref="DCS17:DCT17"/>
    <mergeCell ref="DCU17:DCZ17"/>
    <mergeCell ref="DDA17:DDD17"/>
    <mergeCell ref="DDE17:DDF17"/>
    <mergeCell ref="DDG17:DDH17"/>
    <mergeCell ref="DDI17:DDJ17"/>
    <mergeCell ref="DBI17:DBJ17"/>
    <mergeCell ref="DBK17:DBL17"/>
    <mergeCell ref="DBM17:DBN17"/>
    <mergeCell ref="DBO17:DBT17"/>
    <mergeCell ref="DBU17:DBX17"/>
    <mergeCell ref="DBY17:DBZ17"/>
    <mergeCell ref="DCA17:DCB17"/>
    <mergeCell ref="DCC17:DCD17"/>
    <mergeCell ref="DCE17:DCJ17"/>
    <mergeCell ref="DAE17:DAF17"/>
    <mergeCell ref="DAG17:DAH17"/>
    <mergeCell ref="DAI17:DAN17"/>
    <mergeCell ref="DAO17:DAR17"/>
    <mergeCell ref="DAS17:DAT17"/>
    <mergeCell ref="DAU17:DAV17"/>
    <mergeCell ref="DAW17:DAX17"/>
    <mergeCell ref="DAY17:DBD17"/>
    <mergeCell ref="DBE17:DBH17"/>
    <mergeCell ref="CZA17:CZB17"/>
    <mergeCell ref="CZC17:CZH17"/>
    <mergeCell ref="CZI17:CZL17"/>
    <mergeCell ref="CZM17:CZN17"/>
    <mergeCell ref="CZO17:CZP17"/>
    <mergeCell ref="CZQ17:CZR17"/>
    <mergeCell ref="CZS17:CZX17"/>
    <mergeCell ref="CZY17:DAB17"/>
    <mergeCell ref="DAC17:DAD17"/>
    <mergeCell ref="CXW17:CYB17"/>
    <mergeCell ref="CYC17:CYF17"/>
    <mergeCell ref="CYG17:CYH17"/>
    <mergeCell ref="CYI17:CYJ17"/>
    <mergeCell ref="CYK17:CYL17"/>
    <mergeCell ref="CYM17:CYR17"/>
    <mergeCell ref="CYS17:CYV17"/>
    <mergeCell ref="CYW17:CYX17"/>
    <mergeCell ref="CYY17:CYZ17"/>
    <mergeCell ref="CWW17:CWZ17"/>
    <mergeCell ref="CXA17:CXB17"/>
    <mergeCell ref="CXC17:CXD17"/>
    <mergeCell ref="CXE17:CXF17"/>
    <mergeCell ref="CXG17:CXL17"/>
    <mergeCell ref="CXM17:CXP17"/>
    <mergeCell ref="CXQ17:CXR17"/>
    <mergeCell ref="CXS17:CXT17"/>
    <mergeCell ref="CXU17:CXV17"/>
    <mergeCell ref="CVU17:CVV17"/>
    <mergeCell ref="CVW17:CVX17"/>
    <mergeCell ref="CVY17:CVZ17"/>
    <mergeCell ref="CWA17:CWF17"/>
    <mergeCell ref="CWG17:CWJ17"/>
    <mergeCell ref="CWK17:CWL17"/>
    <mergeCell ref="CWM17:CWN17"/>
    <mergeCell ref="CWO17:CWP17"/>
    <mergeCell ref="CWQ17:CWV17"/>
    <mergeCell ref="CUQ17:CUR17"/>
    <mergeCell ref="CUS17:CUT17"/>
    <mergeCell ref="CUU17:CUZ17"/>
    <mergeCell ref="CVA17:CVD17"/>
    <mergeCell ref="CVE17:CVF17"/>
    <mergeCell ref="CVG17:CVH17"/>
    <mergeCell ref="CVI17:CVJ17"/>
    <mergeCell ref="CVK17:CVP17"/>
    <mergeCell ref="CVQ17:CVT17"/>
    <mergeCell ref="CTM17:CTN17"/>
    <mergeCell ref="CTO17:CTT17"/>
    <mergeCell ref="CTU17:CTX17"/>
    <mergeCell ref="CTY17:CTZ17"/>
    <mergeCell ref="CUA17:CUB17"/>
    <mergeCell ref="CUC17:CUD17"/>
    <mergeCell ref="CUE17:CUJ17"/>
    <mergeCell ref="CUK17:CUN17"/>
    <mergeCell ref="CUO17:CUP17"/>
    <mergeCell ref="CSI17:CSN17"/>
    <mergeCell ref="CSO17:CSR17"/>
    <mergeCell ref="CSS17:CST17"/>
    <mergeCell ref="CSU17:CSV17"/>
    <mergeCell ref="CSW17:CSX17"/>
    <mergeCell ref="CSY17:CTD17"/>
    <mergeCell ref="CTE17:CTH17"/>
    <mergeCell ref="CTI17:CTJ17"/>
    <mergeCell ref="CTK17:CTL17"/>
    <mergeCell ref="CRI17:CRL17"/>
    <mergeCell ref="CRM17:CRN17"/>
    <mergeCell ref="CRO17:CRP17"/>
    <mergeCell ref="CRQ17:CRR17"/>
    <mergeCell ref="CRS17:CRX17"/>
    <mergeCell ref="CRY17:CSB17"/>
    <mergeCell ref="CSC17:CSD17"/>
    <mergeCell ref="CSE17:CSF17"/>
    <mergeCell ref="CSG17:CSH17"/>
    <mergeCell ref="CQG17:CQH17"/>
    <mergeCell ref="CQI17:CQJ17"/>
    <mergeCell ref="CQK17:CQL17"/>
    <mergeCell ref="CQM17:CQR17"/>
    <mergeCell ref="CQS17:CQV17"/>
    <mergeCell ref="CQW17:CQX17"/>
    <mergeCell ref="CQY17:CQZ17"/>
    <mergeCell ref="CRA17:CRB17"/>
    <mergeCell ref="CRC17:CRH17"/>
    <mergeCell ref="CPC17:CPD17"/>
    <mergeCell ref="CPE17:CPF17"/>
    <mergeCell ref="CPG17:CPL17"/>
    <mergeCell ref="CPM17:CPP17"/>
    <mergeCell ref="CPQ17:CPR17"/>
    <mergeCell ref="CPS17:CPT17"/>
    <mergeCell ref="CPU17:CPV17"/>
    <mergeCell ref="CPW17:CQB17"/>
    <mergeCell ref="CQC17:CQF17"/>
    <mergeCell ref="CNY17:CNZ17"/>
    <mergeCell ref="COA17:COF17"/>
    <mergeCell ref="COG17:COJ17"/>
    <mergeCell ref="COK17:COL17"/>
    <mergeCell ref="COM17:CON17"/>
    <mergeCell ref="COO17:COP17"/>
    <mergeCell ref="COQ17:COV17"/>
    <mergeCell ref="COW17:COZ17"/>
    <mergeCell ref="CPA17:CPB17"/>
    <mergeCell ref="CMU17:CMZ17"/>
    <mergeCell ref="CNA17:CND17"/>
    <mergeCell ref="CNE17:CNF17"/>
    <mergeCell ref="CNG17:CNH17"/>
    <mergeCell ref="CNI17:CNJ17"/>
    <mergeCell ref="CNK17:CNP17"/>
    <mergeCell ref="CNQ17:CNT17"/>
    <mergeCell ref="CNU17:CNV17"/>
    <mergeCell ref="CNW17:CNX17"/>
    <mergeCell ref="CLU17:CLX17"/>
    <mergeCell ref="CLY17:CLZ17"/>
    <mergeCell ref="CMA17:CMB17"/>
    <mergeCell ref="CMC17:CMD17"/>
    <mergeCell ref="CME17:CMJ17"/>
    <mergeCell ref="CMK17:CMN17"/>
    <mergeCell ref="CMO17:CMP17"/>
    <mergeCell ref="CMQ17:CMR17"/>
    <mergeCell ref="CMS17:CMT17"/>
    <mergeCell ref="CKS17:CKT17"/>
    <mergeCell ref="CKU17:CKV17"/>
    <mergeCell ref="CKW17:CKX17"/>
    <mergeCell ref="CKY17:CLD17"/>
    <mergeCell ref="CLE17:CLH17"/>
    <mergeCell ref="CLI17:CLJ17"/>
    <mergeCell ref="CLK17:CLL17"/>
    <mergeCell ref="CLM17:CLN17"/>
    <mergeCell ref="CLO17:CLT17"/>
    <mergeCell ref="CJO17:CJP17"/>
    <mergeCell ref="CJQ17:CJR17"/>
    <mergeCell ref="CJS17:CJX17"/>
    <mergeCell ref="CJY17:CKB17"/>
    <mergeCell ref="CKC17:CKD17"/>
    <mergeCell ref="CKE17:CKF17"/>
    <mergeCell ref="CKG17:CKH17"/>
    <mergeCell ref="CKI17:CKN17"/>
    <mergeCell ref="CKO17:CKR17"/>
    <mergeCell ref="CIK17:CIL17"/>
    <mergeCell ref="CIM17:CIR17"/>
    <mergeCell ref="CIS17:CIV17"/>
    <mergeCell ref="CIW17:CIX17"/>
    <mergeCell ref="CIY17:CIZ17"/>
    <mergeCell ref="CJA17:CJB17"/>
    <mergeCell ref="CJC17:CJH17"/>
    <mergeCell ref="CJI17:CJL17"/>
    <mergeCell ref="CJM17:CJN17"/>
    <mergeCell ref="CHG17:CHL17"/>
    <mergeCell ref="CHM17:CHP17"/>
    <mergeCell ref="CHQ17:CHR17"/>
    <mergeCell ref="CHS17:CHT17"/>
    <mergeCell ref="CHU17:CHV17"/>
    <mergeCell ref="CHW17:CIB17"/>
    <mergeCell ref="CIC17:CIF17"/>
    <mergeCell ref="CIG17:CIH17"/>
    <mergeCell ref="CII17:CIJ17"/>
    <mergeCell ref="CGG17:CGJ17"/>
    <mergeCell ref="CGK17:CGL17"/>
    <mergeCell ref="CGM17:CGN17"/>
    <mergeCell ref="CGO17:CGP17"/>
    <mergeCell ref="CGQ17:CGV17"/>
    <mergeCell ref="CGW17:CGZ17"/>
    <mergeCell ref="CHA17:CHB17"/>
    <mergeCell ref="CHC17:CHD17"/>
    <mergeCell ref="CHE17:CHF17"/>
    <mergeCell ref="CFE17:CFF17"/>
    <mergeCell ref="CFG17:CFH17"/>
    <mergeCell ref="CFI17:CFJ17"/>
    <mergeCell ref="CFK17:CFP17"/>
    <mergeCell ref="CFQ17:CFT17"/>
    <mergeCell ref="CFU17:CFV17"/>
    <mergeCell ref="CFW17:CFX17"/>
    <mergeCell ref="CFY17:CFZ17"/>
    <mergeCell ref="CGA17:CGF17"/>
    <mergeCell ref="CEA17:CEB17"/>
    <mergeCell ref="CEC17:CED17"/>
    <mergeCell ref="CEE17:CEJ17"/>
    <mergeCell ref="CEK17:CEN17"/>
    <mergeCell ref="CEO17:CEP17"/>
    <mergeCell ref="CEQ17:CER17"/>
    <mergeCell ref="CES17:CET17"/>
    <mergeCell ref="CEU17:CEZ17"/>
    <mergeCell ref="CFA17:CFD17"/>
    <mergeCell ref="CCW17:CCX17"/>
    <mergeCell ref="CCY17:CDD17"/>
    <mergeCell ref="CDE17:CDH17"/>
    <mergeCell ref="CDI17:CDJ17"/>
    <mergeCell ref="CDK17:CDL17"/>
    <mergeCell ref="CDM17:CDN17"/>
    <mergeCell ref="CDO17:CDT17"/>
    <mergeCell ref="CDU17:CDX17"/>
    <mergeCell ref="CDY17:CDZ17"/>
    <mergeCell ref="CBS17:CBX17"/>
    <mergeCell ref="CBY17:CCB17"/>
    <mergeCell ref="CCC17:CCD17"/>
    <mergeCell ref="CCE17:CCF17"/>
    <mergeCell ref="CCG17:CCH17"/>
    <mergeCell ref="CCI17:CCN17"/>
    <mergeCell ref="CCO17:CCR17"/>
    <mergeCell ref="CCS17:CCT17"/>
    <mergeCell ref="CCU17:CCV17"/>
    <mergeCell ref="CAS17:CAV17"/>
    <mergeCell ref="CAW17:CAX17"/>
    <mergeCell ref="CAY17:CAZ17"/>
    <mergeCell ref="CBA17:CBB17"/>
    <mergeCell ref="CBC17:CBH17"/>
    <mergeCell ref="CBI17:CBL17"/>
    <mergeCell ref="CBM17:CBN17"/>
    <mergeCell ref="CBO17:CBP17"/>
    <mergeCell ref="CBQ17:CBR17"/>
    <mergeCell ref="BZQ17:BZR17"/>
    <mergeCell ref="BZS17:BZT17"/>
    <mergeCell ref="BZU17:BZV17"/>
    <mergeCell ref="BZW17:CAB17"/>
    <mergeCell ref="CAC17:CAF17"/>
    <mergeCell ref="CAG17:CAH17"/>
    <mergeCell ref="CAI17:CAJ17"/>
    <mergeCell ref="CAK17:CAL17"/>
    <mergeCell ref="CAM17:CAR17"/>
    <mergeCell ref="BYM17:BYN17"/>
    <mergeCell ref="BYO17:BYP17"/>
    <mergeCell ref="BYQ17:BYV17"/>
    <mergeCell ref="BYW17:BYZ17"/>
    <mergeCell ref="BZA17:BZB17"/>
    <mergeCell ref="BZC17:BZD17"/>
    <mergeCell ref="BZE17:BZF17"/>
    <mergeCell ref="BZG17:BZL17"/>
    <mergeCell ref="BZM17:BZP17"/>
    <mergeCell ref="BXI17:BXJ17"/>
    <mergeCell ref="BXK17:BXP17"/>
    <mergeCell ref="BXQ17:BXT17"/>
    <mergeCell ref="BXU17:BXV17"/>
    <mergeCell ref="BXW17:BXX17"/>
    <mergeCell ref="BXY17:BXZ17"/>
    <mergeCell ref="BYA17:BYF17"/>
    <mergeCell ref="BYG17:BYJ17"/>
    <mergeCell ref="BYK17:BYL17"/>
    <mergeCell ref="BWE17:BWJ17"/>
    <mergeCell ref="BWK17:BWN17"/>
    <mergeCell ref="BWO17:BWP17"/>
    <mergeCell ref="BWQ17:BWR17"/>
    <mergeCell ref="BWS17:BWT17"/>
    <mergeCell ref="BWU17:BWZ17"/>
    <mergeCell ref="BXA17:BXD17"/>
    <mergeCell ref="BXE17:BXF17"/>
    <mergeCell ref="BXG17:BXH17"/>
    <mergeCell ref="BVE17:BVH17"/>
    <mergeCell ref="BVI17:BVJ17"/>
    <mergeCell ref="BVK17:BVL17"/>
    <mergeCell ref="BVM17:BVN17"/>
    <mergeCell ref="BVO17:BVT17"/>
    <mergeCell ref="BVU17:BVX17"/>
    <mergeCell ref="BVY17:BVZ17"/>
    <mergeCell ref="BWA17:BWB17"/>
    <mergeCell ref="BWC17:BWD17"/>
    <mergeCell ref="BUC17:BUD17"/>
    <mergeCell ref="BUE17:BUF17"/>
    <mergeCell ref="BUG17:BUH17"/>
    <mergeCell ref="BUI17:BUN17"/>
    <mergeCell ref="BUO17:BUR17"/>
    <mergeCell ref="BUS17:BUT17"/>
    <mergeCell ref="BUU17:BUV17"/>
    <mergeCell ref="BUW17:BUX17"/>
    <mergeCell ref="BUY17:BVD17"/>
    <mergeCell ref="BSY17:BSZ17"/>
    <mergeCell ref="BTA17:BTB17"/>
    <mergeCell ref="BTC17:BTH17"/>
    <mergeCell ref="BTI17:BTL17"/>
    <mergeCell ref="BTM17:BTN17"/>
    <mergeCell ref="BTO17:BTP17"/>
    <mergeCell ref="BTQ17:BTR17"/>
    <mergeCell ref="BTS17:BTX17"/>
    <mergeCell ref="BTY17:BUB17"/>
    <mergeCell ref="BRU17:BRV17"/>
    <mergeCell ref="BRW17:BSB17"/>
    <mergeCell ref="BSC17:BSF17"/>
    <mergeCell ref="BSG17:BSH17"/>
    <mergeCell ref="BSI17:BSJ17"/>
    <mergeCell ref="BSK17:BSL17"/>
    <mergeCell ref="BSM17:BSR17"/>
    <mergeCell ref="BSS17:BSV17"/>
    <mergeCell ref="BSW17:BSX17"/>
    <mergeCell ref="BQQ17:BQV17"/>
    <mergeCell ref="BQW17:BQZ17"/>
    <mergeCell ref="BRA17:BRB17"/>
    <mergeCell ref="BRC17:BRD17"/>
    <mergeCell ref="BRE17:BRF17"/>
    <mergeCell ref="BRG17:BRL17"/>
    <mergeCell ref="BRM17:BRP17"/>
    <mergeCell ref="BRQ17:BRR17"/>
    <mergeCell ref="BRS17:BRT17"/>
    <mergeCell ref="BPQ17:BPT17"/>
    <mergeCell ref="BPU17:BPV17"/>
    <mergeCell ref="BPW17:BPX17"/>
    <mergeCell ref="BPY17:BPZ17"/>
    <mergeCell ref="BQA17:BQF17"/>
    <mergeCell ref="BQG17:BQJ17"/>
    <mergeCell ref="BQK17:BQL17"/>
    <mergeCell ref="BQM17:BQN17"/>
    <mergeCell ref="BQO17:BQP17"/>
    <mergeCell ref="BOO17:BOP17"/>
    <mergeCell ref="BOQ17:BOR17"/>
    <mergeCell ref="BOS17:BOT17"/>
    <mergeCell ref="BOU17:BOZ17"/>
    <mergeCell ref="BPA17:BPD17"/>
    <mergeCell ref="BPE17:BPF17"/>
    <mergeCell ref="BPG17:BPH17"/>
    <mergeCell ref="BPI17:BPJ17"/>
    <mergeCell ref="BPK17:BPP17"/>
    <mergeCell ref="BNK17:BNL17"/>
    <mergeCell ref="BNM17:BNN17"/>
    <mergeCell ref="BNO17:BNT17"/>
    <mergeCell ref="BNU17:BNX17"/>
    <mergeCell ref="BNY17:BNZ17"/>
    <mergeCell ref="BOA17:BOB17"/>
    <mergeCell ref="BOC17:BOD17"/>
    <mergeCell ref="BOE17:BOJ17"/>
    <mergeCell ref="BOK17:BON17"/>
    <mergeCell ref="BMG17:BMH17"/>
    <mergeCell ref="BMI17:BMN17"/>
    <mergeCell ref="BMO17:BMR17"/>
    <mergeCell ref="BMS17:BMT17"/>
    <mergeCell ref="BMU17:BMV17"/>
    <mergeCell ref="BMW17:BMX17"/>
    <mergeCell ref="BMY17:BND17"/>
    <mergeCell ref="BNE17:BNH17"/>
    <mergeCell ref="BNI17:BNJ17"/>
    <mergeCell ref="BLC17:BLH17"/>
    <mergeCell ref="BLI17:BLL17"/>
    <mergeCell ref="BLM17:BLN17"/>
    <mergeCell ref="BLO17:BLP17"/>
    <mergeCell ref="BLQ17:BLR17"/>
    <mergeCell ref="BLS17:BLX17"/>
    <mergeCell ref="BLY17:BMB17"/>
    <mergeCell ref="BMC17:BMD17"/>
    <mergeCell ref="BME17:BMF17"/>
    <mergeCell ref="BKC17:BKF17"/>
    <mergeCell ref="BKG17:BKH17"/>
    <mergeCell ref="BKI17:BKJ17"/>
    <mergeCell ref="BKK17:BKL17"/>
    <mergeCell ref="BKM17:BKR17"/>
    <mergeCell ref="BKS17:BKV17"/>
    <mergeCell ref="BKW17:BKX17"/>
    <mergeCell ref="BKY17:BKZ17"/>
    <mergeCell ref="BLA17:BLB17"/>
    <mergeCell ref="BJA17:BJB17"/>
    <mergeCell ref="BJC17:BJD17"/>
    <mergeCell ref="BJE17:BJF17"/>
    <mergeCell ref="BJG17:BJL17"/>
    <mergeCell ref="BJM17:BJP17"/>
    <mergeCell ref="BJQ17:BJR17"/>
    <mergeCell ref="BJS17:BJT17"/>
    <mergeCell ref="BJU17:BJV17"/>
    <mergeCell ref="BJW17:BKB17"/>
    <mergeCell ref="BHW17:BHX17"/>
    <mergeCell ref="BHY17:BHZ17"/>
    <mergeCell ref="BIA17:BIF17"/>
    <mergeCell ref="BIG17:BIJ17"/>
    <mergeCell ref="BIK17:BIL17"/>
    <mergeCell ref="BIM17:BIN17"/>
    <mergeCell ref="BIO17:BIP17"/>
    <mergeCell ref="BIQ17:BIV17"/>
    <mergeCell ref="BIW17:BIZ17"/>
    <mergeCell ref="BGS17:BGT17"/>
    <mergeCell ref="BGU17:BGZ17"/>
    <mergeCell ref="BHA17:BHD17"/>
    <mergeCell ref="BHE17:BHF17"/>
    <mergeCell ref="BHG17:BHH17"/>
    <mergeCell ref="BHI17:BHJ17"/>
    <mergeCell ref="BHK17:BHP17"/>
    <mergeCell ref="BHQ17:BHT17"/>
    <mergeCell ref="BHU17:BHV17"/>
    <mergeCell ref="BFO17:BFT17"/>
    <mergeCell ref="BFU17:BFX17"/>
    <mergeCell ref="BFY17:BFZ17"/>
    <mergeCell ref="BGA17:BGB17"/>
    <mergeCell ref="BGC17:BGD17"/>
    <mergeCell ref="BGE17:BGJ17"/>
    <mergeCell ref="BGK17:BGN17"/>
    <mergeCell ref="BGO17:BGP17"/>
    <mergeCell ref="BGQ17:BGR17"/>
    <mergeCell ref="BEO17:BER17"/>
    <mergeCell ref="BES17:BET17"/>
    <mergeCell ref="BEU17:BEV17"/>
    <mergeCell ref="BEW17:BEX17"/>
    <mergeCell ref="BEY17:BFD17"/>
    <mergeCell ref="BFE17:BFH17"/>
    <mergeCell ref="BFI17:BFJ17"/>
    <mergeCell ref="BFK17:BFL17"/>
    <mergeCell ref="BFM17:BFN17"/>
    <mergeCell ref="BDM17:BDN17"/>
    <mergeCell ref="BDO17:BDP17"/>
    <mergeCell ref="BDQ17:BDR17"/>
    <mergeCell ref="BDS17:BDX17"/>
    <mergeCell ref="BDY17:BEB17"/>
    <mergeCell ref="BEC17:BED17"/>
    <mergeCell ref="BEE17:BEF17"/>
    <mergeCell ref="BEG17:BEH17"/>
    <mergeCell ref="BEI17:BEN17"/>
    <mergeCell ref="BCI17:BCJ17"/>
    <mergeCell ref="BCK17:BCL17"/>
    <mergeCell ref="BCM17:BCR17"/>
    <mergeCell ref="BCS17:BCV17"/>
    <mergeCell ref="BCW17:BCX17"/>
    <mergeCell ref="BCY17:BCZ17"/>
    <mergeCell ref="BDA17:BDB17"/>
    <mergeCell ref="BDC17:BDH17"/>
    <mergeCell ref="BDI17:BDL17"/>
    <mergeCell ref="BBE17:BBF17"/>
    <mergeCell ref="BBG17:BBL17"/>
    <mergeCell ref="BBM17:BBP17"/>
    <mergeCell ref="BBQ17:BBR17"/>
    <mergeCell ref="BBS17:BBT17"/>
    <mergeCell ref="BBU17:BBV17"/>
    <mergeCell ref="BBW17:BCB17"/>
    <mergeCell ref="BCC17:BCF17"/>
    <mergeCell ref="BCG17:BCH17"/>
    <mergeCell ref="BAA17:BAF17"/>
    <mergeCell ref="BAG17:BAJ17"/>
    <mergeCell ref="BAK17:BAL17"/>
    <mergeCell ref="BAM17:BAN17"/>
    <mergeCell ref="BAO17:BAP17"/>
    <mergeCell ref="BAQ17:BAV17"/>
    <mergeCell ref="BAW17:BAZ17"/>
    <mergeCell ref="BBA17:BBB17"/>
    <mergeCell ref="BBC17:BBD17"/>
    <mergeCell ref="AZA17:AZD17"/>
    <mergeCell ref="AZE17:AZF17"/>
    <mergeCell ref="AZG17:AZH17"/>
    <mergeCell ref="AZI17:AZJ17"/>
    <mergeCell ref="AZK17:AZP17"/>
    <mergeCell ref="AZQ17:AZT17"/>
    <mergeCell ref="AZU17:AZV17"/>
    <mergeCell ref="AZW17:AZX17"/>
    <mergeCell ref="AZY17:AZZ17"/>
    <mergeCell ref="AXY17:AXZ17"/>
    <mergeCell ref="AYA17:AYB17"/>
    <mergeCell ref="AYC17:AYD17"/>
    <mergeCell ref="AYE17:AYJ17"/>
    <mergeCell ref="AYK17:AYN17"/>
    <mergeCell ref="AYO17:AYP17"/>
    <mergeCell ref="AYQ17:AYR17"/>
    <mergeCell ref="AYS17:AYT17"/>
    <mergeCell ref="AYU17:AYZ17"/>
    <mergeCell ref="AWU17:AWV17"/>
    <mergeCell ref="AWW17:AWX17"/>
    <mergeCell ref="AWY17:AXD17"/>
    <mergeCell ref="AXE17:AXH17"/>
    <mergeCell ref="AXI17:AXJ17"/>
    <mergeCell ref="AXK17:AXL17"/>
    <mergeCell ref="AXM17:AXN17"/>
    <mergeCell ref="AXO17:AXT17"/>
    <mergeCell ref="AXU17:AXX17"/>
    <mergeCell ref="AVQ17:AVR17"/>
    <mergeCell ref="AVS17:AVX17"/>
    <mergeCell ref="AVY17:AWB17"/>
    <mergeCell ref="AWC17:AWD17"/>
    <mergeCell ref="AWE17:AWF17"/>
    <mergeCell ref="AWG17:AWH17"/>
    <mergeCell ref="AWI17:AWN17"/>
    <mergeCell ref="AWO17:AWR17"/>
    <mergeCell ref="AWS17:AWT17"/>
    <mergeCell ref="AUM17:AUR17"/>
    <mergeCell ref="AUS17:AUV17"/>
    <mergeCell ref="AUW17:AUX17"/>
    <mergeCell ref="AUY17:AUZ17"/>
    <mergeCell ref="AVA17:AVB17"/>
    <mergeCell ref="AVC17:AVH17"/>
    <mergeCell ref="AVI17:AVL17"/>
    <mergeCell ref="AVM17:AVN17"/>
    <mergeCell ref="AVO17:AVP17"/>
    <mergeCell ref="ATM17:ATP17"/>
    <mergeCell ref="ATQ17:ATR17"/>
    <mergeCell ref="ATS17:ATT17"/>
    <mergeCell ref="ATU17:ATV17"/>
    <mergeCell ref="ATW17:AUB17"/>
    <mergeCell ref="AUC17:AUF17"/>
    <mergeCell ref="AUG17:AUH17"/>
    <mergeCell ref="AUI17:AUJ17"/>
    <mergeCell ref="AUK17:AUL17"/>
    <mergeCell ref="ASK17:ASL17"/>
    <mergeCell ref="ASM17:ASN17"/>
    <mergeCell ref="ASO17:ASP17"/>
    <mergeCell ref="ASQ17:ASV17"/>
    <mergeCell ref="ASW17:ASZ17"/>
    <mergeCell ref="ATA17:ATB17"/>
    <mergeCell ref="ATC17:ATD17"/>
    <mergeCell ref="ATE17:ATF17"/>
    <mergeCell ref="ATG17:ATL17"/>
    <mergeCell ref="ARG17:ARH17"/>
    <mergeCell ref="ARI17:ARJ17"/>
    <mergeCell ref="ARK17:ARP17"/>
    <mergeCell ref="ARQ17:ART17"/>
    <mergeCell ref="ARU17:ARV17"/>
    <mergeCell ref="ARW17:ARX17"/>
    <mergeCell ref="ARY17:ARZ17"/>
    <mergeCell ref="ASA17:ASF17"/>
    <mergeCell ref="ASG17:ASJ17"/>
    <mergeCell ref="AQC17:AQD17"/>
    <mergeCell ref="AQE17:AQJ17"/>
    <mergeCell ref="AQK17:AQN17"/>
    <mergeCell ref="AQO17:AQP17"/>
    <mergeCell ref="AQQ17:AQR17"/>
    <mergeCell ref="AQS17:AQT17"/>
    <mergeCell ref="AQU17:AQZ17"/>
    <mergeCell ref="ARA17:ARD17"/>
    <mergeCell ref="ARE17:ARF17"/>
    <mergeCell ref="AOY17:APD17"/>
    <mergeCell ref="APE17:APH17"/>
    <mergeCell ref="API17:APJ17"/>
    <mergeCell ref="APK17:APL17"/>
    <mergeCell ref="APM17:APN17"/>
    <mergeCell ref="APO17:APT17"/>
    <mergeCell ref="APU17:APX17"/>
    <mergeCell ref="APY17:APZ17"/>
    <mergeCell ref="AQA17:AQB17"/>
    <mergeCell ref="ANY17:AOB17"/>
    <mergeCell ref="AOC17:AOD17"/>
    <mergeCell ref="AOE17:AOF17"/>
    <mergeCell ref="AOG17:AOH17"/>
    <mergeCell ref="AOI17:AON17"/>
    <mergeCell ref="AOO17:AOR17"/>
    <mergeCell ref="AOS17:AOT17"/>
    <mergeCell ref="AOU17:AOV17"/>
    <mergeCell ref="AOW17:AOX17"/>
    <mergeCell ref="AMW17:AMX17"/>
    <mergeCell ref="AMY17:AMZ17"/>
    <mergeCell ref="ANA17:ANB17"/>
    <mergeCell ref="ANC17:ANH17"/>
    <mergeCell ref="ANI17:ANL17"/>
    <mergeCell ref="ANM17:ANN17"/>
    <mergeCell ref="ANO17:ANP17"/>
    <mergeCell ref="ANQ17:ANR17"/>
    <mergeCell ref="ANS17:ANX17"/>
    <mergeCell ref="ALS17:ALT17"/>
    <mergeCell ref="ALU17:ALV17"/>
    <mergeCell ref="ALW17:AMB17"/>
    <mergeCell ref="AMC17:AMF17"/>
    <mergeCell ref="AMG17:AMH17"/>
    <mergeCell ref="AMI17:AMJ17"/>
    <mergeCell ref="AMK17:AML17"/>
    <mergeCell ref="AMM17:AMR17"/>
    <mergeCell ref="AMS17:AMV17"/>
    <mergeCell ref="AKO17:AKP17"/>
    <mergeCell ref="AKQ17:AKV17"/>
    <mergeCell ref="AKW17:AKZ17"/>
    <mergeCell ref="ALA17:ALB17"/>
    <mergeCell ref="ALC17:ALD17"/>
    <mergeCell ref="ALE17:ALF17"/>
    <mergeCell ref="ALG17:ALL17"/>
    <mergeCell ref="ALM17:ALP17"/>
    <mergeCell ref="ALQ17:ALR17"/>
    <mergeCell ref="AJK17:AJP17"/>
    <mergeCell ref="AJQ17:AJT17"/>
    <mergeCell ref="AJU17:AJV17"/>
    <mergeCell ref="AJW17:AJX17"/>
    <mergeCell ref="AJY17:AJZ17"/>
    <mergeCell ref="AKA17:AKF17"/>
    <mergeCell ref="AKG17:AKJ17"/>
    <mergeCell ref="AKK17:AKL17"/>
    <mergeCell ref="AKM17:AKN17"/>
    <mergeCell ref="AIK17:AIN17"/>
    <mergeCell ref="AIO17:AIP17"/>
    <mergeCell ref="AIQ17:AIR17"/>
    <mergeCell ref="AIS17:AIT17"/>
    <mergeCell ref="AIU17:AIZ17"/>
    <mergeCell ref="AJA17:AJD17"/>
    <mergeCell ref="AJE17:AJF17"/>
    <mergeCell ref="AJG17:AJH17"/>
    <mergeCell ref="AJI17:AJJ17"/>
    <mergeCell ref="AHI17:AHJ17"/>
    <mergeCell ref="AHK17:AHL17"/>
    <mergeCell ref="AHM17:AHN17"/>
    <mergeCell ref="AHO17:AHT17"/>
    <mergeCell ref="AHU17:AHX17"/>
    <mergeCell ref="AHY17:AHZ17"/>
    <mergeCell ref="AIA17:AIB17"/>
    <mergeCell ref="AIC17:AID17"/>
    <mergeCell ref="AIE17:AIJ17"/>
    <mergeCell ref="AGE17:AGF17"/>
    <mergeCell ref="AGG17:AGH17"/>
    <mergeCell ref="AGI17:AGN17"/>
    <mergeCell ref="AGO17:AGR17"/>
    <mergeCell ref="AGS17:AGT17"/>
    <mergeCell ref="AGU17:AGV17"/>
    <mergeCell ref="AGW17:AGX17"/>
    <mergeCell ref="AGY17:AHD17"/>
    <mergeCell ref="AHE17:AHH17"/>
    <mergeCell ref="AFA17:AFB17"/>
    <mergeCell ref="AFC17:AFH17"/>
    <mergeCell ref="AFI17:AFL17"/>
    <mergeCell ref="AFM17:AFN17"/>
    <mergeCell ref="AFO17:AFP17"/>
    <mergeCell ref="AFQ17:AFR17"/>
    <mergeCell ref="AFS17:AFX17"/>
    <mergeCell ref="AFY17:AGB17"/>
    <mergeCell ref="AGC17:AGD17"/>
    <mergeCell ref="ADW17:AEB17"/>
    <mergeCell ref="AEC17:AEF17"/>
    <mergeCell ref="AEG17:AEH17"/>
    <mergeCell ref="AEI17:AEJ17"/>
    <mergeCell ref="AEK17:AEL17"/>
    <mergeCell ref="AEM17:AER17"/>
    <mergeCell ref="AES17:AEV17"/>
    <mergeCell ref="AEW17:AEX17"/>
    <mergeCell ref="AEY17:AEZ17"/>
    <mergeCell ref="ACW17:ACZ17"/>
    <mergeCell ref="ADA17:ADB17"/>
    <mergeCell ref="ADC17:ADD17"/>
    <mergeCell ref="ADE17:ADF17"/>
    <mergeCell ref="ADG17:ADL17"/>
    <mergeCell ref="ADM17:ADP17"/>
    <mergeCell ref="ADQ17:ADR17"/>
    <mergeCell ref="ADS17:ADT17"/>
    <mergeCell ref="ADU17:ADV17"/>
    <mergeCell ref="ABU17:ABV17"/>
    <mergeCell ref="ABW17:ABX17"/>
    <mergeCell ref="ABY17:ABZ17"/>
    <mergeCell ref="ACA17:ACF17"/>
    <mergeCell ref="ACG17:ACJ17"/>
    <mergeCell ref="ACK17:ACL17"/>
    <mergeCell ref="ACM17:ACN17"/>
    <mergeCell ref="ACO17:ACP17"/>
    <mergeCell ref="ACQ17:ACV17"/>
    <mergeCell ref="AAQ17:AAR17"/>
    <mergeCell ref="AAS17:AAT17"/>
    <mergeCell ref="AAU17:AAZ17"/>
    <mergeCell ref="ABA17:ABD17"/>
    <mergeCell ref="ABE17:ABF17"/>
    <mergeCell ref="ABG17:ABH17"/>
    <mergeCell ref="ABI17:ABJ17"/>
    <mergeCell ref="ABK17:ABP17"/>
    <mergeCell ref="ABQ17:ABT17"/>
    <mergeCell ref="ZM17:ZN17"/>
    <mergeCell ref="ZO17:ZT17"/>
    <mergeCell ref="ZU17:ZX17"/>
    <mergeCell ref="ZY17:ZZ17"/>
    <mergeCell ref="AAA17:AAB17"/>
    <mergeCell ref="AAC17:AAD17"/>
    <mergeCell ref="AAE17:AAJ17"/>
    <mergeCell ref="AAK17:AAN17"/>
    <mergeCell ref="AAO17:AAP17"/>
    <mergeCell ref="YI17:YN17"/>
    <mergeCell ref="YO17:YR17"/>
    <mergeCell ref="YS17:YT17"/>
    <mergeCell ref="YU17:YV17"/>
    <mergeCell ref="YW17:YX17"/>
    <mergeCell ref="YY17:ZD17"/>
    <mergeCell ref="ZE17:ZH17"/>
    <mergeCell ref="ZI17:ZJ17"/>
    <mergeCell ref="ZK17:ZL17"/>
    <mergeCell ref="XI17:XL17"/>
    <mergeCell ref="XM17:XN17"/>
    <mergeCell ref="XO17:XP17"/>
    <mergeCell ref="XQ17:XR17"/>
    <mergeCell ref="XS17:XX17"/>
    <mergeCell ref="XY17:YB17"/>
    <mergeCell ref="YC17:YD17"/>
    <mergeCell ref="YE17:YF17"/>
    <mergeCell ref="YG17:YH17"/>
    <mergeCell ref="WG17:WH17"/>
    <mergeCell ref="WI17:WJ17"/>
    <mergeCell ref="WK17:WL17"/>
    <mergeCell ref="WM17:WR17"/>
    <mergeCell ref="WS17:WV17"/>
    <mergeCell ref="WW17:WX17"/>
    <mergeCell ref="WY17:WZ17"/>
    <mergeCell ref="XA17:XB17"/>
    <mergeCell ref="XC17:XH17"/>
    <mergeCell ref="VC17:VD17"/>
    <mergeCell ref="VE17:VF17"/>
    <mergeCell ref="VG17:VL17"/>
    <mergeCell ref="VM17:VP17"/>
    <mergeCell ref="VQ17:VR17"/>
    <mergeCell ref="VS17:VT17"/>
    <mergeCell ref="VU17:VV17"/>
    <mergeCell ref="VW17:WB17"/>
    <mergeCell ref="WC17:WF17"/>
    <mergeCell ref="TY17:TZ17"/>
    <mergeCell ref="UA17:UF17"/>
    <mergeCell ref="UG17:UJ17"/>
    <mergeCell ref="UK17:UL17"/>
    <mergeCell ref="UM17:UN17"/>
    <mergeCell ref="UO17:UP17"/>
    <mergeCell ref="UQ17:UV17"/>
    <mergeCell ref="UW17:UZ17"/>
    <mergeCell ref="VA17:VB17"/>
    <mergeCell ref="SU17:SZ17"/>
    <mergeCell ref="TA17:TD17"/>
    <mergeCell ref="TE17:TF17"/>
    <mergeCell ref="TG17:TH17"/>
    <mergeCell ref="TI17:TJ17"/>
    <mergeCell ref="TK17:TP17"/>
    <mergeCell ref="TQ17:TT17"/>
    <mergeCell ref="TU17:TV17"/>
    <mergeCell ref="TW17:TX17"/>
    <mergeCell ref="RU17:RX17"/>
    <mergeCell ref="RY17:RZ17"/>
    <mergeCell ref="SA17:SB17"/>
    <mergeCell ref="SC17:SD17"/>
    <mergeCell ref="SE17:SJ17"/>
    <mergeCell ref="SK17:SN17"/>
    <mergeCell ref="SO17:SP17"/>
    <mergeCell ref="SQ17:SR17"/>
    <mergeCell ref="SS17:ST17"/>
    <mergeCell ref="QS17:QT17"/>
    <mergeCell ref="QU17:QV17"/>
    <mergeCell ref="QW17:QX17"/>
    <mergeCell ref="QY17:RD17"/>
    <mergeCell ref="RE17:RH17"/>
    <mergeCell ref="RI17:RJ17"/>
    <mergeCell ref="RK17:RL17"/>
    <mergeCell ref="RM17:RN17"/>
    <mergeCell ref="RO17:RT17"/>
    <mergeCell ref="PO17:PP17"/>
    <mergeCell ref="PQ17:PR17"/>
    <mergeCell ref="PS17:PX17"/>
    <mergeCell ref="PY17:QB17"/>
    <mergeCell ref="QC17:QD17"/>
    <mergeCell ref="QE17:QF17"/>
    <mergeCell ref="QG17:QH17"/>
    <mergeCell ref="QI17:QN17"/>
    <mergeCell ref="QO17:QR17"/>
    <mergeCell ref="OK17:OL17"/>
    <mergeCell ref="OM17:OR17"/>
    <mergeCell ref="OS17:OV17"/>
    <mergeCell ref="OW17:OX17"/>
    <mergeCell ref="OY17:OZ17"/>
    <mergeCell ref="PA17:PB17"/>
    <mergeCell ref="PC17:PH17"/>
    <mergeCell ref="PI17:PL17"/>
    <mergeCell ref="PM17:PN17"/>
    <mergeCell ref="NG17:NL17"/>
    <mergeCell ref="NM17:NP17"/>
    <mergeCell ref="NQ17:NR17"/>
    <mergeCell ref="NS17:NT17"/>
    <mergeCell ref="NU17:NV17"/>
    <mergeCell ref="NW17:OB17"/>
    <mergeCell ref="OC17:OF17"/>
    <mergeCell ref="OG17:OH17"/>
    <mergeCell ref="OI17:OJ17"/>
    <mergeCell ref="MG17:MJ17"/>
    <mergeCell ref="MK17:ML17"/>
    <mergeCell ref="MM17:MN17"/>
    <mergeCell ref="MO17:MP17"/>
    <mergeCell ref="MQ17:MV17"/>
    <mergeCell ref="MW17:MZ17"/>
    <mergeCell ref="NA17:NB17"/>
    <mergeCell ref="NC17:ND17"/>
    <mergeCell ref="NE17:NF17"/>
    <mergeCell ref="LE17:LF17"/>
    <mergeCell ref="LG17:LH17"/>
    <mergeCell ref="LI17:LJ17"/>
    <mergeCell ref="LK17:LP17"/>
    <mergeCell ref="LQ17:LT17"/>
    <mergeCell ref="LU17:LV17"/>
    <mergeCell ref="LW17:LX17"/>
    <mergeCell ref="LY17:LZ17"/>
    <mergeCell ref="MA17:MF17"/>
    <mergeCell ref="KA17:KB17"/>
    <mergeCell ref="KC17:KD17"/>
    <mergeCell ref="KE17:KJ17"/>
    <mergeCell ref="KK17:KN17"/>
    <mergeCell ref="KO17:KP17"/>
    <mergeCell ref="KQ17:KR17"/>
    <mergeCell ref="KS17:KT17"/>
    <mergeCell ref="KU17:KZ17"/>
    <mergeCell ref="LA17:LD17"/>
    <mergeCell ref="IW17:IX17"/>
    <mergeCell ref="IY17:JD17"/>
    <mergeCell ref="JE17:JH17"/>
    <mergeCell ref="JI17:JJ17"/>
    <mergeCell ref="JK17:JL17"/>
    <mergeCell ref="JM17:JN17"/>
    <mergeCell ref="JO17:JT17"/>
    <mergeCell ref="JU17:JX17"/>
    <mergeCell ref="JY17:JZ17"/>
    <mergeCell ref="HS17:HX17"/>
    <mergeCell ref="HY17:IB17"/>
    <mergeCell ref="IC17:ID17"/>
    <mergeCell ref="IE17:IF17"/>
    <mergeCell ref="IG17:IH17"/>
    <mergeCell ref="II17:IN17"/>
    <mergeCell ref="IO17:IR17"/>
    <mergeCell ref="IS17:IT17"/>
    <mergeCell ref="IU17:IV17"/>
    <mergeCell ref="AW18:AX18"/>
    <mergeCell ref="AY18:BD18"/>
    <mergeCell ref="BE18:BH18"/>
    <mergeCell ref="BI18:BJ18"/>
    <mergeCell ref="BK18:BL18"/>
    <mergeCell ref="BM18:BN18"/>
    <mergeCell ref="BO18:BT18"/>
    <mergeCell ref="BU18:BX18"/>
    <mergeCell ref="BY18:BZ18"/>
    <mergeCell ref="S18:X18"/>
    <mergeCell ref="Y18:AB18"/>
    <mergeCell ref="AC18:AD18"/>
    <mergeCell ref="AE18:AF18"/>
    <mergeCell ref="AG18:AH18"/>
    <mergeCell ref="AI18:AN18"/>
    <mergeCell ref="AO18:AR18"/>
    <mergeCell ref="AS18:AT18"/>
    <mergeCell ref="AU18:AV18"/>
    <mergeCell ref="GS17:GV17"/>
    <mergeCell ref="GW17:GX17"/>
    <mergeCell ref="GY17:GZ17"/>
    <mergeCell ref="HA17:HB17"/>
    <mergeCell ref="HC17:HH17"/>
    <mergeCell ref="HI17:HL17"/>
    <mergeCell ref="HM17:HN17"/>
    <mergeCell ref="HO17:HP17"/>
    <mergeCell ref="HQ17:HR17"/>
    <mergeCell ref="FQ17:FR17"/>
    <mergeCell ref="FS17:FT17"/>
    <mergeCell ref="FU17:FV17"/>
    <mergeCell ref="FW17:GB17"/>
    <mergeCell ref="GC17:GF17"/>
    <mergeCell ref="GG17:GH17"/>
    <mergeCell ref="GI17:GJ17"/>
    <mergeCell ref="GK17:GL17"/>
    <mergeCell ref="GM17:GR17"/>
    <mergeCell ref="EM17:EN17"/>
    <mergeCell ref="EO17:EP17"/>
    <mergeCell ref="EQ17:EV17"/>
    <mergeCell ref="EW17:EZ17"/>
    <mergeCell ref="FA17:FB17"/>
    <mergeCell ref="FC17:FD17"/>
    <mergeCell ref="FE17:FF17"/>
    <mergeCell ref="FG17:FL17"/>
    <mergeCell ref="FM17:FP17"/>
    <mergeCell ref="DI17:DJ17"/>
    <mergeCell ref="DK17:DP17"/>
    <mergeCell ref="DQ17:DT17"/>
    <mergeCell ref="DU17:DV17"/>
    <mergeCell ref="DW17:DX17"/>
    <mergeCell ref="DY17:DZ17"/>
    <mergeCell ref="EA17:EF17"/>
    <mergeCell ref="EG17:EJ17"/>
    <mergeCell ref="EK17:EL17"/>
    <mergeCell ref="EK18:EL18"/>
    <mergeCell ref="EM18:EN18"/>
    <mergeCell ref="EO18:EP18"/>
    <mergeCell ref="EQ18:EV18"/>
    <mergeCell ref="EW18:EZ18"/>
    <mergeCell ref="FA18:FB18"/>
    <mergeCell ref="FC18:FD18"/>
    <mergeCell ref="FE18:FF18"/>
    <mergeCell ref="DE18:DF18"/>
    <mergeCell ref="DG18:DH18"/>
    <mergeCell ref="A5:B5"/>
    <mergeCell ref="C5:P5"/>
    <mergeCell ref="D1:G1"/>
    <mergeCell ref="I1:J1"/>
    <mergeCell ref="L1:M1"/>
    <mergeCell ref="D2:G2"/>
    <mergeCell ref="I2:J2"/>
    <mergeCell ref="L2:M2"/>
    <mergeCell ref="H4:P4"/>
    <mergeCell ref="A4:G4"/>
    <mergeCell ref="D3:G3"/>
    <mergeCell ref="CE17:CJ17"/>
    <mergeCell ref="CK17:CN17"/>
    <mergeCell ref="CO17:CP17"/>
    <mergeCell ref="CQ17:CR17"/>
    <mergeCell ref="CS17:CT17"/>
    <mergeCell ref="CU17:CZ17"/>
    <mergeCell ref="DA17:DD17"/>
    <mergeCell ref="DE17:DF17"/>
    <mergeCell ref="DG17:DH17"/>
    <mergeCell ref="BE17:BH17"/>
    <mergeCell ref="BI17:BJ17"/>
    <mergeCell ref="BK17:BL17"/>
    <mergeCell ref="BM17:BN17"/>
    <mergeCell ref="BO17:BT17"/>
    <mergeCell ref="BU17:BX17"/>
    <mergeCell ref="BY17:BZ17"/>
    <mergeCell ref="CA17:CB17"/>
    <mergeCell ref="CC17:CD17"/>
    <mergeCell ref="AC17:AD17"/>
    <mergeCell ref="AE17:AF17"/>
    <mergeCell ref="AG17:AH17"/>
    <mergeCell ref="AI17:AN17"/>
    <mergeCell ref="AO17:AR17"/>
    <mergeCell ref="AS17:AT17"/>
    <mergeCell ref="AU17:AV17"/>
    <mergeCell ref="AW17:AX17"/>
    <mergeCell ref="AY17:BD17"/>
    <mergeCell ref="Q17:R17"/>
    <mergeCell ref="S17:X17"/>
    <mergeCell ref="Y17:AB17"/>
    <mergeCell ref="AO11:AR11"/>
    <mergeCell ref="AS11:AT11"/>
    <mergeCell ref="AU11:AV11"/>
    <mergeCell ref="AW11:AX11"/>
    <mergeCell ref="AY11:BD11"/>
    <mergeCell ref="Q11:R11"/>
    <mergeCell ref="S11:X11"/>
    <mergeCell ref="Y11:AB11"/>
    <mergeCell ref="Q9:R9"/>
    <mergeCell ref="S9:X9"/>
    <mergeCell ref="Y9:AB9"/>
    <mergeCell ref="AC9:AD9"/>
    <mergeCell ref="AE9:AF9"/>
    <mergeCell ref="AG9:AH9"/>
    <mergeCell ref="AI9:AN9"/>
    <mergeCell ref="AO9:AR9"/>
    <mergeCell ref="A6:D6"/>
    <mergeCell ref="G20:H20"/>
    <mergeCell ref="I20:J20"/>
    <mergeCell ref="K20:P20"/>
    <mergeCell ref="E6:F6"/>
    <mergeCell ref="G6:H6"/>
    <mergeCell ref="I6:J6"/>
    <mergeCell ref="K6:P6"/>
    <mergeCell ref="A8:D8"/>
    <mergeCell ref="E8:F8"/>
    <mergeCell ref="G8:H8"/>
    <mergeCell ref="I8:J8"/>
    <mergeCell ref="K8:P8"/>
    <mergeCell ref="A13:D13"/>
    <mergeCell ref="E13:F13"/>
    <mergeCell ref="G13:H13"/>
    <mergeCell ref="I13:J13"/>
    <mergeCell ref="K13:P13"/>
    <mergeCell ref="A7:D7"/>
    <mergeCell ref="E7:F7"/>
    <mergeCell ref="A17:D17"/>
    <mergeCell ref="E17:F17"/>
    <mergeCell ref="G17:H17"/>
    <mergeCell ref="I17:J17"/>
    <mergeCell ref="K17:P17"/>
    <mergeCell ref="A19:D19"/>
    <mergeCell ref="E19:F19"/>
    <mergeCell ref="G19:H19"/>
    <mergeCell ref="I19:J19"/>
    <mergeCell ref="K19:P19"/>
    <mergeCell ref="G7:H7"/>
    <mergeCell ref="A20:D20"/>
    <mergeCell ref="E20:F20"/>
    <mergeCell ref="G10:H10"/>
    <mergeCell ref="G12:H12"/>
    <mergeCell ref="G16:H16"/>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7700-000000000000}">
      <formula1>AvancementTheme</formula1>
    </dataValidation>
  </dataValidation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3">
    <tabColor rgb="FFFFC000"/>
    <pageSetUpPr fitToPage="1"/>
  </sheetPr>
  <dimension ref="A1:Z70"/>
  <sheetViews>
    <sheetView showGridLines="0" showRowColHeaders="0" zoomScaleNormal="100" workbookViewId="0">
      <selection activeCell="D2" sqref="D2:G2"/>
    </sheetView>
  </sheetViews>
  <sheetFormatPr baseColWidth="10" defaultColWidth="11.453125" defaultRowHeight="14.5" x14ac:dyDescent="0.35"/>
  <cols>
    <col min="1" max="3" width="11.453125" style="60"/>
    <col min="4" max="4" width="11.453125" style="60" customWidth="1"/>
    <col min="5" max="11" width="11.453125" style="60"/>
    <col min="12" max="12" width="12.81640625" style="60" customWidth="1"/>
    <col min="13" max="13" width="11.453125" style="60" customWidth="1"/>
    <col min="14" max="14" width="11.453125" style="60"/>
    <col min="15" max="15" width="11.453125" style="60" customWidth="1"/>
    <col min="16" max="16384" width="11.453125" style="60"/>
  </cols>
  <sheetData>
    <row r="1" spans="1:25" s="54" customFormat="1" ht="15" customHeight="1" x14ac:dyDescent="0.35">
      <c r="A1" s="389"/>
      <c r="B1" s="389"/>
      <c r="C1" s="389"/>
      <c r="D1" s="3341" t="s">
        <v>5</v>
      </c>
      <c r="E1" s="3341"/>
      <c r="F1" s="3341"/>
      <c r="G1" s="3341"/>
      <c r="H1" s="391"/>
      <c r="I1" s="3341" t="s">
        <v>6</v>
      </c>
      <c r="J1" s="3341"/>
      <c r="K1" s="389"/>
      <c r="L1" s="3341" t="s">
        <v>9</v>
      </c>
      <c r="M1" s="3341"/>
      <c r="N1" s="389"/>
      <c r="O1" s="479"/>
      <c r="P1" s="479"/>
      <c r="Q1" s="458"/>
    </row>
    <row r="2" spans="1:25" s="58" customFormat="1" ht="18" customHeight="1" x14ac:dyDescent="0.35">
      <c r="A2" s="393"/>
      <c r="B2" s="393"/>
      <c r="C2" s="393"/>
      <c r="D2" s="3342" t="str">
        <f>NomClient</f>
        <v xml:space="preserve">EQUINIX </v>
      </c>
      <c r="E2" s="3343"/>
      <c r="F2" s="3343"/>
      <c r="G2" s="3344"/>
      <c r="H2" s="393"/>
      <c r="I2" s="3345" t="s">
        <v>407</v>
      </c>
      <c r="J2" s="3346"/>
      <c r="K2" s="393"/>
      <c r="L2" s="3347">
        <v>42441.713819444441</v>
      </c>
      <c r="M2" s="3348"/>
      <c r="N2" s="394"/>
      <c r="O2" s="451"/>
      <c r="P2" s="451"/>
      <c r="Q2" s="459"/>
    </row>
    <row r="3" spans="1:25" ht="12.75" customHeight="1" thickBot="1" x14ac:dyDescent="0.4">
      <c r="A3" s="396"/>
      <c r="B3" s="396"/>
      <c r="C3" s="396"/>
      <c r="D3" s="3937" t="s">
        <v>1792</v>
      </c>
      <c r="E3" s="3937"/>
      <c r="F3" s="3937"/>
      <c r="G3" s="3937"/>
      <c r="H3" s="396"/>
      <c r="I3" s="396"/>
      <c r="J3" s="396"/>
      <c r="K3" s="396"/>
      <c r="L3" s="396"/>
      <c r="M3" s="396"/>
      <c r="N3" s="396"/>
      <c r="O3" s="396"/>
      <c r="P3" s="396"/>
      <c r="Q3" s="64"/>
      <c r="R3" s="64"/>
      <c r="S3" s="64"/>
      <c r="T3" s="64"/>
      <c r="U3" s="64"/>
      <c r="V3" s="64"/>
    </row>
    <row r="4" spans="1:25" s="1" customFormat="1" ht="24.75" customHeight="1" thickBot="1" x14ac:dyDescent="0.4">
      <c r="A4" s="3507" t="str">
        <f>Parametre!B25 &amp; "  : "</f>
        <v xml:space="preserve">Positionnement de l'offre  : </v>
      </c>
      <c r="B4" s="3507"/>
      <c r="C4" s="3507"/>
      <c r="D4" s="3507"/>
      <c r="E4" s="3507"/>
      <c r="F4" s="3507"/>
      <c r="G4" s="3507"/>
      <c r="H4" s="3505" t="s">
        <v>2338</v>
      </c>
      <c r="I4" s="3505"/>
      <c r="J4" s="3505"/>
      <c r="K4" s="3505"/>
      <c r="L4" s="3505"/>
      <c r="M4" s="3505"/>
      <c r="N4" s="3505"/>
      <c r="O4" s="3505"/>
      <c r="P4" s="3506"/>
      <c r="Q4" s="444"/>
    </row>
    <row r="5" spans="1:25" s="193" customFormat="1" ht="24" customHeight="1" x14ac:dyDescent="0.35">
      <c r="A5" s="3438" t="s">
        <v>14</v>
      </c>
      <c r="B5" s="3438"/>
      <c r="C5" s="3439" t="s">
        <v>1980</v>
      </c>
      <c r="D5" s="3439"/>
      <c r="E5" s="3439"/>
      <c r="F5" s="3439"/>
      <c r="G5" s="3439"/>
      <c r="H5" s="3439"/>
      <c r="I5" s="3439"/>
      <c r="J5" s="3439"/>
      <c r="K5" s="3439"/>
      <c r="L5" s="3439"/>
      <c r="M5" s="3439"/>
      <c r="N5" s="3439"/>
      <c r="O5" s="3439"/>
      <c r="P5" s="3439"/>
      <c r="Q5" s="460"/>
    </row>
    <row r="6" spans="1:25" ht="1.5" customHeight="1" thickBot="1" x14ac:dyDescent="0.4">
      <c r="A6" s="3697" t="s">
        <v>20</v>
      </c>
      <c r="B6" s="3697"/>
      <c r="C6" s="3508"/>
      <c r="D6" s="3508"/>
      <c r="E6" s="3508"/>
      <c r="F6" s="3508"/>
      <c r="G6" s="3508"/>
      <c r="H6" s="3508"/>
      <c r="I6" s="3508"/>
      <c r="J6" s="3508"/>
      <c r="K6" s="3508"/>
      <c r="L6" s="3508"/>
      <c r="M6" s="3508"/>
      <c r="N6" s="3508"/>
      <c r="O6" s="3508"/>
      <c r="P6" s="3508"/>
      <c r="Q6" s="64"/>
    </row>
    <row r="7" spans="1:25" s="106" customFormat="1" ht="39.75" customHeight="1" thickTop="1" x14ac:dyDescent="0.35">
      <c r="A7" s="3868" t="str">
        <f xml:space="preserve"> "Compétiteurs " &amp; AnReference</f>
        <v>Compétiteurs 2018</v>
      </c>
      <c r="B7" s="3869"/>
      <c r="C7" s="3869"/>
      <c r="D7" s="3869"/>
      <c r="E7" s="3865" t="s">
        <v>325</v>
      </c>
      <c r="F7" s="3865"/>
      <c r="G7" s="3865"/>
      <c r="H7" s="3865"/>
      <c r="I7" s="3865" t="s">
        <v>326</v>
      </c>
      <c r="J7" s="3865"/>
      <c r="K7" s="3865"/>
      <c r="L7" s="3865"/>
      <c r="M7" s="3865" t="str">
        <f xml:space="preserve"> "Points Forts &amp; Singularités 
Offre " &amp; NomProd1</f>
        <v>Points Forts &amp; Singularités 
Offre EQUINIX</v>
      </c>
      <c r="N7" s="3865"/>
      <c r="O7" s="3865"/>
      <c r="P7" s="3866"/>
      <c r="Q7" s="758"/>
      <c r="W7" s="107"/>
      <c r="X7" s="107"/>
      <c r="Y7" s="107"/>
    </row>
    <row r="8" spans="1:25" s="66" customFormat="1" ht="8.25" customHeight="1" x14ac:dyDescent="0.35">
      <c r="A8" s="3853"/>
      <c r="B8" s="3854"/>
      <c r="C8" s="3854"/>
      <c r="D8" s="3854"/>
      <c r="E8" s="3854"/>
      <c r="F8" s="3854"/>
      <c r="G8" s="3854"/>
      <c r="H8" s="3854"/>
      <c r="I8" s="3854"/>
      <c r="J8" s="3854"/>
      <c r="K8" s="3854"/>
      <c r="L8" s="3854"/>
      <c r="M8" s="3854"/>
      <c r="N8" s="3854"/>
      <c r="O8" s="3854"/>
      <c r="P8" s="3855"/>
      <c r="Q8" s="397"/>
      <c r="W8" s="103"/>
      <c r="X8" s="103"/>
      <c r="Y8" s="103"/>
    </row>
    <row r="9" spans="1:25" ht="74.25" customHeight="1" x14ac:dyDescent="0.35">
      <c r="A9" s="3851" t="s">
        <v>2035</v>
      </c>
      <c r="B9" s="3852"/>
      <c r="C9" s="3852"/>
      <c r="D9" s="3852"/>
      <c r="E9" s="3856"/>
      <c r="F9" s="3856"/>
      <c r="G9" s="3856"/>
      <c r="H9" s="3856"/>
      <c r="I9" s="3856"/>
      <c r="J9" s="3856"/>
      <c r="K9" s="3856"/>
      <c r="L9" s="3856"/>
      <c r="M9" s="3856"/>
      <c r="N9" s="3856"/>
      <c r="O9" s="3856"/>
      <c r="P9" s="3857"/>
      <c r="Q9" s="64"/>
      <c r="W9" s="101"/>
      <c r="X9" s="101"/>
      <c r="Y9" s="101"/>
    </row>
    <row r="10" spans="1:25" ht="8.25" customHeight="1" x14ac:dyDescent="0.35">
      <c r="A10" s="3853"/>
      <c r="B10" s="3854"/>
      <c r="C10" s="3854"/>
      <c r="D10" s="3854"/>
      <c r="E10" s="3854"/>
      <c r="F10" s="3854"/>
      <c r="G10" s="3854"/>
      <c r="H10" s="3854"/>
      <c r="I10" s="3854"/>
      <c r="J10" s="3854"/>
      <c r="K10" s="3854"/>
      <c r="L10" s="3854"/>
      <c r="M10" s="3854"/>
      <c r="N10" s="3854"/>
      <c r="O10" s="3854"/>
      <c r="P10" s="3855"/>
      <c r="Q10" s="64"/>
      <c r="W10" s="101"/>
      <c r="X10" s="101"/>
      <c r="Y10" s="101"/>
    </row>
    <row r="11" spans="1:25" ht="108" customHeight="1" x14ac:dyDescent="0.35">
      <c r="A11" s="3851" t="s">
        <v>2041</v>
      </c>
      <c r="B11" s="3852"/>
      <c r="C11" s="3852"/>
      <c r="D11" s="3852"/>
      <c r="E11" s="3856"/>
      <c r="F11" s="3856"/>
      <c r="G11" s="3856"/>
      <c r="H11" s="3856"/>
      <c r="I11" s="3856"/>
      <c r="J11" s="3856"/>
      <c r="K11" s="3856"/>
      <c r="L11" s="3856"/>
      <c r="M11" s="3856"/>
      <c r="N11" s="3856"/>
      <c r="O11" s="3856"/>
      <c r="P11" s="3857"/>
      <c r="Q11" s="64"/>
      <c r="W11" s="101"/>
      <c r="X11" s="101"/>
      <c r="Y11" s="101"/>
    </row>
    <row r="12" spans="1:25" s="66" customFormat="1" ht="8.25" customHeight="1" x14ac:dyDescent="0.35">
      <c r="A12" s="3853"/>
      <c r="B12" s="3854"/>
      <c r="C12" s="3854"/>
      <c r="D12" s="3854"/>
      <c r="E12" s="3854"/>
      <c r="F12" s="3854"/>
      <c r="G12" s="3854"/>
      <c r="H12" s="3854"/>
      <c r="I12" s="3854"/>
      <c r="J12" s="3854"/>
      <c r="K12" s="3854"/>
      <c r="L12" s="3854"/>
      <c r="M12" s="3854"/>
      <c r="N12" s="3854"/>
      <c r="O12" s="3854"/>
      <c r="P12" s="3855"/>
      <c r="Q12" s="397"/>
      <c r="W12" s="103"/>
      <c r="X12" s="103"/>
      <c r="Y12" s="103"/>
    </row>
    <row r="13" spans="1:25" ht="52.5" customHeight="1" x14ac:dyDescent="0.35">
      <c r="A13" s="3851"/>
      <c r="B13" s="3852"/>
      <c r="C13" s="3852"/>
      <c r="D13" s="3852"/>
      <c r="E13" s="3856"/>
      <c r="F13" s="3856"/>
      <c r="G13" s="3856"/>
      <c r="H13" s="3856"/>
      <c r="I13" s="3856"/>
      <c r="J13" s="3856"/>
      <c r="K13" s="3856"/>
      <c r="L13" s="3856"/>
      <c r="M13" s="3856"/>
      <c r="N13" s="3856"/>
      <c r="O13" s="3856"/>
      <c r="P13" s="3857"/>
      <c r="Q13" s="64"/>
      <c r="W13" s="101"/>
      <c r="X13" s="101"/>
      <c r="Y13" s="101"/>
    </row>
    <row r="14" spans="1:25" ht="8.25" customHeight="1" x14ac:dyDescent="0.35">
      <c r="A14" s="3853"/>
      <c r="B14" s="3854"/>
      <c r="C14" s="3854"/>
      <c r="D14" s="3854"/>
      <c r="E14" s="3854"/>
      <c r="F14" s="3854"/>
      <c r="G14" s="3854"/>
      <c r="H14" s="3854"/>
      <c r="I14" s="3854"/>
      <c r="J14" s="3854"/>
      <c r="K14" s="3854"/>
      <c r="L14" s="3854"/>
      <c r="M14" s="3854"/>
      <c r="N14" s="3854"/>
      <c r="O14" s="3854"/>
      <c r="P14" s="3855"/>
      <c r="Q14" s="64"/>
      <c r="W14" s="101"/>
      <c r="X14" s="101"/>
      <c r="Y14" s="101"/>
    </row>
    <row r="15" spans="1:25" ht="63.75" customHeight="1" x14ac:dyDescent="0.35">
      <c r="A15" s="3851"/>
      <c r="B15" s="3852"/>
      <c r="C15" s="3852"/>
      <c r="D15" s="3852"/>
      <c r="E15" s="3856"/>
      <c r="F15" s="3856"/>
      <c r="G15" s="3856"/>
      <c r="H15" s="3856"/>
      <c r="I15" s="3856"/>
      <c r="J15" s="3856"/>
      <c r="K15" s="3856"/>
      <c r="L15" s="3856"/>
      <c r="M15" s="3856"/>
      <c r="N15" s="3856"/>
      <c r="O15" s="3856"/>
      <c r="P15" s="3857"/>
      <c r="Q15" s="64"/>
      <c r="W15" s="101"/>
      <c r="X15" s="101"/>
      <c r="Y15" s="101"/>
    </row>
    <row r="16" spans="1:25" ht="8.25" customHeight="1" x14ac:dyDescent="0.35">
      <c r="A16" s="3853"/>
      <c r="B16" s="3854"/>
      <c r="C16" s="3854"/>
      <c r="D16" s="3854"/>
      <c r="E16" s="3854"/>
      <c r="F16" s="3854"/>
      <c r="G16" s="3854"/>
      <c r="H16" s="3854"/>
      <c r="I16" s="3854"/>
      <c r="J16" s="3854"/>
      <c r="K16" s="3854"/>
      <c r="L16" s="3854"/>
      <c r="M16" s="3854"/>
      <c r="N16" s="3854"/>
      <c r="O16" s="3854"/>
      <c r="P16" s="3855"/>
      <c r="Q16" s="64"/>
      <c r="W16" s="101"/>
      <c r="X16" s="101"/>
      <c r="Y16" s="101"/>
    </row>
    <row r="17" spans="1:25" ht="73.5" customHeight="1" x14ac:dyDescent="0.35">
      <c r="A17" s="3851"/>
      <c r="B17" s="3852"/>
      <c r="C17" s="3852"/>
      <c r="D17" s="3852"/>
      <c r="E17" s="3856"/>
      <c r="F17" s="3856"/>
      <c r="G17" s="3856"/>
      <c r="H17" s="3856"/>
      <c r="I17" s="3856"/>
      <c r="J17" s="3856"/>
      <c r="K17" s="3856"/>
      <c r="L17" s="3856"/>
      <c r="M17" s="3856"/>
      <c r="N17" s="3856"/>
      <c r="O17" s="3856"/>
      <c r="P17" s="3857"/>
      <c r="Q17" s="64"/>
      <c r="W17" s="101"/>
      <c r="X17" s="101"/>
      <c r="Y17" s="101"/>
    </row>
    <row r="18" spans="1:25" ht="8.25" customHeight="1" x14ac:dyDescent="0.35">
      <c r="A18" s="3853"/>
      <c r="B18" s="3854"/>
      <c r="C18" s="3854"/>
      <c r="D18" s="3854"/>
      <c r="E18" s="3854"/>
      <c r="F18" s="3854"/>
      <c r="G18" s="3854"/>
      <c r="H18" s="3854"/>
      <c r="I18" s="3854"/>
      <c r="J18" s="3854"/>
      <c r="K18" s="3854"/>
      <c r="L18" s="3854"/>
      <c r="M18" s="3854"/>
      <c r="N18" s="3854"/>
      <c r="O18" s="3854"/>
      <c r="P18" s="3855"/>
      <c r="Q18" s="64"/>
      <c r="W18" s="101"/>
      <c r="X18" s="101"/>
      <c r="Y18" s="101"/>
    </row>
    <row r="19" spans="1:25" ht="45" customHeight="1" x14ac:dyDescent="0.35">
      <c r="A19" s="3851"/>
      <c r="B19" s="3852"/>
      <c r="C19" s="3852"/>
      <c r="D19" s="3852"/>
      <c r="E19" s="3856"/>
      <c r="F19" s="3856"/>
      <c r="G19" s="3856"/>
      <c r="H19" s="3856"/>
      <c r="I19" s="3856"/>
      <c r="J19" s="3856"/>
      <c r="K19" s="3856"/>
      <c r="L19" s="3856"/>
      <c r="M19" s="3856"/>
      <c r="N19" s="3856"/>
      <c r="O19" s="3856"/>
      <c r="P19" s="3857"/>
      <c r="Q19" s="64"/>
      <c r="W19" s="101"/>
      <c r="X19" s="101"/>
      <c r="Y19" s="101"/>
    </row>
    <row r="20" spans="1:25" ht="8.25" customHeight="1" x14ac:dyDescent="0.35">
      <c r="A20" s="3853"/>
      <c r="B20" s="3854"/>
      <c r="C20" s="3854"/>
      <c r="D20" s="3854"/>
      <c r="E20" s="3854"/>
      <c r="F20" s="3854"/>
      <c r="G20" s="3854"/>
      <c r="H20" s="3854"/>
      <c r="I20" s="3854"/>
      <c r="J20" s="3854"/>
      <c r="K20" s="3854"/>
      <c r="L20" s="3854"/>
      <c r="M20" s="3854"/>
      <c r="N20" s="3854"/>
      <c r="O20" s="3854"/>
      <c r="P20" s="3855"/>
      <c r="Q20" s="64"/>
      <c r="W20" s="101"/>
      <c r="X20" s="101"/>
      <c r="Y20" s="101"/>
    </row>
    <row r="21" spans="1:25" ht="56.25" customHeight="1" x14ac:dyDescent="0.35">
      <c r="A21" s="3851"/>
      <c r="B21" s="3852"/>
      <c r="C21" s="3852"/>
      <c r="D21" s="3852"/>
      <c r="E21" s="3856"/>
      <c r="F21" s="3856"/>
      <c r="G21" s="3856"/>
      <c r="H21" s="3856"/>
      <c r="I21" s="3856"/>
      <c r="J21" s="3856"/>
      <c r="K21" s="3856"/>
      <c r="L21" s="3856"/>
      <c r="M21" s="3856"/>
      <c r="N21" s="3856"/>
      <c r="O21" s="3856"/>
      <c r="P21" s="3857"/>
      <c r="Q21" s="64"/>
      <c r="W21" s="101"/>
      <c r="X21" s="101"/>
      <c r="Y21" s="101"/>
    </row>
    <row r="22" spans="1:25" ht="8.25" customHeight="1" x14ac:dyDescent="0.35">
      <c r="A22" s="3853"/>
      <c r="B22" s="3854"/>
      <c r="C22" s="3854"/>
      <c r="D22" s="3854"/>
      <c r="E22" s="3854"/>
      <c r="F22" s="3854"/>
      <c r="G22" s="3854"/>
      <c r="H22" s="3854"/>
      <c r="I22" s="3854"/>
      <c r="J22" s="3854"/>
      <c r="K22" s="3854"/>
      <c r="L22" s="3854"/>
      <c r="M22" s="3854"/>
      <c r="N22" s="3854"/>
      <c r="O22" s="3854"/>
      <c r="P22" s="3855"/>
      <c r="Q22" s="64"/>
      <c r="W22" s="101"/>
      <c r="X22" s="101"/>
      <c r="Y22" s="101"/>
    </row>
    <row r="23" spans="1:25" ht="53.25" customHeight="1" x14ac:dyDescent="0.35">
      <c r="A23" s="3851"/>
      <c r="B23" s="3852"/>
      <c r="C23" s="3852"/>
      <c r="D23" s="3852"/>
      <c r="E23" s="3856"/>
      <c r="F23" s="3856"/>
      <c r="G23" s="3856"/>
      <c r="H23" s="3856"/>
      <c r="I23" s="3856"/>
      <c r="J23" s="3856"/>
      <c r="K23" s="3856"/>
      <c r="L23" s="3856"/>
      <c r="M23" s="3856"/>
      <c r="N23" s="3856"/>
      <c r="O23" s="3856"/>
      <c r="P23" s="3857"/>
      <c r="Q23" s="64"/>
      <c r="W23" s="101"/>
      <c r="X23" s="101"/>
      <c r="Y23" s="101"/>
    </row>
    <row r="24" spans="1:25" ht="8.25" customHeight="1" x14ac:dyDescent="0.35">
      <c r="A24" s="3853"/>
      <c r="B24" s="3854"/>
      <c r="C24" s="3854"/>
      <c r="D24" s="3854"/>
      <c r="E24" s="3854"/>
      <c r="F24" s="3854"/>
      <c r="G24" s="3854"/>
      <c r="H24" s="3854"/>
      <c r="I24" s="3854"/>
      <c r="J24" s="3854"/>
      <c r="K24" s="3854"/>
      <c r="L24" s="3854"/>
      <c r="M24" s="3854"/>
      <c r="N24" s="3854"/>
      <c r="O24" s="3854"/>
      <c r="P24" s="3855"/>
      <c r="Q24" s="64"/>
      <c r="W24" s="101"/>
      <c r="X24" s="101"/>
      <c r="Y24" s="101"/>
    </row>
    <row r="25" spans="1:25" ht="15" customHeight="1" x14ac:dyDescent="0.35">
      <c r="A25" s="3851"/>
      <c r="B25" s="3852"/>
      <c r="C25" s="3852"/>
      <c r="D25" s="3852"/>
      <c r="E25" s="3856"/>
      <c r="F25" s="3856"/>
      <c r="G25" s="3856"/>
      <c r="H25" s="3856"/>
      <c r="I25" s="3867"/>
      <c r="J25" s="3867"/>
      <c r="K25" s="3867"/>
      <c r="L25" s="3867"/>
      <c r="M25" s="3856"/>
      <c r="N25" s="3856"/>
      <c r="O25" s="3856"/>
      <c r="P25" s="3857"/>
      <c r="Q25" s="64"/>
      <c r="W25" s="101"/>
      <c r="X25" s="101"/>
      <c r="Y25" s="101"/>
    </row>
    <row r="26" spans="1:25" ht="8.25" customHeight="1" x14ac:dyDescent="0.35">
      <c r="A26" s="3853"/>
      <c r="B26" s="3854"/>
      <c r="C26" s="3854"/>
      <c r="D26" s="3854"/>
      <c r="E26" s="3854"/>
      <c r="F26" s="3854"/>
      <c r="G26" s="3854"/>
      <c r="H26" s="3854"/>
      <c r="I26" s="3854"/>
      <c r="J26" s="3854"/>
      <c r="K26" s="3854"/>
      <c r="L26" s="3854"/>
      <c r="M26" s="3854"/>
      <c r="N26" s="3854"/>
      <c r="O26" s="3854"/>
      <c r="P26" s="3855"/>
      <c r="Q26" s="64"/>
      <c r="W26" s="101"/>
      <c r="X26" s="101"/>
      <c r="Y26" s="101"/>
    </row>
    <row r="27" spans="1:25" ht="56.25" customHeight="1" x14ac:dyDescent="0.35">
      <c r="A27" s="3851"/>
      <c r="B27" s="3852"/>
      <c r="C27" s="3852"/>
      <c r="D27" s="3852"/>
      <c r="E27" s="3856"/>
      <c r="F27" s="3856"/>
      <c r="G27" s="3856"/>
      <c r="H27" s="3856"/>
      <c r="I27" s="3856"/>
      <c r="J27" s="3856"/>
      <c r="K27" s="3856"/>
      <c r="L27" s="3856"/>
      <c r="M27" s="3856"/>
      <c r="N27" s="3856"/>
      <c r="O27" s="3856"/>
      <c r="P27" s="3857"/>
      <c r="Q27" s="64"/>
      <c r="W27" s="101"/>
      <c r="X27" s="101"/>
      <c r="Y27" s="101"/>
    </row>
    <row r="28" spans="1:25" ht="8.25" customHeight="1" x14ac:dyDescent="0.35">
      <c r="A28" s="3853"/>
      <c r="B28" s="3854"/>
      <c r="C28" s="3854"/>
      <c r="D28" s="3854"/>
      <c r="E28" s="3854"/>
      <c r="F28" s="3854"/>
      <c r="G28" s="3854"/>
      <c r="H28" s="3854"/>
      <c r="I28" s="3854"/>
      <c r="J28" s="3854"/>
      <c r="K28" s="3854"/>
      <c r="L28" s="3854"/>
      <c r="M28" s="3854"/>
      <c r="N28" s="3854"/>
      <c r="O28" s="3854"/>
      <c r="P28" s="3855"/>
      <c r="Q28" s="64"/>
      <c r="W28" s="101"/>
      <c r="X28" s="101"/>
      <c r="Y28" s="101"/>
    </row>
    <row r="29" spans="1:25" ht="15" customHeight="1" x14ac:dyDescent="0.35">
      <c r="A29" s="3851"/>
      <c r="B29" s="3852"/>
      <c r="C29" s="3852"/>
      <c r="D29" s="3852"/>
      <c r="E29" s="3887"/>
      <c r="F29" s="3887"/>
      <c r="G29" s="3887"/>
      <c r="H29" s="3887"/>
      <c r="I29" s="3856"/>
      <c r="J29" s="3856"/>
      <c r="K29" s="3856"/>
      <c r="L29" s="3856"/>
      <c r="M29" s="3856"/>
      <c r="N29" s="3856"/>
      <c r="O29" s="3856"/>
      <c r="P29" s="3857"/>
      <c r="Q29" s="64"/>
      <c r="W29" s="101"/>
      <c r="X29" s="101"/>
      <c r="Y29" s="101"/>
    </row>
    <row r="30" spans="1:25" s="71" customFormat="1" ht="8.25" customHeight="1" thickBot="1" x14ac:dyDescent="0.4">
      <c r="A30" s="3870"/>
      <c r="B30" s="3871"/>
      <c r="C30" s="3871"/>
      <c r="D30" s="3871"/>
      <c r="E30" s="3871"/>
      <c r="F30" s="3871"/>
      <c r="G30" s="3871"/>
      <c r="H30" s="3871"/>
      <c r="I30" s="3871"/>
      <c r="J30" s="3871"/>
      <c r="K30" s="3871"/>
      <c r="L30" s="3871"/>
      <c r="M30" s="3871"/>
      <c r="N30" s="3871"/>
      <c r="O30" s="3871"/>
      <c r="P30" s="3872"/>
      <c r="Q30" s="759"/>
    </row>
    <row r="31" spans="1:25" s="71" customFormat="1" ht="15" customHeight="1" thickTop="1" x14ac:dyDescent="0.35">
      <c r="A31" s="760"/>
      <c r="B31" s="760"/>
      <c r="C31" s="760"/>
      <c r="D31" s="760"/>
      <c r="E31" s="461"/>
      <c r="F31" s="461"/>
      <c r="G31" s="461"/>
      <c r="H31" s="461"/>
      <c r="I31" s="461"/>
      <c r="J31" s="461"/>
      <c r="K31" s="461"/>
      <c r="L31" s="461"/>
      <c r="M31" s="461"/>
      <c r="N31" s="461"/>
      <c r="O31" s="461"/>
      <c r="P31" s="461"/>
      <c r="Q31" s="759"/>
    </row>
    <row r="32" spans="1:25" s="71" customFormat="1" ht="15" customHeight="1" thickBot="1" x14ac:dyDescent="0.4">
      <c r="A32" s="760"/>
      <c r="B32" s="760"/>
      <c r="C32" s="760"/>
      <c r="D32" s="760"/>
      <c r="E32" s="461"/>
      <c r="F32" s="461"/>
      <c r="G32" s="461"/>
      <c r="H32" s="461"/>
      <c r="I32" s="461"/>
      <c r="J32" s="461"/>
      <c r="K32" s="461"/>
      <c r="L32" s="461"/>
      <c r="M32" s="461"/>
      <c r="N32" s="461"/>
      <c r="O32" s="461"/>
      <c r="P32" s="461"/>
      <c r="Q32" s="759"/>
    </row>
    <row r="33" spans="1:26" s="106" customFormat="1" ht="22.5" customHeight="1" thickTop="1" thickBot="1" x14ac:dyDescent="0.4">
      <c r="A33" s="3931"/>
      <c r="B33" s="3931"/>
      <c r="C33" s="3931"/>
      <c r="D33" s="3931"/>
      <c r="E33" s="3918" t="str">
        <f>"Situation " &amp; AnReference</f>
        <v>Situation 2018</v>
      </c>
      <c r="F33" s="3919"/>
      <c r="G33" s="3919"/>
      <c r="H33" s="3919"/>
      <c r="I33" s="3919"/>
      <c r="J33" s="3919"/>
      <c r="K33" s="3919" t="str">
        <f>"Projection en " &amp; AnReference + NbAnVision</f>
        <v>Projection en 2021</v>
      </c>
      <c r="L33" s="3919"/>
      <c r="M33" s="3919"/>
      <c r="N33" s="3919"/>
      <c r="O33" s="3919"/>
      <c r="P33" s="3920"/>
      <c r="Q33" s="761"/>
      <c r="X33" s="107"/>
      <c r="Y33" s="107"/>
      <c r="Z33" s="107"/>
    </row>
    <row r="34" spans="1:26" s="108" customFormat="1" ht="36" customHeight="1" thickTop="1" thickBot="1" x14ac:dyDescent="0.4">
      <c r="A34" s="3924" t="str">
        <f>"Compétiteur "</f>
        <v xml:space="preserve">Compétiteur </v>
      </c>
      <c r="B34" s="3925"/>
      <c r="C34" s="3925"/>
      <c r="D34" s="3926"/>
      <c r="E34" s="3932" t="s">
        <v>322</v>
      </c>
      <c r="F34" s="3933"/>
      <c r="G34" s="3933" t="s">
        <v>324</v>
      </c>
      <c r="H34" s="3933"/>
      <c r="I34" s="3933" t="s">
        <v>323</v>
      </c>
      <c r="J34" s="3936"/>
      <c r="K34" s="3932" t="s">
        <v>322</v>
      </c>
      <c r="L34" s="3933"/>
      <c r="M34" s="3933" t="s">
        <v>324</v>
      </c>
      <c r="N34" s="3933"/>
      <c r="O34" s="3933" t="s">
        <v>323</v>
      </c>
      <c r="P34" s="3934"/>
      <c r="Q34" s="762"/>
      <c r="U34" s="109"/>
      <c r="V34" s="109"/>
      <c r="W34" s="109"/>
    </row>
    <row r="35" spans="1:26" ht="14.25" customHeight="1" x14ac:dyDescent="0.35">
      <c r="A35" s="3921"/>
      <c r="B35" s="3922"/>
      <c r="C35" s="3922"/>
      <c r="D35" s="3923"/>
      <c r="E35" s="3927"/>
      <c r="F35" s="3928"/>
      <c r="G35" s="3929"/>
      <c r="H35" s="3929"/>
      <c r="I35" s="3928"/>
      <c r="J35" s="3935"/>
      <c r="K35" s="3927"/>
      <c r="L35" s="3928"/>
      <c r="M35" s="3929"/>
      <c r="N35" s="3929"/>
      <c r="O35" s="3928"/>
      <c r="P35" s="3930"/>
      <c r="Q35" s="763"/>
      <c r="R35" s="3888"/>
      <c r="S35" s="3888"/>
      <c r="X35" s="101"/>
      <c r="Y35" s="101"/>
      <c r="Z35" s="101"/>
    </row>
    <row r="36" spans="1:26" ht="14.25" customHeight="1" x14ac:dyDescent="0.35">
      <c r="A36" s="3915"/>
      <c r="B36" s="3916"/>
      <c r="C36" s="3916"/>
      <c r="D36" s="3917"/>
      <c r="E36" s="3863"/>
      <c r="F36" s="3858"/>
      <c r="G36" s="3864"/>
      <c r="H36" s="3864"/>
      <c r="I36" s="3858"/>
      <c r="J36" s="3859"/>
      <c r="K36" s="3863"/>
      <c r="L36" s="3858"/>
      <c r="M36" s="3864"/>
      <c r="N36" s="3864"/>
      <c r="O36" s="3858"/>
      <c r="P36" s="3873"/>
      <c r="Q36" s="763"/>
      <c r="R36" s="3888"/>
      <c r="S36" s="3888"/>
      <c r="X36" s="101"/>
      <c r="Y36" s="101"/>
      <c r="Z36" s="101"/>
    </row>
    <row r="37" spans="1:26" ht="14.25" customHeight="1" x14ac:dyDescent="0.35">
      <c r="A37" s="3860"/>
      <c r="B37" s="3861"/>
      <c r="C37" s="3861"/>
      <c r="D37" s="3862"/>
      <c r="E37" s="3863"/>
      <c r="F37" s="3858"/>
      <c r="G37" s="3864"/>
      <c r="H37" s="3864"/>
      <c r="I37" s="3858"/>
      <c r="J37" s="3859"/>
      <c r="K37" s="3863"/>
      <c r="L37" s="3858"/>
      <c r="M37" s="3864"/>
      <c r="N37" s="3864"/>
      <c r="O37" s="3858"/>
      <c r="P37" s="3873"/>
      <c r="Q37" s="763"/>
      <c r="R37" s="3888"/>
      <c r="S37" s="3888"/>
      <c r="X37" s="101"/>
      <c r="Y37" s="101"/>
      <c r="Z37" s="101"/>
    </row>
    <row r="38" spans="1:26" ht="14.25" customHeight="1" x14ac:dyDescent="0.35">
      <c r="A38" s="3860"/>
      <c r="B38" s="3861"/>
      <c r="C38" s="3861"/>
      <c r="D38" s="3862"/>
      <c r="E38" s="3863"/>
      <c r="F38" s="3858"/>
      <c r="G38" s="3864"/>
      <c r="H38" s="3864"/>
      <c r="I38" s="3858"/>
      <c r="J38" s="3859"/>
      <c r="K38" s="3863"/>
      <c r="L38" s="3858"/>
      <c r="M38" s="3864"/>
      <c r="N38" s="3864"/>
      <c r="O38" s="3858"/>
      <c r="P38" s="3873"/>
      <c r="Q38" s="763"/>
      <c r="R38" s="3888"/>
      <c r="S38" s="3888"/>
      <c r="X38" s="101"/>
      <c r="Y38" s="101"/>
      <c r="Z38" s="101"/>
    </row>
    <row r="39" spans="1:26" ht="14.25" customHeight="1" x14ac:dyDescent="0.35">
      <c r="A39" s="3860"/>
      <c r="B39" s="3861"/>
      <c r="C39" s="3861"/>
      <c r="D39" s="3862"/>
      <c r="E39" s="3863"/>
      <c r="F39" s="3858"/>
      <c r="G39" s="3864"/>
      <c r="H39" s="3864"/>
      <c r="I39" s="3858"/>
      <c r="J39" s="3859"/>
      <c r="K39" s="3863"/>
      <c r="L39" s="3858"/>
      <c r="M39" s="3864"/>
      <c r="N39" s="3864"/>
      <c r="O39" s="3858"/>
      <c r="P39" s="3873"/>
      <c r="Q39" s="763"/>
      <c r="R39" s="3888"/>
      <c r="S39" s="3888"/>
      <c r="X39" s="101"/>
      <c r="Y39" s="101"/>
      <c r="Z39" s="101"/>
    </row>
    <row r="40" spans="1:26" ht="14.25" customHeight="1" x14ac:dyDescent="0.35">
      <c r="A40" s="3860"/>
      <c r="B40" s="3861"/>
      <c r="C40" s="3861"/>
      <c r="D40" s="3862"/>
      <c r="E40" s="3863"/>
      <c r="F40" s="3858"/>
      <c r="G40" s="3864"/>
      <c r="H40" s="3864"/>
      <c r="I40" s="3858"/>
      <c r="J40" s="3859"/>
      <c r="K40" s="3863"/>
      <c r="L40" s="3858"/>
      <c r="M40" s="3864"/>
      <c r="N40" s="3864"/>
      <c r="O40" s="3858"/>
      <c r="P40" s="3873"/>
      <c r="Q40" s="763"/>
      <c r="R40" s="3888"/>
      <c r="S40" s="3888"/>
      <c r="X40" s="101"/>
      <c r="Y40" s="101"/>
      <c r="Z40" s="101"/>
    </row>
    <row r="41" spans="1:26" ht="14.25" customHeight="1" x14ac:dyDescent="0.35">
      <c r="A41" s="3860"/>
      <c r="B41" s="3861"/>
      <c r="C41" s="3861"/>
      <c r="D41" s="3862"/>
      <c r="E41" s="3863"/>
      <c r="F41" s="3858"/>
      <c r="G41" s="3864"/>
      <c r="H41" s="3864"/>
      <c r="I41" s="3858"/>
      <c r="J41" s="3859"/>
      <c r="K41" s="3863"/>
      <c r="L41" s="3858"/>
      <c r="M41" s="3864"/>
      <c r="N41" s="3864"/>
      <c r="O41" s="3858"/>
      <c r="P41" s="3873"/>
      <c r="Q41" s="763"/>
      <c r="R41" s="3888"/>
      <c r="S41" s="3888"/>
      <c r="X41" s="101"/>
      <c r="Y41" s="101"/>
      <c r="Z41" s="101"/>
    </row>
    <row r="42" spans="1:26" ht="14.25" customHeight="1" x14ac:dyDescent="0.35">
      <c r="A42" s="3860"/>
      <c r="B42" s="3861"/>
      <c r="C42" s="3861"/>
      <c r="D42" s="3862"/>
      <c r="E42" s="3863"/>
      <c r="F42" s="3858"/>
      <c r="G42" s="3864"/>
      <c r="H42" s="3864"/>
      <c r="I42" s="3858"/>
      <c r="J42" s="3859"/>
      <c r="K42" s="3863"/>
      <c r="L42" s="3858"/>
      <c r="M42" s="3864"/>
      <c r="N42" s="3864"/>
      <c r="O42" s="3858"/>
      <c r="P42" s="3873"/>
      <c r="Q42" s="763"/>
      <c r="R42" s="3888"/>
      <c r="S42" s="3888"/>
      <c r="X42" s="101"/>
      <c r="Y42" s="101"/>
      <c r="Z42" s="101"/>
    </row>
    <row r="43" spans="1:26" ht="14.25" customHeight="1" x14ac:dyDescent="0.35">
      <c r="A43" s="3860"/>
      <c r="B43" s="3861"/>
      <c r="C43" s="3861"/>
      <c r="D43" s="3862"/>
      <c r="E43" s="3863"/>
      <c r="F43" s="3858"/>
      <c r="G43" s="3864"/>
      <c r="H43" s="3864"/>
      <c r="I43" s="3858"/>
      <c r="J43" s="3859"/>
      <c r="K43" s="3863"/>
      <c r="L43" s="3858"/>
      <c r="M43" s="3864"/>
      <c r="N43" s="3864"/>
      <c r="O43" s="3858"/>
      <c r="P43" s="3873"/>
      <c r="Q43" s="763"/>
      <c r="R43" s="3888"/>
      <c r="S43" s="3888"/>
      <c r="X43" s="101"/>
      <c r="Y43" s="101"/>
      <c r="Z43" s="101"/>
    </row>
    <row r="44" spans="1:26" ht="14.25" customHeight="1" x14ac:dyDescent="0.35">
      <c r="A44" s="3860"/>
      <c r="B44" s="3861"/>
      <c r="C44" s="3861"/>
      <c r="D44" s="3862"/>
      <c r="E44" s="3863"/>
      <c r="F44" s="3858"/>
      <c r="G44" s="3864"/>
      <c r="H44" s="3864"/>
      <c r="I44" s="3858"/>
      <c r="J44" s="3859"/>
      <c r="K44" s="3863"/>
      <c r="L44" s="3858"/>
      <c r="M44" s="3864"/>
      <c r="N44" s="3864"/>
      <c r="O44" s="3858"/>
      <c r="P44" s="3873"/>
      <c r="Q44" s="763"/>
      <c r="R44" s="3888"/>
      <c r="S44" s="3888"/>
      <c r="X44" s="101"/>
      <c r="Y44" s="101"/>
      <c r="Z44" s="101"/>
    </row>
    <row r="45" spans="1:26" ht="14.25" customHeight="1" x14ac:dyDescent="0.35">
      <c r="A45" s="3860"/>
      <c r="B45" s="3861"/>
      <c r="C45" s="3861"/>
      <c r="D45" s="3862"/>
      <c r="E45" s="3863"/>
      <c r="F45" s="3858"/>
      <c r="G45" s="3864"/>
      <c r="H45" s="3864"/>
      <c r="I45" s="3858"/>
      <c r="J45" s="3859"/>
      <c r="K45" s="3863"/>
      <c r="L45" s="3858"/>
      <c r="M45" s="3864"/>
      <c r="N45" s="3864"/>
      <c r="O45" s="3858"/>
      <c r="P45" s="3873"/>
      <c r="Q45" s="763"/>
      <c r="R45" s="3888"/>
      <c r="S45" s="3888"/>
      <c r="X45" s="101"/>
      <c r="Y45" s="101"/>
      <c r="Z45" s="101"/>
    </row>
    <row r="46" spans="1:26" ht="14.25" customHeight="1" x14ac:dyDescent="0.35">
      <c r="A46" s="3860"/>
      <c r="B46" s="3861"/>
      <c r="C46" s="3861"/>
      <c r="D46" s="3862"/>
      <c r="E46" s="3863"/>
      <c r="F46" s="3858"/>
      <c r="G46" s="3864"/>
      <c r="H46" s="3864"/>
      <c r="I46" s="3858"/>
      <c r="J46" s="3859"/>
      <c r="K46" s="3863"/>
      <c r="L46" s="3858"/>
      <c r="M46" s="3864"/>
      <c r="N46" s="3864"/>
      <c r="O46" s="3858"/>
      <c r="P46" s="3873"/>
      <c r="Q46" s="763"/>
      <c r="R46" s="3888"/>
      <c r="S46" s="3888"/>
      <c r="X46" s="101"/>
      <c r="Y46" s="101"/>
      <c r="Z46" s="101"/>
    </row>
    <row r="47" spans="1:26" ht="14.25" customHeight="1" x14ac:dyDescent="0.35">
      <c r="A47" s="3860"/>
      <c r="B47" s="3861"/>
      <c r="C47" s="3861"/>
      <c r="D47" s="3862"/>
      <c r="E47" s="3863"/>
      <c r="F47" s="3858"/>
      <c r="G47" s="3864"/>
      <c r="H47" s="3864"/>
      <c r="I47" s="3858"/>
      <c r="J47" s="3859"/>
      <c r="K47" s="3863"/>
      <c r="L47" s="3858"/>
      <c r="M47" s="3864"/>
      <c r="N47" s="3864"/>
      <c r="O47" s="3858"/>
      <c r="P47" s="3873"/>
      <c r="Q47" s="763"/>
      <c r="R47" s="3888"/>
      <c r="S47" s="3888"/>
      <c r="X47" s="101"/>
      <c r="Y47" s="101"/>
      <c r="Z47" s="101"/>
    </row>
    <row r="48" spans="1:26" ht="14.25" customHeight="1" x14ac:dyDescent="0.35">
      <c r="A48" s="3860"/>
      <c r="B48" s="3861"/>
      <c r="C48" s="3861"/>
      <c r="D48" s="3862"/>
      <c r="E48" s="3863"/>
      <c r="F48" s="3858"/>
      <c r="G48" s="3864"/>
      <c r="H48" s="3864"/>
      <c r="I48" s="3858"/>
      <c r="J48" s="3859"/>
      <c r="K48" s="3863"/>
      <c r="L48" s="3858"/>
      <c r="M48" s="3864"/>
      <c r="N48" s="3864"/>
      <c r="O48" s="3858"/>
      <c r="P48" s="3873"/>
      <c r="Q48" s="763"/>
      <c r="R48" s="3888"/>
      <c r="S48" s="3888"/>
      <c r="X48" s="101"/>
      <c r="Y48" s="101"/>
      <c r="Z48" s="101"/>
    </row>
    <row r="49" spans="1:26" ht="14.25" customHeight="1" thickBot="1" x14ac:dyDescent="0.4">
      <c r="A49" s="3908"/>
      <c r="B49" s="3909"/>
      <c r="C49" s="3910"/>
      <c r="D49" s="3911"/>
      <c r="E49" s="3912"/>
      <c r="F49" s="3885"/>
      <c r="G49" s="3913"/>
      <c r="H49" s="3913"/>
      <c r="I49" s="3885"/>
      <c r="J49" s="3914"/>
      <c r="K49" s="3912"/>
      <c r="L49" s="3885"/>
      <c r="M49" s="3913"/>
      <c r="N49" s="3913"/>
      <c r="O49" s="3885"/>
      <c r="P49" s="3886"/>
      <c r="Q49" s="763"/>
      <c r="R49" s="3888"/>
      <c r="S49" s="3888"/>
      <c r="X49" s="101"/>
      <c r="Y49" s="101"/>
      <c r="Z49" s="101"/>
    </row>
    <row r="50" spans="1:26" ht="9.75" customHeight="1" thickTop="1" x14ac:dyDescent="0.35">
      <c r="A50" s="764"/>
      <c r="B50" s="764"/>
      <c r="C50" s="3889" t="s">
        <v>222</v>
      </c>
      <c r="D50" s="3890"/>
      <c r="E50" s="3893">
        <f>SUM(E35:F49)</f>
        <v>0</v>
      </c>
      <c r="F50" s="3894"/>
      <c r="G50" s="3896">
        <f>SUM(G35:H49)</f>
        <v>0</v>
      </c>
      <c r="H50" s="3897"/>
      <c r="I50" s="3893">
        <f>SUM(I35:J49)</f>
        <v>0</v>
      </c>
      <c r="J50" s="3899"/>
      <c r="K50" s="3901">
        <f>SUM(K35:L49)</f>
        <v>0</v>
      </c>
      <c r="L50" s="3894"/>
      <c r="M50" s="3903">
        <f>SUM(M35:N49)</f>
        <v>0</v>
      </c>
      <c r="N50" s="3904"/>
      <c r="O50" s="3893">
        <f>SUM(O35:P49)</f>
        <v>0</v>
      </c>
      <c r="P50" s="3906"/>
      <c r="Q50" s="64"/>
      <c r="W50" s="101"/>
      <c r="X50" s="101"/>
      <c r="Y50" s="101"/>
    </row>
    <row r="51" spans="1:26" ht="9.75" customHeight="1" thickBot="1" x14ac:dyDescent="0.4">
      <c r="A51" s="764"/>
      <c r="B51" s="764"/>
      <c r="C51" s="3891"/>
      <c r="D51" s="3892"/>
      <c r="E51" s="3895"/>
      <c r="F51" s="3895"/>
      <c r="G51" s="3898"/>
      <c r="H51" s="3898"/>
      <c r="I51" s="3895"/>
      <c r="J51" s="3900"/>
      <c r="K51" s="3902"/>
      <c r="L51" s="3895"/>
      <c r="M51" s="3905"/>
      <c r="N51" s="3905"/>
      <c r="O51" s="3895"/>
      <c r="P51" s="3907"/>
      <c r="Q51" s="64"/>
      <c r="W51" s="101"/>
      <c r="X51" s="101"/>
      <c r="Y51" s="101"/>
    </row>
    <row r="52" spans="1:26" ht="15" customHeight="1" thickTop="1" x14ac:dyDescent="0.35">
      <c r="A52" s="764"/>
      <c r="B52" s="764"/>
      <c r="C52" s="764"/>
      <c r="D52" s="764"/>
      <c r="E52" s="764"/>
      <c r="F52" s="764"/>
      <c r="G52" s="764"/>
      <c r="H52" s="764"/>
      <c r="I52" s="764"/>
      <c r="J52" s="764"/>
      <c r="K52" s="764"/>
      <c r="L52" s="764"/>
      <c r="M52" s="764"/>
      <c r="N52" s="764"/>
      <c r="O52" s="764"/>
      <c r="P52" s="764"/>
      <c r="Q52" s="64"/>
      <c r="W52" s="101"/>
      <c r="X52" s="101"/>
      <c r="Y52" s="101"/>
    </row>
    <row r="53" spans="1:26" ht="15" customHeight="1" x14ac:dyDescent="0.35">
      <c r="A53" s="764"/>
      <c r="B53" s="764"/>
      <c r="C53" s="764"/>
      <c r="D53" s="764"/>
      <c r="E53" s="764"/>
      <c r="F53" s="764"/>
      <c r="G53" s="764"/>
      <c r="H53" s="764"/>
      <c r="I53" s="764"/>
      <c r="J53" s="764"/>
      <c r="K53" s="764"/>
      <c r="L53" s="764"/>
      <c r="M53" s="764"/>
      <c r="N53" s="764"/>
      <c r="O53" s="764"/>
      <c r="P53" s="764"/>
      <c r="Q53" s="64"/>
      <c r="W53" s="101"/>
      <c r="X53" s="101"/>
      <c r="Y53" s="101"/>
    </row>
    <row r="54" spans="1:26" ht="15" thickBot="1" x14ac:dyDescent="0.4">
      <c r="A54" s="64"/>
      <c r="B54" s="64"/>
      <c r="C54" s="64"/>
      <c r="D54" s="64"/>
      <c r="E54" s="64"/>
      <c r="F54" s="64"/>
      <c r="G54" s="64"/>
      <c r="H54" s="64"/>
      <c r="I54" s="64"/>
      <c r="J54" s="64"/>
      <c r="K54" s="64"/>
      <c r="L54" s="64"/>
      <c r="M54" s="64"/>
      <c r="N54" s="64"/>
      <c r="O54" s="64"/>
      <c r="P54" s="64"/>
      <c r="Q54" s="64"/>
      <c r="R54" s="64"/>
      <c r="S54" s="64"/>
      <c r="T54" s="64"/>
      <c r="U54" s="64"/>
      <c r="V54" s="64"/>
      <c r="W54" s="64"/>
    </row>
    <row r="55" spans="1:26" ht="19.5" thickTop="1" thickBot="1" x14ac:dyDescent="0.4">
      <c r="A55" s="3874" t="s">
        <v>10</v>
      </c>
      <c r="B55" s="3875"/>
      <c r="C55" s="3875"/>
      <c r="D55" s="3875"/>
      <c r="E55" s="3875"/>
      <c r="F55" s="3875"/>
      <c r="G55" s="3875"/>
      <c r="H55" s="3875"/>
      <c r="I55" s="3875"/>
      <c r="J55" s="3875"/>
      <c r="K55" s="3875"/>
      <c r="L55" s="30"/>
      <c r="M55" s="3725" t="s">
        <v>748</v>
      </c>
      <c r="N55" s="3726"/>
      <c r="O55" s="3727"/>
      <c r="P55" s="31"/>
      <c r="Q55" s="64"/>
      <c r="R55" s="64"/>
      <c r="S55" s="64"/>
      <c r="T55" s="64"/>
      <c r="U55" s="64"/>
      <c r="V55" s="64"/>
      <c r="W55" s="64"/>
    </row>
    <row r="56" spans="1:26" ht="19.5" customHeight="1" x14ac:dyDescent="0.35">
      <c r="A56" s="3876" t="s">
        <v>1393</v>
      </c>
      <c r="B56" s="3877"/>
      <c r="C56" s="3877"/>
      <c r="D56" s="3877"/>
      <c r="E56" s="3877"/>
      <c r="F56" s="3877"/>
      <c r="G56" s="3877"/>
      <c r="H56" s="3877"/>
      <c r="I56" s="3877"/>
      <c r="J56" s="3877"/>
      <c r="K56" s="3877"/>
      <c r="L56" s="32"/>
      <c r="M56" s="3750" t="s">
        <v>795</v>
      </c>
      <c r="N56" s="3751"/>
      <c r="O56" s="3752"/>
      <c r="P56" s="33"/>
      <c r="Q56" s="64"/>
      <c r="R56" s="64"/>
      <c r="S56" s="64"/>
      <c r="T56" s="64"/>
      <c r="U56" s="64"/>
      <c r="V56" s="64"/>
      <c r="W56" s="64"/>
    </row>
    <row r="57" spans="1:26" ht="19.5" customHeight="1" x14ac:dyDescent="0.35">
      <c r="A57" s="3878"/>
      <c r="B57" s="3879"/>
      <c r="C57" s="3879"/>
      <c r="D57" s="3879"/>
      <c r="E57" s="3879"/>
      <c r="F57" s="3879"/>
      <c r="G57" s="3879"/>
      <c r="H57" s="3879"/>
      <c r="I57" s="3879"/>
      <c r="J57" s="3879"/>
      <c r="K57" s="3879"/>
      <c r="L57" s="32"/>
      <c r="M57" s="3753"/>
      <c r="N57" s="3754"/>
      <c r="O57" s="3755"/>
      <c r="P57" s="33"/>
      <c r="Q57" s="64"/>
      <c r="R57" s="64"/>
      <c r="S57" s="64"/>
      <c r="T57" s="64"/>
      <c r="U57" s="64"/>
      <c r="V57" s="64"/>
      <c r="W57" s="64"/>
    </row>
    <row r="58" spans="1:26" ht="19.5" customHeight="1" x14ac:dyDescent="0.35">
      <c r="A58" s="3878"/>
      <c r="B58" s="3879"/>
      <c r="C58" s="3879"/>
      <c r="D58" s="3879"/>
      <c r="E58" s="3879"/>
      <c r="F58" s="3879"/>
      <c r="G58" s="3879"/>
      <c r="H58" s="3879"/>
      <c r="I58" s="3879"/>
      <c r="J58" s="3879"/>
      <c r="K58" s="3879"/>
      <c r="L58" s="32"/>
      <c r="M58" s="3753"/>
      <c r="N58" s="3754"/>
      <c r="O58" s="3755"/>
      <c r="P58" s="33"/>
      <c r="Q58" s="64"/>
      <c r="R58" s="64"/>
      <c r="S58" s="64"/>
      <c r="T58" s="64"/>
      <c r="U58" s="64"/>
      <c r="V58" s="64"/>
      <c r="W58" s="64"/>
    </row>
    <row r="59" spans="1:26" ht="19.5" customHeight="1" x14ac:dyDescent="0.35">
      <c r="A59" s="3878"/>
      <c r="B59" s="3879"/>
      <c r="C59" s="3879"/>
      <c r="D59" s="3879"/>
      <c r="E59" s="3879"/>
      <c r="F59" s="3879"/>
      <c r="G59" s="3879"/>
      <c r="H59" s="3879"/>
      <c r="I59" s="3879"/>
      <c r="J59" s="3879"/>
      <c r="K59" s="3879"/>
      <c r="L59" s="32"/>
      <c r="M59" s="3753"/>
      <c r="N59" s="3754"/>
      <c r="O59" s="3755"/>
      <c r="P59" s="33"/>
      <c r="Q59" s="64"/>
      <c r="R59" s="64"/>
      <c r="S59" s="64"/>
      <c r="T59" s="64"/>
      <c r="U59" s="64"/>
      <c r="V59" s="64"/>
      <c r="W59" s="64"/>
    </row>
    <row r="60" spans="1:26" ht="19.5" customHeight="1" thickBot="1" x14ac:dyDescent="0.4">
      <c r="A60" s="3880"/>
      <c r="B60" s="3881"/>
      <c r="C60" s="3881"/>
      <c r="D60" s="3881"/>
      <c r="E60" s="3881"/>
      <c r="F60" s="3881"/>
      <c r="G60" s="3881"/>
      <c r="H60" s="3881"/>
      <c r="I60" s="3881"/>
      <c r="J60" s="3881"/>
      <c r="K60" s="3881"/>
      <c r="L60" s="32"/>
      <c r="M60" s="3756"/>
      <c r="N60" s="3757"/>
      <c r="O60" s="3758"/>
      <c r="P60" s="33"/>
      <c r="Q60" s="64"/>
      <c r="R60" s="64"/>
      <c r="S60" s="64"/>
      <c r="T60" s="64"/>
      <c r="U60" s="64"/>
      <c r="V60" s="64"/>
      <c r="W60" s="64"/>
    </row>
    <row r="61" spans="1:26" ht="15.5" thickTop="1" thickBot="1" x14ac:dyDescent="0.4">
      <c r="A61" s="64"/>
      <c r="B61" s="64"/>
      <c r="C61" s="64"/>
      <c r="D61" s="64"/>
      <c r="E61" s="64"/>
      <c r="F61" s="64"/>
      <c r="G61" s="64"/>
      <c r="H61" s="64"/>
      <c r="I61" s="64"/>
      <c r="J61" s="64"/>
      <c r="K61" s="64"/>
      <c r="L61" s="64"/>
      <c r="M61" s="31"/>
      <c r="N61" s="31"/>
      <c r="O61" s="31"/>
      <c r="P61" s="64"/>
      <c r="Q61" s="64"/>
      <c r="R61" s="64"/>
      <c r="S61" s="64"/>
      <c r="T61" s="64"/>
      <c r="U61" s="64"/>
      <c r="V61" s="64"/>
      <c r="W61" s="64"/>
    </row>
    <row r="62" spans="1:26" ht="19.5" thickTop="1" thickBot="1" x14ac:dyDescent="0.4">
      <c r="A62" s="3883" t="s">
        <v>11</v>
      </c>
      <c r="B62" s="3884"/>
      <c r="C62" s="3884"/>
      <c r="D62" s="3884"/>
      <c r="E62" s="3884"/>
      <c r="F62" s="3884"/>
      <c r="G62" s="3884"/>
      <c r="H62" s="3884"/>
      <c r="I62" s="3884"/>
      <c r="J62" s="3884"/>
      <c r="K62" s="3884"/>
      <c r="L62" s="30"/>
      <c r="M62" s="3725" t="s">
        <v>748</v>
      </c>
      <c r="N62" s="3726"/>
      <c r="O62" s="3727"/>
      <c r="P62" s="31"/>
      <c r="Q62" s="64"/>
      <c r="R62" s="64"/>
      <c r="S62" s="64"/>
      <c r="T62" s="64"/>
      <c r="U62" s="64"/>
      <c r="V62" s="64"/>
      <c r="W62" s="64"/>
    </row>
    <row r="63" spans="1:26" ht="19.5" customHeight="1" x14ac:dyDescent="0.35">
      <c r="A63" s="3876" t="s">
        <v>2203</v>
      </c>
      <c r="B63" s="3877"/>
      <c r="C63" s="3877"/>
      <c r="D63" s="3877"/>
      <c r="E63" s="3877"/>
      <c r="F63" s="3877"/>
      <c r="G63" s="3877"/>
      <c r="H63" s="3877"/>
      <c r="I63" s="3877"/>
      <c r="J63" s="3877"/>
      <c r="K63" s="3877"/>
      <c r="L63" s="30"/>
      <c r="M63" s="3750" t="s">
        <v>794</v>
      </c>
      <c r="N63" s="3751"/>
      <c r="O63" s="3752"/>
      <c r="P63" s="31"/>
      <c r="Q63" s="64"/>
      <c r="R63" s="64"/>
      <c r="S63" s="64"/>
      <c r="T63" s="64"/>
      <c r="U63" s="64"/>
      <c r="V63" s="64"/>
      <c r="W63" s="64"/>
    </row>
    <row r="64" spans="1:26" ht="19.5" customHeight="1" x14ac:dyDescent="0.35">
      <c r="A64" s="3878"/>
      <c r="B64" s="3882"/>
      <c r="C64" s="3882"/>
      <c r="D64" s="3882"/>
      <c r="E64" s="3882"/>
      <c r="F64" s="3882"/>
      <c r="G64" s="3882"/>
      <c r="H64" s="3882"/>
      <c r="I64" s="3882"/>
      <c r="J64" s="3882"/>
      <c r="K64" s="3882"/>
      <c r="L64" s="30"/>
      <c r="M64" s="3753"/>
      <c r="N64" s="3754"/>
      <c r="O64" s="3755"/>
      <c r="P64" s="31"/>
      <c r="Q64" s="64"/>
      <c r="R64" s="64"/>
      <c r="S64" s="64"/>
      <c r="T64" s="64"/>
      <c r="U64" s="64"/>
      <c r="V64" s="64"/>
      <c r="W64" s="64"/>
    </row>
    <row r="65" spans="1:23" ht="19.5" customHeight="1" x14ac:dyDescent="0.35">
      <c r="A65" s="3878"/>
      <c r="B65" s="3882"/>
      <c r="C65" s="3882"/>
      <c r="D65" s="3882"/>
      <c r="E65" s="3882"/>
      <c r="F65" s="3882"/>
      <c r="G65" s="3882"/>
      <c r="H65" s="3882"/>
      <c r="I65" s="3882"/>
      <c r="J65" s="3882"/>
      <c r="K65" s="3882"/>
      <c r="L65" s="30"/>
      <c r="M65" s="3753"/>
      <c r="N65" s="3754"/>
      <c r="O65" s="3755"/>
      <c r="P65" s="31"/>
      <c r="Q65" s="64"/>
      <c r="R65" s="64"/>
      <c r="S65" s="64"/>
      <c r="T65" s="64"/>
      <c r="U65" s="64"/>
      <c r="V65" s="64"/>
      <c r="W65" s="64"/>
    </row>
    <row r="66" spans="1:23" ht="19.5" customHeight="1" thickBot="1" x14ac:dyDescent="0.4">
      <c r="A66" s="3880"/>
      <c r="B66" s="3881"/>
      <c r="C66" s="3881"/>
      <c r="D66" s="3881"/>
      <c r="E66" s="3881"/>
      <c r="F66" s="3881"/>
      <c r="G66" s="3881"/>
      <c r="H66" s="3881"/>
      <c r="I66" s="3881"/>
      <c r="J66" s="3881"/>
      <c r="K66" s="3881"/>
      <c r="L66" s="30"/>
      <c r="M66" s="3756"/>
      <c r="N66" s="3757"/>
      <c r="O66" s="3758"/>
      <c r="P66" s="31"/>
      <c r="Q66" s="64"/>
      <c r="R66" s="64"/>
      <c r="S66" s="64"/>
      <c r="T66" s="64"/>
      <c r="U66" s="64"/>
      <c r="V66" s="64"/>
      <c r="W66" s="64"/>
    </row>
    <row r="67" spans="1:23" ht="15" thickTop="1" x14ac:dyDescent="0.35">
      <c r="A67" s="64"/>
      <c r="B67" s="64"/>
      <c r="C67" s="64"/>
      <c r="D67" s="64"/>
      <c r="E67" s="64"/>
      <c r="F67" s="64"/>
      <c r="G67" s="64"/>
      <c r="H67" s="64"/>
      <c r="I67" s="64"/>
      <c r="J67" s="64"/>
      <c r="K67" s="64"/>
      <c r="L67" s="64"/>
      <c r="M67" s="64"/>
      <c r="N67" s="64"/>
      <c r="O67" s="64"/>
      <c r="P67" s="64"/>
      <c r="Q67" s="64"/>
      <c r="R67" s="64"/>
      <c r="S67" s="64"/>
      <c r="T67" s="64"/>
      <c r="U67" s="64"/>
      <c r="V67" s="64"/>
      <c r="W67" s="64"/>
    </row>
    <row r="68" spans="1:23" x14ac:dyDescent="0.35">
      <c r="A68" s="64"/>
      <c r="B68" s="64"/>
      <c r="C68" s="64"/>
      <c r="D68" s="64"/>
      <c r="E68" s="64"/>
      <c r="F68" s="64"/>
      <c r="G68" s="64"/>
      <c r="H68" s="64"/>
      <c r="I68" s="64"/>
      <c r="J68" s="64"/>
      <c r="K68" s="64"/>
      <c r="L68" s="64"/>
      <c r="M68" s="64"/>
      <c r="N68" s="64"/>
      <c r="O68" s="64"/>
      <c r="P68" s="64"/>
      <c r="Q68" s="64"/>
    </row>
    <row r="69" spans="1:23" x14ac:dyDescent="0.35">
      <c r="A69" s="64"/>
      <c r="B69" s="64"/>
      <c r="C69" s="64"/>
      <c r="D69" s="64"/>
      <c r="E69" s="64"/>
      <c r="F69" s="64"/>
      <c r="G69" s="64"/>
      <c r="H69" s="64"/>
      <c r="I69" s="64"/>
      <c r="J69" s="64"/>
      <c r="K69" s="64"/>
      <c r="L69" s="64"/>
      <c r="M69" s="64"/>
      <c r="N69" s="64"/>
      <c r="O69" s="64"/>
      <c r="P69" s="64"/>
      <c r="Q69" s="64"/>
    </row>
    <row r="70" spans="1:23" x14ac:dyDescent="0.35">
      <c r="A70" s="64"/>
      <c r="B70" s="64"/>
      <c r="C70" s="64"/>
      <c r="D70" s="64"/>
      <c r="E70" s="64"/>
      <c r="F70" s="64"/>
      <c r="G70" s="64"/>
      <c r="H70" s="64"/>
      <c r="I70" s="64"/>
      <c r="J70" s="64"/>
      <c r="K70" s="64"/>
      <c r="L70" s="64"/>
      <c r="M70" s="64"/>
      <c r="N70" s="64"/>
      <c r="O70" s="64"/>
      <c r="P70" s="64"/>
      <c r="Q70" s="64"/>
    </row>
  </sheetData>
  <mergeCells count="218">
    <mergeCell ref="A6:B6"/>
    <mergeCell ref="C6:P6"/>
    <mergeCell ref="A15:D15"/>
    <mergeCell ref="A29:D29"/>
    <mergeCell ref="M29:P29"/>
    <mergeCell ref="A25:D25"/>
    <mergeCell ref="D3:G3"/>
    <mergeCell ref="D1:G1"/>
    <mergeCell ref="I1:J1"/>
    <mergeCell ref="L1:M1"/>
    <mergeCell ref="D2:G2"/>
    <mergeCell ref="I2:J2"/>
    <mergeCell ref="L2:M2"/>
    <mergeCell ref="A23:D23"/>
    <mergeCell ref="E21:H21"/>
    <mergeCell ref="I21:L21"/>
    <mergeCell ref="E17:H17"/>
    <mergeCell ref="I17:L17"/>
    <mergeCell ref="M17:P17"/>
    <mergeCell ref="A17:D17"/>
    <mergeCell ref="A19:D19"/>
    <mergeCell ref="A21:D21"/>
    <mergeCell ref="A9:D9"/>
    <mergeCell ref="A11:D11"/>
    <mergeCell ref="E11:H11"/>
    <mergeCell ref="A5:B5"/>
    <mergeCell ref="C5:P5"/>
    <mergeCell ref="R35:S35"/>
    <mergeCell ref="E33:J33"/>
    <mergeCell ref="K33:P33"/>
    <mergeCell ref="A35:D35"/>
    <mergeCell ref="A34:D34"/>
    <mergeCell ref="K35:L35"/>
    <mergeCell ref="M35:N35"/>
    <mergeCell ref="O35:P35"/>
    <mergeCell ref="A33:D33"/>
    <mergeCell ref="K34:L34"/>
    <mergeCell ref="M34:N34"/>
    <mergeCell ref="O34:P34"/>
    <mergeCell ref="E35:F35"/>
    <mergeCell ref="G35:H35"/>
    <mergeCell ref="I35:J35"/>
    <mergeCell ref="E34:F34"/>
    <mergeCell ref="G34:H34"/>
    <mergeCell ref="I34:J34"/>
    <mergeCell ref="A10:P10"/>
    <mergeCell ref="A12:P12"/>
    <mergeCell ref="A14:P14"/>
    <mergeCell ref="R36:S36"/>
    <mergeCell ref="A37:D37"/>
    <mergeCell ref="E37:F37"/>
    <mergeCell ref="G37:H37"/>
    <mergeCell ref="I37:J37"/>
    <mergeCell ref="K37:L37"/>
    <mergeCell ref="M37:N37"/>
    <mergeCell ref="O37:P37"/>
    <mergeCell ref="R37:S37"/>
    <mergeCell ref="A36:D36"/>
    <mergeCell ref="E36:F36"/>
    <mergeCell ref="G36:H36"/>
    <mergeCell ref="I36:J36"/>
    <mergeCell ref="K36:L36"/>
    <mergeCell ref="M36:N36"/>
    <mergeCell ref="O36:P36"/>
    <mergeCell ref="R38:S38"/>
    <mergeCell ref="A39:D39"/>
    <mergeCell ref="E39:F39"/>
    <mergeCell ref="G39:H39"/>
    <mergeCell ref="I39:J39"/>
    <mergeCell ref="K39:L39"/>
    <mergeCell ref="M39:N39"/>
    <mergeCell ref="R39:S39"/>
    <mergeCell ref="A40:D40"/>
    <mergeCell ref="E40:F40"/>
    <mergeCell ref="G40:H40"/>
    <mergeCell ref="I40:J40"/>
    <mergeCell ref="K40:L40"/>
    <mergeCell ref="M40:N40"/>
    <mergeCell ref="O40:P40"/>
    <mergeCell ref="R40:S40"/>
    <mergeCell ref="O39:P39"/>
    <mergeCell ref="K38:L38"/>
    <mergeCell ref="M38:N38"/>
    <mergeCell ref="O38:P38"/>
    <mergeCell ref="A38:D38"/>
    <mergeCell ref="E38:F38"/>
    <mergeCell ref="G38:H38"/>
    <mergeCell ref="I38:J38"/>
    <mergeCell ref="R41:S41"/>
    <mergeCell ref="A42:D42"/>
    <mergeCell ref="E42:F42"/>
    <mergeCell ref="G42:H42"/>
    <mergeCell ref="I42:J42"/>
    <mergeCell ref="K42:L42"/>
    <mergeCell ref="M42:N42"/>
    <mergeCell ref="O42:P42"/>
    <mergeCell ref="R42:S42"/>
    <mergeCell ref="K41:L41"/>
    <mergeCell ref="M41:N41"/>
    <mergeCell ref="O41:P41"/>
    <mergeCell ref="A41:D41"/>
    <mergeCell ref="E41:F41"/>
    <mergeCell ref="G41:H41"/>
    <mergeCell ref="I41:J41"/>
    <mergeCell ref="R46:S46"/>
    <mergeCell ref="O48:P48"/>
    <mergeCell ref="R48:S48"/>
    <mergeCell ref="R47:S47"/>
    <mergeCell ref="K46:L46"/>
    <mergeCell ref="R43:S43"/>
    <mergeCell ref="K44:L44"/>
    <mergeCell ref="M44:N44"/>
    <mergeCell ref="O44:P44"/>
    <mergeCell ref="R44:S44"/>
    <mergeCell ref="K45:L45"/>
    <mergeCell ref="M45:N45"/>
    <mergeCell ref="R45:S45"/>
    <mergeCell ref="O45:P45"/>
    <mergeCell ref="M43:N43"/>
    <mergeCell ref="O43:P43"/>
    <mergeCell ref="K43:L43"/>
    <mergeCell ref="R49:S49"/>
    <mergeCell ref="C50:D51"/>
    <mergeCell ref="E50:F51"/>
    <mergeCell ref="G50:H51"/>
    <mergeCell ref="I50:J51"/>
    <mergeCell ref="K50:L51"/>
    <mergeCell ref="M50:N51"/>
    <mergeCell ref="O50:P51"/>
    <mergeCell ref="A49:D49"/>
    <mergeCell ref="E49:F49"/>
    <mergeCell ref="G49:H49"/>
    <mergeCell ref="I49:J49"/>
    <mergeCell ref="K49:L49"/>
    <mergeCell ref="M49:N49"/>
    <mergeCell ref="E47:F47"/>
    <mergeCell ref="G47:H47"/>
    <mergeCell ref="I47:J47"/>
    <mergeCell ref="O49:P49"/>
    <mergeCell ref="E9:H9"/>
    <mergeCell ref="I9:L9"/>
    <mergeCell ref="M9:P9"/>
    <mergeCell ref="M13:P13"/>
    <mergeCell ref="I11:L11"/>
    <mergeCell ref="M11:P11"/>
    <mergeCell ref="I46:J46"/>
    <mergeCell ref="E45:F45"/>
    <mergeCell ref="G45:H45"/>
    <mergeCell ref="I45:J45"/>
    <mergeCell ref="E44:F44"/>
    <mergeCell ref="G44:H44"/>
    <mergeCell ref="I44:J44"/>
    <mergeCell ref="E19:H19"/>
    <mergeCell ref="I19:L19"/>
    <mergeCell ref="M19:P19"/>
    <mergeCell ref="E43:F43"/>
    <mergeCell ref="G43:H43"/>
    <mergeCell ref="E29:H29"/>
    <mergeCell ref="I29:L29"/>
    <mergeCell ref="M56:O60"/>
    <mergeCell ref="M62:O62"/>
    <mergeCell ref="M63:O66"/>
    <mergeCell ref="M21:P21"/>
    <mergeCell ref="E23:H23"/>
    <mergeCell ref="I23:L23"/>
    <mergeCell ref="M23:P23"/>
    <mergeCell ref="M46:N46"/>
    <mergeCell ref="O46:P46"/>
    <mergeCell ref="A55:K55"/>
    <mergeCell ref="A56:K60"/>
    <mergeCell ref="A63:K66"/>
    <mergeCell ref="A62:K62"/>
    <mergeCell ref="M55:O55"/>
    <mergeCell ref="A48:D48"/>
    <mergeCell ref="E48:F48"/>
    <mergeCell ref="G48:H48"/>
    <mergeCell ref="I48:J48"/>
    <mergeCell ref="K48:L48"/>
    <mergeCell ref="M48:N48"/>
    <mergeCell ref="K47:L47"/>
    <mergeCell ref="M47:N47"/>
    <mergeCell ref="O47:P47"/>
    <mergeCell ref="A47:D47"/>
    <mergeCell ref="I43:J43"/>
    <mergeCell ref="A46:D46"/>
    <mergeCell ref="E46:F46"/>
    <mergeCell ref="G46:H46"/>
    <mergeCell ref="H4:P4"/>
    <mergeCell ref="A4:G4"/>
    <mergeCell ref="E15:H15"/>
    <mergeCell ref="I15:L15"/>
    <mergeCell ref="M15:P15"/>
    <mergeCell ref="E13:H13"/>
    <mergeCell ref="A45:D45"/>
    <mergeCell ref="A44:D44"/>
    <mergeCell ref="M7:P7"/>
    <mergeCell ref="A43:D43"/>
    <mergeCell ref="E25:H25"/>
    <mergeCell ref="I25:L25"/>
    <mergeCell ref="M25:P25"/>
    <mergeCell ref="A28:P28"/>
    <mergeCell ref="I13:L13"/>
    <mergeCell ref="A7:D7"/>
    <mergeCell ref="E7:H7"/>
    <mergeCell ref="I7:L7"/>
    <mergeCell ref="A30:P30"/>
    <mergeCell ref="A8:P8"/>
    <mergeCell ref="A13:D13"/>
    <mergeCell ref="A16:P16"/>
    <mergeCell ref="A18:P18"/>
    <mergeCell ref="A20:P20"/>
    <mergeCell ref="A22:P22"/>
    <mergeCell ref="A24:P24"/>
    <mergeCell ref="A27:D27"/>
    <mergeCell ref="E27:H27"/>
    <mergeCell ref="I27:L27"/>
    <mergeCell ref="M27:P27"/>
    <mergeCell ref="A26:P26"/>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B00-000000000000}">
      <formula1>AvancementTheme</formula1>
    </dataValidation>
  </dataValidation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7">
    <tabColor theme="3" tint="0.59999389629810485"/>
    <pageSetUpPr fitToPage="1"/>
  </sheetPr>
  <dimension ref="A1:Q68"/>
  <sheetViews>
    <sheetView showGridLines="0" showZeros="0" zoomScale="110" zoomScaleNormal="110" workbookViewId="0">
      <pane ySplit="7" topLeftCell="A8" activePane="bottomLeft" state="frozen"/>
      <selection activeCell="H7" sqref="H7"/>
      <selection pane="bottomLeft" activeCell="I54" sqref="I54:J54"/>
    </sheetView>
  </sheetViews>
  <sheetFormatPr baseColWidth="10" defaultColWidth="11.453125" defaultRowHeight="14.5" x14ac:dyDescent="0.35"/>
  <cols>
    <col min="1" max="4" width="11.453125" style="60"/>
    <col min="5" max="5" width="11" style="60" customWidth="1"/>
    <col min="6" max="6" width="5.453125" style="60" hidden="1" customWidth="1"/>
    <col min="7" max="11" width="11.453125" style="60"/>
    <col min="12" max="12" width="12.81640625" style="60" customWidth="1"/>
    <col min="13" max="13" width="11.453125" style="60"/>
    <col min="14" max="14" width="34.1796875" style="60" customWidth="1"/>
    <col min="15" max="15" width="11.453125" style="60" customWidth="1"/>
    <col min="16" max="17" width="11.453125" style="60"/>
    <col min="18" max="18" width="38" style="60" customWidth="1"/>
    <col min="19" max="16384" width="11.453125" style="60"/>
  </cols>
  <sheetData>
    <row r="1" spans="1:17"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458"/>
    </row>
    <row r="2" spans="1:17" s="58" customFormat="1" ht="18" customHeight="1" x14ac:dyDescent="0.35">
      <c r="A2" s="393"/>
      <c r="B2" s="393"/>
      <c r="C2" s="393"/>
      <c r="D2" s="3342" t="str">
        <f>NomClient</f>
        <v xml:space="preserve">EQUINIX </v>
      </c>
      <c r="E2" s="3343"/>
      <c r="F2" s="3343"/>
      <c r="G2" s="3344"/>
      <c r="H2" s="393"/>
      <c r="I2" s="3345" t="s">
        <v>407</v>
      </c>
      <c r="J2" s="3346"/>
      <c r="K2" s="393"/>
      <c r="L2" s="3347">
        <v>42967.415023148147</v>
      </c>
      <c r="M2" s="3348"/>
      <c r="N2" s="394"/>
      <c r="O2" s="451" t="e">
        <f>IF(LEN(DPDV_02VI)&gt;0,LEN(DPDV_02VI),0-PDV_NBmini)</f>
        <v>#REF!</v>
      </c>
      <c r="P2" s="451" t="e">
        <f>IF(LEN(DKPI_02VI)&gt;0,LEN(DKPI_02VI),0-KPI_NBmini)</f>
        <v>#REF!</v>
      </c>
      <c r="Q2" s="459"/>
    </row>
    <row r="3" spans="1:17" ht="10.5" customHeight="1" thickBot="1" x14ac:dyDescent="0.4">
      <c r="A3" s="396"/>
      <c r="B3" s="396"/>
      <c r="C3" s="396"/>
      <c r="D3" s="3696" t="s">
        <v>1792</v>
      </c>
      <c r="E3" s="3696"/>
      <c r="F3" s="3696"/>
      <c r="G3" s="3696"/>
      <c r="H3" s="396"/>
      <c r="I3" s="396"/>
      <c r="J3" s="396"/>
      <c r="K3" s="396"/>
      <c r="L3" s="396"/>
      <c r="M3" s="396"/>
      <c r="N3" s="396"/>
      <c r="O3" s="396"/>
      <c r="P3" s="396"/>
      <c r="Q3" s="64"/>
    </row>
    <row r="4" spans="1:17" s="1" customFormat="1" ht="24.75" customHeight="1" thickBot="1" x14ac:dyDescent="0.4">
      <c r="A4" s="4040" t="str">
        <f>Parametre!B24 &amp; "  : "</f>
        <v xml:space="preserve">Vision, Attente &amp; Stratégie  : </v>
      </c>
      <c r="B4" s="4040"/>
      <c r="C4" s="4040"/>
      <c r="D4" s="4040"/>
      <c r="E4" s="4040"/>
      <c r="F4" s="4040"/>
      <c r="G4" s="4040"/>
      <c r="H4" s="4038" t="str">
        <f>"Vision à " &amp; NbAnVision &amp; " ans du partenariat"</f>
        <v>Vision à 3 ans du partenariat</v>
      </c>
      <c r="I4" s="4038"/>
      <c r="J4" s="4038"/>
      <c r="K4" s="4038"/>
      <c r="L4" s="4038"/>
      <c r="M4" s="4038"/>
      <c r="N4" s="4038"/>
      <c r="O4" s="4038"/>
      <c r="P4" s="4039"/>
      <c r="Q4" s="444"/>
    </row>
    <row r="5" spans="1:17" s="193" customFormat="1" ht="19.5" customHeight="1" thickBot="1" x14ac:dyDescent="0.4">
      <c r="A5" s="3438" t="s">
        <v>14</v>
      </c>
      <c r="B5" s="3438"/>
      <c r="C5" s="3439" t="s">
        <v>2303</v>
      </c>
      <c r="D5" s="3439"/>
      <c r="E5" s="3439"/>
      <c r="F5" s="3439"/>
      <c r="G5" s="3439"/>
      <c r="H5" s="3439"/>
      <c r="I5" s="3439"/>
      <c r="J5" s="3439"/>
      <c r="K5" s="3439"/>
      <c r="L5" s="3439"/>
      <c r="M5" s="3439"/>
      <c r="N5" s="3439"/>
      <c r="O5" s="3439"/>
      <c r="P5" s="3439"/>
      <c r="Q5" s="460"/>
    </row>
    <row r="6" spans="1:17" s="62" customFormat="1" ht="21.5" thickTop="1" x14ac:dyDescent="0.35">
      <c r="A6" s="4022" t="s">
        <v>524</v>
      </c>
      <c r="B6" s="4023"/>
      <c r="C6" s="4023"/>
      <c r="D6" s="4023"/>
      <c r="E6" s="4023"/>
      <c r="F6" s="4024"/>
      <c r="G6" s="4028">
        <f>AnReference</f>
        <v>2018</v>
      </c>
      <c r="H6" s="4029"/>
      <c r="I6" s="4028">
        <f>AnReference+NbAnVision</f>
        <v>2021</v>
      </c>
      <c r="J6" s="4029"/>
      <c r="K6" s="4041" t="s">
        <v>188</v>
      </c>
      <c r="L6" s="4023"/>
      <c r="M6" s="4023"/>
      <c r="N6" s="4042"/>
      <c r="O6" s="462"/>
      <c r="P6" s="462"/>
      <c r="Q6" s="462"/>
    </row>
    <row r="7" spans="1:17" s="62" customFormat="1" ht="21.5" thickBot="1" x14ac:dyDescent="0.4">
      <c r="A7" s="4025"/>
      <c r="B7" s="4026"/>
      <c r="C7" s="4026"/>
      <c r="D7" s="4026"/>
      <c r="E7" s="4026"/>
      <c r="F7" s="4027"/>
      <c r="G7" s="4030"/>
      <c r="H7" s="4031"/>
      <c r="I7" s="4030"/>
      <c r="J7" s="4031"/>
      <c r="K7" s="4043"/>
      <c r="L7" s="4026"/>
      <c r="M7" s="4026"/>
      <c r="N7" s="4044"/>
      <c r="O7" s="462"/>
      <c r="P7" s="462"/>
      <c r="Q7" s="462"/>
    </row>
    <row r="8" spans="1:17" s="62" customFormat="1" ht="8.25" customHeight="1" x14ac:dyDescent="0.35">
      <c r="A8" s="4014"/>
      <c r="B8" s="4015"/>
      <c r="C8" s="4015"/>
      <c r="D8" s="4015"/>
      <c r="E8" s="4015"/>
      <c r="F8" s="4015"/>
      <c r="G8" s="4015"/>
      <c r="H8" s="4015"/>
      <c r="I8" s="4015"/>
      <c r="J8" s="4015"/>
      <c r="K8" s="4015"/>
      <c r="L8" s="4015"/>
      <c r="M8" s="4015"/>
      <c r="N8" s="4016"/>
      <c r="O8" s="462"/>
      <c r="P8" s="462"/>
      <c r="Q8" s="462"/>
    </row>
    <row r="9" spans="1:17" ht="18.5" x14ac:dyDescent="0.35">
      <c r="A9" s="3940" t="s">
        <v>1968</v>
      </c>
      <c r="B9" s="3941"/>
      <c r="C9" s="3941"/>
      <c r="D9" s="3941"/>
      <c r="E9" s="3941"/>
      <c r="F9" s="3942"/>
      <c r="G9" s="3991"/>
      <c r="H9" s="3992"/>
      <c r="I9" s="4036"/>
      <c r="J9" s="4037"/>
      <c r="K9" s="3952"/>
      <c r="L9" s="3953"/>
      <c r="M9" s="3953"/>
      <c r="N9" s="3954"/>
      <c r="O9" s="463"/>
      <c r="P9" s="64"/>
      <c r="Q9" s="64"/>
    </row>
    <row r="10" spans="1:17" ht="18.5" x14ac:dyDescent="0.35">
      <c r="A10" s="2949"/>
      <c r="B10" s="2950"/>
      <c r="C10" s="2950"/>
      <c r="D10" s="2950"/>
      <c r="E10" s="2950"/>
      <c r="F10" s="2950"/>
      <c r="G10" s="3960"/>
      <c r="H10" s="3961"/>
      <c r="I10" s="3962"/>
      <c r="J10" s="3963"/>
      <c r="K10" s="3952"/>
      <c r="L10" s="3953"/>
      <c r="M10" s="3953"/>
      <c r="N10" s="3954"/>
      <c r="O10" s="463"/>
      <c r="P10" s="64"/>
      <c r="Q10" s="64"/>
    </row>
    <row r="11" spans="1:17" ht="18.5" x14ac:dyDescent="0.35">
      <c r="A11" s="4032" t="s">
        <v>2312</v>
      </c>
      <c r="B11" s="4033"/>
      <c r="C11" s="4033"/>
      <c r="D11" s="4033"/>
      <c r="E11" s="4033"/>
      <c r="F11" s="4033"/>
      <c r="G11" s="4034">
        <f>SUM(G12:H14)</f>
        <v>0</v>
      </c>
      <c r="H11" s="4035"/>
      <c r="I11" s="4034">
        <f>SUM(I12:J14)</f>
        <v>0</v>
      </c>
      <c r="J11" s="4035"/>
      <c r="K11" s="3952"/>
      <c r="L11" s="3953"/>
      <c r="M11" s="3953"/>
      <c r="N11" s="3954"/>
      <c r="O11" s="463"/>
      <c r="P11" s="64"/>
      <c r="Q11" s="64"/>
    </row>
    <row r="12" spans="1:17" ht="18.5" x14ac:dyDescent="0.35">
      <c r="A12" s="3958" t="s">
        <v>2700</v>
      </c>
      <c r="B12" s="3959"/>
      <c r="C12" s="3959"/>
      <c r="D12" s="3959"/>
      <c r="E12" s="3959"/>
      <c r="F12" s="3959"/>
      <c r="G12" s="4006"/>
      <c r="H12" s="4007"/>
      <c r="I12" s="4020"/>
      <c r="J12" s="4021"/>
      <c r="K12" s="3952"/>
      <c r="L12" s="3953"/>
      <c r="M12" s="3953"/>
      <c r="N12" s="3954"/>
      <c r="O12" s="463"/>
      <c r="P12" s="64"/>
      <c r="Q12" s="64"/>
    </row>
    <row r="13" spans="1:17" ht="18.5" x14ac:dyDescent="0.35">
      <c r="A13" s="3958" t="s">
        <v>2701</v>
      </c>
      <c r="B13" s="3959"/>
      <c r="C13" s="3959"/>
      <c r="D13" s="3959"/>
      <c r="E13" s="3959"/>
      <c r="F13" s="3959"/>
      <c r="G13" s="4006"/>
      <c r="H13" s="4007"/>
      <c r="I13" s="4020"/>
      <c r="J13" s="4021"/>
      <c r="K13" s="3952"/>
      <c r="L13" s="3953"/>
      <c r="M13" s="3953"/>
      <c r="N13" s="3954"/>
      <c r="O13" s="463"/>
      <c r="P13" s="64"/>
      <c r="Q13" s="64"/>
    </row>
    <row r="14" spans="1:17" ht="18.5" x14ac:dyDescent="0.35">
      <c r="A14" s="3958" t="s">
        <v>2702</v>
      </c>
      <c r="B14" s="3959"/>
      <c r="C14" s="3959"/>
      <c r="D14" s="3959"/>
      <c r="E14" s="3959"/>
      <c r="F14" s="3959"/>
      <c r="G14" s="4006"/>
      <c r="H14" s="4007"/>
      <c r="I14" s="4020"/>
      <c r="J14" s="4021"/>
      <c r="K14" s="3952"/>
      <c r="L14" s="3953"/>
      <c r="M14" s="3953"/>
      <c r="N14" s="3954"/>
      <c r="O14" s="463"/>
      <c r="P14" s="64"/>
      <c r="Q14" s="64"/>
    </row>
    <row r="15" spans="1:17" ht="18.5" x14ac:dyDescent="0.35">
      <c r="A15" s="2940"/>
      <c r="B15" s="2941"/>
      <c r="C15" s="2941"/>
      <c r="D15" s="2941"/>
      <c r="E15" s="2941"/>
      <c r="F15" s="2941"/>
      <c r="G15" s="3960"/>
      <c r="H15" s="3961"/>
      <c r="I15" s="3962"/>
      <c r="J15" s="3963"/>
      <c r="K15" s="3952"/>
      <c r="L15" s="3953"/>
      <c r="M15" s="3953"/>
      <c r="N15" s="3954"/>
      <c r="O15" s="463"/>
      <c r="P15" s="64"/>
      <c r="Q15" s="64"/>
    </row>
    <row r="16" spans="1:17" ht="18.5" x14ac:dyDescent="0.35">
      <c r="A16" s="3940" t="s">
        <v>2319</v>
      </c>
      <c r="B16" s="3941"/>
      <c r="C16" s="3941"/>
      <c r="D16" s="3941"/>
      <c r="E16" s="3941"/>
      <c r="F16" s="3942"/>
      <c r="G16" s="4034">
        <f t="shared" ref="G16:G21" si="0">SUM(G17:H22)</f>
        <v>0</v>
      </c>
      <c r="H16" s="4035"/>
      <c r="I16" s="4034">
        <f>SUM(I17:J22)</f>
        <v>0</v>
      </c>
      <c r="J16" s="4035"/>
      <c r="K16" s="3952"/>
      <c r="L16" s="3953"/>
      <c r="M16" s="3953"/>
      <c r="N16" s="3954"/>
      <c r="O16" s="463"/>
      <c r="P16" s="64"/>
      <c r="Q16" s="64"/>
    </row>
    <row r="17" spans="1:17" ht="18.5" x14ac:dyDescent="0.35">
      <c r="A17" s="3968" t="s">
        <v>2313</v>
      </c>
      <c r="B17" s="3969"/>
      <c r="C17" s="3969"/>
      <c r="D17" s="3969"/>
      <c r="E17" s="3969"/>
      <c r="F17" s="3969"/>
      <c r="G17" s="4006">
        <f t="shared" si="0"/>
        <v>0</v>
      </c>
      <c r="H17" s="4007"/>
      <c r="I17" s="4008"/>
      <c r="J17" s="4009"/>
      <c r="K17" s="4001"/>
      <c r="L17" s="4002"/>
      <c r="M17" s="4002"/>
      <c r="N17" s="4003"/>
      <c r="O17" s="463"/>
      <c r="P17" s="64"/>
      <c r="Q17" s="64"/>
    </row>
    <row r="18" spans="1:17" ht="18.5" x14ac:dyDescent="0.35">
      <c r="A18" s="3968" t="s">
        <v>2314</v>
      </c>
      <c r="B18" s="3969"/>
      <c r="C18" s="3969"/>
      <c r="D18" s="3969"/>
      <c r="E18" s="3969"/>
      <c r="F18" s="3969"/>
      <c r="G18" s="4006">
        <f t="shared" si="0"/>
        <v>0</v>
      </c>
      <c r="H18" s="4007"/>
      <c r="I18" s="4020"/>
      <c r="J18" s="4021"/>
      <c r="K18" s="4001"/>
      <c r="L18" s="4002"/>
      <c r="M18" s="4002"/>
      <c r="N18" s="4003"/>
      <c r="O18" s="64"/>
      <c r="P18" s="64"/>
      <c r="Q18" s="64"/>
    </row>
    <row r="19" spans="1:17" ht="20.25" customHeight="1" x14ac:dyDescent="0.35">
      <c r="A19" s="3968" t="s">
        <v>2315</v>
      </c>
      <c r="B19" s="3969"/>
      <c r="C19" s="3969"/>
      <c r="D19" s="3969"/>
      <c r="E19" s="3969"/>
      <c r="F19" s="3969"/>
      <c r="G19" s="4006">
        <f t="shared" si="0"/>
        <v>0</v>
      </c>
      <c r="H19" s="4007"/>
      <c r="I19" s="4020"/>
      <c r="J19" s="4021"/>
      <c r="K19" s="3947"/>
      <c r="L19" s="3948"/>
      <c r="M19" s="3948"/>
      <c r="N19" s="3949"/>
      <c r="O19" s="64"/>
      <c r="P19" s="64"/>
      <c r="Q19" s="64"/>
    </row>
    <row r="20" spans="1:17" ht="18.5" x14ac:dyDescent="0.35">
      <c r="A20" s="3968" t="s">
        <v>2316</v>
      </c>
      <c r="B20" s="3969"/>
      <c r="C20" s="3969"/>
      <c r="D20" s="3969"/>
      <c r="E20" s="3969"/>
      <c r="F20" s="3969"/>
      <c r="G20" s="4006">
        <f t="shared" si="0"/>
        <v>0</v>
      </c>
      <c r="H20" s="4007"/>
      <c r="I20" s="4006"/>
      <c r="J20" s="4007"/>
      <c r="K20" s="3947"/>
      <c r="L20" s="3948"/>
      <c r="M20" s="3948"/>
      <c r="N20" s="3949"/>
      <c r="O20" s="64"/>
      <c r="P20" s="64"/>
      <c r="Q20" s="64"/>
    </row>
    <row r="21" spans="1:17" ht="18.5" x14ac:dyDescent="0.35">
      <c r="A21" s="3968" t="s">
        <v>2317</v>
      </c>
      <c r="B21" s="3969"/>
      <c r="C21" s="3969"/>
      <c r="D21" s="3969"/>
      <c r="E21" s="3969"/>
      <c r="F21" s="3969"/>
      <c r="G21" s="4006">
        <f t="shared" si="0"/>
        <v>0</v>
      </c>
      <c r="H21" s="4007"/>
      <c r="I21" s="4006"/>
      <c r="J21" s="4007"/>
      <c r="K21" s="3947"/>
      <c r="L21" s="3948"/>
      <c r="M21" s="3948"/>
      <c r="N21" s="3949"/>
      <c r="O21" s="64"/>
      <c r="P21" s="64"/>
      <c r="Q21" s="64"/>
    </row>
    <row r="22" spans="1:17" ht="18.5" x14ac:dyDescent="0.35">
      <c r="A22" s="3968" t="s">
        <v>2318</v>
      </c>
      <c r="B22" s="3969"/>
      <c r="C22" s="3969"/>
      <c r="D22" s="3969"/>
      <c r="E22" s="3969"/>
      <c r="F22" s="3969"/>
      <c r="G22" s="4006">
        <f>SUM(G23:H27)</f>
        <v>0</v>
      </c>
      <c r="H22" s="4007"/>
      <c r="I22" s="4006"/>
      <c r="J22" s="4007"/>
      <c r="K22" s="2259"/>
      <c r="L22" s="2260"/>
      <c r="M22" s="2260"/>
      <c r="N22" s="2261"/>
      <c r="O22" s="64"/>
      <c r="P22" s="64"/>
      <c r="Q22" s="64"/>
    </row>
    <row r="23" spans="1:17" ht="18.5" x14ac:dyDescent="0.35">
      <c r="A23" s="2596"/>
      <c r="B23" s="2597"/>
      <c r="C23" s="2597"/>
      <c r="D23" s="2597"/>
      <c r="E23" s="2597"/>
      <c r="F23" s="2597"/>
      <c r="G23" s="2623"/>
      <c r="H23" s="2624"/>
      <c r="I23" s="2623"/>
      <c r="J23" s="2624"/>
      <c r="K23" s="2598"/>
      <c r="L23" s="2599"/>
      <c r="M23" s="2599"/>
      <c r="N23" s="2600"/>
      <c r="O23" s="64"/>
      <c r="P23" s="64"/>
      <c r="Q23" s="64"/>
    </row>
    <row r="24" spans="1:17" ht="18.5" hidden="1" x14ac:dyDescent="0.35">
      <c r="A24" s="3940" t="s">
        <v>2320</v>
      </c>
      <c r="B24" s="3941"/>
      <c r="C24" s="3941"/>
      <c r="D24" s="3941"/>
      <c r="E24" s="3941"/>
      <c r="F24" s="3942"/>
      <c r="G24" s="4012"/>
      <c r="H24" s="4013"/>
      <c r="I24" s="4008"/>
      <c r="J24" s="4009"/>
      <c r="K24" s="3947"/>
      <c r="L24" s="3948"/>
      <c r="M24" s="3948"/>
      <c r="N24" s="3949"/>
      <c r="O24" s="64"/>
      <c r="P24" s="64"/>
      <c r="Q24" s="64"/>
    </row>
    <row r="25" spans="1:17" ht="18.5" hidden="1" x14ac:dyDescent="0.35">
      <c r="A25" s="3968" t="s">
        <v>1956</v>
      </c>
      <c r="B25" s="3969"/>
      <c r="C25" s="3969"/>
      <c r="D25" s="3969"/>
      <c r="E25" s="3969"/>
      <c r="F25" s="3969"/>
      <c r="G25" s="3998"/>
      <c r="H25" s="3999"/>
      <c r="I25" s="3998"/>
      <c r="J25" s="3999"/>
      <c r="K25" s="3988"/>
      <c r="L25" s="3989"/>
      <c r="M25" s="3989"/>
      <c r="N25" s="3990"/>
      <c r="O25" s="463"/>
      <c r="P25" s="64"/>
      <c r="Q25" s="64"/>
    </row>
    <row r="26" spans="1:17" s="65" customFormat="1" ht="18.5" hidden="1" x14ac:dyDescent="0.35">
      <c r="A26" s="3968" t="s">
        <v>1957</v>
      </c>
      <c r="B26" s="3969"/>
      <c r="C26" s="3969"/>
      <c r="D26" s="3969"/>
      <c r="E26" s="3969"/>
      <c r="F26" s="3969"/>
      <c r="G26" s="3998"/>
      <c r="H26" s="3999"/>
      <c r="I26" s="3998"/>
      <c r="J26" s="3999"/>
      <c r="K26" s="3952"/>
      <c r="L26" s="3953"/>
      <c r="M26" s="3953"/>
      <c r="N26" s="3954"/>
      <c r="O26" s="398"/>
      <c r="P26" s="398"/>
      <c r="Q26" s="398"/>
    </row>
    <row r="27" spans="1:17" ht="18.5" hidden="1" x14ac:dyDescent="0.35">
      <c r="A27" s="3968"/>
      <c r="B27" s="3969"/>
      <c r="C27" s="3969"/>
      <c r="D27" s="3969"/>
      <c r="E27" s="3969"/>
      <c r="F27" s="3969"/>
      <c r="G27" s="4010"/>
      <c r="H27" s="4011"/>
      <c r="I27" s="4010"/>
      <c r="J27" s="4011"/>
      <c r="K27" s="3952"/>
      <c r="L27" s="3953"/>
      <c r="M27" s="3953"/>
      <c r="N27" s="3954"/>
      <c r="O27" s="463"/>
      <c r="P27" s="64"/>
      <c r="Q27" s="64"/>
    </row>
    <row r="28" spans="1:17" ht="18.5" x14ac:dyDescent="0.35">
      <c r="A28" s="3940" t="s">
        <v>2321</v>
      </c>
      <c r="B28" s="3941"/>
      <c r="C28" s="3941"/>
      <c r="D28" s="3941"/>
      <c r="E28" s="3941"/>
      <c r="F28" s="3942"/>
      <c r="G28" s="3984"/>
      <c r="H28" s="3985"/>
      <c r="I28" s="3986"/>
      <c r="J28" s="3987"/>
      <c r="K28" s="3952"/>
      <c r="L28" s="3953"/>
      <c r="M28" s="3953"/>
      <c r="N28" s="3954"/>
      <c r="O28" s="463"/>
      <c r="P28" s="64"/>
      <c r="Q28" s="64"/>
    </row>
    <row r="29" spans="1:17" ht="18.5" x14ac:dyDescent="0.35">
      <c r="A29" s="3968" t="s">
        <v>2009</v>
      </c>
      <c r="B29" s="3969"/>
      <c r="C29" s="3969"/>
      <c r="D29" s="3969"/>
      <c r="E29" s="3969"/>
      <c r="F29" s="3969"/>
      <c r="G29" s="3998"/>
      <c r="H29" s="3999"/>
      <c r="I29" s="4004"/>
      <c r="J29" s="4005"/>
      <c r="K29" s="3952"/>
      <c r="L29" s="3953"/>
      <c r="M29" s="3953"/>
      <c r="N29" s="3954"/>
      <c r="O29" s="463"/>
      <c r="P29" s="64"/>
      <c r="Q29" s="64"/>
    </row>
    <row r="30" spans="1:17" ht="18.5" x14ac:dyDescent="0.35">
      <c r="A30" s="3968" t="s">
        <v>2008</v>
      </c>
      <c r="B30" s="3969"/>
      <c r="C30" s="3969"/>
      <c r="D30" s="3969"/>
      <c r="E30" s="3969"/>
      <c r="F30" s="3969"/>
      <c r="G30" s="3998"/>
      <c r="H30" s="3999"/>
      <c r="I30" s="4004"/>
      <c r="J30" s="4005"/>
      <c r="K30" s="3952"/>
      <c r="L30" s="3953"/>
      <c r="M30" s="3953"/>
      <c r="N30" s="3954"/>
      <c r="O30" s="463"/>
      <c r="P30" s="64"/>
      <c r="Q30" s="64"/>
    </row>
    <row r="31" spans="1:17" ht="18.5" x14ac:dyDescent="0.35">
      <c r="A31" s="3968" t="s">
        <v>2007</v>
      </c>
      <c r="B31" s="3969"/>
      <c r="C31" s="3969"/>
      <c r="D31" s="3969"/>
      <c r="E31" s="3969"/>
      <c r="F31" s="3969"/>
      <c r="G31" s="3998"/>
      <c r="H31" s="3999"/>
      <c r="I31" s="4004"/>
      <c r="J31" s="4005"/>
      <c r="K31" s="3952"/>
      <c r="L31" s="3953"/>
      <c r="M31" s="3953"/>
      <c r="N31" s="3954"/>
      <c r="O31" s="463"/>
      <c r="P31" s="64"/>
      <c r="Q31" s="64"/>
    </row>
    <row r="32" spans="1:17" ht="18.5" x14ac:dyDescent="0.35">
      <c r="A32" s="2596"/>
      <c r="B32" s="2597"/>
      <c r="C32" s="2597"/>
      <c r="D32" s="2597"/>
      <c r="E32" s="2597"/>
      <c r="F32" s="2597"/>
      <c r="G32" s="3979"/>
      <c r="H32" s="3980"/>
      <c r="I32" s="2625"/>
      <c r="J32" s="2626"/>
      <c r="K32" s="2593"/>
      <c r="L32" s="2594"/>
      <c r="M32" s="2594"/>
      <c r="N32" s="2595"/>
      <c r="O32" s="463"/>
      <c r="P32" s="64"/>
      <c r="Q32" s="64"/>
    </row>
    <row r="33" spans="1:17" ht="18.5" x14ac:dyDescent="0.35">
      <c r="A33" s="3940" t="s">
        <v>2322</v>
      </c>
      <c r="B33" s="3941"/>
      <c r="C33" s="3941"/>
      <c r="D33" s="3941"/>
      <c r="E33" s="3941"/>
      <c r="F33" s="3942"/>
      <c r="G33" s="3979"/>
      <c r="H33" s="3980"/>
      <c r="I33" s="3979"/>
      <c r="J33" s="3980"/>
      <c r="K33" s="3988"/>
      <c r="L33" s="3989"/>
      <c r="M33" s="3989"/>
      <c r="N33" s="3990"/>
      <c r="O33" s="463"/>
      <c r="P33" s="64"/>
      <c r="Q33" s="64"/>
    </row>
    <row r="34" spans="1:17" ht="18.5" x14ac:dyDescent="0.35">
      <c r="A34" s="3968" t="s">
        <v>1958</v>
      </c>
      <c r="B34" s="3969"/>
      <c r="C34" s="3969"/>
      <c r="D34" s="3969"/>
      <c r="E34" s="3969"/>
      <c r="F34" s="3969"/>
      <c r="G34" s="3998"/>
      <c r="H34" s="3999"/>
      <c r="I34" s="3998"/>
      <c r="J34" s="3999"/>
      <c r="K34" s="3988"/>
      <c r="L34" s="3989"/>
      <c r="M34" s="3989"/>
      <c r="N34" s="3990"/>
      <c r="O34" s="463"/>
      <c r="P34" s="64"/>
      <c r="Q34" s="64"/>
    </row>
    <row r="35" spans="1:17" ht="18.5" x14ac:dyDescent="0.35">
      <c r="A35" s="3968" t="s">
        <v>1959</v>
      </c>
      <c r="B35" s="3969"/>
      <c r="C35" s="3969"/>
      <c r="D35" s="3969"/>
      <c r="E35" s="3969"/>
      <c r="F35" s="3969"/>
      <c r="G35" s="3998"/>
      <c r="H35" s="3999"/>
      <c r="I35" s="3998"/>
      <c r="J35" s="3999"/>
      <c r="K35" s="3988"/>
      <c r="L35" s="3989"/>
      <c r="M35" s="3989"/>
      <c r="N35" s="3990"/>
      <c r="O35" s="463"/>
      <c r="P35" s="64"/>
      <c r="Q35" s="64"/>
    </row>
    <row r="36" spans="1:17" ht="18.5" x14ac:dyDescent="0.35">
      <c r="A36" s="3968" t="s">
        <v>1960</v>
      </c>
      <c r="B36" s="3969"/>
      <c r="C36" s="3969"/>
      <c r="D36" s="3969"/>
      <c r="E36" s="3969"/>
      <c r="F36" s="3970"/>
      <c r="G36" s="3998"/>
      <c r="H36" s="3999"/>
      <c r="I36" s="3998"/>
      <c r="J36" s="3999"/>
      <c r="K36" s="3952"/>
      <c r="L36" s="3953"/>
      <c r="M36" s="3953"/>
      <c r="N36" s="3954"/>
      <c r="O36" s="463"/>
      <c r="P36" s="64"/>
      <c r="Q36" s="64"/>
    </row>
    <row r="37" spans="1:17" ht="18.5" x14ac:dyDescent="0.35">
      <c r="A37" s="3968"/>
      <c r="B37" s="3969"/>
      <c r="C37" s="3969"/>
      <c r="D37" s="3969"/>
      <c r="E37" s="3969"/>
      <c r="F37" s="3969"/>
      <c r="G37" s="3979"/>
      <c r="H37" s="3980"/>
      <c r="I37" s="3979"/>
      <c r="J37" s="3980"/>
      <c r="K37" s="3952"/>
      <c r="L37" s="3953"/>
      <c r="M37" s="3953"/>
      <c r="N37" s="3954"/>
      <c r="O37" s="463"/>
      <c r="P37" s="64"/>
      <c r="Q37" s="64"/>
    </row>
    <row r="38" spans="1:17" ht="18.5" x14ac:dyDescent="0.35">
      <c r="A38" s="4000" t="s">
        <v>2010</v>
      </c>
      <c r="B38" s="3994"/>
      <c r="C38" s="3994"/>
      <c r="D38" s="3994"/>
      <c r="E38" s="3994"/>
      <c r="F38" s="3995"/>
      <c r="G38" s="3991"/>
      <c r="H38" s="3992"/>
      <c r="I38" s="3996"/>
      <c r="J38" s="3997"/>
      <c r="K38" s="3952"/>
      <c r="L38" s="3953"/>
      <c r="M38" s="3953"/>
      <c r="N38" s="3954"/>
      <c r="O38" s="463"/>
      <c r="P38" s="64"/>
      <c r="Q38" s="64"/>
    </row>
    <row r="39" spans="1:17" ht="18.5" x14ac:dyDescent="0.35">
      <c r="A39" s="4000"/>
      <c r="B39" s="3994"/>
      <c r="C39" s="3994"/>
      <c r="D39" s="3994"/>
      <c r="E39" s="3994"/>
      <c r="F39" s="3995"/>
      <c r="G39" s="3984"/>
      <c r="H39" s="3985"/>
      <c r="I39" s="3986"/>
      <c r="J39" s="3987"/>
      <c r="K39" s="3952"/>
      <c r="L39" s="3953"/>
      <c r="M39" s="3953"/>
      <c r="N39" s="3954"/>
      <c r="O39" s="463"/>
      <c r="P39" s="64"/>
      <c r="Q39" s="64"/>
    </row>
    <row r="40" spans="1:17" ht="18.75" hidden="1" customHeight="1" x14ac:dyDescent="0.35">
      <c r="A40" s="3940" t="s">
        <v>1961</v>
      </c>
      <c r="B40" s="3941"/>
      <c r="C40" s="3941"/>
      <c r="D40" s="3941"/>
      <c r="E40" s="3941"/>
      <c r="F40" s="3942"/>
      <c r="G40" s="3991"/>
      <c r="H40" s="3992"/>
      <c r="I40" s="3996"/>
      <c r="J40" s="3997"/>
      <c r="K40" s="3947"/>
      <c r="L40" s="3948"/>
      <c r="M40" s="3948"/>
      <c r="N40" s="3949"/>
      <c r="O40" s="463"/>
      <c r="P40" s="64"/>
      <c r="Q40" s="64"/>
    </row>
    <row r="41" spans="1:17" ht="18.5" hidden="1" x14ac:dyDescent="0.35">
      <c r="A41" s="3993" t="s">
        <v>1962</v>
      </c>
      <c r="B41" s="3994"/>
      <c r="C41" s="3994"/>
      <c r="D41" s="3994"/>
      <c r="E41" s="3994"/>
      <c r="F41" s="3995"/>
      <c r="G41" s="3991"/>
      <c r="H41" s="3992"/>
      <c r="I41" s="3996"/>
      <c r="J41" s="3997"/>
      <c r="K41" s="3952"/>
      <c r="L41" s="3953"/>
      <c r="M41" s="3953"/>
      <c r="N41" s="3954"/>
      <c r="O41" s="463"/>
      <c r="P41" s="64"/>
      <c r="Q41" s="64"/>
    </row>
    <row r="42" spans="1:17" ht="18.5" hidden="1" x14ac:dyDescent="0.35">
      <c r="A42" s="3993" t="s">
        <v>1963</v>
      </c>
      <c r="B42" s="3994"/>
      <c r="C42" s="3994"/>
      <c r="D42" s="3994"/>
      <c r="E42" s="3994"/>
      <c r="F42" s="3995"/>
      <c r="G42" s="3991"/>
      <c r="H42" s="3992"/>
      <c r="I42" s="3996"/>
      <c r="J42" s="3997"/>
      <c r="K42" s="3952"/>
      <c r="L42" s="3953"/>
      <c r="M42" s="3953"/>
      <c r="N42" s="3954"/>
      <c r="O42" s="463"/>
      <c r="P42" s="64"/>
      <c r="Q42" s="64"/>
    </row>
    <row r="43" spans="1:17" ht="18.5" hidden="1" x14ac:dyDescent="0.35">
      <c r="A43" s="3993" t="s">
        <v>1964</v>
      </c>
      <c r="B43" s="3994"/>
      <c r="C43" s="3994"/>
      <c r="D43" s="3994"/>
      <c r="E43" s="3994"/>
      <c r="F43" s="3995"/>
      <c r="G43" s="3991"/>
      <c r="H43" s="3992"/>
      <c r="I43" s="3996"/>
      <c r="J43" s="3997"/>
      <c r="K43" s="3952"/>
      <c r="L43" s="3953"/>
      <c r="M43" s="3953"/>
      <c r="N43" s="3954"/>
      <c r="O43" s="463"/>
      <c r="P43" s="64"/>
      <c r="Q43" s="64"/>
    </row>
    <row r="44" spans="1:17" ht="18.5" hidden="1" x14ac:dyDescent="0.35">
      <c r="A44" s="4000"/>
      <c r="B44" s="3994"/>
      <c r="C44" s="3994"/>
      <c r="D44" s="3994"/>
      <c r="E44" s="3994"/>
      <c r="F44" s="3995"/>
      <c r="G44" s="3984"/>
      <c r="H44" s="3985"/>
      <c r="I44" s="3986"/>
      <c r="J44" s="3987"/>
      <c r="K44" s="4017"/>
      <c r="L44" s="4018"/>
      <c r="M44" s="4018"/>
      <c r="N44" s="4019"/>
      <c r="O44" s="463"/>
      <c r="P44" s="64"/>
      <c r="Q44" s="64"/>
    </row>
    <row r="45" spans="1:17" ht="18.5" x14ac:dyDescent="0.35">
      <c r="A45" s="3940" t="s">
        <v>1965</v>
      </c>
      <c r="B45" s="3941"/>
      <c r="C45" s="3941"/>
      <c r="D45" s="3941"/>
      <c r="E45" s="3941"/>
      <c r="F45" s="3942"/>
      <c r="G45" s="3991"/>
      <c r="H45" s="3992"/>
      <c r="I45" s="3996"/>
      <c r="J45" s="3997"/>
      <c r="K45" s="3952"/>
      <c r="L45" s="3953"/>
      <c r="M45" s="3953"/>
      <c r="N45" s="3954"/>
      <c r="O45" s="463"/>
      <c r="P45" s="64"/>
      <c r="Q45" s="64"/>
    </row>
    <row r="46" spans="1:17" ht="18.5" x14ac:dyDescent="0.35">
      <c r="A46" s="3993" t="s">
        <v>2304</v>
      </c>
      <c r="B46" s="3994"/>
      <c r="C46" s="3994"/>
      <c r="D46" s="3994"/>
      <c r="E46" s="3994"/>
      <c r="F46" s="3995"/>
      <c r="G46" s="3991"/>
      <c r="H46" s="3992"/>
      <c r="I46" s="3996"/>
      <c r="J46" s="3997"/>
      <c r="K46" s="3952"/>
      <c r="L46" s="3953"/>
      <c r="M46" s="3953"/>
      <c r="N46" s="3954"/>
      <c r="O46" s="463"/>
      <c r="P46" s="64"/>
      <c r="Q46" s="64"/>
    </row>
    <row r="47" spans="1:17" ht="18.5" x14ac:dyDescent="0.35">
      <c r="A47" s="3993" t="s">
        <v>2305</v>
      </c>
      <c r="B47" s="3994"/>
      <c r="C47" s="3994"/>
      <c r="D47" s="3994"/>
      <c r="E47" s="3994"/>
      <c r="F47" s="3995"/>
      <c r="G47" s="3991"/>
      <c r="H47" s="3992"/>
      <c r="I47" s="3996"/>
      <c r="J47" s="3997"/>
      <c r="K47" s="3947"/>
      <c r="L47" s="3948"/>
      <c r="M47" s="3948"/>
      <c r="N47" s="3949"/>
      <c r="O47" s="463"/>
      <c r="P47" s="64"/>
      <c r="Q47" s="64"/>
    </row>
    <row r="48" spans="1:17" ht="18.5" x14ac:dyDescent="0.35">
      <c r="A48" s="3993" t="s">
        <v>2306</v>
      </c>
      <c r="B48" s="3994"/>
      <c r="C48" s="3994"/>
      <c r="D48" s="3994"/>
      <c r="E48" s="3994"/>
      <c r="F48" s="3995"/>
      <c r="G48" s="3991"/>
      <c r="H48" s="3992"/>
      <c r="I48" s="3996"/>
      <c r="J48" s="3997"/>
      <c r="K48" s="3947"/>
      <c r="L48" s="3948"/>
      <c r="M48" s="3948"/>
      <c r="N48" s="3949"/>
      <c r="O48" s="463"/>
      <c r="P48" s="64"/>
      <c r="Q48" s="64"/>
    </row>
    <row r="49" spans="1:17" ht="18.5" x14ac:dyDescent="0.35">
      <c r="A49" s="2601"/>
      <c r="B49" s="2597"/>
      <c r="C49" s="2597"/>
      <c r="D49" s="2597"/>
      <c r="E49" s="2597"/>
      <c r="F49" s="2597"/>
      <c r="G49" s="2621"/>
      <c r="H49" s="2622"/>
      <c r="I49" s="2627"/>
      <c r="J49" s="2628"/>
      <c r="K49" s="2598"/>
      <c r="L49" s="2599"/>
      <c r="M49" s="2599"/>
      <c r="N49" s="2600"/>
      <c r="O49" s="463"/>
      <c r="P49" s="64"/>
      <c r="Q49" s="64"/>
    </row>
    <row r="50" spans="1:17" ht="18.75" customHeight="1" x14ac:dyDescent="0.35">
      <c r="A50" s="3940" t="s">
        <v>2323</v>
      </c>
      <c r="B50" s="3941"/>
      <c r="C50" s="3941"/>
      <c r="D50" s="3941"/>
      <c r="E50" s="3941"/>
      <c r="F50" s="3942"/>
      <c r="G50" s="3943"/>
      <c r="H50" s="3944"/>
      <c r="I50" s="3945"/>
      <c r="J50" s="3946"/>
      <c r="K50" s="3947"/>
      <c r="L50" s="3948"/>
      <c r="M50" s="3948"/>
      <c r="N50" s="3949"/>
      <c r="O50" s="463"/>
      <c r="P50" s="64"/>
      <c r="Q50" s="64"/>
    </row>
    <row r="51" spans="1:17" ht="18.75" customHeight="1" x14ac:dyDescent="0.35">
      <c r="A51" s="3955" t="s">
        <v>1966</v>
      </c>
      <c r="B51" s="3956"/>
      <c r="C51" s="3956"/>
      <c r="D51" s="3956"/>
      <c r="E51" s="3956"/>
      <c r="F51" s="3957"/>
      <c r="G51" s="3938"/>
      <c r="H51" s="3939"/>
      <c r="I51" s="3938"/>
      <c r="J51" s="3939"/>
      <c r="K51" s="3947"/>
      <c r="L51" s="3948"/>
      <c r="M51" s="3948"/>
      <c r="N51" s="3949"/>
      <c r="O51" s="463"/>
      <c r="P51" s="64"/>
      <c r="Q51" s="64"/>
    </row>
    <row r="52" spans="1:17" ht="18.5" x14ac:dyDescent="0.35">
      <c r="A52" s="3968" t="s">
        <v>1967</v>
      </c>
      <c r="B52" s="3969"/>
      <c r="C52" s="3969"/>
      <c r="D52" s="3969"/>
      <c r="E52" s="3969"/>
      <c r="F52" s="3970"/>
      <c r="G52" s="3938"/>
      <c r="H52" s="3939"/>
      <c r="I52" s="3938"/>
      <c r="J52" s="3939"/>
      <c r="K52" s="3947"/>
      <c r="L52" s="3948"/>
      <c r="M52" s="3948"/>
      <c r="N52" s="3949"/>
      <c r="O52" s="463"/>
      <c r="P52" s="64"/>
      <c r="Q52" s="64"/>
    </row>
    <row r="53" spans="1:17" ht="18.5" x14ac:dyDescent="0.35">
      <c r="A53" s="3981"/>
      <c r="B53" s="3982"/>
      <c r="C53" s="3982"/>
      <c r="D53" s="3982"/>
      <c r="E53" s="3982"/>
      <c r="F53" s="3983"/>
      <c r="G53" s="3943"/>
      <c r="H53" s="3944"/>
      <c r="I53" s="3945"/>
      <c r="J53" s="3946"/>
      <c r="K53" s="3947"/>
      <c r="L53" s="3948"/>
      <c r="M53" s="3948"/>
      <c r="N53" s="3949"/>
      <c r="O53" s="463"/>
      <c r="P53" s="64"/>
      <c r="Q53" s="64"/>
    </row>
    <row r="54" spans="1:17" ht="18.5" x14ac:dyDescent="0.35">
      <c r="A54" s="3940" t="s">
        <v>2480</v>
      </c>
      <c r="B54" s="3941"/>
      <c r="C54" s="3941"/>
      <c r="D54" s="3941"/>
      <c r="E54" s="3941"/>
      <c r="F54" s="3942"/>
      <c r="G54" s="3950">
        <f>SUM(G55:H61)</f>
        <v>0</v>
      </c>
      <c r="H54" s="3951"/>
      <c r="I54" s="3950">
        <f>SUM(I55:J61)</f>
        <v>0</v>
      </c>
      <c r="J54" s="3951"/>
      <c r="K54" s="3947"/>
      <c r="L54" s="3948"/>
      <c r="M54" s="3948"/>
      <c r="N54" s="3949"/>
      <c r="O54" s="64"/>
      <c r="P54" s="64"/>
      <c r="Q54" s="64"/>
    </row>
    <row r="55" spans="1:17" ht="18.5" x14ac:dyDescent="0.35">
      <c r="A55" s="3968" t="s">
        <v>2880</v>
      </c>
      <c r="B55" s="3969"/>
      <c r="C55" s="3969"/>
      <c r="D55" s="3969"/>
      <c r="E55" s="3969"/>
      <c r="F55" s="3970"/>
      <c r="G55" s="3938"/>
      <c r="H55" s="3939"/>
      <c r="I55" s="3971"/>
      <c r="J55" s="3972"/>
      <c r="K55" s="2598"/>
      <c r="L55" s="2599"/>
      <c r="M55" s="2599"/>
      <c r="N55" s="2600"/>
      <c r="O55" s="64"/>
      <c r="P55" s="64"/>
      <c r="Q55" s="64"/>
    </row>
    <row r="56" spans="1:17" s="3023" customFormat="1" ht="18.75" hidden="1" customHeight="1" x14ac:dyDescent="0.35">
      <c r="A56" s="3973" t="s">
        <v>2307</v>
      </c>
      <c r="B56" s="3974"/>
      <c r="C56" s="3974"/>
      <c r="D56" s="3974"/>
      <c r="E56" s="3974"/>
      <c r="F56" s="3975"/>
      <c r="G56" s="3938"/>
      <c r="H56" s="3939"/>
      <c r="I56" s="3971"/>
      <c r="J56" s="3972"/>
      <c r="K56" s="3976"/>
      <c r="L56" s="3977"/>
      <c r="M56" s="3977"/>
      <c r="N56" s="3978"/>
      <c r="O56" s="3022"/>
      <c r="P56" s="3022"/>
      <c r="Q56" s="3022"/>
    </row>
    <row r="57" spans="1:17" ht="18.75" hidden="1" customHeight="1" x14ac:dyDescent="0.35">
      <c r="A57" s="3968" t="s">
        <v>2308</v>
      </c>
      <c r="B57" s="3969"/>
      <c r="C57" s="3969"/>
      <c r="D57" s="3969"/>
      <c r="E57" s="3969"/>
      <c r="F57" s="3970"/>
      <c r="G57" s="3938"/>
      <c r="H57" s="3939"/>
      <c r="I57" s="3971"/>
      <c r="J57" s="3972"/>
      <c r="K57" s="3947"/>
      <c r="L57" s="3948"/>
      <c r="M57" s="3948"/>
      <c r="N57" s="3949"/>
      <c r="O57" s="64"/>
      <c r="P57" s="64"/>
      <c r="Q57" s="64"/>
    </row>
    <row r="58" spans="1:17" ht="18.75" hidden="1" customHeight="1" x14ac:dyDescent="0.35">
      <c r="A58" s="3968" t="s">
        <v>2309</v>
      </c>
      <c r="B58" s="3969"/>
      <c r="C58" s="3969"/>
      <c r="D58" s="3969"/>
      <c r="E58" s="3969"/>
      <c r="F58" s="3970"/>
      <c r="G58" s="3938"/>
      <c r="H58" s="3939"/>
      <c r="I58" s="3971"/>
      <c r="J58" s="3972"/>
      <c r="K58" s="3947"/>
      <c r="L58" s="3948"/>
      <c r="M58" s="3948"/>
      <c r="N58" s="3949"/>
      <c r="O58" s="64"/>
      <c r="P58" s="64"/>
      <c r="Q58" s="64"/>
    </row>
    <row r="59" spans="1:17" ht="18.75" hidden="1" customHeight="1" x14ac:dyDescent="0.35">
      <c r="A59" s="3968" t="s">
        <v>2310</v>
      </c>
      <c r="B59" s="3969"/>
      <c r="C59" s="3969"/>
      <c r="D59" s="3969"/>
      <c r="E59" s="3969"/>
      <c r="F59" s="3970"/>
      <c r="G59" s="3938"/>
      <c r="H59" s="3939"/>
      <c r="I59" s="3971"/>
      <c r="J59" s="3972"/>
      <c r="K59" s="3947"/>
      <c r="L59" s="3948"/>
      <c r="M59" s="3948"/>
      <c r="N59" s="3949"/>
      <c r="O59" s="64"/>
      <c r="P59" s="64"/>
      <c r="Q59" s="64"/>
    </row>
    <row r="60" spans="1:17" ht="18.75" hidden="1" customHeight="1" x14ac:dyDescent="0.35">
      <c r="A60" s="3968" t="s">
        <v>2311</v>
      </c>
      <c r="B60" s="3969"/>
      <c r="C60" s="3969"/>
      <c r="D60" s="3969"/>
      <c r="E60" s="3969"/>
      <c r="F60" s="3970"/>
      <c r="G60" s="3938"/>
      <c r="H60" s="3939"/>
      <c r="I60" s="3971"/>
      <c r="J60" s="3972"/>
      <c r="K60" s="3947"/>
      <c r="L60" s="3948"/>
      <c r="M60" s="3948"/>
      <c r="N60" s="3949"/>
      <c r="O60" s="64"/>
      <c r="P60" s="64"/>
      <c r="Q60" s="64"/>
    </row>
    <row r="61" spans="1:17" ht="18.5" x14ac:dyDescent="0.35">
      <c r="A61" s="3968" t="s">
        <v>2881</v>
      </c>
      <c r="B61" s="3969"/>
      <c r="C61" s="3969"/>
      <c r="D61" s="3969"/>
      <c r="E61" s="3969"/>
      <c r="F61" s="3970"/>
      <c r="G61" s="3938"/>
      <c r="H61" s="3939"/>
      <c r="I61" s="3971"/>
      <c r="J61" s="3972"/>
      <c r="K61" s="3947"/>
      <c r="L61" s="3948"/>
      <c r="M61" s="3948"/>
      <c r="N61" s="3949"/>
      <c r="O61" s="463"/>
      <c r="P61" s="64"/>
      <c r="Q61" s="64"/>
    </row>
    <row r="62" spans="1:17" ht="18.5" x14ac:dyDescent="0.35">
      <c r="A62" s="3981"/>
      <c r="B62" s="3982"/>
      <c r="C62" s="3982"/>
      <c r="D62" s="3982"/>
      <c r="E62" s="3982"/>
      <c r="F62" s="3983"/>
      <c r="G62" s="3943"/>
      <c r="H62" s="3944"/>
      <c r="I62" s="3945"/>
      <c r="J62" s="3946"/>
      <c r="K62" s="3947"/>
      <c r="L62" s="3948"/>
      <c r="M62" s="3948"/>
      <c r="N62" s="3949"/>
      <c r="O62" s="463"/>
      <c r="P62" s="64"/>
      <c r="Q62" s="64"/>
    </row>
    <row r="63" spans="1:17" ht="18.5" x14ac:dyDescent="0.35">
      <c r="A63" s="3966" t="s">
        <v>2851</v>
      </c>
      <c r="B63" s="3967"/>
      <c r="C63" s="3967"/>
      <c r="D63" s="3967"/>
      <c r="E63" s="3967"/>
      <c r="F63" s="2941"/>
      <c r="G63" s="3964">
        <v>0</v>
      </c>
      <c r="H63" s="3965"/>
      <c r="I63" s="3964">
        <v>0</v>
      </c>
      <c r="J63" s="3965"/>
      <c r="K63" s="3952"/>
      <c r="L63" s="3953"/>
      <c r="M63" s="3953"/>
      <c r="N63" s="3954"/>
      <c r="O63" s="463"/>
      <c r="P63" s="64"/>
      <c r="Q63" s="64"/>
    </row>
    <row r="64" spans="1:17" ht="18.5" x14ac:dyDescent="0.35">
      <c r="A64" s="3958"/>
      <c r="B64" s="3959"/>
      <c r="C64" s="3959"/>
      <c r="D64" s="3959"/>
      <c r="E64" s="3959"/>
      <c r="F64" s="3959"/>
      <c r="G64" s="3960"/>
      <c r="H64" s="3961"/>
      <c r="I64" s="3962"/>
      <c r="J64" s="3963"/>
      <c r="K64" s="3952"/>
      <c r="L64" s="3953"/>
      <c r="M64" s="3953"/>
      <c r="N64" s="3954"/>
      <c r="O64" s="463"/>
      <c r="P64" s="64"/>
      <c r="Q64" s="64"/>
    </row>
    <row r="65" spans="1:17" ht="18.5" x14ac:dyDescent="0.35">
      <c r="G65" s="3943"/>
      <c r="H65" s="3944"/>
      <c r="I65" s="3945"/>
      <c r="J65" s="3946"/>
      <c r="K65" s="3947"/>
      <c r="L65" s="3948"/>
      <c r="M65" s="3948"/>
      <c r="N65" s="3949"/>
      <c r="O65" s="463"/>
      <c r="P65" s="64"/>
      <c r="Q65" s="64"/>
    </row>
    <row r="66" spans="1:17" ht="9" customHeight="1" thickBot="1" x14ac:dyDescent="0.4">
      <c r="A66" s="2256"/>
      <c r="B66" s="2257"/>
      <c r="C66" s="2257"/>
      <c r="D66" s="2257"/>
      <c r="E66" s="2257"/>
      <c r="F66" s="2257"/>
      <c r="G66" s="2257"/>
      <c r="H66" s="2257"/>
      <c r="I66" s="2257"/>
      <c r="J66" s="2257"/>
      <c r="K66" s="2257"/>
      <c r="L66" s="2257"/>
      <c r="M66" s="2257"/>
      <c r="N66" s="2258"/>
      <c r="O66" s="64"/>
      <c r="P66" s="64"/>
      <c r="Q66" s="64"/>
    </row>
    <row r="67" spans="1:17" ht="15" thickTop="1" x14ac:dyDescent="0.35">
      <c r="G67" s="64"/>
      <c r="H67" s="64"/>
      <c r="I67" s="64"/>
      <c r="J67" s="64"/>
      <c r="K67" s="64"/>
      <c r="L67" s="64"/>
      <c r="M67" s="64"/>
      <c r="N67" s="64"/>
      <c r="O67" s="64"/>
      <c r="P67" s="64"/>
      <c r="Q67" s="64"/>
    </row>
    <row r="68" spans="1:17" x14ac:dyDescent="0.35">
      <c r="G68" s="64"/>
      <c r="H68" s="64"/>
      <c r="I68" s="64"/>
      <c r="J68" s="64"/>
      <c r="K68" s="64"/>
      <c r="L68" s="64"/>
      <c r="M68" s="64"/>
      <c r="N68" s="64"/>
      <c r="O68" s="64"/>
      <c r="P68" s="64"/>
      <c r="Q68" s="64"/>
    </row>
  </sheetData>
  <mergeCells count="228">
    <mergeCell ref="A48:F48"/>
    <mergeCell ref="K9:N9"/>
    <mergeCell ref="G10:H10"/>
    <mergeCell ref="I10:J10"/>
    <mergeCell ref="K10:N10"/>
    <mergeCell ref="A62:F62"/>
    <mergeCell ref="G62:H62"/>
    <mergeCell ref="I62:J62"/>
    <mergeCell ref="K62:N62"/>
    <mergeCell ref="A61:F61"/>
    <mergeCell ref="G61:H61"/>
    <mergeCell ref="I61:J61"/>
    <mergeCell ref="K61:N61"/>
    <mergeCell ref="G17:H17"/>
    <mergeCell ref="G18:H18"/>
    <mergeCell ref="K41:N41"/>
    <mergeCell ref="A37:F37"/>
    <mergeCell ref="G37:H37"/>
    <mergeCell ref="I37:J37"/>
    <mergeCell ref="K38:N38"/>
    <mergeCell ref="K39:N39"/>
    <mergeCell ref="I40:J40"/>
    <mergeCell ref="G39:H39"/>
    <mergeCell ref="G48:H48"/>
    <mergeCell ref="I48:J48"/>
    <mergeCell ref="L1:M1"/>
    <mergeCell ref="D2:G2"/>
    <mergeCell ref="I2:J2"/>
    <mergeCell ref="L2:M2"/>
    <mergeCell ref="A5:B5"/>
    <mergeCell ref="C5:P5"/>
    <mergeCell ref="H4:P4"/>
    <mergeCell ref="D3:G3"/>
    <mergeCell ref="A4:G4"/>
    <mergeCell ref="I17:J17"/>
    <mergeCell ref="G22:H22"/>
    <mergeCell ref="I14:J14"/>
    <mergeCell ref="D1:G1"/>
    <mergeCell ref="I1:J1"/>
    <mergeCell ref="I16:J16"/>
    <mergeCell ref="I18:J18"/>
    <mergeCell ref="I22:J22"/>
    <mergeCell ref="I6:J7"/>
    <mergeCell ref="K6:N7"/>
    <mergeCell ref="G44:H44"/>
    <mergeCell ref="I45:J45"/>
    <mergeCell ref="I44:J44"/>
    <mergeCell ref="A42:F42"/>
    <mergeCell ref="I46:J46"/>
    <mergeCell ref="A34:F34"/>
    <mergeCell ref="G34:H34"/>
    <mergeCell ref="I34:J34"/>
    <mergeCell ref="A30:F30"/>
    <mergeCell ref="G30:H30"/>
    <mergeCell ref="I30:J30"/>
    <mergeCell ref="K46:N46"/>
    <mergeCell ref="G47:H47"/>
    <mergeCell ref="I47:J47"/>
    <mergeCell ref="A47:F47"/>
    <mergeCell ref="G42:H42"/>
    <mergeCell ref="A41:F41"/>
    <mergeCell ref="G41:H41"/>
    <mergeCell ref="I41:J41"/>
    <mergeCell ref="G46:H46"/>
    <mergeCell ref="G20:H20"/>
    <mergeCell ref="G21:H21"/>
    <mergeCell ref="A19:F19"/>
    <mergeCell ref="A20:F20"/>
    <mergeCell ref="A21:F21"/>
    <mergeCell ref="I25:J25"/>
    <mergeCell ref="G16:H16"/>
    <mergeCell ref="A16:F16"/>
    <mergeCell ref="A27:F27"/>
    <mergeCell ref="A24:F24"/>
    <mergeCell ref="I27:J27"/>
    <mergeCell ref="K12:N12"/>
    <mergeCell ref="G12:H12"/>
    <mergeCell ref="I12:J12"/>
    <mergeCell ref="A13:F13"/>
    <mergeCell ref="G13:H13"/>
    <mergeCell ref="I13:J13"/>
    <mergeCell ref="K13:N13"/>
    <mergeCell ref="A6:F7"/>
    <mergeCell ref="G6:H7"/>
    <mergeCell ref="A11:F11"/>
    <mergeCell ref="G11:H11"/>
    <mergeCell ref="I11:J11"/>
    <mergeCell ref="K11:N11"/>
    <mergeCell ref="A12:F12"/>
    <mergeCell ref="A9:F9"/>
    <mergeCell ref="G9:H9"/>
    <mergeCell ref="I9:J9"/>
    <mergeCell ref="K14:N14"/>
    <mergeCell ref="A8:N8"/>
    <mergeCell ref="K48:N48"/>
    <mergeCell ref="A40:F40"/>
    <mergeCell ref="A46:F46"/>
    <mergeCell ref="G43:H43"/>
    <mergeCell ref="I43:J43"/>
    <mergeCell ref="K40:N40"/>
    <mergeCell ref="K44:N44"/>
    <mergeCell ref="K47:N47"/>
    <mergeCell ref="K45:N45"/>
    <mergeCell ref="A26:F26"/>
    <mergeCell ref="G26:H26"/>
    <mergeCell ref="A38:F38"/>
    <mergeCell ref="K43:N43"/>
    <mergeCell ref="I19:J19"/>
    <mergeCell ref="I20:J20"/>
    <mergeCell ref="A14:F14"/>
    <mergeCell ref="G14:H14"/>
    <mergeCell ref="A25:F25"/>
    <mergeCell ref="G25:H25"/>
    <mergeCell ref="K16:N16"/>
    <mergeCell ref="G19:H19"/>
    <mergeCell ref="K17:N17"/>
    <mergeCell ref="K18:N18"/>
    <mergeCell ref="K35:N35"/>
    <mergeCell ref="K37:N37"/>
    <mergeCell ref="K36:N36"/>
    <mergeCell ref="I31:J31"/>
    <mergeCell ref="K31:N31"/>
    <mergeCell ref="G31:H31"/>
    <mergeCell ref="G35:H35"/>
    <mergeCell ref="G36:H36"/>
    <mergeCell ref="K34:N34"/>
    <mergeCell ref="K21:N21"/>
    <mergeCell ref="G29:H29"/>
    <mergeCell ref="I29:J29"/>
    <mergeCell ref="K29:N29"/>
    <mergeCell ref="G33:H33"/>
    <mergeCell ref="I33:J33"/>
    <mergeCell ref="I21:J21"/>
    <mergeCell ref="I35:J35"/>
    <mergeCell ref="I24:J24"/>
    <mergeCell ref="I26:J26"/>
    <mergeCell ref="K26:N26"/>
    <mergeCell ref="G27:H27"/>
    <mergeCell ref="G24:H24"/>
    <mergeCell ref="K24:N24"/>
    <mergeCell ref="K27:N27"/>
    <mergeCell ref="K25:N25"/>
    <mergeCell ref="K20:N20"/>
    <mergeCell ref="K19:N19"/>
    <mergeCell ref="G45:H45"/>
    <mergeCell ref="I39:J39"/>
    <mergeCell ref="K33:N33"/>
    <mergeCell ref="A36:F36"/>
    <mergeCell ref="A43:F43"/>
    <mergeCell ref="G38:H38"/>
    <mergeCell ref="I38:J38"/>
    <mergeCell ref="K30:N30"/>
    <mergeCell ref="I36:J36"/>
    <mergeCell ref="I42:J42"/>
    <mergeCell ref="K42:N42"/>
    <mergeCell ref="A22:F22"/>
    <mergeCell ref="A35:F35"/>
    <mergeCell ref="A39:F39"/>
    <mergeCell ref="A44:F44"/>
    <mergeCell ref="A45:F45"/>
    <mergeCell ref="G40:H40"/>
    <mergeCell ref="A29:F29"/>
    <mergeCell ref="A31:F31"/>
    <mergeCell ref="A33:F33"/>
    <mergeCell ref="G65:H65"/>
    <mergeCell ref="I65:J65"/>
    <mergeCell ref="K65:N65"/>
    <mergeCell ref="A17:F17"/>
    <mergeCell ref="A18:F18"/>
    <mergeCell ref="G32:H32"/>
    <mergeCell ref="A57:F57"/>
    <mergeCell ref="G57:H57"/>
    <mergeCell ref="I57:J57"/>
    <mergeCell ref="K57:N57"/>
    <mergeCell ref="A58:F58"/>
    <mergeCell ref="G58:H58"/>
    <mergeCell ref="I58:J58"/>
    <mergeCell ref="K58:N58"/>
    <mergeCell ref="A59:F59"/>
    <mergeCell ref="G59:H59"/>
    <mergeCell ref="I59:J59"/>
    <mergeCell ref="K59:N59"/>
    <mergeCell ref="A53:F53"/>
    <mergeCell ref="G53:H53"/>
    <mergeCell ref="A28:F28"/>
    <mergeCell ref="K28:N28"/>
    <mergeCell ref="G28:H28"/>
    <mergeCell ref="I28:J28"/>
    <mergeCell ref="G15:H15"/>
    <mergeCell ref="I15:J15"/>
    <mergeCell ref="K15:N15"/>
    <mergeCell ref="K63:N63"/>
    <mergeCell ref="I63:J63"/>
    <mergeCell ref="G63:H63"/>
    <mergeCell ref="A63:E63"/>
    <mergeCell ref="A60:F60"/>
    <mergeCell ref="G60:H60"/>
    <mergeCell ref="I60:J60"/>
    <mergeCell ref="K60:N60"/>
    <mergeCell ref="I54:J54"/>
    <mergeCell ref="K54:N54"/>
    <mergeCell ref="A56:F56"/>
    <mergeCell ref="G56:H56"/>
    <mergeCell ref="I56:J56"/>
    <mergeCell ref="K56:N56"/>
    <mergeCell ref="I55:J55"/>
    <mergeCell ref="A55:F55"/>
    <mergeCell ref="A52:F52"/>
    <mergeCell ref="G52:H52"/>
    <mergeCell ref="I52:J52"/>
    <mergeCell ref="K52:N52"/>
    <mergeCell ref="K50:N50"/>
    <mergeCell ref="G55:H55"/>
    <mergeCell ref="A50:F50"/>
    <mergeCell ref="G50:H50"/>
    <mergeCell ref="I50:J50"/>
    <mergeCell ref="I53:J53"/>
    <mergeCell ref="K53:N53"/>
    <mergeCell ref="A54:F54"/>
    <mergeCell ref="G54:H54"/>
    <mergeCell ref="K64:N64"/>
    <mergeCell ref="A51:F51"/>
    <mergeCell ref="G51:H51"/>
    <mergeCell ref="I51:J51"/>
    <mergeCell ref="K51:N51"/>
    <mergeCell ref="A64:F64"/>
    <mergeCell ref="G64:H64"/>
    <mergeCell ref="I64:J64"/>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C00-000000000000}">
      <formula1>AvancementTheme</formula1>
    </dataValidation>
  </dataValidations>
  <hyperlinks>
    <hyperlink ref="O1" location="DPDV_02VI" display="PdV" xr:uid="{00000000-0004-0000-0C00-000000000000}"/>
    <hyperlink ref="P1" location="DKPI_02VI" display="KPI's" xr:uid="{00000000-0004-0000-0C00-000001000000}"/>
  </hyperlinks>
  <pageMargins left="0.70866141732283472" right="0.70866141732283472" top="0.74803149606299213" bottom="0.74803149606299213" header="0.31496062992125984" footer="0.31496062992125984"/>
  <pageSetup paperSize="9" scale="37" orientation="portrait" r:id="rId1"/>
  <headerFooter>
    <oddHeader>&amp;LPAD Methodology (c) 2013-2014&amp;RStrategic Management Workshop</oddHeader>
    <oddFooter>&amp;L&amp;F&amp;C&amp;A&amp;RSituation au : &amp;D - page : &amp;P/&amp;N</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61">
    <tabColor theme="3" tint="0.59999389629810485"/>
    <pageSetUpPr fitToPage="1"/>
  </sheetPr>
  <dimension ref="A1:V61"/>
  <sheetViews>
    <sheetView showZeros="0" zoomScaleNormal="100" workbookViewId="0">
      <pane ySplit="4" topLeftCell="A7" activePane="bottomLeft" state="frozen"/>
      <selection activeCell="C5" sqref="C5:P5"/>
      <selection pane="bottomLeft" activeCell="F53" sqref="F53"/>
    </sheetView>
  </sheetViews>
  <sheetFormatPr baseColWidth="10" defaultColWidth="9.1796875" defaultRowHeight="14.5" x14ac:dyDescent="0.35"/>
  <cols>
    <col min="1" max="2" width="9.1796875" style="1749"/>
    <col min="3" max="3" width="14.453125" style="1749" customWidth="1"/>
    <col min="4" max="5" width="9.1796875" style="1749"/>
    <col min="6" max="6" width="10.1796875" style="1749" customWidth="1"/>
    <col min="7" max="7" width="10.1796875" style="1749" bestFit="1" customWidth="1"/>
    <col min="8" max="8" width="11.54296875" style="1749" customWidth="1"/>
    <col min="9" max="9" width="10.54296875" style="1749" bestFit="1" customWidth="1"/>
    <col min="10" max="10" width="11.1796875" style="1749" customWidth="1"/>
    <col min="11" max="11" width="11.81640625" style="1749" customWidth="1"/>
    <col min="12" max="12" width="15.1796875" style="1749" customWidth="1"/>
    <col min="13" max="14" width="9.1796875" style="1749"/>
    <col min="15" max="15" width="10.54296875" style="1749" customWidth="1"/>
    <col min="16" max="18" width="9.1796875" style="1749"/>
    <col min="19" max="19" width="11.54296875" style="1749" customWidth="1"/>
    <col min="20" max="16384" width="9.1796875" style="1749"/>
  </cols>
  <sheetData>
    <row r="1" spans="1:22" s="1720" customFormat="1" ht="15" customHeight="1" x14ac:dyDescent="0.35">
      <c r="A1" s="1716"/>
      <c r="B1" s="1716"/>
      <c r="C1" s="1716"/>
      <c r="D1" s="4096" t="s">
        <v>5</v>
      </c>
      <c r="E1" s="4096"/>
      <c r="F1" s="4096"/>
      <c r="G1" s="4096"/>
      <c r="H1" s="1717"/>
      <c r="I1" s="4096" t="s">
        <v>6</v>
      </c>
      <c r="J1" s="4096"/>
      <c r="K1" s="1716"/>
      <c r="L1" s="4096" t="s">
        <v>9</v>
      </c>
      <c r="M1" s="4096"/>
      <c r="N1" s="1716"/>
      <c r="O1" s="1718"/>
      <c r="P1" s="1718"/>
      <c r="Q1" s="1719"/>
      <c r="R1" s="1719"/>
      <c r="S1" s="1719"/>
      <c r="T1" s="1719"/>
    </row>
    <row r="2" spans="1:22" s="1725" customFormat="1" ht="18" customHeight="1" x14ac:dyDescent="0.35">
      <c r="A2" s="1721"/>
      <c r="B2" s="1721"/>
      <c r="C2" s="1721"/>
      <c r="D2" s="4099" t="str">
        <f>NomClient</f>
        <v xml:space="preserve">EQUINIX </v>
      </c>
      <c r="E2" s="4100"/>
      <c r="F2" s="4100"/>
      <c r="G2" s="4101"/>
      <c r="H2" s="1721"/>
      <c r="I2" s="4102" t="s">
        <v>410</v>
      </c>
      <c r="J2" s="4103"/>
      <c r="K2" s="1721"/>
      <c r="L2" s="3347">
        <v>42971.895219907405</v>
      </c>
      <c r="M2" s="3348"/>
      <c r="N2" s="1722"/>
      <c r="O2" s="1723"/>
      <c r="P2" s="1723"/>
      <c r="Q2" s="1724"/>
      <c r="R2" s="1724"/>
      <c r="S2" s="1724"/>
      <c r="T2" s="1724"/>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729" customFormat="1" ht="19.5" customHeight="1" thickBot="1" x14ac:dyDescent="0.4">
      <c r="A4" s="4104" t="str">
        <f>Parametre!B24  &amp; "  : "</f>
        <v xml:space="preserve">Vision, Attente &amp; Stratégie  : </v>
      </c>
      <c r="B4" s="4104"/>
      <c r="C4" s="4104"/>
      <c r="D4" s="4104"/>
      <c r="E4" s="4104"/>
      <c r="F4" s="4104"/>
      <c r="G4" s="4104"/>
      <c r="H4" s="4105" t="s">
        <v>2680</v>
      </c>
      <c r="I4" s="4105"/>
      <c r="J4" s="4105"/>
      <c r="K4" s="4105"/>
      <c r="L4" s="4105"/>
      <c r="M4" s="4105"/>
      <c r="N4" s="4105"/>
      <c r="O4" s="4105"/>
      <c r="P4" s="4106"/>
      <c r="Q4" s="1728"/>
      <c r="R4" s="1728"/>
      <c r="S4" s="1728"/>
      <c r="T4" s="1728"/>
    </row>
    <row r="5" spans="1:22" s="1731" customFormat="1" ht="18.75" customHeight="1" x14ac:dyDescent="0.35">
      <c r="A5" s="4097" t="s">
        <v>14</v>
      </c>
      <c r="B5" s="4097"/>
      <c r="C5" s="4098" t="s">
        <v>2356</v>
      </c>
      <c r="D5" s="4098"/>
      <c r="E5" s="4098"/>
      <c r="F5" s="4098"/>
      <c r="G5" s="4098"/>
      <c r="H5" s="4098"/>
      <c r="I5" s="4098"/>
      <c r="J5" s="4098"/>
      <c r="K5" s="4098"/>
      <c r="L5" s="4098"/>
      <c r="M5" s="4098"/>
      <c r="N5" s="4098"/>
      <c r="O5" s="4098"/>
      <c r="P5" s="4098"/>
      <c r="Q5" s="1730"/>
      <c r="R5" s="1730"/>
      <c r="S5" s="1730"/>
      <c r="T5" s="1730"/>
    </row>
    <row r="6" spans="1:22" s="1731" customFormat="1" ht="7.5" customHeight="1" x14ac:dyDescent="0.35">
      <c r="A6" s="1732"/>
      <c r="B6" s="1732"/>
      <c r="C6" s="1733"/>
      <c r="D6" s="1733"/>
      <c r="E6" s="1733"/>
      <c r="F6" s="1733"/>
      <c r="G6" s="1733"/>
      <c r="H6" s="1733"/>
      <c r="I6" s="1734"/>
      <c r="J6" s="1733"/>
      <c r="K6" s="1733"/>
      <c r="L6" s="1733"/>
      <c r="M6" s="1733"/>
      <c r="N6" s="1733"/>
      <c r="O6" s="1733"/>
      <c r="P6" s="1733"/>
      <c r="Q6" s="1730"/>
      <c r="R6" s="1730"/>
      <c r="S6" s="1730"/>
      <c r="T6" s="1730"/>
    </row>
    <row r="7" spans="1:22" s="1741" customFormat="1" ht="0.75" customHeight="1" x14ac:dyDescent="0.35">
      <c r="A7" s="1736"/>
      <c r="B7" s="515"/>
      <c r="C7" s="515"/>
      <c r="D7" s="1737"/>
      <c r="E7" s="1737"/>
      <c r="F7" s="1737"/>
      <c r="G7" s="1737"/>
      <c r="H7" s="1735"/>
      <c r="I7" s="515"/>
      <c r="J7" s="1736"/>
      <c r="K7" s="1735"/>
      <c r="L7" s="515"/>
      <c r="M7" s="1738"/>
      <c r="N7" s="1739"/>
      <c r="O7" s="1739"/>
      <c r="P7" s="1739"/>
      <c r="Q7" s="1735"/>
      <c r="R7" s="1735"/>
      <c r="S7" s="1735"/>
      <c r="T7" s="1740"/>
    </row>
    <row r="8" spans="1:22" s="1744" customFormat="1" ht="54.75" hidden="1" customHeight="1" thickTop="1" thickBot="1" x14ac:dyDescent="0.4">
      <c r="A8" s="4109" t="s">
        <v>1658</v>
      </c>
      <c r="B8" s="4110"/>
      <c r="C8" s="4110"/>
      <c r="D8" s="4110"/>
      <c r="E8" s="4110"/>
      <c r="F8" s="4111"/>
      <c r="G8" s="2059">
        <f>AnReference-1</f>
        <v>2017</v>
      </c>
      <c r="H8" s="2059">
        <f>AnReference</f>
        <v>2018</v>
      </c>
      <c r="I8" s="2059">
        <f>AnReference+1</f>
        <v>2019</v>
      </c>
      <c r="J8" s="2059">
        <f>AnReference+2</f>
        <v>2020</v>
      </c>
      <c r="K8" s="2059">
        <f>AnReference+3</f>
        <v>2021</v>
      </c>
      <c r="L8" s="2060" t="s">
        <v>127</v>
      </c>
      <c r="M8" s="2057"/>
      <c r="N8" s="2058">
        <f>AnReference-1</f>
        <v>2017</v>
      </c>
      <c r="O8" s="2059">
        <f>AnReference</f>
        <v>2018</v>
      </c>
      <c r="P8" s="2059">
        <f>AnReference+1</f>
        <v>2019</v>
      </c>
      <c r="Q8" s="2059">
        <f>AnReference+2</f>
        <v>2020</v>
      </c>
      <c r="R8" s="2059">
        <f>AnReference+3</f>
        <v>2021</v>
      </c>
      <c r="S8" s="2061" t="s">
        <v>127</v>
      </c>
      <c r="T8" s="1743"/>
    </row>
    <row r="9" spans="1:22" s="1744" customFormat="1" ht="38.25" hidden="1" customHeight="1" thickBot="1" x14ac:dyDescent="0.4">
      <c r="A9" s="4112" t="s">
        <v>1656</v>
      </c>
      <c r="B9" s="4113"/>
      <c r="C9" s="4113"/>
      <c r="D9" s="4113"/>
      <c r="E9" s="4113"/>
      <c r="F9" s="4113"/>
      <c r="G9" s="4114" t="s">
        <v>1657</v>
      </c>
      <c r="H9" s="4114"/>
      <c r="I9" s="4114"/>
      <c r="J9" s="4114"/>
      <c r="K9" s="4114"/>
      <c r="L9" s="4115"/>
      <c r="M9" s="1742"/>
      <c r="N9" s="4116" t="s">
        <v>1422</v>
      </c>
      <c r="O9" s="4117"/>
      <c r="P9" s="4117"/>
      <c r="Q9" s="4117"/>
      <c r="R9" s="4117"/>
      <c r="S9" s="4118"/>
      <c r="T9" s="1743"/>
    </row>
    <row r="10" spans="1:22" s="1744" customFormat="1" ht="21.75" hidden="1" customHeight="1" thickTop="1" x14ac:dyDescent="0.35">
      <c r="A10" s="4107" t="s">
        <v>1667</v>
      </c>
      <c r="B10" s="4108"/>
      <c r="C10" s="4108"/>
      <c r="D10" s="4108"/>
      <c r="E10" s="4108"/>
      <c r="F10" s="4108"/>
      <c r="G10" s="1684"/>
      <c r="H10" s="2075"/>
      <c r="I10" s="2075"/>
      <c r="J10" s="2075"/>
      <c r="K10" s="2075"/>
      <c r="L10" s="1745">
        <f>SUM(H10:K10)</f>
        <v>0</v>
      </c>
      <c r="M10" s="1746"/>
      <c r="N10" s="1887" t="str">
        <f>IF(G10=0,"",G10/G19)</f>
        <v/>
      </c>
      <c r="O10" s="1888" t="str">
        <f t="shared" ref="O10:O16" si="0">IF(H10=0,"",H10/$H$19)</f>
        <v/>
      </c>
      <c r="P10" s="1888" t="str">
        <f t="shared" ref="P10:P17" si="1">IF(I10=0,"",I10/$I$19)</f>
        <v/>
      </c>
      <c r="Q10" s="1888" t="str">
        <f t="shared" ref="Q10:Q17" si="2">IF(J10=0,"",J10/$J$19)</f>
        <v/>
      </c>
      <c r="R10" s="1888" t="str">
        <f t="shared" ref="R10:R19" si="3">IF(K10=0,"",K10/$K$19)</f>
        <v/>
      </c>
      <c r="S10" s="2062" t="str">
        <f t="shared" ref="S10:S17" si="4">IF(L10=0,"",L10/$L$19)</f>
        <v/>
      </c>
      <c r="T10" s="1743"/>
    </row>
    <row r="11" spans="1:22" ht="15.5" hidden="1" x14ac:dyDescent="0.35">
      <c r="A11" s="4107" t="str">
        <f>TYPOPARTNER!A12:D12</f>
        <v xml:space="preserve">VARs / SS2I locales </v>
      </c>
      <c r="B11" s="4108"/>
      <c r="C11" s="4108"/>
      <c r="D11" s="4108"/>
      <c r="E11" s="4108"/>
      <c r="F11" s="4108"/>
      <c r="G11" s="1684"/>
      <c r="H11" s="1928"/>
      <c r="I11" s="1928"/>
      <c r="J11" s="1928"/>
      <c r="K11" s="1928"/>
      <c r="L11" s="1689">
        <f t="shared" ref="L11:L15" si="5">SUM(H11:K11)</f>
        <v>0</v>
      </c>
      <c r="M11" s="1746"/>
      <c r="N11" s="1790" t="str">
        <f>IF(G11=0,"",G11/G19)</f>
        <v/>
      </c>
      <c r="O11" s="1889" t="str">
        <f t="shared" si="0"/>
        <v/>
      </c>
      <c r="P11" s="1889" t="str">
        <f t="shared" si="1"/>
        <v/>
      </c>
      <c r="Q11" s="1889" t="str">
        <f t="shared" si="2"/>
        <v/>
      </c>
      <c r="R11" s="1889" t="str">
        <f t="shared" si="3"/>
        <v/>
      </c>
      <c r="S11" s="2063" t="str">
        <f t="shared" si="4"/>
        <v/>
      </c>
      <c r="T11" s="1748"/>
    </row>
    <row r="12" spans="1:22" ht="15.5" hidden="1" x14ac:dyDescent="0.35">
      <c r="A12" s="4107" t="str">
        <f>TYPOPARTNER!A13:D13</f>
        <v>ESN ( SS2I )</v>
      </c>
      <c r="B12" s="4108"/>
      <c r="C12" s="4108"/>
      <c r="D12" s="4108"/>
      <c r="E12" s="4108"/>
      <c r="F12" s="4108"/>
      <c r="G12" s="1684"/>
      <c r="H12" s="1928"/>
      <c r="I12" s="1928"/>
      <c r="J12" s="1928"/>
      <c r="K12" s="1928"/>
      <c r="L12" s="1689">
        <f t="shared" si="5"/>
        <v>0</v>
      </c>
      <c r="M12" s="1746"/>
      <c r="N12" s="1790" t="str">
        <f>IF(G12=0,"",G12/$G$19)</f>
        <v/>
      </c>
      <c r="O12" s="1889" t="str">
        <f t="shared" si="0"/>
        <v/>
      </c>
      <c r="P12" s="1889" t="str">
        <f t="shared" si="1"/>
        <v/>
      </c>
      <c r="Q12" s="1889" t="str">
        <f t="shared" si="2"/>
        <v/>
      </c>
      <c r="R12" s="1889" t="str">
        <f t="shared" si="3"/>
        <v/>
      </c>
      <c r="S12" s="2063" t="str">
        <f t="shared" si="4"/>
        <v/>
      </c>
      <c r="T12" s="1748"/>
    </row>
    <row r="13" spans="1:22" ht="15.5" hidden="1" x14ac:dyDescent="0.35">
      <c r="A13" s="4107" t="str">
        <f>TYPOPARTNER!A14:D14</f>
        <v>Constructeurs Matériel</v>
      </c>
      <c r="B13" s="4108"/>
      <c r="C13" s="4108"/>
      <c r="D13" s="4108"/>
      <c r="E13" s="4108"/>
      <c r="F13" s="4108"/>
      <c r="G13" s="1684"/>
      <c r="H13" s="1928"/>
      <c r="I13" s="1928"/>
      <c r="J13" s="1928"/>
      <c r="K13" s="1928"/>
      <c r="L13" s="1689">
        <f t="shared" si="5"/>
        <v>0</v>
      </c>
      <c r="M13" s="1746"/>
      <c r="N13" s="1790" t="str">
        <f>IF(G13=0,"",G13/$G$19)</f>
        <v/>
      </c>
      <c r="O13" s="1889" t="str">
        <f t="shared" si="0"/>
        <v/>
      </c>
      <c r="P13" s="1889" t="str">
        <f t="shared" si="1"/>
        <v/>
      </c>
      <c r="Q13" s="1889" t="str">
        <f t="shared" si="2"/>
        <v/>
      </c>
      <c r="R13" s="1889" t="str">
        <f t="shared" si="3"/>
        <v/>
      </c>
      <c r="S13" s="2063" t="str">
        <f t="shared" si="4"/>
        <v/>
      </c>
      <c r="T13" s="1748"/>
    </row>
    <row r="14" spans="1:22" ht="17.25" hidden="1" customHeight="1" x14ac:dyDescent="0.35">
      <c r="A14" s="4107" t="str">
        <f>TYPOPARTNER!A15:D15</f>
        <v>Editeurs de solutions complémentaires</v>
      </c>
      <c r="B14" s="4108"/>
      <c r="C14" s="4108"/>
      <c r="D14" s="4108"/>
      <c r="E14" s="4108"/>
      <c r="F14" s="4108"/>
      <c r="G14" s="1684"/>
      <c r="H14" s="1928"/>
      <c r="I14" s="1928"/>
      <c r="J14" s="1928"/>
      <c r="K14" s="1928"/>
      <c r="L14" s="1689">
        <f t="shared" si="5"/>
        <v>0</v>
      </c>
      <c r="M14" s="1751"/>
      <c r="N14" s="1790" t="str">
        <f>IF(G14=0,"",G14/$G$19)</f>
        <v/>
      </c>
      <c r="O14" s="1889" t="str">
        <f t="shared" si="0"/>
        <v/>
      </c>
      <c r="P14" s="1889" t="str">
        <f t="shared" si="1"/>
        <v/>
      </c>
      <c r="Q14" s="1889" t="str">
        <f t="shared" si="2"/>
        <v/>
      </c>
      <c r="R14" s="1889" t="str">
        <f t="shared" si="3"/>
        <v/>
      </c>
      <c r="S14" s="2063" t="str">
        <f t="shared" si="4"/>
        <v/>
      </c>
      <c r="T14" s="1748"/>
    </row>
    <row r="15" spans="1:22" ht="15.5" hidden="1" x14ac:dyDescent="0.35">
      <c r="A15" s="4107" t="str">
        <f>TYPOPARTNER!A16:D16</f>
        <v>Cabinets de conseil / Consultants</v>
      </c>
      <c r="B15" s="4108"/>
      <c r="C15" s="4108"/>
      <c r="D15" s="4108"/>
      <c r="E15" s="4108"/>
      <c r="F15" s="4108"/>
      <c r="G15" s="1684"/>
      <c r="H15" s="1928"/>
      <c r="I15" s="1928"/>
      <c r="J15" s="1928"/>
      <c r="K15" s="1928"/>
      <c r="L15" s="1689">
        <f t="shared" si="5"/>
        <v>0</v>
      </c>
      <c r="M15" s="1751"/>
      <c r="N15" s="1790" t="str">
        <f>IF(G15=0,"",G15/$G$19)</f>
        <v/>
      </c>
      <c r="O15" s="1889" t="str">
        <f t="shared" si="0"/>
        <v/>
      </c>
      <c r="P15" s="1889" t="str">
        <f t="shared" si="1"/>
        <v/>
      </c>
      <c r="Q15" s="1889" t="str">
        <f t="shared" si="2"/>
        <v/>
      </c>
      <c r="R15" s="1889" t="str">
        <f t="shared" si="3"/>
        <v/>
      </c>
      <c r="S15" s="2063" t="str">
        <f t="shared" si="4"/>
        <v/>
      </c>
      <c r="T15" s="1748"/>
    </row>
    <row r="16" spans="1:22" ht="15.5" hidden="1" x14ac:dyDescent="0.35">
      <c r="A16" s="4107" t="str">
        <f>TYPOPARTNER!A17:D17</f>
        <v xml:space="preserve">Hébergeurs </v>
      </c>
      <c r="B16" s="4108"/>
      <c r="C16" s="4108"/>
      <c r="D16" s="4108"/>
      <c r="E16" s="4108"/>
      <c r="F16" s="4108"/>
      <c r="G16" s="1684"/>
      <c r="H16" s="1928"/>
      <c r="I16" s="1928"/>
      <c r="J16" s="1928"/>
      <c r="K16" s="1928"/>
      <c r="L16" s="1689">
        <f>SUM(H16:K16)</f>
        <v>0</v>
      </c>
      <c r="M16" s="1751"/>
      <c r="N16" s="1790" t="str">
        <f>IF(G16=0,"",G16/$G$19)</f>
        <v/>
      </c>
      <c r="O16" s="1889" t="str">
        <f t="shared" si="0"/>
        <v/>
      </c>
      <c r="P16" s="1889" t="str">
        <f t="shared" si="1"/>
        <v/>
      </c>
      <c r="Q16" s="1889" t="str">
        <f t="shared" si="2"/>
        <v/>
      </c>
      <c r="R16" s="1889" t="str">
        <f t="shared" si="3"/>
        <v/>
      </c>
      <c r="S16" s="2063" t="str">
        <f t="shared" si="4"/>
        <v/>
      </c>
      <c r="T16" s="1748"/>
    </row>
    <row r="17" spans="1:21" ht="15.5" hidden="1" x14ac:dyDescent="0.35">
      <c r="A17" s="4107" t="str">
        <f>TYPOPARTNER!A18:D18</f>
        <v>Agrégateurs</v>
      </c>
      <c r="B17" s="4108"/>
      <c r="C17" s="4108"/>
      <c r="D17" s="4108"/>
      <c r="E17" s="4108"/>
      <c r="F17" s="4108"/>
      <c r="G17" s="1684">
        <v>0</v>
      </c>
      <c r="H17" s="1750">
        <v>0</v>
      </c>
      <c r="I17" s="1747">
        <v>0</v>
      </c>
      <c r="J17" s="1747">
        <v>0</v>
      </c>
      <c r="K17" s="1747">
        <v>0</v>
      </c>
      <c r="L17" s="1689">
        <f t="shared" ref="L17" si="6">SUM(H17:K17)</f>
        <v>0</v>
      </c>
      <c r="M17" s="1751"/>
      <c r="N17" s="1790" t="str">
        <f>IF(G17=0,"",G17/G50)</f>
        <v/>
      </c>
      <c r="O17" s="1889" t="str">
        <f>IF(H17=0,"",H17/H50)</f>
        <v/>
      </c>
      <c r="P17" s="1889" t="str">
        <f t="shared" si="1"/>
        <v/>
      </c>
      <c r="Q17" s="1889" t="str">
        <f t="shared" si="2"/>
        <v/>
      </c>
      <c r="R17" s="1889" t="str">
        <f t="shared" si="3"/>
        <v/>
      </c>
      <c r="S17" s="2063" t="str">
        <f t="shared" si="4"/>
        <v/>
      </c>
      <c r="T17" s="1748"/>
    </row>
    <row r="18" spans="1:21" hidden="1" x14ac:dyDescent="0.35">
      <c r="A18" s="4121">
        <f>SUM(H18:K18)</f>
        <v>0</v>
      </c>
      <c r="B18" s="4122"/>
      <c r="C18" s="4122"/>
      <c r="D18" s="4122"/>
      <c r="E18" s="4122"/>
      <c r="F18" s="4122"/>
      <c r="G18" s="4122"/>
      <c r="H18" s="4122"/>
      <c r="I18" s="4122"/>
      <c r="J18" s="4122"/>
      <c r="K18" s="4122"/>
      <c r="L18" s="4123"/>
      <c r="M18" s="1751"/>
      <c r="N18" s="1790"/>
      <c r="O18" s="664"/>
      <c r="P18" s="664"/>
      <c r="Q18" s="664"/>
      <c r="R18" s="1889" t="str">
        <f t="shared" si="3"/>
        <v/>
      </c>
      <c r="S18" s="2064"/>
      <c r="T18" s="1748"/>
    </row>
    <row r="19" spans="1:21" ht="16.5" hidden="1" customHeight="1" x14ac:dyDescent="0.35">
      <c r="A19" s="4119" t="s">
        <v>1426</v>
      </c>
      <c r="B19" s="4120"/>
      <c r="C19" s="4120"/>
      <c r="D19" s="4120"/>
      <c r="E19" s="4120"/>
      <c r="F19" s="4120"/>
      <c r="G19" s="1685">
        <f t="shared" ref="G19:L19" si="7">SUM(G10:G18)</f>
        <v>0</v>
      </c>
      <c r="H19" s="1686">
        <f t="shared" si="7"/>
        <v>0</v>
      </c>
      <c r="I19" s="1686">
        <f t="shared" si="7"/>
        <v>0</v>
      </c>
      <c r="J19" s="1686">
        <f t="shared" si="7"/>
        <v>0</v>
      </c>
      <c r="K19" s="1686">
        <f t="shared" si="7"/>
        <v>0</v>
      </c>
      <c r="L19" s="1688">
        <f t="shared" si="7"/>
        <v>0</v>
      </c>
      <c r="M19" s="515"/>
      <c r="N19" s="1790">
        <f>SUM(N10:N17)</f>
        <v>0</v>
      </c>
      <c r="O19" s="1889">
        <f>SUM(O10:O17)</f>
        <v>0</v>
      </c>
      <c r="P19" s="1889">
        <f>SUM(P10:P17)</f>
        <v>0</v>
      </c>
      <c r="Q19" s="1889">
        <f>SUM(Q10:Q17)</f>
        <v>0</v>
      </c>
      <c r="R19" s="1889" t="str">
        <f t="shared" si="3"/>
        <v/>
      </c>
      <c r="S19" s="2063">
        <f>SUM(S10:S17)</f>
        <v>0</v>
      </c>
      <c r="T19" s="1748"/>
    </row>
    <row r="20" spans="1:21" ht="15" hidden="1" thickBot="1" x14ac:dyDescent="0.4">
      <c r="A20" s="4078" t="s">
        <v>761</v>
      </c>
      <c r="B20" s="4079"/>
      <c r="C20" s="4079"/>
      <c r="D20" s="4079"/>
      <c r="E20" s="4079"/>
      <c r="F20" s="4079"/>
      <c r="G20" s="1752"/>
      <c r="H20" s="1789" t="str">
        <f>IF(G19=0,"",(H19-G19)/G19)</f>
        <v/>
      </c>
      <c r="I20" s="1789" t="str">
        <f>IF(H19=0,"",(I19-H19)/H19)</f>
        <v/>
      </c>
      <c r="J20" s="1789" t="str">
        <f>IF(I19=0,"",(J19-I19)/I19)</f>
        <v/>
      </c>
      <c r="K20" s="1789" t="str">
        <f>IF(J19=0,"",(K19-J19)/J19)</f>
        <v/>
      </c>
      <c r="L20" s="1173"/>
      <c r="M20" s="515"/>
      <c r="N20" s="518"/>
      <c r="O20" s="1753"/>
      <c r="P20" s="1753"/>
      <c r="Q20" s="1753"/>
      <c r="R20" s="1753"/>
      <c r="S20" s="2065"/>
      <c r="T20" s="1751"/>
    </row>
    <row r="21" spans="1:21" ht="15" hidden="1" thickTop="1" x14ac:dyDescent="0.35">
      <c r="A21" s="4080" t="s">
        <v>1427</v>
      </c>
      <c r="B21" s="4081"/>
      <c r="C21" s="4081"/>
      <c r="D21" s="4081"/>
      <c r="E21" s="4081"/>
      <c r="F21" s="4081"/>
      <c r="G21" s="1754">
        <f t="shared" ref="G21:L21" si="8">SUM(G11:G17)</f>
        <v>0</v>
      </c>
      <c r="H21" s="1755">
        <f t="shared" si="8"/>
        <v>0</v>
      </c>
      <c r="I21" s="1755">
        <f t="shared" si="8"/>
        <v>0</v>
      </c>
      <c r="J21" s="1755">
        <f t="shared" si="8"/>
        <v>0</v>
      </c>
      <c r="K21" s="1755">
        <f t="shared" si="8"/>
        <v>0</v>
      </c>
      <c r="L21" s="1756">
        <f t="shared" si="8"/>
        <v>0</v>
      </c>
      <c r="M21" s="1758"/>
      <c r="N21" s="1736"/>
      <c r="O21" s="515"/>
      <c r="P21" s="515"/>
      <c r="Q21" s="1738"/>
      <c r="R21" s="515"/>
      <c r="S21" s="1758"/>
    </row>
    <row r="22" spans="1:21" ht="15" hidden="1" thickBot="1" x14ac:dyDescent="0.4">
      <c r="A22" s="2066"/>
      <c r="B22" s="1759"/>
      <c r="C22" s="1759"/>
      <c r="D22" s="1759"/>
      <c r="E22" s="1759"/>
      <c r="F22" s="1760" t="s">
        <v>1428</v>
      </c>
      <c r="G22" s="1761"/>
      <c r="H22" s="1417" t="str">
        <f>IF(G21=0,"",(H21-G21)/G21)</f>
        <v/>
      </c>
      <c r="I22" s="1417" t="str">
        <f>IF(H21=0,"",(I21-H21)/H21)</f>
        <v/>
      </c>
      <c r="J22" s="1417" t="str">
        <f>IF(I21=0,"",(J21-I21)/I21)</f>
        <v/>
      </c>
      <c r="K22" s="1417" t="str">
        <f>IF(J21=0,"",(K21-J21)/J21)</f>
        <v/>
      </c>
      <c r="L22" s="1891"/>
      <c r="M22" s="1758"/>
      <c r="N22" s="1890"/>
      <c r="O22" s="515"/>
      <c r="P22" s="515"/>
      <c r="Q22" s="1751"/>
      <c r="R22" s="515"/>
      <c r="S22" s="1748"/>
    </row>
    <row r="23" spans="1:21" ht="15" hidden="1" thickTop="1" x14ac:dyDescent="0.35">
      <c r="A23" s="4082" t="s">
        <v>1817</v>
      </c>
      <c r="B23" s="4083"/>
      <c r="C23" s="4083"/>
      <c r="D23" s="4083"/>
      <c r="E23" s="4083"/>
      <c r="F23" s="4083"/>
      <c r="G23" s="523" t="s">
        <v>973</v>
      </c>
      <c r="H23" s="2135" t="s">
        <v>973</v>
      </c>
      <c r="I23" s="2135" t="s">
        <v>973</v>
      </c>
      <c r="J23" s="2135" t="s">
        <v>973</v>
      </c>
      <c r="K23" s="2135" t="s">
        <v>973</v>
      </c>
      <c r="L23" s="523"/>
      <c r="M23" s="515"/>
      <c r="N23" s="515"/>
      <c r="O23" s="1762"/>
      <c r="P23" s="1762"/>
      <c r="Q23" s="1762"/>
      <c r="R23" s="1762"/>
      <c r="S23" s="1748"/>
    </row>
    <row r="24" spans="1:21" s="1776" customFormat="1" ht="15" hidden="1" thickBot="1" x14ac:dyDescent="0.4">
      <c r="A24" s="4076"/>
      <c r="B24" s="4077"/>
      <c r="C24" s="4077"/>
      <c r="D24" s="4077"/>
      <c r="E24" s="4077"/>
      <c r="F24" s="4077"/>
      <c r="G24" s="4077"/>
      <c r="H24" s="4077"/>
      <c r="I24" s="4077"/>
      <c r="J24" s="4077"/>
      <c r="K24" s="4077"/>
      <c r="L24" s="4077"/>
      <c r="M24" s="515"/>
      <c r="N24" s="515"/>
      <c r="O24" s="1762"/>
      <c r="P24" s="1762"/>
      <c r="Q24" s="1762"/>
      <c r="R24" s="1762"/>
      <c r="S24" s="1757"/>
    </row>
    <row r="25" spans="1:21" ht="13.5" hidden="1" customHeight="1" thickTop="1" x14ac:dyDescent="0.35">
      <c r="A25" s="4074" t="s">
        <v>1819</v>
      </c>
      <c r="B25" s="4075"/>
      <c r="C25" s="4075"/>
      <c r="D25" s="4075"/>
      <c r="E25" s="4075"/>
      <c r="F25" s="4075"/>
      <c r="G25" s="1926"/>
      <c r="H25" s="1755"/>
      <c r="I25" s="1755"/>
      <c r="J25" s="1755"/>
      <c r="K25" s="1755"/>
      <c r="L25" s="1925"/>
      <c r="M25" s="515"/>
      <c r="N25" s="515"/>
      <c r="O25" s="1762"/>
      <c r="P25" s="1762"/>
      <c r="Q25" s="1762"/>
      <c r="R25" s="1762"/>
      <c r="S25" s="1748"/>
    </row>
    <row r="26" spans="1:21" ht="23.25" hidden="1" customHeight="1" x14ac:dyDescent="0.35">
      <c r="A26" s="4084" t="s">
        <v>1818</v>
      </c>
      <c r="B26" s="4085"/>
      <c r="C26" s="4085"/>
      <c r="D26" s="4085"/>
      <c r="E26" s="4085"/>
      <c r="F26" s="1924">
        <v>0.15</v>
      </c>
      <c r="G26" s="2087">
        <f>G19*F26</f>
        <v>0</v>
      </c>
      <c r="H26" s="2087">
        <f>H19*F26</f>
        <v>0</v>
      </c>
      <c r="I26" s="2087">
        <f>I19*F26</f>
        <v>0</v>
      </c>
      <c r="J26" s="2087">
        <f>J19*F26</f>
        <v>0</v>
      </c>
      <c r="K26" s="2087">
        <f>K19*F26</f>
        <v>0</v>
      </c>
      <c r="L26" s="2089">
        <f>L19*F26</f>
        <v>0</v>
      </c>
      <c r="M26" s="515"/>
      <c r="N26" s="515"/>
      <c r="O26" s="1762"/>
      <c r="P26" s="1762"/>
      <c r="Q26" s="1762"/>
      <c r="R26" s="1762"/>
      <c r="S26" s="1748"/>
    </row>
    <row r="27" spans="1:21" ht="23.25" hidden="1" customHeight="1" thickBot="1" x14ac:dyDescent="0.4">
      <c r="A27" s="4086" t="s">
        <v>1822</v>
      </c>
      <c r="B27" s="4087"/>
      <c r="C27" s="4087"/>
      <c r="D27" s="4087"/>
      <c r="E27" s="4087"/>
      <c r="F27" s="1927"/>
      <c r="G27" s="2088"/>
      <c r="H27" s="2088">
        <f>G26</f>
        <v>0</v>
      </c>
      <c r="I27" s="2088">
        <f>H27+H26</f>
        <v>0</v>
      </c>
      <c r="J27" s="2088">
        <f>I27+I26</f>
        <v>0</v>
      </c>
      <c r="K27" s="2088">
        <f>J27+J26</f>
        <v>0</v>
      </c>
      <c r="L27" s="2089">
        <f>SUM(G27:K27)</f>
        <v>0</v>
      </c>
      <c r="M27" s="515"/>
      <c r="N27" s="515"/>
      <c r="O27" s="1762"/>
      <c r="P27" s="1762"/>
      <c r="Q27" s="1762"/>
      <c r="R27" s="1762"/>
      <c r="S27" s="1762"/>
      <c r="T27" s="1751"/>
      <c r="U27" s="1781"/>
    </row>
    <row r="28" spans="1:21" ht="23.25" hidden="1" customHeight="1" thickBot="1" x14ac:dyDescent="0.4">
      <c r="A28" s="4088" t="s">
        <v>1823</v>
      </c>
      <c r="B28" s="4089"/>
      <c r="C28" s="4089"/>
      <c r="D28" s="4089"/>
      <c r="E28" s="4089"/>
      <c r="F28" s="2067"/>
      <c r="G28" s="2092">
        <f>SUM(G26:G27)</f>
        <v>0</v>
      </c>
      <c r="H28" s="2092">
        <f>SUM(H26:H27)</f>
        <v>0</v>
      </c>
      <c r="I28" s="2092">
        <f>SUM(I26:I27)</f>
        <v>0</v>
      </c>
      <c r="J28" s="2092">
        <f>SUM(J26:J27)</f>
        <v>0</v>
      </c>
      <c r="K28" s="2092">
        <f>SUM(K26:K27)</f>
        <v>0</v>
      </c>
      <c r="L28" s="2093">
        <f>SUM(G28:K28)</f>
        <v>0</v>
      </c>
      <c r="M28" s="515"/>
      <c r="N28" s="515"/>
      <c r="O28" s="1762"/>
      <c r="P28" s="1762"/>
      <c r="Q28" s="1762"/>
      <c r="R28" s="1762"/>
      <c r="S28" s="1762"/>
      <c r="T28" s="1751"/>
      <c r="U28" s="1781"/>
    </row>
    <row r="29" spans="1:21" ht="4.5" hidden="1" customHeight="1" thickTop="1" thickBot="1" x14ac:dyDescent="0.4">
      <c r="A29" s="2081"/>
      <c r="B29" s="2082"/>
      <c r="C29" s="2082"/>
      <c r="D29" s="2082"/>
      <c r="E29" s="2082"/>
      <c r="F29" s="2067"/>
      <c r="G29" s="2068"/>
      <c r="H29" s="2068"/>
      <c r="I29" s="2068"/>
      <c r="J29" s="2068"/>
      <c r="K29" s="2068"/>
      <c r="L29" s="2084"/>
      <c r="M29" s="515"/>
      <c r="N29" s="515"/>
      <c r="O29" s="1762"/>
      <c r="P29" s="1762"/>
      <c r="Q29" s="1762"/>
      <c r="R29" s="1762"/>
      <c r="S29" s="1762"/>
      <c r="T29" s="1751"/>
      <c r="U29" s="1781"/>
    </row>
    <row r="30" spans="1:21" ht="23.25" hidden="1" customHeight="1" thickTop="1" thickBot="1" x14ac:dyDescent="0.4">
      <c r="A30" s="4090" t="s">
        <v>1821</v>
      </c>
      <c r="B30" s="4091"/>
      <c r="C30" s="4091"/>
      <c r="D30" s="4091"/>
      <c r="E30" s="4091"/>
      <c r="F30" s="2067"/>
      <c r="G30" s="2086">
        <f>G21*$F$26</f>
        <v>0</v>
      </c>
      <c r="H30" s="2086">
        <f>H21*$F$26</f>
        <v>0</v>
      </c>
      <c r="I30" s="2086">
        <f>I21*$F$26</f>
        <v>0</v>
      </c>
      <c r="J30" s="2086">
        <f>J21*$F$26</f>
        <v>0</v>
      </c>
      <c r="K30" s="2086">
        <f>K21*$F$26</f>
        <v>0</v>
      </c>
      <c r="L30" s="2090">
        <f>SUM(G30:K30)</f>
        <v>0</v>
      </c>
      <c r="M30" s="2083"/>
      <c r="N30" s="515"/>
      <c r="O30" s="1762"/>
      <c r="P30" s="1762"/>
      <c r="Q30" s="1762"/>
      <c r="R30" s="1762"/>
      <c r="S30" s="1762"/>
      <c r="T30" s="1751"/>
      <c r="U30" s="1781"/>
    </row>
    <row r="31" spans="1:21" ht="23.25" hidden="1" customHeight="1" thickTop="1" thickBot="1" x14ac:dyDescent="0.4">
      <c r="A31" s="4090" t="s">
        <v>1824</v>
      </c>
      <c r="B31" s="4091"/>
      <c r="C31" s="4091"/>
      <c r="D31" s="4091"/>
      <c r="E31" s="4091"/>
      <c r="F31" s="2067"/>
      <c r="G31" s="2086"/>
      <c r="H31" s="2086">
        <f>G30</f>
        <v>0</v>
      </c>
      <c r="I31" s="2086">
        <f>H31+H30</f>
        <v>0</v>
      </c>
      <c r="J31" s="2086">
        <f>I31+I30</f>
        <v>0</v>
      </c>
      <c r="K31" s="2086">
        <f>J31+J30</f>
        <v>0</v>
      </c>
      <c r="L31" s="2090">
        <f>SUM(G31:K31)</f>
        <v>0</v>
      </c>
      <c r="M31" s="2083"/>
      <c r="N31" s="515"/>
      <c r="O31" s="1762"/>
      <c r="P31" s="1762"/>
      <c r="Q31" s="1762"/>
      <c r="R31" s="1762"/>
      <c r="S31" s="1762"/>
      <c r="T31" s="1751"/>
      <c r="U31" s="1781"/>
    </row>
    <row r="32" spans="1:21" ht="23.25" hidden="1" customHeight="1" thickTop="1" thickBot="1" x14ac:dyDescent="0.4">
      <c r="A32" s="4088" t="s">
        <v>1825</v>
      </c>
      <c r="B32" s="4089"/>
      <c r="C32" s="4089"/>
      <c r="D32" s="4089"/>
      <c r="E32" s="4089"/>
      <c r="F32" s="2067"/>
      <c r="G32" s="2085">
        <f>SUM(G30:G31)</f>
        <v>0</v>
      </c>
      <c r="H32" s="2085">
        <f>SUM(H30:H31)</f>
        <v>0</v>
      </c>
      <c r="I32" s="2085">
        <f>SUM(I30:I31)</f>
        <v>0</v>
      </c>
      <c r="J32" s="2085">
        <f>SUM(J30:J31)</f>
        <v>0</v>
      </c>
      <c r="K32" s="2085">
        <f>SUM(K30:K31)</f>
        <v>0</v>
      </c>
      <c r="L32" s="2091">
        <f>SUM(G32:K32)</f>
        <v>0</v>
      </c>
      <c r="M32" s="2083"/>
      <c r="N32" s="515"/>
      <c r="O32" s="1762"/>
      <c r="P32" s="1762"/>
      <c r="Q32" s="1762"/>
      <c r="R32" s="1762"/>
      <c r="S32" s="1762"/>
      <c r="T32" s="1751"/>
      <c r="U32" s="1781"/>
    </row>
    <row r="33" spans="1:21" ht="14.25" customHeight="1" thickBot="1" x14ac:dyDescent="0.4">
      <c r="A33" s="2138"/>
      <c r="B33" s="2138"/>
      <c r="C33" s="2138"/>
      <c r="D33" s="2138"/>
      <c r="E33" s="2138"/>
      <c r="F33" s="2139"/>
      <c r="G33" s="2140"/>
      <c r="H33" s="2140"/>
      <c r="I33" s="2140"/>
      <c r="J33" s="2140"/>
      <c r="K33" s="2140"/>
      <c r="L33" s="2140"/>
      <c r="M33" s="515"/>
      <c r="N33" s="515"/>
      <c r="O33" s="1762"/>
      <c r="P33" s="1762"/>
      <c r="Q33" s="1762"/>
      <c r="R33" s="1762"/>
      <c r="S33" s="1762"/>
      <c r="T33" s="1751"/>
      <c r="U33" s="1781"/>
    </row>
    <row r="34" spans="1:21" s="1763" customFormat="1" ht="18.75" customHeight="1" thickTop="1" thickBot="1" x14ac:dyDescent="0.4">
      <c r="A34" s="4092" t="s">
        <v>2358</v>
      </c>
      <c r="B34" s="4093"/>
      <c r="C34" s="4093"/>
      <c r="D34" s="4093"/>
      <c r="E34" s="4093"/>
      <c r="F34" s="4093"/>
      <c r="G34" s="2337">
        <f>AnReference-1</f>
        <v>2017</v>
      </c>
      <c r="H34" s="2337">
        <f>AnReference</f>
        <v>2018</v>
      </c>
      <c r="I34" s="2337">
        <f>IF(NbAnVision&gt;=1,AnReference+1,"NA")</f>
        <v>2019</v>
      </c>
      <c r="J34" s="2337">
        <f>IF(NbAnVision&gt;=2,AnReference+2,"NA")</f>
        <v>2020</v>
      </c>
      <c r="K34" s="2338">
        <f>IF(NbAnVision&gt;=3,AnReference+3,"NA")</f>
        <v>2021</v>
      </c>
      <c r="N34" s="2328"/>
      <c r="O34" s="2328"/>
      <c r="P34" s="2328"/>
      <c r="Q34" s="2328"/>
      <c r="R34" s="2328"/>
      <c r="S34" s="2141"/>
      <c r="T34" s="1758"/>
    </row>
    <row r="35" spans="1:21" s="1744" customFormat="1" ht="16.5" customHeight="1" thickBot="1" x14ac:dyDescent="0.4">
      <c r="A35" s="4094"/>
      <c r="B35" s="4095"/>
      <c r="C35" s="4095"/>
      <c r="D35" s="4095"/>
      <c r="E35" s="4095"/>
      <c r="F35" s="4095"/>
      <c r="G35" s="4124" t="s">
        <v>2114</v>
      </c>
      <c r="H35" s="4124"/>
      <c r="I35" s="4124"/>
      <c r="J35" s="4124"/>
      <c r="K35" s="4125"/>
      <c r="L35" s="2340"/>
      <c r="M35" s="1758"/>
      <c r="N35" s="2328"/>
      <c r="O35" s="2328"/>
      <c r="P35" s="2328"/>
      <c r="Q35" s="2328"/>
      <c r="R35" s="2328"/>
      <c r="S35" s="2141"/>
      <c r="T35" s="1777"/>
    </row>
    <row r="36" spans="1:21" s="1767" customFormat="1" ht="42.75" customHeight="1" thickTop="1" thickBot="1" x14ac:dyDescent="0.4">
      <c r="A36" s="4132" t="s">
        <v>2708</v>
      </c>
      <c r="B36" s="4133"/>
      <c r="C36" s="4133"/>
      <c r="D36" s="4133"/>
      <c r="E36" s="4133"/>
      <c r="F36" s="4134"/>
      <c r="G36" s="2632">
        <f>G37*G38</f>
        <v>0</v>
      </c>
      <c r="H36" s="2632">
        <f>H37*H38/2</f>
        <v>3472000</v>
      </c>
      <c r="I36" s="2632">
        <f>I37*I38/2</f>
        <v>4860800</v>
      </c>
      <c r="J36" s="2632">
        <f>J37*J38/2</f>
        <v>6944000</v>
      </c>
      <c r="K36" s="2648">
        <f>K37*K38/2</f>
        <v>9721600</v>
      </c>
      <c r="L36" s="3122" t="s">
        <v>2899</v>
      </c>
      <c r="M36" s="1758"/>
      <c r="N36" s="2328"/>
      <c r="O36" s="2165"/>
      <c r="P36" s="2328"/>
      <c r="Q36" s="2328"/>
      <c r="R36" s="2328"/>
      <c r="S36" s="2141"/>
      <c r="T36" s="1766"/>
    </row>
    <row r="37" spans="1:21" s="1744" customFormat="1" ht="18.75" customHeight="1" thickBot="1" x14ac:dyDescent="0.4">
      <c r="A37" s="4052" t="s">
        <v>2357</v>
      </c>
      <c r="B37" s="4053"/>
      <c r="C37" s="4053"/>
      <c r="D37" s="4053"/>
      <c r="E37" s="4053"/>
      <c r="F37" s="4053"/>
      <c r="G37" s="2629"/>
      <c r="H37" s="2630">
        <v>25</v>
      </c>
      <c r="I37" s="2630">
        <v>35</v>
      </c>
      <c r="J37" s="2630">
        <v>50</v>
      </c>
      <c r="K37" s="2631">
        <v>70</v>
      </c>
      <c r="O37" s="2165"/>
      <c r="P37" s="2328"/>
      <c r="Q37" s="2328"/>
      <c r="R37" s="2328"/>
      <c r="S37" s="2141"/>
      <c r="T37" s="1777"/>
    </row>
    <row r="38" spans="1:21" s="1744" customFormat="1" ht="18.75" customHeight="1" thickBot="1" x14ac:dyDescent="0.4">
      <c r="A38" s="4052" t="s">
        <v>1017</v>
      </c>
      <c r="B38" s="4053"/>
      <c r="C38" s="4053"/>
      <c r="D38" s="4053"/>
      <c r="E38" s="4053"/>
      <c r="F38" s="4053"/>
      <c r="G38" s="3119"/>
      <c r="H38" s="3120">
        <f>BUSINESSCARD!G46</f>
        <v>277760</v>
      </c>
      <c r="I38" s="3120">
        <f>BUSINESSCARD!G46</f>
        <v>277760</v>
      </c>
      <c r="J38" s="3120">
        <f>BUSINESSCARD!G46</f>
        <v>277760</v>
      </c>
      <c r="K38" s="3121">
        <f>BUSINESSCARD!G46</f>
        <v>277760</v>
      </c>
      <c r="O38" s="2165"/>
      <c r="P38" s="2328"/>
      <c r="Q38" s="2328"/>
      <c r="R38" s="2328"/>
      <c r="S38" s="2141"/>
      <c r="T38" s="1777"/>
    </row>
    <row r="39" spans="1:21" s="1744" customFormat="1" ht="23.25" customHeight="1" x14ac:dyDescent="0.35">
      <c r="A39" s="4050"/>
      <c r="B39" s="4051"/>
      <c r="C39" s="4051"/>
      <c r="D39" s="4051"/>
      <c r="E39" s="4051"/>
      <c r="F39" s="4051"/>
      <c r="G39" s="2340"/>
      <c r="H39" s="2340"/>
      <c r="I39" s="2340"/>
      <c r="J39" s="2340"/>
      <c r="K39" s="2341"/>
      <c r="L39" s="2340"/>
      <c r="M39" s="2328"/>
      <c r="N39" s="2328"/>
      <c r="O39" s="2644"/>
      <c r="P39" s="2328"/>
      <c r="Q39" s="2328"/>
      <c r="R39" s="2328"/>
      <c r="S39" s="2141"/>
      <c r="T39" s="1777"/>
    </row>
    <row r="40" spans="1:21" s="1744" customFormat="1" ht="38.25" customHeight="1" thickBot="1" x14ac:dyDescent="0.4">
      <c r="A40" s="4054" t="s">
        <v>2792</v>
      </c>
      <c r="B40" s="4055"/>
      <c r="C40" s="4055"/>
      <c r="D40" s="4055"/>
      <c r="E40" s="4055"/>
      <c r="F40" s="4056"/>
      <c r="G40" s="2637">
        <f>G36</f>
        <v>0</v>
      </c>
      <c r="H40" s="2637">
        <f t="shared" ref="H40:K40" si="9">H36</f>
        <v>3472000</v>
      </c>
      <c r="I40" s="2637">
        <f t="shared" si="9"/>
        <v>4860800</v>
      </c>
      <c r="J40" s="2637">
        <f t="shared" si="9"/>
        <v>6944000</v>
      </c>
      <c r="K40" s="3118">
        <f t="shared" si="9"/>
        <v>9721600</v>
      </c>
      <c r="L40" s="2340"/>
      <c r="M40" s="2328"/>
      <c r="N40" s="2328"/>
      <c r="O40" s="2165"/>
      <c r="P40" s="2328"/>
      <c r="Q40" s="2328"/>
      <c r="R40" s="2328"/>
      <c r="S40" s="2141"/>
      <c r="T40" s="1777"/>
    </row>
    <row r="41" spans="1:21" s="1767" customFormat="1" ht="30.75" customHeight="1" thickBot="1" x14ac:dyDescent="0.4">
      <c r="A41" s="4126" t="s">
        <v>2704</v>
      </c>
      <c r="B41" s="4127"/>
      <c r="C41" s="4127"/>
      <c r="D41" s="4127"/>
      <c r="E41" s="4128"/>
      <c r="F41" s="2633">
        <f>BUSINESSCARD!K47</f>
        <v>0.68608006912442399</v>
      </c>
      <c r="G41" s="2455">
        <f>G36*$F$41</f>
        <v>0</v>
      </c>
      <c r="H41" s="2635">
        <f t="shared" ref="H41:K41" si="10">H36*$F$41</f>
        <v>2382070</v>
      </c>
      <c r="I41" s="2635">
        <f t="shared" si="10"/>
        <v>3334898</v>
      </c>
      <c r="J41" s="2635">
        <f t="shared" si="10"/>
        <v>4764140</v>
      </c>
      <c r="K41" s="2649">
        <f t="shared" si="10"/>
        <v>6669796</v>
      </c>
      <c r="L41" s="1744"/>
      <c r="M41" s="1744"/>
      <c r="N41" s="1744"/>
      <c r="O41" s="2165"/>
      <c r="P41" s="2328"/>
      <c r="Q41" s="2328"/>
      <c r="R41" s="2328"/>
      <c r="S41" s="2141"/>
      <c r="T41" s="1766"/>
    </row>
    <row r="42" spans="1:21" s="1767" customFormat="1" ht="30.75" customHeight="1" thickBot="1" x14ac:dyDescent="0.4">
      <c r="A42" s="4129" t="s">
        <v>2703</v>
      </c>
      <c r="B42" s="4130"/>
      <c r="C42" s="4130"/>
      <c r="D42" s="4130"/>
      <c r="E42" s="4131"/>
      <c r="F42" s="2634">
        <f>BUSINESSCARD!I47</f>
        <v>0.31391993087557601</v>
      </c>
      <c r="G42" s="2526">
        <f>G36*$F$42</f>
        <v>0</v>
      </c>
      <c r="H42" s="2636">
        <f t="shared" ref="H42:K42" si="11">H36*$F$42</f>
        <v>1089930</v>
      </c>
      <c r="I42" s="2636">
        <f t="shared" si="11"/>
        <v>1525902</v>
      </c>
      <c r="J42" s="2636">
        <f t="shared" si="11"/>
        <v>2179860</v>
      </c>
      <c r="K42" s="2650">
        <f t="shared" si="11"/>
        <v>3051804</v>
      </c>
      <c r="L42" s="1744"/>
      <c r="M42" s="1744"/>
      <c r="N42" s="1744"/>
      <c r="O42" s="2165"/>
      <c r="P42" s="2328"/>
      <c r="Q42" s="2328"/>
      <c r="R42" s="2328"/>
      <c r="S42" s="2141"/>
      <c r="T42" s="1766"/>
    </row>
    <row r="43" spans="1:21" s="1744" customFormat="1" ht="23.25" customHeight="1" thickTop="1" thickBot="1" x14ac:dyDescent="0.4">
      <c r="A43" s="4050"/>
      <c r="B43" s="4051"/>
      <c r="C43" s="4051"/>
      <c r="D43" s="4051"/>
      <c r="E43" s="4051"/>
      <c r="F43" s="4051"/>
      <c r="G43" s="2340"/>
      <c r="H43" s="2340"/>
      <c r="I43" s="2340"/>
      <c r="J43" s="2340"/>
      <c r="K43" s="2340"/>
      <c r="L43" s="2340"/>
      <c r="M43" s="2328"/>
      <c r="N43" s="2328"/>
      <c r="O43" s="2644"/>
      <c r="P43" s="2328"/>
      <c r="Q43" s="2328"/>
      <c r="R43" s="2328"/>
      <c r="S43" s="2141"/>
      <c r="T43" s="1777"/>
    </row>
    <row r="44" spans="1:21" ht="30" customHeight="1" thickTop="1" thickBot="1" x14ac:dyDescent="0.4">
      <c r="A44" s="4069" t="s">
        <v>2709</v>
      </c>
      <c r="B44" s="4070"/>
      <c r="C44" s="4070"/>
      <c r="D44" s="4070"/>
      <c r="E44" s="4070"/>
      <c r="F44" s="4070"/>
      <c r="G44" s="2337">
        <f>AnReference-1</f>
        <v>2017</v>
      </c>
      <c r="H44" s="2337">
        <f>AnReference</f>
        <v>2018</v>
      </c>
      <c r="I44" s="2337">
        <f>IF(NbAnVision&gt;=1,AnReference+1,"NA")</f>
        <v>2019</v>
      </c>
      <c r="J44" s="2337">
        <f>IF(NbAnVision&gt;=2,AnReference+2,"NA")</f>
        <v>2020</v>
      </c>
      <c r="K44" s="2338">
        <f>IF(NbAnVision&gt;=3,AnReference+3,"NA")</f>
        <v>2021</v>
      </c>
      <c r="L44" s="4059" t="s">
        <v>2213</v>
      </c>
      <c r="M44" s="4059"/>
      <c r="N44" s="4060"/>
      <c r="O44" s="1890"/>
      <c r="P44" s="2328"/>
      <c r="Q44" s="2328"/>
      <c r="R44" s="2328"/>
      <c r="S44" s="2141"/>
      <c r="T44" s="1758"/>
    </row>
    <row r="45" spans="1:21" ht="33" customHeight="1" thickBot="1" x14ac:dyDescent="0.4">
      <c r="A45" s="4065" t="s">
        <v>2217</v>
      </c>
      <c r="B45" s="4066"/>
      <c r="C45" s="4066"/>
      <c r="D45" s="4066"/>
      <c r="E45" s="4066"/>
      <c r="F45" s="4066"/>
      <c r="G45" s="2088">
        <f>G40</f>
        <v>0</v>
      </c>
      <c r="H45" s="2638">
        <f t="shared" ref="H45:K45" si="12">H42</f>
        <v>1089930</v>
      </c>
      <c r="I45" s="2638">
        <f t="shared" si="12"/>
        <v>1525902</v>
      </c>
      <c r="J45" s="2638">
        <f t="shared" si="12"/>
        <v>2179860</v>
      </c>
      <c r="K45" s="2638">
        <f t="shared" si="12"/>
        <v>3051804</v>
      </c>
      <c r="L45" s="2603" t="s">
        <v>2214</v>
      </c>
      <c r="M45" s="2604"/>
      <c r="N45" s="2172">
        <v>0.1</v>
      </c>
      <c r="O45" s="2645"/>
      <c r="P45" s="2328"/>
      <c r="Q45" s="2328"/>
      <c r="R45" s="2328"/>
      <c r="S45" s="2141"/>
      <c r="T45" s="1758"/>
    </row>
    <row r="46" spans="1:21" ht="34.5" customHeight="1" thickBot="1" x14ac:dyDescent="0.4">
      <c r="A46" s="4063" t="s">
        <v>2216</v>
      </c>
      <c r="B46" s="4064"/>
      <c r="C46" s="4064"/>
      <c r="D46" s="4064"/>
      <c r="E46" s="4064"/>
      <c r="F46" s="4064"/>
      <c r="G46" s="2942">
        <v>300000</v>
      </c>
      <c r="H46" s="2527">
        <f>(SUM($N$45*G46)-($N$46*G46))+G46+G45*2</f>
        <v>330000</v>
      </c>
      <c r="I46" s="2527">
        <f>(SUM($N$45*H46)-($N$46*H46))+H46+H45*2</f>
        <v>2542860</v>
      </c>
      <c r="J46" s="2527">
        <f t="shared" ref="J46:K46" si="13">(SUM($N$45*I46)-($N$46*I46))+I46+I45*2</f>
        <v>5848950</v>
      </c>
      <c r="K46" s="2527">
        <f t="shared" si="13"/>
        <v>10793565</v>
      </c>
      <c r="L46" s="2603" t="s">
        <v>2215</v>
      </c>
      <c r="M46" s="2604"/>
      <c r="N46" s="2172"/>
      <c r="O46" s="2645"/>
      <c r="P46" s="2328"/>
      <c r="Q46" s="2328"/>
      <c r="R46" s="2328"/>
      <c r="S46" s="2141"/>
      <c r="T46" s="1758"/>
    </row>
    <row r="47" spans="1:21" ht="27" customHeight="1" thickTop="1" thickBot="1" x14ac:dyDescent="0.4">
      <c r="A47" s="4071" t="s">
        <v>1986</v>
      </c>
      <c r="B47" s="4072"/>
      <c r="C47" s="4072"/>
      <c r="D47" s="4072"/>
      <c r="E47" s="4072"/>
      <c r="F47" s="4073"/>
      <c r="G47" s="2639">
        <f>SUM(G45:G46)</f>
        <v>300000</v>
      </c>
      <c r="H47" s="2639">
        <f t="shared" ref="H47:K47" si="14">SUM(H45:H46)</f>
        <v>1419930</v>
      </c>
      <c r="I47" s="2639">
        <f t="shared" si="14"/>
        <v>4068762</v>
      </c>
      <c r="J47" s="2639">
        <f t="shared" si="14"/>
        <v>8028810</v>
      </c>
      <c r="K47" s="2640">
        <f t="shared" si="14"/>
        <v>13845369</v>
      </c>
      <c r="O47" s="1762"/>
      <c r="P47" s="2328"/>
      <c r="Q47" s="2328"/>
      <c r="R47" s="2328"/>
      <c r="S47" s="2141"/>
      <c r="T47" s="1758"/>
    </row>
    <row r="48" spans="1:21" s="1744" customFormat="1" ht="23.25" customHeight="1" thickTop="1" thickBot="1" x14ac:dyDescent="0.4">
      <c r="A48" s="4067" t="s">
        <v>2360</v>
      </c>
      <c r="B48" s="4068"/>
      <c r="C48" s="4068"/>
      <c r="D48" s="4068"/>
      <c r="E48" s="4068"/>
      <c r="F48" s="4068"/>
      <c r="G48" s="2641"/>
      <c r="H48" s="2642">
        <f>(H47-G47)/G47</f>
        <v>3.7330999999999999</v>
      </c>
      <c r="I48" s="2642">
        <f t="shared" ref="I48:K48" si="15">(I47-H47)/H47</f>
        <v>1.8654666075088209</v>
      </c>
      <c r="J48" s="2642">
        <f t="shared" si="15"/>
        <v>0.97328081613031192</v>
      </c>
      <c r="K48" s="2643">
        <f t="shared" si="15"/>
        <v>0.72446091014733194</v>
      </c>
      <c r="L48" s="2340"/>
      <c r="M48" s="2328"/>
      <c r="N48" s="2328"/>
      <c r="P48" s="2328"/>
      <c r="Q48" s="2328"/>
      <c r="R48" s="2328"/>
      <c r="S48" s="2141"/>
      <c r="T48" s="1777"/>
    </row>
    <row r="49" spans="1:20" s="1744" customFormat="1" ht="23.25" customHeight="1" thickTop="1" x14ac:dyDescent="0.35">
      <c r="A49" s="4050"/>
      <c r="B49" s="4051"/>
      <c r="C49" s="4051"/>
      <c r="D49" s="4051"/>
      <c r="E49" s="4051"/>
      <c r="F49" s="4051"/>
      <c r="G49" s="2340"/>
      <c r="H49" s="2340"/>
      <c r="I49" s="2340"/>
      <c r="J49" s="2340"/>
      <c r="K49" s="2340"/>
      <c r="L49" s="2340"/>
      <c r="M49" s="2328"/>
      <c r="N49" s="2328"/>
      <c r="P49" s="1762"/>
      <c r="Q49" s="1762"/>
      <c r="R49" s="1762"/>
      <c r="S49" s="1762"/>
      <c r="T49" s="1777"/>
    </row>
    <row r="50" spans="1:20" ht="18.75" customHeight="1" thickBot="1" x14ac:dyDescent="0.4">
      <c r="A50" s="2605"/>
      <c r="B50" s="2605"/>
      <c r="C50" s="2605"/>
      <c r="D50" s="2605"/>
      <c r="E50" s="2605"/>
      <c r="F50" s="2605"/>
      <c r="G50" s="2605"/>
      <c r="H50" s="2605"/>
      <c r="I50" s="2605"/>
      <c r="J50" s="2605"/>
      <c r="K50" s="2605"/>
      <c r="L50" s="2489"/>
      <c r="M50" s="515"/>
      <c r="N50" s="515"/>
      <c r="O50" s="1762"/>
      <c r="P50" s="1762"/>
      <c r="Q50" s="1762"/>
      <c r="R50" s="1762"/>
      <c r="S50" s="1762"/>
      <c r="T50" s="1758"/>
    </row>
    <row r="51" spans="1:20" s="1763" customFormat="1" ht="39.75" customHeight="1" thickTop="1" x14ac:dyDescent="0.35">
      <c r="A51" s="4061" t="s">
        <v>2793</v>
      </c>
      <c r="B51" s="4062"/>
      <c r="C51" s="4062"/>
      <c r="D51" s="4062"/>
      <c r="E51" s="4062"/>
      <c r="F51" s="4062"/>
      <c r="G51" s="2525">
        <f>AnReference-1</f>
        <v>2017</v>
      </c>
      <c r="H51" s="2342">
        <f>AnReference</f>
        <v>2018</v>
      </c>
      <c r="I51" s="2342">
        <f>AnReference+1</f>
        <v>2019</v>
      </c>
      <c r="J51" s="2342">
        <f>AnReference+2</f>
        <v>2020</v>
      </c>
      <c r="K51" s="2343">
        <f>AnReference+3</f>
        <v>2021</v>
      </c>
      <c r="L51" s="2606"/>
      <c r="M51" s="515"/>
      <c r="N51" s="515"/>
      <c r="O51" s="1762"/>
      <c r="P51" s="1762"/>
      <c r="Q51" s="1762"/>
      <c r="R51" s="1762"/>
      <c r="S51" s="1762"/>
      <c r="T51" s="1758"/>
    </row>
    <row r="52" spans="1:20" s="1763" customFormat="1" ht="13.5" customHeight="1" x14ac:dyDescent="0.35">
      <c r="A52" s="2887"/>
      <c r="B52" s="2888"/>
      <c r="C52" s="2888"/>
      <c r="D52" s="2888"/>
      <c r="E52" s="2888"/>
      <c r="F52" s="2889"/>
      <c r="G52" s="2890"/>
      <c r="H52" s="2890"/>
      <c r="I52" s="2890"/>
      <c r="J52" s="2890"/>
      <c r="K52" s="2943"/>
      <c r="L52" s="2339"/>
      <c r="M52" s="1742"/>
      <c r="N52" s="515"/>
      <c r="O52" s="1762"/>
      <c r="P52" s="1762"/>
      <c r="Q52" s="1762"/>
      <c r="R52" s="1762"/>
      <c r="S52" s="1762"/>
      <c r="T52" s="1758"/>
    </row>
    <row r="53" spans="1:20" s="1744" customFormat="1" ht="20.25" customHeight="1" x14ac:dyDescent="0.35">
      <c r="A53" s="2881" t="s">
        <v>2705</v>
      </c>
      <c r="B53" s="2882"/>
      <c r="C53" s="2882"/>
      <c r="D53" s="2882"/>
      <c r="E53" s="2882"/>
      <c r="F53" s="2883">
        <f>BUSINESSCARD!J9</f>
        <v>0.06</v>
      </c>
      <c r="G53" s="2646">
        <f>G47*$F$53</f>
        <v>18000</v>
      </c>
      <c r="H53" s="2646">
        <f>H47*$F$53</f>
        <v>85195.8</v>
      </c>
      <c r="I53" s="2646">
        <f>I47*$F$53</f>
        <v>244125.72</v>
      </c>
      <c r="J53" s="2646">
        <f>J47*$F$53</f>
        <v>481728.6</v>
      </c>
      <c r="K53" s="2646">
        <f>K47*$F$53</f>
        <v>830722.14</v>
      </c>
      <c r="L53" s="2344"/>
      <c r="M53" s="1751"/>
      <c r="N53" s="515"/>
      <c r="O53" s="1762"/>
      <c r="P53" s="1762"/>
      <c r="Q53" s="1762"/>
      <c r="R53" s="1762"/>
      <c r="S53" s="2344"/>
      <c r="T53" s="1743"/>
    </row>
    <row r="54" spans="1:20" s="1744" customFormat="1" ht="21.75" customHeight="1" thickBot="1" x14ac:dyDescent="0.4">
      <c r="A54" s="2884" t="s">
        <v>2797</v>
      </c>
      <c r="B54" s="2885"/>
      <c r="C54" s="2885"/>
      <c r="D54" s="2885"/>
      <c r="E54" s="2885"/>
      <c r="F54" s="2886">
        <f>BUSINESSCARD!K43</f>
        <v>185000</v>
      </c>
      <c r="G54" s="2647"/>
      <c r="H54" s="2647">
        <f>$F$54*H37</f>
        <v>4625000</v>
      </c>
      <c r="I54" s="2647">
        <f>$F$54*I37</f>
        <v>6475000</v>
      </c>
      <c r="J54" s="2647">
        <f>$F$54*J37</f>
        <v>9250000</v>
      </c>
      <c r="K54" s="2944">
        <f>$F$54*K37</f>
        <v>12950000</v>
      </c>
      <c r="L54" s="2344"/>
      <c r="M54" s="1751"/>
      <c r="N54" s="515"/>
      <c r="O54" s="1762"/>
      <c r="P54" s="1762"/>
      <c r="Q54" s="1762"/>
      <c r="R54" s="1762"/>
      <c r="S54" s="2344"/>
      <c r="T54" s="1743"/>
    </row>
    <row r="55" spans="1:20" s="1744" customFormat="1" ht="21.75" customHeight="1" thickTop="1" thickBot="1" x14ac:dyDescent="0.4">
      <c r="A55" s="2884" t="s">
        <v>2794</v>
      </c>
      <c r="B55" s="2885"/>
      <c r="C55" s="2885"/>
      <c r="D55" s="2885"/>
      <c r="E55" s="4057" t="s">
        <v>2795</v>
      </c>
      <c r="F55" s="4058"/>
      <c r="G55" s="2647"/>
      <c r="H55" s="2647">
        <f>G54</f>
        <v>0</v>
      </c>
      <c r="I55" s="2647">
        <f>H56</f>
        <v>4625000</v>
      </c>
      <c r="J55" s="2647">
        <f t="shared" ref="J55:K55" si="16">I56</f>
        <v>11100000</v>
      </c>
      <c r="K55" s="2944">
        <f t="shared" si="16"/>
        <v>20350000</v>
      </c>
      <c r="L55" s="2344"/>
      <c r="M55" s="1751"/>
      <c r="N55" s="515"/>
      <c r="O55" s="1762"/>
      <c r="P55" s="1762"/>
      <c r="Q55" s="1762"/>
      <c r="R55" s="1762"/>
      <c r="S55" s="2344"/>
      <c r="T55" s="1743"/>
    </row>
    <row r="56" spans="1:20" s="1744" customFormat="1" ht="21.75" customHeight="1" thickTop="1" thickBot="1" x14ac:dyDescent="0.4">
      <c r="A56" s="2884" t="s">
        <v>2796</v>
      </c>
      <c r="B56" s="2885"/>
      <c r="C56" s="2885"/>
      <c r="D56" s="2885"/>
      <c r="E56" s="4057"/>
      <c r="F56" s="4058"/>
      <c r="G56" s="2647"/>
      <c r="H56" s="2647">
        <f>H55+H54</f>
        <v>4625000</v>
      </c>
      <c r="I56" s="2647">
        <f t="shared" ref="I56:K56" si="17">I55+I54</f>
        <v>11100000</v>
      </c>
      <c r="J56" s="2647">
        <f t="shared" si="17"/>
        <v>20350000</v>
      </c>
      <c r="K56" s="2944">
        <f t="shared" si="17"/>
        <v>33300000</v>
      </c>
      <c r="L56" s="2344"/>
      <c r="M56" s="1751"/>
      <c r="N56" s="515"/>
      <c r="O56" s="1762"/>
      <c r="P56" s="1762"/>
      <c r="Q56" s="1762"/>
      <c r="R56" s="1762"/>
      <c r="S56" s="2344"/>
      <c r="T56" s="1743"/>
    </row>
    <row r="57" spans="1:20" ht="17.25" customHeight="1" thickTop="1" thickBot="1" x14ac:dyDescent="0.4">
      <c r="L57" s="2142"/>
      <c r="M57" s="1744"/>
      <c r="N57" s="515"/>
      <c r="O57" s="1762"/>
      <c r="P57" s="1762"/>
      <c r="Q57" s="1762"/>
      <c r="R57" s="1762"/>
      <c r="S57" s="1890"/>
      <c r="T57" s="1758"/>
    </row>
    <row r="58" spans="1:20" ht="16" thickBot="1" x14ac:dyDescent="0.4">
      <c r="D58" s="3124"/>
      <c r="E58" s="3125"/>
      <c r="F58" s="4048" t="s">
        <v>2710</v>
      </c>
      <c r="G58" s="4049"/>
      <c r="H58" s="4049"/>
      <c r="I58" s="4049"/>
      <c r="J58" s="3130"/>
      <c r="K58" s="3131"/>
      <c r="N58" s="515"/>
      <c r="O58" s="1762"/>
      <c r="P58" s="1762"/>
      <c r="Q58" s="1762"/>
      <c r="R58" s="1762"/>
    </row>
    <row r="59" spans="1:20" ht="15" thickTop="1" x14ac:dyDescent="0.35">
      <c r="D59" s="3126" t="s">
        <v>2706</v>
      </c>
      <c r="E59" s="3127"/>
      <c r="F59" s="3128"/>
      <c r="G59" s="2891">
        <f>G53+G55</f>
        <v>18000</v>
      </c>
      <c r="H59" s="2892">
        <f>H53+H55</f>
        <v>85195.8</v>
      </c>
      <c r="I59" s="2892">
        <f>I56+I53</f>
        <v>11344125.720000001</v>
      </c>
      <c r="J59" s="2892">
        <f>J56+J53</f>
        <v>20831728.600000001</v>
      </c>
      <c r="K59" s="2893">
        <f>K56+K53</f>
        <v>34130722.140000001</v>
      </c>
      <c r="N59" s="515"/>
      <c r="O59" s="1762"/>
      <c r="P59" s="1762"/>
      <c r="Q59" s="1762"/>
      <c r="R59" s="1762"/>
    </row>
    <row r="60" spans="1:20" ht="15" thickBot="1" x14ac:dyDescent="0.4">
      <c r="D60" s="3129" t="s">
        <v>2707</v>
      </c>
      <c r="E60" s="2895"/>
      <c r="F60" s="2896"/>
      <c r="G60" s="2894">
        <f t="shared" ref="G60:H60" si="18">G47</f>
        <v>300000</v>
      </c>
      <c r="H60" s="2894">
        <f t="shared" si="18"/>
        <v>1419930</v>
      </c>
      <c r="I60" s="2894">
        <f>I47</f>
        <v>4068762</v>
      </c>
      <c r="J60" s="2894">
        <f t="shared" ref="J60:K60" si="19">J47</f>
        <v>8028810</v>
      </c>
      <c r="K60" s="3123">
        <f t="shared" si="19"/>
        <v>13845369</v>
      </c>
      <c r="N60" s="515"/>
      <c r="O60" s="1762"/>
      <c r="P60" s="1762"/>
      <c r="Q60" s="1762"/>
      <c r="R60" s="1762"/>
    </row>
    <row r="61" spans="1:20" ht="15" thickBot="1" x14ac:dyDescent="0.4">
      <c r="D61" s="4045" t="s">
        <v>436</v>
      </c>
      <c r="E61" s="4046"/>
      <c r="F61" s="4047"/>
      <c r="G61" s="3159">
        <f t="shared" ref="G61:H61" si="20">SUM(G59:G60)</f>
        <v>318000</v>
      </c>
      <c r="H61" s="3160">
        <f t="shared" si="20"/>
        <v>1505125.8</v>
      </c>
      <c r="I61" s="3160">
        <f>SUM(I59:I60)</f>
        <v>15412887.720000001</v>
      </c>
      <c r="J61" s="3160">
        <f t="shared" ref="J61:K61" si="21">SUM(J59:J60)</f>
        <v>28860538.600000001</v>
      </c>
      <c r="K61" s="3161">
        <f t="shared" si="21"/>
        <v>47976091.140000001</v>
      </c>
    </row>
  </sheetData>
  <mergeCells count="59">
    <mergeCell ref="G35:K35"/>
    <mergeCell ref="A41:E41"/>
    <mergeCell ref="A42:E42"/>
    <mergeCell ref="A43:F43"/>
    <mergeCell ref="A38:F38"/>
    <mergeCell ref="A36:F36"/>
    <mergeCell ref="A19:F19"/>
    <mergeCell ref="A11:F11"/>
    <mergeCell ref="A12:F12"/>
    <mergeCell ref="A13:F13"/>
    <mergeCell ref="A14:F14"/>
    <mergeCell ref="A18:L18"/>
    <mergeCell ref="A17:F17"/>
    <mergeCell ref="A8:F8"/>
    <mergeCell ref="A9:F9"/>
    <mergeCell ref="G9:L9"/>
    <mergeCell ref="N9:S9"/>
    <mergeCell ref="A10:F10"/>
    <mergeCell ref="A32:E32"/>
    <mergeCell ref="A34:F34"/>
    <mergeCell ref="A35:F35"/>
    <mergeCell ref="D1:G1"/>
    <mergeCell ref="I1:J1"/>
    <mergeCell ref="A5:B5"/>
    <mergeCell ref="C5:P5"/>
    <mergeCell ref="L1:M1"/>
    <mergeCell ref="D2:G2"/>
    <mergeCell ref="I2:J2"/>
    <mergeCell ref="L2:M2"/>
    <mergeCell ref="A4:G4"/>
    <mergeCell ref="H4:P4"/>
    <mergeCell ref="D3:G3"/>
    <mergeCell ref="A15:F15"/>
    <mergeCell ref="A16:F16"/>
    <mergeCell ref="A26:E26"/>
    <mergeCell ref="A27:E27"/>
    <mergeCell ref="A28:E28"/>
    <mergeCell ref="A30:E30"/>
    <mergeCell ref="A31:E31"/>
    <mergeCell ref="A25:F25"/>
    <mergeCell ref="A24:L24"/>
    <mergeCell ref="A20:F20"/>
    <mergeCell ref="A21:F21"/>
    <mergeCell ref="A23:F23"/>
    <mergeCell ref="L44:N44"/>
    <mergeCell ref="A51:F51"/>
    <mergeCell ref="A46:F46"/>
    <mergeCell ref="A45:F45"/>
    <mergeCell ref="A48:F48"/>
    <mergeCell ref="A44:F44"/>
    <mergeCell ref="A47:F47"/>
    <mergeCell ref="D61:F61"/>
    <mergeCell ref="F58:I58"/>
    <mergeCell ref="A49:F49"/>
    <mergeCell ref="A37:F37"/>
    <mergeCell ref="A39:F39"/>
    <mergeCell ref="A40:F40"/>
    <mergeCell ref="E55:F55"/>
    <mergeCell ref="E56:F56"/>
  </mergeCells>
  <conditionalFormatting sqref="O2">
    <cfRule type="iconSet" priority="7">
      <iconSet iconSet="3Symbols2" showValue="0">
        <cfvo type="percent" val="0"/>
        <cfvo type="num" val="0"/>
        <cfvo type="num" val="10"/>
      </iconSet>
    </cfRule>
  </conditionalFormatting>
  <conditionalFormatting sqref="P2">
    <cfRule type="iconSet" priority="6">
      <iconSet iconSet="3Symbols2" showValue="0">
        <cfvo type="percent" val="0"/>
        <cfvo type="num" val="0"/>
        <cfvo type="num" val="10"/>
      </iconSet>
    </cfRule>
  </conditionalFormatting>
  <dataValidations disablePrompts="1" count="1">
    <dataValidation type="list" allowBlank="1" showInputMessage="1" showErrorMessage="1" sqref="I2" xr:uid="{00000000-0002-0000-0D00-000000000000}">
      <formula1>AvancementTheme</formula1>
    </dataValidation>
  </dataValidations>
  <pageMargins left="0.70866141732283472" right="0.70866141732283472" top="0.74803149606299213" bottom="0.74803149606299213" header="0.31496062992125984" footer="0.31496062992125984"/>
  <pageSetup paperSize="9" scale="38"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59999389629810485"/>
  </sheetPr>
  <dimension ref="A1:V55"/>
  <sheetViews>
    <sheetView showGridLines="0" zoomScale="80" zoomScaleNormal="80" workbookViewId="0">
      <selection activeCell="N42" sqref="N42"/>
    </sheetView>
  </sheetViews>
  <sheetFormatPr baseColWidth="10" defaultRowHeight="14.5" x14ac:dyDescent="0.35"/>
  <cols>
    <col min="5" max="5" width="14.81640625" customWidth="1"/>
    <col min="6" max="6" width="11.7265625" customWidth="1"/>
    <col min="7" max="7" width="12.54296875" bestFit="1" customWidth="1"/>
    <col min="8" max="8" width="11.54296875" bestFit="1" customWidth="1"/>
    <col min="9" max="9" width="12.54296875" bestFit="1" customWidth="1"/>
    <col min="10" max="10" width="13.453125" bestFit="1" customWidth="1"/>
    <col min="11" max="11" width="13.26953125" bestFit="1" customWidth="1"/>
    <col min="12" max="12" width="13.453125" bestFit="1" customWidth="1"/>
    <col min="13" max="13" width="13.26953125" bestFit="1" customWidth="1"/>
    <col min="14" max="14" width="13.453125" bestFit="1" customWidth="1"/>
    <col min="15" max="15" width="15.1796875" customWidth="1"/>
    <col min="16" max="16" width="15.7265625" customWidth="1"/>
    <col min="17" max="17" width="15.81640625" style="3026" customWidth="1"/>
    <col min="18" max="18" width="11.453125" style="3026"/>
  </cols>
  <sheetData>
    <row r="1" spans="1:22" s="1720" customFormat="1" ht="15" customHeight="1" x14ac:dyDescent="0.35">
      <c r="A1" s="2825"/>
      <c r="B1" s="2825"/>
      <c r="C1" s="2825"/>
      <c r="D1" s="4096" t="s">
        <v>5</v>
      </c>
      <c r="E1" s="4096"/>
      <c r="F1" s="4096"/>
      <c r="G1" s="4096"/>
      <c r="H1" s="1717"/>
      <c r="I1" s="4096" t="s">
        <v>6</v>
      </c>
      <c r="J1" s="4096"/>
      <c r="K1" s="2825"/>
      <c r="L1" s="4096" t="s">
        <v>9</v>
      </c>
      <c r="M1" s="4096"/>
      <c r="N1" s="2825"/>
      <c r="O1" s="1718"/>
      <c r="P1" s="1718"/>
      <c r="Q1" s="1719"/>
      <c r="R1" s="1719"/>
      <c r="S1" s="1719"/>
      <c r="T1" s="1719"/>
    </row>
    <row r="2" spans="1:22" s="1725" customFormat="1" ht="18" customHeight="1" x14ac:dyDescent="0.35">
      <c r="A2" s="1721"/>
      <c r="B2" s="1721"/>
      <c r="C2" s="1721"/>
      <c r="D2" s="4099" t="str">
        <f>NomClient</f>
        <v xml:space="preserve">EQUINIX </v>
      </c>
      <c r="E2" s="4100"/>
      <c r="F2" s="4100"/>
      <c r="G2" s="4101"/>
      <c r="H2" s="1721"/>
      <c r="I2" s="4102" t="s">
        <v>407</v>
      </c>
      <c r="J2" s="4103"/>
      <c r="K2" s="1721"/>
      <c r="L2" s="3347">
        <v>42534.898472222223</v>
      </c>
      <c r="M2" s="3348"/>
      <c r="N2" s="1722"/>
      <c r="O2" s="1723"/>
      <c r="P2" s="1723"/>
      <c r="Q2" s="3024"/>
      <c r="R2" s="3024"/>
      <c r="S2" s="1724"/>
      <c r="T2" s="1724"/>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165"/>
      <c r="R3" s="165"/>
      <c r="S3" s="64"/>
      <c r="T3" s="64"/>
      <c r="U3" s="64"/>
      <c r="V3" s="64"/>
    </row>
    <row r="4" spans="1:22" s="1729" customFormat="1" ht="31.5" customHeight="1" thickBot="1" x14ac:dyDescent="0.4">
      <c r="A4" s="4104" t="str">
        <f>Parametre!B24  &amp; "  : "</f>
        <v xml:space="preserve">Vision, Attente &amp; Stratégie  : </v>
      </c>
      <c r="B4" s="4104"/>
      <c r="C4" s="4104"/>
      <c r="D4" s="4104"/>
      <c r="E4" s="4104"/>
      <c r="F4" s="4104"/>
      <c r="G4" s="4104"/>
      <c r="H4" s="4105" t="s">
        <v>2911</v>
      </c>
      <c r="I4" s="4105"/>
      <c r="J4" s="4105"/>
      <c r="K4" s="4105"/>
      <c r="L4" s="4105"/>
      <c r="M4" s="4105"/>
      <c r="N4" s="4105"/>
      <c r="O4" s="4105"/>
      <c r="P4" s="4106"/>
      <c r="Q4" s="3025"/>
      <c r="R4" s="3025"/>
      <c r="S4" s="1728"/>
      <c r="T4" s="1728"/>
    </row>
    <row r="5" spans="1:22" ht="8.25" customHeight="1" thickBot="1" x14ac:dyDescent="0.4"/>
    <row r="6" spans="1:22" s="62" customFormat="1" ht="21.75" customHeight="1" thickTop="1" x14ac:dyDescent="0.35">
      <c r="A6" s="4022" t="s">
        <v>524</v>
      </c>
      <c r="B6" s="4023"/>
      <c r="C6" s="4023"/>
      <c r="D6" s="4023"/>
      <c r="E6" s="4023"/>
      <c r="F6" s="4024"/>
      <c r="G6" s="4152" t="s">
        <v>2481</v>
      </c>
      <c r="H6" s="4153"/>
      <c r="I6" s="4152" t="s">
        <v>2482</v>
      </c>
      <c r="J6" s="4153"/>
      <c r="K6" s="4152" t="s">
        <v>2483</v>
      </c>
      <c r="L6" s="4153"/>
      <c r="M6" s="4152" t="s">
        <v>2484</v>
      </c>
      <c r="N6" s="4154"/>
      <c r="O6" s="4155" t="s">
        <v>2882</v>
      </c>
      <c r="P6" s="4156"/>
      <c r="Q6" s="4157" t="s">
        <v>246</v>
      </c>
      <c r="R6" s="4158"/>
      <c r="S6" s="462"/>
      <c r="T6" s="462"/>
      <c r="U6" s="462"/>
    </row>
    <row r="7" spans="1:22" s="62" customFormat="1" ht="21.5" thickBot="1" x14ac:dyDescent="0.4">
      <c r="A7" s="4025"/>
      <c r="B7" s="4026"/>
      <c r="C7" s="4026"/>
      <c r="D7" s="4026"/>
      <c r="E7" s="4026"/>
      <c r="F7" s="4027"/>
      <c r="G7" s="3039" t="s">
        <v>2892</v>
      </c>
      <c r="H7" s="3040" t="s">
        <v>2485</v>
      </c>
      <c r="I7" s="3039" t="s">
        <v>2892</v>
      </c>
      <c r="J7" s="3040" t="s">
        <v>2485</v>
      </c>
      <c r="K7" s="3039" t="s">
        <v>2892</v>
      </c>
      <c r="L7" s="3040" t="s">
        <v>2485</v>
      </c>
      <c r="M7" s="3039" t="s">
        <v>2892</v>
      </c>
      <c r="N7" s="3073" t="s">
        <v>2485</v>
      </c>
      <c r="O7" s="3133" t="s">
        <v>2892</v>
      </c>
      <c r="P7" s="3134" t="s">
        <v>2485</v>
      </c>
      <c r="Q7" s="3087" t="s">
        <v>1010</v>
      </c>
      <c r="R7" s="3088" t="s">
        <v>2883</v>
      </c>
      <c r="S7" s="462"/>
      <c r="T7" s="462"/>
      <c r="U7" s="462"/>
    </row>
    <row r="8" spans="1:22" x14ac:dyDescent="0.35">
      <c r="A8" s="3036"/>
      <c r="B8" s="3037"/>
      <c r="C8" s="3037"/>
      <c r="D8" s="3037"/>
      <c r="E8" s="3037"/>
      <c r="F8" s="3037"/>
      <c r="G8" s="3041"/>
      <c r="H8" s="3042"/>
      <c r="I8" s="3041"/>
      <c r="J8" s="3042"/>
      <c r="K8" s="3041"/>
      <c r="L8" s="3042"/>
      <c r="M8" s="3041"/>
      <c r="N8" s="3074"/>
      <c r="O8" s="3135"/>
      <c r="P8" s="3136"/>
      <c r="Q8" s="3089"/>
      <c r="R8" s="3038"/>
    </row>
    <row r="9" spans="1:22" s="60" customFormat="1" ht="18.5" x14ac:dyDescent="0.35">
      <c r="A9" s="3981" t="s">
        <v>2978</v>
      </c>
      <c r="B9" s="3982"/>
      <c r="C9" s="3982"/>
      <c r="D9" s="3982"/>
      <c r="E9" s="3982"/>
      <c r="F9" s="3982"/>
      <c r="G9" s="3043"/>
      <c r="H9" s="3044"/>
      <c r="I9" s="3043"/>
      <c r="J9" s="3044"/>
      <c r="K9" s="3043"/>
      <c r="L9" s="3044"/>
      <c r="M9" s="3043"/>
      <c r="N9" s="3075"/>
      <c r="O9" s="3137">
        <f>G9+I9+K9+M9</f>
        <v>0</v>
      </c>
      <c r="P9" s="3138">
        <f>H9+J9+L9+N9</f>
        <v>0</v>
      </c>
      <c r="Q9" s="3103">
        <f>P9-O9</f>
        <v>0</v>
      </c>
      <c r="R9" s="3091" t="e">
        <f>P9/O9</f>
        <v>#DIV/0!</v>
      </c>
      <c r="S9" s="463"/>
      <c r="T9" s="64"/>
      <c r="U9" s="64"/>
    </row>
    <row r="10" spans="1:22" s="66" customFormat="1" ht="18.5" x14ac:dyDescent="0.35">
      <c r="A10" s="4150"/>
      <c r="B10" s="4151"/>
      <c r="C10" s="4151"/>
      <c r="D10" s="4151"/>
      <c r="E10" s="4151"/>
      <c r="F10" s="4151"/>
      <c r="G10" s="3045"/>
      <c r="H10" s="3046"/>
      <c r="I10" s="3045"/>
      <c r="J10" s="3046"/>
      <c r="K10" s="3045"/>
      <c r="L10" s="3046"/>
      <c r="M10" s="3045"/>
      <c r="N10" s="3076"/>
      <c r="O10" s="3139"/>
      <c r="P10" s="3140"/>
      <c r="Q10" s="3192"/>
      <c r="R10" s="3070"/>
      <c r="S10" s="1565"/>
      <c r="T10" s="397"/>
      <c r="U10" s="397"/>
    </row>
    <row r="11" spans="1:22" s="60" customFormat="1" ht="18.5" x14ac:dyDescent="0.35">
      <c r="A11" s="4159" t="s">
        <v>2900</v>
      </c>
      <c r="B11" s="4160"/>
      <c r="C11" s="4160"/>
      <c r="D11" s="4160"/>
      <c r="E11" s="4160"/>
      <c r="F11" s="4160"/>
      <c r="G11" s="3047">
        <f>'SALESPLAN 3Y'!H38</f>
        <v>277760</v>
      </c>
      <c r="H11" s="3132" t="e">
        <f>H13/H9</f>
        <v>#DIV/0!</v>
      </c>
      <c r="I11" s="3047">
        <f>'SALESPLAN 3Y'!H38</f>
        <v>277760</v>
      </c>
      <c r="J11" s="3132" t="e">
        <f>J13/J9</f>
        <v>#DIV/0!</v>
      </c>
      <c r="K11" s="3047">
        <f>'SALESPLAN 3Y'!H38</f>
        <v>277760</v>
      </c>
      <c r="L11" s="3132" t="e">
        <f>L13/L9</f>
        <v>#DIV/0!</v>
      </c>
      <c r="M11" s="3047">
        <f>'SALESPLAN 3Y'!H38</f>
        <v>277760</v>
      </c>
      <c r="N11" s="3075" t="e">
        <f>N13/N9</f>
        <v>#DIV/0!</v>
      </c>
      <c r="O11" s="3137">
        <f>AVERAGE(G11,I11,K11,M11)</f>
        <v>277760</v>
      </c>
      <c r="P11" s="3138" t="e">
        <f>AVERAGE(H11,J11,L11,N11)</f>
        <v>#DIV/0!</v>
      </c>
      <c r="Q11" s="3193" t="e">
        <f>P11-O11</f>
        <v>#DIV/0!</v>
      </c>
      <c r="R11" s="3094" t="e">
        <f>P11/O11</f>
        <v>#DIV/0!</v>
      </c>
      <c r="S11" s="463"/>
      <c r="T11" s="64"/>
      <c r="U11" s="64"/>
    </row>
    <row r="12" spans="1:22" s="66" customFormat="1" ht="18.5" x14ac:dyDescent="0.35">
      <c r="A12" s="4145"/>
      <c r="B12" s="4146"/>
      <c r="C12" s="4146"/>
      <c r="D12" s="4146"/>
      <c r="E12" s="4146"/>
      <c r="F12" s="4146"/>
      <c r="G12" s="3048"/>
      <c r="H12" s="3046"/>
      <c r="I12" s="3048"/>
      <c r="J12" s="3046"/>
      <c r="K12" s="3048"/>
      <c r="L12" s="3046"/>
      <c r="M12" s="3048"/>
      <c r="N12" s="3167"/>
      <c r="O12" s="3190"/>
      <c r="P12" s="3152"/>
      <c r="Q12" s="3194"/>
      <c r="R12" s="3169"/>
      <c r="S12" s="1565"/>
      <c r="T12" s="397"/>
      <c r="U12" s="397"/>
    </row>
    <row r="13" spans="1:22" s="60" customFormat="1" ht="18.5" x14ac:dyDescent="0.35">
      <c r="A13" s="3981" t="s">
        <v>2901</v>
      </c>
      <c r="B13" s="3982"/>
      <c r="C13" s="3982"/>
      <c r="D13" s="3982"/>
      <c r="E13" s="3982"/>
      <c r="F13" s="3982"/>
      <c r="G13" s="3170">
        <f>G9*G11</f>
        <v>0</v>
      </c>
      <c r="H13" s="3171">
        <f>SUM(H14:H15)</f>
        <v>0</v>
      </c>
      <c r="I13" s="3170">
        <f>I9*I11</f>
        <v>0</v>
      </c>
      <c r="J13" s="3171">
        <f>SUM(J14:J15)</f>
        <v>0</v>
      </c>
      <c r="K13" s="3170">
        <f>K9*K11</f>
        <v>0</v>
      </c>
      <c r="L13" s="3171">
        <f>SUM(L14:L15)</f>
        <v>0</v>
      </c>
      <c r="M13" s="3170">
        <f>M9*M11</f>
        <v>0</v>
      </c>
      <c r="N13" s="3172">
        <f>SUM(N14:N15)</f>
        <v>0</v>
      </c>
      <c r="O13" s="3191">
        <f>G13+I13+K13+M13</f>
        <v>0</v>
      </c>
      <c r="P13" s="3174">
        <f>H13+J13+L13+N13</f>
        <v>0</v>
      </c>
      <c r="Q13" s="3103">
        <f>P13-O13</f>
        <v>0</v>
      </c>
      <c r="R13" s="3091" t="e">
        <f>P13/O13</f>
        <v>#DIV/0!</v>
      </c>
      <c r="S13" s="463"/>
      <c r="T13" s="64"/>
      <c r="U13" s="64"/>
    </row>
    <row r="14" spans="1:22" s="60" customFormat="1" ht="18.5" x14ac:dyDescent="0.35">
      <c r="A14" s="3958" t="s">
        <v>2490</v>
      </c>
      <c r="B14" s="3959"/>
      <c r="C14" s="3959"/>
      <c r="D14" s="3959"/>
      <c r="E14" s="3959"/>
      <c r="F14" s="3959"/>
      <c r="G14" s="3049">
        <f>G9*BUSINESSCARD!I46</f>
        <v>0</v>
      </c>
      <c r="H14" s="3050"/>
      <c r="I14" s="3049">
        <f>I9*BUSINESSCARD!$I$46</f>
        <v>0</v>
      </c>
      <c r="J14" s="3050"/>
      <c r="K14" s="3049">
        <f>K9*BUSINESSCARD!$I$46</f>
        <v>0</v>
      </c>
      <c r="L14" s="3050"/>
      <c r="M14" s="3049">
        <f>M9*BUSINESSCARD!$I$46</f>
        <v>0</v>
      </c>
      <c r="N14" s="3077"/>
      <c r="O14" s="3142">
        <f t="shared" ref="O14" si="0">G14+I14+K14+M14</f>
        <v>0</v>
      </c>
      <c r="P14" s="3143">
        <f t="shared" ref="P14" si="1">H14+J14+L14+N14</f>
        <v>0</v>
      </c>
      <c r="Q14" s="3195">
        <f>P14-O14</f>
        <v>0</v>
      </c>
      <c r="R14" s="3096" t="e">
        <f t="shared" ref="R14" si="2">P14/O14</f>
        <v>#DIV/0!</v>
      </c>
      <c r="S14" s="463"/>
      <c r="T14" s="64"/>
      <c r="U14" s="64"/>
    </row>
    <row r="15" spans="1:22" s="60" customFormat="1" ht="18.5" x14ac:dyDescent="0.35">
      <c r="A15" s="4150" t="s">
        <v>2487</v>
      </c>
      <c r="B15" s="4151"/>
      <c r="C15" s="4151"/>
      <c r="D15" s="4151"/>
      <c r="E15" s="4151"/>
      <c r="F15" s="4151"/>
      <c r="G15" s="3049">
        <f>G13*BUSINESSCARD!$K$47</f>
        <v>0</v>
      </c>
      <c r="H15" s="3050"/>
      <c r="I15" s="3049">
        <f>I13*BUSINESSCARD!$K$47</f>
        <v>0</v>
      </c>
      <c r="J15" s="3050"/>
      <c r="K15" s="3049">
        <f>K13*BUSINESSCARD!$K$47</f>
        <v>0</v>
      </c>
      <c r="L15" s="3050"/>
      <c r="M15" s="3049">
        <f>M13*BUSINESSCARD!$K$47</f>
        <v>0</v>
      </c>
      <c r="N15" s="3077"/>
      <c r="O15" s="3142">
        <f t="shared" ref="O15:O17" si="3">G15+I15+K15+M15</f>
        <v>0</v>
      </c>
      <c r="P15" s="3143">
        <f t="shared" ref="P15:P17" si="4">H15+J15+L15+N15</f>
        <v>0</v>
      </c>
      <c r="Q15" s="3195">
        <f t="shared" ref="Q15:Q17" si="5">P15-O15</f>
        <v>0</v>
      </c>
      <c r="R15" s="3096" t="e">
        <f t="shared" ref="R15:R17" si="6">P15/O15</f>
        <v>#DIV/0!</v>
      </c>
      <c r="S15" s="463"/>
      <c r="T15" s="64"/>
      <c r="U15" s="64"/>
    </row>
    <row r="16" spans="1:22" s="60" customFormat="1" ht="18.5" x14ac:dyDescent="0.35">
      <c r="A16" s="3958" t="s">
        <v>2488</v>
      </c>
      <c r="B16" s="3959"/>
      <c r="C16" s="3959"/>
      <c r="D16" s="3959"/>
      <c r="E16" s="3959"/>
      <c r="F16" s="3959"/>
      <c r="G16" s="3206">
        <f>G13*BUSINESSCARD!$M$43</f>
        <v>0</v>
      </c>
      <c r="H16" s="3207"/>
      <c r="I16" s="3206">
        <f>I13*BUSINESSCARD!$M$43</f>
        <v>0</v>
      </c>
      <c r="J16" s="3207"/>
      <c r="K16" s="3206">
        <f>K13*BUSINESSCARD!$M$43</f>
        <v>0</v>
      </c>
      <c r="L16" s="3207"/>
      <c r="M16" s="3206">
        <f>M13*BUSINESSCARD!$M$43</f>
        <v>0</v>
      </c>
      <c r="N16" s="3208"/>
      <c r="O16" s="3209">
        <f t="shared" si="3"/>
        <v>0</v>
      </c>
      <c r="P16" s="3210">
        <f t="shared" si="4"/>
        <v>0</v>
      </c>
      <c r="Q16" s="3211">
        <f t="shared" si="5"/>
        <v>0</v>
      </c>
      <c r="R16" s="3212" t="e">
        <f t="shared" si="6"/>
        <v>#DIV/0!</v>
      </c>
      <c r="S16" s="463"/>
      <c r="T16" s="64"/>
      <c r="U16" s="64"/>
    </row>
    <row r="17" spans="1:21" s="60" customFormat="1" ht="18.5" x14ac:dyDescent="0.35">
      <c r="A17" s="3958" t="s">
        <v>2489</v>
      </c>
      <c r="B17" s="3959"/>
      <c r="C17" s="3959"/>
      <c r="D17" s="3959"/>
      <c r="E17" s="3959"/>
      <c r="F17" s="3959"/>
      <c r="G17" s="3213">
        <f>G13*BUSINESSCARD!$M$25</f>
        <v>0</v>
      </c>
      <c r="H17" s="3214"/>
      <c r="I17" s="3213">
        <f>I13*BUSINESSCARD!$M$25</f>
        <v>0</v>
      </c>
      <c r="J17" s="3214"/>
      <c r="K17" s="3213">
        <f>K13*BUSINESSCARD!$M$25</f>
        <v>0</v>
      </c>
      <c r="L17" s="3214"/>
      <c r="M17" s="3213">
        <f>M13*BUSINESSCARD!$M$25</f>
        <v>0</v>
      </c>
      <c r="N17" s="3215"/>
      <c r="O17" s="3216">
        <f t="shared" si="3"/>
        <v>0</v>
      </c>
      <c r="P17" s="3217">
        <f t="shared" si="4"/>
        <v>0</v>
      </c>
      <c r="Q17" s="3218">
        <f t="shared" si="5"/>
        <v>0</v>
      </c>
      <c r="R17" s="3219" t="e">
        <f t="shared" si="6"/>
        <v>#DIV/0!</v>
      </c>
      <c r="S17" s="463"/>
      <c r="T17" s="64"/>
      <c r="U17" s="64"/>
    </row>
    <row r="18" spans="1:21" s="66" customFormat="1" ht="18.5" x14ac:dyDescent="0.35">
      <c r="A18" s="4145"/>
      <c r="B18" s="4146"/>
      <c r="C18" s="4146"/>
      <c r="D18" s="4146"/>
      <c r="E18" s="4146"/>
      <c r="F18" s="4146"/>
      <c r="G18" s="3045"/>
      <c r="H18" s="3046"/>
      <c r="I18" s="3045"/>
      <c r="J18" s="3046"/>
      <c r="K18" s="3045"/>
      <c r="L18" s="3046"/>
      <c r="M18" s="3045"/>
      <c r="N18" s="3076"/>
      <c r="O18" s="3139"/>
      <c r="P18" s="3140"/>
      <c r="Q18" s="3196"/>
      <c r="R18" s="3197"/>
      <c r="S18" s="1565"/>
      <c r="T18" s="397"/>
      <c r="U18" s="397"/>
    </row>
    <row r="19" spans="1:21" s="60" customFormat="1" ht="18.5" x14ac:dyDescent="0.35">
      <c r="A19" s="3981" t="s">
        <v>2896</v>
      </c>
      <c r="B19" s="3982"/>
      <c r="C19" s="3982"/>
      <c r="D19" s="3982"/>
      <c r="E19" s="3982"/>
      <c r="F19" s="3982"/>
      <c r="G19" s="3045"/>
      <c r="H19" s="3046"/>
      <c r="I19" s="3045"/>
      <c r="J19" s="3046"/>
      <c r="K19" s="3045"/>
      <c r="L19" s="3046"/>
      <c r="M19" s="3045"/>
      <c r="N19" s="3076"/>
      <c r="O19" s="3139"/>
      <c r="P19" s="3140"/>
      <c r="Q19" s="3198"/>
      <c r="R19" s="3199"/>
      <c r="S19" s="463"/>
      <c r="T19" s="64"/>
      <c r="U19" s="64"/>
    </row>
    <row r="20" spans="1:21" s="60" customFormat="1" ht="18.5" x14ac:dyDescent="0.35">
      <c r="A20" s="3968" t="s">
        <v>2884</v>
      </c>
      <c r="B20" s="3969"/>
      <c r="C20" s="3969"/>
      <c r="D20" s="3969"/>
      <c r="E20" s="3969"/>
      <c r="F20" s="3969"/>
      <c r="G20" s="3053"/>
      <c r="H20" s="3054"/>
      <c r="I20" s="3053"/>
      <c r="J20" s="3054"/>
      <c r="K20" s="3053"/>
      <c r="L20" s="3054"/>
      <c r="M20" s="3053"/>
      <c r="N20" s="3079"/>
      <c r="O20" s="3145" t="e">
        <f>AVERAGE(G20,I20,K20,M20)</f>
        <v>#DIV/0!</v>
      </c>
      <c r="P20" s="3146" t="e">
        <f>AVERAGE(H20,J20,L20,N20)</f>
        <v>#DIV/0!</v>
      </c>
      <c r="Q20" s="3200" t="e">
        <f>P20-O20</f>
        <v>#DIV/0!</v>
      </c>
      <c r="R20" s="3027"/>
      <c r="S20" s="463"/>
      <c r="T20" s="64"/>
      <c r="U20" s="64"/>
    </row>
    <row r="21" spans="1:21" s="60" customFormat="1" ht="18.5" x14ac:dyDescent="0.35">
      <c r="A21" s="3968" t="s">
        <v>2885</v>
      </c>
      <c r="B21" s="3969"/>
      <c r="C21" s="3969"/>
      <c r="D21" s="3969"/>
      <c r="E21" s="3969"/>
      <c r="F21" s="3969"/>
      <c r="G21" s="3055"/>
      <c r="H21" s="3056"/>
      <c r="I21" s="3055"/>
      <c r="J21" s="3056"/>
      <c r="K21" s="3055"/>
      <c r="L21" s="3056"/>
      <c r="M21" s="3055"/>
      <c r="N21" s="3080"/>
      <c r="O21" s="3145" t="e">
        <f t="shared" ref="O21:P23" si="7">AVERAGE(G21,I21,K21,M21)</f>
        <v>#DIV/0!</v>
      </c>
      <c r="P21" s="3146" t="e">
        <f t="shared" si="7"/>
        <v>#DIV/0!</v>
      </c>
      <c r="Q21" s="3200" t="e">
        <f t="shared" ref="Q21:Q23" si="8">P21-O21</f>
        <v>#DIV/0!</v>
      </c>
      <c r="R21" s="3027"/>
      <c r="S21" s="64"/>
      <c r="T21" s="64"/>
      <c r="U21" s="64"/>
    </row>
    <row r="22" spans="1:21" s="60" customFormat="1" ht="20.25" customHeight="1" x14ac:dyDescent="0.35">
      <c r="A22" s="3968" t="s">
        <v>2886</v>
      </c>
      <c r="B22" s="3969"/>
      <c r="C22" s="3969"/>
      <c r="D22" s="3969"/>
      <c r="E22" s="3969"/>
      <c r="F22" s="3969"/>
      <c r="G22" s="3055"/>
      <c r="H22" s="3056"/>
      <c r="I22" s="3055"/>
      <c r="J22" s="3056"/>
      <c r="K22" s="3055"/>
      <c r="L22" s="3056"/>
      <c r="M22" s="3055"/>
      <c r="N22" s="3080"/>
      <c r="O22" s="3145" t="e">
        <f t="shared" si="7"/>
        <v>#DIV/0!</v>
      </c>
      <c r="P22" s="3146" t="e">
        <f t="shared" si="7"/>
        <v>#DIV/0!</v>
      </c>
      <c r="Q22" s="3200" t="e">
        <f t="shared" si="8"/>
        <v>#DIV/0!</v>
      </c>
      <c r="R22" s="3027"/>
      <c r="S22" s="64"/>
      <c r="T22" s="64"/>
      <c r="U22" s="64"/>
    </row>
    <row r="23" spans="1:21" s="66" customFormat="1" ht="18.5" x14ac:dyDescent="0.35">
      <c r="A23" s="3968" t="s">
        <v>2887</v>
      </c>
      <c r="B23" s="3969"/>
      <c r="C23" s="3969"/>
      <c r="D23" s="3969"/>
      <c r="E23" s="3969"/>
      <c r="F23" s="3969"/>
      <c r="G23" s="3057"/>
      <c r="H23" s="3058"/>
      <c r="I23" s="3057"/>
      <c r="J23" s="3058"/>
      <c r="K23" s="3057"/>
      <c r="L23" s="3058"/>
      <c r="M23" s="3057"/>
      <c r="N23" s="3081"/>
      <c r="O23" s="3145" t="e">
        <f t="shared" si="7"/>
        <v>#DIV/0!</v>
      </c>
      <c r="P23" s="3146" t="e">
        <f t="shared" si="7"/>
        <v>#DIV/0!</v>
      </c>
      <c r="Q23" s="3200" t="e">
        <f t="shared" si="8"/>
        <v>#DIV/0!</v>
      </c>
      <c r="R23" s="3027"/>
      <c r="S23" s="1565"/>
      <c r="T23" s="397"/>
      <c r="U23" s="397"/>
    </row>
    <row r="24" spans="1:21" s="66" customFormat="1" ht="18.5" x14ac:dyDescent="0.35">
      <c r="A24" s="3958"/>
      <c r="B24" s="3959"/>
      <c r="C24" s="3959"/>
      <c r="D24" s="3959"/>
      <c r="E24" s="3959"/>
      <c r="F24" s="3959"/>
      <c r="G24" s="3045"/>
      <c r="H24" s="3046"/>
      <c r="I24" s="3045"/>
      <c r="J24" s="3046"/>
      <c r="K24" s="3045"/>
      <c r="L24" s="3046"/>
      <c r="M24" s="3045"/>
      <c r="N24" s="3076"/>
      <c r="O24" s="3139"/>
      <c r="P24" s="3140"/>
      <c r="Q24" s="3196"/>
      <c r="R24" s="3197"/>
      <c r="S24" s="1565"/>
      <c r="T24" s="397"/>
      <c r="U24" s="397"/>
    </row>
    <row r="25" spans="1:21" s="60" customFormat="1" ht="18.5" x14ac:dyDescent="0.35">
      <c r="A25" s="4141" t="s">
        <v>2890</v>
      </c>
      <c r="B25" s="4142"/>
      <c r="C25" s="4142"/>
      <c r="D25" s="4142"/>
      <c r="E25" s="4142"/>
      <c r="F25" s="4142"/>
      <c r="G25" s="3045"/>
      <c r="H25" s="3046"/>
      <c r="I25" s="3045"/>
      <c r="J25" s="3046"/>
      <c r="K25" s="3045"/>
      <c r="L25" s="3046"/>
      <c r="M25" s="3045"/>
      <c r="N25" s="3076"/>
      <c r="O25" s="3139"/>
      <c r="P25" s="3140"/>
      <c r="Q25" s="3198"/>
      <c r="R25" s="3027"/>
      <c r="S25" s="463"/>
      <c r="T25" s="64"/>
      <c r="U25" s="64"/>
    </row>
    <row r="26" spans="1:21" s="60" customFormat="1" ht="18.5" x14ac:dyDescent="0.35">
      <c r="A26" s="4135" t="s">
        <v>2491</v>
      </c>
      <c r="B26" s="4136"/>
      <c r="C26" s="4136"/>
      <c r="D26" s="4136"/>
      <c r="E26" s="4136"/>
      <c r="F26" s="4136"/>
      <c r="G26" s="3059"/>
      <c r="H26" s="3060"/>
      <c r="I26" s="3059"/>
      <c r="J26" s="3060"/>
      <c r="K26" s="3059"/>
      <c r="L26" s="3060"/>
      <c r="M26" s="3059"/>
      <c r="N26" s="3082"/>
      <c r="O26" s="3147" t="e">
        <f>AVERAGE(G26,I26,K26,M26)</f>
        <v>#DIV/0!</v>
      </c>
      <c r="P26" s="3148" t="e">
        <f>AVERAGE(H26,J26,L26,N26)</f>
        <v>#DIV/0!</v>
      </c>
      <c r="Q26" s="3201" t="e">
        <f>P26-O26</f>
        <v>#DIV/0!</v>
      </c>
      <c r="R26" s="3199"/>
      <c r="S26" s="64"/>
      <c r="T26" s="64"/>
      <c r="U26" s="64"/>
    </row>
    <row r="27" spans="1:21" s="60" customFormat="1" ht="18.5" x14ac:dyDescent="0.35">
      <c r="A27" s="4148" t="s">
        <v>2492</v>
      </c>
      <c r="B27" s="4149"/>
      <c r="C27" s="4149"/>
      <c r="D27" s="4149"/>
      <c r="E27" s="4149"/>
      <c r="F27" s="4149"/>
      <c r="G27" s="3061"/>
      <c r="H27" s="3062"/>
      <c r="I27" s="3061"/>
      <c r="J27" s="3062"/>
      <c r="K27" s="3061"/>
      <c r="L27" s="3062"/>
      <c r="M27" s="3061"/>
      <c r="N27" s="3083"/>
      <c r="O27" s="3149" t="e">
        <f>AVERAGE(G27,I27,K27,M27)</f>
        <v>#DIV/0!</v>
      </c>
      <c r="P27" s="3150" t="e">
        <f>AVERAGE(H27,J27,L27,N27)</f>
        <v>#DIV/0!</v>
      </c>
      <c r="Q27" s="3202" t="e">
        <f t="shared" ref="Q27" si="9">P27-O27</f>
        <v>#DIV/0!</v>
      </c>
      <c r="R27" s="3197"/>
      <c r="S27" s="64"/>
      <c r="T27" s="64"/>
      <c r="U27" s="64"/>
    </row>
    <row r="28" spans="1:21" s="66" customFormat="1" ht="18.5" x14ac:dyDescent="0.35">
      <c r="A28" s="4145"/>
      <c r="B28" s="4146"/>
      <c r="C28" s="4146"/>
      <c r="D28" s="4146"/>
      <c r="E28" s="4146"/>
      <c r="F28" s="4146"/>
      <c r="G28" s="3045"/>
      <c r="H28" s="3046"/>
      <c r="I28" s="3045"/>
      <c r="J28" s="3046"/>
      <c r="K28" s="3045"/>
      <c r="L28" s="3046"/>
      <c r="M28" s="3045"/>
      <c r="N28" s="3076"/>
      <c r="O28" s="3139"/>
      <c r="P28" s="3140"/>
      <c r="Q28" s="3194"/>
      <c r="R28" s="3203"/>
      <c r="S28" s="1565"/>
      <c r="T28" s="397"/>
      <c r="U28" s="397"/>
    </row>
    <row r="29" spans="1:21" s="60" customFormat="1" ht="18.5" x14ac:dyDescent="0.35">
      <c r="A29" s="4141" t="s">
        <v>2979</v>
      </c>
      <c r="B29" s="4142"/>
      <c r="C29" s="4142"/>
      <c r="D29" s="4142"/>
      <c r="E29" s="4142"/>
      <c r="F29" s="4142"/>
      <c r="G29" s="3045"/>
      <c r="H29" s="3046"/>
      <c r="I29" s="3045"/>
      <c r="J29" s="3046"/>
      <c r="K29" s="3045"/>
      <c r="L29" s="3046"/>
      <c r="M29" s="3045"/>
      <c r="N29" s="3076"/>
      <c r="O29" s="3139"/>
      <c r="P29" s="3140"/>
      <c r="Q29" s="3194"/>
      <c r="R29" s="3203"/>
      <c r="S29" s="463"/>
      <c r="T29" s="64"/>
      <c r="U29" s="64"/>
    </row>
    <row r="30" spans="1:21" s="60" customFormat="1" ht="18.5" x14ac:dyDescent="0.35">
      <c r="A30" s="3182" t="s">
        <v>2902</v>
      </c>
      <c r="B30" s="3183"/>
      <c r="C30" s="3183"/>
      <c r="D30" s="3183"/>
      <c r="E30" s="3183" t="s">
        <v>2903</v>
      </c>
      <c r="F30" s="3187">
        <v>4</v>
      </c>
      <c r="G30" s="3063">
        <f>G13*F30</f>
        <v>0</v>
      </c>
      <c r="H30" s="3188"/>
      <c r="I30" s="3063">
        <f>I13*F30</f>
        <v>0</v>
      </c>
      <c r="J30" s="3188"/>
      <c r="K30" s="3063">
        <f>K13*F30</f>
        <v>0</v>
      </c>
      <c r="L30" s="3188"/>
      <c r="M30" s="3063">
        <f>M13*F30</f>
        <v>0</v>
      </c>
      <c r="N30" s="3167"/>
      <c r="O30" s="3151">
        <f>AVERAGE(G30,I30,K30,M30)</f>
        <v>0</v>
      </c>
      <c r="P30" s="3152"/>
      <c r="Q30" s="3103">
        <f>O30-P30</f>
        <v>0</v>
      </c>
      <c r="R30" s="3034" t="e">
        <f>P30/O30</f>
        <v>#DIV/0!</v>
      </c>
      <c r="S30" s="463"/>
      <c r="T30" s="64"/>
      <c r="U30" s="64"/>
    </row>
    <row r="31" spans="1:21" s="60" customFormat="1" ht="18.5" x14ac:dyDescent="0.35">
      <c r="A31" s="3968" t="s">
        <v>2904</v>
      </c>
      <c r="B31" s="3969"/>
      <c r="C31" s="3969"/>
      <c r="D31" s="3969"/>
      <c r="E31" s="3969"/>
      <c r="F31" s="3969"/>
      <c r="G31" s="3064">
        <f>G9*$F$30</f>
        <v>0</v>
      </c>
      <c r="H31" s="3065"/>
      <c r="I31" s="3064">
        <f>I9*$F$30</f>
        <v>0</v>
      </c>
      <c r="J31" s="3065"/>
      <c r="K31" s="3064">
        <f>K9*$F$30</f>
        <v>0</v>
      </c>
      <c r="L31" s="3065"/>
      <c r="M31" s="3064">
        <f>M9*$F$30</f>
        <v>0</v>
      </c>
      <c r="N31" s="3084"/>
      <c r="O31" s="3153">
        <f>G31+I31+K31+M31</f>
        <v>0</v>
      </c>
      <c r="P31" s="3154">
        <f>H31+J31+L31+N31</f>
        <v>0</v>
      </c>
      <c r="Q31" s="3103">
        <f>P31-O31</f>
        <v>0</v>
      </c>
      <c r="R31" s="3034" t="e">
        <f>P31/O31</f>
        <v>#DIV/0!</v>
      </c>
      <c r="S31" s="463"/>
      <c r="T31" s="64"/>
      <c r="U31" s="64"/>
    </row>
    <row r="32" spans="1:21" s="66" customFormat="1" ht="18.5" x14ac:dyDescent="0.35">
      <c r="A32" s="4145"/>
      <c r="B32" s="4146"/>
      <c r="C32" s="4146"/>
      <c r="D32" s="4146"/>
      <c r="E32" s="4146"/>
      <c r="F32" s="4146"/>
      <c r="G32" s="3045"/>
      <c r="H32" s="3046"/>
      <c r="I32" s="3045"/>
      <c r="J32" s="3046"/>
      <c r="K32" s="3045"/>
      <c r="L32" s="3046"/>
      <c r="M32" s="3045"/>
      <c r="N32" s="3076"/>
      <c r="O32" s="3139"/>
      <c r="P32" s="3140"/>
      <c r="Q32" s="3196"/>
      <c r="R32" s="3197"/>
      <c r="S32" s="1565"/>
      <c r="T32" s="397"/>
      <c r="U32" s="397"/>
    </row>
    <row r="33" spans="1:21" s="66" customFormat="1" ht="18.5" x14ac:dyDescent="0.35">
      <c r="A33" s="3981"/>
      <c r="B33" s="3982"/>
      <c r="C33" s="3982"/>
      <c r="D33" s="3982"/>
      <c r="E33" s="3982"/>
      <c r="F33" s="4147"/>
      <c r="G33" s="3045"/>
      <c r="H33" s="3046"/>
      <c r="I33" s="3045"/>
      <c r="J33" s="3046"/>
      <c r="K33" s="3045"/>
      <c r="L33" s="3046"/>
      <c r="M33" s="3045"/>
      <c r="N33" s="3076"/>
      <c r="O33" s="3139"/>
      <c r="P33" s="3140"/>
      <c r="Q33" s="3196"/>
      <c r="R33" s="3197"/>
      <c r="S33" s="1565"/>
      <c r="T33" s="397"/>
      <c r="U33" s="397"/>
    </row>
    <row r="34" spans="1:21" s="60" customFormat="1" ht="18.5" x14ac:dyDescent="0.35">
      <c r="A34" s="4141" t="s">
        <v>2480</v>
      </c>
      <c r="B34" s="4142"/>
      <c r="C34" s="4142"/>
      <c r="D34" s="4142"/>
      <c r="E34" s="4142"/>
      <c r="F34" s="4142"/>
      <c r="G34" s="3045"/>
      <c r="H34" s="3046"/>
      <c r="I34" s="3045"/>
      <c r="J34" s="3046"/>
      <c r="K34" s="3045"/>
      <c r="L34" s="3046"/>
      <c r="M34" s="3045"/>
      <c r="N34" s="3076"/>
      <c r="O34" s="3139"/>
      <c r="P34" s="3140"/>
      <c r="Q34" s="3104"/>
      <c r="R34" s="3027"/>
      <c r="S34" s="463"/>
      <c r="T34" s="64"/>
      <c r="U34" s="64"/>
    </row>
    <row r="35" spans="1:21" s="60" customFormat="1" ht="18.5" x14ac:dyDescent="0.35">
      <c r="A35" s="4135" t="s">
        <v>2891</v>
      </c>
      <c r="B35" s="4136"/>
      <c r="C35" s="4136"/>
      <c r="D35" s="4136"/>
      <c r="E35" s="4136"/>
      <c r="F35" s="4136"/>
      <c r="G35" s="3238"/>
      <c r="H35" s="3067" t="e">
        <f>H9/G37</f>
        <v>#DIV/0!</v>
      </c>
      <c r="I35" s="3238"/>
      <c r="J35" s="3067" t="e">
        <f>J9/I37</f>
        <v>#DIV/0!</v>
      </c>
      <c r="K35" s="3238"/>
      <c r="L35" s="3067" t="e">
        <f>L9/K37</f>
        <v>#DIV/0!</v>
      </c>
      <c r="M35" s="3238"/>
      <c r="N35" s="3067" t="e">
        <f>N9/M37</f>
        <v>#DIV/0!</v>
      </c>
      <c r="O35" s="3155">
        <f>(G35+I35+K35+M35)/4</f>
        <v>0</v>
      </c>
      <c r="P35" s="3156" t="e">
        <f>AVERAGE(H35:J35:L35:N35)</f>
        <v>#DIV/0!</v>
      </c>
      <c r="Q35" s="3104"/>
      <c r="R35" s="3027"/>
      <c r="S35" s="64"/>
      <c r="T35" s="64"/>
      <c r="U35" s="64"/>
    </row>
    <row r="36" spans="1:21" s="60" customFormat="1" ht="18.5" x14ac:dyDescent="0.35">
      <c r="A36" s="3968" t="s">
        <v>2897</v>
      </c>
      <c r="B36" s="3969"/>
      <c r="C36" s="3969"/>
      <c r="D36" s="3969"/>
      <c r="E36" s="3969"/>
      <c r="F36" s="3969"/>
      <c r="G36" s="3107" t="e">
        <f>G9/G35</f>
        <v>#DIV/0!</v>
      </c>
      <c r="H36" s="3114"/>
      <c r="I36" s="3107" t="e">
        <f>I9/I35</f>
        <v>#DIV/0!</v>
      </c>
      <c r="J36" s="3114"/>
      <c r="K36" s="3107" t="e">
        <f>K9/K35</f>
        <v>#DIV/0!</v>
      </c>
      <c r="L36" s="3114"/>
      <c r="M36" s="3107" t="e">
        <f>M9/M35</f>
        <v>#DIV/0!</v>
      </c>
      <c r="N36" s="3115"/>
      <c r="O36" s="3189" t="e">
        <f>M36</f>
        <v>#DIV/0!</v>
      </c>
      <c r="P36" s="3140">
        <f>H36+J36+L36+N36</f>
        <v>0</v>
      </c>
      <c r="Q36" s="3104"/>
      <c r="R36" s="3027"/>
      <c r="S36" s="64"/>
      <c r="T36" s="64"/>
      <c r="U36" s="64"/>
    </row>
    <row r="37" spans="1:21" s="60" customFormat="1" ht="18.5" x14ac:dyDescent="0.35">
      <c r="A37" s="3968" t="s">
        <v>2908</v>
      </c>
      <c r="B37" s="3969"/>
      <c r="C37" s="3969"/>
      <c r="D37" s="3969"/>
      <c r="E37" s="3969"/>
      <c r="F37" s="3969"/>
      <c r="G37" s="3239"/>
      <c r="H37" s="3106"/>
      <c r="I37" s="3240"/>
      <c r="J37" s="3106"/>
      <c r="K37" s="3240"/>
      <c r="L37" s="3106"/>
      <c r="M37" s="3240"/>
      <c r="N37" s="3108"/>
      <c r="O37" s="3189">
        <f>M37+N37</f>
        <v>0</v>
      </c>
      <c r="P37" s="3140">
        <f>H37+J37+L37+N37</f>
        <v>0</v>
      </c>
      <c r="Q37" s="3104"/>
      <c r="R37" s="3027"/>
      <c r="S37" s="64"/>
      <c r="T37" s="64"/>
      <c r="U37" s="64"/>
    </row>
    <row r="38" spans="1:21" s="60" customFormat="1" ht="18.5" x14ac:dyDescent="0.35">
      <c r="A38" s="3968" t="s">
        <v>2895</v>
      </c>
      <c r="B38" s="3969"/>
      <c r="C38" s="3969"/>
      <c r="D38" s="3969"/>
      <c r="E38" s="3969"/>
      <c r="F38" s="3969"/>
      <c r="G38" s="3109" t="e">
        <f>(G9-(G35*G37))/G35</f>
        <v>#DIV/0!</v>
      </c>
      <c r="H38" s="3110"/>
      <c r="I38" s="3109" t="e">
        <f>(I9-(I35*I37))/I35</f>
        <v>#DIV/0!</v>
      </c>
      <c r="J38" s="3110"/>
      <c r="K38" s="3109" t="e">
        <f>(K9-(K35*K37))/K35</f>
        <v>#DIV/0!</v>
      </c>
      <c r="L38" s="3110"/>
      <c r="M38" s="3109" t="e">
        <f>(M9-(M35*M37))/M35</f>
        <v>#DIV/0!</v>
      </c>
      <c r="N38" s="3111"/>
      <c r="O38" s="3189" t="e">
        <f>O37-O36</f>
        <v>#DIV/0!</v>
      </c>
      <c r="P38" s="3154"/>
      <c r="Q38" s="3104"/>
      <c r="R38" s="3027"/>
      <c r="S38" s="64"/>
      <c r="T38" s="64"/>
      <c r="U38" s="64"/>
    </row>
    <row r="39" spans="1:21" s="66" customFormat="1" ht="18.5" x14ac:dyDescent="0.35">
      <c r="A39" s="4145"/>
      <c r="B39" s="4146"/>
      <c r="C39" s="4146"/>
      <c r="D39" s="4146"/>
      <c r="E39" s="4146"/>
      <c r="F39" s="4146"/>
      <c r="G39" s="3045"/>
      <c r="H39" s="3046"/>
      <c r="I39" s="3045"/>
      <c r="J39" s="3046"/>
      <c r="K39" s="3045"/>
      <c r="L39" s="3046"/>
      <c r="M39" s="3045"/>
      <c r="N39" s="3076"/>
      <c r="O39" s="3139"/>
      <c r="P39" s="3140"/>
      <c r="Q39" s="3104"/>
      <c r="R39" s="3027"/>
      <c r="S39" s="1565"/>
      <c r="T39" s="397"/>
      <c r="U39" s="397"/>
    </row>
    <row r="40" spans="1:21" s="60" customFormat="1" ht="18.75" customHeight="1" x14ac:dyDescent="0.35">
      <c r="A40" s="4143" t="s">
        <v>2493</v>
      </c>
      <c r="B40" s="4144"/>
      <c r="C40" s="4144"/>
      <c r="D40" s="4144"/>
      <c r="E40" s="4144"/>
      <c r="F40" s="4144"/>
      <c r="G40" s="3045"/>
      <c r="H40" s="3046"/>
      <c r="I40" s="3045"/>
      <c r="J40" s="3046"/>
      <c r="K40" s="3045"/>
      <c r="L40" s="3046"/>
      <c r="M40" s="3045"/>
      <c r="N40" s="3076"/>
      <c r="O40" s="3139"/>
      <c r="P40" s="3140"/>
      <c r="Q40" s="3104"/>
      <c r="R40" s="3027"/>
      <c r="S40" s="463"/>
      <c r="T40" s="64"/>
      <c r="U40" s="64"/>
    </row>
    <row r="41" spans="1:21" s="60" customFormat="1" ht="18.75" hidden="1" customHeight="1" x14ac:dyDescent="0.35">
      <c r="A41" s="3955" t="s">
        <v>2494</v>
      </c>
      <c r="B41" s="3956"/>
      <c r="C41" s="3956"/>
      <c r="D41" s="3956"/>
      <c r="E41" s="3956"/>
      <c r="F41" s="3956"/>
      <c r="G41" s="3068"/>
      <c r="H41" s="3069"/>
      <c r="I41" s="3068"/>
      <c r="J41" s="3069"/>
      <c r="K41" s="3068"/>
      <c r="L41" s="3069"/>
      <c r="M41" s="3068"/>
      <c r="N41" s="3085"/>
      <c r="O41" s="3139"/>
      <c r="P41" s="3140"/>
      <c r="Q41" s="3104"/>
      <c r="R41" s="3027"/>
      <c r="S41" s="463"/>
      <c r="T41" s="64"/>
      <c r="U41" s="64"/>
    </row>
    <row r="42" spans="1:21" s="60" customFormat="1" ht="70.5" customHeight="1" x14ac:dyDescent="0.35">
      <c r="A42" s="4139" t="s">
        <v>2939</v>
      </c>
      <c r="B42" s="4140"/>
      <c r="C42" s="4140"/>
      <c r="D42" s="4140"/>
      <c r="E42" s="4140"/>
      <c r="F42" s="4140"/>
      <c r="G42" s="3107" t="e">
        <f>G38</f>
        <v>#DIV/0!</v>
      </c>
      <c r="H42" s="3112"/>
      <c r="I42" s="3107" t="e">
        <f>I38</f>
        <v>#DIV/0!</v>
      </c>
      <c r="J42" s="3112"/>
      <c r="K42" s="3107" t="e">
        <f>K38</f>
        <v>#DIV/0!</v>
      </c>
      <c r="L42" s="3112"/>
      <c r="M42" s="3107" t="e">
        <f>M38</f>
        <v>#DIV/0!</v>
      </c>
      <c r="N42" s="3113"/>
      <c r="O42" s="3139" t="e">
        <f>G42+I42+K42+M42</f>
        <v>#DIV/0!</v>
      </c>
      <c r="P42" s="3140">
        <f>H42+J42+L42+N42</f>
        <v>0</v>
      </c>
      <c r="Q42" s="3104" t="e">
        <f>P42-O42</f>
        <v>#DIV/0!</v>
      </c>
      <c r="R42" s="3027" t="e">
        <f>P42/O42</f>
        <v>#DIV/0!</v>
      </c>
      <c r="S42" s="463"/>
      <c r="T42" s="64"/>
      <c r="U42" s="64"/>
    </row>
    <row r="43" spans="1:21" s="60" customFormat="1" ht="18.5" x14ac:dyDescent="0.35">
      <c r="A43" s="3968" t="s">
        <v>2906</v>
      </c>
      <c r="B43" s="3969"/>
      <c r="C43" s="3969"/>
      <c r="D43" s="3969"/>
      <c r="E43" s="3969"/>
      <c r="F43" s="3969"/>
      <c r="G43" s="3068"/>
      <c r="H43" s="3069"/>
      <c r="I43" s="3068"/>
      <c r="J43" s="3069"/>
      <c r="K43" s="3068"/>
      <c r="L43" s="3069"/>
      <c r="M43" s="3068"/>
      <c r="N43" s="3085"/>
      <c r="O43" s="3139"/>
      <c r="P43" s="3140"/>
      <c r="Q43" s="3104"/>
      <c r="R43" s="3027"/>
      <c r="S43" s="463"/>
      <c r="T43" s="64"/>
      <c r="U43" s="64"/>
    </row>
    <row r="44" spans="1:21" s="66" customFormat="1" ht="18.5" x14ac:dyDescent="0.35">
      <c r="A44" s="3958" t="s">
        <v>2905</v>
      </c>
      <c r="B44" s="3959"/>
      <c r="C44" s="3959"/>
      <c r="D44" s="3959"/>
      <c r="E44" s="3959"/>
      <c r="F44" s="3959"/>
      <c r="G44" s="3068"/>
      <c r="H44" s="3069"/>
      <c r="I44" s="3068"/>
      <c r="J44" s="3069"/>
      <c r="K44" s="3068"/>
      <c r="L44" s="3069"/>
      <c r="M44" s="3068"/>
      <c r="N44" s="3085"/>
      <c r="O44" s="3139"/>
      <c r="P44" s="3140"/>
      <c r="Q44" s="3104"/>
      <c r="R44" s="3027"/>
      <c r="S44" s="1565"/>
      <c r="T44" s="397"/>
      <c r="U44" s="397"/>
    </row>
    <row r="45" spans="1:21" s="60" customFormat="1" ht="18.75" customHeight="1" x14ac:dyDescent="0.35">
      <c r="A45" s="3958" t="s">
        <v>2907</v>
      </c>
      <c r="B45" s="3959"/>
      <c r="C45" s="3959"/>
      <c r="D45" s="3959"/>
      <c r="E45" s="3959"/>
      <c r="F45" s="3959"/>
      <c r="G45" s="3068"/>
      <c r="H45" s="3069"/>
      <c r="I45" s="3068"/>
      <c r="J45" s="3069"/>
      <c r="K45" s="3068"/>
      <c r="L45" s="3069"/>
      <c r="M45" s="3068"/>
      <c r="N45" s="3085"/>
      <c r="O45" s="3139"/>
      <c r="P45" s="3140"/>
      <c r="Q45" s="3104"/>
      <c r="R45" s="3027"/>
      <c r="S45" s="463"/>
      <c r="T45" s="64"/>
      <c r="U45" s="64"/>
    </row>
    <row r="46" spans="1:21" s="60" customFormat="1" ht="18.75" customHeight="1" x14ac:dyDescent="0.35">
      <c r="A46" s="3958" t="s">
        <v>2909</v>
      </c>
      <c r="B46" s="3959"/>
      <c r="C46" s="3959"/>
      <c r="D46" s="3959"/>
      <c r="E46" s="3959"/>
      <c r="F46" s="3959"/>
      <c r="G46" s="3068"/>
      <c r="H46" s="3069"/>
      <c r="I46" s="3068"/>
      <c r="J46" s="3069"/>
      <c r="K46" s="3068"/>
      <c r="L46" s="3069"/>
      <c r="M46" s="3068"/>
      <c r="N46" s="3085"/>
      <c r="O46" s="3139"/>
      <c r="P46" s="3140"/>
      <c r="Q46" s="3104"/>
      <c r="R46" s="3027"/>
      <c r="S46" s="463"/>
      <c r="T46" s="64"/>
      <c r="U46" s="64"/>
    </row>
    <row r="47" spans="1:21" s="60" customFormat="1" ht="18.75" customHeight="1" x14ac:dyDescent="0.35">
      <c r="A47" s="3955"/>
      <c r="B47" s="3956"/>
      <c r="C47" s="3956"/>
      <c r="D47" s="3956"/>
      <c r="E47" s="3956"/>
      <c r="F47" s="3956"/>
      <c r="G47" s="3045"/>
      <c r="H47" s="3046"/>
      <c r="I47" s="3045"/>
      <c r="J47" s="3046"/>
      <c r="K47" s="3045"/>
      <c r="L47" s="3046"/>
      <c r="M47" s="3045"/>
      <c r="N47" s="3076"/>
      <c r="O47" s="3139"/>
      <c r="P47" s="3140"/>
      <c r="Q47" s="3104"/>
      <c r="R47" s="3027"/>
      <c r="S47" s="463"/>
      <c r="T47" s="64"/>
      <c r="U47" s="64"/>
    </row>
    <row r="48" spans="1:21" s="66" customFormat="1" ht="18.5" x14ac:dyDescent="0.35">
      <c r="A48" s="3958"/>
      <c r="B48" s="3959"/>
      <c r="C48" s="3959"/>
      <c r="D48" s="3959"/>
      <c r="E48" s="3959"/>
      <c r="F48" s="3959"/>
      <c r="G48" s="3045"/>
      <c r="H48" s="3046"/>
      <c r="I48" s="3045"/>
      <c r="J48" s="3046"/>
      <c r="K48" s="3045"/>
      <c r="L48" s="3046"/>
      <c r="M48" s="3045"/>
      <c r="N48" s="3076"/>
      <c r="O48" s="3139"/>
      <c r="P48" s="3140"/>
      <c r="Q48" s="3104"/>
      <c r="R48" s="3027"/>
      <c r="S48" s="1565"/>
      <c r="T48" s="397"/>
      <c r="U48" s="397"/>
    </row>
    <row r="49" spans="1:21" s="60" customFormat="1" ht="18.5" x14ac:dyDescent="0.35">
      <c r="A49" s="4141"/>
      <c r="B49" s="4142"/>
      <c r="C49" s="4142"/>
      <c r="D49" s="4142"/>
      <c r="E49" s="4142"/>
      <c r="F49" s="4142"/>
      <c r="G49" s="3068"/>
      <c r="H49" s="3069"/>
      <c r="I49" s="3068"/>
      <c r="J49" s="3069"/>
      <c r="K49" s="3068"/>
      <c r="L49" s="3069"/>
      <c r="M49" s="3068"/>
      <c r="N49" s="3085"/>
      <c r="O49" s="3139"/>
      <c r="P49" s="3140"/>
      <c r="Q49" s="3104"/>
      <c r="R49" s="3027"/>
      <c r="S49" s="64"/>
      <c r="T49" s="64"/>
      <c r="U49" s="64"/>
    </row>
    <row r="50" spans="1:21" s="60" customFormat="1" ht="18.75" customHeight="1" x14ac:dyDescent="0.35">
      <c r="A50" s="3968"/>
      <c r="B50" s="3969"/>
      <c r="C50" s="3969"/>
      <c r="D50" s="3969"/>
      <c r="E50" s="3969"/>
      <c r="F50" s="3969"/>
      <c r="G50" s="3068"/>
      <c r="H50" s="3069"/>
      <c r="I50" s="3068"/>
      <c r="J50" s="3069"/>
      <c r="K50" s="3068"/>
      <c r="L50" s="3069"/>
      <c r="M50" s="3068"/>
      <c r="N50" s="3085"/>
      <c r="O50" s="3139"/>
      <c r="P50" s="3140"/>
      <c r="Q50" s="3104"/>
      <c r="R50" s="3027"/>
      <c r="S50" s="463"/>
      <c r="T50" s="64"/>
      <c r="U50" s="64"/>
    </row>
    <row r="51" spans="1:21" s="60" customFormat="1" ht="18.5" x14ac:dyDescent="0.35">
      <c r="A51" s="4135"/>
      <c r="B51" s="4136"/>
      <c r="C51" s="4136"/>
      <c r="D51" s="4136"/>
      <c r="E51" s="4136"/>
      <c r="F51" s="4136"/>
      <c r="G51" s="3068"/>
      <c r="H51" s="3069"/>
      <c r="I51" s="3068"/>
      <c r="J51" s="3069"/>
      <c r="K51" s="3068"/>
      <c r="L51" s="3069"/>
      <c r="M51" s="3068"/>
      <c r="N51" s="3085"/>
      <c r="O51" s="3139"/>
      <c r="P51" s="3140"/>
      <c r="Q51" s="3104"/>
      <c r="R51" s="3027"/>
      <c r="S51" s="64"/>
      <c r="T51" s="64"/>
      <c r="U51" s="64"/>
    </row>
    <row r="52" spans="1:21" s="60" customFormat="1" ht="18.75" customHeight="1" x14ac:dyDescent="0.35">
      <c r="A52" s="3968"/>
      <c r="B52" s="3969"/>
      <c r="C52" s="3969"/>
      <c r="D52" s="3969"/>
      <c r="E52" s="3969"/>
      <c r="F52" s="3969"/>
      <c r="G52" s="3068"/>
      <c r="H52" s="3069"/>
      <c r="I52" s="3068"/>
      <c r="J52" s="3069"/>
      <c r="K52" s="3068"/>
      <c r="L52" s="3069"/>
      <c r="M52" s="3068"/>
      <c r="N52" s="3085"/>
      <c r="O52" s="3139"/>
      <c r="P52" s="3140"/>
      <c r="Q52" s="3104"/>
      <c r="R52" s="3027"/>
      <c r="S52" s="463"/>
      <c r="T52" s="64"/>
      <c r="U52" s="64"/>
    </row>
    <row r="53" spans="1:21" s="60" customFormat="1" ht="18.5" x14ac:dyDescent="0.35">
      <c r="A53" s="4135"/>
      <c r="B53" s="4136"/>
      <c r="C53" s="4136"/>
      <c r="D53" s="4136"/>
      <c r="E53" s="4136"/>
      <c r="F53" s="4136"/>
      <c r="G53" s="3068"/>
      <c r="H53" s="3046"/>
      <c r="I53" s="3068"/>
      <c r="J53" s="3046"/>
      <c r="K53" s="3068"/>
      <c r="L53" s="3046"/>
      <c r="M53" s="3068"/>
      <c r="N53" s="3076"/>
      <c r="O53" s="3139"/>
      <c r="P53" s="3140"/>
      <c r="Q53" s="3104"/>
      <c r="R53" s="3027"/>
      <c r="S53" s="64"/>
      <c r="T53" s="64"/>
      <c r="U53" s="64"/>
    </row>
    <row r="54" spans="1:21" s="60" customFormat="1" ht="19" thickBot="1" x14ac:dyDescent="0.4">
      <c r="A54" s="4137"/>
      <c r="B54" s="4138"/>
      <c r="C54" s="4138"/>
      <c r="D54" s="4138"/>
      <c r="E54" s="4138"/>
      <c r="F54" s="4138"/>
      <c r="G54" s="3071"/>
      <c r="H54" s="3072"/>
      <c r="I54" s="3071"/>
      <c r="J54" s="3072"/>
      <c r="K54" s="3071"/>
      <c r="L54" s="3072"/>
      <c r="M54" s="3071"/>
      <c r="N54" s="3086"/>
      <c r="O54" s="3157"/>
      <c r="P54" s="3158"/>
      <c r="Q54" s="3204"/>
      <c r="R54" s="3205"/>
      <c r="S54" s="64"/>
      <c r="T54" s="64"/>
      <c r="U54" s="64"/>
    </row>
    <row r="55" spans="1:21" ht="15" thickTop="1" x14ac:dyDescent="0.35"/>
  </sheetData>
  <mergeCells count="61">
    <mergeCell ref="K6:L6"/>
    <mergeCell ref="M6:N6"/>
    <mergeCell ref="O6:P6"/>
    <mergeCell ref="Q6:R6"/>
    <mergeCell ref="A11:F11"/>
    <mergeCell ref="A9:F9"/>
    <mergeCell ref="A10:F10"/>
    <mergeCell ref="A6:F7"/>
    <mergeCell ref="G6:H6"/>
    <mergeCell ref="I6:J6"/>
    <mergeCell ref="A12:F12"/>
    <mergeCell ref="A13:F13"/>
    <mergeCell ref="A15:F15"/>
    <mergeCell ref="A16:F16"/>
    <mergeCell ref="A17:F17"/>
    <mergeCell ref="A14:F14"/>
    <mergeCell ref="A18:F18"/>
    <mergeCell ref="A19:F19"/>
    <mergeCell ref="A28:F28"/>
    <mergeCell ref="A20:F20"/>
    <mergeCell ref="A21:F21"/>
    <mergeCell ref="A22:F22"/>
    <mergeCell ref="A23:F23"/>
    <mergeCell ref="A26:F26"/>
    <mergeCell ref="A27:F27"/>
    <mergeCell ref="A24:F24"/>
    <mergeCell ref="A25:F25"/>
    <mergeCell ref="A29:F29"/>
    <mergeCell ref="A31:F31"/>
    <mergeCell ref="A40:F40"/>
    <mergeCell ref="A34:F34"/>
    <mergeCell ref="A37:F37"/>
    <mergeCell ref="A38:F38"/>
    <mergeCell ref="A39:F39"/>
    <mergeCell ref="A35:F35"/>
    <mergeCell ref="A32:F32"/>
    <mergeCell ref="A33:F33"/>
    <mergeCell ref="A36:F36"/>
    <mergeCell ref="A51:F51"/>
    <mergeCell ref="A52:F52"/>
    <mergeCell ref="A53:F53"/>
    <mergeCell ref="A54:F54"/>
    <mergeCell ref="D3:G3"/>
    <mergeCell ref="A4:G4"/>
    <mergeCell ref="A41:F41"/>
    <mergeCell ref="A42:F42"/>
    <mergeCell ref="A43:F43"/>
    <mergeCell ref="A50:F50"/>
    <mergeCell ref="A44:F44"/>
    <mergeCell ref="A45:F45"/>
    <mergeCell ref="A46:F46"/>
    <mergeCell ref="A47:F47"/>
    <mergeCell ref="A48:F48"/>
    <mergeCell ref="A49:F49"/>
    <mergeCell ref="H4:P4"/>
    <mergeCell ref="D1:G1"/>
    <mergeCell ref="I1:J1"/>
    <mergeCell ref="L1:M1"/>
    <mergeCell ref="D2:G2"/>
    <mergeCell ref="I2:J2"/>
    <mergeCell ref="L2:M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disablePrompts="1" count="1">
    <dataValidation type="list" allowBlank="1" showInputMessage="1" showErrorMessage="1" sqref="I2" xr:uid="{00000000-0002-0000-0F00-000000000000}">
      <formula1>AvancementTheme</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59999389629810485"/>
  </sheetPr>
  <dimension ref="A1:V86"/>
  <sheetViews>
    <sheetView showGridLines="0" topLeftCell="A4" zoomScale="80" zoomScaleNormal="80" workbookViewId="0"/>
  </sheetViews>
  <sheetFormatPr baseColWidth="10" defaultRowHeight="14.5" x14ac:dyDescent="0.35"/>
  <cols>
    <col min="5" max="5" width="14.81640625" customWidth="1"/>
    <col min="6" max="6" width="18.81640625" customWidth="1"/>
    <col min="7" max="7" width="12.453125" bestFit="1" customWidth="1"/>
    <col min="9" max="9" width="12.453125" bestFit="1" customWidth="1"/>
    <col min="10" max="10" width="13.26953125" bestFit="1" customWidth="1"/>
    <col min="11" max="11" width="12.453125" bestFit="1" customWidth="1"/>
    <col min="12" max="12" width="13.26953125" bestFit="1" customWidth="1"/>
    <col min="13" max="13" width="12.453125" bestFit="1" customWidth="1"/>
    <col min="14" max="14" width="13.26953125" bestFit="1" customWidth="1"/>
    <col min="15" max="15" width="15.1796875" customWidth="1"/>
    <col min="16" max="16" width="15.7265625" customWidth="1"/>
    <col min="17" max="17" width="15.81640625" style="3026" customWidth="1"/>
    <col min="18" max="18" width="11.453125" style="3026"/>
  </cols>
  <sheetData>
    <row r="1" spans="1:22" s="1720" customFormat="1" ht="15" customHeight="1" x14ac:dyDescent="0.35">
      <c r="A1" s="3021"/>
      <c r="B1" s="3021"/>
      <c r="C1" s="3021"/>
      <c r="D1" s="4096" t="s">
        <v>5</v>
      </c>
      <c r="E1" s="4096"/>
      <c r="F1" s="4096"/>
      <c r="G1" s="4096"/>
      <c r="H1" s="1717"/>
      <c r="I1" s="4096" t="s">
        <v>6</v>
      </c>
      <c r="J1" s="4096"/>
      <c r="K1" s="3021"/>
      <c r="L1" s="4096" t="s">
        <v>9</v>
      </c>
      <c r="M1" s="4096"/>
      <c r="N1" s="3021"/>
      <c r="O1" s="1718"/>
      <c r="P1" s="1718"/>
      <c r="Q1" s="1718"/>
      <c r="R1" s="1718"/>
      <c r="S1" s="1719"/>
      <c r="T1" s="1719"/>
    </row>
    <row r="2" spans="1:22" s="1725" customFormat="1" ht="18" customHeight="1" x14ac:dyDescent="0.35">
      <c r="A2" s="1721"/>
      <c r="B2" s="1721"/>
      <c r="C2" s="1721"/>
      <c r="D2" s="4099" t="str">
        <f>NomClient</f>
        <v xml:space="preserve">EQUINIX </v>
      </c>
      <c r="E2" s="4100"/>
      <c r="F2" s="4100"/>
      <c r="G2" s="4101"/>
      <c r="H2" s="1721"/>
      <c r="I2" s="4102" t="s">
        <v>407</v>
      </c>
      <c r="J2" s="4103"/>
      <c r="K2" s="1721"/>
      <c r="L2" s="3347">
        <v>42534.898472222223</v>
      </c>
      <c r="M2" s="3348"/>
      <c r="N2" s="1722"/>
      <c r="O2" s="1718"/>
      <c r="P2" s="1718"/>
      <c r="Q2" s="1718"/>
      <c r="R2" s="1718"/>
      <c r="S2" s="1724"/>
      <c r="T2" s="1724"/>
    </row>
    <row r="3" spans="1:22" s="60" customFormat="1" ht="9.75" customHeight="1" thickBot="1" x14ac:dyDescent="0.4">
      <c r="A3" s="396"/>
      <c r="B3" s="396"/>
      <c r="C3" s="396"/>
      <c r="D3" s="3696" t="s">
        <v>1792</v>
      </c>
      <c r="E3" s="3696"/>
      <c r="F3" s="3696"/>
      <c r="G3" s="3696"/>
      <c r="H3" s="1960"/>
      <c r="I3" s="1960"/>
      <c r="J3" s="1960"/>
      <c r="K3" s="396"/>
      <c r="L3" s="396"/>
      <c r="M3" s="396"/>
      <c r="N3" s="396"/>
      <c r="O3" s="1718"/>
      <c r="P3" s="1718"/>
      <c r="Q3" s="1718"/>
      <c r="R3" s="1718"/>
      <c r="S3" s="64"/>
      <c r="T3" s="64"/>
      <c r="U3" s="64"/>
      <c r="V3" s="64"/>
    </row>
    <row r="4" spans="1:22" s="1729" customFormat="1" ht="31.5" customHeight="1" thickBot="1" x14ac:dyDescent="0.4">
      <c r="A4" s="4104" t="str">
        <f>Parametre!B24  &amp; "  : "</f>
        <v xml:space="preserve">Vision, Attente &amp; Stratégie  : </v>
      </c>
      <c r="B4" s="4104"/>
      <c r="C4" s="4104"/>
      <c r="D4" s="4104"/>
      <c r="E4" s="4104"/>
      <c r="F4" s="4104"/>
      <c r="G4" s="4104"/>
      <c r="H4" s="4167" t="s">
        <v>2910</v>
      </c>
      <c r="I4" s="4167"/>
      <c r="J4" s="4167"/>
      <c r="K4" s="4167"/>
      <c r="L4" s="4167"/>
      <c r="M4" s="4167"/>
      <c r="N4" s="4167"/>
      <c r="O4" s="4167"/>
      <c r="P4" s="4167"/>
      <c r="Q4" s="4167"/>
      <c r="R4" s="4167"/>
      <c r="S4" s="1728"/>
      <c r="T4" s="1728"/>
    </row>
    <row r="5" spans="1:22" ht="8.25" customHeight="1" thickBot="1" x14ac:dyDescent="0.4"/>
    <row r="6" spans="1:22" s="62" customFormat="1" ht="21.75" customHeight="1" thickTop="1" x14ac:dyDescent="0.35">
      <c r="A6" s="4022" t="s">
        <v>524</v>
      </c>
      <c r="B6" s="4023"/>
      <c r="C6" s="4023"/>
      <c r="D6" s="4023"/>
      <c r="E6" s="4023"/>
      <c r="F6" s="4024"/>
      <c r="G6" s="4152" t="s">
        <v>2481</v>
      </c>
      <c r="H6" s="4153"/>
      <c r="I6" s="4152" t="s">
        <v>2482</v>
      </c>
      <c r="J6" s="4153"/>
      <c r="K6" s="4152" t="s">
        <v>2483</v>
      </c>
      <c r="L6" s="4153"/>
      <c r="M6" s="4152" t="s">
        <v>2484</v>
      </c>
      <c r="N6" s="4154"/>
      <c r="O6" s="4155" t="s">
        <v>2924</v>
      </c>
      <c r="P6" s="4156"/>
      <c r="Q6" s="4157" t="s">
        <v>1696</v>
      </c>
      <c r="R6" s="4158"/>
      <c r="S6" s="462"/>
      <c r="T6" s="462"/>
      <c r="U6" s="462"/>
    </row>
    <row r="7" spans="1:22" s="62" customFormat="1" ht="21.5" thickBot="1" x14ac:dyDescent="0.4">
      <c r="A7" s="4025"/>
      <c r="B7" s="4026"/>
      <c r="C7" s="4026"/>
      <c r="D7" s="4026"/>
      <c r="E7" s="4026"/>
      <c r="F7" s="4027"/>
      <c r="G7" s="3039" t="s">
        <v>2892</v>
      </c>
      <c r="H7" s="3040" t="s">
        <v>2485</v>
      </c>
      <c r="I7" s="3039" t="s">
        <v>2892</v>
      </c>
      <c r="J7" s="3040" t="s">
        <v>2485</v>
      </c>
      <c r="K7" s="3039" t="s">
        <v>2892</v>
      </c>
      <c r="L7" s="3040" t="s">
        <v>2485</v>
      </c>
      <c r="M7" s="3039" t="s">
        <v>2892</v>
      </c>
      <c r="N7" s="3073" t="s">
        <v>2485</v>
      </c>
      <c r="O7" s="3133" t="s">
        <v>2892</v>
      </c>
      <c r="P7" s="3134" t="s">
        <v>2485</v>
      </c>
      <c r="Q7" s="3087" t="s">
        <v>1010</v>
      </c>
      <c r="R7" s="3088" t="s">
        <v>2883</v>
      </c>
      <c r="S7" s="462"/>
      <c r="T7" s="462"/>
      <c r="U7" s="462"/>
    </row>
    <row r="8" spans="1:22" x14ac:dyDescent="0.35">
      <c r="A8" s="3036"/>
      <c r="B8" s="3037"/>
      <c r="C8" s="3037"/>
      <c r="D8" s="3037"/>
      <c r="E8" s="3037"/>
      <c r="F8" s="3037"/>
      <c r="G8" s="3041"/>
      <c r="H8" s="3042"/>
      <c r="I8" s="3041"/>
      <c r="J8" s="3042"/>
      <c r="K8" s="3041"/>
      <c r="L8" s="3042"/>
      <c r="M8" s="3041"/>
      <c r="N8" s="3074"/>
      <c r="O8" s="3135"/>
      <c r="P8" s="3136"/>
      <c r="Q8" s="3089"/>
      <c r="R8" s="3038"/>
    </row>
    <row r="9" spans="1:22" s="60" customFormat="1" ht="18.5" hidden="1" x14ac:dyDescent="0.35">
      <c r="A9" s="3981" t="s">
        <v>2486</v>
      </c>
      <c r="B9" s="3982"/>
      <c r="C9" s="3982"/>
      <c r="D9" s="3982"/>
      <c r="E9" s="3982"/>
      <c r="F9" s="3982"/>
      <c r="G9" s="3043">
        <v>3</v>
      </c>
      <c r="H9" s="3044">
        <v>2</v>
      </c>
      <c r="I9" s="3043">
        <v>5</v>
      </c>
      <c r="J9" s="3044">
        <v>3</v>
      </c>
      <c r="K9" s="3043">
        <v>5</v>
      </c>
      <c r="L9" s="3044">
        <v>4</v>
      </c>
      <c r="M9" s="3043">
        <v>7</v>
      </c>
      <c r="N9" s="3075">
        <v>7</v>
      </c>
      <c r="O9" s="3162">
        <f>G9+I9+K9+M9</f>
        <v>20</v>
      </c>
      <c r="P9" s="3138">
        <f>H9+J9+L9+N9</f>
        <v>16</v>
      </c>
      <c r="Q9" s="3090">
        <f>P9-O9</f>
        <v>-4</v>
      </c>
      <c r="R9" s="3091">
        <f>P9/O9</f>
        <v>0.8</v>
      </c>
      <c r="S9" s="463"/>
      <c r="T9" s="64"/>
      <c r="U9" s="64"/>
    </row>
    <row r="10" spans="1:22" s="66" customFormat="1" ht="18.5" hidden="1" x14ac:dyDescent="0.35">
      <c r="A10" s="4150"/>
      <c r="B10" s="4151"/>
      <c r="C10" s="4151"/>
      <c r="D10" s="4151"/>
      <c r="E10" s="4151"/>
      <c r="F10" s="4151"/>
      <c r="G10" s="3045"/>
      <c r="H10" s="3046"/>
      <c r="I10" s="3045"/>
      <c r="J10" s="3046"/>
      <c r="K10" s="3045"/>
      <c r="L10" s="3046"/>
      <c r="M10" s="3045"/>
      <c r="N10" s="3076"/>
      <c r="O10" s="3163"/>
      <c r="P10" s="3140"/>
      <c r="Q10" s="3092"/>
      <c r="R10" s="3070"/>
      <c r="S10" s="1565"/>
      <c r="T10" s="397"/>
      <c r="U10" s="397"/>
    </row>
    <row r="11" spans="1:22" s="60" customFormat="1" ht="18.5" hidden="1" x14ac:dyDescent="0.35">
      <c r="A11" s="4159" t="s">
        <v>2900</v>
      </c>
      <c r="B11" s="4160"/>
      <c r="C11" s="4160"/>
      <c r="D11" s="4160"/>
      <c r="E11" s="4160"/>
      <c r="F11" s="4160"/>
      <c r="G11" s="3047">
        <f>'SALESPLAN 3Y'!H38</f>
        <v>277760</v>
      </c>
      <c r="H11" s="3132">
        <f>H13/H9</f>
        <v>290000</v>
      </c>
      <c r="I11" s="3047">
        <f>'SALESPLAN 3Y'!H38</f>
        <v>277760</v>
      </c>
      <c r="J11" s="3132">
        <f>J13/J9</f>
        <v>250000</v>
      </c>
      <c r="K11" s="3047">
        <f>'SALESPLAN 3Y'!H38</f>
        <v>277760</v>
      </c>
      <c r="L11" s="3132">
        <f>L13/L9</f>
        <v>307500</v>
      </c>
      <c r="M11" s="3047">
        <f>'SALESPLAN 3Y'!H38</f>
        <v>277760</v>
      </c>
      <c r="N11" s="3075">
        <f>N13/N9</f>
        <v>277714.28571428574</v>
      </c>
      <c r="O11" s="3162">
        <f>AVERAGE(G11,I11,K11,M11)</f>
        <v>277760</v>
      </c>
      <c r="P11" s="3138">
        <f>AVERAGE(H11,J11,L11,N11)</f>
        <v>281303.57142857142</v>
      </c>
      <c r="Q11" s="3093">
        <f>P11-O11</f>
        <v>3543.5714285714203</v>
      </c>
      <c r="R11" s="3094">
        <f>P11/O11</f>
        <v>1.0127576736339696</v>
      </c>
      <c r="S11" s="463"/>
      <c r="T11" s="64"/>
      <c r="U11" s="64"/>
    </row>
    <row r="12" spans="1:22" s="66" customFormat="1" ht="18.5" hidden="1" x14ac:dyDescent="0.35">
      <c r="A12" s="4145"/>
      <c r="B12" s="4146"/>
      <c r="C12" s="4146"/>
      <c r="D12" s="4146"/>
      <c r="E12" s="4146"/>
      <c r="F12" s="4146"/>
      <c r="G12" s="3048"/>
      <c r="H12" s="3046"/>
      <c r="I12" s="3048"/>
      <c r="J12" s="3046"/>
      <c r="K12" s="3048"/>
      <c r="L12" s="3046"/>
      <c r="M12" s="3048"/>
      <c r="N12" s="3167"/>
      <c r="O12" s="3168"/>
      <c r="P12" s="3152"/>
      <c r="Q12" s="3102"/>
      <c r="R12" s="3169"/>
      <c r="S12" s="1565"/>
      <c r="T12" s="397"/>
      <c r="U12" s="397"/>
    </row>
    <row r="13" spans="1:22" s="60" customFormat="1" ht="18.5" hidden="1" x14ac:dyDescent="0.35">
      <c r="A13" s="3981" t="s">
        <v>2901</v>
      </c>
      <c r="B13" s="3982"/>
      <c r="C13" s="3982"/>
      <c r="D13" s="3982"/>
      <c r="E13" s="3982"/>
      <c r="F13" s="3982"/>
      <c r="G13" s="3170">
        <f>G9*G11</f>
        <v>833280</v>
      </c>
      <c r="H13" s="3171">
        <f>SUM(H14:H15)</f>
        <v>580000</v>
      </c>
      <c r="I13" s="3170">
        <f>I9*I11</f>
        <v>1388800</v>
      </c>
      <c r="J13" s="3171">
        <f>SUM(J14:J15)</f>
        <v>750000</v>
      </c>
      <c r="K13" s="3170">
        <f>K9*K11</f>
        <v>1388800</v>
      </c>
      <c r="L13" s="3171">
        <f>SUM(L14:L15)</f>
        <v>1230000</v>
      </c>
      <c r="M13" s="3170">
        <f>M9*M11</f>
        <v>1944320</v>
      </c>
      <c r="N13" s="3172">
        <f>SUM(N14:N15)</f>
        <v>1944000</v>
      </c>
      <c r="O13" s="3173">
        <f>G13+I13+K13+M13</f>
        <v>5555200</v>
      </c>
      <c r="P13" s="3174">
        <f>H13+J13+L13+N13</f>
        <v>4504000</v>
      </c>
      <c r="Q13" s="3090">
        <f>P13-O13</f>
        <v>-1051200</v>
      </c>
      <c r="R13" s="3091">
        <f>P13/O13</f>
        <v>0.81077188940092171</v>
      </c>
      <c r="S13" s="463"/>
      <c r="T13" s="64"/>
      <c r="U13" s="64"/>
    </row>
    <row r="14" spans="1:22" s="60" customFormat="1" ht="18.5" hidden="1" x14ac:dyDescent="0.35">
      <c r="A14" s="3958" t="s">
        <v>2490</v>
      </c>
      <c r="B14" s="3959"/>
      <c r="C14" s="3959"/>
      <c r="D14" s="3959"/>
      <c r="E14" s="3959"/>
      <c r="F14" s="3959"/>
      <c r="G14" s="3049">
        <f>G9*BUSINESSCARD!I46</f>
        <v>261583.19999999998</v>
      </c>
      <c r="H14" s="3050">
        <v>180000</v>
      </c>
      <c r="I14" s="3049">
        <f>I9*BUSINESSCARD!$I$46</f>
        <v>435972</v>
      </c>
      <c r="J14" s="3050">
        <v>250000</v>
      </c>
      <c r="K14" s="3049">
        <f>K9*BUSINESSCARD!$I$46</f>
        <v>435972</v>
      </c>
      <c r="L14" s="3050">
        <v>380000</v>
      </c>
      <c r="M14" s="3049">
        <f>M9*BUSINESSCARD!$I$46</f>
        <v>610360.79999999993</v>
      </c>
      <c r="N14" s="3077">
        <v>584000</v>
      </c>
      <c r="O14" s="3164">
        <f t="shared" ref="O14:P17" si="0">G14+I14+K14+M14</f>
        <v>1743888</v>
      </c>
      <c r="P14" s="3143">
        <f t="shared" si="0"/>
        <v>1394000</v>
      </c>
      <c r="Q14" s="3097">
        <f>P14-O14</f>
        <v>-349888</v>
      </c>
      <c r="R14" s="3096">
        <f t="shared" ref="R14:R17" si="1">P14/O14</f>
        <v>0.79936326186085349</v>
      </c>
      <c r="S14" s="463"/>
      <c r="T14" s="64"/>
      <c r="U14" s="64"/>
    </row>
    <row r="15" spans="1:22" s="60" customFormat="1" ht="18.5" hidden="1" x14ac:dyDescent="0.35">
      <c r="A15" s="4150" t="s">
        <v>2487</v>
      </c>
      <c r="B15" s="4151"/>
      <c r="C15" s="4151"/>
      <c r="D15" s="4151"/>
      <c r="E15" s="4151"/>
      <c r="F15" s="4151"/>
      <c r="G15" s="3049">
        <f>G13*BUSINESSCARD!$K$47</f>
        <v>571696.80000000005</v>
      </c>
      <c r="H15" s="3050">
        <v>400000</v>
      </c>
      <c r="I15" s="3049">
        <f>I13*BUSINESSCARD!$K$47</f>
        <v>952828</v>
      </c>
      <c r="J15" s="3050">
        <v>500000</v>
      </c>
      <c r="K15" s="3049">
        <f>K13*BUSINESSCARD!$K$47</f>
        <v>952828</v>
      </c>
      <c r="L15" s="3050">
        <v>850000</v>
      </c>
      <c r="M15" s="3049">
        <f>M13*BUSINESSCARD!$K$47</f>
        <v>1333959.2</v>
      </c>
      <c r="N15" s="3077">
        <v>1360000</v>
      </c>
      <c r="O15" s="3164">
        <f t="shared" si="0"/>
        <v>3811312</v>
      </c>
      <c r="P15" s="3143">
        <f t="shared" si="0"/>
        <v>3110000</v>
      </c>
      <c r="Q15" s="3097">
        <f t="shared" ref="Q15:Q17" si="2">P15-O15</f>
        <v>-701312</v>
      </c>
      <c r="R15" s="3096">
        <f t="shared" si="1"/>
        <v>0.81599197336770124</v>
      </c>
      <c r="S15" s="463"/>
      <c r="T15" s="64"/>
      <c r="U15" s="64"/>
    </row>
    <row r="16" spans="1:22" s="60" customFormat="1" ht="18.5" hidden="1" x14ac:dyDescent="0.35">
      <c r="A16" s="3958" t="s">
        <v>2488</v>
      </c>
      <c r="B16" s="3959"/>
      <c r="C16" s="3959"/>
      <c r="D16" s="3959"/>
      <c r="E16" s="3959"/>
      <c r="F16" s="3959"/>
      <c r="G16" s="3175">
        <f>G13*BUSINESSCARD!$M$43</f>
        <v>555000</v>
      </c>
      <c r="H16" s="3176">
        <v>375000</v>
      </c>
      <c r="I16" s="3175">
        <f>I13*BUSINESSCARD!$M$43</f>
        <v>925000.00000000012</v>
      </c>
      <c r="J16" s="3176">
        <v>450000</v>
      </c>
      <c r="K16" s="3175">
        <f>K13*BUSINESSCARD!$M$43</f>
        <v>925000.00000000012</v>
      </c>
      <c r="L16" s="3176">
        <v>800000</v>
      </c>
      <c r="M16" s="3175">
        <f>M13*BUSINESSCARD!$M$43</f>
        <v>1295000</v>
      </c>
      <c r="N16" s="3177">
        <v>1280000</v>
      </c>
      <c r="O16" s="3178">
        <f t="shared" si="0"/>
        <v>3700000</v>
      </c>
      <c r="P16" s="3179">
        <f t="shared" si="0"/>
        <v>2905000</v>
      </c>
      <c r="Q16" s="3180">
        <f t="shared" si="2"/>
        <v>-795000</v>
      </c>
      <c r="R16" s="3181">
        <f t="shared" si="1"/>
        <v>0.78513513513513511</v>
      </c>
      <c r="S16" s="463"/>
      <c r="T16" s="64"/>
      <c r="U16" s="64"/>
    </row>
    <row r="17" spans="1:21" s="60" customFormat="1" ht="18.5" hidden="1" x14ac:dyDescent="0.35">
      <c r="A17" s="3958" t="s">
        <v>2489</v>
      </c>
      <c r="B17" s="3959"/>
      <c r="C17" s="3959"/>
      <c r="D17" s="3959"/>
      <c r="E17" s="3959"/>
      <c r="F17" s="3959"/>
      <c r="G17" s="3051">
        <f>G13*BUSINESSCARD!$M$25</f>
        <v>16696.800000000003</v>
      </c>
      <c r="H17" s="3052">
        <v>25000</v>
      </c>
      <c r="I17" s="3051">
        <f>I13*BUSINESSCARD!$M$25</f>
        <v>27828.000000000004</v>
      </c>
      <c r="J17" s="3052">
        <v>50000</v>
      </c>
      <c r="K17" s="3051">
        <f>K13*BUSINESSCARD!$M$25</f>
        <v>27828.000000000004</v>
      </c>
      <c r="L17" s="3052">
        <v>50000</v>
      </c>
      <c r="M17" s="3051">
        <f>M13*BUSINESSCARD!$M$25</f>
        <v>38959.200000000004</v>
      </c>
      <c r="N17" s="3078">
        <v>60000</v>
      </c>
      <c r="O17" s="3165">
        <f t="shared" si="0"/>
        <v>111312</v>
      </c>
      <c r="P17" s="3144">
        <f t="shared" si="0"/>
        <v>185000</v>
      </c>
      <c r="Q17" s="3098">
        <f t="shared" si="2"/>
        <v>73688</v>
      </c>
      <c r="R17" s="3099">
        <f t="shared" si="1"/>
        <v>1.6619951128359924</v>
      </c>
      <c r="S17" s="463"/>
      <c r="T17" s="64"/>
      <c r="U17" s="64"/>
    </row>
    <row r="18" spans="1:21" s="66" customFormat="1" ht="18.5" hidden="1" x14ac:dyDescent="0.35">
      <c r="A18" s="4145"/>
      <c r="B18" s="4146"/>
      <c r="C18" s="4146"/>
      <c r="D18" s="4146"/>
      <c r="E18" s="4146"/>
      <c r="F18" s="4146"/>
      <c r="G18" s="3045"/>
      <c r="H18" s="3046"/>
      <c r="I18" s="3045"/>
      <c r="J18" s="3046"/>
      <c r="K18" s="3045"/>
      <c r="L18" s="3046"/>
      <c r="M18" s="3045"/>
      <c r="N18" s="3076"/>
      <c r="O18" s="3163"/>
      <c r="P18" s="3140"/>
      <c r="Q18" s="3095"/>
      <c r="R18" s="3032"/>
      <c r="S18" s="1565"/>
      <c r="T18" s="397"/>
      <c r="U18" s="397"/>
    </row>
    <row r="19" spans="1:21" s="60" customFormat="1" ht="18.5" hidden="1" x14ac:dyDescent="0.35">
      <c r="A19" s="3981" t="s">
        <v>2896</v>
      </c>
      <c r="B19" s="3982"/>
      <c r="C19" s="3982"/>
      <c r="D19" s="3982"/>
      <c r="E19" s="3982"/>
      <c r="F19" s="3982"/>
      <c r="G19" s="3045"/>
      <c r="H19" s="3046"/>
      <c r="I19" s="3045"/>
      <c r="J19" s="3046"/>
      <c r="K19" s="3045"/>
      <c r="L19" s="3046"/>
      <c r="M19" s="3045"/>
      <c r="N19" s="3076"/>
      <c r="O19" s="3163"/>
      <c r="P19" s="3140"/>
      <c r="Q19" s="3100"/>
      <c r="R19" s="3033"/>
      <c r="S19" s="463"/>
      <c r="T19" s="64"/>
      <c r="U19" s="64"/>
    </row>
    <row r="20" spans="1:21" s="60" customFormat="1" ht="18.5" hidden="1" x14ac:dyDescent="0.35">
      <c r="A20" s="3968" t="s">
        <v>2884</v>
      </c>
      <c r="B20" s="3969"/>
      <c r="C20" s="3969"/>
      <c r="D20" s="3969"/>
      <c r="E20" s="3969"/>
      <c r="F20" s="3969"/>
      <c r="G20" s="3053">
        <v>0.5</v>
      </c>
      <c r="H20" s="3054">
        <v>0.4</v>
      </c>
      <c r="I20" s="3053"/>
      <c r="J20" s="3054"/>
      <c r="K20" s="3053"/>
      <c r="L20" s="3054"/>
      <c r="M20" s="3053"/>
      <c r="N20" s="3079"/>
      <c r="O20" s="3166">
        <f>AVERAGE(G20,I20,K20,M20)</f>
        <v>0.5</v>
      </c>
      <c r="P20" s="3166">
        <f>AVERAGE(H20,J20,L20,N20)</f>
        <v>0.4</v>
      </c>
      <c r="Q20" s="3184">
        <f>P20-O20</f>
        <v>-9.9999999999999978E-2</v>
      </c>
      <c r="R20" s="3028"/>
      <c r="S20" s="463"/>
      <c r="T20" s="64"/>
      <c r="U20" s="64"/>
    </row>
    <row r="21" spans="1:21" s="60" customFormat="1" ht="18.5" hidden="1" x14ac:dyDescent="0.35">
      <c r="A21" s="3968" t="s">
        <v>2885</v>
      </c>
      <c r="B21" s="3969"/>
      <c r="C21" s="3969"/>
      <c r="D21" s="3969"/>
      <c r="E21" s="3969"/>
      <c r="F21" s="3969"/>
      <c r="G21" s="3055">
        <v>0.3</v>
      </c>
      <c r="H21" s="3056">
        <v>0.3</v>
      </c>
      <c r="I21" s="3055"/>
      <c r="J21" s="3056"/>
      <c r="K21" s="3055"/>
      <c r="L21" s="3056"/>
      <c r="M21" s="3055"/>
      <c r="N21" s="3080"/>
      <c r="O21" s="3166">
        <f t="shared" ref="O21:P23" si="3">AVERAGE(G21,I21,K21,M21)</f>
        <v>0.3</v>
      </c>
      <c r="P21" s="3166">
        <f t="shared" si="3"/>
        <v>0.3</v>
      </c>
      <c r="Q21" s="3184">
        <f t="shared" ref="Q21:Q23" si="4">P21-O21</f>
        <v>0</v>
      </c>
      <c r="R21" s="3028"/>
      <c r="S21" s="64"/>
      <c r="T21" s="64"/>
      <c r="U21" s="64"/>
    </row>
    <row r="22" spans="1:21" s="60" customFormat="1" ht="20.25" hidden="1" customHeight="1" x14ac:dyDescent="0.35">
      <c r="A22" s="3968" t="s">
        <v>2886</v>
      </c>
      <c r="B22" s="3969"/>
      <c r="C22" s="3969"/>
      <c r="D22" s="3969"/>
      <c r="E22" s="3969"/>
      <c r="F22" s="3969"/>
      <c r="G22" s="3055">
        <v>0.1</v>
      </c>
      <c r="H22" s="3056">
        <v>0.15</v>
      </c>
      <c r="I22" s="3055"/>
      <c r="J22" s="3056"/>
      <c r="K22" s="3055"/>
      <c r="L22" s="3056"/>
      <c r="M22" s="3055"/>
      <c r="N22" s="3080"/>
      <c r="O22" s="3166">
        <f t="shared" si="3"/>
        <v>0.1</v>
      </c>
      <c r="P22" s="3166">
        <f t="shared" si="3"/>
        <v>0.15</v>
      </c>
      <c r="Q22" s="3184">
        <f t="shared" si="4"/>
        <v>4.9999999999999989E-2</v>
      </c>
      <c r="R22" s="3028"/>
      <c r="S22" s="64"/>
      <c r="T22" s="64"/>
      <c r="U22" s="64"/>
    </row>
    <row r="23" spans="1:21" s="66" customFormat="1" ht="18.5" hidden="1" x14ac:dyDescent="0.35">
      <c r="A23" s="3968" t="s">
        <v>2887</v>
      </c>
      <c r="B23" s="3969"/>
      <c r="C23" s="3969"/>
      <c r="D23" s="3969"/>
      <c r="E23" s="3969"/>
      <c r="F23" s="3969"/>
      <c r="G23" s="3057">
        <v>0.1</v>
      </c>
      <c r="H23" s="3058">
        <v>0.15</v>
      </c>
      <c r="I23" s="3057"/>
      <c r="J23" s="3058"/>
      <c r="K23" s="3057"/>
      <c r="L23" s="3058"/>
      <c r="M23" s="3057"/>
      <c r="N23" s="3081"/>
      <c r="O23" s="3166">
        <f t="shared" si="3"/>
        <v>0.1</v>
      </c>
      <c r="P23" s="3166">
        <f t="shared" si="3"/>
        <v>0.15</v>
      </c>
      <c r="Q23" s="3184">
        <f t="shared" si="4"/>
        <v>4.9999999999999989E-2</v>
      </c>
      <c r="R23" s="3028"/>
      <c r="S23" s="1565"/>
      <c r="T23" s="397"/>
      <c r="U23" s="397"/>
    </row>
    <row r="24" spans="1:21" s="66" customFormat="1" ht="18.5" hidden="1" x14ac:dyDescent="0.35">
      <c r="A24" s="3958"/>
      <c r="B24" s="3959"/>
      <c r="C24" s="3959"/>
      <c r="D24" s="3959"/>
      <c r="E24" s="3959"/>
      <c r="F24" s="3959"/>
      <c r="G24" s="3045"/>
      <c r="H24" s="3046"/>
      <c r="I24" s="3045"/>
      <c r="J24" s="3046"/>
      <c r="K24" s="3045"/>
      <c r="L24" s="3046"/>
      <c r="M24" s="3045"/>
      <c r="N24" s="3076"/>
      <c r="O24" s="3163"/>
      <c r="P24" s="3140"/>
      <c r="Q24" s="3095"/>
      <c r="R24" s="3032"/>
      <c r="S24" s="1565"/>
      <c r="T24" s="397"/>
      <c r="U24" s="397"/>
    </row>
    <row r="25" spans="1:21" s="60" customFormat="1" ht="18.5" hidden="1" x14ac:dyDescent="0.35">
      <c r="A25" s="4141" t="s">
        <v>2890</v>
      </c>
      <c r="B25" s="4142"/>
      <c r="C25" s="4142"/>
      <c r="D25" s="4142"/>
      <c r="E25" s="4142"/>
      <c r="F25" s="4142"/>
      <c r="G25" s="3045"/>
      <c r="H25" s="3046"/>
      <c r="I25" s="3045"/>
      <c r="J25" s="3046"/>
      <c r="K25" s="3045"/>
      <c r="L25" s="3046"/>
      <c r="M25" s="3045"/>
      <c r="N25" s="3076"/>
      <c r="O25" s="3139"/>
      <c r="P25" s="3140"/>
      <c r="Q25" s="3100"/>
      <c r="R25" s="3028"/>
      <c r="S25" s="463"/>
      <c r="T25" s="64"/>
      <c r="U25" s="64"/>
    </row>
    <row r="26" spans="1:21" s="60" customFormat="1" ht="18.5" hidden="1" x14ac:dyDescent="0.35">
      <c r="A26" s="4135" t="s">
        <v>2491</v>
      </c>
      <c r="B26" s="4136"/>
      <c r="C26" s="4136"/>
      <c r="D26" s="4136"/>
      <c r="E26" s="4136"/>
      <c r="F26" s="4136"/>
      <c r="G26" s="3059">
        <v>0.7</v>
      </c>
      <c r="H26" s="3060">
        <v>0.8</v>
      </c>
      <c r="I26" s="3059">
        <v>0.65</v>
      </c>
      <c r="J26" s="3060">
        <v>0.7</v>
      </c>
      <c r="K26" s="3059">
        <v>0.6</v>
      </c>
      <c r="L26" s="3060">
        <v>0.65</v>
      </c>
      <c r="M26" s="3059">
        <v>0.55000000000000004</v>
      </c>
      <c r="N26" s="3082">
        <v>0.55000000000000004</v>
      </c>
      <c r="O26" s="3147">
        <f>AVERAGE(G26,I26,K26,M26)</f>
        <v>0.625</v>
      </c>
      <c r="P26" s="3147">
        <f>AVERAGE(H26,J26,L26,N26)</f>
        <v>0.67500000000000004</v>
      </c>
      <c r="Q26" s="3185">
        <f>P26-O26</f>
        <v>5.0000000000000044E-2</v>
      </c>
      <c r="R26" s="3033"/>
      <c r="S26" s="64"/>
      <c r="T26" s="64"/>
      <c r="U26" s="64"/>
    </row>
    <row r="27" spans="1:21" s="60" customFormat="1" ht="18.5" hidden="1" x14ac:dyDescent="0.35">
      <c r="A27" s="4148" t="s">
        <v>2492</v>
      </c>
      <c r="B27" s="4149"/>
      <c r="C27" s="4149"/>
      <c r="D27" s="4149"/>
      <c r="E27" s="4149"/>
      <c r="F27" s="4149"/>
      <c r="G27" s="3061">
        <v>0.3</v>
      </c>
      <c r="H27" s="3062">
        <v>0.2</v>
      </c>
      <c r="I27" s="3061">
        <v>0.35</v>
      </c>
      <c r="J27" s="3062">
        <v>0.3</v>
      </c>
      <c r="K27" s="3061">
        <v>0.4</v>
      </c>
      <c r="L27" s="3062">
        <v>0.45</v>
      </c>
      <c r="M27" s="3061">
        <v>0.45</v>
      </c>
      <c r="N27" s="3083">
        <v>0.45</v>
      </c>
      <c r="O27" s="3149">
        <f>AVERAGE(G27,I27,K27,M27)</f>
        <v>0.37499999999999994</v>
      </c>
      <c r="P27" s="3149">
        <f>AVERAGE(H27,J27,L27,N27)</f>
        <v>0.35</v>
      </c>
      <c r="Q27" s="3186">
        <f t="shared" ref="Q27" si="5">P27-O27</f>
        <v>-2.4999999999999967E-2</v>
      </c>
      <c r="R27" s="3032"/>
      <c r="S27" s="64"/>
      <c r="T27" s="64"/>
      <c r="U27" s="64"/>
    </row>
    <row r="28" spans="1:21" s="66" customFormat="1" ht="18.5" x14ac:dyDescent="0.35">
      <c r="A28" s="4145"/>
      <c r="B28" s="4146"/>
      <c r="C28" s="4146"/>
      <c r="D28" s="4146"/>
      <c r="E28" s="4146"/>
      <c r="F28" s="4146"/>
      <c r="G28" s="3045"/>
      <c r="H28" s="3046"/>
      <c r="I28" s="3045"/>
      <c r="J28" s="3046"/>
      <c r="K28" s="3045"/>
      <c r="L28" s="3046"/>
      <c r="M28" s="3045"/>
      <c r="N28" s="3076"/>
      <c r="O28" s="3139"/>
      <c r="P28" s="3140"/>
      <c r="Q28" s="3102"/>
      <c r="R28" s="3035"/>
      <c r="S28" s="1565"/>
      <c r="T28" s="397"/>
      <c r="U28" s="397"/>
    </row>
    <row r="29" spans="1:21" s="60" customFormat="1" ht="19" thickBot="1" x14ac:dyDescent="0.4">
      <c r="A29" s="4141" t="s">
        <v>2927</v>
      </c>
      <c r="B29" s="4142"/>
      <c r="C29" s="4142"/>
      <c r="D29" s="4142"/>
      <c r="E29" s="4142"/>
      <c r="F29" s="4142"/>
      <c r="G29" s="3045"/>
      <c r="H29" s="3046"/>
      <c r="I29" s="3045"/>
      <c r="J29" s="3046"/>
      <c r="K29" s="3045"/>
      <c r="L29" s="3046"/>
      <c r="M29" s="3045"/>
      <c r="N29" s="3076"/>
      <c r="O29" s="3139"/>
      <c r="P29" s="3140"/>
      <c r="Q29" s="3102"/>
      <c r="R29" s="3035"/>
      <c r="S29" s="463"/>
      <c r="T29" s="64"/>
      <c r="U29" s="64"/>
    </row>
    <row r="30" spans="1:21" s="60" customFormat="1" ht="19.5" thickTop="1" thickBot="1" x14ac:dyDescent="0.4">
      <c r="A30" s="3182" t="s">
        <v>2902</v>
      </c>
      <c r="B30" s="3183"/>
      <c r="C30" s="3183"/>
      <c r="D30" s="3183"/>
      <c r="E30" s="3183" t="s">
        <v>2903</v>
      </c>
      <c r="F30" s="3225">
        <v>4</v>
      </c>
      <c r="G30" s="3220">
        <f>G13*F30</f>
        <v>3333120</v>
      </c>
      <c r="H30" s="3221"/>
      <c r="I30" s="3220">
        <f>I13*F30</f>
        <v>5555200</v>
      </c>
      <c r="J30" s="3221"/>
      <c r="K30" s="3220">
        <f>K13*F30</f>
        <v>5555200</v>
      </c>
      <c r="L30" s="3221"/>
      <c r="M30" s="3220">
        <f>M13*F30</f>
        <v>7777280</v>
      </c>
      <c r="N30" s="3222"/>
      <c r="O30" s="3223">
        <f>AVERAGE(G30,I30,K30,M30)</f>
        <v>5555200</v>
      </c>
      <c r="P30" s="3223"/>
      <c r="Q30" s="3226">
        <f>O30-P30</f>
        <v>5555200</v>
      </c>
      <c r="R30" s="3227">
        <f>P30/O30</f>
        <v>0</v>
      </c>
      <c r="S30" s="463"/>
      <c r="T30" s="64"/>
      <c r="U30" s="64"/>
    </row>
    <row r="31" spans="1:21" s="60" customFormat="1" ht="19" thickTop="1" x14ac:dyDescent="0.35">
      <c r="A31" s="3968" t="s">
        <v>2904</v>
      </c>
      <c r="B31" s="3969"/>
      <c r="C31" s="3969"/>
      <c r="D31" s="3969"/>
      <c r="E31" s="3969"/>
      <c r="F31" s="4149"/>
      <c r="G31" s="3047">
        <f>G9*$F$30</f>
        <v>12</v>
      </c>
      <c r="H31" s="3044">
        <v>6</v>
      </c>
      <c r="I31" s="3047">
        <f>I9*$F$30</f>
        <v>20</v>
      </c>
      <c r="J31" s="3044">
        <v>12</v>
      </c>
      <c r="K31" s="3047">
        <f>K9*$F$30</f>
        <v>20</v>
      </c>
      <c r="L31" s="3044">
        <v>15</v>
      </c>
      <c r="M31" s="3047">
        <f>M9*$F$30</f>
        <v>28</v>
      </c>
      <c r="N31" s="3075">
        <v>22</v>
      </c>
      <c r="O31" s="3224">
        <f>G31+I31+K31+M31</f>
        <v>80</v>
      </c>
      <c r="P31" s="3141">
        <f>H31+J31+L31+N31</f>
        <v>55</v>
      </c>
      <c r="Q31" s="3090">
        <f>P31-O31</f>
        <v>-25</v>
      </c>
      <c r="R31" s="3034">
        <f>P31/O31</f>
        <v>0.6875</v>
      </c>
      <c r="S31" s="463"/>
      <c r="T31" s="64"/>
      <c r="U31" s="64"/>
    </row>
    <row r="32" spans="1:21" s="66" customFormat="1" ht="18.5" x14ac:dyDescent="0.35">
      <c r="A32" s="4145"/>
      <c r="B32" s="4146"/>
      <c r="C32" s="4146"/>
      <c r="D32" s="4146"/>
      <c r="E32" s="4146"/>
      <c r="F32" s="4146"/>
      <c r="G32" s="3045"/>
      <c r="H32" s="3046"/>
      <c r="I32" s="3045"/>
      <c r="J32" s="3046"/>
      <c r="K32" s="3045"/>
      <c r="L32" s="3046"/>
      <c r="M32" s="3045"/>
      <c r="N32" s="3076"/>
      <c r="O32" s="3139"/>
      <c r="P32" s="3140"/>
      <c r="Q32" s="3095"/>
      <c r="R32" s="3027"/>
      <c r="S32" s="1565"/>
      <c r="T32" s="397"/>
      <c r="U32" s="397"/>
    </row>
    <row r="33" spans="1:21" s="60" customFormat="1" ht="18.5" x14ac:dyDescent="0.35">
      <c r="A33" s="3981" t="s">
        <v>2893</v>
      </c>
      <c r="B33" s="3982"/>
      <c r="C33" s="3982"/>
      <c r="D33" s="3982"/>
      <c r="E33" s="3982"/>
      <c r="F33" s="4147"/>
      <c r="G33" s="3045"/>
      <c r="H33" s="3046"/>
      <c r="I33" s="3045"/>
      <c r="J33" s="3046"/>
      <c r="K33" s="3045"/>
      <c r="L33" s="3046"/>
      <c r="M33" s="3045"/>
      <c r="N33" s="3076"/>
      <c r="O33" s="3139"/>
      <c r="P33" s="3140"/>
      <c r="Q33" s="3101"/>
      <c r="R33" s="3027"/>
      <c r="S33" s="64"/>
      <c r="T33" s="64"/>
      <c r="U33" s="64"/>
    </row>
    <row r="34" spans="1:21" s="60" customFormat="1" ht="18.5" x14ac:dyDescent="0.35">
      <c r="A34" s="4161" t="s">
        <v>2923</v>
      </c>
      <c r="B34" s="4161"/>
      <c r="C34" s="4161"/>
      <c r="D34" s="4161"/>
      <c r="E34" s="4161"/>
      <c r="F34" s="4162"/>
      <c r="G34" s="3068"/>
      <c r="H34" s="3069"/>
      <c r="I34" s="3068"/>
      <c r="J34" s="3069"/>
      <c r="K34" s="3068"/>
      <c r="L34" s="3069"/>
      <c r="M34" s="3068"/>
      <c r="N34" s="3085"/>
      <c r="O34" s="3139"/>
      <c r="P34" s="3140"/>
      <c r="Q34" s="3095"/>
      <c r="R34" s="3027"/>
      <c r="S34" s="64"/>
      <c r="T34" s="64"/>
      <c r="U34" s="64"/>
    </row>
    <row r="35" spans="1:21" s="60" customFormat="1" ht="18.5" x14ac:dyDescent="0.35">
      <c r="A35" s="4161" t="s">
        <v>2913</v>
      </c>
      <c r="B35" s="4161"/>
      <c r="C35" s="4161"/>
      <c r="D35" s="4161"/>
      <c r="E35" s="4161"/>
      <c r="F35" s="4162"/>
      <c r="G35" s="3068"/>
      <c r="H35" s="3069"/>
      <c r="I35" s="3068"/>
      <c r="J35" s="3069"/>
      <c r="K35" s="3068"/>
      <c r="L35" s="3069"/>
      <c r="M35" s="3068"/>
      <c r="N35" s="3085"/>
      <c r="O35" s="3139"/>
      <c r="P35" s="3140"/>
      <c r="Q35" s="3095"/>
      <c r="R35" s="3027"/>
      <c r="S35" s="64"/>
      <c r="T35" s="64"/>
      <c r="U35" s="64"/>
    </row>
    <row r="36" spans="1:21" s="60" customFormat="1" ht="18.5" x14ac:dyDescent="0.35">
      <c r="A36" s="4161" t="s">
        <v>2914</v>
      </c>
      <c r="B36" s="4161"/>
      <c r="C36" s="4161"/>
      <c r="D36" s="4161"/>
      <c r="E36" s="4161"/>
      <c r="F36" s="4162"/>
      <c r="G36" s="3068"/>
      <c r="H36" s="3069"/>
      <c r="I36" s="3068"/>
      <c r="J36" s="3069"/>
      <c r="K36" s="3068"/>
      <c r="L36" s="3069"/>
      <c r="M36" s="3068"/>
      <c r="N36" s="3085"/>
      <c r="O36" s="3139"/>
      <c r="P36" s="3140"/>
      <c r="Q36" s="3095"/>
      <c r="R36" s="3027"/>
      <c r="S36" s="64"/>
      <c r="T36" s="64"/>
      <c r="U36" s="64"/>
    </row>
    <row r="37" spans="1:21" s="60" customFormat="1" ht="18.5" x14ac:dyDescent="0.35">
      <c r="A37" s="4161" t="s">
        <v>1030</v>
      </c>
      <c r="B37" s="4161"/>
      <c r="C37" s="4161"/>
      <c r="D37" s="4161"/>
      <c r="E37" s="4161"/>
      <c r="F37" s="4162"/>
      <c r="G37" s="3068"/>
      <c r="H37" s="3069"/>
      <c r="I37" s="3068"/>
      <c r="J37" s="3069"/>
      <c r="K37" s="3068"/>
      <c r="L37" s="3069"/>
      <c r="M37" s="3068"/>
      <c r="N37" s="3085"/>
      <c r="O37" s="3139"/>
      <c r="P37" s="3140"/>
      <c r="Q37" s="3095"/>
      <c r="R37" s="3027"/>
      <c r="S37" s="64"/>
      <c r="T37" s="64"/>
      <c r="U37" s="64"/>
    </row>
    <row r="38" spans="1:21" s="60" customFormat="1" ht="18.5" x14ac:dyDescent="0.35">
      <c r="A38" s="4161" t="s">
        <v>1031</v>
      </c>
      <c r="B38" s="4161"/>
      <c r="C38" s="4161"/>
      <c r="D38" s="4161"/>
      <c r="E38" s="4161"/>
      <c r="F38" s="4162"/>
      <c r="G38" s="3068"/>
      <c r="H38" s="3069"/>
      <c r="I38" s="3068"/>
      <c r="J38" s="3069"/>
      <c r="K38" s="3068"/>
      <c r="L38" s="3069"/>
      <c r="M38" s="3068"/>
      <c r="N38" s="3085"/>
      <c r="O38" s="3139"/>
      <c r="P38" s="3140"/>
      <c r="Q38" s="3095"/>
      <c r="R38" s="3027"/>
      <c r="S38" s="64"/>
      <c r="T38" s="64"/>
      <c r="U38" s="64"/>
    </row>
    <row r="39" spans="1:21" s="66" customFormat="1" ht="18.5" x14ac:dyDescent="0.35">
      <c r="A39" s="4161" t="s">
        <v>1032</v>
      </c>
      <c r="B39" s="4161"/>
      <c r="C39" s="4161"/>
      <c r="D39" s="4161"/>
      <c r="E39" s="4161"/>
      <c r="F39" s="4162"/>
      <c r="G39" s="3068"/>
      <c r="H39" s="3069"/>
      <c r="I39" s="3068"/>
      <c r="J39" s="3069"/>
      <c r="K39" s="3068"/>
      <c r="L39" s="3069"/>
      <c r="M39" s="3068"/>
      <c r="N39" s="3085"/>
      <c r="O39" s="3139"/>
      <c r="P39" s="3140"/>
      <c r="Q39" s="3095"/>
      <c r="R39" s="3027"/>
      <c r="S39" s="1565"/>
      <c r="T39" s="397"/>
      <c r="U39" s="397"/>
    </row>
    <row r="40" spans="1:21" s="66" customFormat="1" ht="18.5" x14ac:dyDescent="0.35">
      <c r="A40" s="4161" t="s">
        <v>2363</v>
      </c>
      <c r="B40" s="4161"/>
      <c r="C40" s="4161"/>
      <c r="D40" s="4161"/>
      <c r="E40" s="4161"/>
      <c r="F40" s="4162"/>
      <c r="G40" s="3068"/>
      <c r="H40" s="3069"/>
      <c r="I40" s="3068"/>
      <c r="J40" s="3069"/>
      <c r="K40" s="3068"/>
      <c r="L40" s="3069"/>
      <c r="M40" s="3068"/>
      <c r="N40" s="3085"/>
      <c r="O40" s="3139"/>
      <c r="P40" s="3140"/>
      <c r="Q40" s="3095"/>
      <c r="R40" s="3027"/>
      <c r="S40" s="1565"/>
      <c r="T40" s="397"/>
      <c r="U40" s="397"/>
    </row>
    <row r="41" spans="1:21" s="66" customFormat="1" ht="18.5" x14ac:dyDescent="0.35">
      <c r="A41" s="4161" t="s">
        <v>2915</v>
      </c>
      <c r="B41" s="4161"/>
      <c r="C41" s="4161"/>
      <c r="D41" s="4161"/>
      <c r="E41" s="4161"/>
      <c r="F41" s="4162"/>
      <c r="G41" s="3068"/>
      <c r="H41" s="3069"/>
      <c r="I41" s="3068"/>
      <c r="J41" s="3069"/>
      <c r="K41" s="3068"/>
      <c r="L41" s="3069"/>
      <c r="M41" s="3068"/>
      <c r="N41" s="3085"/>
      <c r="O41" s="3139"/>
      <c r="P41" s="3140"/>
      <c r="Q41" s="3095"/>
      <c r="R41" s="3027"/>
      <c r="S41" s="1565"/>
      <c r="T41" s="397"/>
      <c r="U41" s="397"/>
    </row>
    <row r="42" spans="1:21" s="66" customFormat="1" ht="18.5" x14ac:dyDescent="0.35">
      <c r="A42" s="4161" t="s">
        <v>236</v>
      </c>
      <c r="B42" s="4161"/>
      <c r="C42" s="4161"/>
      <c r="D42" s="4161"/>
      <c r="E42" s="4161"/>
      <c r="F42" s="4162"/>
      <c r="G42" s="3068"/>
      <c r="H42" s="3069"/>
      <c r="I42" s="3068"/>
      <c r="J42" s="3069"/>
      <c r="K42" s="3068"/>
      <c r="L42" s="3069"/>
      <c r="M42" s="3068"/>
      <c r="N42" s="3085"/>
      <c r="O42" s="3139"/>
      <c r="P42" s="3140"/>
      <c r="Q42" s="3095"/>
      <c r="R42" s="3027"/>
      <c r="S42" s="1565"/>
      <c r="T42" s="397"/>
      <c r="U42" s="397"/>
    </row>
    <row r="43" spans="1:21" s="66" customFormat="1" ht="18.5" x14ac:dyDescent="0.35">
      <c r="A43" s="4161" t="s">
        <v>2916</v>
      </c>
      <c r="B43" s="4161"/>
      <c r="C43" s="4161"/>
      <c r="D43" s="4161"/>
      <c r="E43" s="4161"/>
      <c r="F43" s="4162"/>
      <c r="G43" s="3068"/>
      <c r="H43" s="3069"/>
      <c r="I43" s="3068"/>
      <c r="J43" s="3069"/>
      <c r="K43" s="3068"/>
      <c r="L43" s="3069"/>
      <c r="M43" s="3068"/>
      <c r="N43" s="3085"/>
      <c r="O43" s="3139"/>
      <c r="P43" s="3140"/>
      <c r="Q43" s="3095"/>
      <c r="R43" s="3027"/>
      <c r="S43" s="1565"/>
      <c r="T43" s="397"/>
      <c r="U43" s="397"/>
    </row>
    <row r="44" spans="1:21" s="60" customFormat="1" ht="18.5" x14ac:dyDescent="0.35">
      <c r="A44" s="4161" t="s">
        <v>2917</v>
      </c>
      <c r="B44" s="4161"/>
      <c r="C44" s="4161"/>
      <c r="D44" s="4161"/>
      <c r="E44" s="4161"/>
      <c r="F44" s="4162"/>
      <c r="G44" s="3068"/>
      <c r="H44" s="3069"/>
      <c r="I44" s="3068"/>
      <c r="J44" s="3069"/>
      <c r="K44" s="3068"/>
      <c r="L44" s="3069"/>
      <c r="M44" s="3068"/>
      <c r="N44" s="3085"/>
      <c r="O44" s="3139"/>
      <c r="P44" s="3140"/>
      <c r="Q44" s="3095"/>
      <c r="R44" s="3027"/>
      <c r="S44" s="64"/>
      <c r="T44" s="64"/>
      <c r="U44" s="64"/>
    </row>
    <row r="45" spans="1:21" s="60" customFormat="1" ht="18.5" x14ac:dyDescent="0.35">
      <c r="A45" s="4161" t="s">
        <v>2919</v>
      </c>
      <c r="B45" s="4161"/>
      <c r="C45" s="4161"/>
      <c r="D45" s="4161"/>
      <c r="E45" s="4161"/>
      <c r="F45" s="4162"/>
      <c r="G45" s="3068"/>
      <c r="H45" s="3069"/>
      <c r="I45" s="3068"/>
      <c r="J45" s="3069"/>
      <c r="K45" s="3068"/>
      <c r="L45" s="3069"/>
      <c r="M45" s="3068"/>
      <c r="N45" s="3085"/>
      <c r="O45" s="3139"/>
      <c r="P45" s="3140"/>
      <c r="Q45" s="3095"/>
      <c r="R45" s="3027"/>
      <c r="S45" s="64"/>
      <c r="T45" s="64"/>
      <c r="U45" s="64"/>
    </row>
    <row r="46" spans="1:21" s="60" customFormat="1" ht="18.5" x14ac:dyDescent="0.35">
      <c r="A46" s="4161" t="s">
        <v>2920</v>
      </c>
      <c r="B46" s="4161"/>
      <c r="C46" s="4161"/>
      <c r="D46" s="4161"/>
      <c r="E46" s="4161"/>
      <c r="F46" s="4162"/>
      <c r="G46" s="3068"/>
      <c r="H46" s="3069"/>
      <c r="I46" s="3068"/>
      <c r="J46" s="3069"/>
      <c r="K46" s="3068"/>
      <c r="L46" s="3069"/>
      <c r="M46" s="3068"/>
      <c r="N46" s="3085"/>
      <c r="O46" s="3139"/>
      <c r="P46" s="3140"/>
      <c r="Q46" s="3095"/>
      <c r="R46" s="3027"/>
      <c r="S46" s="64"/>
      <c r="T46" s="64"/>
      <c r="U46" s="64"/>
    </row>
    <row r="47" spans="1:21" s="60" customFormat="1" ht="18.5" x14ac:dyDescent="0.35">
      <c r="A47" s="4161" t="s">
        <v>2921</v>
      </c>
      <c r="B47" s="4161"/>
      <c r="C47" s="4161"/>
      <c r="D47" s="4161"/>
      <c r="E47" s="4161"/>
      <c r="F47" s="4162"/>
      <c r="G47" s="3068"/>
      <c r="H47" s="3069"/>
      <c r="I47" s="3068"/>
      <c r="J47" s="3069"/>
      <c r="K47" s="3068"/>
      <c r="L47" s="3069"/>
      <c r="M47" s="3068"/>
      <c r="N47" s="3085"/>
      <c r="O47" s="3139"/>
      <c r="P47" s="3140"/>
      <c r="Q47" s="3095"/>
      <c r="R47" s="3027"/>
      <c r="S47" s="64"/>
      <c r="T47" s="64"/>
      <c r="U47" s="64"/>
    </row>
    <row r="48" spans="1:21" s="60" customFormat="1" ht="18.5" x14ac:dyDescent="0.35">
      <c r="A48" s="4161" t="s">
        <v>2922</v>
      </c>
      <c r="B48" s="4161"/>
      <c r="C48" s="4161"/>
      <c r="D48" s="4161"/>
      <c r="E48" s="4161"/>
      <c r="F48" s="4162"/>
      <c r="G48" s="3068"/>
      <c r="H48" s="3069"/>
      <c r="I48" s="3068"/>
      <c r="J48" s="3069"/>
      <c r="K48" s="3068"/>
      <c r="L48" s="3069"/>
      <c r="M48" s="3068"/>
      <c r="N48" s="3085"/>
      <c r="O48" s="3139"/>
      <c r="P48" s="3140"/>
      <c r="Q48" s="3095"/>
      <c r="R48" s="3027"/>
      <c r="S48" s="64"/>
      <c r="T48" s="64"/>
      <c r="U48" s="64"/>
    </row>
    <row r="49" spans="1:21" s="60" customFormat="1" ht="18.5" x14ac:dyDescent="0.35">
      <c r="A49" s="4161"/>
      <c r="B49" s="4161"/>
      <c r="C49" s="4161"/>
      <c r="D49" s="4161"/>
      <c r="E49" s="4161"/>
      <c r="F49" s="4162"/>
      <c r="G49" s="3045"/>
      <c r="H49" s="3046"/>
      <c r="I49" s="3045"/>
      <c r="J49" s="3046"/>
      <c r="K49" s="3045"/>
      <c r="L49" s="3046"/>
      <c r="M49" s="3045"/>
      <c r="N49" s="3076"/>
      <c r="O49" s="3139"/>
      <c r="P49" s="3140"/>
      <c r="Q49" s="3095"/>
      <c r="R49" s="3027"/>
      <c r="S49" s="64"/>
      <c r="T49" s="64"/>
      <c r="U49" s="64"/>
    </row>
    <row r="50" spans="1:21" s="66" customFormat="1" ht="18.5" x14ac:dyDescent="0.35">
      <c r="A50" s="4143" t="s">
        <v>2894</v>
      </c>
      <c r="B50" s="4144"/>
      <c r="C50" s="4144"/>
      <c r="D50" s="4144"/>
      <c r="E50" s="4144"/>
      <c r="F50" s="4166"/>
      <c r="G50" s="3045"/>
      <c r="H50" s="3046"/>
      <c r="I50" s="3045"/>
      <c r="J50" s="3046"/>
      <c r="K50" s="3045"/>
      <c r="L50" s="3046"/>
      <c r="M50" s="3045"/>
      <c r="N50" s="3076"/>
      <c r="O50" s="3139"/>
      <c r="P50" s="3140"/>
      <c r="Q50" s="3095"/>
      <c r="R50" s="3027"/>
      <c r="S50" s="1565"/>
      <c r="T50" s="397"/>
      <c r="U50" s="397"/>
    </row>
    <row r="51" spans="1:21" s="66" customFormat="1" ht="27.75" customHeight="1" x14ac:dyDescent="0.35">
      <c r="A51" s="4161" t="s">
        <v>2959</v>
      </c>
      <c r="B51" s="4161"/>
      <c r="C51" s="4161"/>
      <c r="D51" s="4161"/>
      <c r="E51" s="4161"/>
      <c r="F51" s="4162"/>
      <c r="G51" s="3068"/>
      <c r="H51" s="3069"/>
      <c r="I51" s="3068"/>
      <c r="J51" s="3069"/>
      <c r="K51" s="3068"/>
      <c r="L51" s="3069"/>
      <c r="M51" s="3068"/>
      <c r="N51" s="3085"/>
      <c r="O51" s="3139"/>
      <c r="P51" s="3140"/>
      <c r="Q51" s="3095"/>
      <c r="R51" s="3027"/>
      <c r="S51" s="1565"/>
      <c r="T51" s="397"/>
      <c r="U51" s="397"/>
    </row>
    <row r="52" spans="1:21" s="66" customFormat="1" ht="32.25" customHeight="1" x14ac:dyDescent="0.35">
      <c r="A52" s="4164" t="s">
        <v>2918</v>
      </c>
      <c r="B52" s="4164"/>
      <c r="C52" s="4164"/>
      <c r="D52" s="4164"/>
      <c r="E52" s="4164"/>
      <c r="F52" s="4165"/>
      <c r="G52" s="3068"/>
      <c r="H52" s="3069"/>
      <c r="I52" s="3068"/>
      <c r="J52" s="3069"/>
      <c r="K52" s="3068"/>
      <c r="L52" s="3069"/>
      <c r="M52" s="3068"/>
      <c r="N52" s="3085"/>
      <c r="O52" s="3139"/>
      <c r="P52" s="3140"/>
      <c r="Q52" s="3095"/>
      <c r="R52" s="3027"/>
      <c r="S52" s="1565"/>
      <c r="T52" s="397"/>
      <c r="U52" s="397"/>
    </row>
    <row r="53" spans="1:21" s="66" customFormat="1" ht="18.5" x14ac:dyDescent="0.35">
      <c r="A53" s="3981"/>
      <c r="B53" s="3982"/>
      <c r="C53" s="3982"/>
      <c r="D53" s="3982"/>
      <c r="E53" s="3982"/>
      <c r="F53" s="4147"/>
      <c r="G53" s="3045"/>
      <c r="H53" s="3046"/>
      <c r="I53" s="3045"/>
      <c r="J53" s="3046"/>
      <c r="K53" s="3045"/>
      <c r="L53" s="3046"/>
      <c r="M53" s="3045"/>
      <c r="N53" s="3076"/>
      <c r="O53" s="3139"/>
      <c r="P53" s="3140"/>
      <c r="Q53" s="3095"/>
      <c r="R53" s="3027"/>
      <c r="S53" s="1565"/>
      <c r="T53" s="397"/>
      <c r="U53" s="397"/>
    </row>
    <row r="54" spans="1:21" s="66" customFormat="1" ht="18.5" x14ac:dyDescent="0.35">
      <c r="A54" s="3981"/>
      <c r="B54" s="3982"/>
      <c r="C54" s="3982"/>
      <c r="D54" s="3982"/>
      <c r="E54" s="3982"/>
      <c r="F54" s="4147"/>
      <c r="G54" s="3045"/>
      <c r="H54" s="3046"/>
      <c r="I54" s="3045"/>
      <c r="J54" s="3046"/>
      <c r="K54" s="3045"/>
      <c r="L54" s="3046"/>
      <c r="M54" s="3045"/>
      <c r="N54" s="3076"/>
      <c r="O54" s="3139"/>
      <c r="P54" s="3140"/>
      <c r="Q54" s="3095"/>
      <c r="R54" s="3027"/>
      <c r="S54" s="1565"/>
      <c r="T54" s="397"/>
      <c r="U54" s="397"/>
    </row>
    <row r="55" spans="1:21" s="66" customFormat="1" ht="18.5" x14ac:dyDescent="0.35">
      <c r="A55" s="3981" t="s">
        <v>2912</v>
      </c>
      <c r="B55" s="3982"/>
      <c r="C55" s="3982"/>
      <c r="D55" s="3982"/>
      <c r="E55" s="3982"/>
      <c r="F55" s="4147"/>
      <c r="G55" s="3045"/>
      <c r="H55" s="3046"/>
      <c r="I55" s="3045"/>
      <c r="J55" s="3046"/>
      <c r="K55" s="3045"/>
      <c r="L55" s="3046"/>
      <c r="M55" s="3045"/>
      <c r="N55" s="3076"/>
      <c r="O55" s="3139"/>
      <c r="P55" s="3140"/>
      <c r="Q55" s="3095"/>
      <c r="R55" s="3027"/>
      <c r="S55" s="1565"/>
      <c r="T55" s="397"/>
      <c r="U55" s="397"/>
    </row>
    <row r="56" spans="1:21" s="66" customFormat="1" ht="18.5" x14ac:dyDescent="0.35">
      <c r="A56" s="4161" t="s">
        <v>1119</v>
      </c>
      <c r="B56" s="4161"/>
      <c r="C56" s="4161"/>
      <c r="D56" s="4161"/>
      <c r="E56" s="4161"/>
      <c r="F56" s="4162"/>
      <c r="G56" s="3068"/>
      <c r="H56" s="3069"/>
      <c r="I56" s="3068"/>
      <c r="J56" s="3069"/>
      <c r="K56" s="3068"/>
      <c r="L56" s="3069"/>
      <c r="M56" s="3068"/>
      <c r="N56" s="3085"/>
      <c r="O56" s="3139"/>
      <c r="P56" s="3140"/>
      <c r="Q56" s="3095"/>
      <c r="R56" s="3027"/>
      <c r="S56" s="1565"/>
      <c r="T56" s="397"/>
      <c r="U56" s="397"/>
    </row>
    <row r="57" spans="1:21" s="66" customFormat="1" ht="24.75" customHeight="1" x14ac:dyDescent="0.35">
      <c r="A57" s="4161" t="s">
        <v>2946</v>
      </c>
      <c r="B57" s="4161"/>
      <c r="C57" s="4161"/>
      <c r="D57" s="4161"/>
      <c r="E57" s="4161"/>
      <c r="F57" s="4162"/>
      <c r="G57" s="3068"/>
      <c r="H57" s="3069"/>
      <c r="I57" s="3068"/>
      <c r="J57" s="3069"/>
      <c r="K57" s="3068"/>
      <c r="L57" s="3069"/>
      <c r="M57" s="3068"/>
      <c r="N57" s="3085"/>
      <c r="O57" s="3139"/>
      <c r="P57" s="3140"/>
      <c r="Q57" s="3095"/>
      <c r="R57" s="3027"/>
      <c r="S57" s="1565"/>
      <c r="T57" s="397"/>
      <c r="U57" s="397"/>
    </row>
    <row r="58" spans="1:21" s="66" customFormat="1" ht="18.5" x14ac:dyDescent="0.35">
      <c r="A58" s="66" t="s">
        <v>2956</v>
      </c>
      <c r="G58" s="3045"/>
      <c r="H58" s="3046"/>
      <c r="I58" s="3045"/>
      <c r="J58" s="3046"/>
      <c r="K58" s="3045"/>
      <c r="L58" s="3046"/>
      <c r="M58" s="3045"/>
      <c r="N58" s="3076"/>
      <c r="O58" s="3139"/>
      <c r="P58" s="3140"/>
      <c r="Q58" s="3095"/>
      <c r="R58" s="3027"/>
      <c r="S58" s="1565"/>
      <c r="T58" s="397"/>
      <c r="U58" s="397"/>
    </row>
    <row r="59" spans="1:21" s="66" customFormat="1" ht="18.5" x14ac:dyDescent="0.35">
      <c r="A59" s="4161"/>
      <c r="B59" s="4161"/>
      <c r="C59" s="4161"/>
      <c r="D59" s="4161"/>
      <c r="E59" s="4161"/>
      <c r="F59" s="4162"/>
      <c r="G59" s="3045"/>
      <c r="H59" s="3046"/>
      <c r="I59" s="3045"/>
      <c r="J59" s="3046"/>
      <c r="K59" s="3045"/>
      <c r="L59" s="3046"/>
      <c r="M59" s="3045"/>
      <c r="N59" s="3076"/>
      <c r="O59" s="3139"/>
      <c r="P59" s="3140"/>
      <c r="Q59" s="3095"/>
      <c r="R59" s="3027"/>
      <c r="S59" s="1565"/>
      <c r="T59" s="397"/>
      <c r="U59" s="397"/>
    </row>
    <row r="60" spans="1:21" s="66" customFormat="1" ht="18.5" x14ac:dyDescent="0.35">
      <c r="A60" s="3981" t="s">
        <v>2926</v>
      </c>
      <c r="B60" s="3982"/>
      <c r="C60" s="3982"/>
      <c r="D60" s="3982"/>
      <c r="E60" s="3982"/>
      <c r="F60" s="4147"/>
      <c r="G60" s="3045">
        <f>SUM(G61:G62)</f>
        <v>0</v>
      </c>
      <c r="H60" s="3045">
        <f t="shared" ref="H60:P60" si="6">SUM(H61:H62)</f>
        <v>0</v>
      </c>
      <c r="I60" s="3045">
        <f t="shared" si="6"/>
        <v>0</v>
      </c>
      <c r="J60" s="3045">
        <f t="shared" si="6"/>
        <v>0</v>
      </c>
      <c r="K60" s="3045">
        <f t="shared" si="6"/>
        <v>0</v>
      </c>
      <c r="L60" s="3045">
        <f t="shared" si="6"/>
        <v>0</v>
      </c>
      <c r="M60" s="3045">
        <f t="shared" si="6"/>
        <v>0</v>
      </c>
      <c r="N60" s="3045">
        <f t="shared" si="6"/>
        <v>0</v>
      </c>
      <c r="O60" s="3139">
        <f t="shared" si="6"/>
        <v>0</v>
      </c>
      <c r="P60" s="3140">
        <f t="shared" si="6"/>
        <v>0</v>
      </c>
      <c r="Q60" s="3095"/>
      <c r="R60" s="3027"/>
      <c r="S60" s="1565"/>
      <c r="T60" s="397"/>
      <c r="U60" s="397"/>
    </row>
    <row r="61" spans="1:21" s="66" customFormat="1" ht="18.5" x14ac:dyDescent="0.35">
      <c r="A61" s="4161" t="s">
        <v>2925</v>
      </c>
      <c r="B61" s="4161"/>
      <c r="C61" s="4161"/>
      <c r="D61" s="4161"/>
      <c r="E61" s="4161"/>
      <c r="F61" s="4162"/>
      <c r="G61" s="3068"/>
      <c r="H61" s="3069"/>
      <c r="I61" s="3068"/>
      <c r="J61" s="3069"/>
      <c r="K61" s="3068"/>
      <c r="L61" s="3069"/>
      <c r="M61" s="3068"/>
      <c r="N61" s="3085"/>
      <c r="O61" s="3139"/>
      <c r="P61" s="3140"/>
      <c r="Q61" s="3095"/>
      <c r="R61" s="3027"/>
      <c r="S61" s="1565"/>
      <c r="T61" s="397"/>
      <c r="U61" s="397"/>
    </row>
    <row r="62" spans="1:21" s="66" customFormat="1" ht="18.5" x14ac:dyDescent="0.35">
      <c r="A62" s="4161" t="s">
        <v>1159</v>
      </c>
      <c r="B62" s="4161"/>
      <c r="C62" s="4161"/>
      <c r="D62" s="4161"/>
      <c r="E62" s="4161"/>
      <c r="F62" s="4162"/>
      <c r="G62" s="3068"/>
      <c r="H62" s="3069"/>
      <c r="I62" s="3068"/>
      <c r="J62" s="3069"/>
      <c r="K62" s="3068"/>
      <c r="L62" s="3069"/>
      <c r="M62" s="3068"/>
      <c r="N62" s="3085"/>
      <c r="O62" s="3139"/>
      <c r="P62" s="3140"/>
      <c r="Q62" s="3095"/>
      <c r="R62" s="3027"/>
      <c r="S62" s="1565"/>
      <c r="T62" s="397"/>
      <c r="U62" s="397"/>
    </row>
    <row r="63" spans="1:21" s="66" customFormat="1" ht="18.5" x14ac:dyDescent="0.35">
      <c r="G63" s="3045"/>
      <c r="H63" s="3046"/>
      <c r="I63" s="3045"/>
      <c r="J63" s="3046"/>
      <c r="K63" s="3045"/>
      <c r="L63" s="3046"/>
      <c r="M63" s="3045"/>
      <c r="N63" s="3076"/>
      <c r="O63" s="3139"/>
      <c r="P63" s="3140"/>
      <c r="Q63" s="3095"/>
      <c r="R63" s="3027"/>
      <c r="S63" s="1565"/>
      <c r="T63" s="397"/>
      <c r="U63" s="397"/>
    </row>
    <row r="64" spans="1:21" s="66" customFormat="1" ht="18.5" x14ac:dyDescent="0.35">
      <c r="A64" s="3981"/>
      <c r="B64" s="3982"/>
      <c r="C64" s="3982"/>
      <c r="D64" s="3982"/>
      <c r="E64" s="3982"/>
      <c r="F64" s="4147"/>
      <c r="G64" s="3045"/>
      <c r="H64" s="3046"/>
      <c r="I64" s="3045"/>
      <c r="J64" s="3046"/>
      <c r="K64" s="3045"/>
      <c r="L64" s="3046"/>
      <c r="M64" s="3045"/>
      <c r="N64" s="3076"/>
      <c r="O64" s="3139"/>
      <c r="P64" s="3140"/>
      <c r="Q64" s="3095"/>
      <c r="R64" s="3027"/>
      <c r="S64" s="1565"/>
      <c r="T64" s="397"/>
      <c r="U64" s="397"/>
    </row>
    <row r="65" spans="1:21" s="60" customFormat="1" ht="18.5" x14ac:dyDescent="0.35">
      <c r="A65" s="4141" t="s">
        <v>13</v>
      </c>
      <c r="B65" s="4142"/>
      <c r="C65" s="4142"/>
      <c r="D65" s="4142"/>
      <c r="E65" s="4142"/>
      <c r="F65" s="4142"/>
      <c r="G65" s="3045"/>
      <c r="H65" s="3046"/>
      <c r="I65" s="3045"/>
      <c r="J65" s="3046"/>
      <c r="K65" s="3045"/>
      <c r="L65" s="3046"/>
      <c r="M65" s="3045"/>
      <c r="N65" s="3076"/>
      <c r="O65" s="3139"/>
      <c r="P65" s="3140"/>
      <c r="Q65" s="3101"/>
      <c r="R65" s="3027"/>
      <c r="S65" s="463"/>
      <c r="T65" s="64"/>
      <c r="U65" s="64"/>
    </row>
    <row r="66" spans="1:21" s="60" customFormat="1" ht="18.5" x14ac:dyDescent="0.35">
      <c r="A66" s="4135" t="s">
        <v>2928</v>
      </c>
      <c r="B66" s="4136"/>
      <c r="C66" s="4136"/>
      <c r="D66" s="4136"/>
      <c r="E66" s="4136"/>
      <c r="F66" s="4136"/>
      <c r="G66" s="3228"/>
      <c r="H66" s="3067"/>
      <c r="I66" s="3228"/>
      <c r="J66" s="3067"/>
      <c r="K66" s="3228"/>
      <c r="L66" s="3067"/>
      <c r="M66" s="3228"/>
      <c r="N66" s="3067"/>
      <c r="O66" s="3155"/>
      <c r="P66" s="3156"/>
      <c r="Q66" s="3101"/>
      <c r="R66" s="3027"/>
      <c r="S66" s="64"/>
      <c r="T66" s="64"/>
      <c r="U66" s="64"/>
    </row>
    <row r="67" spans="1:21" s="60" customFormat="1" ht="18.5" x14ac:dyDescent="0.35">
      <c r="A67" s="3958" t="s">
        <v>2929</v>
      </c>
      <c r="B67" s="3969"/>
      <c r="C67" s="3969"/>
      <c r="D67" s="3969"/>
      <c r="E67" s="3969"/>
      <c r="F67" s="3969"/>
      <c r="G67" s="3066"/>
      <c r="H67" s="3229"/>
      <c r="I67" s="3066"/>
      <c r="J67" s="3229"/>
      <c r="K67" s="3066"/>
      <c r="L67" s="3229"/>
      <c r="M67" s="3066"/>
      <c r="N67" s="3229"/>
      <c r="O67" s="3139"/>
      <c r="P67" s="3140"/>
      <c r="Q67" s="3101"/>
      <c r="R67" s="3027"/>
      <c r="S67" s="64"/>
      <c r="T67" s="64"/>
      <c r="U67" s="64"/>
    </row>
    <row r="68" spans="1:21" s="60" customFormat="1" ht="18.5" x14ac:dyDescent="0.35">
      <c r="A68" s="3958" t="s">
        <v>2930</v>
      </c>
      <c r="B68" s="3969"/>
      <c r="C68" s="3969"/>
      <c r="D68" s="3969"/>
      <c r="E68" s="3969"/>
      <c r="F68" s="3969"/>
      <c r="G68" s="3066"/>
      <c r="H68" s="3229"/>
      <c r="I68" s="3066"/>
      <c r="J68" s="3229"/>
      <c r="K68" s="3066"/>
      <c r="L68" s="3229"/>
      <c r="M68" s="3066"/>
      <c r="N68" s="3229"/>
      <c r="O68" s="3139"/>
      <c r="P68" s="3140"/>
      <c r="Q68" s="3101"/>
      <c r="R68" s="3027"/>
      <c r="S68" s="64"/>
      <c r="T68" s="64"/>
      <c r="U68" s="64"/>
    </row>
    <row r="69" spans="1:21" s="60" customFormat="1" ht="18.5" x14ac:dyDescent="0.35">
      <c r="A69" s="3968"/>
      <c r="B69" s="3969"/>
      <c r="C69" s="3969"/>
      <c r="D69" s="3969"/>
      <c r="E69" s="3969"/>
      <c r="F69" s="3969"/>
      <c r="G69" s="3109"/>
      <c r="H69" s="3110"/>
      <c r="I69" s="3109"/>
      <c r="J69" s="3110"/>
      <c r="K69" s="3109"/>
      <c r="L69" s="3110"/>
      <c r="M69" s="3109"/>
      <c r="N69" s="3111"/>
      <c r="O69" s="3139"/>
      <c r="P69" s="3154"/>
      <c r="Q69" s="3101"/>
      <c r="R69" s="3027"/>
      <c r="S69" s="64"/>
      <c r="T69" s="64"/>
      <c r="U69" s="64"/>
    </row>
    <row r="70" spans="1:21" s="66" customFormat="1" ht="18.5" x14ac:dyDescent="0.35">
      <c r="A70" s="4145" t="s">
        <v>2931</v>
      </c>
      <c r="B70" s="4146"/>
      <c r="C70" s="4146"/>
      <c r="D70" s="4146"/>
      <c r="E70" s="4146"/>
      <c r="F70" s="4146"/>
      <c r="G70" s="3045"/>
      <c r="H70" s="3046"/>
      <c r="I70" s="3045"/>
      <c r="J70" s="3046"/>
      <c r="K70" s="3045"/>
      <c r="L70" s="3046"/>
      <c r="M70" s="3045"/>
      <c r="N70" s="3076"/>
      <c r="O70" s="3139"/>
      <c r="P70" s="3140"/>
      <c r="Q70" s="3101"/>
      <c r="R70" s="3027"/>
      <c r="S70" s="1565"/>
      <c r="T70" s="397"/>
      <c r="U70" s="397"/>
    </row>
    <row r="71" spans="1:21" s="60" customFormat="1" ht="18.75" customHeight="1" x14ac:dyDescent="0.35">
      <c r="A71" s="4163" t="s">
        <v>2933</v>
      </c>
      <c r="B71" s="3956"/>
      <c r="C71" s="3956"/>
      <c r="D71" s="3956"/>
      <c r="E71" s="3956"/>
      <c r="F71" s="3956"/>
      <c r="G71" s="3068"/>
      <c r="H71" s="3230"/>
      <c r="I71" s="3068"/>
      <c r="J71" s="3230"/>
      <c r="K71" s="3068"/>
      <c r="L71" s="3230"/>
      <c r="M71" s="3068"/>
      <c r="N71" s="3231"/>
      <c r="O71" s="3139"/>
      <c r="P71" s="3140"/>
      <c r="Q71" s="3101"/>
      <c r="R71" s="3027"/>
      <c r="S71" s="463"/>
      <c r="T71" s="64"/>
      <c r="U71" s="64"/>
    </row>
    <row r="72" spans="1:21" s="60" customFormat="1" ht="18.75" hidden="1" customHeight="1" x14ac:dyDescent="0.35">
      <c r="A72" s="4163" t="s">
        <v>2932</v>
      </c>
      <c r="B72" s="3956"/>
      <c r="C72" s="3956"/>
      <c r="D72" s="3956"/>
      <c r="E72" s="3956"/>
      <c r="F72" s="3956"/>
      <c r="G72" s="3068"/>
      <c r="H72" s="3230"/>
      <c r="I72" s="3068"/>
      <c r="J72" s="3230"/>
      <c r="K72" s="3068"/>
      <c r="L72" s="3230"/>
      <c r="M72" s="3068"/>
      <c r="N72" s="3231"/>
      <c r="O72" s="3139"/>
      <c r="P72" s="3140"/>
      <c r="Q72" s="3101"/>
      <c r="R72" s="3027"/>
      <c r="S72" s="463"/>
      <c r="T72" s="64"/>
      <c r="U72" s="64"/>
    </row>
    <row r="73" spans="1:21" s="60" customFormat="1" ht="18.75" customHeight="1" x14ac:dyDescent="0.35">
      <c r="A73" s="4163" t="s">
        <v>2934</v>
      </c>
      <c r="B73" s="3956"/>
      <c r="C73" s="3956"/>
      <c r="D73" s="3956"/>
      <c r="E73" s="3956"/>
      <c r="F73" s="3956"/>
      <c r="G73" s="3232"/>
      <c r="H73" s="3233"/>
      <c r="I73" s="3232"/>
      <c r="J73" s="3233"/>
      <c r="K73" s="3232"/>
      <c r="L73" s="3233"/>
      <c r="M73" s="3232"/>
      <c r="N73" s="3234"/>
      <c r="O73" s="3139"/>
      <c r="P73" s="3140"/>
      <c r="Q73" s="3101"/>
      <c r="R73" s="3027"/>
      <c r="S73" s="463"/>
      <c r="T73" s="64"/>
      <c r="U73" s="64"/>
    </row>
    <row r="74" spans="1:21" s="60" customFormat="1" ht="18.5" x14ac:dyDescent="0.35">
      <c r="A74" s="3968"/>
      <c r="B74" s="3969"/>
      <c r="C74" s="3969"/>
      <c r="D74" s="3969"/>
      <c r="E74" s="3969"/>
      <c r="F74" s="3969"/>
      <c r="G74" s="3045"/>
      <c r="H74" s="3046"/>
      <c r="I74" s="3045"/>
      <c r="J74" s="3046"/>
      <c r="K74" s="3045"/>
      <c r="L74" s="3046"/>
      <c r="M74" s="3045"/>
      <c r="N74" s="3076"/>
      <c r="O74" s="3139"/>
      <c r="P74" s="3140"/>
      <c r="Q74" s="3101"/>
      <c r="R74" s="3027"/>
      <c r="S74" s="463"/>
      <c r="T74" s="64"/>
      <c r="U74" s="64"/>
    </row>
    <row r="75" spans="1:21" s="66" customFormat="1" ht="18.5" x14ac:dyDescent="0.35">
      <c r="A75" s="3958"/>
      <c r="B75" s="3959"/>
      <c r="C75" s="3959"/>
      <c r="D75" s="3959"/>
      <c r="E75" s="3959"/>
      <c r="F75" s="3959"/>
      <c r="G75" s="3045"/>
      <c r="H75" s="3046"/>
      <c r="I75" s="3045"/>
      <c r="J75" s="3046"/>
      <c r="K75" s="3045"/>
      <c r="L75" s="3046"/>
      <c r="M75" s="3045"/>
      <c r="N75" s="3076"/>
      <c r="O75" s="3139"/>
      <c r="P75" s="3140"/>
      <c r="Q75" s="3101"/>
      <c r="R75" s="3027"/>
      <c r="S75" s="1565"/>
      <c r="T75" s="397"/>
      <c r="U75" s="397"/>
    </row>
    <row r="76" spans="1:21" s="60" customFormat="1" ht="18.75" customHeight="1" x14ac:dyDescent="0.35">
      <c r="A76" s="3981"/>
      <c r="B76" s="3982"/>
      <c r="C76" s="3982"/>
      <c r="D76" s="3982"/>
      <c r="E76" s="3982"/>
      <c r="F76" s="3982"/>
      <c r="G76" s="3045"/>
      <c r="H76" s="3046"/>
      <c r="I76" s="3045"/>
      <c r="J76" s="3046"/>
      <c r="K76" s="3045"/>
      <c r="L76" s="3046"/>
      <c r="M76" s="3045"/>
      <c r="N76" s="3076"/>
      <c r="O76" s="3139"/>
      <c r="P76" s="3140"/>
      <c r="Q76" s="3101"/>
      <c r="R76" s="3027"/>
      <c r="S76" s="463"/>
      <c r="T76" s="64"/>
      <c r="U76" s="64"/>
    </row>
    <row r="77" spans="1:21" s="60" customFormat="1" ht="18.75" customHeight="1" x14ac:dyDescent="0.35">
      <c r="A77" s="3955"/>
      <c r="B77" s="3956"/>
      <c r="C77" s="3956"/>
      <c r="D77" s="3956"/>
      <c r="E77" s="3956"/>
      <c r="F77" s="3956"/>
      <c r="G77" s="3045"/>
      <c r="H77" s="3046"/>
      <c r="I77" s="3045"/>
      <c r="J77" s="3046"/>
      <c r="K77" s="3045"/>
      <c r="L77" s="3046"/>
      <c r="M77" s="3045"/>
      <c r="N77" s="3076"/>
      <c r="O77" s="3139"/>
      <c r="P77" s="3140"/>
      <c r="Q77" s="3101"/>
      <c r="R77" s="3027"/>
      <c r="S77" s="463"/>
      <c r="T77" s="64"/>
      <c r="U77" s="64"/>
    </row>
    <row r="78" spans="1:21" s="60" customFormat="1" ht="18.75" customHeight="1" x14ac:dyDescent="0.35">
      <c r="A78" s="3955"/>
      <c r="B78" s="3956"/>
      <c r="C78" s="3956"/>
      <c r="D78" s="3956"/>
      <c r="E78" s="3956"/>
      <c r="F78" s="3956"/>
      <c r="G78" s="3045"/>
      <c r="H78" s="3046"/>
      <c r="I78" s="3045"/>
      <c r="J78" s="3046"/>
      <c r="K78" s="3045"/>
      <c r="L78" s="3046"/>
      <c r="M78" s="3045"/>
      <c r="N78" s="3076"/>
      <c r="O78" s="3139"/>
      <c r="P78" s="3140"/>
      <c r="Q78" s="3101"/>
      <c r="R78" s="3027"/>
      <c r="S78" s="463"/>
      <c r="T78" s="64"/>
      <c r="U78" s="64"/>
    </row>
    <row r="79" spans="1:21" s="66" customFormat="1" ht="18.5" x14ac:dyDescent="0.35">
      <c r="A79" s="3958"/>
      <c r="B79" s="3959"/>
      <c r="C79" s="3959"/>
      <c r="D79" s="3959"/>
      <c r="E79" s="3959"/>
      <c r="F79" s="3959"/>
      <c r="G79" s="3045"/>
      <c r="H79" s="3046"/>
      <c r="I79" s="3045"/>
      <c r="J79" s="3046"/>
      <c r="K79" s="3045"/>
      <c r="L79" s="3046"/>
      <c r="M79" s="3045"/>
      <c r="N79" s="3076"/>
      <c r="O79" s="3139"/>
      <c r="P79" s="3140"/>
      <c r="Q79" s="3101"/>
      <c r="R79" s="3027"/>
      <c r="S79" s="1565"/>
      <c r="T79" s="397"/>
      <c r="U79" s="397"/>
    </row>
    <row r="80" spans="1:21" s="60" customFormat="1" ht="18.5" x14ac:dyDescent="0.35">
      <c r="A80" s="4141"/>
      <c r="B80" s="4142"/>
      <c r="C80" s="4142"/>
      <c r="D80" s="4142"/>
      <c r="E80" s="4142"/>
      <c r="F80" s="4142"/>
      <c r="G80" s="3045"/>
      <c r="H80" s="3046"/>
      <c r="I80" s="3045"/>
      <c r="J80" s="3046"/>
      <c r="K80" s="3045"/>
      <c r="L80" s="3046"/>
      <c r="M80" s="3045"/>
      <c r="N80" s="3076"/>
      <c r="O80" s="3139"/>
      <c r="P80" s="3140"/>
      <c r="Q80" s="3101"/>
      <c r="R80" s="3027"/>
      <c r="S80" s="64"/>
      <c r="T80" s="64"/>
      <c r="U80" s="64"/>
    </row>
    <row r="81" spans="1:21" s="60" customFormat="1" ht="18.75" customHeight="1" x14ac:dyDescent="0.35">
      <c r="A81" s="3968"/>
      <c r="B81" s="3969"/>
      <c r="C81" s="3969"/>
      <c r="D81" s="3969"/>
      <c r="E81" s="3969"/>
      <c r="F81" s="3969"/>
      <c r="G81" s="3045"/>
      <c r="H81" s="3046"/>
      <c r="I81" s="3045"/>
      <c r="J81" s="3046"/>
      <c r="K81" s="3045"/>
      <c r="L81" s="3046"/>
      <c r="M81" s="3045"/>
      <c r="N81" s="3076"/>
      <c r="O81" s="3139"/>
      <c r="P81" s="3140"/>
      <c r="Q81" s="3101"/>
      <c r="R81" s="3027"/>
      <c r="S81" s="463"/>
      <c r="T81" s="64"/>
      <c r="U81" s="64"/>
    </row>
    <row r="82" spans="1:21" s="60" customFormat="1" ht="18.5" x14ac:dyDescent="0.35">
      <c r="A82" s="4135"/>
      <c r="B82" s="4136"/>
      <c r="C82" s="4136"/>
      <c r="D82" s="4136"/>
      <c r="E82" s="4136"/>
      <c r="F82" s="4136"/>
      <c r="G82" s="3045"/>
      <c r="H82" s="3046"/>
      <c r="I82" s="3045"/>
      <c r="J82" s="3046"/>
      <c r="K82" s="3045"/>
      <c r="L82" s="3046"/>
      <c r="M82" s="3045"/>
      <c r="N82" s="3076"/>
      <c r="O82" s="3139"/>
      <c r="P82" s="3140"/>
      <c r="Q82" s="3101"/>
      <c r="R82" s="3027"/>
      <c r="S82" s="64"/>
      <c r="T82" s="64"/>
      <c r="U82" s="64"/>
    </row>
    <row r="83" spans="1:21" s="60" customFormat="1" ht="18.75" customHeight="1" x14ac:dyDescent="0.35">
      <c r="A83" s="3968"/>
      <c r="B83" s="3969"/>
      <c r="C83" s="3969"/>
      <c r="D83" s="3969"/>
      <c r="E83" s="3969"/>
      <c r="F83" s="3969"/>
      <c r="G83" s="3045"/>
      <c r="H83" s="3046"/>
      <c r="I83" s="3045"/>
      <c r="J83" s="3046"/>
      <c r="K83" s="3045"/>
      <c r="L83" s="3046"/>
      <c r="M83" s="3045"/>
      <c r="N83" s="3076"/>
      <c r="O83" s="3139"/>
      <c r="P83" s="3140"/>
      <c r="Q83" s="3101"/>
      <c r="R83" s="3027"/>
      <c r="S83" s="463"/>
      <c r="T83" s="64"/>
      <c r="U83" s="64"/>
    </row>
    <row r="84" spans="1:21" s="60" customFormat="1" ht="18.5" x14ac:dyDescent="0.35">
      <c r="A84" s="4135"/>
      <c r="B84" s="4136"/>
      <c r="C84" s="4136"/>
      <c r="D84" s="4136"/>
      <c r="E84" s="4136"/>
      <c r="F84" s="4136"/>
      <c r="G84" s="3045"/>
      <c r="H84" s="3046"/>
      <c r="I84" s="3045"/>
      <c r="J84" s="3046"/>
      <c r="K84" s="3045"/>
      <c r="L84" s="3046"/>
      <c r="M84" s="3045"/>
      <c r="N84" s="3076"/>
      <c r="O84" s="3139"/>
      <c r="P84" s="3140"/>
      <c r="Q84" s="3101"/>
      <c r="R84" s="3027"/>
      <c r="S84" s="64"/>
      <c r="T84" s="64"/>
      <c r="U84" s="64"/>
    </row>
    <row r="85" spans="1:21" s="60" customFormat="1" ht="19" thickBot="1" x14ac:dyDescent="0.4">
      <c r="A85" s="4137"/>
      <c r="B85" s="4138"/>
      <c r="C85" s="4138"/>
      <c r="D85" s="4138"/>
      <c r="E85" s="4138"/>
      <c r="F85" s="4138"/>
      <c r="G85" s="3235"/>
      <c r="H85" s="3072"/>
      <c r="I85" s="3235"/>
      <c r="J85" s="3072"/>
      <c r="K85" s="3235"/>
      <c r="L85" s="3072"/>
      <c r="M85" s="3235"/>
      <c r="N85" s="3086"/>
      <c r="O85" s="3157"/>
      <c r="P85" s="3158"/>
      <c r="Q85" s="3105"/>
      <c r="R85" s="3205"/>
      <c r="S85" s="64"/>
      <c r="T85" s="64"/>
      <c r="U85" s="64"/>
    </row>
    <row r="86" spans="1:21" ht="15" thickTop="1" x14ac:dyDescent="0.35"/>
  </sheetData>
  <mergeCells count="90">
    <mergeCell ref="D1:G1"/>
    <mergeCell ref="I1:J1"/>
    <mergeCell ref="L1:M1"/>
    <mergeCell ref="D2:G2"/>
    <mergeCell ref="I2:J2"/>
    <mergeCell ref="L2:M2"/>
    <mergeCell ref="A13:F13"/>
    <mergeCell ref="D3:G3"/>
    <mergeCell ref="A4:G4"/>
    <mergeCell ref="A6:F7"/>
    <mergeCell ref="G6:H6"/>
    <mergeCell ref="H4:R4"/>
    <mergeCell ref="Q6:R6"/>
    <mergeCell ref="A9:F9"/>
    <mergeCell ref="A10:F10"/>
    <mergeCell ref="A11:F11"/>
    <mergeCell ref="A12:F12"/>
    <mergeCell ref="I6:J6"/>
    <mergeCell ref="K6:L6"/>
    <mergeCell ref="M6:N6"/>
    <mergeCell ref="O6:P6"/>
    <mergeCell ref="A25:F25"/>
    <mergeCell ref="A14:F14"/>
    <mergeCell ref="A15:F15"/>
    <mergeCell ref="A16:F16"/>
    <mergeCell ref="A17:F17"/>
    <mergeCell ref="A18:F18"/>
    <mergeCell ref="A19:F19"/>
    <mergeCell ref="A20:F20"/>
    <mergeCell ref="A21:F21"/>
    <mergeCell ref="A22:F22"/>
    <mergeCell ref="A23:F23"/>
    <mergeCell ref="A24:F24"/>
    <mergeCell ref="A33:F33"/>
    <mergeCell ref="A34:F34"/>
    <mergeCell ref="A35:F35"/>
    <mergeCell ref="A36:F36"/>
    <mergeCell ref="A26:F26"/>
    <mergeCell ref="A27:F27"/>
    <mergeCell ref="A28:F28"/>
    <mergeCell ref="A29:F29"/>
    <mergeCell ref="A31:F31"/>
    <mergeCell ref="A32:F32"/>
    <mergeCell ref="A52:F52"/>
    <mergeCell ref="A37:F37"/>
    <mergeCell ref="A38:F38"/>
    <mergeCell ref="A39:F39"/>
    <mergeCell ref="A40:F40"/>
    <mergeCell ref="A50:F50"/>
    <mergeCell ref="A51:F51"/>
    <mergeCell ref="A44:F44"/>
    <mergeCell ref="A45:F45"/>
    <mergeCell ref="A46:F46"/>
    <mergeCell ref="A41:F41"/>
    <mergeCell ref="A42:F42"/>
    <mergeCell ref="A43:F43"/>
    <mergeCell ref="A62:F62"/>
    <mergeCell ref="A53:F53"/>
    <mergeCell ref="A54:F54"/>
    <mergeCell ref="A60:F60"/>
    <mergeCell ref="A56:F56"/>
    <mergeCell ref="A57:F57"/>
    <mergeCell ref="A59:F59"/>
    <mergeCell ref="A61:F61"/>
    <mergeCell ref="A84:F84"/>
    <mergeCell ref="A85:F85"/>
    <mergeCell ref="A55:F55"/>
    <mergeCell ref="A47:F47"/>
    <mergeCell ref="A48:F48"/>
    <mergeCell ref="A49:F49"/>
    <mergeCell ref="A76:F76"/>
    <mergeCell ref="A77:F77"/>
    <mergeCell ref="A78:F78"/>
    <mergeCell ref="A79:F79"/>
    <mergeCell ref="A80:F80"/>
    <mergeCell ref="A81:F81"/>
    <mergeCell ref="A70:F70"/>
    <mergeCell ref="A71:F71"/>
    <mergeCell ref="A72:F72"/>
    <mergeCell ref="A73:F73"/>
    <mergeCell ref="A82:F82"/>
    <mergeCell ref="A83:F83"/>
    <mergeCell ref="A74:F74"/>
    <mergeCell ref="A75:F75"/>
    <mergeCell ref="A64:F64"/>
    <mergeCell ref="A65:F65"/>
    <mergeCell ref="A66:F66"/>
    <mergeCell ref="A67:F67"/>
    <mergeCell ref="A68:F68"/>
    <mergeCell ref="A69:F69"/>
  </mergeCells>
  <dataValidations count="1">
    <dataValidation type="list" allowBlank="1" showInputMessage="1" showErrorMessage="1" sqref="I2" xr:uid="{00000000-0002-0000-1000-000000000000}">
      <formula1>AvancementTheme</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V48"/>
  <sheetViews>
    <sheetView showGridLines="0" zoomScale="80" zoomScaleNormal="80" workbookViewId="0">
      <selection activeCell="J42" sqref="J42"/>
    </sheetView>
  </sheetViews>
  <sheetFormatPr baseColWidth="10" defaultRowHeight="14.5" x14ac:dyDescent="0.35"/>
  <cols>
    <col min="5" max="5" width="14.81640625" customWidth="1"/>
    <col min="6" max="6" width="11.7265625" customWidth="1"/>
    <col min="7" max="7" width="12.54296875" bestFit="1" customWidth="1"/>
    <col min="8" max="8" width="11.54296875" bestFit="1" customWidth="1"/>
    <col min="9" max="9" width="12.54296875" bestFit="1" customWidth="1"/>
    <col min="10" max="10" width="13.453125" bestFit="1" customWidth="1"/>
    <col min="11" max="11" width="13.26953125" bestFit="1" customWidth="1"/>
    <col min="12" max="12" width="13.453125" bestFit="1" customWidth="1"/>
    <col min="13" max="13" width="13.26953125" bestFit="1" customWidth="1"/>
    <col min="14" max="14" width="13.453125" bestFit="1" customWidth="1"/>
    <col min="15" max="15" width="15.1796875" customWidth="1"/>
    <col min="16" max="16" width="15.7265625" customWidth="1"/>
    <col min="17" max="17" width="15.81640625" style="3026" customWidth="1"/>
    <col min="18" max="18" width="11.453125" style="3026"/>
  </cols>
  <sheetData>
    <row r="1" spans="1:22" s="1720" customFormat="1" ht="15" customHeight="1" x14ac:dyDescent="0.35">
      <c r="A1" s="3021"/>
      <c r="B1" s="3021"/>
      <c r="C1" s="3021"/>
      <c r="D1" s="4096" t="s">
        <v>5</v>
      </c>
      <c r="E1" s="4096"/>
      <c r="F1" s="4096"/>
      <c r="G1" s="4096"/>
      <c r="H1" s="1717"/>
      <c r="I1" s="4096" t="s">
        <v>6</v>
      </c>
      <c r="J1" s="4096"/>
      <c r="K1" s="3021"/>
      <c r="L1" s="4096" t="s">
        <v>9</v>
      </c>
      <c r="M1" s="4096"/>
      <c r="N1" s="3021"/>
      <c r="O1" s="1718"/>
      <c r="P1" s="1718"/>
      <c r="Q1" s="1719"/>
      <c r="R1" s="1719"/>
      <c r="S1" s="1719"/>
      <c r="T1" s="1719"/>
    </row>
    <row r="2" spans="1:22" s="1725" customFormat="1" ht="18" customHeight="1" x14ac:dyDescent="0.35">
      <c r="A2" s="1721"/>
      <c r="B2" s="1721"/>
      <c r="C2" s="1721"/>
      <c r="D2" s="4099" t="str">
        <f>NomClient</f>
        <v xml:space="preserve">EQUINIX </v>
      </c>
      <c r="E2" s="4100"/>
      <c r="F2" s="4100"/>
      <c r="G2" s="4101"/>
      <c r="H2" s="1721"/>
      <c r="I2" s="4102" t="s">
        <v>407</v>
      </c>
      <c r="J2" s="4103"/>
      <c r="K2" s="1721"/>
      <c r="L2" s="3347">
        <v>42534.898472222223</v>
      </c>
      <c r="M2" s="3348"/>
      <c r="N2" s="1722"/>
      <c r="O2" s="1723"/>
      <c r="P2" s="1723"/>
      <c r="Q2" s="3024"/>
      <c r="R2" s="3024"/>
      <c r="S2" s="1724"/>
      <c r="T2" s="1724"/>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165"/>
      <c r="R3" s="165"/>
      <c r="S3" s="64"/>
      <c r="T3" s="64"/>
      <c r="U3" s="64"/>
      <c r="V3" s="64"/>
    </row>
    <row r="4" spans="1:22" s="1729" customFormat="1" ht="31.5" customHeight="1" thickBot="1" x14ac:dyDescent="0.4">
      <c r="A4" s="4104" t="str">
        <f>Parametre!B24  &amp; "  : "</f>
        <v xml:space="preserve">Vision, Attente &amp; Stratégie  : </v>
      </c>
      <c r="B4" s="4104"/>
      <c r="C4" s="4104"/>
      <c r="D4" s="4104"/>
      <c r="E4" s="4104"/>
      <c r="F4" s="4104"/>
      <c r="G4" s="4104"/>
      <c r="H4" s="4105" t="s">
        <v>2911</v>
      </c>
      <c r="I4" s="4105"/>
      <c r="J4" s="4105"/>
      <c r="K4" s="4105"/>
      <c r="L4" s="4105"/>
      <c r="M4" s="4105"/>
      <c r="N4" s="4105"/>
      <c r="O4" s="4105"/>
      <c r="P4" s="4106"/>
      <c r="Q4" s="3025"/>
      <c r="R4" s="3025"/>
      <c r="S4" s="1728"/>
      <c r="T4" s="1728"/>
    </row>
    <row r="5" spans="1:22" ht="8.25" customHeight="1" thickBot="1" x14ac:dyDescent="0.4"/>
    <row r="6" spans="1:22" s="62" customFormat="1" ht="21.75" customHeight="1" thickTop="1" x14ac:dyDescent="0.35">
      <c r="A6" s="4022" t="s">
        <v>524</v>
      </c>
      <c r="B6" s="4023"/>
      <c r="C6" s="4023"/>
      <c r="D6" s="4023"/>
      <c r="E6" s="4023"/>
      <c r="F6" s="4024"/>
      <c r="G6" s="4152" t="s">
        <v>2481</v>
      </c>
      <c r="H6" s="4153"/>
      <c r="I6" s="4152" t="s">
        <v>2482</v>
      </c>
      <c r="J6" s="4153"/>
      <c r="K6" s="4152" t="s">
        <v>2483</v>
      </c>
      <c r="L6" s="4153"/>
      <c r="M6" s="4152" t="s">
        <v>2484</v>
      </c>
      <c r="N6" s="4154"/>
      <c r="O6" s="4155" t="s">
        <v>2882</v>
      </c>
      <c r="P6" s="4156"/>
      <c r="Q6" s="4157" t="s">
        <v>246</v>
      </c>
      <c r="R6" s="4158"/>
      <c r="S6" s="462"/>
      <c r="T6" s="462"/>
      <c r="U6" s="462"/>
    </row>
    <row r="7" spans="1:22" s="62" customFormat="1" ht="21.5" thickBot="1" x14ac:dyDescent="0.4">
      <c r="A7" s="4025"/>
      <c r="B7" s="4026"/>
      <c r="C7" s="4026"/>
      <c r="D7" s="4026"/>
      <c r="E7" s="4026"/>
      <c r="F7" s="4027"/>
      <c r="G7" s="3039" t="s">
        <v>2892</v>
      </c>
      <c r="H7" s="3040" t="s">
        <v>2485</v>
      </c>
      <c r="I7" s="3039" t="s">
        <v>2892</v>
      </c>
      <c r="J7" s="3040" t="s">
        <v>2485</v>
      </c>
      <c r="K7" s="3039" t="s">
        <v>2892</v>
      </c>
      <c r="L7" s="3040" t="s">
        <v>2485</v>
      </c>
      <c r="M7" s="3039" t="s">
        <v>2892</v>
      </c>
      <c r="N7" s="3073" t="s">
        <v>2485</v>
      </c>
      <c r="O7" s="3133" t="s">
        <v>2892</v>
      </c>
      <c r="P7" s="3134" t="s">
        <v>2485</v>
      </c>
      <c r="Q7" s="3087" t="s">
        <v>1010</v>
      </c>
      <c r="R7" s="3088" t="s">
        <v>2883</v>
      </c>
      <c r="S7" s="462"/>
      <c r="T7" s="462"/>
      <c r="U7" s="462"/>
    </row>
    <row r="8" spans="1:22" ht="15" thickBot="1" x14ac:dyDescent="0.4">
      <c r="A8" s="3036"/>
      <c r="B8" s="3037"/>
      <c r="C8" s="3037"/>
      <c r="D8" s="3037"/>
      <c r="E8" s="3037"/>
      <c r="F8" s="3037"/>
      <c r="G8" s="3041"/>
      <c r="H8" s="3042"/>
      <c r="I8" s="3041"/>
      <c r="J8" s="3042"/>
      <c r="K8" s="3041"/>
      <c r="L8" s="3042"/>
      <c r="M8" s="3041"/>
      <c r="N8" s="3074"/>
      <c r="O8" s="3135"/>
      <c r="P8" s="3136"/>
      <c r="Q8" s="3089"/>
      <c r="R8" s="3038"/>
    </row>
    <row r="9" spans="1:22" ht="18.5" x14ac:dyDescent="0.35">
      <c r="A9" s="4172" t="s">
        <v>2935</v>
      </c>
      <c r="B9" s="4173"/>
      <c r="C9" s="4173"/>
      <c r="D9" s="4173"/>
      <c r="E9" s="4173"/>
      <c r="F9" s="4173"/>
      <c r="G9" s="3041"/>
      <c r="H9" s="3042"/>
      <c r="I9" s="3041"/>
      <c r="J9" s="3042"/>
      <c r="K9" s="3041"/>
      <c r="L9" s="3042"/>
      <c r="M9" s="3041"/>
      <c r="N9" s="3074"/>
      <c r="O9" s="3135"/>
      <c r="P9" s="3136"/>
      <c r="Q9" s="3089"/>
      <c r="R9" s="3038"/>
    </row>
    <row r="10" spans="1:22" s="60" customFormat="1" ht="18.5" x14ac:dyDescent="0.35">
      <c r="A10" s="3981" t="s">
        <v>2486</v>
      </c>
      <c r="B10" s="3982"/>
      <c r="C10" s="3982"/>
      <c r="D10" s="3982"/>
      <c r="E10" s="3982"/>
      <c r="F10" s="3982"/>
      <c r="G10" s="3043">
        <v>2</v>
      </c>
      <c r="H10" s="3044">
        <v>2</v>
      </c>
      <c r="I10" s="3043">
        <v>5</v>
      </c>
      <c r="J10" s="3044">
        <v>3</v>
      </c>
      <c r="K10" s="3043">
        <v>7</v>
      </c>
      <c r="L10" s="3044">
        <v>5</v>
      </c>
      <c r="M10" s="3043">
        <v>11</v>
      </c>
      <c r="N10" s="3075">
        <v>9</v>
      </c>
      <c r="O10" s="3137">
        <f>G10+I10+K10+M10</f>
        <v>25</v>
      </c>
      <c r="P10" s="3138">
        <f>H10+J10+L10+N10</f>
        <v>19</v>
      </c>
      <c r="Q10" s="3103">
        <f>P10-O10</f>
        <v>-6</v>
      </c>
      <c r="R10" s="3091">
        <f>P10/O10</f>
        <v>0.76</v>
      </c>
      <c r="S10" s="463"/>
      <c r="T10" s="64"/>
      <c r="U10" s="64"/>
    </row>
    <row r="11" spans="1:22" s="66" customFormat="1" ht="18.5" x14ac:dyDescent="0.35">
      <c r="A11" s="4150"/>
      <c r="B11" s="4151"/>
      <c r="C11" s="4151"/>
      <c r="D11" s="4151"/>
      <c r="E11" s="4151"/>
      <c r="F11" s="4151"/>
      <c r="G11" s="3045"/>
      <c r="H11" s="3046"/>
      <c r="I11" s="3045"/>
      <c r="J11" s="3046"/>
      <c r="K11" s="3045"/>
      <c r="L11" s="3046"/>
      <c r="M11" s="3045"/>
      <c r="N11" s="3076"/>
      <c r="O11" s="3139"/>
      <c r="P11" s="3140"/>
      <c r="Q11" s="3192"/>
      <c r="R11" s="3070"/>
      <c r="S11" s="1565"/>
      <c r="T11" s="397"/>
      <c r="U11" s="397"/>
    </row>
    <row r="12" spans="1:22" s="60" customFormat="1" ht="18.5" x14ac:dyDescent="0.35">
      <c r="A12" s="4159" t="s">
        <v>2900</v>
      </c>
      <c r="B12" s="4160"/>
      <c r="C12" s="4160"/>
      <c r="D12" s="4160"/>
      <c r="E12" s="4160"/>
      <c r="F12" s="4160"/>
      <c r="G12" s="3047">
        <f>'SALESPLAN 3Y'!H38</f>
        <v>277760</v>
      </c>
      <c r="H12" s="3132">
        <f>H14/H10</f>
        <v>290000</v>
      </c>
      <c r="I12" s="3047">
        <f>'SALESPLAN 3Y'!H38</f>
        <v>277760</v>
      </c>
      <c r="J12" s="3132">
        <f>J14/J10</f>
        <v>250000</v>
      </c>
      <c r="K12" s="3047">
        <f>'SALESPLAN 3Y'!H38</f>
        <v>277760</v>
      </c>
      <c r="L12" s="3132">
        <f>L14/L10</f>
        <v>246000</v>
      </c>
      <c r="M12" s="3047">
        <f>'SALESPLAN 3Y'!H38</f>
        <v>277760</v>
      </c>
      <c r="N12" s="3075">
        <f>N14/N10</f>
        <v>216000</v>
      </c>
      <c r="O12" s="3137">
        <f>AVERAGE(G12,I12,K12,M12)</f>
        <v>277760</v>
      </c>
      <c r="P12" s="3138">
        <f>AVERAGE(H12,J12,L12,N12)</f>
        <v>250500</v>
      </c>
      <c r="Q12" s="3193">
        <f>P12-O12</f>
        <v>-27260</v>
      </c>
      <c r="R12" s="3094">
        <f>P12/O12</f>
        <v>0.90185771889400923</v>
      </c>
      <c r="S12" s="463"/>
      <c r="T12" s="64"/>
      <c r="U12" s="64"/>
    </row>
    <row r="13" spans="1:22" s="66" customFormat="1" ht="18.5" x14ac:dyDescent="0.35">
      <c r="A13" s="4145"/>
      <c r="B13" s="4146"/>
      <c r="C13" s="4146"/>
      <c r="D13" s="4146"/>
      <c r="E13" s="4146"/>
      <c r="F13" s="4146"/>
      <c r="G13" s="3048"/>
      <c r="H13" s="3046"/>
      <c r="I13" s="3048"/>
      <c r="J13" s="3046"/>
      <c r="K13" s="3048"/>
      <c r="L13" s="3046"/>
      <c r="M13" s="3048"/>
      <c r="N13" s="3167"/>
      <c r="O13" s="3190"/>
      <c r="P13" s="3152"/>
      <c r="Q13" s="3194"/>
      <c r="R13" s="3169"/>
      <c r="S13" s="1565"/>
      <c r="T13" s="397"/>
      <c r="U13" s="397"/>
    </row>
    <row r="14" spans="1:22" s="60" customFormat="1" ht="18.5" x14ac:dyDescent="0.35">
      <c r="A14" s="3981" t="s">
        <v>2901</v>
      </c>
      <c r="B14" s="3982"/>
      <c r="C14" s="3982"/>
      <c r="D14" s="3982"/>
      <c r="E14" s="3982"/>
      <c r="F14" s="3982"/>
      <c r="G14" s="3170">
        <f>G10*G12</f>
        <v>555520</v>
      </c>
      <c r="H14" s="3171">
        <f>SUM(H15:H16)</f>
        <v>580000</v>
      </c>
      <c r="I14" s="3170">
        <f>I10*I12</f>
        <v>1388800</v>
      </c>
      <c r="J14" s="3171">
        <f>SUM(J15:J16)</f>
        <v>750000</v>
      </c>
      <c r="K14" s="3170">
        <f>K10*K12</f>
        <v>1944320</v>
      </c>
      <c r="L14" s="3171">
        <f>SUM(L15:L16)</f>
        <v>1230000</v>
      </c>
      <c r="M14" s="3170">
        <f>M10*M12</f>
        <v>3055360</v>
      </c>
      <c r="N14" s="3172">
        <f>SUM(N15:N16)</f>
        <v>1944000</v>
      </c>
      <c r="O14" s="3191">
        <f>G14+I14+K14+M14</f>
        <v>6944000</v>
      </c>
      <c r="P14" s="3174">
        <f>H14+J14+L14+N14</f>
        <v>4504000</v>
      </c>
      <c r="Q14" s="3103">
        <f>P14-O14</f>
        <v>-2440000</v>
      </c>
      <c r="R14" s="3091">
        <f>P14/O14</f>
        <v>0.64861751152073732</v>
      </c>
      <c r="S14" s="463"/>
      <c r="T14" s="64"/>
      <c r="U14" s="64"/>
    </row>
    <row r="15" spans="1:22" s="60" customFormat="1" ht="18.5" x14ac:dyDescent="0.35">
      <c r="A15" s="3958" t="s">
        <v>2490</v>
      </c>
      <c r="B15" s="3959"/>
      <c r="C15" s="3959"/>
      <c r="D15" s="3959"/>
      <c r="E15" s="3959"/>
      <c r="F15" s="3959"/>
      <c r="G15" s="3049">
        <f>G10*BUSINESSCARD!I46</f>
        <v>174388.8</v>
      </c>
      <c r="H15" s="3050">
        <v>180000</v>
      </c>
      <c r="I15" s="3049">
        <f>I10*BUSINESSCARD!$I$46</f>
        <v>435972</v>
      </c>
      <c r="J15" s="3050">
        <v>250000</v>
      </c>
      <c r="K15" s="3049">
        <f>K10*BUSINESSCARD!$I$46</f>
        <v>610360.79999999993</v>
      </c>
      <c r="L15" s="3050">
        <v>380000</v>
      </c>
      <c r="M15" s="3049">
        <f>M10*BUSINESSCARD!$I$46</f>
        <v>959138.39999999991</v>
      </c>
      <c r="N15" s="3077">
        <v>584000</v>
      </c>
      <c r="O15" s="3142">
        <f t="shared" ref="O15:P18" si="0">G15+I15+K15+M15</f>
        <v>2179860</v>
      </c>
      <c r="P15" s="3143">
        <f t="shared" si="0"/>
        <v>1394000</v>
      </c>
      <c r="Q15" s="3195">
        <f>P15-O15</f>
        <v>-785860</v>
      </c>
      <c r="R15" s="3096">
        <f t="shared" ref="R15:R18" si="1">P15/O15</f>
        <v>0.63949060948868275</v>
      </c>
      <c r="S15" s="463"/>
      <c r="T15" s="64"/>
      <c r="U15" s="64"/>
    </row>
    <row r="16" spans="1:22" s="60" customFormat="1" ht="18.5" x14ac:dyDescent="0.35">
      <c r="A16" s="4150" t="s">
        <v>2487</v>
      </c>
      <c r="B16" s="4151"/>
      <c r="C16" s="4151"/>
      <c r="D16" s="4151"/>
      <c r="E16" s="4151"/>
      <c r="F16" s="4151"/>
      <c r="G16" s="3049">
        <f>G14*BUSINESSCARD!$K$47</f>
        <v>381131.2</v>
      </c>
      <c r="H16" s="3050">
        <v>400000</v>
      </c>
      <c r="I16" s="3049">
        <f>I14*BUSINESSCARD!$K$47</f>
        <v>952828</v>
      </c>
      <c r="J16" s="3050">
        <v>500000</v>
      </c>
      <c r="K16" s="3049">
        <f>K14*BUSINESSCARD!$K$47</f>
        <v>1333959.2</v>
      </c>
      <c r="L16" s="3050">
        <v>850000</v>
      </c>
      <c r="M16" s="3049">
        <f>M14*BUSINESSCARD!$K$47</f>
        <v>2096221.6</v>
      </c>
      <c r="N16" s="3077">
        <v>1360000</v>
      </c>
      <c r="O16" s="3142">
        <f t="shared" si="0"/>
        <v>4764140</v>
      </c>
      <c r="P16" s="3143">
        <f t="shared" si="0"/>
        <v>3110000</v>
      </c>
      <c r="Q16" s="3195">
        <f t="shared" ref="Q16:Q18" si="2">P16-O16</f>
        <v>-1654140</v>
      </c>
      <c r="R16" s="3096">
        <f t="shared" si="1"/>
        <v>0.65279357869416099</v>
      </c>
      <c r="S16" s="463"/>
      <c r="T16" s="64"/>
      <c r="U16" s="64"/>
    </row>
    <row r="17" spans="1:21" s="60" customFormat="1" ht="18.5" hidden="1" x14ac:dyDescent="0.35">
      <c r="A17" s="3958" t="s">
        <v>2488</v>
      </c>
      <c r="B17" s="3959"/>
      <c r="C17" s="3959"/>
      <c r="D17" s="3959"/>
      <c r="E17" s="3959"/>
      <c r="F17" s="3959"/>
      <c r="G17" s="3206">
        <f>G14*BUSINESSCARD!$M$43</f>
        <v>370000.00000000006</v>
      </c>
      <c r="H17" s="3207">
        <v>375000</v>
      </c>
      <c r="I17" s="3206">
        <f>I14*BUSINESSCARD!$M$43</f>
        <v>925000.00000000012</v>
      </c>
      <c r="J17" s="3207">
        <v>450000</v>
      </c>
      <c r="K17" s="3206">
        <f>K14*BUSINESSCARD!$M$43</f>
        <v>1295000</v>
      </c>
      <c r="L17" s="3207">
        <v>800000</v>
      </c>
      <c r="M17" s="3206">
        <f>M14*BUSINESSCARD!$M$43</f>
        <v>2035000.0000000002</v>
      </c>
      <c r="N17" s="3208">
        <v>1280000</v>
      </c>
      <c r="O17" s="3209">
        <f t="shared" si="0"/>
        <v>4625000</v>
      </c>
      <c r="P17" s="3210">
        <f t="shared" si="0"/>
        <v>2905000</v>
      </c>
      <c r="Q17" s="3211">
        <f t="shared" si="2"/>
        <v>-1720000</v>
      </c>
      <c r="R17" s="3212">
        <f t="shared" si="1"/>
        <v>0.62810810810810813</v>
      </c>
      <c r="S17" s="463"/>
      <c r="T17" s="64"/>
      <c r="U17" s="64"/>
    </row>
    <row r="18" spans="1:21" s="60" customFormat="1" ht="18.5" hidden="1" x14ac:dyDescent="0.35">
      <c r="A18" s="3958" t="s">
        <v>2489</v>
      </c>
      <c r="B18" s="3959"/>
      <c r="C18" s="3959"/>
      <c r="D18" s="3959"/>
      <c r="E18" s="3959"/>
      <c r="F18" s="3959"/>
      <c r="G18" s="3213">
        <f>G14*BUSINESSCARD!$M$25</f>
        <v>11131.2</v>
      </c>
      <c r="H18" s="3214">
        <v>25000</v>
      </c>
      <c r="I18" s="3213">
        <f>I14*BUSINESSCARD!$M$25</f>
        <v>27828.000000000004</v>
      </c>
      <c r="J18" s="3214">
        <v>50000</v>
      </c>
      <c r="K18" s="3213">
        <f>K14*BUSINESSCARD!$M$25</f>
        <v>38959.200000000004</v>
      </c>
      <c r="L18" s="3214">
        <v>50000</v>
      </c>
      <c r="M18" s="3213">
        <f>M14*BUSINESSCARD!$M$25</f>
        <v>61221.600000000006</v>
      </c>
      <c r="N18" s="3215">
        <v>60000</v>
      </c>
      <c r="O18" s="3216">
        <f t="shared" si="0"/>
        <v>139140</v>
      </c>
      <c r="P18" s="3217">
        <f t="shared" si="0"/>
        <v>185000</v>
      </c>
      <c r="Q18" s="3218">
        <f t="shared" si="2"/>
        <v>45860</v>
      </c>
      <c r="R18" s="3219">
        <f t="shared" si="1"/>
        <v>1.329596090268794</v>
      </c>
      <c r="S18" s="463"/>
      <c r="T18" s="64"/>
      <c r="U18" s="64"/>
    </row>
    <row r="19" spans="1:21" s="66" customFormat="1" ht="18.5" x14ac:dyDescent="0.35">
      <c r="A19" s="4145"/>
      <c r="B19" s="4146"/>
      <c r="C19" s="4146"/>
      <c r="D19" s="4146"/>
      <c r="E19" s="4146"/>
      <c r="F19" s="4146"/>
      <c r="G19" s="3045"/>
      <c r="H19" s="3046"/>
      <c r="I19" s="3045"/>
      <c r="J19" s="3046"/>
      <c r="K19" s="3045"/>
      <c r="L19" s="3046"/>
      <c r="M19" s="3045"/>
      <c r="N19" s="3076"/>
      <c r="O19" s="3139"/>
      <c r="P19" s="3140"/>
      <c r="Q19" s="3196"/>
      <c r="R19" s="3197"/>
      <c r="S19" s="1565"/>
      <c r="T19" s="397"/>
      <c r="U19" s="397"/>
    </row>
    <row r="20" spans="1:21" s="60" customFormat="1" ht="18.75" customHeight="1" x14ac:dyDescent="0.35">
      <c r="A20" s="4172" t="s">
        <v>2936</v>
      </c>
      <c r="B20" s="4173"/>
      <c r="C20" s="4173"/>
      <c r="D20" s="4173"/>
      <c r="E20" s="4173"/>
      <c r="F20" s="4173"/>
      <c r="G20" s="3045"/>
      <c r="H20" s="3046"/>
      <c r="I20" s="3045"/>
      <c r="J20" s="3046"/>
      <c r="K20" s="3045"/>
      <c r="L20" s="3046"/>
      <c r="M20" s="3045"/>
      <c r="N20" s="3076"/>
      <c r="O20" s="3139"/>
      <c r="P20" s="3140"/>
      <c r="Q20" s="3104"/>
      <c r="R20" s="3027"/>
      <c r="S20" s="463"/>
      <c r="T20" s="64"/>
      <c r="U20" s="64"/>
    </row>
    <row r="21" spans="1:21" s="66" customFormat="1" ht="19.5" customHeight="1" x14ac:dyDescent="0.35">
      <c r="A21" s="4171" t="s">
        <v>2937</v>
      </c>
      <c r="B21" s="4164"/>
      <c r="C21" s="4164"/>
      <c r="D21" s="4164"/>
      <c r="E21" s="4164"/>
      <c r="F21" s="4165"/>
      <c r="G21" s="3068"/>
      <c r="H21" s="3230"/>
      <c r="I21" s="3068"/>
      <c r="J21" s="3230"/>
      <c r="K21" s="3068"/>
      <c r="L21" s="3230"/>
      <c r="M21" s="3068"/>
      <c r="N21" s="3231"/>
      <c r="O21" s="3139"/>
      <c r="P21" s="3140"/>
      <c r="Q21" s="3104"/>
      <c r="R21" s="3027"/>
      <c r="S21" s="1565"/>
      <c r="T21" s="397"/>
      <c r="U21" s="397"/>
    </row>
    <row r="22" spans="1:21" s="60" customFormat="1" ht="18.5" x14ac:dyDescent="0.35">
      <c r="A22" s="4170" t="s">
        <v>2938</v>
      </c>
      <c r="B22" s="4161"/>
      <c r="C22" s="4161"/>
      <c r="D22" s="4161"/>
      <c r="E22" s="4161"/>
      <c r="F22" s="4162"/>
      <c r="G22" s="3068"/>
      <c r="H22" s="3230"/>
      <c r="I22" s="3068"/>
      <c r="J22" s="3230"/>
      <c r="K22" s="3068"/>
      <c r="L22" s="3230"/>
      <c r="M22" s="3068"/>
      <c r="N22" s="3231"/>
      <c r="O22" s="3139"/>
      <c r="P22" s="3140"/>
      <c r="Q22" s="3104"/>
      <c r="R22" s="3027"/>
      <c r="S22" s="64"/>
      <c r="T22" s="64"/>
      <c r="U22" s="64"/>
    </row>
    <row r="23" spans="1:21" s="60" customFormat="1" ht="18.75" customHeight="1" x14ac:dyDescent="0.35">
      <c r="A23" s="4170" t="s">
        <v>2367</v>
      </c>
      <c r="B23" s="4161"/>
      <c r="C23" s="4161"/>
      <c r="D23" s="4161"/>
      <c r="E23" s="4161"/>
      <c r="F23" s="4162"/>
      <c r="G23" s="3068"/>
      <c r="H23" s="3230"/>
      <c r="I23" s="3068"/>
      <c r="J23" s="3230"/>
      <c r="K23" s="3068"/>
      <c r="L23" s="3230"/>
      <c r="M23" s="3068"/>
      <c r="N23" s="3231"/>
      <c r="O23" s="3139"/>
      <c r="P23" s="3140"/>
      <c r="Q23" s="3104"/>
      <c r="R23" s="3027"/>
      <c r="S23" s="463"/>
      <c r="T23" s="64"/>
      <c r="U23" s="64"/>
    </row>
    <row r="24" spans="1:21" s="60" customFormat="1" ht="18.5" x14ac:dyDescent="0.35">
      <c r="A24" s="4170" t="s">
        <v>2712</v>
      </c>
      <c r="B24" s="4161"/>
      <c r="C24" s="4161"/>
      <c r="D24" s="4161"/>
      <c r="E24" s="4161"/>
      <c r="F24" s="4162"/>
      <c r="G24" s="3068"/>
      <c r="H24" s="3230"/>
      <c r="I24" s="3068"/>
      <c r="J24" s="3230"/>
      <c r="K24" s="3068"/>
      <c r="L24" s="3230"/>
      <c r="M24" s="3068"/>
      <c r="N24" s="3231"/>
      <c r="O24" s="3139"/>
      <c r="P24" s="3140"/>
      <c r="Q24" s="3104"/>
      <c r="R24" s="3027"/>
      <c r="S24" s="64"/>
      <c r="T24" s="64"/>
      <c r="U24" s="64"/>
    </row>
    <row r="25" spans="1:21" s="60" customFormat="1" ht="18.5" x14ac:dyDescent="0.35">
      <c r="A25" s="4170" t="s">
        <v>2714</v>
      </c>
      <c r="B25" s="4161"/>
      <c r="C25" s="4161"/>
      <c r="D25" s="4161"/>
      <c r="E25" s="4161"/>
      <c r="F25" s="4162"/>
      <c r="G25" s="3068"/>
      <c r="H25" s="3230"/>
      <c r="I25" s="3068"/>
      <c r="J25" s="3230"/>
      <c r="K25" s="3068"/>
      <c r="L25" s="3230"/>
      <c r="M25" s="3068"/>
      <c r="N25" s="3231"/>
      <c r="O25" s="3139"/>
      <c r="P25" s="3140"/>
      <c r="Q25" s="3104"/>
      <c r="R25" s="3027"/>
      <c r="S25" s="64"/>
      <c r="T25" s="64"/>
      <c r="U25" s="64"/>
    </row>
    <row r="26" spans="1:21" s="60" customFormat="1" ht="18.75" customHeight="1" x14ac:dyDescent="0.35">
      <c r="A26" s="4170" t="s">
        <v>2371</v>
      </c>
      <c r="B26" s="4161"/>
      <c r="C26" s="4161"/>
      <c r="D26" s="4161"/>
      <c r="E26" s="4161"/>
      <c r="F26" s="4162"/>
      <c r="G26" s="3068"/>
      <c r="H26" s="3230"/>
      <c r="I26" s="3068"/>
      <c r="J26" s="3230"/>
      <c r="K26" s="3068"/>
      <c r="L26" s="3230"/>
      <c r="M26" s="3068"/>
      <c r="N26" s="3231"/>
      <c r="O26" s="3139"/>
      <c r="P26" s="3140"/>
      <c r="Q26" s="3104"/>
      <c r="R26" s="3027"/>
      <c r="S26" s="463"/>
      <c r="T26" s="64"/>
      <c r="U26" s="64"/>
    </row>
    <row r="27" spans="1:21" s="66" customFormat="1" ht="18.5" x14ac:dyDescent="0.35">
      <c r="A27" s="4170" t="s">
        <v>2376</v>
      </c>
      <c r="B27" s="4161"/>
      <c r="C27" s="4161"/>
      <c r="D27" s="4161"/>
      <c r="E27" s="4161"/>
      <c r="F27" s="4162"/>
      <c r="G27" s="3068"/>
      <c r="H27" s="3230"/>
      <c r="I27" s="3068"/>
      <c r="J27" s="3230"/>
      <c r="K27" s="3068"/>
      <c r="L27" s="3230"/>
      <c r="M27" s="3068"/>
      <c r="N27" s="3231"/>
      <c r="O27" s="3139"/>
      <c r="P27" s="3140"/>
      <c r="Q27" s="3196"/>
      <c r="R27" s="3197"/>
      <c r="S27" s="1565"/>
      <c r="T27" s="397"/>
      <c r="U27" s="397"/>
    </row>
    <row r="28" spans="1:21" s="66" customFormat="1" ht="18.5" x14ac:dyDescent="0.35">
      <c r="A28" s="4170" t="s">
        <v>2943</v>
      </c>
      <c r="B28" s="4161"/>
      <c r="C28" s="4161"/>
      <c r="D28" s="4161"/>
      <c r="E28" s="4161"/>
      <c r="F28" s="4162"/>
      <c r="G28" s="3068"/>
      <c r="H28" s="3230"/>
      <c r="I28" s="3068"/>
      <c r="J28" s="3230"/>
      <c r="K28" s="3068"/>
      <c r="L28" s="3230"/>
      <c r="M28" s="3068"/>
      <c r="N28" s="3231"/>
      <c r="O28" s="3139"/>
      <c r="P28" s="3140"/>
      <c r="Q28" s="3196"/>
      <c r="R28" s="3197"/>
      <c r="S28" s="1565"/>
      <c r="T28" s="397"/>
      <c r="U28" s="397"/>
    </row>
    <row r="29" spans="1:21" s="60" customFormat="1" ht="18.75" customHeight="1" x14ac:dyDescent="0.35">
      <c r="A29" s="4170" t="s">
        <v>2941</v>
      </c>
      <c r="B29" s="4161"/>
      <c r="C29" s="4161"/>
      <c r="D29" s="4161"/>
      <c r="E29" s="4161"/>
      <c r="F29" s="4162"/>
      <c r="G29" s="3068"/>
      <c r="H29" s="3230"/>
      <c r="I29" s="3068"/>
      <c r="J29" s="3230"/>
      <c r="K29" s="3068"/>
      <c r="L29" s="3230"/>
      <c r="M29" s="3068"/>
      <c r="N29" s="3231"/>
      <c r="O29" s="3139"/>
      <c r="P29" s="3140"/>
      <c r="Q29" s="3104"/>
      <c r="R29" s="3027"/>
      <c r="S29" s="463"/>
      <c r="T29" s="64"/>
      <c r="U29" s="64"/>
    </row>
    <row r="30" spans="1:21" s="66" customFormat="1" ht="18.5" x14ac:dyDescent="0.35">
      <c r="A30" s="4170" t="s">
        <v>2940</v>
      </c>
      <c r="B30" s="4161"/>
      <c r="C30" s="4161"/>
      <c r="D30" s="4161"/>
      <c r="E30" s="4161"/>
      <c r="F30" s="4162"/>
      <c r="G30" s="3068"/>
      <c r="H30" s="3230"/>
      <c r="I30" s="3068"/>
      <c r="J30" s="3230"/>
      <c r="K30" s="3068"/>
      <c r="L30" s="3230"/>
      <c r="M30" s="3068"/>
      <c r="N30" s="3231"/>
      <c r="O30" s="3139"/>
      <c r="P30" s="3140"/>
      <c r="Q30" s="3104"/>
      <c r="R30" s="3027"/>
      <c r="S30" s="1565"/>
      <c r="T30" s="397"/>
      <c r="U30" s="397"/>
    </row>
    <row r="31" spans="1:21" s="60" customFormat="1" ht="21" customHeight="1" x14ac:dyDescent="0.35">
      <c r="A31" s="4170" t="s">
        <v>2942</v>
      </c>
      <c r="B31" s="4161"/>
      <c r="C31" s="4161"/>
      <c r="D31" s="4161"/>
      <c r="E31" s="4161"/>
      <c r="F31" s="4162"/>
      <c r="G31" s="3068"/>
      <c r="H31" s="3230"/>
      <c r="I31" s="3068"/>
      <c r="J31" s="3230"/>
      <c r="K31" s="3068"/>
      <c r="L31" s="3230"/>
      <c r="M31" s="3068"/>
      <c r="N31" s="3231"/>
      <c r="O31" s="3139"/>
      <c r="P31" s="3140"/>
      <c r="Q31" s="3104"/>
      <c r="R31" s="3027"/>
      <c r="S31" s="64"/>
      <c r="T31" s="64"/>
      <c r="U31" s="64"/>
    </row>
    <row r="32" spans="1:21" s="60" customFormat="1" ht="18.75" customHeight="1" x14ac:dyDescent="0.35">
      <c r="A32" s="4170" t="s">
        <v>1045</v>
      </c>
      <c r="B32" s="4161"/>
      <c r="C32" s="4161"/>
      <c r="D32" s="4161"/>
      <c r="E32" s="4161"/>
      <c r="F32" s="4162"/>
      <c r="G32" s="3068"/>
      <c r="H32" s="3230"/>
      <c r="I32" s="3068"/>
      <c r="J32" s="3230"/>
      <c r="K32" s="3068"/>
      <c r="L32" s="3230"/>
      <c r="M32" s="3068"/>
      <c r="N32" s="3231"/>
      <c r="O32" s="3139"/>
      <c r="P32" s="3140"/>
      <c r="Q32" s="3104"/>
      <c r="R32" s="3027"/>
      <c r="S32" s="463"/>
      <c r="T32" s="64"/>
      <c r="U32" s="64"/>
    </row>
    <row r="33" spans="1:21" s="60" customFormat="1" ht="18.5" x14ac:dyDescent="0.35">
      <c r="A33" s="4170" t="s">
        <v>2716</v>
      </c>
      <c r="B33" s="4161"/>
      <c r="C33" s="4161"/>
      <c r="D33" s="4161"/>
      <c r="E33" s="4161"/>
      <c r="F33" s="4162"/>
      <c r="G33" s="3068"/>
      <c r="H33" s="3230"/>
      <c r="I33" s="3068"/>
      <c r="J33" s="3230"/>
      <c r="K33" s="3068"/>
      <c r="L33" s="3230"/>
      <c r="M33" s="3068"/>
      <c r="N33" s="3231"/>
      <c r="O33" s="3139"/>
      <c r="P33" s="3140"/>
      <c r="Q33" s="3104"/>
      <c r="R33" s="3027"/>
      <c r="S33" s="64"/>
      <c r="T33" s="64"/>
      <c r="U33" s="64"/>
    </row>
    <row r="34" spans="1:21" s="60" customFormat="1" ht="18.75" customHeight="1" x14ac:dyDescent="0.35">
      <c r="A34" s="4170" t="s">
        <v>1046</v>
      </c>
      <c r="B34" s="4161"/>
      <c r="C34" s="4161"/>
      <c r="D34" s="4161"/>
      <c r="E34" s="4161"/>
      <c r="F34" s="4162"/>
      <c r="G34" s="3068"/>
      <c r="H34" s="3230"/>
      <c r="I34" s="3068"/>
      <c r="J34" s="3230"/>
      <c r="K34" s="3068"/>
      <c r="L34" s="3230"/>
      <c r="M34" s="3068"/>
      <c r="N34" s="3231"/>
      <c r="O34" s="3139"/>
      <c r="P34" s="3140"/>
      <c r="Q34" s="3104"/>
      <c r="R34" s="3027"/>
      <c r="S34" s="463"/>
      <c r="T34" s="64"/>
      <c r="U34" s="64"/>
    </row>
    <row r="35" spans="1:21" s="60" customFormat="1" ht="36.75" customHeight="1" x14ac:dyDescent="0.35">
      <c r="A35" s="4171" t="s">
        <v>2944</v>
      </c>
      <c r="B35" s="4164"/>
      <c r="C35" s="4164"/>
      <c r="D35" s="4164"/>
      <c r="E35" s="4164"/>
      <c r="F35" s="4165"/>
      <c r="G35" s="3068"/>
      <c r="H35" s="3230"/>
      <c r="I35" s="3068"/>
      <c r="J35" s="3230"/>
      <c r="K35" s="3068"/>
      <c r="L35" s="3230"/>
      <c r="M35" s="3068"/>
      <c r="N35" s="3231"/>
      <c r="O35" s="3139"/>
      <c r="P35" s="3140"/>
      <c r="Q35" s="3104"/>
      <c r="R35" s="3027"/>
      <c r="S35" s="64"/>
      <c r="T35" s="64"/>
      <c r="U35" s="64"/>
    </row>
    <row r="36" spans="1:21" s="60" customFormat="1" ht="38.25" customHeight="1" x14ac:dyDescent="0.35">
      <c r="A36" s="4171" t="s">
        <v>2945</v>
      </c>
      <c r="B36" s="4164"/>
      <c r="C36" s="4164"/>
      <c r="D36" s="4164"/>
      <c r="E36" s="4164"/>
      <c r="F36" s="4165"/>
      <c r="G36" s="3068"/>
      <c r="H36" s="3230"/>
      <c r="I36" s="3068"/>
      <c r="J36" s="3230"/>
      <c r="K36" s="3068"/>
      <c r="L36" s="3230"/>
      <c r="M36" s="3068"/>
      <c r="N36" s="3231"/>
      <c r="O36" s="3139"/>
      <c r="P36" s="3140"/>
      <c r="Q36" s="3198"/>
      <c r="R36" s="3199"/>
      <c r="S36" s="64"/>
      <c r="T36" s="64"/>
      <c r="U36" s="64"/>
    </row>
    <row r="37" spans="1:21" ht="18.5" x14ac:dyDescent="0.35">
      <c r="A37" s="4170"/>
      <c r="B37" s="4161"/>
      <c r="C37" s="4161"/>
      <c r="D37" s="4161"/>
      <c r="E37" s="4161"/>
      <c r="F37" s="4162"/>
      <c r="G37" s="3068"/>
      <c r="H37" s="3230"/>
      <c r="I37" s="3068"/>
      <c r="J37" s="3230"/>
      <c r="K37" s="3068"/>
      <c r="L37" s="3230"/>
      <c r="M37" s="3068"/>
      <c r="N37" s="3231"/>
      <c r="O37" s="3139"/>
      <c r="P37" s="3140"/>
      <c r="Q37" s="3104"/>
      <c r="R37" s="3027"/>
    </row>
    <row r="38" spans="1:21" ht="18.5" x14ac:dyDescent="0.35">
      <c r="A38" s="4141" t="s">
        <v>13</v>
      </c>
      <c r="B38" s="4142"/>
      <c r="C38" s="4142"/>
      <c r="D38" s="4142"/>
      <c r="E38" s="4142"/>
      <c r="F38" s="4142"/>
      <c r="G38" s="3068"/>
      <c r="H38" s="3230"/>
      <c r="I38" s="3068"/>
      <c r="J38" s="3230"/>
      <c r="K38" s="3068"/>
      <c r="L38" s="3230"/>
      <c r="M38" s="3068"/>
      <c r="N38" s="3231"/>
      <c r="O38" s="3139"/>
      <c r="P38" s="3140"/>
      <c r="Q38" s="3104"/>
      <c r="R38" s="3027"/>
    </row>
    <row r="39" spans="1:21" ht="18.5" x14ac:dyDescent="0.35">
      <c r="A39" s="4135" t="s">
        <v>2947</v>
      </c>
      <c r="B39" s="4136"/>
      <c r="C39" s="4136"/>
      <c r="D39" s="4136"/>
      <c r="E39" s="4136"/>
      <c r="F39" s="4136"/>
      <c r="G39" s="3068"/>
      <c r="H39" s="3230"/>
      <c r="I39" s="3068"/>
      <c r="J39" s="3230"/>
      <c r="K39" s="3068"/>
      <c r="L39" s="3230"/>
      <c r="M39" s="3068"/>
      <c r="N39" s="3231"/>
      <c r="O39" s="3139"/>
      <c r="P39" s="3140"/>
      <c r="Q39" s="3104"/>
      <c r="R39" s="3027"/>
    </row>
    <row r="40" spans="1:21" ht="18.5" x14ac:dyDescent="0.35">
      <c r="A40" s="3958" t="s">
        <v>2929</v>
      </c>
      <c r="B40" s="3969"/>
      <c r="C40" s="3969"/>
      <c r="D40" s="3969"/>
      <c r="E40" s="3969"/>
      <c r="F40" s="3969"/>
      <c r="G40" s="3068"/>
      <c r="H40" s="3230"/>
      <c r="I40" s="3068"/>
      <c r="J40" s="3230"/>
      <c r="K40" s="3068"/>
      <c r="L40" s="3230"/>
      <c r="M40" s="3068"/>
      <c r="N40" s="3231"/>
      <c r="O40" s="3139"/>
      <c r="P40" s="3140"/>
      <c r="Q40" s="3198"/>
      <c r="R40" s="3199"/>
    </row>
    <row r="41" spans="1:21" ht="18.5" x14ac:dyDescent="0.35">
      <c r="A41" s="3958" t="s">
        <v>2930</v>
      </c>
      <c r="B41" s="3969"/>
      <c r="C41" s="3969"/>
      <c r="D41" s="3969"/>
      <c r="E41" s="3969"/>
      <c r="F41" s="3969"/>
      <c r="G41" s="3068"/>
      <c r="H41" s="3230"/>
      <c r="I41" s="3068"/>
      <c r="J41" s="3230"/>
      <c r="K41" s="3068"/>
      <c r="L41" s="3230"/>
      <c r="M41" s="3068"/>
      <c r="N41" s="3231"/>
      <c r="O41" s="3139"/>
      <c r="P41" s="3140"/>
      <c r="Q41" s="3104"/>
      <c r="R41" s="3027"/>
    </row>
    <row r="42" spans="1:21" ht="18.5" x14ac:dyDescent="0.35">
      <c r="A42" s="3968"/>
      <c r="B42" s="3969"/>
      <c r="C42" s="3969"/>
      <c r="D42" s="3969"/>
      <c r="E42" s="3969"/>
      <c r="F42" s="3969"/>
      <c r="G42" s="3068"/>
      <c r="H42" s="3230"/>
      <c r="I42" s="3068"/>
      <c r="J42" s="3230"/>
      <c r="K42" s="3068"/>
      <c r="L42" s="3230"/>
      <c r="M42" s="3068"/>
      <c r="N42" s="3231"/>
      <c r="O42" s="3139"/>
      <c r="P42" s="3140"/>
      <c r="Q42" s="3198"/>
      <c r="R42" s="3199"/>
    </row>
    <row r="43" spans="1:21" ht="18.5" x14ac:dyDescent="0.35">
      <c r="A43" s="4145" t="s">
        <v>2931</v>
      </c>
      <c r="B43" s="4146"/>
      <c r="C43" s="4146"/>
      <c r="D43" s="4146"/>
      <c r="E43" s="4146"/>
      <c r="F43" s="4146"/>
      <c r="G43" s="3068"/>
      <c r="H43" s="3230"/>
      <c r="I43" s="3068"/>
      <c r="J43" s="3230"/>
      <c r="K43" s="3068"/>
      <c r="L43" s="3230"/>
      <c r="M43" s="3068"/>
      <c r="N43" s="3231"/>
      <c r="O43" s="3139"/>
      <c r="P43" s="3140"/>
      <c r="Q43" s="3104"/>
      <c r="R43" s="3027"/>
    </row>
    <row r="44" spans="1:21" ht="18.75" customHeight="1" x14ac:dyDescent="0.35">
      <c r="A44" s="4163" t="s">
        <v>2933</v>
      </c>
      <c r="B44" s="3956"/>
      <c r="C44" s="3956"/>
      <c r="D44" s="3956"/>
      <c r="E44" s="3956"/>
      <c r="F44" s="3956"/>
      <c r="G44" s="3068"/>
      <c r="H44" s="3230"/>
      <c r="I44" s="3068"/>
      <c r="J44" s="3230"/>
      <c r="K44" s="3068"/>
      <c r="L44" s="3230"/>
      <c r="M44" s="3068"/>
      <c r="N44" s="3231"/>
      <c r="O44" s="3139"/>
      <c r="P44" s="3140"/>
      <c r="Q44" s="3104"/>
      <c r="R44" s="3027"/>
    </row>
    <row r="45" spans="1:21" ht="18.75" customHeight="1" x14ac:dyDescent="0.35">
      <c r="A45" s="4163" t="s">
        <v>2932</v>
      </c>
      <c r="B45" s="3956"/>
      <c r="C45" s="3956"/>
      <c r="D45" s="3956"/>
      <c r="E45" s="3956"/>
      <c r="F45" s="3956"/>
      <c r="G45" s="3068"/>
      <c r="H45" s="3230"/>
      <c r="I45" s="3068"/>
      <c r="J45" s="3230"/>
      <c r="K45" s="3068"/>
      <c r="L45" s="3230"/>
      <c r="M45" s="3068"/>
      <c r="N45" s="3231"/>
      <c r="O45" s="3139"/>
      <c r="P45" s="3140"/>
      <c r="Q45" s="3104"/>
      <c r="R45" s="3027"/>
    </row>
    <row r="46" spans="1:21" ht="18.75" customHeight="1" x14ac:dyDescent="0.35">
      <c r="A46" s="4163" t="s">
        <v>2934</v>
      </c>
      <c r="B46" s="3956"/>
      <c r="C46" s="3956"/>
      <c r="D46" s="3956"/>
      <c r="E46" s="3956"/>
      <c r="F46" s="3956"/>
      <c r="G46" s="3068"/>
      <c r="H46" s="3230"/>
      <c r="I46" s="3068"/>
      <c r="J46" s="3230"/>
      <c r="K46" s="3068"/>
      <c r="L46" s="3230"/>
      <c r="M46" s="3068"/>
      <c r="N46" s="3231"/>
      <c r="O46" s="3139"/>
      <c r="P46" s="3140"/>
      <c r="Q46" s="3198"/>
      <c r="R46" s="3199"/>
    </row>
    <row r="47" spans="1:21" ht="19" thickBot="1" x14ac:dyDescent="0.4">
      <c r="A47" s="4168"/>
      <c r="B47" s="4169"/>
      <c r="C47" s="4169"/>
      <c r="D47" s="4169"/>
      <c r="E47" s="4169"/>
      <c r="F47" s="4169"/>
      <c r="G47" s="3071"/>
      <c r="H47" s="3236"/>
      <c r="I47" s="3071"/>
      <c r="J47" s="3236"/>
      <c r="K47" s="3071"/>
      <c r="L47" s="3236"/>
      <c r="M47" s="3071"/>
      <c r="N47" s="3237"/>
      <c r="O47" s="3157"/>
      <c r="P47" s="3158"/>
      <c r="Q47" s="3204"/>
      <c r="R47" s="3205"/>
    </row>
    <row r="48" spans="1:21" ht="15" thickTop="1" x14ac:dyDescent="0.35"/>
  </sheetData>
  <mergeCells count="55">
    <mergeCell ref="D1:G1"/>
    <mergeCell ref="I1:J1"/>
    <mergeCell ref="L1:M1"/>
    <mergeCell ref="D2:G2"/>
    <mergeCell ref="I2:J2"/>
    <mergeCell ref="L2:M2"/>
    <mergeCell ref="A14:F14"/>
    <mergeCell ref="D3:G3"/>
    <mergeCell ref="A4:G4"/>
    <mergeCell ref="H4:P4"/>
    <mergeCell ref="A6:F7"/>
    <mergeCell ref="G6:H6"/>
    <mergeCell ref="I6:J6"/>
    <mergeCell ref="K6:L6"/>
    <mergeCell ref="M6:N6"/>
    <mergeCell ref="O6:P6"/>
    <mergeCell ref="Q6:R6"/>
    <mergeCell ref="A10:F10"/>
    <mergeCell ref="A11:F11"/>
    <mergeCell ref="A12:F12"/>
    <mergeCell ref="A13:F13"/>
    <mergeCell ref="A9:F9"/>
    <mergeCell ref="A15:F15"/>
    <mergeCell ref="A16:F16"/>
    <mergeCell ref="A17:F17"/>
    <mergeCell ref="A18:F18"/>
    <mergeCell ref="A20:F20"/>
    <mergeCell ref="A19:F19"/>
    <mergeCell ref="A23:F23"/>
    <mergeCell ref="A21:F21"/>
    <mergeCell ref="A22:F22"/>
    <mergeCell ref="A29:F29"/>
    <mergeCell ref="A27:F27"/>
    <mergeCell ref="A25:F25"/>
    <mergeCell ref="A24:F24"/>
    <mergeCell ref="A26:F26"/>
    <mergeCell ref="A28:F28"/>
    <mergeCell ref="A39:F39"/>
    <mergeCell ref="A40:F40"/>
    <mergeCell ref="A37:F37"/>
    <mergeCell ref="A34:F34"/>
    <mergeCell ref="A30:F30"/>
    <mergeCell ref="A47:F47"/>
    <mergeCell ref="A31:F31"/>
    <mergeCell ref="A32:F32"/>
    <mergeCell ref="A33:F33"/>
    <mergeCell ref="A36:F36"/>
    <mergeCell ref="A46:F46"/>
    <mergeCell ref="A38:F38"/>
    <mergeCell ref="A35:F35"/>
    <mergeCell ref="A45:F45"/>
    <mergeCell ref="A41:F41"/>
    <mergeCell ref="A42:F42"/>
    <mergeCell ref="A43:F43"/>
    <mergeCell ref="A44:F44"/>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100-000000000000}">
      <formula1>AvancementTheme</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77">
    <tabColor rgb="FFFF6699"/>
    <pageSetUpPr fitToPage="1"/>
  </sheetPr>
  <dimension ref="A1:BX93"/>
  <sheetViews>
    <sheetView showGridLines="0" zoomScale="80" zoomScaleNormal="80" workbookViewId="0">
      <pane ySplit="5" topLeftCell="A63" activePane="bottomLeft" state="frozen"/>
      <selection activeCell="C5" sqref="C5:P5"/>
      <selection pane="bottomLeft" activeCell="B15" sqref="B15:G15"/>
    </sheetView>
  </sheetViews>
  <sheetFormatPr baseColWidth="10" defaultColWidth="11.453125" defaultRowHeight="14.5" x14ac:dyDescent="0.35"/>
  <cols>
    <col min="1" max="1" width="6.453125" style="63" customWidth="1"/>
    <col min="2" max="2" width="14.1796875" style="60" customWidth="1"/>
    <col min="3" max="3" width="11.453125" style="60"/>
    <col min="4" max="4" width="17.7265625" style="60" customWidth="1"/>
    <col min="5" max="7" width="11.453125" style="60"/>
    <col min="8" max="9" width="15.26953125" style="60" customWidth="1"/>
    <col min="10" max="15" width="9.54296875" style="60" customWidth="1"/>
    <col min="16" max="16" width="9.81640625" style="60" customWidth="1"/>
    <col min="17" max="17" width="8.1796875" style="60" customWidth="1"/>
    <col min="18" max="16384" width="11.453125" style="60"/>
  </cols>
  <sheetData>
    <row r="1" spans="1:22" s="54" customFormat="1" ht="15" customHeight="1" x14ac:dyDescent="0.35">
      <c r="A1" s="391"/>
      <c r="B1" s="389"/>
      <c r="C1" s="389"/>
      <c r="D1" s="3341" t="s">
        <v>5</v>
      </c>
      <c r="E1" s="3341"/>
      <c r="F1" s="3341"/>
      <c r="G1" s="3341"/>
      <c r="H1" s="391"/>
      <c r="I1" s="3341" t="s">
        <v>6</v>
      </c>
      <c r="J1" s="3341"/>
      <c r="K1" s="389"/>
      <c r="L1" s="3341" t="s">
        <v>9</v>
      </c>
      <c r="M1" s="3341"/>
      <c r="N1" s="389"/>
      <c r="O1" s="479"/>
      <c r="P1" s="479"/>
      <c r="Q1" s="829"/>
      <c r="R1" s="458"/>
      <c r="S1" s="458"/>
    </row>
    <row r="2" spans="1:22" s="58" customFormat="1" ht="18" customHeight="1" x14ac:dyDescent="0.35">
      <c r="A2" s="393"/>
      <c r="B2" s="393"/>
      <c r="C2" s="393"/>
      <c r="D2" s="3342" t="str">
        <f>NomClient</f>
        <v xml:space="preserve">EQUINIX </v>
      </c>
      <c r="E2" s="3343"/>
      <c r="F2" s="3343"/>
      <c r="G2" s="3344"/>
      <c r="H2" s="393"/>
      <c r="I2" s="3345" t="s">
        <v>407</v>
      </c>
      <c r="J2" s="3346"/>
      <c r="K2" s="393"/>
      <c r="L2" s="3347">
        <v>42534.881932870368</v>
      </c>
      <c r="M2" s="3348"/>
      <c r="N2" s="394"/>
      <c r="O2" s="451"/>
      <c r="P2" s="451"/>
      <c r="Q2" s="830"/>
      <c r="R2" s="459"/>
      <c r="S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907"/>
      <c r="B4" s="4203" t="str">
        <f>Parametre!B32 &amp; "   : "</f>
        <v xml:space="preserve">Programmes partenaires   : </v>
      </c>
      <c r="C4" s="4203"/>
      <c r="D4" s="4203"/>
      <c r="E4" s="4203"/>
      <c r="F4" s="4203"/>
      <c r="G4" s="4203"/>
      <c r="H4" s="4204" t="s">
        <v>2727</v>
      </c>
      <c r="I4" s="4204"/>
      <c r="J4" s="4204"/>
      <c r="K4" s="4204"/>
      <c r="L4" s="4204"/>
      <c r="M4" s="4204"/>
      <c r="N4" s="4204"/>
      <c r="O4" s="4204"/>
      <c r="P4" s="4204"/>
      <c r="Q4" s="4205"/>
      <c r="R4" s="444"/>
      <c r="S4" s="444"/>
    </row>
    <row r="5" spans="1:22" s="193" customFormat="1" ht="15.75" customHeight="1" thickBot="1" x14ac:dyDescent="0.4">
      <c r="A5" s="3438"/>
      <c r="B5" s="3438"/>
      <c r="C5" s="3508"/>
      <c r="D5" s="3508"/>
      <c r="E5" s="3508"/>
      <c r="F5" s="3508"/>
      <c r="G5" s="3508"/>
      <c r="H5" s="3508"/>
      <c r="I5" s="3508"/>
      <c r="J5" s="3508"/>
      <c r="K5" s="3508"/>
      <c r="L5" s="3508"/>
      <c r="M5" s="3508"/>
      <c r="N5" s="3508"/>
      <c r="O5" s="3508"/>
      <c r="P5" s="3508"/>
      <c r="Q5" s="3508"/>
      <c r="R5" s="460"/>
      <c r="S5" s="460"/>
    </row>
    <row r="6" spans="1:22" s="40" customFormat="1" ht="14.25" customHeight="1" thickTop="1" thickBot="1" x14ac:dyDescent="0.3">
      <c r="A6" s="952"/>
      <c r="B6" s="952"/>
      <c r="C6" s="952"/>
      <c r="D6" s="952"/>
      <c r="E6" s="952"/>
      <c r="F6" s="952"/>
      <c r="G6" s="952"/>
      <c r="H6" s="4211" t="s">
        <v>1022</v>
      </c>
      <c r="I6" s="4212"/>
      <c r="J6" s="4182" t="s">
        <v>1164</v>
      </c>
      <c r="K6" s="4183"/>
      <c r="L6" s="4183"/>
      <c r="M6" s="4183"/>
      <c r="N6" s="4183"/>
      <c r="O6" s="4183"/>
      <c r="P6" s="4183"/>
      <c r="Q6" s="952"/>
      <c r="R6" s="952"/>
      <c r="S6" s="952"/>
    </row>
    <row r="7" spans="1:22" s="321" customFormat="1" ht="38.25" customHeight="1" thickTop="1" thickBot="1" x14ac:dyDescent="0.4">
      <c r="A7" s="4209" t="s">
        <v>152</v>
      </c>
      <c r="B7" s="4210"/>
      <c r="C7" s="4210"/>
      <c r="D7" s="4210"/>
      <c r="E7" s="4210"/>
      <c r="F7" s="4210"/>
      <c r="G7" s="4210"/>
      <c r="H7" s="953" t="s">
        <v>2627</v>
      </c>
      <c r="I7" s="954" t="s">
        <v>2324</v>
      </c>
      <c r="J7" s="2902" t="s">
        <v>2718</v>
      </c>
      <c r="K7" s="953" t="s">
        <v>1024</v>
      </c>
      <c r="L7" s="955" t="s">
        <v>1025</v>
      </c>
      <c r="M7" s="955" t="s">
        <v>1026</v>
      </c>
      <c r="N7" s="955" t="s">
        <v>1027</v>
      </c>
      <c r="O7" s="955" t="s">
        <v>1028</v>
      </c>
      <c r="P7" s="954" t="s">
        <v>1029</v>
      </c>
      <c r="Q7" s="4174" t="s">
        <v>18</v>
      </c>
      <c r="R7" s="4175"/>
      <c r="S7" s="4175"/>
      <c r="T7" s="4176"/>
    </row>
    <row r="8" spans="1:22" s="321" customFormat="1" ht="6.75" customHeight="1" x14ac:dyDescent="0.35">
      <c r="A8" s="4206"/>
      <c r="B8" s="4207"/>
      <c r="C8" s="4207"/>
      <c r="D8" s="4207"/>
      <c r="E8" s="4207"/>
      <c r="F8" s="4207"/>
      <c r="G8" s="4207"/>
      <c r="H8" s="4207"/>
      <c r="I8" s="4207"/>
      <c r="J8" s="4207"/>
      <c r="K8" s="4207"/>
      <c r="L8" s="4207"/>
      <c r="M8" s="4207"/>
      <c r="N8" s="4207"/>
      <c r="O8" s="4207"/>
      <c r="P8" s="4207"/>
      <c r="Q8" s="4207"/>
      <c r="R8" s="4207"/>
      <c r="S8" s="4208"/>
    </row>
    <row r="9" spans="1:22" s="40" customFormat="1" ht="30" customHeight="1" x14ac:dyDescent="0.25">
      <c r="A9" s="4184" t="s">
        <v>2717</v>
      </c>
      <c r="B9" s="4185"/>
      <c r="C9" s="4185"/>
      <c r="D9" s="4185"/>
      <c r="E9" s="4185"/>
      <c r="F9" s="4185"/>
      <c r="G9" s="4185"/>
      <c r="H9" s="4185"/>
      <c r="I9" s="4185"/>
      <c r="J9" s="4185"/>
      <c r="K9" s="4185"/>
      <c r="L9" s="4185"/>
      <c r="M9" s="4185"/>
      <c r="N9" s="4185"/>
      <c r="O9" s="4185"/>
      <c r="P9" s="4185"/>
      <c r="Q9" s="4185"/>
      <c r="R9" s="4185"/>
      <c r="S9" s="4185"/>
      <c r="T9" s="4185"/>
    </row>
    <row r="10" spans="1:22" s="40" customFormat="1" x14ac:dyDescent="0.25">
      <c r="A10" s="2905"/>
      <c r="B10" s="4161" t="s">
        <v>2379</v>
      </c>
      <c r="C10" s="4161"/>
      <c r="D10" s="4161"/>
      <c r="E10" s="4161"/>
      <c r="F10" s="4161"/>
      <c r="G10" s="4162"/>
      <c r="H10" s="1142"/>
      <c r="I10" s="1143"/>
      <c r="J10" s="2903"/>
      <c r="K10" s="1145"/>
      <c r="L10" s="1146"/>
      <c r="M10" s="1146"/>
      <c r="N10" s="1146"/>
      <c r="O10" s="1146"/>
      <c r="P10" s="1197"/>
      <c r="Q10" s="4177"/>
      <c r="R10" s="4178"/>
      <c r="S10" s="4178"/>
      <c r="T10" s="4179"/>
    </row>
    <row r="11" spans="1:22" s="40" customFormat="1" x14ac:dyDescent="0.25">
      <c r="A11" s="2906"/>
      <c r="B11" s="4161" t="s">
        <v>2367</v>
      </c>
      <c r="C11" s="4161"/>
      <c r="D11" s="4161"/>
      <c r="E11" s="4161"/>
      <c r="F11" s="4161"/>
      <c r="G11" s="4162"/>
      <c r="H11" s="1142"/>
      <c r="I11" s="1143"/>
      <c r="J11" s="2903"/>
      <c r="K11" s="1145"/>
      <c r="L11" s="1146"/>
      <c r="M11" s="1146"/>
      <c r="N11" s="1146"/>
      <c r="O11" s="1146"/>
      <c r="P11" s="1197"/>
      <c r="Q11" s="4177"/>
      <c r="R11" s="4178"/>
      <c r="S11" s="4178"/>
      <c r="T11" s="4179"/>
    </row>
    <row r="12" spans="1:22" s="40" customFormat="1" x14ac:dyDescent="0.25">
      <c r="A12" s="2906"/>
      <c r="B12" s="4161" t="s">
        <v>2370</v>
      </c>
      <c r="C12" s="4161"/>
      <c r="D12" s="4161"/>
      <c r="E12" s="4161"/>
      <c r="F12" s="4161"/>
      <c r="G12" s="4162"/>
      <c r="H12" s="1142"/>
      <c r="I12" s="1143"/>
      <c r="J12" s="2903"/>
      <c r="K12" s="1145"/>
      <c r="L12" s="1146"/>
      <c r="M12" s="1146"/>
      <c r="N12" s="1146"/>
      <c r="O12" s="1146"/>
      <c r="P12" s="1197"/>
      <c r="Q12" s="4177"/>
      <c r="R12" s="4178"/>
      <c r="S12" s="4178"/>
      <c r="T12" s="4179"/>
    </row>
    <row r="13" spans="1:22" s="40" customFormat="1" x14ac:dyDescent="0.25">
      <c r="A13" s="2906"/>
      <c r="B13" s="4161" t="s">
        <v>2372</v>
      </c>
      <c r="C13" s="4161"/>
      <c r="D13" s="4161"/>
      <c r="E13" s="4161"/>
      <c r="F13" s="4161"/>
      <c r="G13" s="4162"/>
      <c r="H13" s="1142"/>
      <c r="I13" s="1143"/>
      <c r="J13" s="2903"/>
      <c r="K13" s="1145"/>
      <c r="L13" s="1146"/>
      <c r="M13" s="1146"/>
      <c r="N13" s="1146"/>
      <c r="O13" s="1146"/>
      <c r="P13" s="1197"/>
      <c r="Q13" s="4177"/>
      <c r="R13" s="4178"/>
      <c r="S13" s="4178"/>
      <c r="T13" s="4179"/>
    </row>
    <row r="14" spans="1:22" s="40" customFormat="1" x14ac:dyDescent="0.25">
      <c r="A14" s="2906"/>
      <c r="B14" s="4161" t="s">
        <v>2715</v>
      </c>
      <c r="C14" s="4161"/>
      <c r="D14" s="4161"/>
      <c r="E14" s="4161"/>
      <c r="F14" s="4161"/>
      <c r="G14" s="4162"/>
      <c r="H14" s="1142"/>
      <c r="I14" s="1143"/>
      <c r="J14" s="2903"/>
      <c r="K14" s="1145"/>
      <c r="L14" s="1146"/>
      <c r="M14" s="1146"/>
      <c r="N14" s="1146"/>
      <c r="O14" s="1146"/>
      <c r="P14" s="1197"/>
      <c r="Q14" s="4177"/>
      <c r="R14" s="4178"/>
      <c r="S14" s="4178"/>
      <c r="T14" s="4179"/>
    </row>
    <row r="15" spans="1:22" s="23" customFormat="1" ht="15" customHeight="1" x14ac:dyDescent="0.25">
      <c r="A15" s="2906"/>
      <c r="B15" s="4161" t="s">
        <v>2714</v>
      </c>
      <c r="C15" s="4161"/>
      <c r="D15" s="4161"/>
      <c r="E15" s="4161"/>
      <c r="F15" s="4161"/>
      <c r="G15" s="4162"/>
      <c r="H15" s="1142"/>
      <c r="I15" s="1143"/>
      <c r="J15" s="2903"/>
      <c r="K15" s="1145"/>
      <c r="L15" s="1146"/>
      <c r="M15" s="1146"/>
      <c r="N15" s="1146"/>
      <c r="O15" s="1146"/>
      <c r="P15" s="1197"/>
      <c r="Q15" s="4177"/>
      <c r="R15" s="4178"/>
      <c r="S15" s="4178"/>
      <c r="T15" s="4179"/>
    </row>
    <row r="16" spans="1:22" s="40" customFormat="1" x14ac:dyDescent="0.25">
      <c r="A16" s="2906"/>
      <c r="B16" s="4161" t="s">
        <v>2712</v>
      </c>
      <c r="C16" s="4161"/>
      <c r="D16" s="4161"/>
      <c r="E16" s="4161"/>
      <c r="F16" s="4161"/>
      <c r="G16" s="4162"/>
      <c r="H16" s="1142"/>
      <c r="I16" s="1143"/>
      <c r="J16" s="2903"/>
      <c r="K16" s="1145"/>
      <c r="L16" s="1146"/>
      <c r="M16" s="1146"/>
      <c r="N16" s="1146"/>
      <c r="O16" s="1146"/>
      <c r="P16" s="1197"/>
      <c r="Q16" s="4177"/>
      <c r="R16" s="4178"/>
      <c r="S16" s="4178"/>
      <c r="T16" s="4179"/>
    </row>
    <row r="17" spans="1:20" s="40" customFormat="1" x14ac:dyDescent="0.25">
      <c r="A17" s="2906"/>
      <c r="B17" s="4161" t="s">
        <v>2371</v>
      </c>
      <c r="C17" s="4161"/>
      <c r="D17" s="4161"/>
      <c r="E17" s="4161"/>
      <c r="F17" s="4161"/>
      <c r="G17" s="4162"/>
      <c r="H17" s="1142"/>
      <c r="I17" s="1143"/>
      <c r="J17" s="2903"/>
      <c r="K17" s="1145"/>
      <c r="L17" s="1146"/>
      <c r="M17" s="1146"/>
      <c r="N17" s="1146"/>
      <c r="O17" s="1146"/>
      <c r="P17" s="1197"/>
      <c r="Q17" s="4177"/>
      <c r="R17" s="4178"/>
      <c r="S17" s="4178"/>
      <c r="T17" s="4179"/>
    </row>
    <row r="18" spans="1:20" s="40" customFormat="1" ht="42.75" customHeight="1" x14ac:dyDescent="0.25">
      <c r="A18" s="2906"/>
      <c r="B18" s="4164" t="s">
        <v>2711</v>
      </c>
      <c r="C18" s="4164"/>
      <c r="D18" s="4164"/>
      <c r="E18" s="4164"/>
      <c r="F18" s="4164"/>
      <c r="G18" s="4165"/>
      <c r="H18" s="2897"/>
      <c r="I18" s="2898"/>
      <c r="J18" s="2904"/>
      <c r="K18" s="2899"/>
      <c r="L18" s="2900"/>
      <c r="M18" s="2900"/>
      <c r="N18" s="2900"/>
      <c r="O18" s="2900"/>
      <c r="P18" s="2901"/>
      <c r="Q18" s="4177"/>
      <c r="R18" s="4178"/>
      <c r="S18" s="4178"/>
      <c r="T18" s="4179"/>
    </row>
    <row r="19" spans="1:20" s="40" customFormat="1" x14ac:dyDescent="0.25">
      <c r="A19" s="2906"/>
      <c r="B19" s="4161" t="s">
        <v>2376</v>
      </c>
      <c r="C19" s="4161"/>
      <c r="D19" s="4161"/>
      <c r="E19" s="4161"/>
      <c r="F19" s="4161"/>
      <c r="G19" s="4162"/>
      <c r="H19" s="1142"/>
      <c r="I19" s="1143"/>
      <c r="J19" s="2903"/>
      <c r="K19" s="1145"/>
      <c r="L19" s="2900"/>
      <c r="M19" s="2900"/>
      <c r="N19" s="2900"/>
      <c r="O19" s="2900"/>
      <c r="P19" s="2901"/>
      <c r="Q19" s="4177"/>
      <c r="R19" s="4178"/>
      <c r="S19" s="4178"/>
      <c r="T19" s="4179"/>
    </row>
    <row r="20" spans="1:20" s="40" customFormat="1" x14ac:dyDescent="0.25">
      <c r="A20" s="2906"/>
      <c r="B20" s="4161" t="s">
        <v>1044</v>
      </c>
      <c r="C20" s="4161"/>
      <c r="D20" s="4161"/>
      <c r="E20" s="4161"/>
      <c r="F20" s="4161"/>
      <c r="G20" s="4162"/>
      <c r="H20" s="1142"/>
      <c r="I20" s="1143"/>
      <c r="J20" s="2903"/>
      <c r="K20" s="1145"/>
      <c r="L20" s="1146"/>
      <c r="M20" s="1146"/>
      <c r="N20" s="1146"/>
      <c r="O20" s="1146"/>
      <c r="P20" s="1197"/>
      <c r="Q20" s="4177"/>
      <c r="R20" s="4178"/>
      <c r="S20" s="4178"/>
      <c r="T20" s="4179"/>
    </row>
    <row r="21" spans="1:20" s="40" customFormat="1" x14ac:dyDescent="0.25">
      <c r="A21" s="2906"/>
      <c r="B21" s="4161" t="s">
        <v>1045</v>
      </c>
      <c r="C21" s="4161"/>
      <c r="D21" s="4161"/>
      <c r="E21" s="4161"/>
      <c r="F21" s="4161"/>
      <c r="G21" s="4162"/>
      <c r="H21" s="1142"/>
      <c r="I21" s="1143"/>
      <c r="J21" s="2903"/>
      <c r="K21" s="1145"/>
      <c r="L21" s="1146"/>
      <c r="M21" s="1146"/>
      <c r="N21" s="1146"/>
      <c r="O21" s="1146"/>
      <c r="P21" s="1197"/>
      <c r="Q21" s="4177"/>
      <c r="R21" s="4178"/>
      <c r="S21" s="4178"/>
      <c r="T21" s="4179"/>
    </row>
    <row r="22" spans="1:20" s="40" customFormat="1" x14ac:dyDescent="0.25">
      <c r="A22" s="2906"/>
      <c r="B22" s="4161" t="s">
        <v>2716</v>
      </c>
      <c r="C22" s="4161"/>
      <c r="D22" s="4161"/>
      <c r="E22" s="4161"/>
      <c r="F22" s="4161"/>
      <c r="G22" s="4162"/>
      <c r="H22" s="1142"/>
      <c r="I22" s="1143"/>
      <c r="J22" s="2903"/>
      <c r="K22" s="1145"/>
      <c r="L22" s="1146"/>
      <c r="M22" s="1146"/>
      <c r="N22" s="1146"/>
      <c r="O22" s="1146"/>
      <c r="P22" s="1197"/>
      <c r="Q22" s="4177"/>
      <c r="R22" s="4178"/>
      <c r="S22" s="4178"/>
      <c r="T22" s="4179"/>
    </row>
    <row r="23" spans="1:20" s="40" customFormat="1" x14ac:dyDescent="0.25">
      <c r="A23" s="2906"/>
      <c r="B23" s="4161" t="s">
        <v>2377</v>
      </c>
      <c r="C23" s="4161"/>
      <c r="D23" s="4161"/>
      <c r="E23" s="4161"/>
      <c r="F23" s="4161"/>
      <c r="G23" s="4162"/>
      <c r="H23" s="1142"/>
      <c r="I23" s="1143"/>
      <c r="J23" s="2903"/>
      <c r="K23" s="1145"/>
      <c r="L23" s="1146"/>
      <c r="M23" s="1146"/>
      <c r="N23" s="1146"/>
      <c r="O23" s="1146"/>
      <c r="P23" s="1197"/>
      <c r="Q23" s="4177"/>
      <c r="R23" s="4178"/>
      <c r="S23" s="4178"/>
      <c r="T23" s="4179"/>
    </row>
    <row r="24" spans="1:20" s="40" customFormat="1" x14ac:dyDescent="0.25">
      <c r="A24" s="2906"/>
      <c r="B24" s="4161" t="s">
        <v>2380</v>
      </c>
      <c r="C24" s="4161"/>
      <c r="D24" s="4161"/>
      <c r="E24" s="4161"/>
      <c r="F24" s="4161"/>
      <c r="G24" s="4162"/>
      <c r="H24" s="1142"/>
      <c r="I24" s="1143"/>
      <c r="J24" s="2903"/>
      <c r="K24" s="1145"/>
      <c r="L24" s="1146"/>
      <c r="M24" s="1146"/>
      <c r="N24" s="1146"/>
      <c r="O24" s="1146"/>
      <c r="P24" s="1197"/>
      <c r="Q24" s="4177"/>
      <c r="R24" s="4178"/>
      <c r="S24" s="4178"/>
      <c r="T24" s="4179"/>
    </row>
    <row r="25" spans="1:20" s="40" customFormat="1" x14ac:dyDescent="0.25">
      <c r="A25" s="2906"/>
      <c r="B25" s="4161" t="s">
        <v>1046</v>
      </c>
      <c r="C25" s="4161"/>
      <c r="D25" s="4161"/>
      <c r="E25" s="4161"/>
      <c r="F25" s="4161"/>
      <c r="G25" s="4162"/>
      <c r="H25" s="1142"/>
      <c r="I25" s="1143"/>
      <c r="J25" s="2903"/>
      <c r="K25" s="1145"/>
      <c r="L25" s="1146"/>
      <c r="M25" s="1146"/>
      <c r="N25" s="1146"/>
      <c r="O25" s="1146"/>
      <c r="P25" s="1197"/>
      <c r="Q25" s="4177"/>
      <c r="R25" s="4178"/>
      <c r="S25" s="4178"/>
      <c r="T25" s="4179"/>
    </row>
    <row r="26" spans="1:20" s="40" customFormat="1" ht="12.5" x14ac:dyDescent="0.25">
      <c r="A26" s="2906"/>
      <c r="B26" s="4195" t="s">
        <v>2378</v>
      </c>
      <c r="C26" s="4195"/>
      <c r="D26" s="4195"/>
      <c r="E26" s="4195"/>
      <c r="F26" s="4195"/>
      <c r="G26" s="4196"/>
      <c r="H26" s="1142"/>
      <c r="I26" s="1143"/>
      <c r="J26" s="2903"/>
      <c r="K26" s="1145"/>
      <c r="L26" s="1146"/>
      <c r="M26" s="1146"/>
      <c r="N26" s="1146"/>
      <c r="O26" s="1146"/>
      <c r="P26" s="1197"/>
      <c r="Q26" s="4177"/>
      <c r="R26" s="4178"/>
      <c r="S26" s="4178"/>
      <c r="T26" s="4179"/>
    </row>
    <row r="27" spans="1:20" s="40" customFormat="1" ht="13.5" thickBot="1" x14ac:dyDescent="0.3">
      <c r="A27" s="2906"/>
      <c r="B27" s="2827"/>
      <c r="C27" s="2827"/>
      <c r="D27" s="2827"/>
      <c r="E27" s="2827"/>
      <c r="F27" s="2827"/>
      <c r="G27" s="2827"/>
      <c r="H27" s="2827"/>
      <c r="I27" s="2827"/>
      <c r="J27" s="2827"/>
      <c r="K27" s="2827"/>
      <c r="L27" s="2827"/>
      <c r="M27" s="2827"/>
      <c r="N27" s="2827"/>
      <c r="O27" s="2827"/>
      <c r="P27" s="4192"/>
      <c r="Q27" s="4192"/>
      <c r="R27" s="4192"/>
      <c r="S27" s="4192"/>
      <c r="T27" s="2910"/>
    </row>
    <row r="28" spans="1:20" s="40" customFormat="1" ht="32" thickTop="1" thickBot="1" x14ac:dyDescent="0.3">
      <c r="A28" s="4188" t="s">
        <v>1033</v>
      </c>
      <c r="B28" s="4189"/>
      <c r="C28" s="4189"/>
      <c r="D28" s="4189"/>
      <c r="E28" s="4189"/>
      <c r="F28" s="4189"/>
      <c r="G28" s="4190"/>
      <c r="H28" s="953" t="s">
        <v>2627</v>
      </c>
      <c r="I28" s="954" t="s">
        <v>2324</v>
      </c>
      <c r="J28" s="2902" t="s">
        <v>2718</v>
      </c>
      <c r="K28" s="953" t="s">
        <v>1024</v>
      </c>
      <c r="L28" s="955" t="s">
        <v>1025</v>
      </c>
      <c r="M28" s="955" t="s">
        <v>1026</v>
      </c>
      <c r="N28" s="955" t="s">
        <v>1027</v>
      </c>
      <c r="O28" s="955" t="s">
        <v>1028</v>
      </c>
      <c r="P28" s="954" t="s">
        <v>1029</v>
      </c>
      <c r="Q28" s="4174" t="s">
        <v>18</v>
      </c>
      <c r="R28" s="4175"/>
      <c r="S28" s="4175"/>
      <c r="T28" s="4176"/>
    </row>
    <row r="29" spans="1:20" s="40" customFormat="1" x14ac:dyDescent="0.25">
      <c r="A29" s="2906"/>
      <c r="B29" s="4161" t="s">
        <v>1034</v>
      </c>
      <c r="C29" s="4161"/>
      <c r="D29" s="4161"/>
      <c r="E29" s="4161"/>
      <c r="F29" s="4161"/>
      <c r="G29" s="4162"/>
      <c r="H29" s="1142"/>
      <c r="I29" s="1143"/>
      <c r="J29" s="2903"/>
      <c r="K29" s="1145"/>
      <c r="L29" s="1146"/>
      <c r="M29" s="1146"/>
      <c r="N29" s="1146"/>
      <c r="O29" s="1146"/>
      <c r="P29" s="1197"/>
      <c r="Q29" s="4177"/>
      <c r="R29" s="4178"/>
      <c r="S29" s="4178"/>
      <c r="T29" s="4179"/>
    </row>
    <row r="30" spans="1:20" s="321" customFormat="1" ht="19.5" customHeight="1" x14ac:dyDescent="0.25">
      <c r="A30" s="2908"/>
      <c r="B30" s="4161" t="s">
        <v>1035</v>
      </c>
      <c r="C30" s="4161"/>
      <c r="D30" s="4161"/>
      <c r="E30" s="4161"/>
      <c r="F30" s="4161"/>
      <c r="G30" s="4162"/>
      <c r="H30" s="1142"/>
      <c r="I30" s="1143"/>
      <c r="J30" s="2903"/>
      <c r="K30" s="1145"/>
      <c r="L30" s="1146"/>
      <c r="M30" s="1146"/>
      <c r="N30" s="1146"/>
      <c r="O30" s="1146"/>
      <c r="P30" s="1197"/>
      <c r="Q30" s="4177"/>
      <c r="R30" s="4178"/>
      <c r="S30" s="4178"/>
      <c r="T30" s="4179"/>
    </row>
    <row r="31" spans="1:20" s="40" customFormat="1" x14ac:dyDescent="0.25">
      <c r="A31" s="2909"/>
      <c r="B31" s="4161" t="s">
        <v>1036</v>
      </c>
      <c r="C31" s="4161"/>
      <c r="D31" s="4161"/>
      <c r="E31" s="4161"/>
      <c r="F31" s="4161"/>
      <c r="G31" s="4162"/>
      <c r="H31" s="1142"/>
      <c r="I31" s="1143"/>
      <c r="J31" s="2903"/>
      <c r="K31" s="1145"/>
      <c r="L31" s="1146"/>
      <c r="M31" s="1146"/>
      <c r="N31" s="1146"/>
      <c r="O31" s="1146"/>
      <c r="P31" s="1197"/>
      <c r="Q31" s="4177"/>
      <c r="R31" s="4178"/>
      <c r="S31" s="4178"/>
      <c r="T31" s="4179"/>
    </row>
    <row r="32" spans="1:20" s="40" customFormat="1" x14ac:dyDescent="0.25">
      <c r="A32" s="2906"/>
      <c r="B32" s="4161" t="s">
        <v>1037</v>
      </c>
      <c r="C32" s="4161"/>
      <c r="D32" s="4161"/>
      <c r="E32" s="4161"/>
      <c r="F32" s="4161"/>
      <c r="G32" s="4162"/>
      <c r="H32" s="1142"/>
      <c r="I32" s="1143"/>
      <c r="J32" s="2903"/>
      <c r="K32" s="1145"/>
      <c r="L32" s="1146"/>
      <c r="M32" s="1146"/>
      <c r="N32" s="1146"/>
      <c r="O32" s="1146"/>
      <c r="P32" s="1197"/>
      <c r="Q32" s="4177"/>
      <c r="R32" s="4178"/>
      <c r="S32" s="4178"/>
      <c r="T32" s="4179"/>
    </row>
    <row r="33" spans="1:20" s="40" customFormat="1" x14ac:dyDescent="0.25">
      <c r="A33" s="2906"/>
      <c r="B33" s="4161" t="s">
        <v>1899</v>
      </c>
      <c r="C33" s="4161"/>
      <c r="D33" s="4161"/>
      <c r="E33" s="4161"/>
      <c r="F33" s="4161"/>
      <c r="G33" s="4162"/>
      <c r="H33" s="1142"/>
      <c r="I33" s="1143"/>
      <c r="J33" s="2903"/>
      <c r="K33" s="1145"/>
      <c r="L33" s="1146"/>
      <c r="M33" s="1146"/>
      <c r="N33" s="1146"/>
      <c r="O33" s="1146"/>
      <c r="P33" s="1197"/>
      <c r="Q33" s="4177"/>
      <c r="R33" s="4178"/>
      <c r="S33" s="4178"/>
      <c r="T33" s="4179"/>
    </row>
    <row r="34" spans="1:20" s="40" customFormat="1" x14ac:dyDescent="0.25">
      <c r="A34" s="2906"/>
      <c r="B34" s="4161" t="s">
        <v>1038</v>
      </c>
      <c r="C34" s="4161"/>
      <c r="D34" s="4161"/>
      <c r="E34" s="4161"/>
      <c r="F34" s="4161"/>
      <c r="G34" s="4162"/>
      <c r="H34" s="1142"/>
      <c r="I34" s="1143"/>
      <c r="J34" s="2903"/>
      <c r="K34" s="1145"/>
      <c r="L34" s="1146"/>
      <c r="M34" s="1146"/>
      <c r="N34" s="1146"/>
      <c r="O34" s="1146"/>
      <c r="P34" s="1197"/>
      <c r="Q34" s="4177"/>
      <c r="R34" s="4178"/>
      <c r="S34" s="4178"/>
      <c r="T34" s="4179"/>
    </row>
    <row r="35" spans="1:20" s="40" customFormat="1" ht="12.5" x14ac:dyDescent="0.25">
      <c r="A35" s="2906"/>
      <c r="B35" s="4195"/>
      <c r="C35" s="4195"/>
      <c r="D35" s="4195"/>
      <c r="E35" s="4195"/>
      <c r="F35" s="4195"/>
      <c r="G35" s="4196"/>
      <c r="H35" s="1142"/>
      <c r="I35" s="1143"/>
      <c r="J35" s="2903"/>
      <c r="K35" s="1145"/>
      <c r="L35" s="1146"/>
      <c r="M35" s="1146"/>
      <c r="N35" s="1146"/>
      <c r="O35" s="1146"/>
      <c r="P35" s="1197"/>
      <c r="Q35" s="4177"/>
      <c r="R35" s="4178"/>
      <c r="S35" s="4178"/>
      <c r="T35" s="4179"/>
    </row>
    <row r="36" spans="1:20" s="40" customFormat="1" ht="13.5" thickBot="1" x14ac:dyDescent="0.3">
      <c r="A36" s="2906"/>
      <c r="B36" s="2827"/>
      <c r="C36" s="2827"/>
      <c r="D36" s="2827"/>
      <c r="E36" s="2827"/>
      <c r="F36" s="2827"/>
      <c r="G36" s="2827"/>
      <c r="H36" s="2827"/>
      <c r="I36" s="2827"/>
      <c r="J36" s="2827"/>
      <c r="K36" s="2827"/>
      <c r="L36" s="2827"/>
      <c r="M36" s="2827"/>
      <c r="N36" s="2827"/>
      <c r="O36" s="2827"/>
      <c r="P36" s="4192"/>
      <c r="Q36" s="4192"/>
      <c r="R36" s="4192"/>
      <c r="S36" s="4192"/>
      <c r="T36" s="2910"/>
    </row>
    <row r="37" spans="1:20" s="40" customFormat="1" ht="33" customHeight="1" thickTop="1" thickBot="1" x14ac:dyDescent="0.3">
      <c r="A37" s="4188" t="s">
        <v>1039</v>
      </c>
      <c r="B37" s="4189"/>
      <c r="C37" s="4189"/>
      <c r="D37" s="4189"/>
      <c r="E37" s="4189"/>
      <c r="F37" s="4189"/>
      <c r="G37" s="4190"/>
      <c r="H37" s="953" t="s">
        <v>2627</v>
      </c>
      <c r="I37" s="954" t="s">
        <v>2324</v>
      </c>
      <c r="J37" s="2902" t="s">
        <v>2718</v>
      </c>
      <c r="K37" s="953" t="s">
        <v>1024</v>
      </c>
      <c r="L37" s="955" t="s">
        <v>1025</v>
      </c>
      <c r="M37" s="955" t="s">
        <v>1026</v>
      </c>
      <c r="N37" s="955" t="s">
        <v>1027</v>
      </c>
      <c r="O37" s="955" t="s">
        <v>1028</v>
      </c>
      <c r="P37" s="954" t="s">
        <v>1029</v>
      </c>
      <c r="Q37" s="4174" t="s">
        <v>18</v>
      </c>
      <c r="R37" s="4175"/>
      <c r="S37" s="4175"/>
      <c r="T37" s="4176"/>
    </row>
    <row r="38" spans="1:20" s="40" customFormat="1" x14ac:dyDescent="0.25">
      <c r="A38" s="2909"/>
      <c r="B38" s="4161" t="s">
        <v>1119</v>
      </c>
      <c r="C38" s="4161"/>
      <c r="D38" s="4161"/>
      <c r="E38" s="4161"/>
      <c r="F38" s="4161"/>
      <c r="G38" s="4162"/>
      <c r="H38" s="1142"/>
      <c r="I38" s="1143"/>
      <c r="J38" s="2903"/>
      <c r="K38" s="1145"/>
      <c r="L38" s="1146"/>
      <c r="M38" s="1146"/>
      <c r="N38" s="1146"/>
      <c r="O38" s="1146"/>
      <c r="P38" s="1197"/>
      <c r="Q38" s="2911"/>
      <c r="R38" s="2912"/>
      <c r="S38" s="2912"/>
      <c r="T38" s="2913"/>
    </row>
    <row r="39" spans="1:20" s="40" customFormat="1" x14ac:dyDescent="0.25">
      <c r="A39" s="2906"/>
      <c r="B39" s="4161" t="s">
        <v>1120</v>
      </c>
      <c r="C39" s="4161"/>
      <c r="D39" s="4161"/>
      <c r="E39" s="4161"/>
      <c r="F39" s="4161"/>
      <c r="G39" s="4162"/>
      <c r="H39" s="1142"/>
      <c r="I39" s="1143"/>
      <c r="J39" s="2903"/>
      <c r="K39" s="1145"/>
      <c r="L39" s="1146"/>
      <c r="M39" s="1146"/>
      <c r="N39" s="1146"/>
      <c r="O39" s="1146"/>
      <c r="P39" s="1197"/>
      <c r="Q39" s="4186"/>
      <c r="R39" s="4178"/>
      <c r="S39" s="4178"/>
      <c r="T39" s="4187"/>
    </row>
    <row r="40" spans="1:20" s="40" customFormat="1" x14ac:dyDescent="0.25">
      <c r="A40" s="2909"/>
      <c r="B40" s="4161" t="s">
        <v>1030</v>
      </c>
      <c r="C40" s="4161"/>
      <c r="D40" s="4161"/>
      <c r="E40" s="4161"/>
      <c r="F40" s="4161"/>
      <c r="G40" s="4162"/>
      <c r="H40" s="1142"/>
      <c r="I40" s="1143"/>
      <c r="J40" s="2903"/>
      <c r="K40" s="1145"/>
      <c r="L40" s="1146"/>
      <c r="M40" s="1146"/>
      <c r="N40" s="1146"/>
      <c r="O40" s="1146"/>
      <c r="P40" s="1197"/>
      <c r="Q40" s="4186"/>
      <c r="R40" s="4178"/>
      <c r="S40" s="4178"/>
      <c r="T40" s="4187"/>
    </row>
    <row r="41" spans="1:20" s="40" customFormat="1" x14ac:dyDescent="0.25">
      <c r="A41" s="2906"/>
      <c r="B41" s="4161" t="s">
        <v>1031</v>
      </c>
      <c r="C41" s="4161"/>
      <c r="D41" s="4161"/>
      <c r="E41" s="4161"/>
      <c r="F41" s="4161"/>
      <c r="G41" s="4162"/>
      <c r="H41" s="1142"/>
      <c r="I41" s="1143"/>
      <c r="J41" s="2903"/>
      <c r="K41" s="1145"/>
      <c r="L41" s="1146"/>
      <c r="M41" s="1146"/>
      <c r="N41" s="1146"/>
      <c r="O41" s="1146"/>
      <c r="P41" s="1197"/>
      <c r="Q41" s="4177"/>
      <c r="R41" s="4178"/>
      <c r="S41" s="4178"/>
      <c r="T41" s="4179"/>
    </row>
    <row r="42" spans="1:20" s="40" customFormat="1" x14ac:dyDescent="0.25">
      <c r="A42" s="2906"/>
      <c r="B42" s="4161" t="s">
        <v>1032</v>
      </c>
      <c r="C42" s="4161"/>
      <c r="D42" s="4161"/>
      <c r="E42" s="4161"/>
      <c r="F42" s="4161"/>
      <c r="G42" s="4162"/>
      <c r="H42" s="1142"/>
      <c r="I42" s="1143"/>
      <c r="J42" s="2903"/>
      <c r="K42" s="1145"/>
      <c r="L42" s="1146"/>
      <c r="M42" s="1146"/>
      <c r="N42" s="1146"/>
      <c r="O42" s="1146"/>
      <c r="P42" s="1197"/>
      <c r="Q42" s="4177"/>
      <c r="R42" s="4178"/>
      <c r="S42" s="4178"/>
      <c r="T42" s="4179"/>
    </row>
    <row r="43" spans="1:20" s="40" customFormat="1" ht="15" customHeight="1" x14ac:dyDescent="0.25">
      <c r="A43" s="2906"/>
      <c r="B43" s="4161" t="s">
        <v>2091</v>
      </c>
      <c r="C43" s="4161"/>
      <c r="D43" s="4161"/>
      <c r="E43" s="4161"/>
      <c r="F43" s="4161"/>
      <c r="G43" s="4162"/>
      <c r="H43" s="1142"/>
      <c r="I43" s="1143"/>
      <c r="J43" s="2903"/>
      <c r="K43" s="1145"/>
      <c r="L43" s="1146"/>
      <c r="M43" s="1146"/>
      <c r="N43" s="1146"/>
      <c r="O43" s="1146"/>
      <c r="P43" s="1197"/>
      <c r="Q43" s="4177"/>
      <c r="R43" s="4178"/>
      <c r="S43" s="4178"/>
      <c r="T43" s="4179"/>
    </row>
    <row r="44" spans="1:20" s="321" customFormat="1" ht="31.5" customHeight="1" x14ac:dyDescent="0.25">
      <c r="A44" s="2908"/>
      <c r="B44" s="4164" t="s">
        <v>2719</v>
      </c>
      <c r="C44" s="4164"/>
      <c r="D44" s="4164"/>
      <c r="E44" s="4164"/>
      <c r="F44" s="4164"/>
      <c r="G44" s="4165"/>
      <c r="H44" s="1142"/>
      <c r="I44" s="1143"/>
      <c r="J44" s="2903"/>
      <c r="K44" s="1145"/>
      <c r="L44" s="1146"/>
      <c r="M44" s="1146"/>
      <c r="N44" s="1146"/>
      <c r="O44" s="1146"/>
      <c r="P44" s="1197"/>
      <c r="Q44" s="4177"/>
      <c r="R44" s="4178"/>
      <c r="S44" s="4178"/>
      <c r="T44" s="4179"/>
    </row>
    <row r="45" spans="1:20" s="40" customFormat="1" x14ac:dyDescent="0.25">
      <c r="A45" s="2909"/>
      <c r="B45" s="4161" t="s">
        <v>2363</v>
      </c>
      <c r="C45" s="4161"/>
      <c r="D45" s="4161"/>
      <c r="E45" s="4161"/>
      <c r="F45" s="4161"/>
      <c r="G45" s="4162"/>
      <c r="H45" s="1142"/>
      <c r="I45" s="1143"/>
      <c r="J45" s="2903"/>
      <c r="K45" s="1145"/>
      <c r="L45" s="1146"/>
      <c r="M45" s="1146"/>
      <c r="N45" s="1146"/>
      <c r="O45" s="1146"/>
      <c r="P45" s="1197"/>
      <c r="Q45" s="4177"/>
      <c r="R45" s="4178"/>
      <c r="S45" s="4178"/>
      <c r="T45" s="4179"/>
    </row>
    <row r="46" spans="1:20" s="40" customFormat="1" x14ac:dyDescent="0.25">
      <c r="A46" s="2906"/>
      <c r="B46" s="4161" t="s">
        <v>2364</v>
      </c>
      <c r="C46" s="4161"/>
      <c r="D46" s="4161"/>
      <c r="E46" s="4161"/>
      <c r="F46" s="4161"/>
      <c r="G46" s="4162"/>
      <c r="H46" s="1142"/>
      <c r="I46" s="1143"/>
      <c r="J46" s="2903"/>
      <c r="K46" s="1145"/>
      <c r="L46" s="1146"/>
      <c r="M46" s="1146"/>
      <c r="N46" s="1146"/>
      <c r="O46" s="1146"/>
      <c r="P46" s="1197"/>
      <c r="Q46" s="4177"/>
      <c r="R46" s="4178"/>
      <c r="S46" s="4178"/>
      <c r="T46" s="4179"/>
    </row>
    <row r="47" spans="1:20" s="40" customFormat="1" x14ac:dyDescent="0.25">
      <c r="A47" s="2906"/>
      <c r="B47" s="4161" t="s">
        <v>1040</v>
      </c>
      <c r="C47" s="4161"/>
      <c r="D47" s="4161"/>
      <c r="E47" s="4161"/>
      <c r="F47" s="4161"/>
      <c r="G47" s="4162"/>
      <c r="H47" s="1142"/>
      <c r="I47" s="1143"/>
      <c r="J47" s="2903"/>
      <c r="K47" s="1145"/>
      <c r="L47" s="1146"/>
      <c r="M47" s="1146"/>
      <c r="N47" s="1146"/>
      <c r="O47" s="1146"/>
      <c r="P47" s="1197"/>
      <c r="Q47" s="4177"/>
      <c r="R47" s="4178"/>
      <c r="S47" s="4178"/>
      <c r="T47" s="4179"/>
    </row>
    <row r="48" spans="1:20" s="40" customFormat="1" x14ac:dyDescent="0.25">
      <c r="A48" s="2906"/>
      <c r="B48" s="4161" t="s">
        <v>2373</v>
      </c>
      <c r="C48" s="4161"/>
      <c r="D48" s="4161"/>
      <c r="E48" s="4161"/>
      <c r="F48" s="4161"/>
      <c r="G48" s="4162"/>
      <c r="H48" s="1142"/>
      <c r="I48" s="1144"/>
      <c r="J48" s="2903"/>
      <c r="K48" s="1145"/>
      <c r="L48" s="1146"/>
      <c r="M48" s="1146"/>
      <c r="N48" s="1146"/>
      <c r="O48" s="1146"/>
      <c r="P48" s="1197"/>
      <c r="Q48" s="4177"/>
      <c r="R48" s="4178"/>
      <c r="S48" s="4178"/>
      <c r="T48" s="4179"/>
    </row>
    <row r="49" spans="1:20" s="40" customFormat="1" x14ac:dyDescent="0.25">
      <c r="A49" s="2906"/>
      <c r="B49" s="4161" t="s">
        <v>1041</v>
      </c>
      <c r="C49" s="4161"/>
      <c r="D49" s="4161"/>
      <c r="E49" s="4161"/>
      <c r="F49" s="4161"/>
      <c r="G49" s="4162"/>
      <c r="H49" s="1142"/>
      <c r="I49" s="1143"/>
      <c r="J49" s="2903"/>
      <c r="K49" s="1145"/>
      <c r="L49" s="1146"/>
      <c r="M49" s="1146"/>
      <c r="N49" s="1146"/>
      <c r="O49" s="1146"/>
      <c r="P49" s="1197"/>
      <c r="Q49" s="4177"/>
      <c r="R49" s="4178"/>
      <c r="S49" s="4178"/>
      <c r="T49" s="4179"/>
    </row>
    <row r="50" spans="1:20" s="40" customFormat="1" x14ac:dyDescent="0.25">
      <c r="A50" s="2906"/>
      <c r="B50" s="4161" t="s">
        <v>1042</v>
      </c>
      <c r="C50" s="4161"/>
      <c r="D50" s="4161"/>
      <c r="E50" s="4161"/>
      <c r="F50" s="4161"/>
      <c r="G50" s="4162"/>
      <c r="H50" s="1142"/>
      <c r="I50" s="1143"/>
      <c r="J50" s="2903"/>
      <c r="K50" s="1145"/>
      <c r="L50" s="1146"/>
      <c r="M50" s="1146"/>
      <c r="N50" s="1146"/>
      <c r="O50" s="1146"/>
      <c r="P50" s="1197"/>
      <c r="Q50" s="4177"/>
      <c r="R50" s="4178"/>
      <c r="S50" s="4178"/>
      <c r="T50" s="4179"/>
    </row>
    <row r="51" spans="1:20" s="40" customFormat="1" x14ac:dyDescent="0.25">
      <c r="A51" s="2906"/>
      <c r="B51" s="4161" t="s">
        <v>2365</v>
      </c>
      <c r="C51" s="4161"/>
      <c r="D51" s="4161"/>
      <c r="E51" s="4161"/>
      <c r="F51" s="4161"/>
      <c r="G51" s="4162"/>
      <c r="H51" s="1142"/>
      <c r="I51" s="1143"/>
      <c r="J51" s="2903"/>
      <c r="K51" s="1145"/>
      <c r="L51" s="1146"/>
      <c r="M51" s="1146"/>
      <c r="N51" s="1146"/>
      <c r="O51" s="1146"/>
      <c r="P51" s="1197"/>
      <c r="Q51" s="4177"/>
      <c r="R51" s="4178"/>
      <c r="S51" s="4178"/>
      <c r="T51" s="4179"/>
    </row>
    <row r="52" spans="1:20" s="40" customFormat="1" x14ac:dyDescent="0.25">
      <c r="A52" s="2906"/>
      <c r="B52" s="4161" t="s">
        <v>2366</v>
      </c>
      <c r="C52" s="4161"/>
      <c r="D52" s="4161"/>
      <c r="E52" s="4161"/>
      <c r="F52" s="4161"/>
      <c r="G52" s="4162"/>
      <c r="H52" s="1142"/>
      <c r="I52" s="1143"/>
      <c r="J52" s="2903"/>
      <c r="K52" s="1145"/>
      <c r="L52" s="1146"/>
      <c r="M52" s="1146"/>
      <c r="N52" s="1146"/>
      <c r="O52" s="1146"/>
      <c r="P52" s="1197"/>
      <c r="Q52" s="4177"/>
      <c r="R52" s="4178"/>
      <c r="S52" s="4178"/>
      <c r="T52" s="4179"/>
    </row>
    <row r="53" spans="1:20" s="40" customFormat="1" x14ac:dyDescent="0.25">
      <c r="A53" s="2906"/>
      <c r="B53" s="4161" t="s">
        <v>2713</v>
      </c>
      <c r="C53" s="4161"/>
      <c r="D53" s="4161"/>
      <c r="E53" s="4161"/>
      <c r="F53" s="4161"/>
      <c r="G53" s="4162"/>
      <c r="H53" s="1142"/>
      <c r="I53" s="1143"/>
      <c r="J53" s="2903"/>
      <c r="K53" s="1145"/>
      <c r="L53" s="1146"/>
      <c r="M53" s="1146"/>
      <c r="N53" s="1146"/>
      <c r="O53" s="1146"/>
      <c r="P53" s="1197"/>
      <c r="Q53" s="4177"/>
      <c r="R53" s="4178"/>
      <c r="S53" s="4178"/>
      <c r="T53" s="4179"/>
    </row>
    <row r="54" spans="1:20" s="40" customFormat="1" ht="27.75" customHeight="1" x14ac:dyDescent="0.25">
      <c r="A54" s="2906"/>
      <c r="B54" s="4164" t="s">
        <v>2720</v>
      </c>
      <c r="C54" s="4164"/>
      <c r="D54" s="4164"/>
      <c r="E54" s="4164"/>
      <c r="F54" s="4164"/>
      <c r="G54" s="4165"/>
      <c r="H54" s="1142"/>
      <c r="I54" s="1143"/>
      <c r="J54" s="2903"/>
      <c r="K54" s="1145"/>
      <c r="L54" s="1146"/>
      <c r="M54" s="1146"/>
      <c r="N54" s="1146"/>
      <c r="O54" s="1146"/>
      <c r="P54" s="1197"/>
      <c r="Q54" s="4177"/>
      <c r="R54" s="4178"/>
      <c r="S54" s="4178"/>
      <c r="T54" s="4179"/>
    </row>
    <row r="55" spans="1:20" s="40" customFormat="1" ht="13.5" thickBot="1" x14ac:dyDescent="0.3">
      <c r="A55" s="2906"/>
      <c r="B55" s="2827"/>
      <c r="C55" s="2827"/>
      <c r="D55" s="2827"/>
      <c r="E55" s="2827"/>
      <c r="F55" s="2827"/>
      <c r="G55" s="2827"/>
      <c r="H55" s="2827"/>
      <c r="I55" s="2827"/>
      <c r="J55" s="2827"/>
      <c r="K55" s="2827"/>
      <c r="L55" s="2827"/>
      <c r="M55" s="2827"/>
      <c r="N55" s="2827"/>
      <c r="O55" s="2827"/>
      <c r="P55" s="4192"/>
      <c r="Q55" s="4192"/>
      <c r="R55" s="4192"/>
      <c r="S55" s="4192"/>
      <c r="T55" s="2910"/>
    </row>
    <row r="56" spans="1:20" s="40" customFormat="1" ht="32" thickTop="1" thickBot="1" x14ac:dyDescent="0.3">
      <c r="A56" s="4188" t="s">
        <v>1047</v>
      </c>
      <c r="B56" s="4189"/>
      <c r="C56" s="4189"/>
      <c r="D56" s="4189"/>
      <c r="E56" s="4189"/>
      <c r="F56" s="4189"/>
      <c r="G56" s="4190"/>
      <c r="H56" s="953" t="s">
        <v>2627</v>
      </c>
      <c r="I56" s="954" t="s">
        <v>2324</v>
      </c>
      <c r="J56" s="2902" t="s">
        <v>2718</v>
      </c>
      <c r="K56" s="953" t="s">
        <v>1024</v>
      </c>
      <c r="L56" s="955" t="s">
        <v>1025</v>
      </c>
      <c r="M56" s="955" t="s">
        <v>1026</v>
      </c>
      <c r="N56" s="955" t="s">
        <v>1027</v>
      </c>
      <c r="O56" s="955" t="s">
        <v>1028</v>
      </c>
      <c r="P56" s="954" t="s">
        <v>1029</v>
      </c>
      <c r="Q56" s="4174" t="s">
        <v>18</v>
      </c>
      <c r="R56" s="4175"/>
      <c r="S56" s="4175"/>
      <c r="T56" s="4176"/>
    </row>
    <row r="57" spans="1:20" s="40" customFormat="1" x14ac:dyDescent="0.25">
      <c r="A57" s="2906"/>
      <c r="B57" s="4161" t="s">
        <v>2382</v>
      </c>
      <c r="C57" s="4161"/>
      <c r="D57" s="4161"/>
      <c r="E57" s="4161"/>
      <c r="F57" s="4161"/>
      <c r="G57" s="4162"/>
      <c r="H57" s="1142"/>
      <c r="I57" s="1143"/>
      <c r="J57" s="2903"/>
      <c r="K57" s="1145"/>
      <c r="L57" s="1146"/>
      <c r="M57" s="1146"/>
      <c r="N57" s="1146"/>
      <c r="O57" s="1146"/>
      <c r="P57" s="1146"/>
      <c r="Q57" s="4177"/>
      <c r="R57" s="4178"/>
      <c r="S57" s="4178"/>
      <c r="T57" s="4179"/>
    </row>
    <row r="58" spans="1:20" s="321" customFormat="1" ht="13.5" customHeight="1" x14ac:dyDescent="0.25">
      <c r="A58" s="2908"/>
      <c r="B58" s="4161" t="s">
        <v>2383</v>
      </c>
      <c r="C58" s="4161"/>
      <c r="D58" s="4161"/>
      <c r="E58" s="4161"/>
      <c r="F58" s="4161"/>
      <c r="G58" s="4162"/>
      <c r="H58" s="1142"/>
      <c r="I58" s="1143"/>
      <c r="J58" s="2903"/>
      <c r="K58" s="1145"/>
      <c r="L58" s="1146"/>
      <c r="M58" s="1146"/>
      <c r="N58" s="1146"/>
      <c r="O58" s="1146"/>
      <c r="P58" s="1146"/>
      <c r="Q58" s="4177"/>
      <c r="R58" s="4178"/>
      <c r="S58" s="4178"/>
      <c r="T58" s="4179"/>
    </row>
    <row r="59" spans="1:20" s="40" customFormat="1" x14ac:dyDescent="0.25">
      <c r="A59" s="2909"/>
      <c r="B59" s="4161" t="s">
        <v>2722</v>
      </c>
      <c r="C59" s="4161"/>
      <c r="D59" s="4161"/>
      <c r="E59" s="4161"/>
      <c r="F59" s="4161"/>
      <c r="G59" s="4162"/>
      <c r="H59" s="1142"/>
      <c r="I59" s="1143"/>
      <c r="J59" s="2903"/>
      <c r="K59" s="1145"/>
      <c r="L59" s="1146"/>
      <c r="M59" s="1146"/>
      <c r="N59" s="1146"/>
      <c r="O59" s="1146"/>
      <c r="P59" s="1146"/>
      <c r="Q59" s="4177"/>
      <c r="R59" s="4178"/>
      <c r="S59" s="4178"/>
      <c r="T59" s="4179"/>
    </row>
    <row r="60" spans="1:20" s="40" customFormat="1" ht="15.75" customHeight="1" x14ac:dyDescent="0.25">
      <c r="A60" s="2907"/>
      <c r="B60" s="4161" t="s">
        <v>1666</v>
      </c>
      <c r="C60" s="4161"/>
      <c r="D60" s="4161"/>
      <c r="E60" s="4161"/>
      <c r="F60" s="4161"/>
      <c r="G60" s="4162"/>
      <c r="H60" s="1142"/>
      <c r="I60" s="1143"/>
      <c r="J60" s="2903"/>
      <c r="K60" s="1145"/>
      <c r="L60" s="1146"/>
      <c r="M60" s="1146"/>
      <c r="N60" s="1146"/>
      <c r="O60" s="1146"/>
      <c r="P60" s="1146"/>
      <c r="Q60" s="4177"/>
      <c r="R60" s="4178"/>
      <c r="S60" s="4178"/>
      <c r="T60" s="4179"/>
    </row>
    <row r="61" spans="1:20" s="40" customFormat="1" ht="15" customHeight="1" x14ac:dyDescent="0.25">
      <c r="A61" s="2907"/>
      <c r="B61" s="4161" t="s">
        <v>2384</v>
      </c>
      <c r="C61" s="4161"/>
      <c r="D61" s="4161"/>
      <c r="E61" s="4161"/>
      <c r="F61" s="4161"/>
      <c r="G61" s="4162"/>
      <c r="H61" s="1142"/>
      <c r="I61" s="1143"/>
      <c r="J61" s="2903"/>
      <c r="K61" s="1145"/>
      <c r="L61" s="1146"/>
      <c r="M61" s="1146"/>
      <c r="N61" s="1146"/>
      <c r="O61" s="1146"/>
      <c r="P61" s="1146"/>
      <c r="Q61" s="4177"/>
      <c r="R61" s="4178"/>
      <c r="S61" s="4178"/>
      <c r="T61" s="4179"/>
    </row>
    <row r="62" spans="1:20" s="40" customFormat="1" ht="15" customHeight="1" x14ac:dyDescent="0.25">
      <c r="A62" s="2907"/>
      <c r="B62" s="4161" t="s">
        <v>1900</v>
      </c>
      <c r="C62" s="4161"/>
      <c r="D62" s="4161"/>
      <c r="E62" s="4161"/>
      <c r="F62" s="4161"/>
      <c r="G62" s="4162"/>
      <c r="H62" s="1142"/>
      <c r="I62" s="1143"/>
      <c r="J62" s="2903"/>
      <c r="K62" s="1145"/>
      <c r="L62" s="1146"/>
      <c r="M62" s="1146"/>
      <c r="N62" s="1146"/>
      <c r="O62" s="1146"/>
      <c r="P62" s="1146"/>
      <c r="Q62" s="4177"/>
      <c r="R62" s="4178"/>
      <c r="S62" s="4178"/>
      <c r="T62" s="4179"/>
    </row>
    <row r="63" spans="1:20" s="40" customFormat="1" ht="15" customHeight="1" x14ac:dyDescent="0.25">
      <c r="A63" s="2907"/>
      <c r="B63" s="4161" t="s">
        <v>2385</v>
      </c>
      <c r="C63" s="4161"/>
      <c r="D63" s="4161"/>
      <c r="E63" s="4161"/>
      <c r="F63" s="4161"/>
      <c r="G63" s="4162"/>
      <c r="H63" s="1142"/>
      <c r="I63" s="1143"/>
      <c r="J63" s="2903"/>
      <c r="K63" s="1145"/>
      <c r="L63" s="1146"/>
      <c r="M63" s="1146"/>
      <c r="N63" s="1146"/>
      <c r="O63" s="1146"/>
      <c r="P63" s="1146"/>
      <c r="Q63" s="4177"/>
      <c r="R63" s="4178"/>
      <c r="S63" s="4178"/>
      <c r="T63" s="4179"/>
    </row>
    <row r="64" spans="1:20" s="40" customFormat="1" ht="15" customHeight="1" x14ac:dyDescent="0.25">
      <c r="A64" s="2907"/>
      <c r="B64" s="4161" t="s">
        <v>2386</v>
      </c>
      <c r="C64" s="4161"/>
      <c r="D64" s="4161"/>
      <c r="E64" s="4161"/>
      <c r="F64" s="4161"/>
      <c r="G64" s="4162"/>
      <c r="H64" s="1142"/>
      <c r="I64" s="1143"/>
      <c r="J64" s="2903"/>
      <c r="K64" s="1145"/>
      <c r="L64" s="1146"/>
      <c r="M64" s="1146"/>
      <c r="N64" s="1146"/>
      <c r="O64" s="1146"/>
      <c r="P64" s="1146"/>
      <c r="Q64" s="4177"/>
      <c r="R64" s="4178"/>
      <c r="S64" s="4178"/>
      <c r="T64" s="4179"/>
    </row>
    <row r="65" spans="1:21" s="40" customFormat="1" ht="15" customHeight="1" x14ac:dyDescent="0.25">
      <c r="A65" s="2907"/>
      <c r="B65" s="4161" t="s">
        <v>2387</v>
      </c>
      <c r="C65" s="4161"/>
      <c r="D65" s="4161"/>
      <c r="E65" s="4161"/>
      <c r="F65" s="4161"/>
      <c r="G65" s="4162"/>
      <c r="H65" s="1142"/>
      <c r="I65" s="1143"/>
      <c r="J65" s="2903"/>
      <c r="K65" s="1145"/>
      <c r="L65" s="1146"/>
      <c r="M65" s="1146"/>
      <c r="N65" s="1146"/>
      <c r="O65" s="1146"/>
      <c r="P65" s="1146"/>
      <c r="Q65" s="4177"/>
      <c r="R65" s="4178"/>
      <c r="S65" s="4178"/>
      <c r="T65" s="4179"/>
    </row>
    <row r="66" spans="1:21" s="40" customFormat="1" ht="15" customHeight="1" x14ac:dyDescent="0.25">
      <c r="A66" s="2907"/>
      <c r="B66" s="4161" t="s">
        <v>1048</v>
      </c>
      <c r="C66" s="4161"/>
      <c r="D66" s="4161"/>
      <c r="E66" s="4161"/>
      <c r="F66" s="4161"/>
      <c r="G66" s="4162"/>
      <c r="H66" s="1142"/>
      <c r="I66" s="1143"/>
      <c r="J66" s="2903"/>
      <c r="K66" s="1145"/>
      <c r="L66" s="1146"/>
      <c r="M66" s="1146"/>
      <c r="N66" s="1146"/>
      <c r="O66" s="1146"/>
      <c r="P66" s="1146"/>
      <c r="Q66" s="4177"/>
      <c r="R66" s="4178"/>
      <c r="S66" s="4178"/>
      <c r="T66" s="4179"/>
    </row>
    <row r="67" spans="1:21" s="40" customFormat="1" ht="15" customHeight="1" x14ac:dyDescent="0.25">
      <c r="A67" s="2907"/>
      <c r="B67" s="4161" t="s">
        <v>1049</v>
      </c>
      <c r="C67" s="4161"/>
      <c r="D67" s="4161"/>
      <c r="E67" s="4161"/>
      <c r="F67" s="4161"/>
      <c r="G67" s="4162"/>
      <c r="H67" s="1142"/>
      <c r="I67" s="1143"/>
      <c r="J67" s="2903"/>
      <c r="K67" s="1145"/>
      <c r="L67" s="1146"/>
      <c r="M67" s="1146"/>
      <c r="N67" s="1146"/>
      <c r="O67" s="1146"/>
      <c r="P67" s="1146"/>
      <c r="Q67" s="4177"/>
      <c r="R67" s="4178"/>
      <c r="S67" s="4178"/>
      <c r="T67" s="4179"/>
    </row>
    <row r="68" spans="1:21" s="40" customFormat="1" ht="12.75" customHeight="1" x14ac:dyDescent="0.25">
      <c r="A68" s="2907"/>
      <c r="B68" s="4195" t="s">
        <v>2381</v>
      </c>
      <c r="C68" s="4195"/>
      <c r="D68" s="4195"/>
      <c r="E68" s="4195"/>
      <c r="F68" s="4195"/>
      <c r="G68" s="4196"/>
      <c r="H68" s="1142"/>
      <c r="I68" s="1143"/>
      <c r="J68" s="2903"/>
      <c r="K68" s="1145"/>
      <c r="L68" s="1146"/>
      <c r="M68" s="1146"/>
      <c r="N68" s="1146"/>
      <c r="O68" s="1146"/>
      <c r="P68" s="1146"/>
      <c r="Q68" s="4177"/>
      <c r="R68" s="4178"/>
      <c r="S68" s="4178"/>
      <c r="T68" s="4179"/>
    </row>
    <row r="69" spans="1:21" s="40" customFormat="1" ht="12.75" customHeight="1" thickBot="1" x14ac:dyDescent="0.3">
      <c r="A69" s="2907"/>
      <c r="B69" s="2827"/>
      <c r="C69" s="2827"/>
      <c r="D69" s="2827"/>
      <c r="E69" s="2827"/>
      <c r="F69" s="2827"/>
      <c r="G69" s="2827"/>
      <c r="H69" s="2827"/>
      <c r="I69" s="2827"/>
      <c r="J69" s="2827"/>
      <c r="K69" s="2827"/>
      <c r="L69" s="2827"/>
      <c r="M69" s="2827"/>
      <c r="N69" s="2827"/>
      <c r="O69" s="2827"/>
      <c r="P69" s="4180"/>
      <c r="Q69" s="4180"/>
      <c r="R69" s="4180"/>
      <c r="S69" s="4180"/>
      <c r="T69" s="4180"/>
    </row>
    <row r="70" spans="1:21" s="40" customFormat="1" ht="33" customHeight="1" thickTop="1" thickBot="1" x14ac:dyDescent="0.3">
      <c r="A70" s="4191" t="s">
        <v>1050</v>
      </c>
      <c r="B70" s="4189"/>
      <c r="C70" s="4189"/>
      <c r="D70" s="4189"/>
      <c r="E70" s="4189"/>
      <c r="F70" s="4189"/>
      <c r="G70" s="4190"/>
      <c r="H70" s="953" t="s">
        <v>2627</v>
      </c>
      <c r="I70" s="954" t="s">
        <v>2324</v>
      </c>
      <c r="J70" s="2902" t="s">
        <v>2718</v>
      </c>
      <c r="K70" s="953" t="s">
        <v>1024</v>
      </c>
      <c r="L70" s="955" t="s">
        <v>1025</v>
      </c>
      <c r="M70" s="955" t="s">
        <v>1026</v>
      </c>
      <c r="N70" s="955" t="s">
        <v>1027</v>
      </c>
      <c r="O70" s="955" t="s">
        <v>1028</v>
      </c>
      <c r="P70" s="954" t="s">
        <v>1029</v>
      </c>
      <c r="Q70" s="4174" t="s">
        <v>18</v>
      </c>
      <c r="R70" s="4175"/>
      <c r="S70" s="4175"/>
      <c r="T70" s="4176"/>
    </row>
    <row r="71" spans="1:21" s="40" customFormat="1" ht="15.5" x14ac:dyDescent="0.25">
      <c r="A71" s="2907"/>
      <c r="B71" s="4162" t="s">
        <v>2388</v>
      </c>
      <c r="C71" s="4193"/>
      <c r="D71" s="4193"/>
      <c r="E71" s="4193"/>
      <c r="F71" s="4193"/>
      <c r="G71" s="4194"/>
      <c r="H71" s="1142"/>
      <c r="I71" s="1143"/>
      <c r="J71" s="2903"/>
      <c r="K71" s="1145"/>
      <c r="L71" s="1146"/>
      <c r="M71" s="1146"/>
      <c r="N71" s="1146"/>
      <c r="O71" s="1146"/>
      <c r="P71" s="1197"/>
      <c r="Q71" s="4177"/>
      <c r="R71" s="4178"/>
      <c r="S71" s="4178"/>
      <c r="T71" s="4179"/>
      <c r="U71" s="321"/>
    </row>
    <row r="72" spans="1:21" s="321" customFormat="1" ht="17.25" customHeight="1" x14ac:dyDescent="0.25">
      <c r="A72" s="2908"/>
      <c r="B72" s="4162" t="s">
        <v>1043</v>
      </c>
      <c r="C72" s="4193"/>
      <c r="D72" s="4193"/>
      <c r="E72" s="4193"/>
      <c r="F72" s="4193"/>
      <c r="G72" s="4194"/>
      <c r="H72" s="1142"/>
      <c r="I72" s="1143"/>
      <c r="J72" s="2903"/>
      <c r="K72" s="1145"/>
      <c r="L72" s="1146"/>
      <c r="M72" s="1146"/>
      <c r="N72" s="1146"/>
      <c r="O72" s="1146"/>
      <c r="P72" s="1197"/>
      <c r="Q72" s="4177"/>
      <c r="R72" s="4178"/>
      <c r="S72" s="4178"/>
      <c r="T72" s="4179"/>
      <c r="U72" s="40"/>
    </row>
    <row r="73" spans="1:21" s="40" customFormat="1" x14ac:dyDescent="0.25">
      <c r="A73" s="2909"/>
      <c r="B73" s="4162" t="s">
        <v>1051</v>
      </c>
      <c r="C73" s="4193"/>
      <c r="D73" s="4193"/>
      <c r="E73" s="4193"/>
      <c r="F73" s="4193"/>
      <c r="G73" s="4194"/>
      <c r="H73" s="1142"/>
      <c r="I73" s="1143"/>
      <c r="J73" s="2903"/>
      <c r="K73" s="1145"/>
      <c r="L73" s="1146"/>
      <c r="M73" s="1146"/>
      <c r="N73" s="1146"/>
      <c r="O73" s="1146"/>
      <c r="P73" s="1197"/>
      <c r="Q73" s="4177"/>
      <c r="R73" s="4178"/>
      <c r="S73" s="4178"/>
      <c r="T73" s="4179"/>
    </row>
    <row r="74" spans="1:21" s="40" customFormat="1" x14ac:dyDescent="0.25">
      <c r="A74" s="2669"/>
      <c r="B74" s="4162" t="s">
        <v>2389</v>
      </c>
      <c r="C74" s="4193"/>
      <c r="D74" s="4193"/>
      <c r="E74" s="4193"/>
      <c r="F74" s="4193"/>
      <c r="G74" s="4194"/>
      <c r="H74" s="1142"/>
      <c r="I74" s="1143"/>
      <c r="J74" s="2903"/>
      <c r="K74" s="1145"/>
      <c r="L74" s="1146"/>
      <c r="M74" s="1146"/>
      <c r="N74" s="1146"/>
      <c r="O74" s="1146"/>
      <c r="P74" s="1197"/>
      <c r="Q74" s="4177"/>
      <c r="R74" s="4178"/>
      <c r="S74" s="4178"/>
      <c r="T74" s="4179"/>
    </row>
    <row r="75" spans="1:21" s="40" customFormat="1" x14ac:dyDescent="0.25">
      <c r="A75" s="2669"/>
      <c r="B75" s="4162" t="s">
        <v>2721</v>
      </c>
      <c r="C75" s="4193"/>
      <c r="D75" s="4193"/>
      <c r="E75" s="4193"/>
      <c r="F75" s="4193"/>
      <c r="G75" s="4194"/>
      <c r="H75" s="1142"/>
      <c r="I75" s="1143"/>
      <c r="J75" s="2903"/>
      <c r="K75" s="1145"/>
      <c r="L75" s="1146"/>
      <c r="M75" s="1146"/>
      <c r="N75" s="1146"/>
      <c r="O75" s="1146"/>
      <c r="P75" s="1197"/>
      <c r="Q75" s="4177"/>
      <c r="R75" s="4178"/>
      <c r="S75" s="4178"/>
      <c r="T75" s="4179"/>
    </row>
    <row r="76" spans="1:21" s="40" customFormat="1" x14ac:dyDescent="0.25">
      <c r="A76" s="2669"/>
      <c r="B76" s="4162" t="s">
        <v>1052</v>
      </c>
      <c r="C76" s="4193"/>
      <c r="D76" s="4193"/>
      <c r="E76" s="4193"/>
      <c r="F76" s="4193"/>
      <c r="G76" s="4194"/>
      <c r="H76" s="1142"/>
      <c r="I76" s="1143"/>
      <c r="J76" s="2903"/>
      <c r="K76" s="1145"/>
      <c r="L76" s="1146"/>
      <c r="M76" s="1146"/>
      <c r="N76" s="1146"/>
      <c r="O76" s="1146"/>
      <c r="P76" s="1197"/>
      <c r="Q76" s="4177"/>
      <c r="R76" s="4178"/>
      <c r="S76" s="4178"/>
      <c r="T76" s="4179"/>
    </row>
    <row r="77" spans="1:21" s="40" customFormat="1" x14ac:dyDescent="0.25">
      <c r="A77" s="2669"/>
      <c r="B77" s="4162" t="s">
        <v>1053</v>
      </c>
      <c r="C77" s="4193"/>
      <c r="D77" s="4193"/>
      <c r="E77" s="4193"/>
      <c r="F77" s="4193"/>
      <c r="G77" s="4194"/>
      <c r="H77" s="2653"/>
      <c r="I77" s="2654"/>
      <c r="J77" s="2914"/>
      <c r="K77" s="2655"/>
      <c r="L77" s="2656"/>
      <c r="M77" s="2656"/>
      <c r="N77" s="2656"/>
      <c r="O77" s="2656"/>
      <c r="P77" s="2657"/>
      <c r="Q77" s="4177"/>
      <c r="R77" s="4178"/>
      <c r="S77" s="4178"/>
      <c r="T77" s="4179"/>
    </row>
    <row r="78" spans="1:21" s="40" customFormat="1" x14ac:dyDescent="0.25">
      <c r="A78" s="2669"/>
      <c r="B78" s="4162" t="s">
        <v>2092</v>
      </c>
      <c r="C78" s="4193"/>
      <c r="D78" s="4193"/>
      <c r="E78" s="4193"/>
      <c r="F78" s="4193"/>
      <c r="G78" s="4194"/>
      <c r="H78" s="2663"/>
      <c r="I78" s="2664"/>
      <c r="J78" s="2915"/>
      <c r="K78" s="2665"/>
      <c r="L78" s="2666"/>
      <c r="M78" s="2666"/>
      <c r="N78" s="2666"/>
      <c r="O78" s="2666"/>
      <c r="P78" s="2667"/>
      <c r="Q78" s="4177"/>
      <c r="R78" s="4178"/>
      <c r="S78" s="4178"/>
      <c r="T78" s="4179"/>
    </row>
    <row r="79" spans="1:21" s="40" customFormat="1" ht="13.5" thickBot="1" x14ac:dyDescent="0.3">
      <c r="A79" s="2669"/>
      <c r="B79" s="2826"/>
      <c r="C79" s="2826"/>
      <c r="D79" s="2826"/>
      <c r="E79" s="2826"/>
      <c r="F79" s="2826"/>
      <c r="G79" s="2826"/>
      <c r="H79" s="2826"/>
      <c r="I79" s="2826"/>
      <c r="J79" s="2826"/>
      <c r="K79" s="2826"/>
      <c r="L79" s="2826"/>
      <c r="M79" s="2826"/>
      <c r="N79" s="2826"/>
      <c r="O79" s="2826"/>
      <c r="P79" s="4181"/>
      <c r="Q79" s="4181"/>
      <c r="R79" s="4181"/>
      <c r="S79" s="4181"/>
      <c r="T79" s="43"/>
    </row>
    <row r="80" spans="1:21" s="40" customFormat="1" ht="15.75" customHeight="1" thickTop="1" thickBot="1" x14ac:dyDescent="0.3">
      <c r="A80" s="2651" t="s">
        <v>2368</v>
      </c>
      <c r="B80" s="2652"/>
      <c r="C80" s="2652"/>
      <c r="D80" s="2652"/>
      <c r="E80" s="2652"/>
      <c r="F80" s="2652"/>
      <c r="G80" s="2652"/>
      <c r="H80" s="953" t="s">
        <v>2627</v>
      </c>
      <c r="I80" s="954" t="s">
        <v>2324</v>
      </c>
      <c r="J80" s="2902" t="s">
        <v>2718</v>
      </c>
      <c r="K80" s="953" t="s">
        <v>1024</v>
      </c>
      <c r="L80" s="955" t="s">
        <v>1025</v>
      </c>
      <c r="M80" s="955" t="s">
        <v>1026</v>
      </c>
      <c r="N80" s="955" t="s">
        <v>1027</v>
      </c>
      <c r="O80" s="955" t="s">
        <v>1028</v>
      </c>
      <c r="P80" s="954" t="s">
        <v>1029</v>
      </c>
      <c r="Q80" s="4174" t="s">
        <v>18</v>
      </c>
      <c r="R80" s="4175"/>
      <c r="S80" s="4175"/>
      <c r="T80" s="4176"/>
    </row>
    <row r="81" spans="1:76" s="40" customFormat="1" x14ac:dyDescent="0.25">
      <c r="A81" s="2668"/>
      <c r="B81" s="4162" t="s">
        <v>2369</v>
      </c>
      <c r="C81" s="4193"/>
      <c r="D81" s="4193"/>
      <c r="E81" s="4193"/>
      <c r="F81" s="4193"/>
      <c r="G81" s="4194"/>
      <c r="H81" s="1142"/>
      <c r="I81" s="1143"/>
      <c r="J81" s="2903"/>
      <c r="K81" s="1145"/>
      <c r="L81" s="1146"/>
      <c r="M81" s="1146"/>
      <c r="N81" s="1146"/>
      <c r="O81" s="1146"/>
      <c r="P81" s="1197"/>
      <c r="Q81" s="4177"/>
      <c r="R81" s="4178"/>
      <c r="S81" s="4178"/>
      <c r="T81" s="4179"/>
      <c r="U81" s="321"/>
    </row>
    <row r="82" spans="1:76" s="321" customFormat="1" ht="15" customHeight="1" x14ac:dyDescent="0.25">
      <c r="A82" s="2908"/>
      <c r="B82" s="4162" t="s">
        <v>2723</v>
      </c>
      <c r="C82" s="4193"/>
      <c r="D82" s="4193"/>
      <c r="E82" s="4193"/>
      <c r="F82" s="4193"/>
      <c r="G82" s="4194"/>
      <c r="H82" s="1142"/>
      <c r="I82" s="1143"/>
      <c r="J82" s="2903"/>
      <c r="K82" s="1145"/>
      <c r="L82" s="1146"/>
      <c r="M82" s="1146"/>
      <c r="N82" s="1146"/>
      <c r="O82" s="1146"/>
      <c r="P82" s="1197"/>
      <c r="Q82" s="4177"/>
      <c r="R82" s="4178"/>
      <c r="S82" s="4178"/>
      <c r="T82" s="4179"/>
      <c r="U82" s="40"/>
    </row>
    <row r="83" spans="1:76" s="40" customFormat="1" x14ac:dyDescent="0.25">
      <c r="A83" s="2909"/>
      <c r="B83" s="4162" t="s">
        <v>2724</v>
      </c>
      <c r="C83" s="4193"/>
      <c r="D83" s="4193"/>
      <c r="E83" s="4193"/>
      <c r="F83" s="4193"/>
      <c r="G83" s="4194"/>
      <c r="H83" s="1142"/>
      <c r="I83" s="1143"/>
      <c r="J83" s="2903"/>
      <c r="K83" s="1145"/>
      <c r="L83" s="1146"/>
      <c r="M83" s="1146"/>
      <c r="N83" s="1146"/>
      <c r="O83" s="1146"/>
      <c r="P83" s="1197"/>
      <c r="Q83" s="4177"/>
      <c r="R83" s="4178"/>
      <c r="S83" s="4178"/>
      <c r="T83" s="4179"/>
    </row>
    <row r="84" spans="1:76" s="40" customFormat="1" x14ac:dyDescent="0.25">
      <c r="A84" s="2669"/>
      <c r="B84" s="4162" t="s">
        <v>2725</v>
      </c>
      <c r="C84" s="4193"/>
      <c r="D84" s="4193"/>
      <c r="E84" s="4193"/>
      <c r="F84" s="4193"/>
      <c r="G84" s="4194"/>
      <c r="H84" s="1142"/>
      <c r="I84" s="1143"/>
      <c r="J84" s="2903"/>
      <c r="K84" s="1145"/>
      <c r="L84" s="1146"/>
      <c r="M84" s="1146"/>
      <c r="N84" s="1146"/>
      <c r="O84" s="1146"/>
      <c r="P84" s="1197"/>
      <c r="Q84" s="4177"/>
      <c r="R84" s="4178"/>
      <c r="S84" s="4178"/>
      <c r="T84" s="4179"/>
    </row>
    <row r="85" spans="1:76" s="40" customFormat="1" x14ac:dyDescent="0.25">
      <c r="A85" s="2669"/>
      <c r="B85" s="4162" t="s">
        <v>2375</v>
      </c>
      <c r="C85" s="4193"/>
      <c r="D85" s="4193"/>
      <c r="E85" s="4193"/>
      <c r="F85" s="4193"/>
      <c r="G85" s="4194"/>
      <c r="H85" s="1142"/>
      <c r="I85" s="1143"/>
      <c r="J85" s="2903"/>
      <c r="K85" s="1145"/>
      <c r="L85" s="1146"/>
      <c r="M85" s="1146"/>
      <c r="N85" s="1146"/>
      <c r="O85" s="1146"/>
      <c r="P85" s="1197"/>
      <c r="Q85" s="4177"/>
      <c r="R85" s="4178"/>
      <c r="S85" s="4178"/>
      <c r="T85" s="4179"/>
    </row>
    <row r="86" spans="1:76" s="40" customFormat="1" x14ac:dyDescent="0.25">
      <c r="A86" s="2669"/>
      <c r="B86" s="4162" t="s">
        <v>2726</v>
      </c>
      <c r="C86" s="4193"/>
      <c r="D86" s="4193"/>
      <c r="E86" s="4193"/>
      <c r="F86" s="4193"/>
      <c r="G86" s="4194"/>
      <c r="H86" s="1142"/>
      <c r="I86" s="1143"/>
      <c r="J86" s="2903"/>
      <c r="K86" s="1145"/>
      <c r="L86" s="1146"/>
      <c r="M86" s="1146"/>
      <c r="N86" s="1146"/>
      <c r="O86" s="1146"/>
      <c r="P86" s="1197"/>
      <c r="Q86" s="4177"/>
      <c r="R86" s="4178"/>
      <c r="S86" s="4178"/>
      <c r="T86" s="4179"/>
    </row>
    <row r="87" spans="1:76" s="40" customFormat="1" x14ac:dyDescent="0.25">
      <c r="A87" s="2669"/>
      <c r="B87" s="4162" t="s">
        <v>2374</v>
      </c>
      <c r="C87" s="4193"/>
      <c r="D87" s="4193"/>
      <c r="E87" s="4193"/>
      <c r="F87" s="4193"/>
      <c r="G87" s="4194"/>
      <c r="H87" s="1142"/>
      <c r="I87" s="1143"/>
      <c r="J87" s="2903"/>
      <c r="K87" s="1145"/>
      <c r="L87" s="1146"/>
      <c r="M87" s="1146"/>
      <c r="N87" s="1146"/>
      <c r="O87" s="1146"/>
      <c r="P87" s="1197"/>
      <c r="Q87" s="4177"/>
      <c r="R87" s="4178"/>
      <c r="S87" s="4178"/>
      <c r="T87" s="4179"/>
    </row>
    <row r="88" spans="1:76" s="40" customFormat="1" x14ac:dyDescent="0.25">
      <c r="A88" s="2669"/>
      <c r="B88" s="4162" t="s">
        <v>1053</v>
      </c>
      <c r="C88" s="4193"/>
      <c r="D88" s="4193"/>
      <c r="E88" s="4193"/>
      <c r="F88" s="4193"/>
      <c r="G88" s="4194"/>
      <c r="H88" s="2670"/>
      <c r="I88" s="2671"/>
      <c r="J88" s="2916"/>
      <c r="K88" s="2672"/>
      <c r="L88" s="2673"/>
      <c r="M88" s="2673"/>
      <c r="N88" s="2673"/>
      <c r="O88" s="2673"/>
      <c r="P88" s="2674"/>
      <c r="Q88" s="4177"/>
      <c r="R88" s="4178"/>
      <c r="S88" s="4178"/>
      <c r="T88" s="4179"/>
    </row>
    <row r="89" spans="1:76" s="40" customFormat="1" ht="13" thickBot="1" x14ac:dyDescent="0.3">
      <c r="A89" s="2918"/>
      <c r="B89" s="4200" t="s">
        <v>2092</v>
      </c>
      <c r="C89" s="4201"/>
      <c r="D89" s="4201"/>
      <c r="E89" s="4201"/>
      <c r="F89" s="4201"/>
      <c r="G89" s="4202"/>
      <c r="H89" s="2658"/>
      <c r="I89" s="2659"/>
      <c r="J89" s="2917"/>
      <c r="K89" s="2660"/>
      <c r="L89" s="2661"/>
      <c r="M89" s="2661"/>
      <c r="N89" s="2661"/>
      <c r="O89" s="2661"/>
      <c r="P89" s="2662"/>
      <c r="Q89" s="4197"/>
      <c r="R89" s="4198"/>
      <c r="S89" s="4198"/>
      <c r="T89" s="4199"/>
    </row>
    <row r="90" spans="1:76" s="40" customFormat="1" ht="15" thickTop="1" x14ac:dyDescent="0.25">
      <c r="A90" s="2919"/>
      <c r="B90" s="2607"/>
      <c r="C90" s="2607"/>
      <c r="D90" s="2607"/>
      <c r="E90" s="2607"/>
      <c r="F90" s="2607"/>
      <c r="G90" s="2607"/>
      <c r="H90" s="2607"/>
      <c r="I90" s="2607"/>
      <c r="J90" s="2607"/>
      <c r="K90" s="2607"/>
      <c r="L90" s="2607"/>
      <c r="M90" s="2607"/>
      <c r="N90" s="2607"/>
      <c r="O90" s="2607"/>
    </row>
    <row r="91" spans="1:76" s="40" customFormat="1" ht="15.75" customHeight="1" x14ac:dyDescent="0.35">
      <c r="A91" s="2920"/>
      <c r="B91" s="60"/>
      <c r="C91" s="60"/>
      <c r="D91" s="60"/>
      <c r="E91" s="60"/>
      <c r="F91" s="60"/>
      <c r="G91" s="60"/>
      <c r="H91" s="60"/>
      <c r="I91" s="60"/>
      <c r="J91" s="60"/>
      <c r="K91" s="60"/>
      <c r="L91" s="60"/>
      <c r="M91" s="60"/>
      <c r="N91" s="60"/>
      <c r="O91" s="60"/>
      <c r="P91" s="2607"/>
      <c r="Q91" s="743"/>
      <c r="R91" s="382"/>
      <c r="S91" s="382"/>
      <c r="T91" s="324"/>
    </row>
    <row r="92" spans="1:76" s="324" customFormat="1" x14ac:dyDescent="0.35">
      <c r="A92" s="2920"/>
      <c r="B92" s="60"/>
      <c r="C92" s="60"/>
      <c r="D92" s="60"/>
      <c r="E92" s="60"/>
      <c r="F92" s="60"/>
      <c r="G92" s="60"/>
      <c r="H92" s="60"/>
      <c r="I92" s="60"/>
      <c r="J92" s="60"/>
      <c r="K92" s="60"/>
      <c r="L92" s="60"/>
      <c r="M92" s="60"/>
      <c r="N92" s="60"/>
      <c r="O92" s="60"/>
      <c r="P92" s="60"/>
      <c r="Q92" s="60"/>
      <c r="R92" s="60"/>
      <c r="S92" s="60"/>
      <c r="T92" s="99"/>
    </row>
    <row r="93" spans="1:76" ht="20.25" customHeight="1" x14ac:dyDescent="0.35">
      <c r="A93" s="2607"/>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row>
  </sheetData>
  <mergeCells count="170">
    <mergeCell ref="D1:G1"/>
    <mergeCell ref="I1:J1"/>
    <mergeCell ref="L1:M1"/>
    <mergeCell ref="D2:G2"/>
    <mergeCell ref="I2:J2"/>
    <mergeCell ref="L2:M2"/>
    <mergeCell ref="D3:G3"/>
    <mergeCell ref="Q50:T50"/>
    <mergeCell ref="B45:G45"/>
    <mergeCell ref="B46:G46"/>
    <mergeCell ref="B47:G47"/>
    <mergeCell ref="B16:G16"/>
    <mergeCell ref="Q16:T16"/>
    <mergeCell ref="B17:G17"/>
    <mergeCell ref="Q17:T17"/>
    <mergeCell ref="Q18:T18"/>
    <mergeCell ref="B14:G14"/>
    <mergeCell ref="A37:G37"/>
    <mergeCell ref="B24:G24"/>
    <mergeCell ref="Q25:T25"/>
    <mergeCell ref="B25:G25"/>
    <mergeCell ref="Q26:T26"/>
    <mergeCell ref="B26:G26"/>
    <mergeCell ref="B12:G12"/>
    <mergeCell ref="Q32:T32"/>
    <mergeCell ref="Q33:T33"/>
    <mergeCell ref="Q34:T34"/>
    <mergeCell ref="B4:G4"/>
    <mergeCell ref="H4:Q4"/>
    <mergeCell ref="A5:B5"/>
    <mergeCell ref="C5:Q5"/>
    <mergeCell ref="A8:S8"/>
    <mergeCell ref="A7:G7"/>
    <mergeCell ref="B29:G29"/>
    <mergeCell ref="B30:G30"/>
    <mergeCell ref="B31:G31"/>
    <mergeCell ref="B32:G32"/>
    <mergeCell ref="B10:G10"/>
    <mergeCell ref="Q10:T10"/>
    <mergeCell ref="B11:G11"/>
    <mergeCell ref="Q11:T11"/>
    <mergeCell ref="Q14:T14"/>
    <mergeCell ref="B18:G18"/>
    <mergeCell ref="H6:I6"/>
    <mergeCell ref="Q7:T7"/>
    <mergeCell ref="Q19:T19"/>
    <mergeCell ref="Q20:T20"/>
    <mergeCell ref="P27:S27"/>
    <mergeCell ref="B35:G35"/>
    <mergeCell ref="P36:S36"/>
    <mergeCell ref="Q35:T35"/>
    <mergeCell ref="B44:G44"/>
    <mergeCell ref="Q44:T44"/>
    <mergeCell ref="Q45:T45"/>
    <mergeCell ref="Q46:T46"/>
    <mergeCell ref="B48:G48"/>
    <mergeCell ref="B49:G49"/>
    <mergeCell ref="Q47:T47"/>
    <mergeCell ref="Q48:T48"/>
    <mergeCell ref="Q49:T49"/>
    <mergeCell ref="Q89:T89"/>
    <mergeCell ref="B82:G82"/>
    <mergeCell ref="Q83:T83"/>
    <mergeCell ref="B86:G86"/>
    <mergeCell ref="B87:G87"/>
    <mergeCell ref="Q87:T87"/>
    <mergeCell ref="B88:G88"/>
    <mergeCell ref="Q88:T88"/>
    <mergeCell ref="B81:G81"/>
    <mergeCell ref="B83:G83"/>
    <mergeCell ref="Q82:T82"/>
    <mergeCell ref="B84:G84"/>
    <mergeCell ref="Q84:T84"/>
    <mergeCell ref="B85:G85"/>
    <mergeCell ref="Q85:T85"/>
    <mergeCell ref="Q86:T86"/>
    <mergeCell ref="B89:G89"/>
    <mergeCell ref="Q81:T81"/>
    <mergeCell ref="B78:G78"/>
    <mergeCell ref="B77:G77"/>
    <mergeCell ref="B76:G76"/>
    <mergeCell ref="B75:G75"/>
    <mergeCell ref="B74:G74"/>
    <mergeCell ref="B73:G73"/>
    <mergeCell ref="B72:G72"/>
    <mergeCell ref="B71:G71"/>
    <mergeCell ref="B57:G57"/>
    <mergeCell ref="B60:G60"/>
    <mergeCell ref="B61:G61"/>
    <mergeCell ref="B62:G62"/>
    <mergeCell ref="B63:G63"/>
    <mergeCell ref="B68:G68"/>
    <mergeCell ref="B66:G66"/>
    <mergeCell ref="B67:G67"/>
    <mergeCell ref="B64:G64"/>
    <mergeCell ref="B65:G65"/>
    <mergeCell ref="B58:G58"/>
    <mergeCell ref="B59:G59"/>
    <mergeCell ref="Q30:T30"/>
    <mergeCell ref="Q31:T31"/>
    <mergeCell ref="A56:G56"/>
    <mergeCell ref="A70:G70"/>
    <mergeCell ref="Q12:T12"/>
    <mergeCell ref="B13:G13"/>
    <mergeCell ref="Q13:T13"/>
    <mergeCell ref="B20:G20"/>
    <mergeCell ref="Q21:T21"/>
    <mergeCell ref="B21:G21"/>
    <mergeCell ref="Q22:T22"/>
    <mergeCell ref="B22:G22"/>
    <mergeCell ref="Q23:T23"/>
    <mergeCell ref="B23:G23"/>
    <mergeCell ref="B54:G54"/>
    <mergeCell ref="P55:S55"/>
    <mergeCell ref="Q29:T29"/>
    <mergeCell ref="B51:G51"/>
    <mergeCell ref="Q52:T52"/>
    <mergeCell ref="Q51:T51"/>
    <mergeCell ref="B50:G50"/>
    <mergeCell ref="B52:G52"/>
    <mergeCell ref="B33:G33"/>
    <mergeCell ref="B34:G34"/>
    <mergeCell ref="J6:P6"/>
    <mergeCell ref="A9:T9"/>
    <mergeCell ref="Q28:T28"/>
    <mergeCell ref="Q37:T37"/>
    <mergeCell ref="Q56:T56"/>
    <mergeCell ref="Q70:T70"/>
    <mergeCell ref="B53:G53"/>
    <mergeCell ref="Q54:T54"/>
    <mergeCell ref="B15:G15"/>
    <mergeCell ref="Q15:T15"/>
    <mergeCell ref="B38:G38"/>
    <mergeCell ref="B39:G39"/>
    <mergeCell ref="Q39:T39"/>
    <mergeCell ref="B40:G40"/>
    <mergeCell ref="Q40:T40"/>
    <mergeCell ref="B41:G41"/>
    <mergeCell ref="Q41:T41"/>
    <mergeCell ref="B42:G42"/>
    <mergeCell ref="Q42:T42"/>
    <mergeCell ref="B43:G43"/>
    <mergeCell ref="Q43:T43"/>
    <mergeCell ref="A28:G28"/>
    <mergeCell ref="Q24:T24"/>
    <mergeCell ref="B19:G19"/>
    <mergeCell ref="Q80:T80"/>
    <mergeCell ref="Q53:T53"/>
    <mergeCell ref="Q63:T63"/>
    <mergeCell ref="Q64:T64"/>
    <mergeCell ref="Q65:T65"/>
    <mergeCell ref="Q66:T66"/>
    <mergeCell ref="Q67:T67"/>
    <mergeCell ref="Q68:T68"/>
    <mergeCell ref="Q57:T57"/>
    <mergeCell ref="Q58:T58"/>
    <mergeCell ref="Q59:T59"/>
    <mergeCell ref="Q60:T60"/>
    <mergeCell ref="Q61:T61"/>
    <mergeCell ref="Q62:T62"/>
    <mergeCell ref="P69:T69"/>
    <mergeCell ref="Q71:T71"/>
    <mergeCell ref="Q77:T77"/>
    <mergeCell ref="Q78:T78"/>
    <mergeCell ref="P79:S79"/>
    <mergeCell ref="Q72:T72"/>
    <mergeCell ref="Q73:T73"/>
    <mergeCell ref="Q76:T76"/>
    <mergeCell ref="Q74:T74"/>
    <mergeCell ref="Q75:T7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200-000000000000}">
      <formula1>AvancementTheme</formula1>
    </dataValidation>
  </dataValidation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98">
    <tabColor rgb="FFFF6699"/>
    <pageSetUpPr fitToPage="1"/>
  </sheetPr>
  <dimension ref="A1:V58"/>
  <sheetViews>
    <sheetView showGridLines="0" zoomScale="110" zoomScaleNormal="110" workbookViewId="0">
      <pane ySplit="7" topLeftCell="A8" activePane="bottomLeft" state="frozen"/>
      <selection activeCell="A17" sqref="A17:F17"/>
      <selection pane="bottomLeft" activeCell="C58" sqref="C58"/>
    </sheetView>
  </sheetViews>
  <sheetFormatPr baseColWidth="10" defaultColWidth="11.453125" defaultRowHeight="14.5" x14ac:dyDescent="0.35"/>
  <cols>
    <col min="1" max="1" width="11.453125" style="60"/>
    <col min="2" max="2" width="9.54296875" style="60" customWidth="1"/>
    <col min="3" max="4" width="11.453125" style="60"/>
    <col min="5" max="5" width="13" style="60" customWidth="1"/>
    <col min="6" max="6" width="13.7265625" style="60" customWidth="1"/>
    <col min="7" max="7" width="11.453125" style="60"/>
    <col min="8" max="8" width="12.1796875" style="60" customWidth="1"/>
    <col min="9" max="9" width="2.1796875" style="60" hidden="1" customWidth="1"/>
    <col min="10" max="11" width="11.453125" style="60"/>
    <col min="12" max="12" width="9.81640625" style="60" customWidth="1"/>
    <col min="13" max="13" width="10.54296875" style="60" customWidth="1"/>
    <col min="14" max="17" width="8.1796875" style="60" customWidth="1"/>
    <col min="18" max="16384" width="11.453125" style="60"/>
  </cols>
  <sheetData>
    <row r="1" spans="1:22" s="54" customFormat="1" ht="15" customHeight="1" x14ac:dyDescent="0.35">
      <c r="A1" s="2317"/>
      <c r="B1" s="2317"/>
      <c r="C1" s="2317"/>
      <c r="D1" s="3341" t="s">
        <v>5</v>
      </c>
      <c r="E1" s="3341"/>
      <c r="F1" s="3341"/>
      <c r="G1" s="3341"/>
      <c r="H1" s="391"/>
      <c r="I1" s="3341" t="s">
        <v>6</v>
      </c>
      <c r="J1" s="3341"/>
      <c r="K1" s="2317"/>
      <c r="L1" s="3341" t="s">
        <v>9</v>
      </c>
      <c r="M1" s="3341"/>
      <c r="N1" s="2317"/>
      <c r="O1" s="1027"/>
      <c r="P1" s="1027"/>
      <c r="Q1" s="1027"/>
      <c r="R1" s="445"/>
      <c r="S1" s="97"/>
      <c r="T1" s="97"/>
      <c r="U1" s="97"/>
      <c r="V1" s="97"/>
    </row>
    <row r="2" spans="1:22" s="58" customFormat="1" ht="18" customHeight="1" x14ac:dyDescent="0.35">
      <c r="A2" s="393"/>
      <c r="B2" s="393"/>
      <c r="C2" s="393"/>
      <c r="D2" s="3342" t="str">
        <f>NomClient</f>
        <v xml:space="preserve">EQUINIX </v>
      </c>
      <c r="E2" s="3343"/>
      <c r="F2" s="3343"/>
      <c r="G2" s="3344"/>
      <c r="H2" s="393"/>
      <c r="I2" s="4266" t="s">
        <v>407</v>
      </c>
      <c r="J2" s="4267"/>
      <c r="K2" s="393"/>
      <c r="L2" s="3347">
        <v>42967.416192129633</v>
      </c>
      <c r="M2" s="3348"/>
      <c r="N2" s="394"/>
      <c r="O2" s="393"/>
      <c r="P2" s="393"/>
      <c r="Q2" s="393"/>
      <c r="R2" s="446"/>
      <c r="S2" s="98"/>
      <c r="T2" s="98"/>
      <c r="U2" s="98"/>
      <c r="V2" s="98"/>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1028"/>
      <c r="B4" s="4277" t="str">
        <f>Parametre!B34 &amp; "  : "</f>
        <v xml:space="preserve">Plan d'Action  : </v>
      </c>
      <c r="C4" s="4277"/>
      <c r="D4" s="4277"/>
      <c r="E4" s="4277"/>
      <c r="F4" s="4277"/>
      <c r="G4" s="4277"/>
      <c r="H4" s="4278" t="s">
        <v>1950</v>
      </c>
      <c r="I4" s="4278"/>
      <c r="J4" s="4278"/>
      <c r="K4" s="4278"/>
      <c r="L4" s="4278"/>
      <c r="M4" s="4278"/>
      <c r="N4" s="4278"/>
      <c r="O4" s="4278"/>
      <c r="P4" s="4278"/>
      <c r="Q4" s="4279"/>
      <c r="R4" s="447"/>
      <c r="S4" s="27"/>
      <c r="T4" s="27"/>
      <c r="U4" s="27"/>
      <c r="V4" s="27"/>
    </row>
    <row r="5" spans="1:22" ht="7.5" customHeight="1" x14ac:dyDescent="0.35">
      <c r="A5" s="4276"/>
      <c r="B5" s="4276"/>
      <c r="C5" s="4276"/>
      <c r="D5" s="4276"/>
      <c r="E5" s="4276"/>
      <c r="F5" s="4276"/>
      <c r="G5" s="4276"/>
      <c r="H5" s="4276"/>
      <c r="I5" s="4276"/>
      <c r="J5" s="4276"/>
      <c r="K5" s="4276"/>
      <c r="L5" s="4276"/>
      <c r="M5" s="4276"/>
      <c r="N5" s="4276"/>
      <c r="O5" s="4276"/>
      <c r="P5" s="4276"/>
      <c r="Q5" s="4276"/>
      <c r="R5" s="382"/>
      <c r="S5" s="99"/>
      <c r="T5" s="99"/>
      <c r="U5" s="99"/>
      <c r="V5" s="99"/>
    </row>
    <row r="6" spans="1:22" ht="15" customHeight="1" thickBot="1" x14ac:dyDescent="0.4">
      <c r="A6" s="4280" t="s">
        <v>14</v>
      </c>
      <c r="B6" s="4280"/>
      <c r="C6" s="4281" t="s">
        <v>2250</v>
      </c>
      <c r="D6" s="4281"/>
      <c r="E6" s="4281"/>
      <c r="F6" s="4281"/>
      <c r="G6" s="4281"/>
      <c r="H6" s="4281"/>
      <c r="I6" s="4281"/>
      <c r="J6" s="4281"/>
      <c r="K6" s="4281"/>
      <c r="L6" s="4281"/>
      <c r="M6" s="4281"/>
      <c r="N6" s="4281"/>
      <c r="O6" s="4281"/>
      <c r="P6" s="4281"/>
      <c r="Q6" s="382"/>
      <c r="R6" s="382"/>
      <c r="S6" s="99"/>
      <c r="T6" s="99"/>
      <c r="U6" s="99"/>
      <c r="V6" s="99"/>
    </row>
    <row r="7" spans="1:22" ht="7.5" hidden="1" customHeight="1" thickBot="1" x14ac:dyDescent="0.4">
      <c r="A7" s="4276"/>
      <c r="B7" s="4276"/>
      <c r="C7" s="4276"/>
      <c r="D7" s="4276"/>
      <c r="E7" s="4276"/>
      <c r="F7" s="4276"/>
      <c r="G7" s="4276"/>
      <c r="H7" s="4276"/>
      <c r="I7" s="4276"/>
      <c r="J7" s="4276"/>
      <c r="K7" s="4276"/>
      <c r="L7" s="4276"/>
      <c r="M7" s="4276"/>
      <c r="N7" s="4276"/>
      <c r="O7" s="4276"/>
      <c r="P7" s="4276"/>
      <c r="Q7" s="4276"/>
      <c r="R7" s="382"/>
      <c r="S7" s="99"/>
      <c r="T7" s="99"/>
      <c r="U7" s="99"/>
      <c r="V7" s="99"/>
    </row>
    <row r="8" spans="1:22" ht="15" thickBot="1" x14ac:dyDescent="0.4">
      <c r="A8" s="99"/>
      <c r="B8" s="99"/>
      <c r="C8" s="99"/>
      <c r="D8" s="99"/>
      <c r="E8" s="99"/>
      <c r="F8" s="4268" t="s">
        <v>1697</v>
      </c>
      <c r="G8" s="4269"/>
      <c r="H8" s="4269"/>
      <c r="I8" s="4269"/>
      <c r="J8" s="4270"/>
      <c r="K8" s="99"/>
      <c r="L8" s="99"/>
      <c r="M8" s="99"/>
      <c r="N8" s="99"/>
      <c r="O8" s="99"/>
      <c r="P8" s="99"/>
      <c r="Q8" s="99"/>
      <c r="R8" s="99"/>
      <c r="S8" s="99"/>
      <c r="T8" s="99"/>
      <c r="U8" s="99"/>
      <c r="V8" s="99"/>
    </row>
    <row r="9" spans="1:22" ht="15" thickBot="1" x14ac:dyDescent="0.4"/>
    <row r="10" spans="1:22" s="106" customFormat="1" ht="33" customHeight="1" thickTop="1" thickBot="1" x14ac:dyDescent="0.4">
      <c r="A10" s="4271" t="s">
        <v>1673</v>
      </c>
      <c r="B10" s="4272"/>
      <c r="C10" s="4272"/>
      <c r="D10" s="4272"/>
      <c r="E10" s="4272"/>
      <c r="F10" s="2962" t="s">
        <v>1674</v>
      </c>
      <c r="G10" s="1934" t="s">
        <v>1675</v>
      </c>
      <c r="H10" s="1935" t="s">
        <v>1676</v>
      </c>
      <c r="I10" s="1935" t="s">
        <v>1677</v>
      </c>
      <c r="J10" s="4273" t="s">
        <v>18</v>
      </c>
      <c r="K10" s="4274"/>
      <c r="L10" s="4274"/>
      <c r="M10" s="4274"/>
      <c r="N10" s="4274"/>
      <c r="O10" s="4274"/>
      <c r="P10" s="4275"/>
    </row>
    <row r="11" spans="1:22" s="1937" customFormat="1" ht="6.75" customHeight="1" thickTop="1" thickBot="1" x14ac:dyDescent="0.4">
      <c r="A11" s="4255"/>
      <c r="B11" s="4256"/>
      <c r="C11" s="4256"/>
      <c r="D11" s="4256"/>
      <c r="E11" s="4256"/>
      <c r="F11" s="4256"/>
      <c r="G11" s="4257"/>
      <c r="H11" s="4257"/>
      <c r="I11" s="4257"/>
      <c r="J11" s="4257"/>
      <c r="K11" s="4257"/>
      <c r="L11" s="4257"/>
      <c r="M11" s="4257"/>
      <c r="N11" s="4257"/>
      <c r="O11" s="1936"/>
      <c r="P11" s="833"/>
    </row>
    <row r="12" spans="1:22" s="2323" customFormat="1" ht="18" customHeight="1" x14ac:dyDescent="0.35">
      <c r="A12" s="4258" t="s">
        <v>1678</v>
      </c>
      <c r="B12" s="4259"/>
      <c r="C12" s="4259"/>
      <c r="D12" s="4259"/>
      <c r="E12" s="4260"/>
      <c r="F12" s="2963"/>
      <c r="G12" s="2964"/>
      <c r="H12" s="2964"/>
      <c r="I12" s="2964"/>
      <c r="J12" s="4261"/>
      <c r="K12" s="4262"/>
      <c r="L12" s="4262"/>
      <c r="M12" s="4262"/>
      <c r="N12" s="4262"/>
      <c r="O12" s="4262"/>
      <c r="P12" s="4263"/>
    </row>
    <row r="13" spans="1:22" s="65" customFormat="1" ht="17.149999999999999" customHeight="1" x14ac:dyDescent="0.35">
      <c r="A13" s="4264" t="s">
        <v>2432</v>
      </c>
      <c r="B13" s="4265"/>
      <c r="C13" s="4265"/>
      <c r="D13" s="4265"/>
      <c r="E13" s="4265"/>
      <c r="F13" s="1942"/>
      <c r="G13" s="1942"/>
      <c r="H13" s="1942"/>
      <c r="I13" s="1943" t="s">
        <v>1679</v>
      </c>
      <c r="J13" s="4215" t="s">
        <v>2807</v>
      </c>
      <c r="K13" s="4216"/>
      <c r="L13" s="4216"/>
      <c r="M13" s="4216"/>
      <c r="N13" s="4216"/>
      <c r="O13" s="4216"/>
      <c r="P13" s="4217"/>
    </row>
    <row r="14" spans="1:22" s="65" customFormat="1" ht="17.149999999999999" customHeight="1" x14ac:dyDescent="0.35">
      <c r="A14" s="4213" t="s">
        <v>2952</v>
      </c>
      <c r="B14" s="4214"/>
      <c r="C14" s="4214"/>
      <c r="D14" s="4214"/>
      <c r="E14" s="4214"/>
      <c r="F14" s="1942"/>
      <c r="G14" s="1942"/>
      <c r="H14" s="1942"/>
      <c r="I14" s="1943" t="s">
        <v>1680</v>
      </c>
      <c r="J14" s="4215" t="s">
        <v>2808</v>
      </c>
      <c r="K14" s="4216"/>
      <c r="L14" s="4216"/>
      <c r="M14" s="4216"/>
      <c r="N14" s="4216"/>
      <c r="O14" s="4216"/>
      <c r="P14" s="4217"/>
    </row>
    <row r="15" spans="1:22" s="65" customFormat="1" ht="17.149999999999999" customHeight="1" x14ac:dyDescent="0.35">
      <c r="A15" s="4213" t="s">
        <v>2728</v>
      </c>
      <c r="B15" s="4214"/>
      <c r="C15" s="4214"/>
      <c r="D15" s="4214"/>
      <c r="E15" s="4214"/>
      <c r="F15" s="1942"/>
      <c r="G15" s="1942"/>
      <c r="H15" s="1942"/>
      <c r="I15" s="1943" t="s">
        <v>850</v>
      </c>
      <c r="J15" s="4215" t="s">
        <v>2805</v>
      </c>
      <c r="K15" s="4216"/>
      <c r="L15" s="4216"/>
      <c r="M15" s="4216"/>
      <c r="N15" s="4216"/>
      <c r="O15" s="4216"/>
      <c r="P15" s="4217"/>
    </row>
    <row r="16" spans="1:22" s="2686" customFormat="1" ht="17.149999999999999" customHeight="1" x14ac:dyDescent="0.35">
      <c r="A16" s="4213" t="s">
        <v>2948</v>
      </c>
      <c r="B16" s="4214"/>
      <c r="C16" s="4214"/>
      <c r="D16" s="4214"/>
      <c r="E16" s="4214"/>
      <c r="F16" s="2684"/>
      <c r="G16" s="2684"/>
      <c r="H16" s="2684"/>
      <c r="I16" s="2685" t="s">
        <v>850</v>
      </c>
      <c r="J16" s="4215" t="s">
        <v>2806</v>
      </c>
      <c r="K16" s="4216"/>
      <c r="L16" s="4216"/>
      <c r="M16" s="4216"/>
      <c r="N16" s="4216"/>
      <c r="O16" s="4216"/>
      <c r="P16" s="4217"/>
    </row>
    <row r="17" spans="1:16" s="65" customFormat="1" ht="17.149999999999999" customHeight="1" x14ac:dyDescent="0.35">
      <c r="A17" s="4213" t="s">
        <v>2949</v>
      </c>
      <c r="B17" s="4214"/>
      <c r="C17" s="4214"/>
      <c r="D17" s="4214"/>
      <c r="E17" s="4214"/>
      <c r="F17" s="1942"/>
      <c r="G17" s="1942"/>
      <c r="H17" s="1942"/>
      <c r="I17" s="1943" t="s">
        <v>1679</v>
      </c>
      <c r="J17" s="4215" t="s">
        <v>2854</v>
      </c>
      <c r="K17" s="4216"/>
      <c r="L17" s="4216"/>
      <c r="M17" s="4216"/>
      <c r="N17" s="4216"/>
      <c r="O17" s="4216"/>
      <c r="P17" s="4217"/>
    </row>
    <row r="18" spans="1:16" s="65" customFormat="1" ht="17.149999999999999" customHeight="1" x14ac:dyDescent="0.35">
      <c r="A18" s="4213" t="s">
        <v>2950</v>
      </c>
      <c r="B18" s="4214"/>
      <c r="C18" s="4214"/>
      <c r="D18" s="4214"/>
      <c r="E18" s="4214"/>
      <c r="F18" s="1942"/>
      <c r="G18" s="1942"/>
      <c r="H18" s="1942"/>
      <c r="I18" s="1943" t="s">
        <v>1679</v>
      </c>
      <c r="J18" s="4215" t="s">
        <v>2854</v>
      </c>
      <c r="K18" s="4216"/>
      <c r="L18" s="4216"/>
      <c r="M18" s="4216"/>
      <c r="N18" s="4216"/>
      <c r="O18" s="4216"/>
      <c r="P18" s="4217"/>
    </row>
    <row r="19" spans="1:16" s="65" customFormat="1" ht="17.149999999999999" customHeight="1" x14ac:dyDescent="0.35">
      <c r="A19" s="4213" t="s">
        <v>2951</v>
      </c>
      <c r="B19" s="4214"/>
      <c r="C19" s="4214"/>
      <c r="D19" s="4214"/>
      <c r="E19" s="4214"/>
      <c r="F19" s="1942"/>
      <c r="G19" s="1942"/>
      <c r="H19" s="1942"/>
      <c r="I19" s="1943" t="s">
        <v>1679</v>
      </c>
      <c r="J19" s="4215" t="s">
        <v>2855</v>
      </c>
      <c r="K19" s="4216"/>
      <c r="L19" s="4216"/>
      <c r="M19" s="4216"/>
      <c r="N19" s="4216"/>
      <c r="O19" s="4216"/>
      <c r="P19" s="4217"/>
    </row>
    <row r="20" spans="1:16" s="65" customFormat="1" ht="17.149999999999999" customHeight="1" x14ac:dyDescent="0.35">
      <c r="A20" s="4213" t="s">
        <v>1681</v>
      </c>
      <c r="B20" s="4214"/>
      <c r="C20" s="4214"/>
      <c r="D20" s="4214"/>
      <c r="E20" s="4214"/>
      <c r="F20" s="1942"/>
      <c r="G20" s="1942"/>
      <c r="H20" s="1942"/>
      <c r="I20" s="1945" t="s">
        <v>850</v>
      </c>
      <c r="J20" s="4215" t="s">
        <v>2804</v>
      </c>
      <c r="K20" s="4216"/>
      <c r="L20" s="4216"/>
      <c r="M20" s="4216"/>
      <c r="N20" s="4216"/>
      <c r="O20" s="4216"/>
      <c r="P20" s="4217"/>
    </row>
    <row r="21" spans="1:16" s="65" customFormat="1" ht="17.149999999999999" customHeight="1" x14ac:dyDescent="0.35">
      <c r="A21" s="4213" t="s">
        <v>2434</v>
      </c>
      <c r="B21" s="4214"/>
      <c r="C21" s="4214"/>
      <c r="D21" s="4214"/>
      <c r="E21" s="4214"/>
      <c r="F21" s="1942"/>
      <c r="G21" s="1942"/>
      <c r="H21" s="1942"/>
      <c r="I21" s="1945" t="s">
        <v>850</v>
      </c>
      <c r="J21" s="4215" t="s">
        <v>2803</v>
      </c>
      <c r="K21" s="4216"/>
      <c r="L21" s="4216"/>
      <c r="M21" s="4216"/>
      <c r="N21" s="4216"/>
      <c r="O21" s="4216"/>
      <c r="P21" s="4217"/>
    </row>
    <row r="22" spans="1:16" s="65" customFormat="1" ht="17.149999999999999" customHeight="1" x14ac:dyDescent="0.35">
      <c r="A22" s="4213" t="s">
        <v>2800</v>
      </c>
      <c r="B22" s="4214"/>
      <c r="C22" s="4214"/>
      <c r="D22" s="4214"/>
      <c r="E22" s="4214"/>
      <c r="F22" s="1942"/>
      <c r="G22" s="1942"/>
      <c r="H22" s="1942"/>
      <c r="I22" s="1945" t="s">
        <v>850</v>
      </c>
      <c r="J22" s="4215" t="s">
        <v>2801</v>
      </c>
      <c r="K22" s="4216"/>
      <c r="L22" s="4216"/>
      <c r="M22" s="4216"/>
      <c r="N22" s="4216"/>
      <c r="O22" s="4216"/>
      <c r="P22" s="4217"/>
    </row>
    <row r="23" spans="1:16" s="65" customFormat="1" ht="17.149999999999999" customHeight="1" x14ac:dyDescent="0.35">
      <c r="A23" s="4245" t="s">
        <v>2858</v>
      </c>
      <c r="B23" s="4246"/>
      <c r="C23" s="4246"/>
      <c r="D23" s="4246"/>
      <c r="E23" s="4246"/>
      <c r="F23" s="1958"/>
      <c r="G23" s="1958"/>
      <c r="H23" s="1958"/>
      <c r="I23" s="1957" t="s">
        <v>850</v>
      </c>
      <c r="J23" s="4247" t="s">
        <v>2802</v>
      </c>
      <c r="K23" s="4248"/>
      <c r="L23" s="4248"/>
      <c r="M23" s="4248"/>
      <c r="N23" s="4248"/>
      <c r="O23" s="4248"/>
      <c r="P23" s="4249"/>
    </row>
    <row r="24" spans="1:16" s="63" customFormat="1" ht="6.75" customHeight="1" x14ac:dyDescent="0.35">
      <c r="A24" s="4250"/>
      <c r="B24" s="4251"/>
      <c r="C24" s="4251"/>
      <c r="D24" s="4251"/>
      <c r="E24" s="4251"/>
      <c r="F24" s="4251"/>
      <c r="G24" s="4251"/>
      <c r="H24" s="4251"/>
      <c r="I24" s="4251"/>
      <c r="J24" s="4251"/>
      <c r="K24" s="4251"/>
      <c r="L24" s="4251"/>
      <c r="M24" s="4251"/>
      <c r="N24" s="4251"/>
      <c r="O24" s="4251"/>
      <c r="P24" s="4251"/>
    </row>
    <row r="25" spans="1:16" s="193" customFormat="1" ht="30.75" customHeight="1" x14ac:dyDescent="0.35">
      <c r="A25" s="4252" t="s">
        <v>2958</v>
      </c>
      <c r="B25" s="4253"/>
      <c r="C25" s="4253"/>
      <c r="D25" s="4253"/>
      <c r="E25" s="4254"/>
      <c r="F25" s="1946"/>
      <c r="G25" s="1946"/>
      <c r="H25" s="1946"/>
      <c r="I25" s="1946"/>
      <c r="J25" s="4235"/>
      <c r="K25" s="4236"/>
      <c r="L25" s="4236"/>
      <c r="M25" s="4236"/>
      <c r="N25" s="4236"/>
      <c r="O25" s="4236"/>
      <c r="P25" s="4237"/>
    </row>
    <row r="26" spans="1:16" s="63" customFormat="1" ht="17.149999999999999" customHeight="1" x14ac:dyDescent="0.35">
      <c r="A26" s="4241" t="s">
        <v>2433</v>
      </c>
      <c r="B26" s="4242"/>
      <c r="C26" s="4242"/>
      <c r="D26" s="4242"/>
      <c r="E26" s="4242"/>
      <c r="F26" s="1942"/>
      <c r="G26" s="1942"/>
      <c r="H26" s="1942"/>
      <c r="I26" s="1943" t="s">
        <v>850</v>
      </c>
      <c r="J26" s="4215"/>
      <c r="K26" s="4216"/>
      <c r="L26" s="4216"/>
      <c r="M26" s="4216"/>
      <c r="N26" s="4216"/>
      <c r="O26" s="4216"/>
      <c r="P26" s="4217"/>
    </row>
    <row r="27" spans="1:16" s="63" customFormat="1" ht="17.149999999999999" customHeight="1" x14ac:dyDescent="0.35">
      <c r="A27" s="4218" t="s">
        <v>2953</v>
      </c>
      <c r="B27" s="4219"/>
      <c r="C27" s="4219"/>
      <c r="D27" s="4219"/>
      <c r="E27" s="4219"/>
      <c r="F27" s="1942"/>
      <c r="G27" s="1942"/>
      <c r="H27" s="1942"/>
      <c r="I27" s="1943" t="s">
        <v>850</v>
      </c>
      <c r="J27" s="4215"/>
      <c r="K27" s="4216"/>
      <c r="L27" s="4216"/>
      <c r="M27" s="4216"/>
      <c r="N27" s="4216"/>
      <c r="O27" s="4216"/>
      <c r="P27" s="4217"/>
    </row>
    <row r="28" spans="1:16" s="63" customFormat="1" ht="17.149999999999999" customHeight="1" x14ac:dyDescent="0.35">
      <c r="A28" s="4218" t="s">
        <v>2954</v>
      </c>
      <c r="B28" s="4219"/>
      <c r="C28" s="4219"/>
      <c r="D28" s="4219"/>
      <c r="E28" s="4219"/>
      <c r="F28" s="1942"/>
      <c r="G28" s="1942"/>
      <c r="H28" s="1942"/>
      <c r="I28" s="1943" t="s">
        <v>850</v>
      </c>
      <c r="J28" s="4215"/>
      <c r="K28" s="4216"/>
      <c r="L28" s="4216"/>
      <c r="M28" s="4216"/>
      <c r="N28" s="4216"/>
      <c r="O28" s="4216"/>
      <c r="P28" s="4217"/>
    </row>
    <row r="29" spans="1:16" s="63" customFormat="1" ht="17.149999999999999" customHeight="1" x14ac:dyDescent="0.35">
      <c r="A29" s="4218" t="s">
        <v>2955</v>
      </c>
      <c r="B29" s="4219"/>
      <c r="C29" s="4219"/>
      <c r="D29" s="4219"/>
      <c r="E29" s="4219"/>
      <c r="F29" s="1942"/>
      <c r="G29" s="1942"/>
      <c r="H29" s="1942"/>
      <c r="I29" s="1943" t="s">
        <v>850</v>
      </c>
      <c r="J29" s="4215"/>
      <c r="K29" s="4216"/>
      <c r="L29" s="4216"/>
      <c r="M29" s="4216"/>
      <c r="N29" s="4216"/>
      <c r="O29" s="4216"/>
      <c r="P29" s="4217"/>
    </row>
    <row r="30" spans="1:16" s="63" customFormat="1" ht="17.149999999999999" customHeight="1" x14ac:dyDescent="0.35">
      <c r="A30" s="4218" t="s">
        <v>2859</v>
      </c>
      <c r="B30" s="4219"/>
      <c r="C30" s="4219"/>
      <c r="D30" s="4219"/>
      <c r="E30" s="4219"/>
      <c r="F30" s="1942"/>
      <c r="G30" s="1942"/>
      <c r="H30" s="1942"/>
      <c r="I30" s="1943" t="s">
        <v>850</v>
      </c>
      <c r="J30" s="4215" t="s">
        <v>2860</v>
      </c>
      <c r="K30" s="4216"/>
      <c r="L30" s="4216"/>
      <c r="M30" s="4216"/>
      <c r="N30" s="4216"/>
      <c r="O30" s="4216"/>
      <c r="P30" s="4217"/>
    </row>
    <row r="31" spans="1:16" s="63" customFormat="1" ht="17.149999999999999" customHeight="1" x14ac:dyDescent="0.35">
      <c r="A31" s="4218" t="s">
        <v>2957</v>
      </c>
      <c r="B31" s="4219"/>
      <c r="C31" s="4219"/>
      <c r="D31" s="4219"/>
      <c r="E31" s="4219"/>
      <c r="F31" s="1942"/>
      <c r="G31" s="1942"/>
      <c r="H31" s="1942"/>
      <c r="I31" s="1943" t="s">
        <v>850</v>
      </c>
      <c r="J31" s="4215"/>
      <c r="K31" s="4216"/>
      <c r="L31" s="4216"/>
      <c r="M31" s="4216"/>
      <c r="N31" s="4216"/>
      <c r="O31" s="4216"/>
      <c r="P31" s="4217"/>
    </row>
    <row r="32" spans="1:16" s="63" customFormat="1" ht="19.5" customHeight="1" x14ac:dyDescent="0.35">
      <c r="A32" s="4238" t="s">
        <v>2856</v>
      </c>
      <c r="B32" s="4239"/>
      <c r="C32" s="4239"/>
      <c r="D32" s="4239"/>
      <c r="E32" s="4240"/>
      <c r="F32" s="1942"/>
      <c r="G32" s="1942"/>
      <c r="H32" s="1942"/>
      <c r="I32" s="1943" t="s">
        <v>850</v>
      </c>
      <c r="J32" s="4215"/>
      <c r="K32" s="4216"/>
      <c r="L32" s="4216"/>
      <c r="M32" s="4216"/>
      <c r="N32" s="4216"/>
      <c r="O32" s="4216"/>
      <c r="P32" s="4217"/>
    </row>
    <row r="33" spans="1:16" s="63" customFormat="1" ht="16.5" customHeight="1" x14ac:dyDescent="0.35">
      <c r="A33" s="4238" t="s">
        <v>2857</v>
      </c>
      <c r="B33" s="4239"/>
      <c r="C33" s="4239"/>
      <c r="D33" s="4239"/>
      <c r="E33" s="4240"/>
      <c r="F33" s="1942"/>
      <c r="G33" s="1942"/>
      <c r="H33" s="1942"/>
      <c r="I33" s="1943" t="s">
        <v>850</v>
      </c>
      <c r="J33" s="4215"/>
      <c r="K33" s="4216"/>
      <c r="L33" s="4216"/>
      <c r="M33" s="4216"/>
      <c r="N33" s="4216"/>
      <c r="O33" s="4216"/>
      <c r="P33" s="4217"/>
    </row>
    <row r="34" spans="1:16" s="63" customFormat="1" ht="18.75" customHeight="1" x14ac:dyDescent="0.35">
      <c r="A34" s="4238" t="s">
        <v>2861</v>
      </c>
      <c r="B34" s="4239"/>
      <c r="C34" s="4239"/>
      <c r="D34" s="4239"/>
      <c r="E34" s="4240"/>
      <c r="F34" s="1942"/>
      <c r="G34" s="1942"/>
      <c r="H34" s="1942"/>
      <c r="I34" s="1943" t="s">
        <v>850</v>
      </c>
      <c r="J34" s="4215"/>
      <c r="K34" s="4216"/>
      <c r="L34" s="4216"/>
      <c r="M34" s="4216"/>
      <c r="N34" s="4216"/>
      <c r="O34" s="4216"/>
      <c r="P34" s="4217"/>
    </row>
    <row r="35" spans="1:16" s="2323" customFormat="1" ht="18" customHeight="1" x14ac:dyDescent="0.35">
      <c r="A35" s="4238" t="s">
        <v>2862</v>
      </c>
      <c r="B35" s="4239"/>
      <c r="C35" s="4239"/>
      <c r="D35" s="4239"/>
      <c r="E35" s="4240"/>
      <c r="F35" s="1942"/>
      <c r="G35" s="1942"/>
      <c r="H35" s="1942"/>
      <c r="I35" s="1943"/>
      <c r="J35" s="4215"/>
      <c r="K35" s="4216"/>
      <c r="L35" s="4216"/>
      <c r="M35" s="4216"/>
      <c r="N35" s="4216"/>
      <c r="O35" s="4216"/>
      <c r="P35" s="4217"/>
    </row>
    <row r="36" spans="1:16" s="63" customFormat="1" ht="17.149999999999999" customHeight="1" x14ac:dyDescent="0.35">
      <c r="A36" s="4241"/>
      <c r="B36" s="4242"/>
      <c r="C36" s="4242"/>
      <c r="D36" s="4242"/>
      <c r="E36" s="4242"/>
      <c r="F36" s="1942"/>
      <c r="G36" s="1942"/>
      <c r="H36" s="1942"/>
      <c r="I36" s="1943"/>
      <c r="J36" s="4215"/>
      <c r="K36" s="4216"/>
      <c r="L36" s="4216"/>
      <c r="M36" s="4216"/>
      <c r="N36" s="4216"/>
      <c r="O36" s="4216"/>
      <c r="P36" s="4217"/>
    </row>
    <row r="37" spans="1:16" s="63" customFormat="1" ht="6.75" customHeight="1" thickBot="1" x14ac:dyDescent="0.4">
      <c r="A37" s="4223"/>
      <c r="B37" s="4224"/>
      <c r="C37" s="4224"/>
      <c r="D37" s="4224"/>
      <c r="E37" s="4224"/>
      <c r="F37" s="4224"/>
      <c r="G37" s="4224"/>
      <c r="H37" s="4224"/>
      <c r="I37" s="4224"/>
      <c r="J37" s="4224"/>
      <c r="K37" s="4224"/>
      <c r="L37" s="4224"/>
      <c r="M37" s="4224"/>
      <c r="N37" s="4224"/>
      <c r="O37" s="4224"/>
      <c r="P37" s="4224"/>
    </row>
    <row r="38" spans="1:16" s="106" customFormat="1" ht="25.5" customHeight="1" thickTop="1" x14ac:dyDescent="0.35">
      <c r="A38" s="4243" t="s">
        <v>1683</v>
      </c>
      <c r="B38" s="4244"/>
      <c r="C38" s="4244"/>
      <c r="D38" s="4244"/>
      <c r="E38" s="4244"/>
      <c r="F38" s="1946"/>
      <c r="G38" s="1946"/>
      <c r="H38" s="1946"/>
      <c r="I38" s="1946"/>
      <c r="J38" s="4235"/>
      <c r="K38" s="4236"/>
      <c r="L38" s="4236"/>
      <c r="M38" s="4236"/>
      <c r="N38" s="4236"/>
      <c r="O38" s="4236"/>
      <c r="P38" s="4237"/>
    </row>
    <row r="39" spans="1:16" s="63" customFormat="1" ht="17.149999999999999" customHeight="1" x14ac:dyDescent="0.35">
      <c r="A39" s="4218" t="s">
        <v>1684</v>
      </c>
      <c r="B39" s="4219"/>
      <c r="C39" s="4219"/>
      <c r="D39" s="4219"/>
      <c r="E39" s="4219"/>
      <c r="F39" s="1942"/>
      <c r="G39" s="1942"/>
      <c r="H39" s="1942"/>
      <c r="I39" s="1943" t="s">
        <v>850</v>
      </c>
      <c r="J39" s="4215"/>
      <c r="K39" s="4216"/>
      <c r="L39" s="4216"/>
      <c r="M39" s="4216"/>
      <c r="N39" s="4216"/>
      <c r="O39" s="4216"/>
      <c r="P39" s="4217"/>
    </row>
    <row r="40" spans="1:16" s="63" customFormat="1" ht="17.149999999999999" customHeight="1" x14ac:dyDescent="0.35">
      <c r="A40" s="4218" t="s">
        <v>1685</v>
      </c>
      <c r="B40" s="4219"/>
      <c r="C40" s="4219"/>
      <c r="D40" s="4219"/>
      <c r="E40" s="4219"/>
      <c r="F40" s="1942"/>
      <c r="G40" s="1942"/>
      <c r="H40" s="1942"/>
      <c r="I40" s="1943" t="s">
        <v>850</v>
      </c>
      <c r="J40" s="4215"/>
      <c r="K40" s="4216"/>
      <c r="L40" s="4216"/>
      <c r="M40" s="4216"/>
      <c r="N40" s="4216"/>
      <c r="O40" s="4216"/>
      <c r="P40" s="4217"/>
    </row>
    <row r="41" spans="1:16" s="63" customFormat="1" ht="17.149999999999999" customHeight="1" x14ac:dyDescent="0.35">
      <c r="A41" s="4218" t="s">
        <v>2799</v>
      </c>
      <c r="B41" s="4219"/>
      <c r="C41" s="4219"/>
      <c r="D41" s="4219"/>
      <c r="E41" s="4219"/>
      <c r="F41" s="1942"/>
      <c r="G41" s="1942"/>
      <c r="H41" s="1942"/>
      <c r="I41" s="1943" t="s">
        <v>850</v>
      </c>
      <c r="J41" s="4215"/>
      <c r="K41" s="4216"/>
      <c r="L41" s="4216"/>
      <c r="M41" s="4216"/>
      <c r="N41" s="4216"/>
      <c r="O41" s="4216"/>
      <c r="P41" s="4217"/>
    </row>
    <row r="42" spans="1:16" s="63" customFormat="1" ht="17.149999999999999" customHeight="1" x14ac:dyDescent="0.35">
      <c r="A42" s="4218" t="s">
        <v>1686</v>
      </c>
      <c r="B42" s="4219"/>
      <c r="C42" s="4219"/>
      <c r="D42" s="4219"/>
      <c r="E42" s="4219"/>
      <c r="F42" s="1942"/>
      <c r="G42" s="1942"/>
      <c r="H42" s="1942"/>
      <c r="I42" s="1943"/>
      <c r="J42" s="4215"/>
      <c r="K42" s="4216"/>
      <c r="L42" s="4216"/>
      <c r="M42" s="4216"/>
      <c r="N42" s="4216"/>
      <c r="O42" s="4216"/>
      <c r="P42" s="4217"/>
    </row>
    <row r="43" spans="1:16" s="63" customFormat="1" ht="17.149999999999999" customHeight="1" x14ac:dyDescent="0.35">
      <c r="A43" s="4218" t="s">
        <v>1687</v>
      </c>
      <c r="B43" s="4219"/>
      <c r="C43" s="4219"/>
      <c r="D43" s="4219"/>
      <c r="E43" s="4219"/>
      <c r="F43" s="1942"/>
      <c r="G43" s="1942"/>
      <c r="H43" s="1942"/>
      <c r="I43" s="1943"/>
      <c r="J43" s="4215"/>
      <c r="K43" s="4216"/>
      <c r="L43" s="4216"/>
      <c r="M43" s="4216"/>
      <c r="N43" s="4216"/>
      <c r="O43" s="4216"/>
      <c r="P43" s="4217"/>
    </row>
    <row r="44" spans="1:16" s="63" customFormat="1" ht="17.149999999999999" customHeight="1" x14ac:dyDescent="0.35">
      <c r="A44" s="4218" t="s">
        <v>1688</v>
      </c>
      <c r="B44" s="4219"/>
      <c r="C44" s="4219"/>
      <c r="D44" s="4219"/>
      <c r="E44" s="4219"/>
      <c r="F44" s="1942"/>
      <c r="G44" s="1942"/>
      <c r="H44" s="1942"/>
      <c r="I44" s="1943"/>
      <c r="J44" s="4215"/>
      <c r="K44" s="4216"/>
      <c r="L44" s="4216"/>
      <c r="M44" s="4216"/>
      <c r="N44" s="4216"/>
      <c r="O44" s="4216"/>
      <c r="P44" s="4217"/>
    </row>
    <row r="45" spans="1:16" s="63" customFormat="1" ht="17.149999999999999" customHeight="1" x14ac:dyDescent="0.35">
      <c r="A45" s="4218" t="s">
        <v>1689</v>
      </c>
      <c r="B45" s="4219"/>
      <c r="C45" s="4219"/>
      <c r="D45" s="4219"/>
      <c r="E45" s="4219"/>
      <c r="F45" s="1942"/>
      <c r="G45" s="1942"/>
      <c r="H45" s="1942"/>
      <c r="I45" s="1943"/>
      <c r="J45" s="4215"/>
      <c r="K45" s="4216"/>
      <c r="L45" s="4216"/>
      <c r="M45" s="4216"/>
      <c r="N45" s="4216"/>
      <c r="O45" s="4216"/>
      <c r="P45" s="4217"/>
    </row>
    <row r="46" spans="1:16" s="63" customFormat="1" ht="17.149999999999999" customHeight="1" x14ac:dyDescent="0.35">
      <c r="A46" s="4218" t="s">
        <v>2435</v>
      </c>
      <c r="B46" s="4219"/>
      <c r="C46" s="4219"/>
      <c r="D46" s="4219"/>
      <c r="E46" s="4219"/>
      <c r="F46" s="1942"/>
      <c r="G46" s="1942"/>
      <c r="H46" s="1942"/>
      <c r="I46" s="1943"/>
      <c r="J46" s="2319"/>
      <c r="K46" s="2320"/>
      <c r="L46" s="2320"/>
      <c r="M46" s="2320"/>
      <c r="N46" s="2320"/>
      <c r="O46" s="2320"/>
      <c r="P46" s="2321"/>
    </row>
    <row r="47" spans="1:16" s="63" customFormat="1" ht="17.149999999999999" customHeight="1" x14ac:dyDescent="0.35">
      <c r="A47" s="4218"/>
      <c r="B47" s="4219"/>
      <c r="C47" s="4219"/>
      <c r="D47" s="4219"/>
      <c r="E47" s="4219"/>
      <c r="F47" s="1942"/>
      <c r="G47" s="1942"/>
      <c r="H47" s="1944"/>
      <c r="I47" s="1945"/>
      <c r="J47" s="4220"/>
      <c r="K47" s="4221"/>
      <c r="L47" s="4221"/>
      <c r="M47" s="4221"/>
      <c r="N47" s="4221"/>
      <c r="O47" s="4221"/>
      <c r="P47" s="4222"/>
    </row>
    <row r="48" spans="1:16" s="63" customFormat="1" ht="6.75" customHeight="1" thickBot="1" x14ac:dyDescent="0.4">
      <c r="A48" s="4223"/>
      <c r="B48" s="4224"/>
      <c r="C48" s="4224"/>
      <c r="D48" s="4224"/>
      <c r="E48" s="4224"/>
      <c r="F48" s="4224"/>
      <c r="G48" s="4224"/>
      <c r="H48" s="4224"/>
      <c r="I48" s="4224"/>
      <c r="J48" s="4224"/>
      <c r="K48" s="4224"/>
      <c r="L48" s="4224"/>
      <c r="M48" s="4224"/>
      <c r="N48" s="4224"/>
      <c r="O48" s="4224"/>
      <c r="P48" s="4224"/>
    </row>
    <row r="49" spans="1:16" s="2323" customFormat="1" ht="18" customHeight="1" x14ac:dyDescent="0.35">
      <c r="A49" s="4225" t="s">
        <v>1690</v>
      </c>
      <c r="B49" s="4226"/>
      <c r="C49" s="4226"/>
      <c r="D49" s="4226"/>
      <c r="E49" s="4226"/>
      <c r="F49" s="4226"/>
      <c r="G49" s="4226"/>
      <c r="H49" s="4226"/>
      <c r="I49" s="4226"/>
      <c r="J49" s="4226"/>
      <c r="K49" s="4226"/>
      <c r="L49" s="4226"/>
      <c r="M49" s="4226"/>
      <c r="N49" s="4226"/>
      <c r="O49" s="4226"/>
      <c r="P49" s="4227"/>
    </row>
    <row r="50" spans="1:16" s="63" customFormat="1" ht="17.149999999999999" customHeight="1" x14ac:dyDescent="0.35">
      <c r="A50" s="4218" t="s">
        <v>1691</v>
      </c>
      <c r="B50" s="4228"/>
      <c r="C50" s="4228"/>
      <c r="D50" s="4228"/>
      <c r="E50" s="4228"/>
      <c r="F50" s="1942"/>
      <c r="G50" s="1942"/>
      <c r="H50" s="1942"/>
      <c r="I50" s="1943" t="s">
        <v>850</v>
      </c>
      <c r="J50" s="4215"/>
      <c r="K50" s="4216"/>
      <c r="L50" s="4216"/>
      <c r="M50" s="4216"/>
      <c r="N50" s="4216"/>
      <c r="O50" s="4216"/>
      <c r="P50" s="4229"/>
    </row>
    <row r="51" spans="1:16" s="63" customFormat="1" ht="17.149999999999999" customHeight="1" x14ac:dyDescent="0.35">
      <c r="A51" s="4218" t="s">
        <v>2960</v>
      </c>
      <c r="B51" s="4228"/>
      <c r="C51" s="4228"/>
      <c r="D51" s="4228"/>
      <c r="E51" s="4228"/>
      <c r="F51" s="1942"/>
      <c r="G51" s="1942"/>
      <c r="H51" s="1942"/>
      <c r="I51" s="1943" t="s">
        <v>850</v>
      </c>
      <c r="J51" s="4215"/>
      <c r="K51" s="4216"/>
      <c r="L51" s="4216"/>
      <c r="M51" s="4216"/>
      <c r="N51" s="4216"/>
      <c r="O51" s="4216"/>
      <c r="P51" s="4229"/>
    </row>
    <row r="52" spans="1:16" s="63" customFormat="1" ht="17.149999999999999" customHeight="1" x14ac:dyDescent="0.35">
      <c r="A52" s="4218" t="s">
        <v>1693</v>
      </c>
      <c r="B52" s="4228"/>
      <c r="C52" s="4228"/>
      <c r="D52" s="4228"/>
      <c r="E52" s="4228"/>
      <c r="F52" s="1942"/>
      <c r="G52" s="1942"/>
      <c r="H52" s="1942"/>
      <c r="I52" s="1943"/>
      <c r="J52" s="4215"/>
      <c r="K52" s="4216"/>
      <c r="L52" s="4216"/>
      <c r="M52" s="4216"/>
      <c r="N52" s="4216"/>
      <c r="O52" s="4216"/>
      <c r="P52" s="4229"/>
    </row>
    <row r="53" spans="1:16" s="63" customFormat="1" ht="17.149999999999999" customHeight="1" x14ac:dyDescent="0.35">
      <c r="A53" s="4218" t="s">
        <v>2961</v>
      </c>
      <c r="B53" s="4228"/>
      <c r="C53" s="4228"/>
      <c r="D53" s="4228"/>
      <c r="E53" s="4228"/>
      <c r="F53" s="1942"/>
      <c r="G53" s="1942"/>
      <c r="H53" s="1942"/>
      <c r="I53" s="1943" t="s">
        <v>850</v>
      </c>
      <c r="J53" s="4215"/>
      <c r="K53" s="4216"/>
      <c r="L53" s="4216"/>
      <c r="M53" s="4216"/>
      <c r="N53" s="4216"/>
      <c r="O53" s="4216"/>
      <c r="P53" s="4229"/>
    </row>
    <row r="54" spans="1:16" s="63" customFormat="1" ht="17.149999999999999" customHeight="1" x14ac:dyDescent="0.35">
      <c r="A54" s="4232" t="s">
        <v>1695</v>
      </c>
      <c r="B54" s="4233"/>
      <c r="C54" s="4233"/>
      <c r="D54" s="4233"/>
      <c r="E54" s="4233"/>
      <c r="F54" s="1942"/>
      <c r="G54" s="1942"/>
      <c r="H54" s="1942"/>
      <c r="I54" s="1943" t="s">
        <v>850</v>
      </c>
      <c r="J54" s="4215"/>
      <c r="K54" s="4216"/>
      <c r="L54" s="4216"/>
      <c r="M54" s="4216"/>
      <c r="N54" s="4216"/>
      <c r="O54" s="4216"/>
      <c r="P54" s="4229"/>
    </row>
    <row r="55" spans="1:16" s="63" customFormat="1" ht="17.149999999999999" customHeight="1" x14ac:dyDescent="0.35">
      <c r="A55" s="4232" t="s">
        <v>2436</v>
      </c>
      <c r="B55" s="4233"/>
      <c r="C55" s="4233"/>
      <c r="D55" s="4233"/>
      <c r="E55" s="4233"/>
      <c r="F55" s="1942"/>
      <c r="G55" s="1942"/>
      <c r="H55" s="1942"/>
      <c r="I55" s="1943"/>
      <c r="J55" s="2319"/>
      <c r="K55" s="2320"/>
      <c r="L55" s="2320"/>
      <c r="M55" s="2320"/>
      <c r="N55" s="2320"/>
      <c r="O55" s="2320"/>
      <c r="P55" s="2322"/>
    </row>
    <row r="56" spans="1:16" s="63" customFormat="1" ht="17.149999999999999" customHeight="1" x14ac:dyDescent="0.35">
      <c r="A56" s="4232" t="s">
        <v>1696</v>
      </c>
      <c r="B56" s="4233"/>
      <c r="C56" s="4233"/>
      <c r="D56" s="4233"/>
      <c r="E56" s="4233"/>
      <c r="F56" s="1944"/>
      <c r="G56" s="1944"/>
      <c r="H56" s="1944"/>
      <c r="I56" s="1945" t="s">
        <v>850</v>
      </c>
      <c r="J56" s="4220"/>
      <c r="K56" s="4221"/>
      <c r="L56" s="4221"/>
      <c r="M56" s="4221"/>
      <c r="N56" s="4221"/>
      <c r="O56" s="4221"/>
      <c r="P56" s="4234"/>
    </row>
    <row r="57" spans="1:16" s="63" customFormat="1" ht="6.75" customHeight="1" x14ac:dyDescent="0.35">
      <c r="A57" s="4230"/>
      <c r="B57" s="4231"/>
      <c r="C57" s="4231"/>
      <c r="D57" s="4231"/>
      <c r="E57" s="4231"/>
      <c r="F57" s="4231"/>
      <c r="G57" s="4231"/>
      <c r="H57" s="4231"/>
      <c r="I57" s="4231"/>
      <c r="J57" s="4231"/>
      <c r="K57" s="4231"/>
      <c r="L57" s="4231"/>
      <c r="M57" s="4231"/>
      <c r="N57" s="4231"/>
      <c r="O57" s="4231"/>
      <c r="P57" s="4231"/>
    </row>
    <row r="58" spans="1:16" s="63" customFormat="1" x14ac:dyDescent="0.35">
      <c r="A58" s="463"/>
      <c r="B58" s="463"/>
      <c r="C58" s="463"/>
      <c r="D58" s="463"/>
      <c r="E58" s="463"/>
      <c r="F58" s="2318"/>
      <c r="G58" s="2318"/>
      <c r="H58" s="2318"/>
      <c r="I58" s="2318"/>
      <c r="J58" s="463"/>
      <c r="K58" s="463"/>
      <c r="L58" s="463"/>
      <c r="M58" s="463"/>
      <c r="N58" s="463"/>
      <c r="O58" s="463"/>
      <c r="P58" s="463"/>
    </row>
  </sheetData>
  <mergeCells count="102">
    <mergeCell ref="D1:G1"/>
    <mergeCell ref="I1:J1"/>
    <mergeCell ref="L1:M1"/>
    <mergeCell ref="D2:G2"/>
    <mergeCell ref="I2:J2"/>
    <mergeCell ref="L2:M2"/>
    <mergeCell ref="F8:J8"/>
    <mergeCell ref="A10:E10"/>
    <mergeCell ref="J10:P10"/>
    <mergeCell ref="A7:Q7"/>
    <mergeCell ref="D3:G3"/>
    <mergeCell ref="B4:G4"/>
    <mergeCell ref="H4:Q4"/>
    <mergeCell ref="A5:Q5"/>
    <mergeCell ref="A6:B6"/>
    <mergeCell ref="C6:P6"/>
    <mergeCell ref="A14:E14"/>
    <mergeCell ref="J14:P14"/>
    <mergeCell ref="A16:E16"/>
    <mergeCell ref="J16:P16"/>
    <mergeCell ref="A11:N11"/>
    <mergeCell ref="A12:E12"/>
    <mergeCell ref="J12:P12"/>
    <mergeCell ref="A13:E13"/>
    <mergeCell ref="J13:P13"/>
    <mergeCell ref="A15:E15"/>
    <mergeCell ref="J15:P15"/>
    <mergeCell ref="A29:E29"/>
    <mergeCell ref="J29:P29"/>
    <mergeCell ref="A30:E30"/>
    <mergeCell ref="J30:P30"/>
    <mergeCell ref="A27:E27"/>
    <mergeCell ref="J27:P27"/>
    <mergeCell ref="A19:E19"/>
    <mergeCell ref="J19:P19"/>
    <mergeCell ref="A23:E23"/>
    <mergeCell ref="J23:P23"/>
    <mergeCell ref="A24:P24"/>
    <mergeCell ref="A25:E25"/>
    <mergeCell ref="J25:P25"/>
    <mergeCell ref="A26:E26"/>
    <mergeCell ref="J26:P26"/>
    <mergeCell ref="A22:E22"/>
    <mergeCell ref="J22:P22"/>
    <mergeCell ref="J51:P51"/>
    <mergeCell ref="A41:E41"/>
    <mergeCell ref="J41:P41"/>
    <mergeCell ref="A42:E42"/>
    <mergeCell ref="J42:P42"/>
    <mergeCell ref="A43:E43"/>
    <mergeCell ref="J38:P38"/>
    <mergeCell ref="A39:E39"/>
    <mergeCell ref="J39:P39"/>
    <mergeCell ref="A38:E38"/>
    <mergeCell ref="J47:P47"/>
    <mergeCell ref="A48:P48"/>
    <mergeCell ref="A49:P49"/>
    <mergeCell ref="A50:E50"/>
    <mergeCell ref="J50:P50"/>
    <mergeCell ref="J18:P18"/>
    <mergeCell ref="A18:E18"/>
    <mergeCell ref="A57:P57"/>
    <mergeCell ref="A53:E53"/>
    <mergeCell ref="J53:P53"/>
    <mergeCell ref="A54:E54"/>
    <mergeCell ref="J54:P54"/>
    <mergeCell ref="A55:E55"/>
    <mergeCell ref="A56:E56"/>
    <mergeCell ref="J56:P56"/>
    <mergeCell ref="A44:E44"/>
    <mergeCell ref="J44:P44"/>
    <mergeCell ref="A45:E45"/>
    <mergeCell ref="J45:P45"/>
    <mergeCell ref="A52:E52"/>
    <mergeCell ref="J52:P52"/>
    <mergeCell ref="A46:E46"/>
    <mergeCell ref="A47:E47"/>
    <mergeCell ref="A51:E51"/>
    <mergeCell ref="A17:E17"/>
    <mergeCell ref="J17:P17"/>
    <mergeCell ref="A20:E20"/>
    <mergeCell ref="J20:P20"/>
    <mergeCell ref="A21:E21"/>
    <mergeCell ref="J21:P21"/>
    <mergeCell ref="J43:P43"/>
    <mergeCell ref="A40:E40"/>
    <mergeCell ref="J40:P40"/>
    <mergeCell ref="A32:E32"/>
    <mergeCell ref="J32:P32"/>
    <mergeCell ref="A35:E35"/>
    <mergeCell ref="J33:P33"/>
    <mergeCell ref="A31:E31"/>
    <mergeCell ref="J31:P31"/>
    <mergeCell ref="A33:E33"/>
    <mergeCell ref="A34:E34"/>
    <mergeCell ref="J34:P34"/>
    <mergeCell ref="J35:P35"/>
    <mergeCell ref="A36:E36"/>
    <mergeCell ref="J36:P36"/>
    <mergeCell ref="A37:P37"/>
    <mergeCell ref="A28:E28"/>
    <mergeCell ref="J28:P28"/>
  </mergeCells>
  <conditionalFormatting sqref="O2">
    <cfRule type="iconSet" priority="1">
      <iconSet iconSet="3Symbols2" showValue="0">
        <cfvo type="percent" val="0"/>
        <cfvo type="num" val="0"/>
        <cfvo type="num" val="10"/>
      </iconSet>
    </cfRule>
  </conditionalFormatting>
  <dataValidations count="1">
    <dataValidation type="list" allowBlank="1" showInputMessage="1" showErrorMessage="1" sqref="I2:J2" xr:uid="{00000000-0002-0000-1300-000000000000}">
      <formula1>AvancementTheme</formula1>
    </dataValidation>
  </dataValidations>
  <pageMargins left="0.70866141732283472" right="0.70866141732283472" top="0.74803149606299213" bottom="0.74803149606299213" header="0.31496062992125984" footer="0.31496062992125984"/>
  <pageSetup paperSize="9" scale="48" orientation="portrait" r:id="rId1"/>
  <headerFooter>
    <oddHeader>&amp;LPAD Methodology (c) 2013-2014&amp;RStrategic Management Workshop</oddHeader>
    <oddFooter>&amp;L&amp;F&amp;C&amp;A&amp;RSituation au : &amp;D - page : &amp;P/&amp;N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3">
    <tabColor rgb="FFFF6699"/>
    <pageSetUpPr fitToPage="1"/>
  </sheetPr>
  <dimension ref="A1:V136"/>
  <sheetViews>
    <sheetView showGridLines="0" zoomScale="120" zoomScaleNormal="120" workbookViewId="0">
      <pane ySplit="6" topLeftCell="A40" activePane="bottomLeft" state="frozen"/>
      <selection activeCell="A17" sqref="A17:F17"/>
      <selection pane="bottomLeft"/>
    </sheetView>
  </sheetViews>
  <sheetFormatPr baseColWidth="10" defaultColWidth="11.453125" defaultRowHeight="14.5" x14ac:dyDescent="0.35"/>
  <cols>
    <col min="1" max="3" width="11.453125" style="60"/>
    <col min="4" max="5" width="10.7265625" style="60" customWidth="1"/>
    <col min="6" max="9" width="10.7265625" style="372" customWidth="1"/>
    <col min="10" max="16" width="10.7265625" style="60" customWidth="1"/>
    <col min="17" max="16384" width="11.453125" style="60"/>
  </cols>
  <sheetData>
    <row r="1" spans="1:22" s="54" customFormat="1" ht="15" customHeight="1" x14ac:dyDescent="0.35">
      <c r="A1" s="389"/>
      <c r="B1" s="389"/>
      <c r="C1" s="389"/>
      <c r="D1" s="3341" t="s">
        <v>5</v>
      </c>
      <c r="E1" s="3341"/>
      <c r="F1" s="3341"/>
      <c r="G1" s="3341"/>
      <c r="H1" s="1198"/>
      <c r="I1" s="3341" t="s">
        <v>6</v>
      </c>
      <c r="J1" s="3341"/>
      <c r="K1" s="389"/>
      <c r="L1" s="3341" t="s">
        <v>9</v>
      </c>
      <c r="M1" s="3341"/>
      <c r="N1" s="389"/>
      <c r="O1" s="450" t="s">
        <v>2</v>
      </c>
      <c r="P1" s="450" t="s">
        <v>3</v>
      </c>
      <c r="Q1" s="458"/>
    </row>
    <row r="2" spans="1:22" s="58" customFormat="1" ht="18" customHeight="1" x14ac:dyDescent="0.35">
      <c r="A2" s="393"/>
      <c r="B2" s="393"/>
      <c r="C2" s="393"/>
      <c r="D2" s="3342" t="str">
        <f>NomClient</f>
        <v xml:space="preserve">EQUINIX </v>
      </c>
      <c r="E2" s="3343"/>
      <c r="F2" s="3343"/>
      <c r="G2" s="3344"/>
      <c r="H2" s="395"/>
      <c r="I2" s="3345" t="s">
        <v>407</v>
      </c>
      <c r="J2" s="3346"/>
      <c r="K2" s="393"/>
      <c r="L2" s="3347">
        <v>42534.859467592592</v>
      </c>
      <c r="M2" s="3348"/>
      <c r="N2" s="394"/>
      <c r="O2" s="451">
        <f>IF(LEN(DPDV_11FC)&gt;0,LEN(DPDV_11FC),0-PDV_NBmini)</f>
        <v>74</v>
      </c>
      <c r="P2" s="451">
        <f>IF(LEN(DKPI_11FC)&gt;0,LEN(DKPI_11FC),0-KPI_NBmini)</f>
        <v>60</v>
      </c>
      <c r="Q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5.5" customHeight="1" thickBot="1" x14ac:dyDescent="0.4">
      <c r="A4" s="4319" t="s">
        <v>210</v>
      </c>
      <c r="B4" s="4319"/>
      <c r="C4" s="4319"/>
      <c r="D4" s="4319"/>
      <c r="E4" s="4319"/>
      <c r="F4" s="4319"/>
      <c r="G4" s="4319"/>
      <c r="H4" s="4319"/>
      <c r="I4" s="4319"/>
      <c r="J4" s="4319"/>
      <c r="K4" s="4319"/>
      <c r="L4" s="4319"/>
      <c r="M4" s="4319"/>
      <c r="N4" s="4319"/>
      <c r="O4" s="4319"/>
      <c r="P4" s="4320"/>
      <c r="Q4" s="444"/>
    </row>
    <row r="5" spans="1:22" s="1238" customFormat="1" ht="46.5" customHeight="1" thickBot="1" x14ac:dyDescent="0.4">
      <c r="A5" s="3439" t="s">
        <v>14</v>
      </c>
      <c r="B5" s="3439"/>
      <c r="C5" s="4317" t="s">
        <v>2753</v>
      </c>
      <c r="D5" s="4318"/>
      <c r="E5" s="4318"/>
      <c r="F5" s="4318"/>
      <c r="G5" s="4318"/>
      <c r="H5" s="4318"/>
      <c r="I5" s="4318"/>
      <c r="J5" s="4318"/>
      <c r="K5" s="4318"/>
      <c r="L5" s="4318"/>
      <c r="M5" s="4318"/>
      <c r="N5" s="4318"/>
      <c r="O5" s="4318"/>
      <c r="P5" s="4318"/>
      <c r="Q5" s="1199"/>
    </row>
    <row r="6" spans="1:22" s="106" customFormat="1" ht="25.5" customHeight="1" thickTop="1" thickBot="1" x14ac:dyDescent="0.4">
      <c r="A6" s="4243" t="s">
        <v>2191</v>
      </c>
      <c r="B6" s="4244"/>
      <c r="C6" s="4244"/>
      <c r="D6" s="4244"/>
      <c r="E6" s="4244"/>
      <c r="F6" s="4321" t="s">
        <v>16</v>
      </c>
      <c r="G6" s="4321"/>
      <c r="H6" s="4321" t="s">
        <v>211</v>
      </c>
      <c r="I6" s="4321"/>
      <c r="J6" s="4322" t="s">
        <v>18</v>
      </c>
      <c r="K6" s="4322"/>
      <c r="L6" s="4322"/>
      <c r="M6" s="4322"/>
      <c r="N6" s="4323"/>
      <c r="O6" s="758"/>
      <c r="P6" s="1232"/>
      <c r="Q6" s="758"/>
    </row>
    <row r="7" spans="1:22" s="1204" customFormat="1" ht="18" customHeight="1" thickBot="1" x14ac:dyDescent="0.4">
      <c r="A7" s="4300" t="s">
        <v>19</v>
      </c>
      <c r="B7" s="4301"/>
      <c r="C7" s="4301"/>
      <c r="D7" s="4301"/>
      <c r="E7" s="4301"/>
      <c r="F7" s="4301"/>
      <c r="G7" s="4301"/>
      <c r="H7" s="4301"/>
      <c r="I7" s="4301"/>
      <c r="J7" s="4301"/>
      <c r="K7" s="4301"/>
      <c r="L7" s="4301"/>
      <c r="M7" s="4301"/>
      <c r="N7" s="4302"/>
      <c r="O7" s="705"/>
      <c r="P7" s="762"/>
      <c r="Q7" s="705"/>
    </row>
    <row r="8" spans="1:22" s="63" customFormat="1" ht="17.149999999999999" customHeight="1" x14ac:dyDescent="0.35">
      <c r="A8" s="4324" t="s">
        <v>2437</v>
      </c>
      <c r="B8" s="4325"/>
      <c r="C8" s="4325"/>
      <c r="D8" s="4325"/>
      <c r="E8" s="4325"/>
      <c r="F8" s="4284"/>
      <c r="G8" s="4284"/>
      <c r="H8" s="4314">
        <v>10</v>
      </c>
      <c r="I8" s="4314"/>
      <c r="J8" s="4315"/>
      <c r="K8" s="4315"/>
      <c r="L8" s="4315"/>
      <c r="M8" s="4315"/>
      <c r="N8" s="4316"/>
      <c r="O8" s="1233"/>
      <c r="P8" s="762"/>
      <c r="Q8" s="463"/>
    </row>
    <row r="9" spans="1:22" s="63" customFormat="1" ht="17.149999999999999" customHeight="1" x14ac:dyDescent="0.35">
      <c r="A9" s="4303" t="s">
        <v>2438</v>
      </c>
      <c r="B9" s="4304"/>
      <c r="C9" s="4304"/>
      <c r="D9" s="4304"/>
      <c r="E9" s="4304"/>
      <c r="F9" s="4284"/>
      <c r="G9" s="4284"/>
      <c r="H9" s="4285">
        <v>10</v>
      </c>
      <c r="I9" s="4285"/>
      <c r="J9" s="4286"/>
      <c r="K9" s="4286"/>
      <c r="L9" s="4286"/>
      <c r="M9" s="4286"/>
      <c r="N9" s="4287"/>
      <c r="O9" s="1233"/>
      <c r="P9" s="762"/>
      <c r="Q9" s="463"/>
    </row>
    <row r="10" spans="1:22" s="63" customFormat="1" ht="17.149999999999999" customHeight="1" x14ac:dyDescent="0.35">
      <c r="A10" s="4303" t="s">
        <v>1906</v>
      </c>
      <c r="B10" s="4304"/>
      <c r="C10" s="4304"/>
      <c r="D10" s="4304"/>
      <c r="E10" s="4304"/>
      <c r="F10" s="4284"/>
      <c r="G10" s="4284"/>
      <c r="H10" s="4285">
        <v>10</v>
      </c>
      <c r="I10" s="4285"/>
      <c r="J10" s="4286" t="s">
        <v>2192</v>
      </c>
      <c r="K10" s="4286"/>
      <c r="L10" s="4286"/>
      <c r="M10" s="4286"/>
      <c r="N10" s="4287"/>
      <c r="O10" s="1233"/>
      <c r="P10" s="762"/>
      <c r="Q10" s="463"/>
    </row>
    <row r="11" spans="1:22" s="63" customFormat="1" ht="17.149999999999999" customHeight="1" x14ac:dyDescent="0.35">
      <c r="A11" s="4303" t="s">
        <v>2439</v>
      </c>
      <c r="B11" s="4304"/>
      <c r="C11" s="4304"/>
      <c r="D11" s="4304"/>
      <c r="E11" s="4304"/>
      <c r="F11" s="4284"/>
      <c r="G11" s="4284"/>
      <c r="H11" s="4285">
        <v>10</v>
      </c>
      <c r="I11" s="4285"/>
      <c r="J11" s="4286" t="s">
        <v>2193</v>
      </c>
      <c r="K11" s="4286"/>
      <c r="L11" s="4286"/>
      <c r="M11" s="4286"/>
      <c r="N11" s="4287"/>
      <c r="O11" s="1233"/>
      <c r="P11" s="762"/>
      <c r="Q11" s="463"/>
    </row>
    <row r="12" spans="1:22" s="63" customFormat="1" ht="17.149999999999999" customHeight="1" x14ac:dyDescent="0.35">
      <c r="A12" s="4282" t="s">
        <v>2440</v>
      </c>
      <c r="B12" s="4283"/>
      <c r="C12" s="4283"/>
      <c r="D12" s="4283"/>
      <c r="E12" s="4283"/>
      <c r="F12" s="4284"/>
      <c r="G12" s="4284"/>
      <c r="H12" s="4285">
        <v>10</v>
      </c>
      <c r="I12" s="4285"/>
      <c r="J12" s="4286"/>
      <c r="K12" s="4286"/>
      <c r="L12" s="4286"/>
      <c r="M12" s="4286"/>
      <c r="N12" s="4287"/>
      <c r="O12" s="463"/>
      <c r="P12" s="762"/>
      <c r="Q12" s="463"/>
    </row>
    <row r="13" spans="1:22" s="63" customFormat="1" ht="17.149999999999999" customHeight="1" x14ac:dyDescent="0.35">
      <c r="A13" s="4282" t="s">
        <v>2448</v>
      </c>
      <c r="B13" s="4283"/>
      <c r="C13" s="4283"/>
      <c r="D13" s="4283"/>
      <c r="E13" s="4283"/>
      <c r="F13" s="4284"/>
      <c r="G13" s="4284"/>
      <c r="H13" s="4285">
        <v>10</v>
      </c>
      <c r="I13" s="4285"/>
      <c r="J13" s="4286"/>
      <c r="K13" s="4286"/>
      <c r="L13" s="4286"/>
      <c r="M13" s="4286"/>
      <c r="N13" s="4287"/>
      <c r="O13" s="463"/>
      <c r="P13" s="762"/>
      <c r="Q13" s="463"/>
    </row>
    <row r="14" spans="1:22" s="63" customFormat="1" ht="6.75" customHeight="1" thickBot="1" x14ac:dyDescent="0.4">
      <c r="A14" s="4311"/>
      <c r="B14" s="4312"/>
      <c r="C14" s="4312"/>
      <c r="D14" s="4312"/>
      <c r="E14" s="4312"/>
      <c r="F14" s="4312"/>
      <c r="G14" s="4312"/>
      <c r="H14" s="4312"/>
      <c r="I14" s="4312"/>
      <c r="J14" s="4312"/>
      <c r="K14" s="4312"/>
      <c r="L14" s="4312"/>
      <c r="M14" s="4312"/>
      <c r="N14" s="4313"/>
      <c r="O14" s="463"/>
      <c r="P14" s="762"/>
      <c r="Q14" s="463"/>
    </row>
    <row r="15" spans="1:22" s="193" customFormat="1" ht="18" customHeight="1" thickBot="1" x14ac:dyDescent="0.4">
      <c r="A15" s="4300" t="s">
        <v>1287</v>
      </c>
      <c r="B15" s="4301"/>
      <c r="C15" s="4301"/>
      <c r="D15" s="4301"/>
      <c r="E15" s="4301"/>
      <c r="F15" s="4301"/>
      <c r="G15" s="4301"/>
      <c r="H15" s="4301"/>
      <c r="I15" s="4301"/>
      <c r="J15" s="4301"/>
      <c r="K15" s="4301"/>
      <c r="L15" s="4301"/>
      <c r="M15" s="4301"/>
      <c r="N15" s="4302"/>
      <c r="O15" s="460"/>
      <c r="P15" s="762"/>
      <c r="Q15" s="460"/>
    </row>
    <row r="16" spans="1:22" s="63" customFormat="1" ht="17.149999999999999" customHeight="1" x14ac:dyDescent="0.35">
      <c r="A16" s="4241" t="s">
        <v>1288</v>
      </c>
      <c r="B16" s="4242"/>
      <c r="C16" s="4242"/>
      <c r="D16" s="4242"/>
      <c r="E16" s="4242"/>
      <c r="F16" s="4284"/>
      <c r="G16" s="4284"/>
      <c r="H16" s="4314">
        <v>10</v>
      </c>
      <c r="I16" s="4314"/>
      <c r="J16" s="4315" t="s">
        <v>2194</v>
      </c>
      <c r="K16" s="4315"/>
      <c r="L16" s="4315"/>
      <c r="M16" s="4315"/>
      <c r="N16" s="4316"/>
      <c r="O16" s="463"/>
      <c r="P16" s="762"/>
      <c r="Q16" s="463"/>
    </row>
    <row r="17" spans="1:17" s="63" customFormat="1" ht="17.149999999999999" customHeight="1" x14ac:dyDescent="0.35">
      <c r="A17" s="4218" t="s">
        <v>1289</v>
      </c>
      <c r="B17" s="4219"/>
      <c r="C17" s="4219"/>
      <c r="D17" s="4219"/>
      <c r="E17" s="4219"/>
      <c r="F17" s="4284"/>
      <c r="G17" s="4284"/>
      <c r="H17" s="4285">
        <v>10</v>
      </c>
      <c r="I17" s="4285"/>
      <c r="J17" s="4286"/>
      <c r="K17" s="4286"/>
      <c r="L17" s="4286"/>
      <c r="M17" s="4286"/>
      <c r="N17" s="4287"/>
      <c r="O17" s="463"/>
      <c r="P17" s="762"/>
      <c r="Q17" s="463"/>
    </row>
    <row r="18" spans="1:17" s="63" customFormat="1" ht="17.149999999999999" customHeight="1" x14ac:dyDescent="0.35">
      <c r="A18" s="4218" t="s">
        <v>1297</v>
      </c>
      <c r="B18" s="4219"/>
      <c r="C18" s="4219"/>
      <c r="D18" s="4219"/>
      <c r="E18" s="4219"/>
      <c r="F18" s="4284"/>
      <c r="G18" s="4284"/>
      <c r="H18" s="4285">
        <v>10</v>
      </c>
      <c r="I18" s="4285"/>
      <c r="J18" s="4286"/>
      <c r="K18" s="4286"/>
      <c r="L18" s="4286"/>
      <c r="M18" s="4286"/>
      <c r="N18" s="4287"/>
      <c r="O18" s="463"/>
      <c r="P18" s="762"/>
      <c r="Q18" s="463"/>
    </row>
    <row r="19" spans="1:17" s="63" customFormat="1" ht="17.149999999999999" customHeight="1" x14ac:dyDescent="0.35">
      <c r="A19" s="4218" t="s">
        <v>2441</v>
      </c>
      <c r="B19" s="4219"/>
      <c r="C19" s="4219"/>
      <c r="D19" s="4219"/>
      <c r="E19" s="4219"/>
      <c r="F19" s="4284"/>
      <c r="G19" s="4284"/>
      <c r="H19" s="4285">
        <v>10</v>
      </c>
      <c r="I19" s="4285"/>
      <c r="J19" s="4286"/>
      <c r="K19" s="4286"/>
      <c r="L19" s="4286"/>
      <c r="M19" s="4286"/>
      <c r="N19" s="4287"/>
      <c r="O19" s="463"/>
      <c r="P19" s="762"/>
      <c r="Q19" s="463"/>
    </row>
    <row r="20" spans="1:17" s="63" customFormat="1" ht="6.75" customHeight="1" thickBot="1" x14ac:dyDescent="0.4">
      <c r="A20" s="4308"/>
      <c r="B20" s="4309"/>
      <c r="C20" s="4309"/>
      <c r="D20" s="4309"/>
      <c r="E20" s="4309"/>
      <c r="F20" s="4309"/>
      <c r="G20" s="4309"/>
      <c r="H20" s="4309"/>
      <c r="I20" s="4309"/>
      <c r="J20" s="4309"/>
      <c r="K20" s="4309"/>
      <c r="L20" s="4309"/>
      <c r="M20" s="4309"/>
      <c r="N20" s="4310"/>
      <c r="O20" s="463"/>
      <c r="P20" s="762"/>
      <c r="Q20" s="463"/>
    </row>
    <row r="21" spans="1:17" s="1204" customFormat="1" ht="18" customHeight="1" thickBot="1" x14ac:dyDescent="0.4">
      <c r="A21" s="4300" t="s">
        <v>2442</v>
      </c>
      <c r="B21" s="4301"/>
      <c r="C21" s="4301"/>
      <c r="D21" s="4301"/>
      <c r="E21" s="4301"/>
      <c r="F21" s="4301"/>
      <c r="G21" s="4301"/>
      <c r="H21" s="4301"/>
      <c r="I21" s="4301"/>
      <c r="J21" s="4301"/>
      <c r="K21" s="4301"/>
      <c r="L21" s="4301"/>
      <c r="M21" s="4301"/>
      <c r="N21" s="4302"/>
      <c r="O21" s="705"/>
      <c r="P21" s="762"/>
      <c r="Q21" s="705"/>
    </row>
    <row r="22" spans="1:17" s="63" customFormat="1" ht="17.149999999999999" customHeight="1" x14ac:dyDescent="0.35">
      <c r="A22" s="4241" t="s">
        <v>2443</v>
      </c>
      <c r="B22" s="4242"/>
      <c r="C22" s="4242"/>
      <c r="D22" s="4242"/>
      <c r="E22" s="4242"/>
      <c r="F22" s="4284"/>
      <c r="G22" s="4284"/>
      <c r="H22" s="4314">
        <v>10</v>
      </c>
      <c r="I22" s="4314"/>
      <c r="J22" s="4315"/>
      <c r="K22" s="4315"/>
      <c r="L22" s="4315"/>
      <c r="M22" s="4315"/>
      <c r="N22" s="4316"/>
      <c r="O22" s="463"/>
      <c r="P22" s="762"/>
      <c r="Q22" s="463"/>
    </row>
    <row r="23" spans="1:17" s="63" customFormat="1" ht="17.149999999999999" customHeight="1" x14ac:dyDescent="0.35">
      <c r="A23" s="4218" t="s">
        <v>1285</v>
      </c>
      <c r="B23" s="4219"/>
      <c r="C23" s="4219"/>
      <c r="D23" s="4219"/>
      <c r="E23" s="4219"/>
      <c r="F23" s="4284"/>
      <c r="G23" s="4284"/>
      <c r="H23" s="4285">
        <v>10</v>
      </c>
      <c r="I23" s="4285"/>
      <c r="J23" s="4286"/>
      <c r="K23" s="4286"/>
      <c r="L23" s="4286"/>
      <c r="M23" s="4286"/>
      <c r="N23" s="4287"/>
      <c r="O23" s="463"/>
      <c r="P23" s="762"/>
      <c r="Q23" s="463"/>
    </row>
    <row r="24" spans="1:17" s="63" customFormat="1" ht="17.149999999999999" customHeight="1" x14ac:dyDescent="0.35">
      <c r="A24" s="4218" t="s">
        <v>1286</v>
      </c>
      <c r="B24" s="4219"/>
      <c r="C24" s="4219"/>
      <c r="D24" s="4219"/>
      <c r="E24" s="4219"/>
      <c r="F24" s="4284"/>
      <c r="G24" s="4284"/>
      <c r="H24" s="4285">
        <v>10</v>
      </c>
      <c r="I24" s="4285"/>
      <c r="J24" s="4286"/>
      <c r="K24" s="4286"/>
      <c r="L24" s="4286"/>
      <c r="M24" s="4286"/>
      <c r="N24" s="4287"/>
      <c r="O24" s="463"/>
      <c r="P24" s="762"/>
      <c r="Q24" s="463"/>
    </row>
    <row r="25" spans="1:17" s="63" customFormat="1" ht="17.149999999999999" customHeight="1" x14ac:dyDescent="0.35">
      <c r="A25" s="4218" t="s">
        <v>212</v>
      </c>
      <c r="B25" s="4219"/>
      <c r="C25" s="4219"/>
      <c r="D25" s="4219"/>
      <c r="E25" s="4219"/>
      <c r="F25" s="4284"/>
      <c r="G25" s="4284"/>
      <c r="H25" s="4285">
        <v>10</v>
      </c>
      <c r="I25" s="4285"/>
      <c r="J25" s="4286"/>
      <c r="K25" s="4286"/>
      <c r="L25" s="4286"/>
      <c r="M25" s="4286"/>
      <c r="N25" s="4287"/>
      <c r="O25" s="463"/>
      <c r="P25" s="762"/>
      <c r="Q25" s="463"/>
    </row>
    <row r="26" spans="1:17" s="63" customFormat="1" ht="17.149999999999999" customHeight="1" x14ac:dyDescent="0.35">
      <c r="A26" s="4218" t="s">
        <v>213</v>
      </c>
      <c r="B26" s="4219"/>
      <c r="C26" s="4219"/>
      <c r="D26" s="4219"/>
      <c r="E26" s="4219"/>
      <c r="F26" s="4284"/>
      <c r="G26" s="4284"/>
      <c r="H26" s="4285">
        <v>10</v>
      </c>
      <c r="I26" s="4285"/>
      <c r="J26" s="4286"/>
      <c r="K26" s="4286"/>
      <c r="L26" s="4286"/>
      <c r="M26" s="4286"/>
      <c r="N26" s="4287"/>
      <c r="O26" s="463"/>
      <c r="P26" s="762"/>
      <c r="Q26" s="463"/>
    </row>
    <row r="27" spans="1:17" s="63" customFormat="1" ht="17.149999999999999" customHeight="1" x14ac:dyDescent="0.35">
      <c r="A27" s="4218" t="s">
        <v>214</v>
      </c>
      <c r="B27" s="4219"/>
      <c r="C27" s="4219"/>
      <c r="D27" s="4219"/>
      <c r="E27" s="4219"/>
      <c r="F27" s="4284"/>
      <c r="G27" s="4284"/>
      <c r="H27" s="4285">
        <v>10</v>
      </c>
      <c r="I27" s="4285"/>
      <c r="J27" s="4286"/>
      <c r="K27" s="4286"/>
      <c r="L27" s="4286"/>
      <c r="M27" s="4286"/>
      <c r="N27" s="4287"/>
      <c r="O27" s="463"/>
      <c r="P27" s="762"/>
      <c r="Q27" s="463"/>
    </row>
    <row r="28" spans="1:17" s="63" customFormat="1" ht="17.149999999999999" customHeight="1" x14ac:dyDescent="0.35">
      <c r="A28" s="4218" t="s">
        <v>215</v>
      </c>
      <c r="B28" s="4219"/>
      <c r="C28" s="4219"/>
      <c r="D28" s="4219"/>
      <c r="E28" s="4219"/>
      <c r="F28" s="4284"/>
      <c r="G28" s="4284"/>
      <c r="H28" s="4285">
        <v>10</v>
      </c>
      <c r="I28" s="4285"/>
      <c r="J28" s="4286"/>
      <c r="K28" s="4286"/>
      <c r="L28" s="4286"/>
      <c r="M28" s="4286"/>
      <c r="N28" s="4287"/>
      <c r="O28" s="463"/>
      <c r="P28" s="762"/>
      <c r="Q28" s="463"/>
    </row>
    <row r="29" spans="1:17" s="63" customFormat="1" ht="6.75" customHeight="1" thickBot="1" x14ac:dyDescent="0.4">
      <c r="A29" s="4308"/>
      <c r="B29" s="4309"/>
      <c r="C29" s="4309"/>
      <c r="D29" s="4309"/>
      <c r="E29" s="4309"/>
      <c r="F29" s="4309"/>
      <c r="G29" s="4309"/>
      <c r="H29" s="4309"/>
      <c r="I29" s="4309"/>
      <c r="J29" s="4309"/>
      <c r="K29" s="4309"/>
      <c r="L29" s="4309"/>
      <c r="M29" s="4309"/>
      <c r="N29" s="4310"/>
      <c r="O29" s="463"/>
      <c r="P29" s="762"/>
      <c r="Q29" s="463"/>
    </row>
    <row r="30" spans="1:17" s="1204" customFormat="1" ht="18" customHeight="1" thickBot="1" x14ac:dyDescent="0.4">
      <c r="A30" s="4300" t="s">
        <v>2449</v>
      </c>
      <c r="B30" s="4301"/>
      <c r="C30" s="4301"/>
      <c r="D30" s="4301"/>
      <c r="E30" s="4301"/>
      <c r="F30" s="4301"/>
      <c r="G30" s="4301"/>
      <c r="H30" s="4301"/>
      <c r="I30" s="4301"/>
      <c r="J30" s="4301"/>
      <c r="K30" s="4301"/>
      <c r="L30" s="4301"/>
      <c r="M30" s="4301"/>
      <c r="N30" s="4302"/>
      <c r="O30" s="705"/>
      <c r="P30" s="762"/>
      <c r="Q30" s="705"/>
    </row>
    <row r="31" spans="1:17" s="63" customFormat="1" ht="17.149999999999999" customHeight="1" x14ac:dyDescent="0.35">
      <c r="A31" s="4241" t="s">
        <v>2444</v>
      </c>
      <c r="B31" s="4242"/>
      <c r="C31" s="4242"/>
      <c r="D31" s="4242"/>
      <c r="E31" s="4242"/>
      <c r="F31" s="4284"/>
      <c r="G31" s="4284"/>
      <c r="H31" s="4314">
        <v>10</v>
      </c>
      <c r="I31" s="4314"/>
      <c r="J31" s="4315"/>
      <c r="K31" s="4315"/>
      <c r="L31" s="4315"/>
      <c r="M31" s="4315"/>
      <c r="N31" s="4316"/>
      <c r="O31" s="463"/>
      <c r="P31" s="762"/>
      <c r="Q31" s="463"/>
    </row>
    <row r="32" spans="1:17" s="63" customFormat="1" ht="17.149999999999999" customHeight="1" x14ac:dyDescent="0.35">
      <c r="A32" s="4218" t="s">
        <v>2445</v>
      </c>
      <c r="B32" s="4228"/>
      <c r="C32" s="4228"/>
      <c r="D32" s="4228"/>
      <c r="E32" s="4228"/>
      <c r="F32" s="4284"/>
      <c r="G32" s="4284"/>
      <c r="H32" s="4285">
        <v>10</v>
      </c>
      <c r="I32" s="4285"/>
      <c r="J32" s="4286"/>
      <c r="K32" s="4286"/>
      <c r="L32" s="4286"/>
      <c r="M32" s="4286"/>
      <c r="N32" s="4287"/>
      <c r="O32" s="463"/>
      <c r="P32" s="762"/>
      <c r="Q32" s="463"/>
    </row>
    <row r="33" spans="1:17" s="63" customFormat="1" ht="17.149999999999999" customHeight="1" x14ac:dyDescent="0.35">
      <c r="A33" s="4218" t="s">
        <v>2446</v>
      </c>
      <c r="B33" s="4228"/>
      <c r="C33" s="4228"/>
      <c r="D33" s="4228"/>
      <c r="E33" s="4228"/>
      <c r="F33" s="4284"/>
      <c r="G33" s="4284"/>
      <c r="H33" s="4285">
        <v>10</v>
      </c>
      <c r="I33" s="4285"/>
      <c r="J33" s="4286"/>
      <c r="K33" s="4286"/>
      <c r="L33" s="4286"/>
      <c r="M33" s="4286"/>
      <c r="N33" s="4287"/>
      <c r="O33" s="463"/>
      <c r="P33" s="762"/>
      <c r="Q33" s="463"/>
    </row>
    <row r="34" spans="1:17" s="63" customFormat="1" ht="17.149999999999999" customHeight="1" x14ac:dyDescent="0.35">
      <c r="A34" s="4218" t="s">
        <v>2447</v>
      </c>
      <c r="B34" s="4228"/>
      <c r="C34" s="4228"/>
      <c r="D34" s="4228"/>
      <c r="E34" s="4228"/>
      <c r="F34" s="4284"/>
      <c r="G34" s="4284"/>
      <c r="H34" s="4285">
        <v>10</v>
      </c>
      <c r="I34" s="4285"/>
      <c r="J34" s="4286"/>
      <c r="K34" s="4286"/>
      <c r="L34" s="4286"/>
      <c r="M34" s="4286"/>
      <c r="N34" s="4287"/>
      <c r="O34" s="463"/>
      <c r="P34" s="762"/>
      <c r="Q34" s="463"/>
    </row>
    <row r="35" spans="1:17" s="63" customFormat="1" ht="17.149999999999999" customHeight="1" x14ac:dyDescent="0.35">
      <c r="A35" s="4218" t="s">
        <v>1290</v>
      </c>
      <c r="B35" s="4228"/>
      <c r="C35" s="4228"/>
      <c r="D35" s="4228"/>
      <c r="E35" s="4228"/>
      <c r="F35" s="4284"/>
      <c r="G35" s="4284"/>
      <c r="H35" s="4285">
        <v>10</v>
      </c>
      <c r="I35" s="4285"/>
      <c r="J35" s="4286"/>
      <c r="K35" s="4286"/>
      <c r="L35" s="4286"/>
      <c r="M35" s="4286"/>
      <c r="N35" s="4287"/>
      <c r="O35" s="463"/>
      <c r="P35" s="762"/>
      <c r="Q35" s="463"/>
    </row>
    <row r="36" spans="1:17" s="63" customFormat="1" ht="6.75" customHeight="1" thickBot="1" x14ac:dyDescent="0.4">
      <c r="A36" s="4305"/>
      <c r="B36" s="4306"/>
      <c r="C36" s="4306"/>
      <c r="D36" s="4306"/>
      <c r="E36" s="4306"/>
      <c r="F36" s="4306"/>
      <c r="G36" s="4306"/>
      <c r="H36" s="4306"/>
      <c r="I36" s="4306"/>
      <c r="J36" s="4306"/>
      <c r="K36" s="4306"/>
      <c r="L36" s="4306"/>
      <c r="M36" s="4306"/>
      <c r="N36" s="4307"/>
      <c r="O36" s="463"/>
      <c r="P36" s="762"/>
      <c r="Q36" s="463"/>
    </row>
    <row r="37" spans="1:17" s="1204" customFormat="1" ht="18" customHeight="1" thickBot="1" x14ac:dyDescent="0.4">
      <c r="A37" s="4300" t="s">
        <v>2195</v>
      </c>
      <c r="B37" s="4301"/>
      <c r="C37" s="4301"/>
      <c r="D37" s="4301"/>
      <c r="E37" s="4301"/>
      <c r="F37" s="4301"/>
      <c r="G37" s="4301"/>
      <c r="H37" s="4301"/>
      <c r="I37" s="4301"/>
      <c r="J37" s="4301"/>
      <c r="K37" s="4301"/>
      <c r="L37" s="4301"/>
      <c r="M37" s="4301"/>
      <c r="N37" s="4302"/>
      <c r="O37" s="705"/>
      <c r="P37" s="762"/>
      <c r="Q37" s="705"/>
    </row>
    <row r="38" spans="1:17" s="63" customFormat="1" ht="17.149999999999999" customHeight="1" x14ac:dyDescent="0.35">
      <c r="A38" s="4241" t="s">
        <v>2450</v>
      </c>
      <c r="B38" s="4242"/>
      <c r="C38" s="4242"/>
      <c r="D38" s="4242"/>
      <c r="E38" s="4242"/>
      <c r="F38" s="4284"/>
      <c r="G38" s="4284"/>
      <c r="H38" s="4314">
        <v>10</v>
      </c>
      <c r="I38" s="4314"/>
      <c r="J38" s="4315"/>
      <c r="K38" s="4315"/>
      <c r="L38" s="4315"/>
      <c r="M38" s="4315"/>
      <c r="N38" s="4316"/>
      <c r="O38" s="463"/>
      <c r="P38" s="762"/>
      <c r="Q38" s="463"/>
    </row>
    <row r="39" spans="1:17" s="63" customFormat="1" ht="17.149999999999999" customHeight="1" x14ac:dyDescent="0.35">
      <c r="A39" s="4218" t="s">
        <v>1291</v>
      </c>
      <c r="B39" s="4219"/>
      <c r="C39" s="4219"/>
      <c r="D39" s="4219"/>
      <c r="E39" s="4219"/>
      <c r="F39" s="4284"/>
      <c r="G39" s="4284"/>
      <c r="H39" s="4285">
        <v>10</v>
      </c>
      <c r="I39" s="4285"/>
      <c r="J39" s="4286"/>
      <c r="K39" s="4286"/>
      <c r="L39" s="4286"/>
      <c r="M39" s="4286"/>
      <c r="N39" s="4287"/>
      <c r="O39" s="463"/>
      <c r="P39" s="762"/>
      <c r="Q39" s="463"/>
    </row>
    <row r="40" spans="1:17" s="63" customFormat="1" ht="17.149999999999999" customHeight="1" x14ac:dyDescent="0.35">
      <c r="A40" s="4218" t="s">
        <v>216</v>
      </c>
      <c r="B40" s="4219"/>
      <c r="C40" s="4219"/>
      <c r="D40" s="4219"/>
      <c r="E40" s="4219"/>
      <c r="F40" s="4284"/>
      <c r="G40" s="4284"/>
      <c r="H40" s="4285">
        <v>10</v>
      </c>
      <c r="I40" s="4285"/>
      <c r="J40" s="4286"/>
      <c r="K40" s="4286"/>
      <c r="L40" s="4286"/>
      <c r="M40" s="4286"/>
      <c r="N40" s="4287"/>
      <c r="O40" s="463"/>
      <c r="P40" s="762"/>
      <c r="Q40" s="463"/>
    </row>
    <row r="41" spans="1:17" s="63" customFormat="1" ht="17.149999999999999" customHeight="1" x14ac:dyDescent="0.35">
      <c r="A41" s="4218" t="s">
        <v>217</v>
      </c>
      <c r="B41" s="4219"/>
      <c r="C41" s="4219"/>
      <c r="D41" s="4219"/>
      <c r="E41" s="4219"/>
      <c r="F41" s="4284"/>
      <c r="G41" s="4284"/>
      <c r="H41" s="4285">
        <v>10</v>
      </c>
      <c r="I41" s="4285"/>
      <c r="J41" s="4286"/>
      <c r="K41" s="4286"/>
      <c r="L41" s="4286"/>
      <c r="M41" s="4286"/>
      <c r="N41" s="4287"/>
      <c r="O41" s="463"/>
      <c r="P41" s="762"/>
      <c r="Q41" s="463"/>
    </row>
    <row r="42" spans="1:17" s="63" customFormat="1" ht="17.149999999999999" customHeight="1" x14ac:dyDescent="0.35">
      <c r="A42" s="4218" t="s">
        <v>218</v>
      </c>
      <c r="B42" s="4219"/>
      <c r="C42" s="4219"/>
      <c r="D42" s="4219"/>
      <c r="E42" s="4219"/>
      <c r="F42" s="4284"/>
      <c r="G42" s="4284"/>
      <c r="H42" s="4285">
        <v>10</v>
      </c>
      <c r="I42" s="4285"/>
      <c r="J42" s="4286"/>
      <c r="K42" s="4286"/>
      <c r="L42" s="4286"/>
      <c r="M42" s="4286"/>
      <c r="N42" s="4287"/>
      <c r="O42" s="463"/>
      <c r="P42" s="762"/>
      <c r="Q42" s="463"/>
    </row>
    <row r="43" spans="1:17" s="63" customFormat="1" ht="17.149999999999999" customHeight="1" x14ac:dyDescent="0.35">
      <c r="A43" s="4218" t="s">
        <v>2869</v>
      </c>
      <c r="B43" s="4219"/>
      <c r="C43" s="4219"/>
      <c r="D43" s="4219"/>
      <c r="E43" s="4219"/>
      <c r="F43" s="4284"/>
      <c r="G43" s="4284"/>
      <c r="H43" s="4285">
        <v>10</v>
      </c>
      <c r="I43" s="4285"/>
      <c r="J43" s="4286"/>
      <c r="K43" s="4286"/>
      <c r="L43" s="4286"/>
      <c r="M43" s="4286"/>
      <c r="N43" s="4287"/>
      <c r="O43" s="463"/>
      <c r="P43" s="762"/>
      <c r="Q43" s="463"/>
    </row>
    <row r="44" spans="1:17" s="63" customFormat="1" ht="17.149999999999999" customHeight="1" x14ac:dyDescent="0.35">
      <c r="A44" s="4218" t="s">
        <v>1292</v>
      </c>
      <c r="B44" s="4219"/>
      <c r="C44" s="4219"/>
      <c r="D44" s="4219"/>
      <c r="E44" s="4219"/>
      <c r="F44" s="4284"/>
      <c r="G44" s="4284"/>
      <c r="H44" s="4285">
        <v>10</v>
      </c>
      <c r="I44" s="4285"/>
      <c r="J44" s="4286"/>
      <c r="K44" s="4286"/>
      <c r="L44" s="4286"/>
      <c r="M44" s="4286"/>
      <c r="N44" s="4287"/>
      <c r="O44" s="463"/>
      <c r="P44" s="762"/>
      <c r="Q44" s="463"/>
    </row>
    <row r="45" spans="1:17" s="63" customFormat="1" ht="6.75" customHeight="1" thickBot="1" x14ac:dyDescent="0.4">
      <c r="A45" s="4311"/>
      <c r="B45" s="4312"/>
      <c r="C45" s="4312"/>
      <c r="D45" s="4312"/>
      <c r="E45" s="4312"/>
      <c r="F45" s="4312"/>
      <c r="G45" s="4312"/>
      <c r="H45" s="4312"/>
      <c r="I45" s="4312"/>
      <c r="J45" s="4312"/>
      <c r="K45" s="4312"/>
      <c r="L45" s="4312"/>
      <c r="M45" s="4312"/>
      <c r="N45" s="4313"/>
      <c r="O45" s="463"/>
      <c r="P45" s="762"/>
      <c r="Q45" s="463"/>
    </row>
    <row r="46" spans="1:17" s="1204" customFormat="1" ht="18" customHeight="1" thickBot="1" x14ac:dyDescent="0.4">
      <c r="A46" s="4300" t="s">
        <v>1293</v>
      </c>
      <c r="B46" s="4301"/>
      <c r="C46" s="4301"/>
      <c r="D46" s="4301"/>
      <c r="E46" s="4301"/>
      <c r="F46" s="4301"/>
      <c r="G46" s="4301"/>
      <c r="H46" s="4301"/>
      <c r="I46" s="4301"/>
      <c r="J46" s="4301"/>
      <c r="K46" s="4301"/>
      <c r="L46" s="4301"/>
      <c r="M46" s="4301"/>
      <c r="N46" s="4302"/>
      <c r="O46" s="705"/>
      <c r="P46" s="762"/>
      <c r="Q46" s="705"/>
    </row>
    <row r="47" spans="1:17" s="63" customFormat="1" ht="17.149999999999999" customHeight="1" x14ac:dyDescent="0.35">
      <c r="A47" s="4241" t="s">
        <v>1294</v>
      </c>
      <c r="B47" s="4242"/>
      <c r="C47" s="4242"/>
      <c r="D47" s="4242"/>
      <c r="E47" s="4242"/>
      <c r="F47" s="4284"/>
      <c r="G47" s="4284"/>
      <c r="H47" s="4314">
        <v>10</v>
      </c>
      <c r="I47" s="4314"/>
      <c r="J47" s="4315"/>
      <c r="K47" s="4315"/>
      <c r="L47" s="4315"/>
      <c r="M47" s="4315"/>
      <c r="N47" s="4316"/>
      <c r="O47" s="463"/>
      <c r="P47" s="762"/>
      <c r="Q47" s="463"/>
    </row>
    <row r="48" spans="1:17" s="63" customFormat="1" ht="17.149999999999999" customHeight="1" x14ac:dyDescent="0.35">
      <c r="A48" s="4218" t="s">
        <v>2451</v>
      </c>
      <c r="B48" s="4219"/>
      <c r="C48" s="4219"/>
      <c r="D48" s="4219"/>
      <c r="E48" s="4219"/>
      <c r="F48" s="4284"/>
      <c r="G48" s="4284"/>
      <c r="H48" s="4285">
        <v>10</v>
      </c>
      <c r="I48" s="4285"/>
      <c r="J48" s="4286"/>
      <c r="K48" s="4286"/>
      <c r="L48" s="4286"/>
      <c r="M48" s="4286"/>
      <c r="N48" s="4287"/>
      <c r="O48" s="463"/>
      <c r="P48" s="762"/>
      <c r="Q48" s="463"/>
    </row>
    <row r="49" spans="1:17" s="63" customFormat="1" ht="17.149999999999999" customHeight="1" x14ac:dyDescent="0.35">
      <c r="A49" s="4218" t="s">
        <v>2196</v>
      </c>
      <c r="B49" s="4219"/>
      <c r="C49" s="4219"/>
      <c r="D49" s="4219"/>
      <c r="E49" s="4219"/>
      <c r="F49" s="4284"/>
      <c r="G49" s="4284"/>
      <c r="H49" s="4285">
        <v>10</v>
      </c>
      <c r="I49" s="4285"/>
      <c r="J49" s="4286"/>
      <c r="K49" s="4286"/>
      <c r="L49" s="4286"/>
      <c r="M49" s="4286"/>
      <c r="N49" s="4287"/>
      <c r="O49" s="463"/>
      <c r="P49" s="762"/>
      <c r="Q49" s="463"/>
    </row>
    <row r="50" spans="1:17" s="63" customFormat="1" ht="17.149999999999999" customHeight="1" x14ac:dyDescent="0.35">
      <c r="A50" s="4218" t="s">
        <v>2452</v>
      </c>
      <c r="B50" s="4219"/>
      <c r="C50" s="4219"/>
      <c r="D50" s="4219"/>
      <c r="E50" s="4219"/>
      <c r="F50" s="4284"/>
      <c r="G50" s="4284"/>
      <c r="H50" s="4285">
        <v>10</v>
      </c>
      <c r="I50" s="4285"/>
      <c r="J50" s="4286"/>
      <c r="K50" s="4286"/>
      <c r="L50" s="4286"/>
      <c r="M50" s="4286"/>
      <c r="N50" s="4287"/>
      <c r="O50" s="463"/>
      <c r="P50" s="762"/>
      <c r="Q50" s="463"/>
    </row>
    <row r="51" spans="1:17" s="63" customFormat="1" ht="17.149999999999999" customHeight="1" x14ac:dyDescent="0.35">
      <c r="A51" s="4218" t="s">
        <v>2870</v>
      </c>
      <c r="B51" s="4219"/>
      <c r="C51" s="4219"/>
      <c r="D51" s="4219"/>
      <c r="E51" s="4219"/>
      <c r="F51" s="4284"/>
      <c r="G51" s="4284"/>
      <c r="H51" s="4285">
        <v>10</v>
      </c>
      <c r="I51" s="4285"/>
      <c r="J51" s="4286"/>
      <c r="K51" s="4286"/>
      <c r="L51" s="4286"/>
      <c r="M51" s="4286"/>
      <c r="N51" s="4287"/>
      <c r="O51" s="463"/>
      <c r="P51" s="762"/>
      <c r="Q51" s="463"/>
    </row>
    <row r="52" spans="1:17" s="63" customFormat="1" ht="17.149999999999999" customHeight="1" x14ac:dyDescent="0.35">
      <c r="A52" s="4218" t="s">
        <v>1295</v>
      </c>
      <c r="B52" s="4219"/>
      <c r="C52" s="4219"/>
      <c r="D52" s="4219"/>
      <c r="E52" s="4219"/>
      <c r="F52" s="4284"/>
      <c r="G52" s="4284"/>
      <c r="H52" s="4285">
        <v>10</v>
      </c>
      <c r="I52" s="4285"/>
      <c r="J52" s="4286"/>
      <c r="K52" s="4286"/>
      <c r="L52" s="4286"/>
      <c r="M52" s="4286"/>
      <c r="N52" s="4287"/>
      <c r="O52" s="463"/>
      <c r="P52" s="762"/>
      <c r="Q52" s="463"/>
    </row>
    <row r="53" spans="1:17" s="63" customFormat="1" ht="6.75" customHeight="1" thickBot="1" x14ac:dyDescent="0.4">
      <c r="A53" s="4311"/>
      <c r="B53" s="4312"/>
      <c r="C53" s="4312"/>
      <c r="D53" s="4312"/>
      <c r="E53" s="4312"/>
      <c r="F53" s="4312"/>
      <c r="G53" s="4312"/>
      <c r="H53" s="4312"/>
      <c r="I53" s="4312"/>
      <c r="J53" s="4312"/>
      <c r="K53" s="4312"/>
      <c r="L53" s="4312"/>
      <c r="M53" s="4312"/>
      <c r="N53" s="4313"/>
      <c r="O53" s="463"/>
      <c r="P53" s="762"/>
      <c r="Q53" s="463"/>
    </row>
    <row r="54" spans="1:17" s="1204" customFormat="1" ht="18" customHeight="1" thickBot="1" x14ac:dyDescent="0.4">
      <c r="A54" s="4300" t="s">
        <v>1296</v>
      </c>
      <c r="B54" s="4301"/>
      <c r="C54" s="4301"/>
      <c r="D54" s="4301"/>
      <c r="E54" s="4301"/>
      <c r="F54" s="4301"/>
      <c r="G54" s="4301"/>
      <c r="H54" s="4301"/>
      <c r="I54" s="4301"/>
      <c r="J54" s="4301"/>
      <c r="K54" s="4301"/>
      <c r="L54" s="4301"/>
      <c r="M54" s="4301"/>
      <c r="N54" s="4302"/>
      <c r="O54" s="705"/>
      <c r="P54" s="762"/>
      <c r="Q54" s="705"/>
    </row>
    <row r="55" spans="1:17" s="63" customFormat="1" ht="17.149999999999999" customHeight="1" x14ac:dyDescent="0.35">
      <c r="A55" s="4241" t="s">
        <v>220</v>
      </c>
      <c r="B55" s="4242"/>
      <c r="C55" s="4242"/>
      <c r="D55" s="4242"/>
      <c r="E55" s="4242"/>
      <c r="F55" s="4284"/>
      <c r="G55" s="4284"/>
      <c r="H55" s="4314">
        <v>10</v>
      </c>
      <c r="I55" s="4314"/>
      <c r="J55" s="4315"/>
      <c r="K55" s="4315"/>
      <c r="L55" s="4315"/>
      <c r="M55" s="4315"/>
      <c r="N55" s="4316"/>
      <c r="O55" s="463"/>
      <c r="P55" s="762"/>
      <c r="Q55" s="463"/>
    </row>
    <row r="56" spans="1:17" s="63" customFormat="1" ht="17.149999999999999" customHeight="1" x14ac:dyDescent="0.35">
      <c r="A56" s="4218" t="s">
        <v>221</v>
      </c>
      <c r="B56" s="4219"/>
      <c r="C56" s="4219"/>
      <c r="D56" s="4219"/>
      <c r="E56" s="4219"/>
      <c r="F56" s="4284"/>
      <c r="G56" s="4284"/>
      <c r="H56" s="4285">
        <v>10</v>
      </c>
      <c r="I56" s="4285"/>
      <c r="J56" s="4286"/>
      <c r="K56" s="4286"/>
      <c r="L56" s="4286"/>
      <c r="M56" s="4286"/>
      <c r="N56" s="4287"/>
      <c r="O56" s="463"/>
      <c r="P56" s="762"/>
      <c r="Q56" s="463"/>
    </row>
    <row r="57" spans="1:17" s="63" customFormat="1" ht="17.149999999999999" customHeight="1" x14ac:dyDescent="0.35">
      <c r="A57" s="4218" t="s">
        <v>2453</v>
      </c>
      <c r="B57" s="4219"/>
      <c r="C57" s="4219"/>
      <c r="D57" s="4219"/>
      <c r="E57" s="4219"/>
      <c r="F57" s="4284"/>
      <c r="G57" s="4284"/>
      <c r="H57" s="4285">
        <v>10</v>
      </c>
      <c r="I57" s="4285"/>
      <c r="J57" s="4286"/>
      <c r="K57" s="4286"/>
      <c r="L57" s="4286"/>
      <c r="M57" s="4286"/>
      <c r="N57" s="4287"/>
      <c r="O57" s="463"/>
      <c r="P57" s="762"/>
      <c r="Q57" s="463"/>
    </row>
    <row r="58" spans="1:17" s="63" customFormat="1" ht="17.149999999999999" customHeight="1" x14ac:dyDescent="0.35">
      <c r="A58" s="4218" t="s">
        <v>2454</v>
      </c>
      <c r="B58" s="4219"/>
      <c r="C58" s="4219"/>
      <c r="D58" s="4219"/>
      <c r="E58" s="4219"/>
      <c r="F58" s="4284"/>
      <c r="G58" s="4284"/>
      <c r="H58" s="4285">
        <v>10</v>
      </c>
      <c r="I58" s="4285"/>
      <c r="J58" s="4286"/>
      <c r="K58" s="4286"/>
      <c r="L58" s="4286"/>
      <c r="M58" s="4286"/>
      <c r="N58" s="4287"/>
      <c r="O58" s="463"/>
      <c r="P58" s="762"/>
      <c r="Q58" s="463"/>
    </row>
    <row r="59" spans="1:17" s="63" customFormat="1" ht="17.149999999999999" customHeight="1" x14ac:dyDescent="0.35">
      <c r="A59" s="4218" t="s">
        <v>2197</v>
      </c>
      <c r="B59" s="4219"/>
      <c r="C59" s="4219"/>
      <c r="D59" s="4219"/>
      <c r="E59" s="4219"/>
      <c r="F59" s="4284"/>
      <c r="G59" s="4284"/>
      <c r="H59" s="4285">
        <v>10</v>
      </c>
      <c r="I59" s="4285"/>
      <c r="J59" s="4286"/>
      <c r="K59" s="4286"/>
      <c r="L59" s="4286"/>
      <c r="M59" s="4286"/>
      <c r="N59" s="4287"/>
      <c r="O59" s="463"/>
      <c r="P59" s="762"/>
      <c r="Q59" s="463"/>
    </row>
    <row r="60" spans="1:17" s="63" customFormat="1" ht="6.75" customHeight="1" thickBot="1" x14ac:dyDescent="0.4">
      <c r="A60" s="4341"/>
      <c r="B60" s="4342"/>
      <c r="C60" s="4342"/>
      <c r="D60" s="4342"/>
      <c r="E60" s="4342"/>
      <c r="F60" s="4342"/>
      <c r="G60" s="4342"/>
      <c r="H60" s="4342"/>
      <c r="I60" s="4342"/>
      <c r="J60" s="4342"/>
      <c r="K60" s="4342"/>
      <c r="L60" s="4342"/>
      <c r="M60" s="4342"/>
      <c r="N60" s="4343"/>
      <c r="O60" s="463"/>
      <c r="P60" s="762"/>
      <c r="Q60" s="463"/>
    </row>
    <row r="61" spans="1:17" s="63" customFormat="1" ht="13.5" customHeight="1" thickTop="1" x14ac:dyDescent="0.35">
      <c r="A61" s="1234"/>
      <c r="B61" s="1235"/>
      <c r="C61" s="463"/>
      <c r="D61" s="4350" t="s">
        <v>222</v>
      </c>
      <c r="E61" s="4351"/>
      <c r="F61" s="4339">
        <f>SUM(F8:F60)</f>
        <v>0</v>
      </c>
      <c r="G61" s="4339"/>
      <c r="H61" s="4335">
        <f>SUM(H8:H60)</f>
        <v>400</v>
      </c>
      <c r="I61" s="4336"/>
      <c r="J61" s="1236"/>
      <c r="K61" s="1236"/>
      <c r="L61" s="1236"/>
      <c r="M61" s="1236"/>
      <c r="N61" s="1236"/>
      <c r="O61" s="463"/>
      <c r="P61" s="762"/>
      <c r="Q61" s="463"/>
    </row>
    <row r="62" spans="1:17" s="63" customFormat="1" ht="13.5" customHeight="1" thickBot="1" x14ac:dyDescent="0.4">
      <c r="A62" s="1234"/>
      <c r="B62" s="1235"/>
      <c r="C62" s="463"/>
      <c r="D62" s="4352" t="s">
        <v>223</v>
      </c>
      <c r="E62" s="4353"/>
      <c r="F62" s="4340">
        <f>F61/H61</f>
        <v>0</v>
      </c>
      <c r="G62" s="4340"/>
      <c r="H62" s="4337"/>
      <c r="I62" s="4338"/>
      <c r="J62" s="1236"/>
      <c r="K62" s="1236"/>
      <c r="L62" s="1236"/>
      <c r="M62" s="1236"/>
      <c r="N62" s="1236"/>
      <c r="O62" s="463"/>
      <c r="P62" s="762"/>
      <c r="Q62" s="463"/>
    </row>
    <row r="63" spans="1:17" s="63" customFormat="1" ht="13.5" customHeight="1" thickTop="1" x14ac:dyDescent="0.35">
      <c r="A63" s="1233"/>
      <c r="B63" s="759"/>
      <c r="C63" s="762"/>
      <c r="D63" s="762"/>
      <c r="E63" s="762"/>
      <c r="F63" s="1200"/>
      <c r="G63" s="1200"/>
      <c r="H63" s="1200"/>
      <c r="I63" s="1200"/>
      <c r="J63" s="762"/>
      <c r="K63" s="762"/>
      <c r="L63" s="762"/>
      <c r="M63" s="762"/>
      <c r="N63" s="463"/>
      <c r="O63" s="463"/>
      <c r="P63" s="762"/>
      <c r="Q63" s="463"/>
    </row>
    <row r="64" spans="1:17" s="63" customFormat="1" ht="16" thickBot="1" x14ac:dyDescent="0.4">
      <c r="A64" s="1237"/>
      <c r="B64" s="463"/>
      <c r="C64" s="463"/>
      <c r="D64" s="463"/>
      <c r="E64" s="463"/>
      <c r="F64" s="1202"/>
      <c r="G64" s="1202"/>
      <c r="H64" s="1202"/>
      <c r="I64" s="1202"/>
      <c r="J64" s="463"/>
      <c r="K64" s="463"/>
      <c r="L64" s="463"/>
      <c r="M64" s="463"/>
      <c r="N64" s="463"/>
      <c r="O64" s="463"/>
      <c r="P64" s="463"/>
      <c r="Q64" s="463"/>
    </row>
    <row r="65" spans="1:17" s="63" customFormat="1" ht="15.5" thickTop="1" thickBot="1" x14ac:dyDescent="0.4">
      <c r="A65" s="4326" t="s">
        <v>10</v>
      </c>
      <c r="B65" s="4354"/>
      <c r="C65" s="4354"/>
      <c r="D65" s="4354"/>
      <c r="E65" s="4354"/>
      <c r="F65" s="4354"/>
      <c r="G65" s="4354"/>
      <c r="H65" s="4354"/>
      <c r="I65" s="4354"/>
      <c r="J65" s="4354"/>
      <c r="K65" s="4355"/>
      <c r="L65" s="31"/>
      <c r="M65" s="31"/>
      <c r="N65" s="4288" t="s">
        <v>748</v>
      </c>
      <c r="O65" s="4289"/>
      <c r="P65" s="4290"/>
      <c r="Q65" s="463"/>
    </row>
    <row r="66" spans="1:17" s="63" customFormat="1" ht="20.25" customHeight="1" x14ac:dyDescent="0.35">
      <c r="A66" s="4329" t="s">
        <v>2244</v>
      </c>
      <c r="B66" s="4330"/>
      <c r="C66" s="4330"/>
      <c r="D66" s="4330"/>
      <c r="E66" s="4330"/>
      <c r="F66" s="4330"/>
      <c r="G66" s="4330"/>
      <c r="H66" s="4330"/>
      <c r="I66" s="4330"/>
      <c r="J66" s="4330"/>
      <c r="K66" s="4331"/>
      <c r="L66" s="33"/>
      <c r="M66" s="33"/>
      <c r="N66" s="4291" t="s">
        <v>1283</v>
      </c>
      <c r="O66" s="4292"/>
      <c r="P66" s="4293"/>
      <c r="Q66" s="463"/>
    </row>
    <row r="67" spans="1:17" s="63" customFormat="1" ht="21" customHeight="1" x14ac:dyDescent="0.35">
      <c r="A67" s="4329"/>
      <c r="B67" s="4330"/>
      <c r="C67" s="4330"/>
      <c r="D67" s="4330"/>
      <c r="E67" s="4330"/>
      <c r="F67" s="4330"/>
      <c r="G67" s="4330"/>
      <c r="H67" s="4330"/>
      <c r="I67" s="4330"/>
      <c r="J67" s="4330"/>
      <c r="K67" s="4331"/>
      <c r="L67" s="33"/>
      <c r="M67" s="33"/>
      <c r="N67" s="4294"/>
      <c r="O67" s="4295"/>
      <c r="P67" s="4296"/>
      <c r="Q67" s="463"/>
    </row>
    <row r="68" spans="1:17" s="63" customFormat="1" ht="20.25" customHeight="1" x14ac:dyDescent="0.35">
      <c r="A68" s="4329"/>
      <c r="B68" s="4330"/>
      <c r="C68" s="4330"/>
      <c r="D68" s="4330"/>
      <c r="E68" s="4330"/>
      <c r="F68" s="4330"/>
      <c r="G68" s="4330"/>
      <c r="H68" s="4330"/>
      <c r="I68" s="4330"/>
      <c r="J68" s="4330"/>
      <c r="K68" s="4331"/>
      <c r="L68" s="33"/>
      <c r="M68" s="33"/>
      <c r="N68" s="4294"/>
      <c r="O68" s="4295"/>
      <c r="P68" s="4296"/>
      <c r="Q68" s="463"/>
    </row>
    <row r="69" spans="1:17" s="63" customFormat="1" ht="20.25" customHeight="1" thickBot="1" x14ac:dyDescent="0.4">
      <c r="A69" s="4332"/>
      <c r="B69" s="4333"/>
      <c r="C69" s="4333"/>
      <c r="D69" s="4333"/>
      <c r="E69" s="4333"/>
      <c r="F69" s="4333"/>
      <c r="G69" s="4333"/>
      <c r="H69" s="4333"/>
      <c r="I69" s="4333"/>
      <c r="J69" s="4333"/>
      <c r="K69" s="4334"/>
      <c r="L69" s="33"/>
      <c r="M69" s="33"/>
      <c r="N69" s="4297"/>
      <c r="O69" s="4298"/>
      <c r="P69" s="4299"/>
      <c r="Q69" s="463"/>
    </row>
    <row r="70" spans="1:17" s="63" customFormat="1" ht="15.5" thickTop="1" thickBot="1" x14ac:dyDescent="0.4">
      <c r="A70" s="463"/>
      <c r="B70" s="463"/>
      <c r="C70" s="463"/>
      <c r="D70" s="463"/>
      <c r="E70" s="463"/>
      <c r="F70" s="1202"/>
      <c r="G70" s="1202"/>
      <c r="H70" s="1202"/>
      <c r="I70" s="1202"/>
      <c r="J70" s="463"/>
      <c r="K70" s="463"/>
      <c r="L70" s="463"/>
      <c r="M70" s="463"/>
      <c r="N70" s="463"/>
      <c r="O70" s="463"/>
      <c r="P70" s="463"/>
      <c r="Q70" s="463"/>
    </row>
    <row r="71" spans="1:17" s="63" customFormat="1" ht="15.5" thickTop="1" thickBot="1" x14ac:dyDescent="0.4">
      <c r="A71" s="4326" t="s">
        <v>11</v>
      </c>
      <c r="B71" s="4327"/>
      <c r="C71" s="4327"/>
      <c r="D71" s="4327"/>
      <c r="E71" s="4327"/>
      <c r="F71" s="4327"/>
      <c r="G71" s="4327"/>
      <c r="H71" s="4327"/>
      <c r="I71" s="4327"/>
      <c r="J71" s="4327"/>
      <c r="K71" s="4328"/>
      <c r="L71" s="31"/>
      <c r="M71" s="31"/>
      <c r="N71" s="4288" t="s">
        <v>748</v>
      </c>
      <c r="O71" s="4289"/>
      <c r="P71" s="4290"/>
      <c r="Q71" s="463"/>
    </row>
    <row r="72" spans="1:17" s="63" customFormat="1" ht="20.25" customHeight="1" x14ac:dyDescent="0.35">
      <c r="A72" s="4329" t="s">
        <v>2245</v>
      </c>
      <c r="B72" s="4344"/>
      <c r="C72" s="4344"/>
      <c r="D72" s="4344"/>
      <c r="E72" s="4344"/>
      <c r="F72" s="4344"/>
      <c r="G72" s="4344"/>
      <c r="H72" s="4344"/>
      <c r="I72" s="4344"/>
      <c r="J72" s="4344"/>
      <c r="K72" s="4345"/>
      <c r="L72" s="33"/>
      <c r="M72" s="33"/>
      <c r="N72" s="4291" t="s">
        <v>1284</v>
      </c>
      <c r="O72" s="4292"/>
      <c r="P72" s="4293"/>
      <c r="Q72" s="463"/>
    </row>
    <row r="73" spans="1:17" s="63" customFormat="1" ht="20.25" customHeight="1" x14ac:dyDescent="0.35">
      <c r="A73" s="4346"/>
      <c r="B73" s="4344"/>
      <c r="C73" s="4344"/>
      <c r="D73" s="4344"/>
      <c r="E73" s="4344"/>
      <c r="F73" s="4344"/>
      <c r="G73" s="4344"/>
      <c r="H73" s="4344"/>
      <c r="I73" s="4344"/>
      <c r="J73" s="4344"/>
      <c r="K73" s="4345"/>
      <c r="L73" s="33"/>
      <c r="M73" s="33"/>
      <c r="N73" s="4294"/>
      <c r="O73" s="4295"/>
      <c r="P73" s="4296"/>
      <c r="Q73" s="463"/>
    </row>
    <row r="74" spans="1:17" s="63" customFormat="1" ht="20.25" customHeight="1" x14ac:dyDescent="0.35">
      <c r="A74" s="4346"/>
      <c r="B74" s="4344"/>
      <c r="C74" s="4344"/>
      <c r="D74" s="4344"/>
      <c r="E74" s="4344"/>
      <c r="F74" s="4344"/>
      <c r="G74" s="4344"/>
      <c r="H74" s="4344"/>
      <c r="I74" s="4344"/>
      <c r="J74" s="4344"/>
      <c r="K74" s="4345"/>
      <c r="L74" s="33"/>
      <c r="M74" s="33"/>
      <c r="N74" s="4294"/>
      <c r="O74" s="4295"/>
      <c r="P74" s="4296"/>
      <c r="Q74" s="463"/>
    </row>
    <row r="75" spans="1:17" s="63" customFormat="1" ht="20.25" customHeight="1" thickBot="1" x14ac:dyDescent="0.4">
      <c r="A75" s="4347"/>
      <c r="B75" s="4348"/>
      <c r="C75" s="4348"/>
      <c r="D75" s="4348"/>
      <c r="E75" s="4348"/>
      <c r="F75" s="4348"/>
      <c r="G75" s="4348"/>
      <c r="H75" s="4348"/>
      <c r="I75" s="4348"/>
      <c r="J75" s="4348"/>
      <c r="K75" s="4349"/>
      <c r="L75" s="33"/>
      <c r="M75" s="33"/>
      <c r="N75" s="4297"/>
      <c r="O75" s="4298"/>
      <c r="P75" s="4299"/>
      <c r="Q75" s="463"/>
    </row>
    <row r="76" spans="1:17" s="63" customFormat="1" ht="15" thickTop="1" x14ac:dyDescent="0.35">
      <c r="A76" s="463"/>
      <c r="B76" s="463"/>
      <c r="C76" s="463"/>
      <c r="D76" s="463"/>
      <c r="E76" s="463"/>
      <c r="F76" s="1202"/>
      <c r="G76" s="1202"/>
      <c r="H76" s="1202"/>
      <c r="I76" s="1202"/>
      <c r="J76" s="463"/>
      <c r="K76" s="463"/>
      <c r="L76" s="463"/>
      <c r="M76" s="463"/>
      <c r="N76" s="463"/>
      <c r="O76" s="463"/>
      <c r="P76" s="463"/>
      <c r="Q76" s="463"/>
    </row>
    <row r="77" spans="1:17" s="63" customFormat="1" x14ac:dyDescent="0.35">
      <c r="A77" s="463"/>
      <c r="B77" s="463"/>
      <c r="C77" s="463"/>
      <c r="D77" s="463"/>
      <c r="E77" s="463"/>
      <c r="F77" s="1202"/>
      <c r="G77" s="1202"/>
      <c r="H77" s="1202"/>
      <c r="I77" s="1202"/>
      <c r="J77" s="463"/>
      <c r="K77" s="463"/>
      <c r="L77" s="463"/>
      <c r="M77" s="463"/>
      <c r="N77" s="463"/>
      <c r="O77" s="463"/>
      <c r="P77" s="463"/>
      <c r="Q77" s="463"/>
    </row>
    <row r="78" spans="1:17" s="63" customFormat="1" x14ac:dyDescent="0.35">
      <c r="A78" s="463"/>
      <c r="B78" s="463"/>
      <c r="C78" s="463"/>
      <c r="D78" s="463"/>
      <c r="E78" s="463"/>
      <c r="F78" s="1202"/>
      <c r="G78" s="1202"/>
      <c r="H78" s="1202"/>
      <c r="I78" s="1202"/>
      <c r="J78" s="463"/>
      <c r="K78" s="463"/>
      <c r="L78" s="463"/>
      <c r="M78" s="463"/>
      <c r="N78" s="463"/>
      <c r="O78" s="463"/>
      <c r="P78" s="463"/>
      <c r="Q78" s="463"/>
    </row>
    <row r="79" spans="1:17" s="63" customFormat="1" x14ac:dyDescent="0.35">
      <c r="A79" s="463"/>
      <c r="B79" s="463"/>
      <c r="C79" s="463"/>
      <c r="D79" s="463"/>
      <c r="E79" s="463"/>
      <c r="F79" s="1202"/>
      <c r="G79" s="1202"/>
      <c r="H79" s="1202"/>
      <c r="I79" s="1202"/>
      <c r="J79" s="463"/>
      <c r="K79" s="463"/>
      <c r="L79" s="463"/>
      <c r="M79" s="463"/>
      <c r="N79" s="463"/>
      <c r="O79" s="463"/>
      <c r="P79" s="463"/>
      <c r="Q79" s="463"/>
    </row>
    <row r="80" spans="1:17" s="63" customFormat="1" x14ac:dyDescent="0.35">
      <c r="A80" s="463"/>
      <c r="B80" s="463"/>
      <c r="C80" s="463"/>
      <c r="D80" s="463"/>
      <c r="E80" s="463"/>
      <c r="F80" s="1202"/>
      <c r="G80" s="1202"/>
      <c r="H80" s="1202"/>
      <c r="I80" s="1202"/>
      <c r="J80" s="463"/>
      <c r="K80" s="463"/>
      <c r="L80" s="463"/>
      <c r="M80" s="463"/>
      <c r="N80" s="463"/>
      <c r="O80" s="463"/>
      <c r="P80" s="463"/>
      <c r="Q80" s="463"/>
    </row>
    <row r="81" spans="1:17" s="63" customFormat="1" x14ac:dyDescent="0.35">
      <c r="A81" s="463"/>
      <c r="B81" s="463"/>
      <c r="C81" s="463"/>
      <c r="D81" s="463"/>
      <c r="E81" s="463"/>
      <c r="F81" s="1202"/>
      <c r="G81" s="1202"/>
      <c r="H81" s="1202"/>
      <c r="I81" s="1202"/>
      <c r="J81" s="463"/>
      <c r="K81" s="463"/>
      <c r="L81" s="463"/>
      <c r="M81" s="463"/>
      <c r="N81" s="463"/>
      <c r="O81" s="463"/>
      <c r="P81" s="463"/>
      <c r="Q81" s="463"/>
    </row>
    <row r="82" spans="1:17" s="63" customFormat="1" x14ac:dyDescent="0.35">
      <c r="A82" s="463"/>
      <c r="B82" s="463"/>
      <c r="C82" s="463"/>
      <c r="D82" s="463"/>
      <c r="E82" s="463"/>
      <c r="F82" s="1202"/>
      <c r="G82" s="1202"/>
      <c r="H82" s="1202"/>
      <c r="I82" s="1202"/>
      <c r="J82" s="463"/>
      <c r="K82" s="463"/>
      <c r="L82" s="463"/>
      <c r="M82" s="463"/>
      <c r="N82" s="463"/>
      <c r="O82" s="463"/>
      <c r="P82" s="463"/>
      <c r="Q82" s="463"/>
    </row>
    <row r="83" spans="1:17" s="63" customFormat="1" x14ac:dyDescent="0.35">
      <c r="A83" s="463"/>
      <c r="B83" s="463"/>
      <c r="C83" s="463"/>
      <c r="D83" s="463"/>
      <c r="E83" s="463"/>
      <c r="F83" s="1202"/>
      <c r="G83" s="1202"/>
      <c r="H83" s="1202"/>
      <c r="I83" s="1202"/>
      <c r="J83" s="463"/>
      <c r="K83" s="463"/>
      <c r="L83" s="463"/>
      <c r="M83" s="463"/>
      <c r="N83" s="463"/>
      <c r="O83" s="463"/>
      <c r="P83" s="463"/>
      <c r="Q83" s="463"/>
    </row>
    <row r="84" spans="1:17" s="63" customFormat="1" x14ac:dyDescent="0.35">
      <c r="A84" s="463"/>
      <c r="B84" s="463"/>
      <c r="C84" s="463"/>
      <c r="D84" s="463"/>
      <c r="E84" s="463"/>
      <c r="F84" s="1202"/>
      <c r="G84" s="1202"/>
      <c r="H84" s="1202"/>
      <c r="I84" s="1202"/>
      <c r="J84" s="463"/>
      <c r="K84" s="463"/>
      <c r="L84" s="463"/>
      <c r="M84" s="463"/>
      <c r="N84" s="463"/>
      <c r="O84" s="463"/>
      <c r="P84" s="463"/>
      <c r="Q84" s="463"/>
    </row>
    <row r="85" spans="1:17" s="63" customFormat="1" x14ac:dyDescent="0.35">
      <c r="A85" s="463"/>
      <c r="B85" s="463"/>
      <c r="C85" s="463"/>
      <c r="D85" s="463"/>
      <c r="E85" s="463"/>
      <c r="F85" s="1202"/>
      <c r="G85" s="1202"/>
      <c r="H85" s="1202"/>
      <c r="I85" s="1202"/>
      <c r="J85" s="463"/>
      <c r="K85" s="463"/>
      <c r="L85" s="463"/>
      <c r="M85" s="463"/>
      <c r="N85" s="463"/>
      <c r="O85" s="463"/>
      <c r="P85" s="463"/>
      <c r="Q85" s="463"/>
    </row>
    <row r="86" spans="1:17" s="63" customFormat="1" x14ac:dyDescent="0.35">
      <c r="A86" s="463"/>
      <c r="B86" s="463"/>
      <c r="C86" s="463"/>
      <c r="D86" s="463"/>
      <c r="E86" s="463"/>
      <c r="F86" s="1202"/>
      <c r="G86" s="1202"/>
      <c r="H86" s="1202"/>
      <c r="I86" s="1202"/>
      <c r="J86" s="463"/>
      <c r="K86" s="463"/>
      <c r="L86" s="463"/>
      <c r="M86" s="463"/>
      <c r="N86" s="463"/>
      <c r="O86" s="463"/>
      <c r="P86" s="463"/>
      <c r="Q86" s="463"/>
    </row>
    <row r="87" spans="1:17" s="63" customFormat="1" x14ac:dyDescent="0.35">
      <c r="A87" s="463"/>
      <c r="B87" s="463"/>
      <c r="C87" s="463"/>
      <c r="D87" s="463"/>
      <c r="E87" s="463"/>
      <c r="F87" s="1202"/>
      <c r="G87" s="1202"/>
      <c r="H87" s="1202"/>
      <c r="I87" s="1202"/>
      <c r="J87" s="463"/>
      <c r="K87" s="463"/>
      <c r="L87" s="463"/>
      <c r="M87" s="463"/>
      <c r="N87" s="463"/>
      <c r="O87" s="463"/>
      <c r="P87" s="463"/>
      <c r="Q87" s="463"/>
    </row>
    <row r="88" spans="1:17" s="63" customFormat="1" x14ac:dyDescent="0.35">
      <c r="A88" s="463"/>
      <c r="B88" s="463"/>
      <c r="C88" s="463"/>
      <c r="D88" s="463"/>
      <c r="E88" s="463"/>
      <c r="F88" s="1202"/>
      <c r="G88" s="1202"/>
      <c r="H88" s="1202"/>
      <c r="I88" s="1202"/>
      <c r="J88" s="463"/>
      <c r="K88" s="463"/>
      <c r="L88" s="463"/>
      <c r="M88" s="463"/>
      <c r="N88" s="463"/>
      <c r="O88" s="463"/>
      <c r="P88" s="463"/>
      <c r="Q88" s="463"/>
    </row>
    <row r="89" spans="1:17" s="63" customFormat="1" x14ac:dyDescent="0.35">
      <c r="A89" s="463"/>
      <c r="B89" s="463"/>
      <c r="C89" s="463"/>
      <c r="D89" s="463"/>
      <c r="E89" s="463"/>
      <c r="F89" s="1202"/>
      <c r="G89" s="1202"/>
      <c r="H89" s="1202"/>
      <c r="I89" s="1202"/>
      <c r="J89" s="463"/>
      <c r="K89" s="463"/>
      <c r="L89" s="463"/>
      <c r="M89" s="463"/>
      <c r="N89" s="463"/>
      <c r="O89" s="463"/>
      <c r="P89" s="463"/>
      <c r="Q89" s="463"/>
    </row>
    <row r="90" spans="1:17" s="63" customFormat="1" x14ac:dyDescent="0.35">
      <c r="A90" s="463"/>
      <c r="B90" s="463"/>
      <c r="C90" s="463"/>
      <c r="D90" s="463"/>
      <c r="E90" s="463"/>
      <c r="F90" s="1202"/>
      <c r="G90" s="1202"/>
      <c r="H90" s="1202"/>
      <c r="I90" s="1202"/>
      <c r="J90" s="463"/>
      <c r="K90" s="463"/>
      <c r="L90" s="463"/>
      <c r="M90" s="463"/>
      <c r="N90" s="463"/>
      <c r="O90" s="463"/>
      <c r="P90" s="463"/>
      <c r="Q90" s="463"/>
    </row>
    <row r="91" spans="1:17" s="63" customFormat="1" x14ac:dyDescent="0.35">
      <c r="A91" s="463"/>
      <c r="B91" s="463"/>
      <c r="C91" s="463"/>
      <c r="D91" s="463"/>
      <c r="E91" s="463"/>
      <c r="F91" s="1202"/>
      <c r="G91" s="1202"/>
      <c r="H91" s="1202"/>
      <c r="I91" s="1202"/>
      <c r="J91" s="463"/>
      <c r="K91" s="463"/>
      <c r="L91" s="463"/>
      <c r="M91" s="463"/>
      <c r="N91" s="463"/>
      <c r="O91" s="463"/>
      <c r="P91" s="463"/>
      <c r="Q91" s="463"/>
    </row>
    <row r="92" spans="1:17" s="63" customFormat="1" x14ac:dyDescent="0.35">
      <c r="A92" s="463"/>
      <c r="B92" s="463"/>
      <c r="C92" s="463"/>
      <c r="D92" s="463"/>
      <c r="E92" s="463"/>
      <c r="F92" s="1202"/>
      <c r="G92" s="1202"/>
      <c r="H92" s="1202"/>
      <c r="I92" s="1202"/>
      <c r="J92" s="463"/>
      <c r="K92" s="463"/>
      <c r="L92" s="463"/>
      <c r="M92" s="463"/>
      <c r="N92" s="463"/>
      <c r="O92" s="463"/>
      <c r="P92" s="463"/>
      <c r="Q92" s="463"/>
    </row>
    <row r="93" spans="1:17" s="63" customFormat="1" x14ac:dyDescent="0.35">
      <c r="A93" s="463"/>
      <c r="B93" s="463"/>
      <c r="C93" s="463"/>
      <c r="D93" s="463"/>
      <c r="E93" s="463"/>
      <c r="F93" s="1202"/>
      <c r="G93" s="1202"/>
      <c r="H93" s="1202"/>
      <c r="I93" s="1202"/>
      <c r="J93" s="463"/>
      <c r="K93" s="463"/>
      <c r="L93" s="463"/>
      <c r="M93" s="463"/>
      <c r="N93" s="463"/>
      <c r="O93" s="463"/>
      <c r="P93" s="463"/>
      <c r="Q93" s="463"/>
    </row>
    <row r="94" spans="1:17" s="63" customFormat="1" x14ac:dyDescent="0.35">
      <c r="A94" s="463"/>
      <c r="B94" s="463"/>
      <c r="C94" s="463"/>
      <c r="D94" s="463"/>
      <c r="E94" s="463"/>
      <c r="F94" s="1202"/>
      <c r="G94" s="1202"/>
      <c r="H94" s="1202"/>
      <c r="I94" s="1202"/>
      <c r="J94" s="463"/>
      <c r="K94" s="463"/>
      <c r="L94" s="463"/>
      <c r="M94" s="463"/>
      <c r="N94" s="463"/>
      <c r="O94" s="463"/>
      <c r="P94" s="463"/>
      <c r="Q94" s="463"/>
    </row>
    <row r="95" spans="1:17" s="63" customFormat="1" x14ac:dyDescent="0.35">
      <c r="A95" s="463"/>
      <c r="B95" s="463"/>
      <c r="C95" s="463"/>
      <c r="D95" s="463"/>
      <c r="E95" s="463"/>
      <c r="F95" s="1202"/>
      <c r="G95" s="1202"/>
      <c r="H95" s="1202"/>
      <c r="I95" s="1202"/>
      <c r="J95" s="463"/>
      <c r="K95" s="463"/>
      <c r="L95" s="463"/>
      <c r="M95" s="463"/>
      <c r="N95" s="463"/>
      <c r="O95" s="463"/>
      <c r="P95" s="463"/>
      <c r="Q95" s="463"/>
    </row>
    <row r="96" spans="1:17" s="63" customFormat="1" x14ac:dyDescent="0.35">
      <c r="A96" s="463"/>
      <c r="B96" s="463"/>
      <c r="C96" s="463"/>
      <c r="D96" s="463"/>
      <c r="E96" s="463"/>
      <c r="F96" s="1202"/>
      <c r="G96" s="1202"/>
      <c r="H96" s="1202"/>
      <c r="I96" s="1202"/>
      <c r="J96" s="463"/>
      <c r="K96" s="463"/>
      <c r="L96" s="463"/>
      <c r="M96" s="463"/>
      <c r="N96" s="463"/>
      <c r="O96" s="463"/>
      <c r="P96" s="463"/>
      <c r="Q96" s="463"/>
    </row>
    <row r="97" spans="1:17" s="63" customFormat="1" x14ac:dyDescent="0.35">
      <c r="A97" s="463"/>
      <c r="B97" s="463"/>
      <c r="C97" s="463"/>
      <c r="D97" s="463"/>
      <c r="E97" s="463"/>
      <c r="F97" s="1202"/>
      <c r="G97" s="1202"/>
      <c r="H97" s="1202"/>
      <c r="I97" s="1202"/>
      <c r="J97" s="463"/>
      <c r="K97" s="463"/>
      <c r="L97" s="463"/>
      <c r="M97" s="463"/>
      <c r="N97" s="463"/>
      <c r="O97" s="463"/>
      <c r="P97" s="463"/>
      <c r="Q97" s="463"/>
    </row>
    <row r="98" spans="1:17" s="63" customFormat="1" x14ac:dyDescent="0.35">
      <c r="A98" s="463"/>
      <c r="B98" s="463"/>
      <c r="C98" s="463"/>
      <c r="D98" s="463"/>
      <c r="E98" s="463"/>
      <c r="F98" s="1202"/>
      <c r="G98" s="1202"/>
      <c r="H98" s="1202"/>
      <c r="I98" s="1202"/>
      <c r="J98" s="463"/>
      <c r="K98" s="463"/>
      <c r="L98" s="463"/>
      <c r="M98" s="463"/>
      <c r="N98" s="463"/>
      <c r="O98" s="463"/>
      <c r="P98" s="463"/>
      <c r="Q98" s="463"/>
    </row>
    <row r="99" spans="1:17" s="63" customFormat="1" x14ac:dyDescent="0.35">
      <c r="A99" s="463"/>
      <c r="B99" s="463"/>
      <c r="C99" s="463"/>
      <c r="D99" s="463"/>
      <c r="E99" s="463"/>
      <c r="F99" s="1202"/>
      <c r="G99" s="1202"/>
      <c r="H99" s="1202"/>
      <c r="I99" s="1202"/>
      <c r="J99" s="463"/>
      <c r="K99" s="463"/>
      <c r="L99" s="463"/>
      <c r="M99" s="463"/>
      <c r="N99" s="463"/>
      <c r="O99" s="463"/>
      <c r="P99" s="463"/>
      <c r="Q99" s="463"/>
    </row>
    <row r="100" spans="1:17" s="63" customFormat="1" x14ac:dyDescent="0.35">
      <c r="A100" s="463"/>
      <c r="B100" s="463"/>
      <c r="C100" s="463"/>
      <c r="D100" s="463"/>
      <c r="E100" s="463"/>
      <c r="F100" s="1202"/>
      <c r="G100" s="1202"/>
      <c r="H100" s="1202"/>
      <c r="I100" s="1202"/>
      <c r="J100" s="463"/>
      <c r="K100" s="463"/>
      <c r="L100" s="463"/>
      <c r="M100" s="463"/>
      <c r="N100" s="463"/>
      <c r="O100" s="463"/>
      <c r="P100" s="463"/>
      <c r="Q100" s="463"/>
    </row>
    <row r="101" spans="1:17" s="63" customFormat="1" x14ac:dyDescent="0.35">
      <c r="A101" s="463"/>
      <c r="B101" s="463"/>
      <c r="C101" s="463"/>
      <c r="D101" s="463"/>
      <c r="E101" s="463"/>
      <c r="F101" s="1202"/>
      <c r="G101" s="1202"/>
      <c r="H101" s="1202"/>
      <c r="I101" s="1202"/>
      <c r="J101" s="463"/>
      <c r="K101" s="463"/>
      <c r="L101" s="463"/>
      <c r="M101" s="463"/>
      <c r="N101" s="463"/>
      <c r="O101" s="463"/>
      <c r="P101" s="463"/>
      <c r="Q101" s="463"/>
    </row>
    <row r="102" spans="1:17" s="63" customFormat="1" x14ac:dyDescent="0.35">
      <c r="A102" s="463"/>
      <c r="B102" s="463"/>
      <c r="C102" s="463"/>
      <c r="D102" s="463"/>
      <c r="E102" s="463"/>
      <c r="F102" s="1202"/>
      <c r="G102" s="1202"/>
      <c r="H102" s="1202"/>
      <c r="I102" s="1202"/>
      <c r="J102" s="463"/>
      <c r="K102" s="463"/>
      <c r="L102" s="463"/>
      <c r="M102" s="463"/>
      <c r="N102" s="463"/>
      <c r="O102" s="463"/>
      <c r="P102" s="463"/>
      <c r="Q102" s="463"/>
    </row>
    <row r="103" spans="1:17" s="63" customFormat="1" x14ac:dyDescent="0.35">
      <c r="A103" s="463"/>
      <c r="B103" s="463"/>
      <c r="C103" s="463"/>
      <c r="D103" s="463"/>
      <c r="E103" s="463"/>
      <c r="F103" s="1202"/>
      <c r="G103" s="1202"/>
      <c r="H103" s="1202"/>
      <c r="I103" s="1202"/>
      <c r="J103" s="463"/>
      <c r="K103" s="463"/>
      <c r="L103" s="463"/>
      <c r="M103" s="463"/>
      <c r="N103" s="463"/>
      <c r="O103" s="463"/>
      <c r="P103" s="463"/>
      <c r="Q103" s="463"/>
    </row>
    <row r="104" spans="1:17" s="63" customFormat="1" x14ac:dyDescent="0.35">
      <c r="A104" s="463"/>
      <c r="B104" s="463"/>
      <c r="C104" s="463"/>
      <c r="D104" s="463"/>
      <c r="E104" s="463"/>
      <c r="F104" s="1202"/>
      <c r="G104" s="1202"/>
      <c r="H104" s="1202"/>
      <c r="I104" s="1202"/>
      <c r="J104" s="463"/>
      <c r="K104" s="463"/>
      <c r="L104" s="463"/>
      <c r="M104" s="463"/>
      <c r="N104" s="463"/>
      <c r="O104" s="463"/>
      <c r="P104" s="463"/>
      <c r="Q104" s="463"/>
    </row>
    <row r="105" spans="1:17" s="63" customFormat="1" x14ac:dyDescent="0.35">
      <c r="A105" s="463"/>
      <c r="B105" s="463"/>
      <c r="C105" s="463"/>
      <c r="D105" s="463"/>
      <c r="E105" s="463"/>
      <c r="F105" s="1202"/>
      <c r="G105" s="1202"/>
      <c r="H105" s="1202"/>
      <c r="I105" s="1202"/>
      <c r="J105" s="463"/>
      <c r="K105" s="463"/>
      <c r="L105" s="463"/>
      <c r="M105" s="463"/>
      <c r="N105" s="463"/>
      <c r="O105" s="463"/>
      <c r="P105" s="463"/>
      <c r="Q105" s="463"/>
    </row>
    <row r="106" spans="1:17" s="63" customFormat="1" x14ac:dyDescent="0.35">
      <c r="A106" s="463"/>
      <c r="B106" s="463"/>
      <c r="C106" s="463"/>
      <c r="D106" s="463"/>
      <c r="E106" s="463"/>
      <c r="F106" s="1202"/>
      <c r="G106" s="1202"/>
      <c r="H106" s="1202"/>
      <c r="I106" s="1202"/>
      <c r="J106" s="463"/>
      <c r="K106" s="463"/>
      <c r="L106" s="463"/>
      <c r="M106" s="463"/>
      <c r="N106" s="463"/>
      <c r="O106" s="463"/>
      <c r="P106" s="463"/>
      <c r="Q106" s="463"/>
    </row>
    <row r="107" spans="1:17" s="63" customFormat="1" x14ac:dyDescent="0.35">
      <c r="A107" s="463"/>
      <c r="B107" s="463"/>
      <c r="C107" s="463"/>
      <c r="D107" s="463"/>
      <c r="E107" s="463"/>
      <c r="F107" s="1202"/>
      <c r="G107" s="1202"/>
      <c r="H107" s="1202"/>
      <c r="I107" s="1202"/>
      <c r="J107" s="463"/>
      <c r="K107" s="463"/>
      <c r="L107" s="463"/>
      <c r="M107" s="463"/>
      <c r="N107" s="463"/>
      <c r="O107" s="463"/>
      <c r="P107" s="463"/>
      <c r="Q107" s="463"/>
    </row>
    <row r="108" spans="1:17" s="63" customFormat="1" x14ac:dyDescent="0.35">
      <c r="A108" s="463"/>
      <c r="B108" s="463"/>
      <c r="C108" s="463"/>
      <c r="D108" s="463"/>
      <c r="E108" s="463"/>
      <c r="F108" s="1202"/>
      <c r="G108" s="1202"/>
      <c r="H108" s="1202"/>
      <c r="I108" s="1202"/>
      <c r="J108" s="463"/>
      <c r="K108" s="463"/>
      <c r="L108" s="463"/>
      <c r="M108" s="463"/>
      <c r="N108" s="463"/>
      <c r="O108" s="463"/>
      <c r="P108" s="463"/>
      <c r="Q108" s="463"/>
    </row>
    <row r="109" spans="1:17" s="63" customFormat="1" x14ac:dyDescent="0.35">
      <c r="A109" s="463"/>
      <c r="B109" s="463"/>
      <c r="C109" s="463"/>
      <c r="D109" s="463"/>
      <c r="E109" s="463"/>
      <c r="F109" s="1202"/>
      <c r="G109" s="1202"/>
      <c r="H109" s="1202"/>
      <c r="I109" s="1202"/>
      <c r="J109" s="463"/>
      <c r="K109" s="463"/>
      <c r="L109" s="463"/>
      <c r="M109" s="463"/>
      <c r="N109" s="463"/>
      <c r="O109" s="463"/>
      <c r="P109" s="463"/>
      <c r="Q109" s="463"/>
    </row>
    <row r="110" spans="1:17" s="63" customFormat="1" x14ac:dyDescent="0.35">
      <c r="A110" s="463"/>
      <c r="B110" s="463"/>
      <c r="C110" s="463"/>
      <c r="D110" s="463"/>
      <c r="E110" s="463"/>
      <c r="F110" s="1202"/>
      <c r="G110" s="1202"/>
      <c r="H110" s="1202"/>
      <c r="I110" s="1202"/>
      <c r="J110" s="463"/>
      <c r="K110" s="463"/>
      <c r="L110" s="463"/>
      <c r="M110" s="463"/>
      <c r="N110" s="463"/>
      <c r="O110" s="463"/>
      <c r="P110" s="463"/>
      <c r="Q110" s="463"/>
    </row>
    <row r="111" spans="1:17" s="63" customFormat="1" x14ac:dyDescent="0.35">
      <c r="A111" s="463"/>
      <c r="B111" s="463"/>
      <c r="C111" s="463"/>
      <c r="D111" s="463"/>
      <c r="E111" s="463"/>
      <c r="F111" s="1202"/>
      <c r="G111" s="1202"/>
      <c r="H111" s="1202"/>
      <c r="I111" s="1202"/>
      <c r="J111" s="463"/>
      <c r="K111" s="463"/>
      <c r="L111" s="463"/>
      <c r="M111" s="463"/>
      <c r="N111" s="463"/>
      <c r="O111" s="463"/>
      <c r="P111" s="463"/>
      <c r="Q111" s="463"/>
    </row>
    <row r="112" spans="1:17" s="63" customFormat="1" x14ac:dyDescent="0.35">
      <c r="A112" s="463"/>
      <c r="B112" s="463"/>
      <c r="C112" s="463"/>
      <c r="D112" s="463"/>
      <c r="E112" s="463"/>
      <c r="F112" s="1202"/>
      <c r="G112" s="1202"/>
      <c r="H112" s="1202"/>
      <c r="I112" s="1202"/>
      <c r="J112" s="463"/>
      <c r="K112" s="463"/>
      <c r="L112" s="463"/>
      <c r="M112" s="463"/>
      <c r="N112" s="463"/>
      <c r="O112" s="463"/>
      <c r="P112" s="463"/>
      <c r="Q112" s="463"/>
    </row>
    <row r="113" spans="1:17" s="63" customFormat="1" x14ac:dyDescent="0.35">
      <c r="A113" s="463"/>
      <c r="B113" s="463"/>
      <c r="C113" s="463"/>
      <c r="D113" s="463"/>
      <c r="E113" s="463"/>
      <c r="F113" s="1202"/>
      <c r="G113" s="1202"/>
      <c r="H113" s="1202"/>
      <c r="I113" s="1202"/>
      <c r="J113" s="463"/>
      <c r="K113" s="463"/>
      <c r="L113" s="463"/>
      <c r="M113" s="463"/>
      <c r="N113" s="463"/>
      <c r="O113" s="463"/>
      <c r="P113" s="463"/>
      <c r="Q113" s="463"/>
    </row>
    <row r="114" spans="1:17" s="63" customFormat="1" x14ac:dyDescent="0.35">
      <c r="A114" s="463"/>
      <c r="B114" s="463"/>
      <c r="C114" s="463"/>
      <c r="D114" s="463"/>
      <c r="E114" s="463"/>
      <c r="F114" s="1202"/>
      <c r="G114" s="1202"/>
      <c r="H114" s="1202"/>
      <c r="I114" s="1202"/>
      <c r="J114" s="463"/>
      <c r="K114" s="463"/>
      <c r="L114" s="463"/>
      <c r="M114" s="463"/>
      <c r="N114" s="463"/>
      <c r="O114" s="463"/>
      <c r="P114" s="463"/>
      <c r="Q114" s="463"/>
    </row>
    <row r="115" spans="1:17" s="63" customFormat="1" x14ac:dyDescent="0.35">
      <c r="A115" s="463"/>
      <c r="B115" s="463"/>
      <c r="C115" s="463"/>
      <c r="D115" s="463"/>
      <c r="E115" s="463"/>
      <c r="F115" s="1202"/>
      <c r="G115" s="1202"/>
      <c r="H115" s="1202"/>
      <c r="I115" s="1202"/>
      <c r="J115" s="463"/>
      <c r="K115" s="463"/>
      <c r="L115" s="463"/>
      <c r="M115" s="463"/>
      <c r="N115" s="463"/>
      <c r="O115" s="463"/>
      <c r="P115" s="463"/>
      <c r="Q115" s="463"/>
    </row>
    <row r="116" spans="1:17" s="63" customFormat="1" x14ac:dyDescent="0.35">
      <c r="A116" s="463"/>
      <c r="B116" s="463"/>
      <c r="C116" s="463"/>
      <c r="D116" s="463"/>
      <c r="E116" s="463"/>
      <c r="F116" s="1202"/>
      <c r="G116" s="1202"/>
      <c r="H116" s="1202"/>
      <c r="I116" s="1202"/>
      <c r="J116" s="463"/>
      <c r="K116" s="463"/>
      <c r="L116" s="463"/>
      <c r="M116" s="463"/>
      <c r="N116" s="463"/>
      <c r="O116" s="463"/>
      <c r="P116" s="463"/>
      <c r="Q116" s="463"/>
    </row>
    <row r="117" spans="1:17" s="63" customFormat="1" x14ac:dyDescent="0.35">
      <c r="A117" s="463"/>
      <c r="B117" s="463"/>
      <c r="C117" s="463"/>
      <c r="D117" s="463"/>
      <c r="E117" s="463"/>
      <c r="F117" s="1202"/>
      <c r="G117" s="1202"/>
      <c r="H117" s="1202"/>
      <c r="I117" s="1202"/>
      <c r="J117" s="463"/>
      <c r="K117" s="463"/>
      <c r="L117" s="463"/>
      <c r="M117" s="463"/>
      <c r="N117" s="463"/>
      <c r="O117" s="463"/>
      <c r="P117" s="463"/>
      <c r="Q117" s="463"/>
    </row>
    <row r="118" spans="1:17" s="63" customFormat="1" x14ac:dyDescent="0.35">
      <c r="A118" s="463"/>
      <c r="B118" s="463"/>
      <c r="C118" s="463"/>
      <c r="D118" s="463"/>
      <c r="E118" s="463"/>
      <c r="F118" s="1202"/>
      <c r="G118" s="1202"/>
      <c r="H118" s="1202"/>
      <c r="I118" s="1202"/>
      <c r="J118" s="463"/>
      <c r="K118" s="463"/>
      <c r="L118" s="463"/>
      <c r="M118" s="463"/>
      <c r="N118" s="463"/>
      <c r="O118" s="463"/>
      <c r="P118" s="463"/>
      <c r="Q118" s="463"/>
    </row>
    <row r="119" spans="1:17" s="63" customFormat="1" x14ac:dyDescent="0.35">
      <c r="A119" s="463"/>
      <c r="B119" s="463"/>
      <c r="C119" s="463"/>
      <c r="D119" s="463"/>
      <c r="E119" s="463"/>
      <c r="F119" s="1202"/>
      <c r="G119" s="1202"/>
      <c r="H119" s="1202"/>
      <c r="I119" s="1202"/>
      <c r="J119" s="463"/>
      <c r="K119" s="463"/>
      <c r="L119" s="463"/>
      <c r="M119" s="463"/>
      <c r="N119" s="463"/>
      <c r="O119" s="463"/>
      <c r="P119" s="463"/>
      <c r="Q119" s="463"/>
    </row>
    <row r="120" spans="1:17" s="63" customFormat="1" x14ac:dyDescent="0.35">
      <c r="A120" s="463"/>
      <c r="B120" s="463"/>
      <c r="C120" s="463"/>
      <c r="D120" s="463"/>
      <c r="E120" s="463"/>
      <c r="F120" s="1202"/>
      <c r="G120" s="1202"/>
      <c r="H120" s="1202"/>
      <c r="I120" s="1202"/>
      <c r="J120" s="463"/>
      <c r="K120" s="463"/>
      <c r="L120" s="463"/>
      <c r="M120" s="463"/>
      <c r="N120" s="463"/>
      <c r="O120" s="463"/>
      <c r="P120" s="463"/>
      <c r="Q120" s="463"/>
    </row>
    <row r="121" spans="1:17" s="63" customFormat="1" x14ac:dyDescent="0.35">
      <c r="A121" s="463"/>
      <c r="B121" s="463"/>
      <c r="C121" s="463"/>
      <c r="D121" s="463"/>
      <c r="E121" s="463"/>
      <c r="F121" s="1202"/>
      <c r="G121" s="1202"/>
      <c r="H121" s="1202"/>
      <c r="I121" s="1202"/>
      <c r="J121" s="463"/>
      <c r="K121" s="463"/>
      <c r="L121" s="463"/>
      <c r="M121" s="463"/>
      <c r="N121" s="463"/>
      <c r="O121" s="463"/>
      <c r="P121" s="463"/>
      <c r="Q121" s="463"/>
    </row>
    <row r="122" spans="1:17" s="63" customFormat="1" x14ac:dyDescent="0.35">
      <c r="A122" s="463"/>
      <c r="B122" s="463"/>
      <c r="C122" s="463"/>
      <c r="D122" s="463"/>
      <c r="E122" s="463"/>
      <c r="F122" s="1202"/>
      <c r="G122" s="1202"/>
      <c r="H122" s="1202"/>
      <c r="I122" s="1202"/>
      <c r="J122" s="463"/>
      <c r="K122" s="463"/>
      <c r="L122" s="463"/>
      <c r="M122" s="463"/>
      <c r="N122" s="463"/>
      <c r="O122" s="463"/>
      <c r="P122" s="463"/>
      <c r="Q122" s="463"/>
    </row>
    <row r="123" spans="1:17" s="63" customFormat="1" x14ac:dyDescent="0.35">
      <c r="A123" s="463"/>
      <c r="B123" s="463"/>
      <c r="C123" s="463"/>
      <c r="D123" s="463"/>
      <c r="E123" s="463"/>
      <c r="F123" s="1202"/>
      <c r="G123" s="1202"/>
      <c r="H123" s="1202"/>
      <c r="I123" s="1202"/>
      <c r="J123" s="463"/>
      <c r="K123" s="463"/>
      <c r="L123" s="463"/>
      <c r="M123" s="463"/>
      <c r="N123" s="463"/>
      <c r="O123" s="463"/>
      <c r="P123" s="463"/>
      <c r="Q123" s="463"/>
    </row>
    <row r="124" spans="1:17" s="63" customFormat="1" x14ac:dyDescent="0.35">
      <c r="A124" s="463"/>
      <c r="B124" s="463"/>
      <c r="C124" s="463"/>
      <c r="D124" s="463"/>
      <c r="E124" s="463"/>
      <c r="F124" s="1202"/>
      <c r="G124" s="1202"/>
      <c r="H124" s="1202"/>
      <c r="I124" s="1202"/>
      <c r="J124" s="463"/>
      <c r="K124" s="463"/>
      <c r="L124" s="463"/>
      <c r="M124" s="463"/>
      <c r="N124" s="463"/>
      <c r="O124" s="463"/>
      <c r="P124" s="463"/>
      <c r="Q124" s="463"/>
    </row>
    <row r="125" spans="1:17" s="63" customFormat="1" x14ac:dyDescent="0.35">
      <c r="A125" s="463"/>
      <c r="B125" s="463"/>
      <c r="C125" s="463"/>
      <c r="D125" s="463"/>
      <c r="E125" s="463"/>
      <c r="F125" s="1202"/>
      <c r="G125" s="1202"/>
      <c r="H125" s="1202"/>
      <c r="I125" s="1202"/>
      <c r="J125" s="463"/>
      <c r="K125" s="463"/>
      <c r="L125" s="463"/>
      <c r="M125" s="463"/>
      <c r="N125" s="463"/>
      <c r="O125" s="463"/>
      <c r="P125" s="463"/>
      <c r="Q125" s="463"/>
    </row>
    <row r="126" spans="1:17" s="63" customFormat="1" x14ac:dyDescent="0.35">
      <c r="A126" s="463"/>
      <c r="B126" s="463"/>
      <c r="C126" s="463"/>
      <c r="D126" s="463"/>
      <c r="E126" s="463"/>
      <c r="F126" s="1202"/>
      <c r="G126" s="1202"/>
      <c r="H126" s="1202"/>
      <c r="I126" s="1202"/>
      <c r="J126" s="463"/>
      <c r="K126" s="463"/>
      <c r="L126" s="463"/>
      <c r="M126" s="463"/>
      <c r="N126" s="463"/>
      <c r="O126" s="463"/>
      <c r="P126" s="463"/>
      <c r="Q126" s="463"/>
    </row>
    <row r="127" spans="1:17" s="63" customFormat="1" x14ac:dyDescent="0.35">
      <c r="F127" s="372"/>
      <c r="G127" s="372"/>
      <c r="H127" s="372"/>
      <c r="I127" s="372"/>
    </row>
    <row r="128" spans="1:17" s="63" customFormat="1" x14ac:dyDescent="0.35">
      <c r="F128" s="372"/>
      <c r="G128" s="372"/>
      <c r="H128" s="372"/>
      <c r="I128" s="372"/>
    </row>
    <row r="129" spans="6:9" s="63" customFormat="1" x14ac:dyDescent="0.35">
      <c r="F129" s="372"/>
      <c r="G129" s="372"/>
      <c r="H129" s="372"/>
      <c r="I129" s="372"/>
    </row>
    <row r="130" spans="6:9" s="63" customFormat="1" x14ac:dyDescent="0.35">
      <c r="F130" s="372"/>
      <c r="G130" s="372"/>
      <c r="H130" s="372"/>
      <c r="I130" s="372"/>
    </row>
    <row r="131" spans="6:9" s="63" customFormat="1" x14ac:dyDescent="0.35">
      <c r="F131" s="372"/>
      <c r="G131" s="372"/>
      <c r="H131" s="372"/>
      <c r="I131" s="372"/>
    </row>
    <row r="132" spans="6:9" s="63" customFormat="1" x14ac:dyDescent="0.35">
      <c r="F132" s="372"/>
      <c r="G132" s="372"/>
      <c r="H132" s="372"/>
      <c r="I132" s="372"/>
    </row>
    <row r="133" spans="6:9" s="63" customFormat="1" x14ac:dyDescent="0.35">
      <c r="F133" s="372"/>
      <c r="G133" s="372"/>
      <c r="H133" s="372"/>
      <c r="I133" s="372"/>
    </row>
    <row r="134" spans="6:9" s="63" customFormat="1" x14ac:dyDescent="0.35">
      <c r="F134" s="372"/>
      <c r="G134" s="372"/>
      <c r="H134" s="372"/>
      <c r="I134" s="372"/>
    </row>
    <row r="135" spans="6:9" s="63" customFormat="1" x14ac:dyDescent="0.35">
      <c r="F135" s="372"/>
      <c r="G135" s="372"/>
      <c r="H135" s="372"/>
      <c r="I135" s="372"/>
    </row>
    <row r="136" spans="6:9" s="63" customFormat="1" x14ac:dyDescent="0.35">
      <c r="F136" s="372"/>
      <c r="G136" s="372"/>
      <c r="H136" s="372"/>
      <c r="I136" s="372"/>
    </row>
  </sheetData>
  <mergeCells count="201">
    <mergeCell ref="A72:K75"/>
    <mergeCell ref="F55:G55"/>
    <mergeCell ref="H55:I55"/>
    <mergeCell ref="F49:G49"/>
    <mergeCell ref="H49:I49"/>
    <mergeCell ref="J49:N49"/>
    <mergeCell ref="D61:E61"/>
    <mergeCell ref="D62:E62"/>
    <mergeCell ref="H56:I56"/>
    <mergeCell ref="J56:N56"/>
    <mergeCell ref="A58:E58"/>
    <mergeCell ref="A50:E50"/>
    <mergeCell ref="A51:E51"/>
    <mergeCell ref="A52:E52"/>
    <mergeCell ref="A54:N54"/>
    <mergeCell ref="F50:G50"/>
    <mergeCell ref="H50:I50"/>
    <mergeCell ref="J50:N50"/>
    <mergeCell ref="F51:G51"/>
    <mergeCell ref="H51:I51"/>
    <mergeCell ref="J51:N51"/>
    <mergeCell ref="F52:G52"/>
    <mergeCell ref="H52:I52"/>
    <mergeCell ref="A65:K65"/>
    <mergeCell ref="A71:K71"/>
    <mergeCell ref="A66:K69"/>
    <mergeCell ref="H40:I40"/>
    <mergeCell ref="J40:N40"/>
    <mergeCell ref="A44:E44"/>
    <mergeCell ref="H61:I62"/>
    <mergeCell ref="F61:G61"/>
    <mergeCell ref="F62:G62"/>
    <mergeCell ref="F58:G58"/>
    <mergeCell ref="H58:I58"/>
    <mergeCell ref="J58:N58"/>
    <mergeCell ref="F59:G59"/>
    <mergeCell ref="H59:I59"/>
    <mergeCell ref="J59:N59"/>
    <mergeCell ref="A60:N60"/>
    <mergeCell ref="F57:G57"/>
    <mergeCell ref="H57:I57"/>
    <mergeCell ref="J57:N57"/>
    <mergeCell ref="J41:N41"/>
    <mergeCell ref="J55:N55"/>
    <mergeCell ref="F56:G56"/>
    <mergeCell ref="F44:G44"/>
    <mergeCell ref="H44:I44"/>
    <mergeCell ref="J44:N44"/>
    <mergeCell ref="H42:I42"/>
    <mergeCell ref="J42:N42"/>
    <mergeCell ref="F43:G43"/>
    <mergeCell ref="H43:I43"/>
    <mergeCell ref="J43:N43"/>
    <mergeCell ref="A45:N45"/>
    <mergeCell ref="A49:E49"/>
    <mergeCell ref="F47:G47"/>
    <mergeCell ref="H47:I47"/>
    <mergeCell ref="J47:N47"/>
    <mergeCell ref="F48:G48"/>
    <mergeCell ref="H48:I48"/>
    <mergeCell ref="J48:N48"/>
    <mergeCell ref="A46:N46"/>
    <mergeCell ref="A47:E47"/>
    <mergeCell ref="A43:E43"/>
    <mergeCell ref="F42:G42"/>
    <mergeCell ref="J52:N52"/>
    <mergeCell ref="A53:N53"/>
    <mergeCell ref="A59:E59"/>
    <mergeCell ref="A7:N7"/>
    <mergeCell ref="F16:G16"/>
    <mergeCell ref="H16:I16"/>
    <mergeCell ref="J16:N16"/>
    <mergeCell ref="F17:G17"/>
    <mergeCell ref="H17:I17"/>
    <mergeCell ref="J17:N17"/>
    <mergeCell ref="F18:G18"/>
    <mergeCell ref="H18:I18"/>
    <mergeCell ref="J18:N18"/>
    <mergeCell ref="F19:G19"/>
    <mergeCell ref="H19:I19"/>
    <mergeCell ref="J19:N19"/>
    <mergeCell ref="A55:E55"/>
    <mergeCell ref="A56:E56"/>
    <mergeCell ref="A57:E57"/>
    <mergeCell ref="F33:G33"/>
    <mergeCell ref="H33:I33"/>
    <mergeCell ref="J33:N33"/>
    <mergeCell ref="F34:G34"/>
    <mergeCell ref="A48:E48"/>
    <mergeCell ref="A31:E31"/>
    <mergeCell ref="A32:E32"/>
    <mergeCell ref="A33:E33"/>
    <mergeCell ref="A25:E25"/>
    <mergeCell ref="A26:E26"/>
    <mergeCell ref="A27:E27"/>
    <mergeCell ref="A28:E28"/>
    <mergeCell ref="A30:N30"/>
    <mergeCell ref="F25:G25"/>
    <mergeCell ref="H25:I25"/>
    <mergeCell ref="J25:N25"/>
    <mergeCell ref="F26:G26"/>
    <mergeCell ref="H26:I26"/>
    <mergeCell ref="J26:N26"/>
    <mergeCell ref="F27:G27"/>
    <mergeCell ref="H27:I27"/>
    <mergeCell ref="A11:E11"/>
    <mergeCell ref="F11:G11"/>
    <mergeCell ref="H11:I11"/>
    <mergeCell ref="J11:N11"/>
    <mergeCell ref="A9:E9"/>
    <mergeCell ref="F9:G9"/>
    <mergeCell ref="H9:I9"/>
    <mergeCell ref="J9:N9"/>
    <mergeCell ref="A6:E6"/>
    <mergeCell ref="F6:G6"/>
    <mergeCell ref="H6:I6"/>
    <mergeCell ref="J6:N6"/>
    <mergeCell ref="A8:E8"/>
    <mergeCell ref="F8:G8"/>
    <mergeCell ref="H8:I8"/>
    <mergeCell ref="J8:N8"/>
    <mergeCell ref="D1:G1"/>
    <mergeCell ref="I1:J1"/>
    <mergeCell ref="L1:M1"/>
    <mergeCell ref="D2:G2"/>
    <mergeCell ref="I2:J2"/>
    <mergeCell ref="L2:M2"/>
    <mergeCell ref="A5:B5"/>
    <mergeCell ref="C5:P5"/>
    <mergeCell ref="D3:G3"/>
    <mergeCell ref="A4:P4"/>
    <mergeCell ref="A21:N21"/>
    <mergeCell ref="A22:E22"/>
    <mergeCell ref="F22:G22"/>
    <mergeCell ref="H22:I22"/>
    <mergeCell ref="J22:N22"/>
    <mergeCell ref="A23:E23"/>
    <mergeCell ref="A24:E24"/>
    <mergeCell ref="F23:G23"/>
    <mergeCell ref="H23:I23"/>
    <mergeCell ref="J23:N23"/>
    <mergeCell ref="F24:G24"/>
    <mergeCell ref="H24:I24"/>
    <mergeCell ref="J24:N24"/>
    <mergeCell ref="J34:N34"/>
    <mergeCell ref="H31:I31"/>
    <mergeCell ref="J31:N31"/>
    <mergeCell ref="J27:N27"/>
    <mergeCell ref="F31:G31"/>
    <mergeCell ref="F41:G41"/>
    <mergeCell ref="H41:I41"/>
    <mergeCell ref="H38:I38"/>
    <mergeCell ref="J38:N38"/>
    <mergeCell ref="N72:P75"/>
    <mergeCell ref="A10:E10"/>
    <mergeCell ref="F10:G10"/>
    <mergeCell ref="H10:I10"/>
    <mergeCell ref="J10:N10"/>
    <mergeCell ref="A40:E40"/>
    <mergeCell ref="A41:E41"/>
    <mergeCell ref="A42:E42"/>
    <mergeCell ref="F35:G35"/>
    <mergeCell ref="H35:I35"/>
    <mergeCell ref="J35:N35"/>
    <mergeCell ref="A35:E35"/>
    <mergeCell ref="A37:N37"/>
    <mergeCell ref="A36:N36"/>
    <mergeCell ref="A38:E38"/>
    <mergeCell ref="A39:E39"/>
    <mergeCell ref="F38:G38"/>
    <mergeCell ref="A29:N29"/>
    <mergeCell ref="A20:N20"/>
    <mergeCell ref="A14:N14"/>
    <mergeCell ref="A34:E34"/>
    <mergeCell ref="F28:G28"/>
    <mergeCell ref="F32:G32"/>
    <mergeCell ref="H32:I32"/>
    <mergeCell ref="A12:E12"/>
    <mergeCell ref="F12:G12"/>
    <mergeCell ref="H12:I12"/>
    <mergeCell ref="J12:N12"/>
    <mergeCell ref="N65:P65"/>
    <mergeCell ref="N66:P69"/>
    <mergeCell ref="N71:P71"/>
    <mergeCell ref="J32:N32"/>
    <mergeCell ref="A13:E13"/>
    <mergeCell ref="F13:G13"/>
    <mergeCell ref="H13:I13"/>
    <mergeCell ref="J13:N13"/>
    <mergeCell ref="A15:N15"/>
    <mergeCell ref="A16:E16"/>
    <mergeCell ref="A17:E17"/>
    <mergeCell ref="A18:E18"/>
    <mergeCell ref="A19:E19"/>
    <mergeCell ref="H28:I28"/>
    <mergeCell ref="J28:N28"/>
    <mergeCell ref="F39:G39"/>
    <mergeCell ref="H39:I39"/>
    <mergeCell ref="F40:G40"/>
    <mergeCell ref="J39:N39"/>
    <mergeCell ref="H34:I34"/>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400-000000000000}">
      <formula1>AvancementTheme</formula1>
    </dataValidation>
  </dataValidations>
  <hyperlinks>
    <hyperlink ref="O1" location="DPDV_11FC" display="PdV" xr:uid="{00000000-0004-0000-1400-000000000000}"/>
    <hyperlink ref="P1" location="DKPI_11FC" display="KPI's" xr:uid="{00000000-0004-0000-1400-000001000000}"/>
  </hyperlink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3">
    <pageSetUpPr fitToPage="1"/>
  </sheetPr>
  <dimension ref="A1:O22"/>
  <sheetViews>
    <sheetView showGridLines="0" tabSelected="1" zoomScaleNormal="100" zoomScaleSheetLayoutView="100" workbookViewId="0">
      <selection activeCell="K13" sqref="K13"/>
    </sheetView>
  </sheetViews>
  <sheetFormatPr baseColWidth="10" defaultRowHeight="14.5" x14ac:dyDescent="0.35"/>
  <cols>
    <col min="1" max="1" width="15.453125" customWidth="1"/>
    <col min="2" max="2" width="5.54296875" customWidth="1"/>
    <col min="3" max="3" width="22.54296875" customWidth="1"/>
    <col min="5" max="5" width="18.26953125" customWidth="1"/>
    <col min="7" max="7" width="19.7265625" customWidth="1"/>
    <col min="9" max="9" width="20.54296875" customWidth="1"/>
    <col min="11" max="11" width="19.81640625" customWidth="1"/>
    <col min="12" max="12" width="5.1796875" customWidth="1"/>
  </cols>
  <sheetData>
    <row r="1" spans="1:15" s="54" customFormat="1" ht="15" customHeight="1" x14ac:dyDescent="0.35">
      <c r="A1" s="1018"/>
      <c r="B1" s="368"/>
      <c r="C1" s="368"/>
      <c r="D1" s="3262" t="s">
        <v>5</v>
      </c>
      <c r="E1" s="3262"/>
      <c r="F1" s="3262"/>
      <c r="G1" s="3262"/>
      <c r="H1" s="3262"/>
      <c r="I1" s="3262"/>
      <c r="J1" s="3262"/>
      <c r="K1" s="3262"/>
      <c r="L1" s="3262"/>
    </row>
    <row r="2" spans="1:15" s="58" customFormat="1" ht="17.25" customHeight="1" x14ac:dyDescent="0.35">
      <c r="A2" s="55"/>
      <c r="B2" s="55"/>
      <c r="C2" s="55"/>
      <c r="D2" s="3263" t="str">
        <f>NomClient</f>
        <v xml:space="preserve">EQUINIX </v>
      </c>
      <c r="E2" s="3264"/>
      <c r="F2" s="3264"/>
      <c r="G2" s="3265"/>
      <c r="H2" s="3262"/>
      <c r="I2" s="3262"/>
      <c r="J2" s="3262"/>
      <c r="K2" s="3262"/>
      <c r="L2" s="3262"/>
    </row>
    <row r="3" spans="1:15" s="60" customFormat="1" ht="12" customHeight="1" x14ac:dyDescent="0.35">
      <c r="A3" s="59"/>
      <c r="B3" s="59"/>
      <c r="C3" s="59"/>
      <c r="D3" s="3276" t="s">
        <v>1792</v>
      </c>
      <c r="E3" s="3276"/>
      <c r="F3" s="3276"/>
      <c r="G3" s="3276"/>
      <c r="H3" s="3262"/>
      <c r="I3" s="3262"/>
      <c r="J3" s="3262"/>
      <c r="K3" s="3262"/>
      <c r="L3" s="3262"/>
    </row>
    <row r="4" spans="1:15" s="297" customFormat="1" ht="11.25" customHeight="1" x14ac:dyDescent="0.35">
      <c r="A4" s="376" t="s">
        <v>958</v>
      </c>
      <c r="C4" s="303"/>
      <c r="E4" s="304"/>
      <c r="F4" s="304"/>
      <c r="G4" s="304"/>
      <c r="H4" s="304"/>
      <c r="I4" s="304"/>
      <c r="J4" s="304"/>
      <c r="K4" s="304"/>
    </row>
    <row r="5" spans="1:15" x14ac:dyDescent="0.35">
      <c r="F5" s="344"/>
      <c r="G5" s="344"/>
      <c r="H5" s="344"/>
    </row>
    <row r="6" spans="1:15" x14ac:dyDescent="0.35">
      <c r="E6" s="3274" t="s">
        <v>2877</v>
      </c>
      <c r="F6" s="3275"/>
      <c r="G6" s="3275"/>
      <c r="H6" s="3275"/>
      <c r="I6" s="3275"/>
    </row>
    <row r="7" spans="1:15" ht="27" customHeight="1" x14ac:dyDescent="0.35">
      <c r="E7" s="3275"/>
      <c r="F7" s="3275"/>
      <c r="G7" s="3275"/>
      <c r="H7" s="3275"/>
      <c r="I7" s="3275"/>
      <c r="M7" s="1020"/>
      <c r="O7" s="1019"/>
    </row>
    <row r="8" spans="1:15" ht="15" customHeight="1" x14ac:dyDescent="0.35">
      <c r="J8" s="2687" t="s">
        <v>2463</v>
      </c>
    </row>
    <row r="9" spans="1:15" ht="15" customHeight="1" x14ac:dyDescent="0.35"/>
    <row r="10" spans="1:15" s="297" customFormat="1" ht="20.25" customHeight="1" x14ac:dyDescent="0.25">
      <c r="B10" s="1191" t="s">
        <v>958</v>
      </c>
      <c r="C10" s="3277" t="s">
        <v>2466</v>
      </c>
      <c r="D10" s="3277"/>
      <c r="E10" s="3277"/>
      <c r="F10" s="3277"/>
      <c r="G10" s="3277"/>
      <c r="H10" s="3277"/>
      <c r="I10" s="3277"/>
      <c r="J10" s="3277"/>
      <c r="K10" s="3277"/>
      <c r="L10" s="1191"/>
    </row>
    <row r="11" spans="1:15" s="297" customFormat="1" ht="13" x14ac:dyDescent="0.3">
      <c r="B11" s="1191" t="s">
        <v>958</v>
      </c>
      <c r="C11" s="1192"/>
      <c r="D11" s="1191"/>
      <c r="E11" s="1193"/>
      <c r="F11" s="1193"/>
      <c r="G11" s="1193"/>
      <c r="H11" s="1193"/>
      <c r="I11" s="1193"/>
      <c r="J11" s="1193"/>
      <c r="K11" s="1193"/>
      <c r="L11" s="1191"/>
    </row>
    <row r="12" spans="1:15" s="297" customFormat="1" ht="13" x14ac:dyDescent="0.3">
      <c r="B12" s="1191"/>
      <c r="C12" s="1192"/>
      <c r="D12" s="1191"/>
      <c r="E12" s="1193"/>
      <c r="F12" s="1193"/>
      <c r="G12" s="1193"/>
      <c r="H12" s="1193"/>
      <c r="I12" s="1193"/>
      <c r="J12" s="1193"/>
      <c r="K12" s="1193"/>
      <c r="L12" s="1191"/>
    </row>
    <row r="13" spans="1:15" s="297" customFormat="1" ht="45.75" customHeight="1" x14ac:dyDescent="0.3">
      <c r="A13" s="3278"/>
      <c r="B13" s="1191" t="s">
        <v>959</v>
      </c>
      <c r="C13" s="1195" t="s">
        <v>2681</v>
      </c>
      <c r="D13" s="3014" t="s">
        <v>958</v>
      </c>
      <c r="E13" s="3116" t="s">
        <v>2873</v>
      </c>
      <c r="F13" s="3018" t="s">
        <v>958</v>
      </c>
      <c r="G13" s="3019" t="s">
        <v>2874</v>
      </c>
      <c r="H13" s="3014" t="s">
        <v>958</v>
      </c>
      <c r="I13" s="3117" t="s">
        <v>2875</v>
      </c>
      <c r="J13" s="3014" t="s">
        <v>958</v>
      </c>
      <c r="K13" s="3015" t="s">
        <v>2876</v>
      </c>
      <c r="L13" s="1191" t="s">
        <v>958</v>
      </c>
      <c r="M13" s="298"/>
    </row>
    <row r="14" spans="1:15" s="297" customFormat="1" x14ac:dyDescent="0.3">
      <c r="A14" s="3278"/>
      <c r="B14" s="1191"/>
      <c r="C14" s="1194"/>
      <c r="D14" s="3014" t="s">
        <v>958</v>
      </c>
      <c r="E14" s="3013" t="s">
        <v>958</v>
      </c>
      <c r="F14" s="3014"/>
      <c r="G14" s="3013"/>
      <c r="H14" s="3014"/>
      <c r="I14" s="3013"/>
      <c r="J14" s="3014"/>
      <c r="K14" s="3013"/>
      <c r="L14" s="1191"/>
    </row>
    <row r="15" spans="1:15" s="297" customFormat="1" ht="45" customHeight="1" x14ac:dyDescent="0.3">
      <c r="A15" s="3278"/>
      <c r="B15" s="1191"/>
      <c r="C15" s="3279" t="s">
        <v>2465</v>
      </c>
      <c r="D15" s="3014" t="s">
        <v>958</v>
      </c>
      <c r="E15" s="3016" t="s">
        <v>2682</v>
      </c>
      <c r="F15" s="3014" t="s">
        <v>958</v>
      </c>
      <c r="G15" s="3016" t="s">
        <v>2683</v>
      </c>
      <c r="H15" s="3014" t="s">
        <v>958</v>
      </c>
      <c r="I15" s="3016" t="s">
        <v>2684</v>
      </c>
      <c r="J15" s="3014" t="s">
        <v>958</v>
      </c>
      <c r="K15" s="3016" t="s">
        <v>2685</v>
      </c>
      <c r="L15" s="1191" t="s">
        <v>958</v>
      </c>
    </row>
    <row r="16" spans="1:15" s="297" customFormat="1" x14ac:dyDescent="0.3">
      <c r="A16" s="3278"/>
      <c r="B16" s="1191"/>
      <c r="C16" s="3279"/>
      <c r="D16" s="3014" t="s">
        <v>958</v>
      </c>
      <c r="E16" s="3013"/>
      <c r="F16" s="3014"/>
      <c r="G16" s="3013"/>
      <c r="H16" s="3014"/>
      <c r="I16" s="3013"/>
      <c r="J16" s="3014"/>
      <c r="K16" s="3013"/>
      <c r="L16" s="1191"/>
    </row>
    <row r="17" spans="1:14" s="297" customFormat="1" ht="45.75" customHeight="1" x14ac:dyDescent="0.3">
      <c r="A17" s="3278"/>
      <c r="B17" s="1191"/>
      <c r="C17" s="3279"/>
      <c r="D17" s="3014" t="s">
        <v>958</v>
      </c>
      <c r="E17" s="3016" t="s">
        <v>2686</v>
      </c>
      <c r="F17" s="3014"/>
      <c r="G17" s="3017" t="s">
        <v>2464</v>
      </c>
      <c r="H17" s="3014"/>
      <c r="I17" s="3020" t="s">
        <v>2687</v>
      </c>
      <c r="J17" s="3014"/>
      <c r="K17" s="3014"/>
      <c r="L17" s="1191" t="s">
        <v>958</v>
      </c>
      <c r="N17" s="2429"/>
    </row>
    <row r="18" spans="1:14" s="297" customFormat="1" ht="21" x14ac:dyDescent="0.25">
      <c r="B18" s="1191"/>
      <c r="C18" s="3277" t="s">
        <v>958</v>
      </c>
      <c r="D18" s="3277"/>
      <c r="E18" s="3277"/>
      <c r="F18" s="3277"/>
      <c r="G18" s="3277"/>
      <c r="H18" s="3277"/>
      <c r="I18" s="3277"/>
      <c r="J18" s="3277"/>
      <c r="K18" s="3277"/>
      <c r="L18" s="1191"/>
    </row>
    <row r="19" spans="1:14" s="299" customFormat="1" ht="13" x14ac:dyDescent="0.25">
      <c r="C19" s="300"/>
      <c r="D19" s="301"/>
      <c r="E19" s="302"/>
      <c r="F19" s="302"/>
      <c r="G19" s="302"/>
      <c r="H19" s="302"/>
      <c r="I19" s="302"/>
      <c r="J19" s="302"/>
      <c r="K19" s="302"/>
    </row>
    <row r="21" spans="1:14" ht="74.25" customHeight="1" x14ac:dyDescent="0.35">
      <c r="B21" s="3280" t="s">
        <v>1793</v>
      </c>
      <c r="C21" s="3280"/>
      <c r="D21" s="3280"/>
      <c r="E21" s="3280"/>
      <c r="F21" s="3280"/>
      <c r="G21" s="3280"/>
      <c r="H21" s="3280"/>
      <c r="I21" s="3280"/>
      <c r="J21" s="3280"/>
      <c r="K21" s="3280"/>
      <c r="L21" s="3280"/>
    </row>
    <row r="22" spans="1:14" ht="21" x14ac:dyDescent="0.5">
      <c r="C22" s="326"/>
    </row>
  </sheetData>
  <mergeCells count="10">
    <mergeCell ref="C10:K10"/>
    <mergeCell ref="A13:A17"/>
    <mergeCell ref="C15:C17"/>
    <mergeCell ref="C18:K18"/>
    <mergeCell ref="B21:L21"/>
    <mergeCell ref="D1:G1"/>
    <mergeCell ref="D2:G2"/>
    <mergeCell ref="H1:L3"/>
    <mergeCell ref="E6:I7"/>
    <mergeCell ref="D3:G3"/>
  </mergeCells>
  <hyperlinks>
    <hyperlink ref="A4" location="Parametre!A1" display=" " xr:uid="{00000000-0004-0000-0100-000000000000}"/>
    <hyperlink ref="G13" location="'POSITIONING-OFR1'!A1" display="Définition de l'offre" xr:uid="{00000000-0004-0000-0100-000001000000}"/>
    <hyperlink ref="J8" location="EXPECTATIONS!A1" display="Attentes, valeur ajoutée et vision du partenariat " xr:uid="{00000000-0004-0000-0100-000002000000}"/>
    <hyperlink ref="I13" location="SECTORMARKET!A1" display="Stratégie marchés" xr:uid="{00000000-0004-0000-0100-000003000000}"/>
    <hyperlink ref="G15" location="'PLAN D''ACTIONS'!A1" display="Plan d'action Marketing " xr:uid="{00000000-0004-0000-0100-000004000000}"/>
    <hyperlink ref="E15" location="'PLAN D''ACTIONS'!A1" display="Plan d'action commercial" xr:uid="{00000000-0004-0000-0100-000005000000}"/>
    <hyperlink ref="I15" location="'PLAN D''ACTIONS'!A1" display="Plan d'action Formation" xr:uid="{00000000-0004-0000-0100-000006000000}"/>
    <hyperlink ref="K15" location="'PLAN D''ACTIONS'!A1" display="Plan d'action Services" xr:uid="{00000000-0004-0000-0100-000007000000}"/>
    <hyperlink ref="E17" location="'PLAN D''ACTIONS'!A1" display="Plan d'action Partenariat" xr:uid="{00000000-0004-0000-0100-000008000000}"/>
    <hyperlink ref="E13" location="'ADDED VALUE'!A1" display="Valeur ajoutée du partenariat " xr:uid="{00000000-0004-0000-0100-000009000000}"/>
    <hyperlink ref="K13" location="VISION!A1" display="Plan de vente 3 ans " xr:uid="{00000000-0004-0000-0100-00000A000000}"/>
    <hyperlink ref="G17" location="CRITICALFACTORS!A1" display="Facteurs clés de succès" xr:uid="{00000000-0004-0000-0100-00000B000000}"/>
    <hyperlink ref="I17" location="EVALUATION!A1" display="Evalutation de la session" xr:uid="{00000000-0004-0000-0100-00000C000000}"/>
  </hyperlinks>
  <pageMargins left="0.70866141732283472" right="0.70866141732283472" top="0.74803149606299213" bottom="0.74803149606299213" header="0.31496062992125984" footer="0.31496062992125984"/>
  <pageSetup paperSize="9" scale="50" orientation="portrait" r:id="rId1"/>
  <headerFooter>
    <oddHeader>&amp;LPAD Methodology (c) 2013-2014&amp;RStrategic Management Workshop</oddHeader>
    <oddFooter>&amp;L&amp;F&amp;C&amp;A&amp;RSituation au : &amp;D - page : &amp;P/&amp;N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9" filterMode="1">
    <tabColor rgb="FFFF6699"/>
    <pageSetUpPr fitToPage="1"/>
  </sheetPr>
  <dimension ref="A1:V87"/>
  <sheetViews>
    <sheetView showGridLines="0" zoomScale="120" zoomScaleNormal="120" workbookViewId="0">
      <pane ySplit="9" topLeftCell="A10" activePane="bottomLeft" state="frozen"/>
      <selection activeCell="A12" sqref="A12:E12"/>
      <selection pane="bottomLeft" activeCell="D16" sqref="D16"/>
    </sheetView>
  </sheetViews>
  <sheetFormatPr baseColWidth="10" defaultColWidth="11.453125" defaultRowHeight="14.5" x14ac:dyDescent="0.35"/>
  <cols>
    <col min="1" max="1" width="11.453125" style="60"/>
    <col min="2" max="2" width="9.54296875" style="60" customWidth="1"/>
    <col min="3" max="4" width="11.453125" style="60"/>
    <col min="5" max="5" width="13" style="60" customWidth="1"/>
    <col min="6" max="11" width="11.453125" style="60"/>
    <col min="12" max="12" width="9.81640625" style="60" customWidth="1"/>
    <col min="13" max="13" width="10.54296875" style="60" customWidth="1"/>
    <col min="14" max="17" width="8.1796875" style="60" customWidth="1"/>
    <col min="18" max="16384" width="11.453125" style="60"/>
  </cols>
  <sheetData>
    <row r="1" spans="1:22" s="54" customFormat="1" ht="15" customHeight="1" x14ac:dyDescent="0.35">
      <c r="A1" s="959"/>
      <c r="B1" s="959"/>
      <c r="C1" s="959"/>
      <c r="D1" s="3341" t="s">
        <v>5</v>
      </c>
      <c r="E1" s="3341"/>
      <c r="F1" s="3341"/>
      <c r="G1" s="3341"/>
      <c r="H1" s="391"/>
      <c r="I1" s="3341" t="s">
        <v>6</v>
      </c>
      <c r="J1" s="3341"/>
      <c r="K1" s="959"/>
      <c r="L1" s="3341" t="s">
        <v>9</v>
      </c>
      <c r="M1" s="3341"/>
      <c r="N1" s="959"/>
      <c r="O1" s="1027"/>
      <c r="P1" s="1027"/>
      <c r="Q1" s="1027"/>
      <c r="R1" s="445"/>
      <c r="S1" s="97"/>
      <c r="T1" s="97"/>
      <c r="U1" s="97"/>
      <c r="V1" s="97"/>
    </row>
    <row r="2" spans="1:22" s="58" customFormat="1" ht="18" customHeight="1" x14ac:dyDescent="0.35">
      <c r="A2" s="393"/>
      <c r="B2" s="393"/>
      <c r="C2" s="393"/>
      <c r="D2" s="3342" t="str">
        <f>NomClient</f>
        <v xml:space="preserve">EQUINIX </v>
      </c>
      <c r="E2" s="3343"/>
      <c r="F2" s="3343"/>
      <c r="G2" s="3344"/>
      <c r="H2" s="393"/>
      <c r="I2" s="4266" t="s">
        <v>407</v>
      </c>
      <c r="J2" s="4267"/>
      <c r="K2" s="393"/>
      <c r="L2" s="3347">
        <v>42534.862002314818</v>
      </c>
      <c r="M2" s="3348"/>
      <c r="N2" s="394"/>
      <c r="O2" s="393" t="s">
        <v>2477</v>
      </c>
      <c r="P2" s="393"/>
      <c r="Q2" s="393"/>
      <c r="R2" s="446"/>
      <c r="S2" s="98"/>
      <c r="T2" s="98"/>
      <c r="U2" s="98"/>
      <c r="V2" s="98"/>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1028"/>
      <c r="B4" s="4277" t="str">
        <f>Parametre!B34 &amp; "  : "</f>
        <v xml:space="preserve">Plan d'Action  : </v>
      </c>
      <c r="C4" s="4277"/>
      <c r="D4" s="4277"/>
      <c r="E4" s="4277"/>
      <c r="F4" s="4277"/>
      <c r="G4" s="4277"/>
      <c r="H4" s="4278" t="s">
        <v>846</v>
      </c>
      <c r="I4" s="4278"/>
      <c r="J4" s="4278"/>
      <c r="K4" s="4278"/>
      <c r="L4" s="4278"/>
      <c r="M4" s="4278"/>
      <c r="N4" s="4278"/>
      <c r="O4" s="4278"/>
      <c r="P4" s="4278"/>
      <c r="Q4" s="4279"/>
      <c r="R4" s="447"/>
      <c r="S4" s="27"/>
      <c r="T4" s="27"/>
      <c r="U4" s="27"/>
      <c r="V4" s="27"/>
    </row>
    <row r="5" spans="1:22" ht="7.5" customHeight="1" x14ac:dyDescent="0.35">
      <c r="A5" s="4276"/>
      <c r="B5" s="4276"/>
      <c r="C5" s="4276"/>
      <c r="D5" s="4276"/>
      <c r="E5" s="4276"/>
      <c r="F5" s="4276"/>
      <c r="G5" s="4276"/>
      <c r="H5" s="4276"/>
      <c r="I5" s="4276"/>
      <c r="J5" s="4276"/>
      <c r="K5" s="4276"/>
      <c r="L5" s="4276"/>
      <c r="M5" s="4276"/>
      <c r="N5" s="4276"/>
      <c r="O5" s="4276"/>
      <c r="P5" s="4276"/>
      <c r="Q5" s="4276"/>
      <c r="R5" s="382"/>
      <c r="S5" s="99"/>
      <c r="T5" s="99"/>
      <c r="U5" s="99"/>
      <c r="V5" s="99"/>
    </row>
    <row r="6" spans="1:22" ht="15" customHeight="1" thickBot="1" x14ac:dyDescent="0.4">
      <c r="A6" s="4280" t="s">
        <v>14</v>
      </c>
      <c r="B6" s="4280"/>
      <c r="C6" s="4281" t="s">
        <v>2253</v>
      </c>
      <c r="D6" s="4281"/>
      <c r="E6" s="4281"/>
      <c r="F6" s="4281"/>
      <c r="G6" s="4281"/>
      <c r="H6" s="4281"/>
      <c r="I6" s="4281"/>
      <c r="J6" s="4281"/>
      <c r="K6" s="4281"/>
      <c r="L6" s="4281"/>
      <c r="M6" s="4281"/>
      <c r="N6" s="4281"/>
      <c r="O6" s="4281"/>
      <c r="P6" s="4281"/>
      <c r="Q6" s="382"/>
      <c r="R6" s="382"/>
      <c r="S6" s="99"/>
      <c r="T6" s="99"/>
      <c r="U6" s="99"/>
      <c r="V6" s="99"/>
    </row>
    <row r="7" spans="1:22" ht="7.5" hidden="1" customHeight="1" thickBot="1" x14ac:dyDescent="0.4">
      <c r="A7" s="4276"/>
      <c r="B7" s="4276"/>
      <c r="C7" s="4276"/>
      <c r="D7" s="4276"/>
      <c r="E7" s="4276"/>
      <c r="F7" s="4276"/>
      <c r="G7" s="4276"/>
      <c r="H7" s="4276"/>
      <c r="I7" s="4276"/>
      <c r="J7" s="4276"/>
      <c r="K7" s="4276"/>
      <c r="L7" s="4276"/>
      <c r="M7" s="4276"/>
      <c r="N7" s="4276"/>
      <c r="O7" s="4276"/>
      <c r="P7" s="4276"/>
      <c r="Q7" s="4276"/>
      <c r="R7" s="382"/>
      <c r="S7" s="99"/>
      <c r="T7" s="99"/>
      <c r="U7" s="99"/>
      <c r="V7" s="99"/>
    </row>
    <row r="8" spans="1:22" ht="15.5" thickTop="1" thickBot="1" x14ac:dyDescent="0.4">
      <c r="A8" s="1029"/>
      <c r="B8" s="1029"/>
      <c r="C8" s="1029"/>
      <c r="D8" s="1029"/>
      <c r="E8" s="1029"/>
      <c r="F8" s="1029"/>
      <c r="G8" s="1029"/>
      <c r="H8" s="1029"/>
      <c r="I8" s="1029"/>
      <c r="J8" s="1029"/>
      <c r="K8" s="1029"/>
      <c r="L8" s="1029"/>
      <c r="M8" s="1029"/>
      <c r="N8" s="4369" t="s">
        <v>42</v>
      </c>
      <c r="O8" s="4370"/>
      <c r="P8" s="4370"/>
      <c r="Q8" s="4371"/>
      <c r="R8" s="382"/>
      <c r="S8" s="99"/>
      <c r="T8" s="99"/>
    </row>
    <row r="9" spans="1:22" s="328" customFormat="1" ht="43.5" customHeight="1" thickTop="1" x14ac:dyDescent="0.35">
      <c r="A9" s="4364" t="s">
        <v>1177</v>
      </c>
      <c r="B9" s="4365"/>
      <c r="C9" s="1030" t="s">
        <v>96</v>
      </c>
      <c r="D9" s="1031" t="s">
        <v>98</v>
      </c>
      <c r="E9" s="1031" t="s">
        <v>149</v>
      </c>
      <c r="F9" s="4361" t="s">
        <v>97</v>
      </c>
      <c r="G9" s="4362"/>
      <c r="H9" s="4362"/>
      <c r="I9" s="4362"/>
      <c r="J9" s="4363"/>
      <c r="K9" s="1032" t="s">
        <v>99</v>
      </c>
      <c r="L9" s="1033" t="s">
        <v>148</v>
      </c>
      <c r="M9" s="1034" t="s">
        <v>126</v>
      </c>
      <c r="N9" s="1112" t="s">
        <v>746</v>
      </c>
      <c r="O9" s="1111"/>
      <c r="P9" s="1109" t="s">
        <v>747</v>
      </c>
      <c r="Q9" s="1110"/>
      <c r="R9" s="1035"/>
      <c r="S9" s="335"/>
      <c r="T9" s="335"/>
    </row>
    <row r="10" spans="1:22" s="328" customFormat="1" ht="1.5" hidden="1" customHeight="1" x14ac:dyDescent="0.35">
      <c r="A10" s="4366"/>
      <c r="B10" s="4367"/>
      <c r="C10" s="4367"/>
      <c r="D10" s="4367"/>
      <c r="E10" s="4367"/>
      <c r="F10" s="4367"/>
      <c r="G10" s="4367"/>
      <c r="H10" s="4367"/>
      <c r="I10" s="4367"/>
      <c r="J10" s="4367"/>
      <c r="K10" s="4367"/>
      <c r="L10" s="4367"/>
      <c r="M10" s="4367"/>
      <c r="N10" s="4367"/>
      <c r="O10" s="4367"/>
      <c r="P10" s="4367"/>
      <c r="Q10" s="4368"/>
      <c r="R10" s="1035"/>
      <c r="S10" s="335"/>
      <c r="T10" s="335"/>
    </row>
    <row r="11" spans="1:22" hidden="1" x14ac:dyDescent="0.35">
      <c r="A11" s="4375"/>
      <c r="B11" s="4376"/>
      <c r="C11" s="1036"/>
      <c r="D11" s="1037"/>
      <c r="E11" s="1037"/>
      <c r="F11" s="4377"/>
      <c r="G11" s="4378"/>
      <c r="H11" s="4378"/>
      <c r="I11" s="4378"/>
      <c r="J11" s="4379"/>
      <c r="K11" s="1038"/>
      <c r="L11" s="1038"/>
      <c r="M11" s="1038"/>
      <c r="N11" s="1039"/>
      <c r="O11" s="1040"/>
      <c r="P11" s="1041"/>
      <c r="Q11" s="1042"/>
      <c r="R11" s="382"/>
      <c r="S11" s="99"/>
      <c r="T11" s="99"/>
    </row>
    <row r="12" spans="1:22" hidden="1" x14ac:dyDescent="0.35">
      <c r="A12" s="4375"/>
      <c r="B12" s="4376"/>
      <c r="C12" s="1036"/>
      <c r="D12" s="1037"/>
      <c r="E12" s="1037"/>
      <c r="F12" s="4377"/>
      <c r="G12" s="4378"/>
      <c r="H12" s="4378"/>
      <c r="I12" s="4378"/>
      <c r="J12" s="4379"/>
      <c r="K12" s="1038"/>
      <c r="L12" s="1038"/>
      <c r="M12" s="1038"/>
      <c r="N12" s="1039"/>
      <c r="O12" s="1040"/>
      <c r="P12" s="1041"/>
      <c r="Q12" s="1042"/>
      <c r="R12" s="382"/>
      <c r="S12" s="99"/>
      <c r="T12" s="99"/>
    </row>
    <row r="13" spans="1:22" hidden="1" x14ac:dyDescent="0.35">
      <c r="A13" s="4375"/>
      <c r="B13" s="4376"/>
      <c r="C13" s="1036"/>
      <c r="D13" s="1037"/>
      <c r="E13" s="1037"/>
      <c r="F13" s="4377"/>
      <c r="G13" s="4378"/>
      <c r="H13" s="4378"/>
      <c r="I13" s="4378"/>
      <c r="J13" s="4379"/>
      <c r="K13" s="1038"/>
      <c r="L13" s="1038"/>
      <c r="M13" s="1038"/>
      <c r="N13" s="1039"/>
      <c r="O13" s="1040"/>
      <c r="P13" s="1041"/>
      <c r="Q13" s="1042"/>
      <c r="R13" s="382"/>
      <c r="S13" s="99"/>
      <c r="T13" s="99"/>
    </row>
    <row r="14" spans="1:22" x14ac:dyDescent="0.35">
      <c r="A14" s="4356"/>
      <c r="B14" s="4357"/>
      <c r="C14" s="1147"/>
      <c r="D14" s="1148"/>
      <c r="E14" s="1148"/>
      <c r="F14" s="4358"/>
      <c r="G14" s="4359"/>
      <c r="H14" s="4359"/>
      <c r="I14" s="4359"/>
      <c r="J14" s="4360"/>
      <c r="K14" s="1149"/>
      <c r="L14" s="1149"/>
      <c r="M14" s="1149"/>
      <c r="N14" s="1150"/>
      <c r="O14" s="1151"/>
      <c r="P14" s="1152"/>
      <c r="Q14" s="1153"/>
      <c r="R14" s="382"/>
      <c r="S14" s="99"/>
      <c r="T14" s="99"/>
    </row>
    <row r="15" spans="1:22" x14ac:dyDescent="0.35">
      <c r="A15" s="4356"/>
      <c r="B15" s="4357"/>
      <c r="C15" s="1147"/>
      <c r="D15" s="1148"/>
      <c r="E15" s="1148"/>
      <c r="F15" s="4358"/>
      <c r="G15" s="4359"/>
      <c r="H15" s="4359"/>
      <c r="I15" s="4359"/>
      <c r="J15" s="4360"/>
      <c r="K15" s="1149"/>
      <c r="L15" s="1149"/>
      <c r="M15" s="1149"/>
      <c r="N15" s="1150"/>
      <c r="O15" s="1151"/>
      <c r="P15" s="1152"/>
      <c r="Q15" s="1153"/>
      <c r="R15" s="382"/>
      <c r="S15" s="99"/>
      <c r="T15" s="99"/>
    </row>
    <row r="16" spans="1:22" x14ac:dyDescent="0.35">
      <c r="A16" s="4356"/>
      <c r="B16" s="4357"/>
      <c r="C16" s="1147"/>
      <c r="D16" s="1148"/>
      <c r="E16" s="1148"/>
      <c r="F16" s="4358"/>
      <c r="G16" s="4359"/>
      <c r="H16" s="4359"/>
      <c r="I16" s="4359"/>
      <c r="J16" s="4360"/>
      <c r="K16" s="1149"/>
      <c r="L16" s="1149"/>
      <c r="M16" s="1149"/>
      <c r="N16" s="1150"/>
      <c r="O16" s="1151"/>
      <c r="P16" s="1152"/>
      <c r="Q16" s="1153"/>
      <c r="R16" s="382"/>
      <c r="S16" s="99"/>
      <c r="T16" s="99"/>
    </row>
    <row r="17" spans="1:20" x14ac:dyDescent="0.35">
      <c r="A17" s="4356"/>
      <c r="B17" s="4357"/>
      <c r="C17" s="1147"/>
      <c r="D17" s="1148"/>
      <c r="E17" s="1148"/>
      <c r="F17" s="4358"/>
      <c r="G17" s="4359"/>
      <c r="H17" s="4359"/>
      <c r="I17" s="4359"/>
      <c r="J17" s="4360"/>
      <c r="K17" s="1149"/>
      <c r="L17" s="1149"/>
      <c r="M17" s="1149"/>
      <c r="N17" s="1150"/>
      <c r="O17" s="1151"/>
      <c r="P17" s="1152"/>
      <c r="Q17" s="1153"/>
      <c r="R17" s="382"/>
      <c r="S17" s="99"/>
      <c r="T17" s="99"/>
    </row>
    <row r="18" spans="1:20" x14ac:dyDescent="0.35">
      <c r="A18" s="4356"/>
      <c r="B18" s="4357"/>
      <c r="C18" s="1147"/>
      <c r="D18" s="1148"/>
      <c r="E18" s="1148"/>
      <c r="F18" s="4358"/>
      <c r="G18" s="4359"/>
      <c r="H18" s="4359"/>
      <c r="I18" s="4359"/>
      <c r="J18" s="4360"/>
      <c r="K18" s="1149"/>
      <c r="L18" s="1149"/>
      <c r="M18" s="1149"/>
      <c r="N18" s="1150"/>
      <c r="O18" s="1151"/>
      <c r="P18" s="1152"/>
      <c r="Q18" s="1153"/>
      <c r="R18" s="382"/>
      <c r="S18" s="99"/>
      <c r="T18" s="99"/>
    </row>
    <row r="19" spans="1:20" x14ac:dyDescent="0.35">
      <c r="A19" s="4356"/>
      <c r="B19" s="4357"/>
      <c r="C19" s="1147"/>
      <c r="D19" s="1148"/>
      <c r="E19" s="1148"/>
      <c r="F19" s="4358"/>
      <c r="G19" s="4359"/>
      <c r="H19" s="4359"/>
      <c r="I19" s="4359"/>
      <c r="J19" s="4360"/>
      <c r="K19" s="1149"/>
      <c r="L19" s="1149"/>
      <c r="M19" s="1149"/>
      <c r="N19" s="1150"/>
      <c r="O19" s="1151"/>
      <c r="P19" s="1152"/>
      <c r="Q19" s="1153"/>
      <c r="R19" s="382"/>
      <c r="S19" s="99"/>
      <c r="T19" s="99"/>
    </row>
    <row r="20" spans="1:20" x14ac:dyDescent="0.35">
      <c r="A20" s="4356"/>
      <c r="B20" s="4357"/>
      <c r="C20" s="1147"/>
      <c r="D20" s="1148"/>
      <c r="E20" s="1148"/>
      <c r="F20" s="4358"/>
      <c r="G20" s="4359"/>
      <c r="H20" s="4359"/>
      <c r="I20" s="4359"/>
      <c r="J20" s="4360"/>
      <c r="K20" s="1149"/>
      <c r="L20" s="1149"/>
      <c r="M20" s="1149"/>
      <c r="N20" s="1150"/>
      <c r="O20" s="1151"/>
      <c r="P20" s="1152"/>
      <c r="Q20" s="1153"/>
      <c r="R20" s="382"/>
      <c r="S20" s="99"/>
      <c r="T20" s="99"/>
    </row>
    <row r="21" spans="1:20" hidden="1" x14ac:dyDescent="0.35">
      <c r="A21" s="4356" t="s">
        <v>2015</v>
      </c>
      <c r="B21" s="4357"/>
      <c r="C21" s="1147"/>
      <c r="D21" s="1148">
        <v>42426.716689814813</v>
      </c>
      <c r="E21" s="1148" t="s">
        <v>742</v>
      </c>
      <c r="F21" s="4358" t="s">
        <v>2100</v>
      </c>
      <c r="G21" s="4359"/>
      <c r="H21" s="4359"/>
      <c r="I21" s="4359"/>
      <c r="J21" s="4360"/>
      <c r="K21" s="1149">
        <v>42735</v>
      </c>
      <c r="L21" s="1149"/>
      <c r="M21" s="1149"/>
      <c r="N21" s="1150" t="s">
        <v>1953</v>
      </c>
      <c r="O21" s="1151"/>
      <c r="P21" s="1152"/>
      <c r="Q21" s="1153"/>
      <c r="R21" s="382"/>
      <c r="S21" s="99"/>
      <c r="T21" s="99"/>
    </row>
    <row r="22" spans="1:20" x14ac:dyDescent="0.35">
      <c r="A22" s="4356"/>
      <c r="B22" s="4357"/>
      <c r="C22" s="1147"/>
      <c r="D22" s="1148"/>
      <c r="E22" s="1148"/>
      <c r="F22" s="4358"/>
      <c r="G22" s="4359"/>
      <c r="H22" s="4359"/>
      <c r="I22" s="4359"/>
      <c r="J22" s="4360"/>
      <c r="K22" s="1149"/>
      <c r="L22" s="1149"/>
      <c r="M22" s="1149"/>
      <c r="N22" s="1150"/>
      <c r="O22" s="1151"/>
      <c r="P22" s="1152"/>
      <c r="Q22" s="1153"/>
      <c r="R22" s="382"/>
      <c r="S22" s="99"/>
      <c r="T22" s="99"/>
    </row>
    <row r="23" spans="1:20" x14ac:dyDescent="0.35">
      <c r="A23" s="4356"/>
      <c r="B23" s="4357"/>
      <c r="C23" s="1147"/>
      <c r="D23" s="1148"/>
      <c r="E23" s="1148"/>
      <c r="F23" s="4358"/>
      <c r="G23" s="4359"/>
      <c r="H23" s="4359"/>
      <c r="I23" s="4359"/>
      <c r="J23" s="4360"/>
      <c r="K23" s="1149"/>
      <c r="L23" s="1149"/>
      <c r="M23" s="1149"/>
      <c r="N23" s="1150"/>
      <c r="O23" s="1151"/>
      <c r="P23" s="1152"/>
      <c r="Q23" s="1153"/>
      <c r="R23" s="382"/>
      <c r="S23" s="99"/>
      <c r="T23" s="99"/>
    </row>
    <row r="24" spans="1:20" hidden="1" x14ac:dyDescent="0.35">
      <c r="A24" s="4356" t="s">
        <v>2077</v>
      </c>
      <c r="B24" s="4357"/>
      <c r="C24" s="1147"/>
      <c r="D24" s="1148">
        <v>42426.463634259257</v>
      </c>
      <c r="E24" s="1148" t="s">
        <v>151</v>
      </c>
      <c r="F24" s="4358" t="s">
        <v>2090</v>
      </c>
      <c r="G24" s="4359"/>
      <c r="H24" s="4359"/>
      <c r="I24" s="4359"/>
      <c r="J24" s="4360"/>
      <c r="K24" s="1149">
        <v>42643</v>
      </c>
      <c r="L24" s="1149"/>
      <c r="M24" s="1149"/>
      <c r="N24" s="1150" t="s">
        <v>1955</v>
      </c>
      <c r="O24" s="1151"/>
      <c r="P24" s="1152"/>
      <c r="Q24" s="1153"/>
      <c r="R24" s="382"/>
      <c r="S24" s="99"/>
      <c r="T24" s="99"/>
    </row>
    <row r="25" spans="1:20" x14ac:dyDescent="0.35">
      <c r="A25" s="4356"/>
      <c r="B25" s="4357"/>
      <c r="C25" s="1147"/>
      <c r="D25" s="1148"/>
      <c r="E25" s="1148"/>
      <c r="F25" s="4358"/>
      <c r="G25" s="4359"/>
      <c r="H25" s="4359"/>
      <c r="I25" s="4359"/>
      <c r="J25" s="4360"/>
      <c r="K25" s="1149"/>
      <c r="L25" s="1149"/>
      <c r="M25" s="1149"/>
      <c r="N25" s="1150"/>
      <c r="O25" s="1151"/>
      <c r="P25" s="1152"/>
      <c r="Q25" s="1153"/>
      <c r="R25" s="382"/>
      <c r="S25" s="99"/>
      <c r="T25" s="99"/>
    </row>
    <row r="26" spans="1:20" hidden="1" x14ac:dyDescent="0.35">
      <c r="A26" s="4356" t="s">
        <v>2077</v>
      </c>
      <c r="B26" s="4357"/>
      <c r="C26" s="1147"/>
      <c r="D26" s="1148">
        <v>42426.440104166664</v>
      </c>
      <c r="E26" s="1148"/>
      <c r="F26" s="4358"/>
      <c r="G26" s="4359"/>
      <c r="H26" s="4359"/>
      <c r="I26" s="4359"/>
      <c r="J26" s="4360"/>
      <c r="K26" s="1149"/>
      <c r="L26" s="1149"/>
      <c r="M26" s="1149"/>
      <c r="N26" s="1150"/>
      <c r="O26" s="1151"/>
      <c r="P26" s="1152"/>
      <c r="Q26" s="1153"/>
      <c r="R26" s="382"/>
      <c r="S26" s="99"/>
      <c r="T26" s="99"/>
    </row>
    <row r="27" spans="1:20" hidden="1" x14ac:dyDescent="0.35">
      <c r="A27" s="4356" t="s">
        <v>2077</v>
      </c>
      <c r="B27" s="4357"/>
      <c r="C27" s="1147"/>
      <c r="D27" s="1148">
        <v>42426.428460648145</v>
      </c>
      <c r="E27" s="1148" t="s">
        <v>151</v>
      </c>
      <c r="F27" s="4358" t="s">
        <v>2087</v>
      </c>
      <c r="G27" s="4359"/>
      <c r="H27" s="4359"/>
      <c r="I27" s="4359"/>
      <c r="J27" s="4360"/>
      <c r="K27" s="1149">
        <v>42643</v>
      </c>
      <c r="L27" s="1149"/>
      <c r="M27" s="1149"/>
      <c r="N27" s="1150" t="s">
        <v>1955</v>
      </c>
      <c r="O27" s="1151"/>
      <c r="P27" s="1152"/>
      <c r="Q27" s="1153"/>
      <c r="R27" s="382"/>
      <c r="S27" s="99"/>
      <c r="T27" s="99"/>
    </row>
    <row r="28" spans="1:20" hidden="1" x14ac:dyDescent="0.35">
      <c r="A28" s="4356" t="s">
        <v>2077</v>
      </c>
      <c r="B28" s="4357"/>
      <c r="C28" s="1147"/>
      <c r="D28" s="1148">
        <v>42426.423472222225</v>
      </c>
      <c r="E28" s="1148" t="s">
        <v>151</v>
      </c>
      <c r="F28" s="4358" t="s">
        <v>2188</v>
      </c>
      <c r="G28" s="4359"/>
      <c r="H28" s="4359"/>
      <c r="I28" s="4359"/>
      <c r="J28" s="4360"/>
      <c r="K28" s="1149">
        <v>42643</v>
      </c>
      <c r="L28" s="1149"/>
      <c r="M28" s="1149"/>
      <c r="N28" s="1150" t="s">
        <v>1955</v>
      </c>
      <c r="O28" s="1151"/>
      <c r="P28" s="1152"/>
      <c r="Q28" s="1153"/>
      <c r="R28" s="382"/>
      <c r="S28" s="99"/>
      <c r="T28" s="99"/>
    </row>
    <row r="29" spans="1:20" hidden="1" x14ac:dyDescent="0.35">
      <c r="A29" s="4356" t="s">
        <v>2077</v>
      </c>
      <c r="B29" s="4357"/>
      <c r="C29" s="1147"/>
      <c r="D29" s="1148">
        <v>42426.419803240744</v>
      </c>
      <c r="E29" s="1148" t="s">
        <v>742</v>
      </c>
      <c r="F29" s="4358" t="s">
        <v>2079</v>
      </c>
      <c r="G29" s="4359"/>
      <c r="H29" s="4359"/>
      <c r="I29" s="4359"/>
      <c r="J29" s="4360"/>
      <c r="K29" s="1149">
        <v>42735</v>
      </c>
      <c r="L29" s="1149"/>
      <c r="M29" s="1149"/>
      <c r="N29" s="1150" t="s">
        <v>1954</v>
      </c>
      <c r="O29" s="1151"/>
      <c r="P29" s="1152"/>
      <c r="Q29" s="1153"/>
      <c r="R29" s="382"/>
      <c r="S29" s="99"/>
      <c r="T29" s="99"/>
    </row>
    <row r="30" spans="1:20" hidden="1" x14ac:dyDescent="0.35">
      <c r="A30" s="4356" t="s">
        <v>2077</v>
      </c>
      <c r="B30" s="4357"/>
      <c r="C30" s="1147"/>
      <c r="D30" s="1148">
        <v>42426.418935185182</v>
      </c>
      <c r="E30" s="1148" t="s">
        <v>151</v>
      </c>
      <c r="F30" s="4358" t="s">
        <v>2078</v>
      </c>
      <c r="G30" s="4359"/>
      <c r="H30" s="4359"/>
      <c r="I30" s="4359"/>
      <c r="J30" s="4360"/>
      <c r="K30" s="1149">
        <v>42643</v>
      </c>
      <c r="L30" s="1149"/>
      <c r="M30" s="1149"/>
      <c r="N30" s="1150" t="s">
        <v>1955</v>
      </c>
      <c r="O30" s="1151"/>
      <c r="P30" s="1152"/>
      <c r="Q30" s="1153"/>
      <c r="R30" s="382"/>
      <c r="S30" s="99"/>
      <c r="T30" s="99"/>
    </row>
    <row r="31" spans="1:20" x14ac:dyDescent="0.35">
      <c r="A31" s="4356"/>
      <c r="B31" s="4357"/>
      <c r="C31" s="1147"/>
      <c r="D31" s="1148"/>
      <c r="E31" s="1148"/>
      <c r="F31" s="4358"/>
      <c r="G31" s="4359"/>
      <c r="H31" s="4359"/>
      <c r="I31" s="4359"/>
      <c r="J31" s="4360"/>
      <c r="K31" s="1149"/>
      <c r="L31" s="1149"/>
      <c r="M31" s="1149"/>
      <c r="N31" s="1150"/>
      <c r="O31" s="1151"/>
      <c r="P31" s="1152"/>
      <c r="Q31" s="1153"/>
      <c r="R31" s="382"/>
      <c r="S31" s="99"/>
      <c r="T31" s="99"/>
    </row>
    <row r="32" spans="1:20" x14ac:dyDescent="0.35">
      <c r="A32" s="4356"/>
      <c r="B32" s="4357"/>
      <c r="C32" s="1147"/>
      <c r="D32" s="1148"/>
      <c r="E32" s="1148"/>
      <c r="F32" s="4358"/>
      <c r="G32" s="4359"/>
      <c r="H32" s="4359"/>
      <c r="I32" s="4359"/>
      <c r="J32" s="4360"/>
      <c r="K32" s="1149"/>
      <c r="L32" s="1149"/>
      <c r="M32" s="1149"/>
      <c r="N32" s="1150"/>
      <c r="O32" s="1151"/>
      <c r="P32" s="1152"/>
      <c r="Q32" s="1153"/>
      <c r="R32" s="382"/>
      <c r="S32" s="99"/>
      <c r="T32" s="99"/>
    </row>
    <row r="33" spans="1:20" x14ac:dyDescent="0.35">
      <c r="A33" s="4356"/>
      <c r="B33" s="4357"/>
      <c r="C33" s="1147"/>
      <c r="D33" s="1148"/>
      <c r="E33" s="1148"/>
      <c r="F33" s="4358"/>
      <c r="G33" s="4359"/>
      <c r="H33" s="4359"/>
      <c r="I33" s="4359"/>
      <c r="J33" s="4360"/>
      <c r="K33" s="1149"/>
      <c r="L33" s="1149"/>
      <c r="M33" s="1149"/>
      <c r="N33" s="1150"/>
      <c r="O33" s="1151"/>
      <c r="P33" s="1152"/>
      <c r="Q33" s="1153"/>
      <c r="R33" s="382"/>
      <c r="S33" s="99"/>
      <c r="T33" s="99"/>
    </row>
    <row r="34" spans="1:20" hidden="1" x14ac:dyDescent="0.35">
      <c r="A34" s="4356" t="s">
        <v>2040</v>
      </c>
      <c r="B34" s="4357"/>
      <c r="C34" s="1147"/>
      <c r="D34" s="1148">
        <v>42425.500520833331</v>
      </c>
      <c r="E34" s="1148" t="s">
        <v>151</v>
      </c>
      <c r="F34" s="4358" t="s">
        <v>2190</v>
      </c>
      <c r="G34" s="4359"/>
      <c r="H34" s="4359"/>
      <c r="I34" s="4359"/>
      <c r="J34" s="4360"/>
      <c r="K34" s="1149">
        <v>42643</v>
      </c>
      <c r="L34" s="1149"/>
      <c r="M34" s="1149"/>
      <c r="N34" s="1150" t="s">
        <v>1951</v>
      </c>
      <c r="O34" s="1151"/>
      <c r="P34" s="1152"/>
      <c r="Q34" s="1153"/>
      <c r="R34" s="382"/>
      <c r="S34" s="99"/>
      <c r="T34" s="99"/>
    </row>
    <row r="35" spans="1:20" x14ac:dyDescent="0.35">
      <c r="A35" s="4356"/>
      <c r="B35" s="4357"/>
      <c r="C35" s="1147"/>
      <c r="D35" s="1148"/>
      <c r="E35" s="1148"/>
      <c r="F35" s="4358"/>
      <c r="G35" s="4359"/>
      <c r="H35" s="4359"/>
      <c r="I35" s="4359"/>
      <c r="J35" s="4360"/>
      <c r="K35" s="1149"/>
      <c r="L35" s="1149"/>
      <c r="M35" s="1149"/>
      <c r="N35" s="1150"/>
      <c r="O35" s="1151"/>
      <c r="P35" s="1152"/>
      <c r="Q35" s="1153"/>
      <c r="R35" s="382"/>
      <c r="S35" s="99"/>
      <c r="T35" s="99"/>
    </row>
    <row r="36" spans="1:20" x14ac:dyDescent="0.35">
      <c r="A36" s="4356"/>
      <c r="B36" s="4357"/>
      <c r="C36" s="1147"/>
      <c r="D36" s="1148"/>
      <c r="E36" s="1148"/>
      <c r="F36" s="4358"/>
      <c r="G36" s="4359"/>
      <c r="H36" s="4359"/>
      <c r="I36" s="4359"/>
      <c r="J36" s="4360"/>
      <c r="K36" s="1149"/>
      <c r="L36" s="1149"/>
      <c r="M36" s="1149"/>
      <c r="N36" s="1150"/>
      <c r="O36" s="1151"/>
      <c r="P36" s="1152"/>
      <c r="Q36" s="1153"/>
      <c r="R36" s="382"/>
      <c r="S36" s="99"/>
      <c r="T36" s="99"/>
    </row>
    <row r="37" spans="1:20" x14ac:dyDescent="0.35">
      <c r="A37" s="4356"/>
      <c r="B37" s="4357"/>
      <c r="C37" s="1147"/>
      <c r="D37" s="1148"/>
      <c r="E37" s="1148"/>
      <c r="F37" s="4358"/>
      <c r="G37" s="4359"/>
      <c r="H37" s="4359"/>
      <c r="I37" s="4359"/>
      <c r="J37" s="4360"/>
      <c r="K37" s="1149"/>
      <c r="L37" s="1149"/>
      <c r="M37" s="1149"/>
      <c r="N37" s="1150"/>
      <c r="O37" s="1151"/>
      <c r="P37" s="1152"/>
      <c r="Q37" s="1153"/>
      <c r="R37" s="382"/>
      <c r="S37" s="99"/>
      <c r="T37" s="99"/>
    </row>
    <row r="38" spans="1:20" x14ac:dyDescent="0.35">
      <c r="A38" s="4356"/>
      <c r="B38" s="4357"/>
      <c r="C38" s="1147"/>
      <c r="D38" s="1148"/>
      <c r="E38" s="1148"/>
      <c r="F38" s="4358"/>
      <c r="G38" s="4359"/>
      <c r="H38" s="4359"/>
      <c r="I38" s="4359"/>
      <c r="J38" s="4360"/>
      <c r="K38" s="1149"/>
      <c r="L38" s="1149"/>
      <c r="M38" s="1149"/>
      <c r="N38" s="1150"/>
      <c r="O38" s="1151"/>
      <c r="P38" s="1152"/>
      <c r="Q38" s="1153"/>
      <c r="R38" s="382"/>
      <c r="S38" s="99"/>
      <c r="T38" s="99"/>
    </row>
    <row r="39" spans="1:20" x14ac:dyDescent="0.35">
      <c r="A39" s="4356"/>
      <c r="B39" s="4357"/>
      <c r="C39" s="1147"/>
      <c r="D39" s="1148"/>
      <c r="E39" s="1148"/>
      <c r="F39" s="4358"/>
      <c r="G39" s="4359"/>
      <c r="H39" s="4359"/>
      <c r="I39" s="4359"/>
      <c r="J39" s="4360"/>
      <c r="K39" s="1149"/>
      <c r="L39" s="1149"/>
      <c r="M39" s="1149"/>
      <c r="N39" s="1150"/>
      <c r="O39" s="1151"/>
      <c r="P39" s="1152"/>
      <c r="Q39" s="1153"/>
      <c r="R39" s="382"/>
      <c r="S39" s="99"/>
      <c r="T39" s="99"/>
    </row>
    <row r="40" spans="1:20" hidden="1" x14ac:dyDescent="0.35">
      <c r="A40" s="4356" t="s">
        <v>1559</v>
      </c>
      <c r="B40" s="4357"/>
      <c r="C40" s="1147"/>
      <c r="D40" s="1148">
        <v>42425.43346064815</v>
      </c>
      <c r="E40" s="1148"/>
      <c r="F40" s="4358"/>
      <c r="G40" s="4359"/>
      <c r="H40" s="4359"/>
      <c r="I40" s="4359"/>
      <c r="J40" s="4360"/>
      <c r="K40" s="1149"/>
      <c r="L40" s="1149"/>
      <c r="M40" s="1149"/>
      <c r="N40" s="1150"/>
      <c r="O40" s="1151"/>
      <c r="P40" s="1152"/>
      <c r="Q40" s="1153"/>
      <c r="R40" s="382"/>
      <c r="S40" s="99"/>
      <c r="T40" s="99"/>
    </row>
    <row r="41" spans="1:20" x14ac:dyDescent="0.35">
      <c r="A41" s="4356"/>
      <c r="B41" s="4357"/>
      <c r="C41" s="1147"/>
      <c r="D41" s="1148"/>
      <c r="E41" s="1148"/>
      <c r="F41" s="4358"/>
      <c r="G41" s="4359"/>
      <c r="H41" s="4359"/>
      <c r="I41" s="4359"/>
      <c r="J41" s="4360"/>
      <c r="K41" s="1149"/>
      <c r="L41" s="1149"/>
      <c r="M41" s="1149"/>
      <c r="N41" s="1150"/>
      <c r="O41" s="1151"/>
      <c r="P41" s="1152"/>
      <c r="Q41" s="1153"/>
      <c r="R41" s="382"/>
      <c r="S41" s="99"/>
      <c r="T41" s="99"/>
    </row>
    <row r="42" spans="1:20" x14ac:dyDescent="0.35">
      <c r="A42" s="4356"/>
      <c r="B42" s="4357"/>
      <c r="C42" s="1147"/>
      <c r="D42" s="1148"/>
      <c r="E42" s="1148"/>
      <c r="F42" s="4358"/>
      <c r="G42" s="4359"/>
      <c r="H42" s="4359"/>
      <c r="I42" s="4359"/>
      <c r="J42" s="4360"/>
      <c r="K42" s="1149"/>
      <c r="L42" s="1149"/>
      <c r="M42" s="1149"/>
      <c r="N42" s="1150"/>
      <c r="O42" s="1151"/>
      <c r="P42" s="1152"/>
      <c r="Q42" s="1153"/>
      <c r="R42" s="382"/>
      <c r="S42" s="99"/>
      <c r="T42" s="99"/>
    </row>
    <row r="43" spans="1:20" x14ac:dyDescent="0.35">
      <c r="A43" s="4356"/>
      <c r="B43" s="4357"/>
      <c r="C43" s="1147"/>
      <c r="D43" s="1148"/>
      <c r="E43" s="1148"/>
      <c r="F43" s="4358"/>
      <c r="G43" s="4359"/>
      <c r="H43" s="4359"/>
      <c r="I43" s="4359"/>
      <c r="J43" s="4360"/>
      <c r="K43" s="1149"/>
      <c r="L43" s="1149"/>
      <c r="M43" s="1149"/>
      <c r="N43" s="1150"/>
      <c r="O43" s="1151"/>
      <c r="P43" s="1152"/>
      <c r="Q43" s="1153"/>
      <c r="R43" s="382"/>
      <c r="S43" s="99"/>
      <c r="T43" s="99"/>
    </row>
    <row r="44" spans="1:20" hidden="1" x14ac:dyDescent="0.35">
      <c r="A44" s="4356" t="s">
        <v>2015</v>
      </c>
      <c r="B44" s="4357"/>
      <c r="C44" s="1147"/>
      <c r="D44" s="1148">
        <v>42422.693877314814</v>
      </c>
      <c r="E44" s="1148" t="s">
        <v>151</v>
      </c>
      <c r="F44" s="4358" t="s">
        <v>2016</v>
      </c>
      <c r="G44" s="4359"/>
      <c r="H44" s="4359"/>
      <c r="I44" s="4359"/>
      <c r="J44" s="4360"/>
      <c r="K44" s="1149">
        <v>42643</v>
      </c>
      <c r="L44" s="1149"/>
      <c r="M44" s="1149"/>
      <c r="N44" s="1150" t="s">
        <v>1955</v>
      </c>
      <c r="O44" s="1151"/>
      <c r="P44" s="1152"/>
      <c r="Q44" s="1153"/>
      <c r="R44" s="382"/>
      <c r="S44" s="99"/>
      <c r="T44" s="99"/>
    </row>
    <row r="45" spans="1:20" hidden="1" x14ac:dyDescent="0.35">
      <c r="A45" s="4356" t="s">
        <v>1542</v>
      </c>
      <c r="B45" s="4357"/>
      <c r="C45" s="1147"/>
      <c r="D45" s="1148">
        <v>42422.665208333332</v>
      </c>
      <c r="E45" s="1148" t="s">
        <v>151</v>
      </c>
      <c r="F45" s="4358" t="s">
        <v>2012</v>
      </c>
      <c r="G45" s="4359"/>
      <c r="H45" s="4359"/>
      <c r="I45" s="4359"/>
      <c r="J45" s="4360"/>
      <c r="K45" s="1149">
        <v>42643</v>
      </c>
      <c r="L45" s="1149"/>
      <c r="M45" s="1149"/>
      <c r="N45" s="1150" t="s">
        <v>1953</v>
      </c>
      <c r="O45" s="1151"/>
      <c r="P45" s="1152"/>
      <c r="Q45" s="1153"/>
      <c r="R45" s="382"/>
      <c r="S45" s="99"/>
      <c r="T45" s="99"/>
    </row>
    <row r="46" spans="1:20" hidden="1" x14ac:dyDescent="0.35">
      <c r="A46" s="4356" t="s">
        <v>1180</v>
      </c>
      <c r="B46" s="4357"/>
      <c r="C46" s="1147"/>
      <c r="D46" s="1148">
        <v>42422.625763888886</v>
      </c>
      <c r="E46" s="1148" t="s">
        <v>151</v>
      </c>
      <c r="F46" s="4358" t="s">
        <v>2011</v>
      </c>
      <c r="G46" s="4359"/>
      <c r="H46" s="4359"/>
      <c r="I46" s="4359"/>
      <c r="J46" s="4360"/>
      <c r="K46" s="1149">
        <v>42643</v>
      </c>
      <c r="L46" s="1149"/>
      <c r="M46" s="1149"/>
      <c r="N46" s="1150" t="s">
        <v>1951</v>
      </c>
      <c r="O46" s="1151"/>
      <c r="P46" s="1152"/>
      <c r="Q46" s="1153"/>
      <c r="R46" s="382"/>
      <c r="S46" s="99"/>
      <c r="T46" s="99"/>
    </row>
    <row r="47" spans="1:20" x14ac:dyDescent="0.35">
      <c r="A47" s="4356"/>
      <c r="B47" s="4357"/>
      <c r="C47" s="1147"/>
      <c r="D47" s="1148"/>
      <c r="E47" s="1148"/>
      <c r="F47" s="4358"/>
      <c r="G47" s="4359"/>
      <c r="H47" s="4359"/>
      <c r="I47" s="4359"/>
      <c r="J47" s="4360"/>
      <c r="K47" s="1149"/>
      <c r="L47" s="1149"/>
      <c r="M47" s="1149"/>
      <c r="N47" s="1150"/>
      <c r="O47" s="1151"/>
      <c r="P47" s="1152"/>
      <c r="Q47" s="1153"/>
      <c r="R47" s="382"/>
      <c r="S47" s="99"/>
      <c r="T47" s="99"/>
    </row>
    <row r="48" spans="1:20" x14ac:dyDescent="0.35">
      <c r="A48" s="4356"/>
      <c r="B48" s="4357"/>
      <c r="C48" s="1147"/>
      <c r="D48" s="1148"/>
      <c r="E48" s="1148"/>
      <c r="F48" s="4358"/>
      <c r="G48" s="4359"/>
      <c r="H48" s="4359"/>
      <c r="I48" s="4359"/>
      <c r="J48" s="4360"/>
      <c r="K48" s="1149"/>
      <c r="L48" s="1149"/>
      <c r="M48" s="1149"/>
      <c r="N48" s="1150"/>
      <c r="O48" s="1151"/>
      <c r="P48" s="1152"/>
      <c r="Q48" s="1153"/>
      <c r="R48" s="382"/>
      <c r="S48" s="99"/>
      <c r="T48" s="99"/>
    </row>
    <row r="49" spans="1:20" hidden="1" x14ac:dyDescent="0.35">
      <c r="A49" s="4356" t="s">
        <v>1370</v>
      </c>
      <c r="B49" s="4357"/>
      <c r="C49" s="1147"/>
      <c r="D49" s="1148">
        <v>42422.493692129632</v>
      </c>
      <c r="E49" s="1148" t="s">
        <v>151</v>
      </c>
      <c r="F49" s="4358" t="s">
        <v>2003</v>
      </c>
      <c r="G49" s="4359"/>
      <c r="H49" s="4359"/>
      <c r="I49" s="4359"/>
      <c r="J49" s="4360"/>
      <c r="K49" s="1149">
        <v>42643</v>
      </c>
      <c r="L49" s="1149"/>
      <c r="M49" s="1149"/>
      <c r="N49" s="1150" t="s">
        <v>1954</v>
      </c>
      <c r="O49" s="1151"/>
      <c r="P49" s="1152"/>
      <c r="Q49" s="1153"/>
      <c r="R49" s="382"/>
      <c r="S49" s="99"/>
      <c r="T49" s="99"/>
    </row>
    <row r="50" spans="1:20" hidden="1" x14ac:dyDescent="0.35">
      <c r="A50" s="4356"/>
      <c r="B50" s="4357"/>
      <c r="C50" s="1147"/>
      <c r="D50" s="1148"/>
      <c r="E50" s="1148"/>
      <c r="F50" s="4358"/>
      <c r="G50" s="4359"/>
      <c r="H50" s="4359"/>
      <c r="I50" s="4359"/>
      <c r="J50" s="4360"/>
      <c r="K50" s="1149"/>
      <c r="L50" s="1149"/>
      <c r="M50" s="1149"/>
      <c r="N50" s="1150"/>
      <c r="O50" s="1151"/>
      <c r="P50" s="1152"/>
      <c r="Q50" s="1153"/>
      <c r="R50" s="382"/>
      <c r="S50" s="99"/>
      <c r="T50" s="99"/>
    </row>
    <row r="51" spans="1:20" hidden="1" x14ac:dyDescent="0.35">
      <c r="A51" s="4356"/>
      <c r="B51" s="4357"/>
      <c r="C51" s="1147"/>
      <c r="D51" s="1148"/>
      <c r="E51" s="1148"/>
      <c r="F51" s="4358"/>
      <c r="G51" s="4359"/>
      <c r="H51" s="4359"/>
      <c r="I51" s="4359"/>
      <c r="J51" s="4360"/>
      <c r="K51" s="1149"/>
      <c r="L51" s="1149"/>
      <c r="M51" s="1149"/>
      <c r="N51" s="1150"/>
      <c r="O51" s="1151"/>
      <c r="P51" s="1152"/>
      <c r="Q51" s="1153"/>
      <c r="R51" s="382"/>
      <c r="S51" s="99"/>
      <c r="T51" s="99"/>
    </row>
    <row r="52" spans="1:20" hidden="1" x14ac:dyDescent="0.35">
      <c r="A52" s="4356"/>
      <c r="B52" s="4357"/>
      <c r="C52" s="1147"/>
      <c r="D52" s="1148"/>
      <c r="E52" s="1148"/>
      <c r="F52" s="4358"/>
      <c r="G52" s="4359"/>
      <c r="H52" s="4359"/>
      <c r="I52" s="4359"/>
      <c r="J52" s="4360"/>
      <c r="K52" s="1149"/>
      <c r="L52" s="1149"/>
      <c r="M52" s="1149"/>
      <c r="N52" s="1150"/>
      <c r="O52" s="1151"/>
      <c r="P52" s="1152"/>
      <c r="Q52" s="1153"/>
      <c r="R52" s="382"/>
      <c r="S52" s="99"/>
      <c r="T52" s="99"/>
    </row>
    <row r="53" spans="1:20" hidden="1" x14ac:dyDescent="0.35">
      <c r="A53" s="4356"/>
      <c r="B53" s="4357"/>
      <c r="C53" s="1147"/>
      <c r="D53" s="1148"/>
      <c r="E53" s="1148"/>
      <c r="F53" s="4358"/>
      <c r="G53" s="4359"/>
      <c r="H53" s="4359"/>
      <c r="I53" s="4359"/>
      <c r="J53" s="4360"/>
      <c r="K53" s="1149"/>
      <c r="L53" s="1149"/>
      <c r="M53" s="1149"/>
      <c r="N53" s="1150"/>
      <c r="O53" s="1151"/>
      <c r="P53" s="1152"/>
      <c r="Q53" s="1153"/>
      <c r="R53" s="382"/>
      <c r="S53" s="99"/>
      <c r="T53" s="99"/>
    </row>
    <row r="54" spans="1:20" hidden="1" x14ac:dyDescent="0.35">
      <c r="A54" s="4356"/>
      <c r="B54" s="4357"/>
      <c r="C54" s="1147"/>
      <c r="D54" s="1148"/>
      <c r="E54" s="1148"/>
      <c r="F54" s="4358"/>
      <c r="G54" s="4359"/>
      <c r="H54" s="4359"/>
      <c r="I54" s="4359"/>
      <c r="J54" s="4360"/>
      <c r="K54" s="1149"/>
      <c r="L54" s="1149"/>
      <c r="M54" s="1149"/>
      <c r="N54" s="1150"/>
      <c r="O54" s="1151"/>
      <c r="P54" s="1152"/>
      <c r="Q54" s="1153"/>
      <c r="R54" s="382"/>
      <c r="S54" s="99"/>
      <c r="T54" s="99"/>
    </row>
    <row r="55" spans="1:20" hidden="1" x14ac:dyDescent="0.35">
      <c r="A55" s="4356"/>
      <c r="B55" s="4357"/>
      <c r="C55" s="1147"/>
      <c r="D55" s="1148"/>
      <c r="E55" s="1148"/>
      <c r="F55" s="4358"/>
      <c r="G55" s="4359"/>
      <c r="H55" s="4359"/>
      <c r="I55" s="4359"/>
      <c r="J55" s="4360"/>
      <c r="K55" s="1149"/>
      <c r="L55" s="1149"/>
      <c r="M55" s="1149"/>
      <c r="N55" s="1150"/>
      <c r="O55" s="1151"/>
      <c r="P55" s="1152"/>
      <c r="Q55" s="1153"/>
      <c r="R55" s="382"/>
      <c r="S55" s="99"/>
      <c r="T55" s="99"/>
    </row>
    <row r="56" spans="1:20" hidden="1" x14ac:dyDescent="0.35">
      <c r="A56" s="4356"/>
      <c r="B56" s="4357"/>
      <c r="C56" s="1147"/>
      <c r="D56" s="1148"/>
      <c r="E56" s="1148"/>
      <c r="F56" s="4358"/>
      <c r="G56" s="4359"/>
      <c r="H56" s="4359"/>
      <c r="I56" s="4359"/>
      <c r="J56" s="4360"/>
      <c r="K56" s="1149"/>
      <c r="L56" s="1149"/>
      <c r="M56" s="1149"/>
      <c r="N56" s="1150"/>
      <c r="O56" s="1151"/>
      <c r="P56" s="1152"/>
      <c r="Q56" s="1153"/>
      <c r="R56" s="382"/>
      <c r="S56" s="99"/>
      <c r="T56" s="99"/>
    </row>
    <row r="57" spans="1:20" hidden="1" x14ac:dyDescent="0.35">
      <c r="A57" s="4356"/>
      <c r="B57" s="4357"/>
      <c r="C57" s="1147"/>
      <c r="D57" s="1148"/>
      <c r="E57" s="1148"/>
      <c r="F57" s="4358"/>
      <c r="G57" s="4359"/>
      <c r="H57" s="4359"/>
      <c r="I57" s="4359"/>
      <c r="J57" s="4360"/>
      <c r="K57" s="1149"/>
      <c r="L57" s="1149"/>
      <c r="M57" s="1149"/>
      <c r="N57" s="1150"/>
      <c r="O57" s="1151"/>
      <c r="P57" s="1152"/>
      <c r="Q57" s="1153"/>
      <c r="R57" s="382"/>
      <c r="S57" s="99"/>
      <c r="T57" s="99"/>
    </row>
    <row r="58" spans="1:20" hidden="1" x14ac:dyDescent="0.35">
      <c r="A58" s="4356"/>
      <c r="B58" s="4357"/>
      <c r="C58" s="1147"/>
      <c r="D58" s="1148"/>
      <c r="E58" s="1148"/>
      <c r="F58" s="4358"/>
      <c r="G58" s="4359"/>
      <c r="H58" s="4359"/>
      <c r="I58" s="4359"/>
      <c r="J58" s="4360"/>
      <c r="K58" s="1149"/>
      <c r="L58" s="1149"/>
      <c r="M58" s="1149"/>
      <c r="N58" s="1150"/>
      <c r="O58" s="1151"/>
      <c r="P58" s="1152"/>
      <c r="Q58" s="1153"/>
      <c r="R58" s="382"/>
      <c r="S58" s="99"/>
      <c r="T58" s="99"/>
    </row>
    <row r="59" spans="1:20" hidden="1" x14ac:dyDescent="0.35">
      <c r="A59" s="4356"/>
      <c r="B59" s="4357"/>
      <c r="C59" s="1147"/>
      <c r="D59" s="1148"/>
      <c r="E59" s="1148"/>
      <c r="F59" s="4358"/>
      <c r="G59" s="4359"/>
      <c r="H59" s="4359"/>
      <c r="I59" s="4359"/>
      <c r="J59" s="4360"/>
      <c r="K59" s="1149"/>
      <c r="L59" s="1149"/>
      <c r="M59" s="1149"/>
      <c r="N59" s="1150"/>
      <c r="O59" s="1151"/>
      <c r="P59" s="1152"/>
      <c r="Q59" s="1153"/>
      <c r="R59" s="382"/>
      <c r="S59" s="99"/>
      <c r="T59" s="99"/>
    </row>
    <row r="60" spans="1:20" hidden="1" x14ac:dyDescent="0.35">
      <c r="A60" s="4356"/>
      <c r="B60" s="4357"/>
      <c r="C60" s="1147"/>
      <c r="D60" s="1148"/>
      <c r="E60" s="1148"/>
      <c r="F60" s="4358"/>
      <c r="G60" s="4359"/>
      <c r="H60" s="4359"/>
      <c r="I60" s="4359"/>
      <c r="J60" s="4360"/>
      <c r="K60" s="1149"/>
      <c r="L60" s="1149"/>
      <c r="M60" s="1149"/>
      <c r="N60" s="1150"/>
      <c r="O60" s="1151"/>
      <c r="P60" s="1152"/>
      <c r="Q60" s="1153"/>
      <c r="R60" s="382"/>
      <c r="S60" s="99"/>
      <c r="T60" s="99"/>
    </row>
    <row r="61" spans="1:20" hidden="1" x14ac:dyDescent="0.35">
      <c r="A61" s="4356"/>
      <c r="B61" s="4357"/>
      <c r="C61" s="1147"/>
      <c r="D61" s="1148"/>
      <c r="E61" s="1148"/>
      <c r="F61" s="4358"/>
      <c r="G61" s="4359"/>
      <c r="H61" s="4359"/>
      <c r="I61" s="4359"/>
      <c r="J61" s="4360"/>
      <c r="K61" s="1149"/>
      <c r="L61" s="1149"/>
      <c r="M61" s="1149"/>
      <c r="N61" s="1150"/>
      <c r="O61" s="1151"/>
      <c r="P61" s="1152"/>
      <c r="Q61" s="1153"/>
      <c r="R61" s="382"/>
      <c r="S61" s="99"/>
      <c r="T61" s="99"/>
    </row>
    <row r="62" spans="1:20" hidden="1" x14ac:dyDescent="0.35">
      <c r="A62" s="4356"/>
      <c r="B62" s="4357"/>
      <c r="C62" s="1147"/>
      <c r="D62" s="1148"/>
      <c r="E62" s="1148"/>
      <c r="F62" s="4358"/>
      <c r="G62" s="4359"/>
      <c r="H62" s="4359"/>
      <c r="I62" s="4359"/>
      <c r="J62" s="4360"/>
      <c r="K62" s="1149"/>
      <c r="L62" s="1149"/>
      <c r="M62" s="1149"/>
      <c r="N62" s="1150"/>
      <c r="O62" s="1151"/>
      <c r="P62" s="1152"/>
      <c r="Q62" s="1153"/>
      <c r="R62" s="382"/>
      <c r="S62" s="99"/>
      <c r="T62" s="99"/>
    </row>
    <row r="63" spans="1:20" hidden="1" x14ac:dyDescent="0.35">
      <c r="A63" s="4356"/>
      <c r="B63" s="4357"/>
      <c r="C63" s="1147"/>
      <c r="D63" s="1148"/>
      <c r="E63" s="1148"/>
      <c r="F63" s="4358"/>
      <c r="G63" s="4359"/>
      <c r="H63" s="4359"/>
      <c r="I63" s="4359"/>
      <c r="J63" s="4360"/>
      <c r="K63" s="1149"/>
      <c r="L63" s="1149"/>
      <c r="M63" s="1149"/>
      <c r="N63" s="1150"/>
      <c r="O63" s="1151"/>
      <c r="P63" s="1152"/>
      <c r="Q63" s="1153"/>
      <c r="R63" s="382"/>
      <c r="S63" s="99"/>
      <c r="T63" s="99"/>
    </row>
    <row r="64" spans="1:20" hidden="1" x14ac:dyDescent="0.35">
      <c r="A64" s="4356"/>
      <c r="B64" s="4357"/>
      <c r="C64" s="1147"/>
      <c r="D64" s="1148"/>
      <c r="E64" s="1148"/>
      <c r="F64" s="4358"/>
      <c r="G64" s="4359"/>
      <c r="H64" s="4359"/>
      <c r="I64" s="4359"/>
      <c r="J64" s="4360"/>
      <c r="K64" s="1149"/>
      <c r="L64" s="1149"/>
      <c r="M64" s="1149"/>
      <c r="N64" s="1150"/>
      <c r="O64" s="1151"/>
      <c r="P64" s="1152"/>
      <c r="Q64" s="1153"/>
      <c r="R64" s="382"/>
      <c r="S64" s="99"/>
      <c r="T64" s="99"/>
    </row>
    <row r="65" spans="1:20" hidden="1" x14ac:dyDescent="0.35">
      <c r="A65" s="4356"/>
      <c r="B65" s="4357"/>
      <c r="C65" s="1147"/>
      <c r="D65" s="1148"/>
      <c r="E65" s="1148"/>
      <c r="F65" s="4358"/>
      <c r="G65" s="4359"/>
      <c r="H65" s="4359"/>
      <c r="I65" s="4359"/>
      <c r="J65" s="4360"/>
      <c r="K65" s="1149"/>
      <c r="L65" s="1149"/>
      <c r="M65" s="1149"/>
      <c r="N65" s="1150"/>
      <c r="O65" s="1151"/>
      <c r="P65" s="1152"/>
      <c r="Q65" s="1153"/>
      <c r="R65" s="382"/>
      <c r="S65" s="99"/>
      <c r="T65" s="99"/>
    </row>
    <row r="66" spans="1:20" hidden="1" x14ac:dyDescent="0.35">
      <c r="A66" s="4356"/>
      <c r="B66" s="4357"/>
      <c r="C66" s="1147"/>
      <c r="D66" s="1148"/>
      <c r="E66" s="1148"/>
      <c r="F66" s="4358"/>
      <c r="G66" s="4359"/>
      <c r="H66" s="4359"/>
      <c r="I66" s="4359"/>
      <c r="J66" s="4360"/>
      <c r="K66" s="1149"/>
      <c r="L66" s="1149"/>
      <c r="M66" s="1149"/>
      <c r="N66" s="1150"/>
      <c r="O66" s="1151"/>
      <c r="P66" s="1152"/>
      <c r="Q66" s="1153"/>
      <c r="R66" s="382"/>
      <c r="S66" s="99"/>
      <c r="T66" s="99"/>
    </row>
    <row r="67" spans="1:20" hidden="1" x14ac:dyDescent="0.35">
      <c r="A67" s="4356"/>
      <c r="B67" s="4357"/>
      <c r="C67" s="1147"/>
      <c r="D67" s="1148"/>
      <c r="E67" s="1148"/>
      <c r="F67" s="4358"/>
      <c r="G67" s="4359"/>
      <c r="H67" s="4359"/>
      <c r="I67" s="4359"/>
      <c r="J67" s="4360"/>
      <c r="K67" s="1149"/>
      <c r="L67" s="1149"/>
      <c r="M67" s="1149"/>
      <c r="N67" s="1150"/>
      <c r="O67" s="1151"/>
      <c r="P67" s="1152"/>
      <c r="Q67" s="1153"/>
      <c r="R67" s="382"/>
      <c r="S67" s="99"/>
      <c r="T67" s="99"/>
    </row>
    <row r="68" spans="1:20" hidden="1" x14ac:dyDescent="0.35">
      <c r="A68" s="4356"/>
      <c r="B68" s="4357"/>
      <c r="C68" s="1147"/>
      <c r="D68" s="1148"/>
      <c r="E68" s="1148"/>
      <c r="F68" s="4358"/>
      <c r="G68" s="4359"/>
      <c r="H68" s="4359"/>
      <c r="I68" s="4359"/>
      <c r="J68" s="4360"/>
      <c r="K68" s="1149"/>
      <c r="L68" s="1149"/>
      <c r="M68" s="1149"/>
      <c r="N68" s="1150"/>
      <c r="O68" s="1151"/>
      <c r="P68" s="1152"/>
      <c r="Q68" s="1153"/>
      <c r="R68" s="382"/>
      <c r="S68" s="99"/>
      <c r="T68" s="99"/>
    </row>
    <row r="69" spans="1:20" hidden="1" x14ac:dyDescent="0.35">
      <c r="A69" s="4356"/>
      <c r="B69" s="4357"/>
      <c r="C69" s="1147"/>
      <c r="D69" s="1148"/>
      <c r="E69" s="1148"/>
      <c r="F69" s="4358"/>
      <c r="G69" s="4359"/>
      <c r="H69" s="4359"/>
      <c r="I69" s="4359"/>
      <c r="J69" s="4360"/>
      <c r="K69" s="1149"/>
      <c r="L69" s="1149"/>
      <c r="M69" s="1149"/>
      <c r="N69" s="1150"/>
      <c r="O69" s="1151"/>
      <c r="P69" s="1152"/>
      <c r="Q69" s="1153"/>
      <c r="R69" s="382"/>
      <c r="S69" s="99"/>
      <c r="T69" s="99"/>
    </row>
    <row r="70" spans="1:20" hidden="1" x14ac:dyDescent="0.35">
      <c r="A70" s="4356"/>
      <c r="B70" s="4357"/>
      <c r="C70" s="1147"/>
      <c r="D70" s="1148"/>
      <c r="E70" s="1148"/>
      <c r="F70" s="4358"/>
      <c r="G70" s="4359"/>
      <c r="H70" s="4359"/>
      <c r="I70" s="4359"/>
      <c r="J70" s="4360"/>
      <c r="K70" s="1149"/>
      <c r="L70" s="1149"/>
      <c r="M70" s="1149"/>
      <c r="N70" s="1150"/>
      <c r="O70" s="1151"/>
      <c r="P70" s="1152"/>
      <c r="Q70" s="1153"/>
      <c r="R70" s="382"/>
      <c r="S70" s="99"/>
      <c r="T70" s="99"/>
    </row>
    <row r="71" spans="1:20" hidden="1" x14ac:dyDescent="0.35">
      <c r="A71" s="4356"/>
      <c r="B71" s="4357"/>
      <c r="C71" s="1147"/>
      <c r="D71" s="1148"/>
      <c r="E71" s="1148"/>
      <c r="F71" s="4358"/>
      <c r="G71" s="4359"/>
      <c r="H71" s="4359"/>
      <c r="I71" s="4359"/>
      <c r="J71" s="4360"/>
      <c r="K71" s="1149"/>
      <c r="L71" s="1149"/>
      <c r="M71" s="1149"/>
      <c r="N71" s="1150"/>
      <c r="O71" s="1151"/>
      <c r="P71" s="1152"/>
      <c r="Q71" s="1153"/>
      <c r="R71" s="382"/>
      <c r="S71" s="99"/>
      <c r="T71" s="99"/>
    </row>
    <row r="72" spans="1:20" hidden="1" x14ac:dyDescent="0.35">
      <c r="A72" s="4356"/>
      <c r="B72" s="4357"/>
      <c r="C72" s="1147"/>
      <c r="D72" s="1148"/>
      <c r="E72" s="1148"/>
      <c r="F72" s="4358"/>
      <c r="G72" s="4359"/>
      <c r="H72" s="4359"/>
      <c r="I72" s="4359"/>
      <c r="J72" s="4360"/>
      <c r="K72" s="1149"/>
      <c r="L72" s="1149"/>
      <c r="M72" s="1149"/>
      <c r="N72" s="1150"/>
      <c r="O72" s="1151"/>
      <c r="P72" s="1152"/>
      <c r="Q72" s="1153"/>
      <c r="R72" s="382"/>
      <c r="S72" s="99"/>
      <c r="T72" s="99"/>
    </row>
    <row r="73" spans="1:20" hidden="1" x14ac:dyDescent="0.35">
      <c r="A73" s="4356"/>
      <c r="B73" s="4357"/>
      <c r="C73" s="1147"/>
      <c r="D73" s="1148"/>
      <c r="E73" s="1148"/>
      <c r="F73" s="4358"/>
      <c r="G73" s="4359"/>
      <c r="H73" s="4359"/>
      <c r="I73" s="4359"/>
      <c r="J73" s="4360"/>
      <c r="K73" s="1149"/>
      <c r="L73" s="1149"/>
      <c r="M73" s="1149"/>
      <c r="N73" s="1150"/>
      <c r="O73" s="1151"/>
      <c r="P73" s="1152"/>
      <c r="Q73" s="1153"/>
      <c r="R73" s="382"/>
      <c r="S73" s="99"/>
      <c r="T73" s="99"/>
    </row>
    <row r="74" spans="1:20" hidden="1" x14ac:dyDescent="0.35">
      <c r="A74" s="4356"/>
      <c r="B74" s="4357"/>
      <c r="C74" s="1147"/>
      <c r="D74" s="1148"/>
      <c r="E74" s="1148"/>
      <c r="F74" s="4358"/>
      <c r="G74" s="4359"/>
      <c r="H74" s="4359"/>
      <c r="I74" s="4359"/>
      <c r="J74" s="4360"/>
      <c r="K74" s="1149"/>
      <c r="L74" s="1149"/>
      <c r="M74" s="1149"/>
      <c r="N74" s="1150"/>
      <c r="O74" s="1151"/>
      <c r="P74" s="1152"/>
      <c r="Q74" s="1153"/>
      <c r="R74" s="382"/>
      <c r="S74" s="99"/>
      <c r="T74" s="99"/>
    </row>
    <row r="75" spans="1:20" hidden="1" x14ac:dyDescent="0.35">
      <c r="A75" s="4356"/>
      <c r="B75" s="4357"/>
      <c r="C75" s="1147"/>
      <c r="D75" s="1148"/>
      <c r="E75" s="1148"/>
      <c r="F75" s="4358"/>
      <c r="G75" s="4359"/>
      <c r="H75" s="4359"/>
      <c r="I75" s="4359"/>
      <c r="J75" s="4360"/>
      <c r="K75" s="1149"/>
      <c r="L75" s="1149"/>
      <c r="M75" s="1149"/>
      <c r="N75" s="1150"/>
      <c r="O75" s="1151"/>
      <c r="P75" s="1152"/>
      <c r="Q75" s="1153"/>
      <c r="R75" s="382"/>
      <c r="S75" s="99"/>
      <c r="T75" s="99"/>
    </row>
    <row r="76" spans="1:20" hidden="1" x14ac:dyDescent="0.35">
      <c r="A76" s="4356"/>
      <c r="B76" s="4357"/>
      <c r="C76" s="1147"/>
      <c r="D76" s="1148"/>
      <c r="E76" s="1148"/>
      <c r="F76" s="4358"/>
      <c r="G76" s="4359"/>
      <c r="H76" s="4359"/>
      <c r="I76" s="4359"/>
      <c r="J76" s="4360"/>
      <c r="K76" s="1149"/>
      <c r="L76" s="1149"/>
      <c r="M76" s="1149"/>
      <c r="N76" s="1150"/>
      <c r="O76" s="1151"/>
      <c r="P76" s="1152"/>
      <c r="Q76" s="1153"/>
      <c r="R76" s="382"/>
      <c r="S76" s="99"/>
      <c r="T76" s="99"/>
    </row>
    <row r="77" spans="1:20" hidden="1" x14ac:dyDescent="0.35">
      <c r="A77" s="4356"/>
      <c r="B77" s="4357"/>
      <c r="C77" s="1147"/>
      <c r="D77" s="1148"/>
      <c r="E77" s="1148"/>
      <c r="F77" s="4358"/>
      <c r="G77" s="4359"/>
      <c r="H77" s="4359"/>
      <c r="I77" s="4359"/>
      <c r="J77" s="4360"/>
      <c r="K77" s="1149"/>
      <c r="L77" s="1149"/>
      <c r="M77" s="1149"/>
      <c r="N77" s="1150"/>
      <c r="O77" s="1151"/>
      <c r="P77" s="1152"/>
      <c r="Q77" s="1153"/>
      <c r="R77" s="382"/>
      <c r="S77" s="99"/>
      <c r="T77" s="99"/>
    </row>
    <row r="78" spans="1:20" hidden="1" x14ac:dyDescent="0.35">
      <c r="A78" s="4356"/>
      <c r="B78" s="4357"/>
      <c r="C78" s="1147"/>
      <c r="D78" s="1148"/>
      <c r="E78" s="1148"/>
      <c r="F78" s="4358"/>
      <c r="G78" s="4359"/>
      <c r="H78" s="4359"/>
      <c r="I78" s="4359"/>
      <c r="J78" s="4360"/>
      <c r="K78" s="1149"/>
      <c r="L78" s="1149"/>
      <c r="M78" s="1149"/>
      <c r="N78" s="1150"/>
      <c r="O78" s="1151"/>
      <c r="P78" s="1152"/>
      <c r="Q78" s="1153"/>
      <c r="R78" s="382"/>
      <c r="S78" s="99"/>
      <c r="T78" s="99"/>
    </row>
    <row r="79" spans="1:20" hidden="1" x14ac:dyDescent="0.35">
      <c r="A79" s="4356"/>
      <c r="B79" s="4357"/>
      <c r="C79" s="1147"/>
      <c r="D79" s="1148"/>
      <c r="E79" s="1148"/>
      <c r="F79" s="4358"/>
      <c r="G79" s="4359"/>
      <c r="H79" s="4359"/>
      <c r="I79" s="4359"/>
      <c r="J79" s="4360"/>
      <c r="K79" s="1149"/>
      <c r="L79" s="1149"/>
      <c r="M79" s="1149"/>
      <c r="N79" s="1150"/>
      <c r="O79" s="1151"/>
      <c r="P79" s="1152"/>
      <c r="Q79" s="1153"/>
      <c r="R79" s="382"/>
      <c r="S79" s="99"/>
      <c r="T79" s="99"/>
    </row>
    <row r="80" spans="1:20" hidden="1" x14ac:dyDescent="0.35">
      <c r="A80" s="4356"/>
      <c r="B80" s="4357"/>
      <c r="C80" s="1147"/>
      <c r="D80" s="1148"/>
      <c r="E80" s="1148"/>
      <c r="F80" s="4358"/>
      <c r="G80" s="4359"/>
      <c r="H80" s="4359"/>
      <c r="I80" s="4359"/>
      <c r="J80" s="4360"/>
      <c r="K80" s="1149"/>
      <c r="L80" s="1149"/>
      <c r="M80" s="1149"/>
      <c r="N80" s="1150"/>
      <c r="O80" s="1151"/>
      <c r="P80" s="1152"/>
      <c r="Q80" s="1153"/>
      <c r="R80" s="382"/>
      <c r="S80" s="99"/>
      <c r="T80" s="99"/>
    </row>
    <row r="81" spans="1:20" hidden="1" x14ac:dyDescent="0.35">
      <c r="A81" s="4356"/>
      <c r="B81" s="4357"/>
      <c r="C81" s="1147"/>
      <c r="D81" s="1148"/>
      <c r="E81" s="1148"/>
      <c r="F81" s="4358"/>
      <c r="G81" s="4359"/>
      <c r="H81" s="4359"/>
      <c r="I81" s="4359"/>
      <c r="J81" s="4360"/>
      <c r="K81" s="1149"/>
      <c r="L81" s="1149"/>
      <c r="M81" s="1149"/>
      <c r="N81" s="1150"/>
      <c r="O81" s="1151"/>
      <c r="P81" s="1152"/>
      <c r="Q81" s="1153"/>
      <c r="R81" s="382"/>
      <c r="S81" s="99"/>
      <c r="T81" s="99"/>
    </row>
    <row r="82" spans="1:20" hidden="1" x14ac:dyDescent="0.35">
      <c r="A82" s="4356"/>
      <c r="B82" s="4357"/>
      <c r="C82" s="1147"/>
      <c r="D82" s="1148"/>
      <c r="E82" s="1148"/>
      <c r="F82" s="4358"/>
      <c r="G82" s="4359"/>
      <c r="H82" s="4359"/>
      <c r="I82" s="4359"/>
      <c r="J82" s="4360"/>
      <c r="K82" s="1149"/>
      <c r="L82" s="1149"/>
      <c r="M82" s="1149"/>
      <c r="N82" s="1150"/>
      <c r="O82" s="1151"/>
      <c r="P82" s="1152"/>
      <c r="Q82" s="1153"/>
      <c r="R82" s="382"/>
      <c r="S82" s="99"/>
      <c r="T82" s="99"/>
    </row>
    <row r="83" spans="1:20" hidden="1" x14ac:dyDescent="0.35">
      <c r="A83" s="4356"/>
      <c r="B83" s="4357"/>
      <c r="C83" s="1147"/>
      <c r="D83" s="1148"/>
      <c r="E83" s="1148"/>
      <c r="F83" s="4358"/>
      <c r="G83" s="4359"/>
      <c r="H83" s="4359"/>
      <c r="I83" s="4359"/>
      <c r="J83" s="4360"/>
      <c r="K83" s="1149"/>
      <c r="L83" s="1149"/>
      <c r="M83" s="1149"/>
      <c r="N83" s="1150"/>
      <c r="O83" s="1151"/>
      <c r="P83" s="1152"/>
      <c r="Q83" s="1153"/>
      <c r="R83" s="382"/>
      <c r="S83" s="99"/>
      <c r="T83" s="99"/>
    </row>
    <row r="84" spans="1:20" hidden="1" x14ac:dyDescent="0.35">
      <c r="A84" s="4356"/>
      <c r="B84" s="4357"/>
      <c r="C84" s="1147"/>
      <c r="D84" s="1148"/>
      <c r="E84" s="1148"/>
      <c r="F84" s="4358"/>
      <c r="G84" s="4359"/>
      <c r="H84" s="4359"/>
      <c r="I84" s="4359"/>
      <c r="J84" s="4360"/>
      <c r="K84" s="1149"/>
      <c r="L84" s="1149"/>
      <c r="M84" s="1149"/>
      <c r="N84" s="1150"/>
      <c r="O84" s="1151"/>
      <c r="P84" s="1152"/>
      <c r="Q84" s="1153"/>
      <c r="R84" s="382"/>
      <c r="S84" s="99"/>
      <c r="T84" s="99"/>
    </row>
    <row r="85" spans="1:20" hidden="1" x14ac:dyDescent="0.35">
      <c r="A85" s="4356"/>
      <c r="B85" s="4357"/>
      <c r="C85" s="1147"/>
      <c r="D85" s="1148"/>
      <c r="E85" s="1148"/>
      <c r="F85" s="4358"/>
      <c r="G85" s="4359"/>
      <c r="H85" s="4359"/>
      <c r="I85" s="4359"/>
      <c r="J85" s="4360"/>
      <c r="K85" s="1149"/>
      <c r="L85" s="1149"/>
      <c r="M85" s="1149"/>
      <c r="N85" s="1150"/>
      <c r="O85" s="1151"/>
      <c r="P85" s="1152"/>
      <c r="Q85" s="1153"/>
      <c r="R85" s="382"/>
      <c r="S85" s="99"/>
      <c r="T85" s="99"/>
    </row>
    <row r="86" spans="1:20" hidden="1" x14ac:dyDescent="0.35">
      <c r="A86" s="4356"/>
      <c r="B86" s="4357"/>
      <c r="C86" s="1147"/>
      <c r="D86" s="1148"/>
      <c r="E86" s="1148"/>
      <c r="F86" s="4358"/>
      <c r="G86" s="4359"/>
      <c r="H86" s="4359"/>
      <c r="I86" s="4359"/>
      <c r="J86" s="4360"/>
      <c r="K86" s="1149"/>
      <c r="L86" s="1149"/>
      <c r="M86" s="1149"/>
      <c r="N86" s="1150"/>
      <c r="O86" s="1151"/>
      <c r="P86" s="1152"/>
      <c r="Q86" s="1153"/>
      <c r="R86" s="382"/>
      <c r="S86" s="99"/>
      <c r="T86" s="99"/>
    </row>
    <row r="87" spans="1:20" hidden="1" x14ac:dyDescent="0.35">
      <c r="A87" s="4356"/>
      <c r="B87" s="4357"/>
      <c r="C87" s="1147"/>
      <c r="D87" s="1148"/>
      <c r="E87" s="1148"/>
      <c r="F87" s="4372"/>
      <c r="G87" s="4373"/>
      <c r="H87" s="4373"/>
      <c r="I87" s="4373"/>
      <c r="J87" s="4374"/>
      <c r="K87" s="1149"/>
      <c r="L87" s="1149"/>
      <c r="M87" s="1149"/>
      <c r="N87" s="1150"/>
      <c r="O87" s="1151"/>
      <c r="P87" s="1152"/>
      <c r="Q87" s="1153"/>
      <c r="R87" s="382"/>
      <c r="S87" s="99"/>
      <c r="T87" s="99"/>
    </row>
  </sheetData>
  <autoFilter ref="A9:Q87" xr:uid="{00000000-0009-0000-0000-000016000000}">
    <filterColumn colId="0" showButton="0"/>
    <filterColumn colId="5" showButton="0"/>
    <filterColumn colId="6" showButton="0"/>
    <filterColumn colId="7" showButton="0"/>
    <filterColumn colId="8" showButton="0"/>
    <filterColumn colId="10">
      <filters>
        <dateGroupItem year="2016" month="6" dateTimeGrouping="month"/>
      </filters>
    </filterColumn>
  </autoFilter>
  <mergeCells count="171">
    <mergeCell ref="A11:B11"/>
    <mergeCell ref="F11:J11"/>
    <mergeCell ref="A12:B12"/>
    <mergeCell ref="F12:J12"/>
    <mergeCell ref="A13:B13"/>
    <mergeCell ref="F13:J13"/>
    <mergeCell ref="A37:B37"/>
    <mergeCell ref="F37:J37"/>
    <mergeCell ref="A36:B36"/>
    <mergeCell ref="F36:J36"/>
    <mergeCell ref="A18:B18"/>
    <mergeCell ref="F18:J18"/>
    <mergeCell ref="A17:B17"/>
    <mergeCell ref="F17:J17"/>
    <mergeCell ref="A35:B35"/>
    <mergeCell ref="F35:J35"/>
    <mergeCell ref="A34:B34"/>
    <mergeCell ref="F34:J34"/>
    <mergeCell ref="A33:B33"/>
    <mergeCell ref="F33:J33"/>
    <mergeCell ref="A30:B30"/>
    <mergeCell ref="F30:J30"/>
    <mergeCell ref="A15:B15"/>
    <mergeCell ref="F15:J15"/>
    <mergeCell ref="A51:B51"/>
    <mergeCell ref="F51:J51"/>
    <mergeCell ref="A50:B50"/>
    <mergeCell ref="F50:J50"/>
    <mergeCell ref="A19:B19"/>
    <mergeCell ref="F19:J19"/>
    <mergeCell ref="A49:B49"/>
    <mergeCell ref="F49:J49"/>
    <mergeCell ref="A45:B45"/>
    <mergeCell ref="F45:J45"/>
    <mergeCell ref="A48:B48"/>
    <mergeCell ref="F48:J48"/>
    <mergeCell ref="A47:B47"/>
    <mergeCell ref="F47:J47"/>
    <mergeCell ref="A46:B46"/>
    <mergeCell ref="F46:J46"/>
    <mergeCell ref="A32:B32"/>
    <mergeCell ref="F32:J32"/>
    <mergeCell ref="A31:B31"/>
    <mergeCell ref="F31:J31"/>
    <mergeCell ref="A44:B44"/>
    <mergeCell ref="F44:J44"/>
    <mergeCell ref="A43:B43"/>
    <mergeCell ref="F43:J43"/>
    <mergeCell ref="A42:B42"/>
    <mergeCell ref="F42:J42"/>
    <mergeCell ref="A41:B41"/>
    <mergeCell ref="F41:J41"/>
    <mergeCell ref="A40:B40"/>
    <mergeCell ref="F40:J40"/>
    <mergeCell ref="A39:B39"/>
    <mergeCell ref="F39:J39"/>
    <mergeCell ref="A38:B38"/>
    <mergeCell ref="F38:J38"/>
    <mergeCell ref="A53:B53"/>
    <mergeCell ref="F53:J53"/>
    <mergeCell ref="A52:B52"/>
    <mergeCell ref="F52:J52"/>
    <mergeCell ref="A78:B78"/>
    <mergeCell ref="F78:J78"/>
    <mergeCell ref="A56:B56"/>
    <mergeCell ref="F56:J56"/>
    <mergeCell ref="A66:B66"/>
    <mergeCell ref="F66:J66"/>
    <mergeCell ref="A65:B65"/>
    <mergeCell ref="F65:J65"/>
    <mergeCell ref="A64:B64"/>
    <mergeCell ref="F64:J64"/>
    <mergeCell ref="A70:B70"/>
    <mergeCell ref="F70:J70"/>
    <mergeCell ref="A63:B63"/>
    <mergeCell ref="F63:J63"/>
    <mergeCell ref="A62:B62"/>
    <mergeCell ref="F62:J62"/>
    <mergeCell ref="A67:B67"/>
    <mergeCell ref="F67:J67"/>
    <mergeCell ref="A77:B77"/>
    <mergeCell ref="F77:J77"/>
    <mergeCell ref="A75:B75"/>
    <mergeCell ref="F75:J75"/>
    <mergeCell ref="A72:B72"/>
    <mergeCell ref="F72:J72"/>
    <mergeCell ref="A71:B71"/>
    <mergeCell ref="F71:J71"/>
    <mergeCell ref="A74:B74"/>
    <mergeCell ref="F74:J74"/>
    <mergeCell ref="A73:B73"/>
    <mergeCell ref="F73:J73"/>
    <mergeCell ref="A69:B69"/>
    <mergeCell ref="F69:J69"/>
    <mergeCell ref="A68:B68"/>
    <mergeCell ref="F68:J68"/>
    <mergeCell ref="A87:B87"/>
    <mergeCell ref="F87:J87"/>
    <mergeCell ref="A79:B79"/>
    <mergeCell ref="F79:J79"/>
    <mergeCell ref="A84:B84"/>
    <mergeCell ref="F84:J84"/>
    <mergeCell ref="A83:B83"/>
    <mergeCell ref="F83:J83"/>
    <mergeCell ref="A82:B82"/>
    <mergeCell ref="F82:J82"/>
    <mergeCell ref="A81:B81"/>
    <mergeCell ref="F81:J81"/>
    <mergeCell ref="A80:B80"/>
    <mergeCell ref="F80:J80"/>
    <mergeCell ref="A86:B86"/>
    <mergeCell ref="F86:J86"/>
    <mergeCell ref="A85:B85"/>
    <mergeCell ref="F85:J85"/>
    <mergeCell ref="A76:B76"/>
    <mergeCell ref="F76:J76"/>
    <mergeCell ref="D1:G1"/>
    <mergeCell ref="I1:J1"/>
    <mergeCell ref="F9:J9"/>
    <mergeCell ref="A9:B9"/>
    <mergeCell ref="A10:Q10"/>
    <mergeCell ref="L1:M1"/>
    <mergeCell ref="D2:G2"/>
    <mergeCell ref="I2:J2"/>
    <mergeCell ref="L2:M2"/>
    <mergeCell ref="H4:Q4"/>
    <mergeCell ref="B4:G4"/>
    <mergeCell ref="N8:Q8"/>
    <mergeCell ref="A5:Q5"/>
    <mergeCell ref="A7:Q7"/>
    <mergeCell ref="A6:B6"/>
    <mergeCell ref="C6:P6"/>
    <mergeCell ref="D3:G3"/>
    <mergeCell ref="F55:J55"/>
    <mergeCell ref="A54:B54"/>
    <mergeCell ref="A61:B61"/>
    <mergeCell ref="F61:J61"/>
    <mergeCell ref="A60:B60"/>
    <mergeCell ref="F60:J60"/>
    <mergeCell ref="F54:J54"/>
    <mergeCell ref="A59:B59"/>
    <mergeCell ref="F59:J59"/>
    <mergeCell ref="A55:B55"/>
    <mergeCell ref="A58:B58"/>
    <mergeCell ref="F58:J58"/>
    <mergeCell ref="A57:B57"/>
    <mergeCell ref="F57:J57"/>
    <mergeCell ref="A14:B14"/>
    <mergeCell ref="F14:J14"/>
    <mergeCell ref="A29:B29"/>
    <mergeCell ref="F29:J29"/>
    <mergeCell ref="A28:B28"/>
    <mergeCell ref="F28:J28"/>
    <mergeCell ref="A27:B27"/>
    <mergeCell ref="F27:J27"/>
    <mergeCell ref="A26:B26"/>
    <mergeCell ref="F26:J26"/>
    <mergeCell ref="A25:B25"/>
    <mergeCell ref="F25:J25"/>
    <mergeCell ref="A24:B24"/>
    <mergeCell ref="F24:J24"/>
    <mergeCell ref="A23:B23"/>
    <mergeCell ref="F23:J23"/>
    <mergeCell ref="A22:B22"/>
    <mergeCell ref="F22:J22"/>
    <mergeCell ref="A21:B21"/>
    <mergeCell ref="F21:J21"/>
    <mergeCell ref="A20:B20"/>
    <mergeCell ref="F20:J20"/>
    <mergeCell ref="A16:B16"/>
    <mergeCell ref="F16:J16"/>
  </mergeCells>
  <conditionalFormatting sqref="O2">
    <cfRule type="iconSet" priority="3">
      <iconSet iconSet="3Symbols2" showValue="0">
        <cfvo type="percent" val="0"/>
        <cfvo type="num" val="0"/>
        <cfvo type="num" val="10"/>
      </iconSet>
    </cfRule>
  </conditionalFormatting>
  <dataValidations count="2">
    <dataValidation type="list" allowBlank="1" showInputMessage="1" showErrorMessage="1" sqref="I2:J2" xr:uid="{00000000-0002-0000-1600-000000000000}">
      <formula1>AvancementTheme</formula1>
    </dataValidation>
    <dataValidation type="list" allowBlank="1" showInputMessage="1" sqref="N11:Q87" xr:uid="{00000000-0002-0000-1600-000001000000}">
      <formula1>TrigramActeur</formula1>
    </dataValidation>
  </dataValidations>
  <hyperlinks>
    <hyperlink ref="A49:B49" location="'01-SWOT'!A1" display="01-SWOT" xr:uid="{00000000-0004-0000-1600-000000000000}"/>
    <hyperlink ref="A46:B46" location="'02-VISION'!A1" display="02-VISION" xr:uid="{00000000-0004-0000-1600-000001000000}"/>
    <hyperlink ref="A45:B45" location="'02-EXPECTATIONS'!A1" display="02-EXPECTATIONS" xr:uid="{00000000-0004-0000-1600-000002000000}"/>
    <hyperlink ref="A44:B44" location="'03-BUSINESSCARD-OFR1'!A1" display="03-BUSINESSCARD-OFR1" xr:uid="{00000000-0004-0000-1600-000003000000}"/>
    <hyperlink ref="A40:B40" location="'03-INTERLOCUTORS'!A1" display="03-INTERLOCUTORS" xr:uid="{00000000-0004-0000-1600-000004000000}"/>
    <hyperlink ref="A34:B34" location="'04-MARKETSPECIFICITIES'!A1" display="04-MARKETSPECIFICITIES" xr:uid="{00000000-0004-0000-1600-000005000000}"/>
    <hyperlink ref="A30:B30" location="'03-CHANNELREADY-OFR1'!A1" display="03-CHANNELREADY-OFR1" xr:uid="{00000000-0004-0000-1600-000006000000}"/>
    <hyperlink ref="A29:B29" location="'03-CHANNELREADY-OFR1'!A1" display="03-CHANNELREADY-OFR1" xr:uid="{00000000-0004-0000-1600-000007000000}"/>
    <hyperlink ref="A28:B28" location="'03-CHANNELREADY-OFR1'!A1" display="03-CHANNELREADY-OFR1" xr:uid="{00000000-0004-0000-1600-000008000000}"/>
    <hyperlink ref="A27:B27" location="'03-CHANNELREADY-OFR1'!A1" display="03-CHANNELREADY-OFR1" xr:uid="{00000000-0004-0000-1600-000009000000}"/>
    <hyperlink ref="A26:B26" location="'03-CHANNELREADY-OFR1'!A1" display="03-CHANNELREADY-OFR1" xr:uid="{00000000-0004-0000-1600-00000A000000}"/>
    <hyperlink ref="A24:B24" location="'03-CHANNELREADY-OFR1'!A1" display="03-CHANNELREADY-OFR1" xr:uid="{00000000-0004-0000-1600-00000B000000}"/>
    <hyperlink ref="A21:B21" location="'03-BUSINESSCARD-OFR1'!A1" display="03-BUSINESSCARD-OFR1" xr:uid="{00000000-0004-0000-1600-00000C000000}"/>
  </hyperlinks>
  <pageMargins left="0.70866141732283472" right="0.70866141732283472" top="0.74803149606299213" bottom="0.74803149606299213" header="0.31496062992125984" footer="0.31496062992125984"/>
  <pageSetup paperSize="9" scale="48"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2000000}">
          <x14:formula1>
            <xm:f>Parametre!$B$10:$B$12</xm:f>
          </x14:formula1>
          <xm:sqref>L11:L87</xm:sqref>
        </x14:dataValidation>
        <x14:dataValidation type="list" allowBlank="1" showInputMessage="1" showErrorMessage="1" xr:uid="{00000000-0002-0000-1600-000003000000}">
          <x14:formula1>
            <xm:f>Parametre!$B$15:$B$17</xm:f>
          </x14:formula1>
          <xm:sqref>E11:E87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5">
    <tabColor theme="0" tint="-0.249977111117893"/>
    <pageSetUpPr fitToPage="1"/>
  </sheetPr>
  <dimension ref="A1:V62"/>
  <sheetViews>
    <sheetView zoomScale="120" zoomScaleNormal="120" workbookViewId="0">
      <pane ySplit="6" topLeftCell="A28" activePane="bottomLeft" state="frozen"/>
      <selection activeCell="C5" sqref="C5:P5"/>
      <selection pane="bottomLeft"/>
    </sheetView>
  </sheetViews>
  <sheetFormatPr baseColWidth="10" defaultRowHeight="14.5" x14ac:dyDescent="0.35"/>
  <cols>
    <col min="12" max="12" width="12.81640625" customWidth="1"/>
    <col min="15" max="15" width="11.453125" customWidth="1"/>
  </cols>
  <sheetData>
    <row r="1" spans="1:22" s="5" customFormat="1" ht="15" customHeight="1" x14ac:dyDescent="0.35">
      <c r="A1" s="24"/>
      <c r="B1" s="24"/>
      <c r="C1" s="24"/>
      <c r="D1" s="4402" t="s">
        <v>5</v>
      </c>
      <c r="E1" s="4402"/>
      <c r="F1" s="4402"/>
      <c r="G1" s="4402"/>
      <c r="H1" s="6"/>
      <c r="I1" s="4402" t="s">
        <v>6</v>
      </c>
      <c r="J1" s="4402"/>
      <c r="K1" s="24"/>
      <c r="L1" s="4402" t="s">
        <v>9</v>
      </c>
      <c r="M1" s="4402"/>
      <c r="N1" s="24"/>
      <c r="O1" s="2313"/>
      <c r="P1" s="2313"/>
    </row>
    <row r="2" spans="1:22" s="2" customFormat="1" ht="18" customHeight="1" x14ac:dyDescent="0.35">
      <c r="A2" s="3"/>
      <c r="B2" s="3"/>
      <c r="C2" s="3"/>
      <c r="D2" s="3263" t="str">
        <f>NomClient</f>
        <v xml:space="preserve">EQUINIX </v>
      </c>
      <c r="E2" s="3264"/>
      <c r="F2" s="3264"/>
      <c r="G2" s="3265"/>
      <c r="H2" s="3"/>
      <c r="I2" s="3345" t="s">
        <v>407</v>
      </c>
      <c r="J2" s="3346"/>
      <c r="K2" s="3"/>
      <c r="L2" s="3347">
        <v>42534.859363425923</v>
      </c>
      <c r="M2" s="3348"/>
      <c r="N2" s="4"/>
      <c r="O2" s="2314"/>
      <c r="P2" s="2314"/>
    </row>
    <row r="3" spans="1:22" s="60" customFormat="1" ht="9.75" customHeight="1" thickBot="1" x14ac:dyDescent="0.4">
      <c r="A3" s="396"/>
      <c r="B3" s="396"/>
      <c r="C3" s="396"/>
      <c r="D3" s="3696" t="s">
        <v>1792</v>
      </c>
      <c r="E3" s="3696"/>
      <c r="F3" s="3696"/>
      <c r="G3" s="3696"/>
      <c r="H3" s="2315"/>
      <c r="I3" s="2315"/>
      <c r="J3" s="2315"/>
      <c r="K3" s="396"/>
      <c r="L3" s="396"/>
      <c r="M3" s="396"/>
      <c r="N3" s="396"/>
      <c r="O3" s="396"/>
      <c r="P3" s="396"/>
      <c r="Q3" s="64"/>
      <c r="R3" s="64"/>
      <c r="S3" s="64"/>
      <c r="T3" s="64"/>
      <c r="U3" s="64"/>
      <c r="V3" s="64"/>
    </row>
    <row r="4" spans="1:22" s="1" customFormat="1" ht="24.75" customHeight="1" thickBot="1" x14ac:dyDescent="0.4">
      <c r="A4" s="4408" t="str">
        <f>Parametre!B33 &amp; " : "</f>
        <v xml:space="preserve">Bilan du Workshop : </v>
      </c>
      <c r="B4" s="4409"/>
      <c r="C4" s="4409"/>
      <c r="D4" s="4409"/>
      <c r="E4" s="4409"/>
      <c r="F4" s="4409"/>
      <c r="G4" s="4409"/>
      <c r="H4" s="4410" t="s">
        <v>12</v>
      </c>
      <c r="I4" s="4410"/>
      <c r="J4" s="4410"/>
      <c r="K4" s="4410"/>
      <c r="L4" s="4410"/>
      <c r="M4" s="4410"/>
      <c r="N4" s="4410"/>
      <c r="O4" s="4410"/>
      <c r="P4" s="4411"/>
    </row>
    <row r="6" spans="1:22" s="8" customFormat="1" ht="18" x14ac:dyDescent="0.5">
      <c r="A6" s="4403" t="s">
        <v>14</v>
      </c>
      <c r="B6" s="4403"/>
      <c r="C6" s="4404" t="s">
        <v>1298</v>
      </c>
      <c r="D6" s="4404"/>
      <c r="E6" s="4404"/>
      <c r="F6" s="4404"/>
      <c r="G6" s="4404"/>
      <c r="H6" s="4404"/>
      <c r="I6" s="4404"/>
      <c r="J6" s="4404"/>
      <c r="K6" s="4404"/>
      <c r="L6" s="4404"/>
      <c r="M6" s="4404"/>
      <c r="N6" s="4404"/>
      <c r="O6" s="4404"/>
      <c r="P6" s="4404"/>
    </row>
    <row r="7" spans="1:22" ht="15" thickBot="1" x14ac:dyDescent="0.4"/>
    <row r="8" spans="1:22" ht="29.25" customHeight="1" thickTop="1" x14ac:dyDescent="0.35">
      <c r="B8" s="3464" t="s">
        <v>1996</v>
      </c>
      <c r="C8" s="3465"/>
      <c r="D8" s="3465"/>
      <c r="E8" s="3465"/>
      <c r="F8" s="3465"/>
      <c r="G8" s="3466"/>
      <c r="H8" s="4405" t="s">
        <v>2001</v>
      </c>
      <c r="I8" s="4406"/>
      <c r="J8" s="4406"/>
      <c r="K8" s="4406"/>
      <c r="L8" s="4406"/>
      <c r="M8" s="4407"/>
    </row>
    <row r="9" spans="1:22" ht="15" customHeight="1" x14ac:dyDescent="0.35">
      <c r="B9" s="4412"/>
      <c r="C9" s="4413"/>
      <c r="D9" s="4413"/>
      <c r="E9" s="4413"/>
      <c r="F9" s="4413"/>
      <c r="G9" s="4414"/>
      <c r="H9" s="4412"/>
      <c r="I9" s="4413"/>
      <c r="J9" s="4413"/>
      <c r="K9" s="4413"/>
      <c r="L9" s="4413"/>
      <c r="M9" s="4415"/>
    </row>
    <row r="10" spans="1:22" x14ac:dyDescent="0.35">
      <c r="B10" s="4412"/>
      <c r="C10" s="4413"/>
      <c r="D10" s="4413"/>
      <c r="E10" s="4413"/>
      <c r="F10" s="4413"/>
      <c r="G10" s="4414"/>
      <c r="H10" s="4412"/>
      <c r="I10" s="4413"/>
      <c r="J10" s="4413"/>
      <c r="K10" s="4413"/>
      <c r="L10" s="4413"/>
      <c r="M10" s="4415"/>
    </row>
    <row r="11" spans="1:22" x14ac:dyDescent="0.35">
      <c r="B11" s="4412"/>
      <c r="C11" s="4413"/>
      <c r="D11" s="4413"/>
      <c r="E11" s="4413"/>
      <c r="F11" s="4413"/>
      <c r="G11" s="4414"/>
      <c r="H11" s="4412"/>
      <c r="I11" s="4413"/>
      <c r="J11" s="4413"/>
      <c r="K11" s="4413"/>
      <c r="L11" s="4413"/>
      <c r="M11" s="4415"/>
    </row>
    <row r="12" spans="1:22" x14ac:dyDescent="0.35">
      <c r="B12" s="4412"/>
      <c r="C12" s="4413"/>
      <c r="D12" s="4413"/>
      <c r="E12" s="4413"/>
      <c r="F12" s="4413"/>
      <c r="G12" s="4414"/>
      <c r="H12" s="4412"/>
      <c r="I12" s="4413"/>
      <c r="J12" s="4413"/>
      <c r="K12" s="4413"/>
      <c r="L12" s="4413"/>
      <c r="M12" s="4415"/>
    </row>
    <row r="13" spans="1:22" x14ac:dyDescent="0.35">
      <c r="B13" s="4412"/>
      <c r="C13" s="4413"/>
      <c r="D13" s="4413"/>
      <c r="E13" s="4413"/>
      <c r="F13" s="4413"/>
      <c r="G13" s="4414"/>
      <c r="H13" s="4412"/>
      <c r="I13" s="4413"/>
      <c r="J13" s="4413"/>
      <c r="K13" s="4413"/>
      <c r="L13" s="4413"/>
      <c r="M13" s="4415"/>
    </row>
    <row r="14" spans="1:22" x14ac:dyDescent="0.35">
      <c r="B14" s="4412"/>
      <c r="C14" s="4413"/>
      <c r="D14" s="4413"/>
      <c r="E14" s="4413"/>
      <c r="F14" s="4413"/>
      <c r="G14" s="4414"/>
      <c r="H14" s="4412"/>
      <c r="I14" s="4413"/>
      <c r="J14" s="4413"/>
      <c r="K14" s="4413"/>
      <c r="L14" s="4413"/>
      <c r="M14" s="4415"/>
    </row>
    <row r="15" spans="1:22" x14ac:dyDescent="0.35">
      <c r="B15" s="4412"/>
      <c r="C15" s="4413"/>
      <c r="D15" s="4413"/>
      <c r="E15" s="4413"/>
      <c r="F15" s="4413"/>
      <c r="G15" s="4414"/>
      <c r="H15" s="4412"/>
      <c r="I15" s="4413"/>
      <c r="J15" s="4413"/>
      <c r="K15" s="4413"/>
      <c r="L15" s="4413"/>
      <c r="M15" s="4415"/>
    </row>
    <row r="16" spans="1:22" x14ac:dyDescent="0.35">
      <c r="B16" s="4412"/>
      <c r="C16" s="4413"/>
      <c r="D16" s="4413"/>
      <c r="E16" s="4413"/>
      <c r="F16" s="4413"/>
      <c r="G16" s="4414"/>
      <c r="H16" s="4412"/>
      <c r="I16" s="4413"/>
      <c r="J16" s="4413"/>
      <c r="K16" s="4413"/>
      <c r="L16" s="4413"/>
      <c r="M16" s="4415"/>
    </row>
    <row r="17" spans="2:13" x14ac:dyDescent="0.35">
      <c r="B17" s="4412"/>
      <c r="C17" s="4413"/>
      <c r="D17" s="4413"/>
      <c r="E17" s="4413"/>
      <c r="F17" s="4413"/>
      <c r="G17" s="4414"/>
      <c r="H17" s="4412"/>
      <c r="I17" s="4413"/>
      <c r="J17" s="4413"/>
      <c r="K17" s="4413"/>
      <c r="L17" s="4413"/>
      <c r="M17" s="4415"/>
    </row>
    <row r="18" spans="2:13" ht="15" thickBot="1" x14ac:dyDescent="0.4">
      <c r="B18" s="4416"/>
      <c r="C18" s="4417"/>
      <c r="D18" s="4417"/>
      <c r="E18" s="4417"/>
      <c r="F18" s="4417"/>
      <c r="G18" s="4429"/>
      <c r="H18" s="4416"/>
      <c r="I18" s="4417"/>
      <c r="J18" s="4417"/>
      <c r="K18" s="4417"/>
      <c r="L18" s="4417"/>
      <c r="M18" s="4418"/>
    </row>
    <row r="19" spans="2:13" ht="19" thickBot="1" x14ac:dyDescent="0.4">
      <c r="B19" s="4419" t="s">
        <v>1997</v>
      </c>
      <c r="C19" s="4420"/>
      <c r="D19" s="4420"/>
      <c r="E19" s="4420"/>
      <c r="F19" s="4420"/>
      <c r="G19" s="4420"/>
      <c r="H19" s="4420"/>
      <c r="I19" s="4420"/>
      <c r="J19" s="4420"/>
      <c r="K19" s="4420"/>
      <c r="L19" s="4420"/>
      <c r="M19" s="4421"/>
    </row>
    <row r="20" spans="2:13" x14ac:dyDescent="0.35">
      <c r="B20" s="4422"/>
      <c r="C20" s="4423"/>
      <c r="D20" s="4423"/>
      <c r="E20" s="4423"/>
      <c r="F20" s="4423"/>
      <c r="G20" s="4423"/>
      <c r="H20" s="4423"/>
      <c r="I20" s="4423"/>
      <c r="J20" s="4423"/>
      <c r="K20" s="4423"/>
      <c r="L20" s="4423"/>
      <c r="M20" s="4424"/>
    </row>
    <row r="21" spans="2:13" x14ac:dyDescent="0.35">
      <c r="B21" s="4422"/>
      <c r="C21" s="4423"/>
      <c r="D21" s="4423"/>
      <c r="E21" s="4423"/>
      <c r="F21" s="4423"/>
      <c r="G21" s="4423"/>
      <c r="H21" s="4423"/>
      <c r="I21" s="4423"/>
      <c r="J21" s="4423"/>
      <c r="K21" s="4423"/>
      <c r="L21" s="4423"/>
      <c r="M21" s="4424"/>
    </row>
    <row r="22" spans="2:13" x14ac:dyDescent="0.35">
      <c r="B22" s="4422"/>
      <c r="C22" s="4423"/>
      <c r="D22" s="4423"/>
      <c r="E22" s="4423"/>
      <c r="F22" s="4423"/>
      <c r="G22" s="4423"/>
      <c r="H22" s="4423"/>
      <c r="I22" s="4423"/>
      <c r="J22" s="4423"/>
      <c r="K22" s="4423"/>
      <c r="L22" s="4423"/>
      <c r="M22" s="4424"/>
    </row>
    <row r="23" spans="2:13" x14ac:dyDescent="0.35">
      <c r="B23" s="4422"/>
      <c r="C23" s="4423"/>
      <c r="D23" s="4423"/>
      <c r="E23" s="4423"/>
      <c r="F23" s="4423"/>
      <c r="G23" s="4423"/>
      <c r="H23" s="4423"/>
      <c r="I23" s="4423"/>
      <c r="J23" s="4423"/>
      <c r="K23" s="4423"/>
      <c r="L23" s="4423"/>
      <c r="M23" s="4424"/>
    </row>
    <row r="24" spans="2:13" x14ac:dyDescent="0.35">
      <c r="B24" s="4422"/>
      <c r="C24" s="4423"/>
      <c r="D24" s="4423"/>
      <c r="E24" s="4423"/>
      <c r="F24" s="4423"/>
      <c r="G24" s="4423"/>
      <c r="H24" s="4423"/>
      <c r="I24" s="4423"/>
      <c r="J24" s="4423"/>
      <c r="K24" s="4423"/>
      <c r="L24" s="4423"/>
      <c r="M24" s="4424"/>
    </row>
    <row r="25" spans="2:13" x14ac:dyDescent="0.35">
      <c r="B25" s="4422"/>
      <c r="C25" s="4423"/>
      <c r="D25" s="4423"/>
      <c r="E25" s="4423"/>
      <c r="F25" s="4423"/>
      <c r="G25" s="4423"/>
      <c r="H25" s="4423"/>
      <c r="I25" s="4423"/>
      <c r="J25" s="4423"/>
      <c r="K25" s="4423"/>
      <c r="L25" s="4423"/>
      <c r="M25" s="4424"/>
    </row>
    <row r="26" spans="2:13" x14ac:dyDescent="0.35">
      <c r="B26" s="4422"/>
      <c r="C26" s="4423"/>
      <c r="D26" s="4423"/>
      <c r="E26" s="4423"/>
      <c r="F26" s="4423"/>
      <c r="G26" s="4423"/>
      <c r="H26" s="4423"/>
      <c r="I26" s="4423"/>
      <c r="J26" s="4423"/>
      <c r="K26" s="4423"/>
      <c r="L26" s="4423"/>
      <c r="M26" s="4424"/>
    </row>
    <row r="27" spans="2:13" ht="15" thickBot="1" x14ac:dyDescent="0.4">
      <c r="B27" s="2425"/>
      <c r="C27" s="2426"/>
      <c r="D27" s="2426"/>
      <c r="E27" s="2426"/>
      <c r="F27" s="2426"/>
      <c r="G27" s="2426"/>
      <c r="H27" s="2427"/>
      <c r="I27" s="2427"/>
      <c r="J27" s="2427"/>
      <c r="K27" s="2427"/>
      <c r="L27" s="2427"/>
      <c r="M27" s="2428"/>
    </row>
    <row r="28" spans="2:13" ht="19" thickTop="1" x14ac:dyDescent="0.35">
      <c r="B28" s="3441" t="s">
        <v>1998</v>
      </c>
      <c r="C28" s="3442"/>
      <c r="D28" s="3442"/>
      <c r="E28" s="3442"/>
      <c r="F28" s="3442"/>
      <c r="G28" s="3443"/>
      <c r="H28" s="3444" t="s">
        <v>2002</v>
      </c>
      <c r="I28" s="3445"/>
      <c r="J28" s="3445"/>
      <c r="K28" s="3445"/>
      <c r="L28" s="3445"/>
      <c r="M28" s="4425"/>
    </row>
    <row r="29" spans="2:13" ht="15" customHeight="1" x14ac:dyDescent="0.35">
      <c r="B29" s="3413"/>
      <c r="C29" s="3414"/>
      <c r="D29" s="3414"/>
      <c r="E29" s="3414"/>
      <c r="F29" s="3414"/>
      <c r="G29" s="3415"/>
      <c r="H29" s="3463"/>
      <c r="I29" s="3410"/>
      <c r="J29" s="3410"/>
      <c r="K29" s="3410"/>
      <c r="L29" s="3410"/>
      <c r="M29" s="4380"/>
    </row>
    <row r="30" spans="2:13" ht="15" customHeight="1" x14ac:dyDescent="0.35">
      <c r="B30" s="3413"/>
      <c r="C30" s="3414"/>
      <c r="D30" s="3414"/>
      <c r="E30" s="3414"/>
      <c r="F30" s="3414"/>
      <c r="G30" s="3415"/>
      <c r="H30" s="3463"/>
      <c r="I30" s="3410"/>
      <c r="J30" s="3410"/>
      <c r="K30" s="3410"/>
      <c r="L30" s="3410"/>
      <c r="M30" s="4380"/>
    </row>
    <row r="31" spans="2:13" x14ac:dyDescent="0.35">
      <c r="B31" s="3413"/>
      <c r="C31" s="3414"/>
      <c r="D31" s="3414"/>
      <c r="E31" s="3414"/>
      <c r="F31" s="3414"/>
      <c r="G31" s="3415"/>
      <c r="H31" s="3463"/>
      <c r="I31" s="3410"/>
      <c r="J31" s="3410"/>
      <c r="K31" s="3410"/>
      <c r="L31" s="3410"/>
      <c r="M31" s="4380"/>
    </row>
    <row r="32" spans="2:13" x14ac:dyDescent="0.35">
      <c r="B32" s="3413"/>
      <c r="C32" s="3414"/>
      <c r="D32" s="3414"/>
      <c r="E32" s="3414"/>
      <c r="F32" s="3414"/>
      <c r="G32" s="3415"/>
      <c r="H32" s="3463"/>
      <c r="I32" s="3410"/>
      <c r="J32" s="3410"/>
      <c r="K32" s="3410"/>
      <c r="L32" s="3410"/>
      <c r="M32" s="4380"/>
    </row>
    <row r="33" spans="2:13" x14ac:dyDescent="0.35">
      <c r="B33" s="3413"/>
      <c r="C33" s="3414"/>
      <c r="D33" s="3414"/>
      <c r="E33" s="3414"/>
      <c r="F33" s="3414"/>
      <c r="G33" s="3415"/>
      <c r="H33" s="3463"/>
      <c r="I33" s="3410"/>
      <c r="J33" s="3410"/>
      <c r="K33" s="3410"/>
      <c r="L33" s="3410"/>
      <c r="M33" s="4380"/>
    </row>
    <row r="34" spans="2:13" x14ac:dyDescent="0.35">
      <c r="B34" s="3413"/>
      <c r="C34" s="3414"/>
      <c r="D34" s="3414"/>
      <c r="E34" s="3414"/>
      <c r="F34" s="3414"/>
      <c r="G34" s="3415"/>
      <c r="H34" s="3463"/>
      <c r="I34" s="3410"/>
      <c r="J34" s="3410"/>
      <c r="K34" s="3410"/>
      <c r="L34" s="3410"/>
      <c r="M34" s="4380"/>
    </row>
    <row r="35" spans="2:13" x14ac:dyDescent="0.35">
      <c r="B35" s="3413"/>
      <c r="C35" s="3414"/>
      <c r="D35" s="3414"/>
      <c r="E35" s="3414"/>
      <c r="F35" s="3414"/>
      <c r="G35" s="3415"/>
      <c r="H35" s="3463"/>
      <c r="I35" s="3410"/>
      <c r="J35" s="3410"/>
      <c r="K35" s="3410"/>
      <c r="L35" s="3410"/>
      <c r="M35" s="4380"/>
    </row>
    <row r="36" spans="2:13" x14ac:dyDescent="0.35">
      <c r="B36" s="3413"/>
      <c r="C36" s="3414"/>
      <c r="D36" s="3414"/>
      <c r="E36" s="3414"/>
      <c r="F36" s="3414"/>
      <c r="G36" s="3415"/>
      <c r="H36" s="3463"/>
      <c r="I36" s="3410"/>
      <c r="J36" s="3410"/>
      <c r="K36" s="3410"/>
      <c r="L36" s="3410"/>
      <c r="M36" s="4380"/>
    </row>
    <row r="37" spans="2:13" x14ac:dyDescent="0.35">
      <c r="B37" s="3413"/>
      <c r="C37" s="3414"/>
      <c r="D37" s="3414"/>
      <c r="E37" s="3414"/>
      <c r="F37" s="3414"/>
      <c r="G37" s="3415"/>
      <c r="H37" s="3463"/>
      <c r="I37" s="3410"/>
      <c r="J37" s="3410"/>
      <c r="K37" s="3410"/>
      <c r="L37" s="3410"/>
      <c r="M37" s="4380"/>
    </row>
    <row r="38" spans="2:13" x14ac:dyDescent="0.35">
      <c r="B38" s="3413"/>
      <c r="C38" s="3414"/>
      <c r="D38" s="3414"/>
      <c r="E38" s="3414"/>
      <c r="F38" s="3414"/>
      <c r="G38" s="3415"/>
      <c r="H38" s="3463"/>
      <c r="I38" s="3410"/>
      <c r="J38" s="3410"/>
      <c r="K38" s="3410"/>
      <c r="L38" s="3410"/>
      <c r="M38" s="4380"/>
    </row>
    <row r="39" spans="2:13" x14ac:dyDescent="0.35">
      <c r="B39" s="3413"/>
      <c r="C39" s="3414"/>
      <c r="D39" s="3414"/>
      <c r="E39" s="3414"/>
      <c r="F39" s="3414"/>
      <c r="G39" s="3415"/>
      <c r="H39" s="3463"/>
      <c r="I39" s="3410"/>
      <c r="J39" s="3410"/>
      <c r="K39" s="3410"/>
      <c r="L39" s="3410"/>
      <c r="M39" s="4380"/>
    </row>
    <row r="40" spans="2:13" x14ac:dyDescent="0.35">
      <c r="B40" s="3413"/>
      <c r="C40" s="3414"/>
      <c r="D40" s="3414"/>
      <c r="E40" s="3414"/>
      <c r="F40" s="3414"/>
      <c r="G40" s="3415"/>
      <c r="H40" s="3463"/>
      <c r="I40" s="3410"/>
      <c r="J40" s="3410"/>
      <c r="K40" s="3410"/>
      <c r="L40" s="3410"/>
      <c r="M40" s="4380"/>
    </row>
    <row r="41" spans="2:13" x14ac:dyDescent="0.35">
      <c r="B41" s="3413"/>
      <c r="C41" s="3414"/>
      <c r="D41" s="3414"/>
      <c r="E41" s="3414"/>
      <c r="F41" s="3414"/>
      <c r="G41" s="3415"/>
      <c r="H41" s="3463"/>
      <c r="I41" s="3410"/>
      <c r="J41" s="3410"/>
      <c r="K41" s="3410"/>
      <c r="L41" s="3410"/>
      <c r="M41" s="4380"/>
    </row>
    <row r="42" spans="2:13" x14ac:dyDescent="0.35">
      <c r="B42" s="3413"/>
      <c r="C42" s="3414"/>
      <c r="D42" s="3414"/>
      <c r="E42" s="3414"/>
      <c r="F42" s="3414"/>
      <c r="G42" s="3415"/>
      <c r="H42" s="3463"/>
      <c r="I42" s="3410"/>
      <c r="J42" s="3410"/>
      <c r="K42" s="3410"/>
      <c r="L42" s="3410"/>
      <c r="M42" s="4380"/>
    </row>
    <row r="43" spans="2:13" x14ac:dyDescent="0.35">
      <c r="B43" s="3413"/>
      <c r="C43" s="3414"/>
      <c r="D43" s="3414"/>
      <c r="E43" s="3414"/>
      <c r="F43" s="3414"/>
      <c r="G43" s="3415"/>
      <c r="H43" s="3463"/>
      <c r="I43" s="3410"/>
      <c r="J43" s="3410"/>
      <c r="K43" s="3410"/>
      <c r="L43" s="3410"/>
      <c r="M43" s="4380"/>
    </row>
    <row r="44" spans="2:13" x14ac:dyDescent="0.35">
      <c r="B44" s="3413"/>
      <c r="C44" s="3414"/>
      <c r="D44" s="3414"/>
      <c r="E44" s="3414"/>
      <c r="F44" s="3414"/>
      <c r="G44" s="3415"/>
      <c r="H44" s="3463"/>
      <c r="I44" s="3410"/>
      <c r="J44" s="3410"/>
      <c r="K44" s="3410"/>
      <c r="L44" s="3410"/>
      <c r="M44" s="4380"/>
    </row>
    <row r="45" spans="2:13" x14ac:dyDescent="0.35">
      <c r="B45" s="3413"/>
      <c r="C45" s="3414"/>
      <c r="D45" s="3414"/>
      <c r="E45" s="3414"/>
      <c r="F45" s="3414"/>
      <c r="G45" s="3415"/>
      <c r="H45" s="3463"/>
      <c r="I45" s="3410"/>
      <c r="J45" s="3410"/>
      <c r="K45" s="3410"/>
      <c r="L45" s="3410"/>
      <c r="M45" s="4380"/>
    </row>
    <row r="46" spans="2:13" x14ac:dyDescent="0.35">
      <c r="B46" s="3413"/>
      <c r="C46" s="3414"/>
      <c r="D46" s="3414"/>
      <c r="E46" s="3414"/>
      <c r="F46" s="3414"/>
      <c r="G46" s="3415"/>
      <c r="H46" s="3463"/>
      <c r="I46" s="3410"/>
      <c r="J46" s="3410"/>
      <c r="K46" s="3410"/>
      <c r="L46" s="3410"/>
      <c r="M46" s="4380"/>
    </row>
    <row r="47" spans="2:13" ht="15" thickBot="1" x14ac:dyDescent="0.4">
      <c r="B47" s="4426"/>
      <c r="C47" s="4427"/>
      <c r="D47" s="4427"/>
      <c r="E47" s="4427"/>
      <c r="F47" s="4427"/>
      <c r="G47" s="4428"/>
      <c r="H47" s="4381"/>
      <c r="I47" s="4382"/>
      <c r="J47" s="4382"/>
      <c r="K47" s="4382"/>
      <c r="L47" s="4382"/>
      <c r="M47" s="4383"/>
    </row>
    <row r="48" spans="2:13" ht="15" thickTop="1" x14ac:dyDescent="0.35"/>
    <row r="49" spans="1:17" ht="15" thickBot="1" x14ac:dyDescent="0.4"/>
    <row r="50" spans="1:17" s="7" customFormat="1" ht="17.5" thickTop="1" x14ac:dyDescent="0.5">
      <c r="A50" s="4393" t="s">
        <v>1999</v>
      </c>
      <c r="B50" s="4394"/>
      <c r="C50" s="4394"/>
      <c r="D50" s="4394"/>
      <c r="E50" s="4394"/>
      <c r="F50" s="4394"/>
      <c r="G50" s="4394"/>
      <c r="H50" s="4394"/>
      <c r="I50" s="4394"/>
      <c r="J50" s="4394"/>
      <c r="K50" s="4394"/>
      <c r="L50" s="4394"/>
      <c r="M50" s="4394"/>
      <c r="N50" s="4394"/>
      <c r="O50" s="4394"/>
      <c r="P50" s="4395"/>
    </row>
    <row r="51" spans="1:17" ht="20.25" customHeight="1" x14ac:dyDescent="0.35">
      <c r="A51" s="4396"/>
      <c r="B51" s="4397"/>
      <c r="C51" s="4397"/>
      <c r="D51" s="4397"/>
      <c r="E51" s="4397"/>
      <c r="F51" s="4397"/>
      <c r="G51" s="4397"/>
      <c r="H51" s="4397"/>
      <c r="I51" s="4397"/>
      <c r="J51" s="4397"/>
      <c r="K51" s="4397"/>
      <c r="L51" s="4397"/>
      <c r="M51" s="4397"/>
      <c r="N51" s="4397"/>
      <c r="O51" s="4397"/>
      <c r="P51" s="4398"/>
    </row>
    <row r="52" spans="1:17" ht="20.25" customHeight="1" x14ac:dyDescent="0.35">
      <c r="A52" s="4396"/>
      <c r="B52" s="4397"/>
      <c r="C52" s="4397"/>
      <c r="D52" s="4397"/>
      <c r="E52" s="4397"/>
      <c r="F52" s="4397"/>
      <c r="G52" s="4397"/>
      <c r="H52" s="4397"/>
      <c r="I52" s="4397"/>
      <c r="J52" s="4397"/>
      <c r="K52" s="4397"/>
      <c r="L52" s="4397"/>
      <c r="M52" s="4397"/>
      <c r="N52" s="4397"/>
      <c r="O52" s="4397"/>
      <c r="P52" s="4398"/>
    </row>
    <row r="53" spans="1:17" ht="20.25" customHeight="1" x14ac:dyDescent="0.35">
      <c r="A53" s="4396"/>
      <c r="B53" s="4397"/>
      <c r="C53" s="4397"/>
      <c r="D53" s="4397"/>
      <c r="E53" s="4397"/>
      <c r="F53" s="4397"/>
      <c r="G53" s="4397"/>
      <c r="H53" s="4397"/>
      <c r="I53" s="4397"/>
      <c r="J53" s="4397"/>
      <c r="K53" s="4397"/>
      <c r="L53" s="4397"/>
      <c r="M53" s="4397"/>
      <c r="N53" s="4397"/>
      <c r="O53" s="4397"/>
      <c r="P53" s="4398"/>
    </row>
    <row r="54" spans="1:17" ht="20.25" customHeight="1" x14ac:dyDescent="0.35">
      <c r="A54" s="4396"/>
      <c r="B54" s="4397"/>
      <c r="C54" s="4397"/>
      <c r="D54" s="4397"/>
      <c r="E54" s="4397"/>
      <c r="F54" s="4397"/>
      <c r="G54" s="4397"/>
      <c r="H54" s="4397"/>
      <c r="I54" s="4397"/>
      <c r="J54" s="4397"/>
      <c r="K54" s="4397"/>
      <c r="L54" s="4397"/>
      <c r="M54" s="4397"/>
      <c r="N54" s="4397"/>
      <c r="O54" s="4397"/>
      <c r="P54" s="4398"/>
    </row>
    <row r="55" spans="1:17" ht="20.25" customHeight="1" thickBot="1" x14ac:dyDescent="0.4">
      <c r="A55" s="4399"/>
      <c r="B55" s="4400"/>
      <c r="C55" s="4400"/>
      <c r="D55" s="4400"/>
      <c r="E55" s="4400"/>
      <c r="F55" s="4400"/>
      <c r="G55" s="4400"/>
      <c r="H55" s="4400"/>
      <c r="I55" s="4400"/>
      <c r="J55" s="4400"/>
      <c r="K55" s="4400"/>
      <c r="L55" s="4400"/>
      <c r="M55" s="4400"/>
      <c r="N55" s="4400"/>
      <c r="O55" s="4400"/>
      <c r="P55" s="4401"/>
    </row>
    <row r="56" spans="1:17" ht="15.5" thickTop="1" thickBot="1" x14ac:dyDescent="0.4"/>
    <row r="57" spans="1:17" s="60" customFormat="1" ht="15" thickTop="1" x14ac:dyDescent="0.35">
      <c r="A57" s="4384" t="s">
        <v>2000</v>
      </c>
      <c r="B57" s="4385"/>
      <c r="C57" s="4385"/>
      <c r="D57" s="4385"/>
      <c r="E57" s="4385"/>
      <c r="F57" s="4385"/>
      <c r="G57" s="4385"/>
      <c r="H57" s="4385"/>
      <c r="I57" s="4385"/>
      <c r="J57" s="4385"/>
      <c r="K57" s="4386"/>
      <c r="L57" s="31"/>
      <c r="M57" s="31"/>
      <c r="N57" s="31"/>
      <c r="O57" s="31"/>
      <c r="P57" s="31"/>
      <c r="Q57" s="64"/>
    </row>
    <row r="58" spans="1:17" s="60" customFormat="1" ht="20.25" customHeight="1" x14ac:dyDescent="0.35">
      <c r="A58" s="4387"/>
      <c r="B58" s="4388"/>
      <c r="C58" s="4388"/>
      <c r="D58" s="4388"/>
      <c r="E58" s="4388"/>
      <c r="F58" s="4388"/>
      <c r="G58" s="4388"/>
      <c r="H58" s="4388"/>
      <c r="I58" s="4388"/>
      <c r="J58" s="4388"/>
      <c r="K58" s="4389"/>
      <c r="L58" s="33"/>
      <c r="M58" s="33"/>
      <c r="N58" s="33"/>
      <c r="O58" s="33"/>
      <c r="P58" s="33"/>
      <c r="Q58" s="64"/>
    </row>
    <row r="59" spans="1:17" s="60" customFormat="1" ht="21" customHeight="1" x14ac:dyDescent="0.35">
      <c r="A59" s="4387"/>
      <c r="B59" s="4388"/>
      <c r="C59" s="4388"/>
      <c r="D59" s="4388"/>
      <c r="E59" s="4388"/>
      <c r="F59" s="4388"/>
      <c r="G59" s="4388"/>
      <c r="H59" s="4388"/>
      <c r="I59" s="4388"/>
      <c r="J59" s="4388"/>
      <c r="K59" s="4389"/>
      <c r="L59" s="33"/>
      <c r="M59" s="33"/>
      <c r="N59" s="33"/>
      <c r="O59" s="33"/>
      <c r="P59" s="33"/>
      <c r="Q59" s="64"/>
    </row>
    <row r="60" spans="1:17" s="60" customFormat="1" ht="20.25" customHeight="1" x14ac:dyDescent="0.35">
      <c r="A60" s="4387"/>
      <c r="B60" s="4388"/>
      <c r="C60" s="4388"/>
      <c r="D60" s="4388"/>
      <c r="E60" s="4388"/>
      <c r="F60" s="4388"/>
      <c r="G60" s="4388"/>
      <c r="H60" s="4388"/>
      <c r="I60" s="4388"/>
      <c r="J60" s="4388"/>
      <c r="K60" s="4389"/>
      <c r="L60" s="33"/>
      <c r="M60" s="33"/>
      <c r="N60" s="33"/>
      <c r="O60" s="33"/>
      <c r="P60" s="33"/>
      <c r="Q60" s="64"/>
    </row>
    <row r="61" spans="1:17" s="60" customFormat="1" ht="20.25" customHeight="1" thickBot="1" x14ac:dyDescent="0.4">
      <c r="A61" s="4390"/>
      <c r="B61" s="4391"/>
      <c r="C61" s="4391"/>
      <c r="D61" s="4391"/>
      <c r="E61" s="4391"/>
      <c r="F61" s="4391"/>
      <c r="G61" s="4391"/>
      <c r="H61" s="4391"/>
      <c r="I61" s="4391"/>
      <c r="J61" s="4391"/>
      <c r="K61" s="4392"/>
      <c r="L61" s="33"/>
      <c r="M61" s="33"/>
      <c r="N61" s="33"/>
      <c r="O61" s="33"/>
      <c r="P61" s="33"/>
      <c r="Q61" s="64"/>
    </row>
    <row r="62" spans="1:17" s="60" customFormat="1" ht="15" thickTop="1" x14ac:dyDescent="0.35">
      <c r="A62" s="64"/>
      <c r="B62" s="64"/>
      <c r="C62" s="64"/>
      <c r="D62" s="64"/>
      <c r="E62" s="64"/>
      <c r="F62" s="64"/>
      <c r="G62" s="64"/>
      <c r="H62" s="64"/>
      <c r="I62" s="64"/>
      <c r="J62" s="64"/>
      <c r="K62" s="64"/>
      <c r="L62" s="64"/>
      <c r="M62" s="64"/>
      <c r="N62" s="64"/>
      <c r="O62" s="64"/>
      <c r="P62" s="64"/>
      <c r="Q62" s="64"/>
    </row>
  </sheetData>
  <mergeCells count="85">
    <mergeCell ref="D3:G3"/>
    <mergeCell ref="B44:G44"/>
    <mergeCell ref="B45:G45"/>
    <mergeCell ref="B46:G46"/>
    <mergeCell ref="B47:G47"/>
    <mergeCell ref="B38:G38"/>
    <mergeCell ref="B39:G39"/>
    <mergeCell ref="B40:G40"/>
    <mergeCell ref="B30:G30"/>
    <mergeCell ref="B31:G31"/>
    <mergeCell ref="B28:G28"/>
    <mergeCell ref="B15:G15"/>
    <mergeCell ref="B16:G16"/>
    <mergeCell ref="B32:G32"/>
    <mergeCell ref="B33:G33"/>
    <mergeCell ref="B18:G18"/>
    <mergeCell ref="H44:M44"/>
    <mergeCell ref="H45:M45"/>
    <mergeCell ref="B41:G41"/>
    <mergeCell ref="B42:G42"/>
    <mergeCell ref="B43:G43"/>
    <mergeCell ref="H41:M41"/>
    <mergeCell ref="H42:M42"/>
    <mergeCell ref="H43:M43"/>
    <mergeCell ref="H38:M38"/>
    <mergeCell ref="H39:M39"/>
    <mergeCell ref="H40:M40"/>
    <mergeCell ref="B34:G34"/>
    <mergeCell ref="B35:G35"/>
    <mergeCell ref="B36:G36"/>
    <mergeCell ref="B37:G37"/>
    <mergeCell ref="H35:M35"/>
    <mergeCell ref="H36:M36"/>
    <mergeCell ref="H37:M37"/>
    <mergeCell ref="H34:M34"/>
    <mergeCell ref="H30:M30"/>
    <mergeCell ref="H31:M31"/>
    <mergeCell ref="H32:M32"/>
    <mergeCell ref="H33:M33"/>
    <mergeCell ref="B22:M22"/>
    <mergeCell ref="B23:M23"/>
    <mergeCell ref="H28:M28"/>
    <mergeCell ref="B29:G29"/>
    <mergeCell ref="H29:M29"/>
    <mergeCell ref="B24:M24"/>
    <mergeCell ref="B25:M25"/>
    <mergeCell ref="B26:M26"/>
    <mergeCell ref="H18:M18"/>
    <mergeCell ref="B19:M19"/>
    <mergeCell ref="B20:M20"/>
    <mergeCell ref="B21:M21"/>
    <mergeCell ref="B17:G17"/>
    <mergeCell ref="H15:M15"/>
    <mergeCell ref="H16:M16"/>
    <mergeCell ref="H17:M17"/>
    <mergeCell ref="B12:G12"/>
    <mergeCell ref="B13:G13"/>
    <mergeCell ref="B14:G14"/>
    <mergeCell ref="H12:M12"/>
    <mergeCell ref="H13:M13"/>
    <mergeCell ref="H14:M14"/>
    <mergeCell ref="B9:G9"/>
    <mergeCell ref="B10:G10"/>
    <mergeCell ref="B11:G11"/>
    <mergeCell ref="H9:M9"/>
    <mergeCell ref="H10:M10"/>
    <mergeCell ref="H11:M11"/>
    <mergeCell ref="A6:B6"/>
    <mergeCell ref="C6:P6"/>
    <mergeCell ref="B8:G8"/>
    <mergeCell ref="H8:M8"/>
    <mergeCell ref="A4:G4"/>
    <mergeCell ref="H4:P4"/>
    <mergeCell ref="D1:G1"/>
    <mergeCell ref="I1:J1"/>
    <mergeCell ref="L1:M1"/>
    <mergeCell ref="D2:G2"/>
    <mergeCell ref="I2:J2"/>
    <mergeCell ref="L2:M2"/>
    <mergeCell ref="H46:M46"/>
    <mergeCell ref="H47:M47"/>
    <mergeCell ref="A57:K57"/>
    <mergeCell ref="A58:K61"/>
    <mergeCell ref="A50:P50"/>
    <mergeCell ref="A51:P5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700-000000000000}">
      <formula1>AvancementTheme</formula1>
    </dataValidation>
  </dataValidations>
  <pageMargins left="0.7" right="0.7" top="0.75" bottom="0.75" header="0.3" footer="0.3"/>
  <pageSetup paperSize="9" scale="71"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5">
    <tabColor rgb="FFFFFF00"/>
    <pageSetUpPr fitToPage="1"/>
  </sheetPr>
  <dimension ref="A1:P55"/>
  <sheetViews>
    <sheetView showGridLines="0" zoomScale="130" zoomScaleNormal="130" zoomScaleSheetLayoutView="70" workbookViewId="0">
      <pane ySplit="5" topLeftCell="A6" activePane="bottomLeft" state="frozen"/>
      <selection activeCell="C13" sqref="C13:Q13"/>
      <selection pane="bottomLeft" activeCell="H27" sqref="H27:M27"/>
    </sheetView>
  </sheetViews>
  <sheetFormatPr baseColWidth="10" defaultColWidth="11.453125" defaultRowHeight="14.5" x14ac:dyDescent="0.35"/>
  <cols>
    <col min="1" max="11" width="11.453125" style="60"/>
    <col min="12" max="12" width="12.81640625" style="60" customWidth="1"/>
    <col min="13" max="14" width="11.453125" style="60"/>
    <col min="15" max="15" width="11.453125" style="60" customWidth="1"/>
    <col min="16" max="16384" width="11.453125" style="60"/>
  </cols>
  <sheetData>
    <row r="1" spans="1:16"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row>
    <row r="2" spans="1:16" s="58" customFormat="1" ht="18" customHeight="1" x14ac:dyDescent="0.35">
      <c r="A2" s="393"/>
      <c r="B2" s="393"/>
      <c r="C2" s="393"/>
      <c r="D2" s="3342" t="str">
        <f>NomClient</f>
        <v xml:space="preserve">EQUINIX </v>
      </c>
      <c r="E2" s="3343"/>
      <c r="F2" s="3343"/>
      <c r="G2" s="3344"/>
      <c r="H2" s="393"/>
      <c r="I2" s="3345" t="s">
        <v>407</v>
      </c>
      <c r="J2" s="3346"/>
      <c r="K2" s="393"/>
      <c r="L2" s="3347">
        <v>42534.906504629631</v>
      </c>
      <c r="M2" s="3348"/>
      <c r="N2" s="394"/>
      <c r="O2" s="451" t="e">
        <f>IF(LEN(DPDV_01SW)&gt;0,LEN(DPDV_01SW),0-PDV_NBmini)</f>
        <v>#REF!</v>
      </c>
      <c r="P2" s="451" t="e">
        <f>IF(LEN(DKPI_01SW)&gt;0,LEN(DKPI_01SW),0-KPI_NBmini)</f>
        <v>#REF!</v>
      </c>
    </row>
    <row r="3" spans="1:16" ht="10.5" customHeight="1" thickBot="1" x14ac:dyDescent="0.4">
      <c r="A3" s="396"/>
      <c r="B3" s="396"/>
      <c r="C3" s="396"/>
      <c r="D3" s="3937" t="s">
        <v>1792</v>
      </c>
      <c r="E3" s="3937"/>
      <c r="F3" s="3937"/>
      <c r="G3" s="3937"/>
      <c r="H3" s="396"/>
      <c r="I3" s="396"/>
      <c r="J3" s="396"/>
      <c r="K3" s="396"/>
      <c r="L3" s="396"/>
      <c r="M3" s="396"/>
      <c r="N3" s="396"/>
      <c r="O3" s="396"/>
      <c r="P3" s="396"/>
    </row>
    <row r="4" spans="1:16" s="1" customFormat="1" ht="24.75" customHeight="1" thickBot="1" x14ac:dyDescent="0.4">
      <c r="A4" s="4434" t="s">
        <v>2285</v>
      </c>
      <c r="B4" s="4434"/>
      <c r="C4" s="4434"/>
      <c r="D4" s="4434"/>
      <c r="E4" s="4434"/>
      <c r="F4" s="4434"/>
      <c r="G4" s="4434"/>
      <c r="H4" s="4432" t="s">
        <v>2288</v>
      </c>
      <c r="I4" s="4432"/>
      <c r="J4" s="4432"/>
      <c r="K4" s="4432"/>
      <c r="L4" s="4432"/>
      <c r="M4" s="4432"/>
      <c r="N4" s="4432"/>
      <c r="O4" s="4432"/>
      <c r="P4" s="4433"/>
    </row>
    <row r="5" spans="1:16" s="194" customFormat="1" ht="18.75" customHeight="1" x14ac:dyDescent="0.35">
      <c r="A5" s="3438" t="s">
        <v>14</v>
      </c>
      <c r="B5" s="3438"/>
      <c r="C5" s="3439" t="s">
        <v>2352</v>
      </c>
      <c r="D5" s="3439"/>
      <c r="E5" s="3439"/>
      <c r="F5" s="3439"/>
      <c r="G5" s="3439"/>
      <c r="H5" s="3439"/>
      <c r="I5" s="3439"/>
      <c r="J5" s="3439"/>
      <c r="K5" s="3439"/>
      <c r="L5" s="3439"/>
      <c r="M5" s="3439"/>
      <c r="N5" s="3439"/>
      <c r="O5" s="3439"/>
      <c r="P5" s="3439"/>
    </row>
    <row r="6" spans="1:16" ht="9.75" customHeight="1" thickBot="1" x14ac:dyDescent="0.4">
      <c r="A6" s="4431"/>
      <c r="B6" s="4431"/>
      <c r="C6" s="4431"/>
      <c r="D6" s="4431"/>
      <c r="E6" s="4431"/>
      <c r="F6" s="4431"/>
      <c r="G6" s="4431"/>
      <c r="H6" s="4431"/>
      <c r="I6" s="4431"/>
      <c r="J6" s="4431"/>
      <c r="K6" s="4431"/>
      <c r="L6" s="4431"/>
      <c r="M6" s="4431"/>
      <c r="N6" s="4431"/>
    </row>
    <row r="7" spans="1:16" ht="19" thickTop="1" x14ac:dyDescent="0.35">
      <c r="B7" s="3464" t="s">
        <v>2289</v>
      </c>
      <c r="C7" s="3465"/>
      <c r="D7" s="3465"/>
      <c r="E7" s="3465"/>
      <c r="F7" s="3465"/>
      <c r="G7" s="3466"/>
      <c r="H7" s="4405" t="s">
        <v>2290</v>
      </c>
      <c r="I7" s="4406"/>
      <c r="J7" s="4406"/>
      <c r="K7" s="4406"/>
      <c r="L7" s="4406"/>
      <c r="M7" s="4407"/>
    </row>
    <row r="8" spans="1:16" x14ac:dyDescent="0.35">
      <c r="B8" s="3447"/>
      <c r="C8" s="3448"/>
      <c r="D8" s="3448"/>
      <c r="E8" s="3448"/>
      <c r="F8" s="3448"/>
      <c r="G8" s="3449"/>
      <c r="H8" s="3450"/>
      <c r="I8" s="3451"/>
      <c r="J8" s="3451"/>
      <c r="K8" s="3451"/>
      <c r="L8" s="3451"/>
      <c r="M8" s="4430"/>
    </row>
    <row r="9" spans="1:16" x14ac:dyDescent="0.35">
      <c r="B9" s="3447"/>
      <c r="C9" s="3448"/>
      <c r="D9" s="3448"/>
      <c r="E9" s="3448"/>
      <c r="F9" s="3448"/>
      <c r="G9" s="3449"/>
      <c r="H9" s="3450"/>
      <c r="I9" s="3451"/>
      <c r="J9" s="3451"/>
      <c r="K9" s="3451"/>
      <c r="L9" s="3451"/>
      <c r="M9" s="4430"/>
    </row>
    <row r="10" spans="1:16" x14ac:dyDescent="0.35">
      <c r="B10" s="3447"/>
      <c r="C10" s="3448"/>
      <c r="D10" s="3448"/>
      <c r="E10" s="3448"/>
      <c r="F10" s="3448"/>
      <c r="G10" s="3449"/>
      <c r="H10" s="3450"/>
      <c r="I10" s="3451"/>
      <c r="J10" s="3451"/>
      <c r="K10" s="3451"/>
      <c r="L10" s="3451"/>
      <c r="M10" s="4430"/>
    </row>
    <row r="11" spans="1:16" x14ac:dyDescent="0.35">
      <c r="B11" s="3447"/>
      <c r="C11" s="3448"/>
      <c r="D11" s="3448"/>
      <c r="E11" s="3448"/>
      <c r="F11" s="3448"/>
      <c r="G11" s="3449"/>
      <c r="H11" s="3450"/>
      <c r="I11" s="3451"/>
      <c r="J11" s="3451"/>
      <c r="K11" s="3451"/>
      <c r="L11" s="3451"/>
      <c r="M11" s="4430"/>
    </row>
    <row r="12" spans="1:16" x14ac:dyDescent="0.35">
      <c r="B12" s="3447"/>
      <c r="C12" s="3448"/>
      <c r="D12" s="3448"/>
      <c r="E12" s="3448"/>
      <c r="F12" s="3448"/>
      <c r="G12" s="3449"/>
      <c r="H12" s="3450"/>
      <c r="I12" s="3451"/>
      <c r="J12" s="3451"/>
      <c r="K12" s="3451"/>
      <c r="L12" s="3451"/>
      <c r="M12" s="4430"/>
    </row>
    <row r="13" spans="1:16" x14ac:dyDescent="0.35">
      <c r="B13" s="3447"/>
      <c r="C13" s="3448"/>
      <c r="D13" s="3448"/>
      <c r="E13" s="3448"/>
      <c r="F13" s="3448"/>
      <c r="G13" s="3449"/>
      <c r="H13" s="3450"/>
      <c r="I13" s="3451"/>
      <c r="J13" s="3451"/>
      <c r="K13" s="3451"/>
      <c r="L13" s="3451"/>
      <c r="M13" s="4430"/>
    </row>
    <row r="14" spans="1:16" x14ac:dyDescent="0.35">
      <c r="B14" s="3447"/>
      <c r="C14" s="3448"/>
      <c r="D14" s="3448"/>
      <c r="E14" s="3448"/>
      <c r="F14" s="3448"/>
      <c r="G14" s="3449"/>
      <c r="H14" s="3450"/>
      <c r="I14" s="3451"/>
      <c r="J14" s="3451"/>
      <c r="K14" s="3451"/>
      <c r="L14" s="3451"/>
      <c r="M14" s="4430"/>
    </row>
    <row r="15" spans="1:16" x14ac:dyDescent="0.35">
      <c r="B15" s="3447"/>
      <c r="C15" s="3448"/>
      <c r="D15" s="3448"/>
      <c r="E15" s="3448"/>
      <c r="F15" s="3448"/>
      <c r="G15" s="3449"/>
      <c r="H15" s="3450"/>
      <c r="I15" s="3451"/>
      <c r="J15" s="3451"/>
      <c r="K15" s="3451"/>
      <c r="L15" s="3451"/>
      <c r="M15" s="4430"/>
    </row>
    <row r="16" spans="1:16" x14ac:dyDescent="0.35">
      <c r="B16" s="3447"/>
      <c r="C16" s="3448"/>
      <c r="D16" s="3448"/>
      <c r="E16" s="3448"/>
      <c r="F16" s="3448"/>
      <c r="G16" s="3449"/>
      <c r="H16" s="3450"/>
      <c r="I16" s="3451"/>
      <c r="J16" s="3451"/>
      <c r="K16" s="3451"/>
      <c r="L16" s="3451"/>
      <c r="M16" s="4430"/>
    </row>
    <row r="17" spans="2:13" x14ac:dyDescent="0.35">
      <c r="B17" s="3447"/>
      <c r="C17" s="3448"/>
      <c r="D17" s="3448"/>
      <c r="E17" s="3448"/>
      <c r="F17" s="3448"/>
      <c r="G17" s="3449"/>
      <c r="H17" s="3450"/>
      <c r="I17" s="3451"/>
      <c r="J17" s="3451"/>
      <c r="K17" s="3451"/>
      <c r="L17" s="3451"/>
      <c r="M17" s="4430"/>
    </row>
    <row r="18" spans="2:13" x14ac:dyDescent="0.35">
      <c r="B18" s="3447"/>
      <c r="C18" s="3448"/>
      <c r="D18" s="3448"/>
      <c r="E18" s="3448"/>
      <c r="F18" s="3448"/>
      <c r="G18" s="3449"/>
      <c r="H18" s="3450"/>
      <c r="I18" s="3451"/>
      <c r="J18" s="3451"/>
      <c r="K18" s="3451"/>
      <c r="L18" s="3451"/>
      <c r="M18" s="4430"/>
    </row>
    <row r="19" spans="2:13" x14ac:dyDescent="0.35">
      <c r="B19" s="3447"/>
      <c r="C19" s="3448"/>
      <c r="D19" s="3448"/>
      <c r="E19" s="3448"/>
      <c r="F19" s="3448"/>
      <c r="G19" s="3449"/>
      <c r="H19" s="3450"/>
      <c r="I19" s="3451"/>
      <c r="J19" s="3451"/>
      <c r="K19" s="3451"/>
      <c r="L19" s="3451"/>
      <c r="M19" s="4430"/>
    </row>
    <row r="20" spans="2:13" x14ac:dyDescent="0.35">
      <c r="B20" s="3447"/>
      <c r="C20" s="3448"/>
      <c r="D20" s="3448"/>
      <c r="E20" s="3448"/>
      <c r="F20" s="3448"/>
      <c r="G20" s="3449"/>
      <c r="H20" s="3450"/>
      <c r="I20" s="3451"/>
      <c r="J20" s="3451"/>
      <c r="K20" s="3451"/>
      <c r="L20" s="3451"/>
      <c r="M20" s="4430"/>
    </row>
    <row r="21" spans="2:13" x14ac:dyDescent="0.35">
      <c r="B21" s="3447"/>
      <c r="C21" s="3448"/>
      <c r="D21" s="3448"/>
      <c r="E21" s="3448"/>
      <c r="F21" s="3448"/>
      <c r="G21" s="3449"/>
      <c r="H21" s="3450"/>
      <c r="I21" s="3451"/>
      <c r="J21" s="3451"/>
      <c r="K21" s="3451"/>
      <c r="L21" s="3451"/>
      <c r="M21" s="4430"/>
    </row>
    <row r="22" spans="2:13" x14ac:dyDescent="0.35">
      <c r="B22" s="3447"/>
      <c r="C22" s="3448"/>
      <c r="D22" s="3448"/>
      <c r="E22" s="3448"/>
      <c r="F22" s="3448"/>
      <c r="G22" s="3449"/>
      <c r="H22" s="3450"/>
      <c r="I22" s="3451"/>
      <c r="J22" s="3451"/>
      <c r="K22" s="3451"/>
      <c r="L22" s="3451"/>
      <c r="M22" s="4430"/>
    </row>
    <row r="23" spans="2:13" x14ac:dyDescent="0.35">
      <c r="B23" s="3447"/>
      <c r="C23" s="3448"/>
      <c r="D23" s="3448"/>
      <c r="E23" s="3448"/>
      <c r="F23" s="3448"/>
      <c r="G23" s="3449"/>
      <c r="H23" s="3450"/>
      <c r="I23" s="3451"/>
      <c r="J23" s="3451"/>
      <c r="K23" s="3451"/>
      <c r="L23" s="3451"/>
      <c r="M23" s="4430"/>
    </row>
    <row r="24" spans="2:13" ht="13.5" customHeight="1" x14ac:dyDescent="0.35">
      <c r="B24" s="3447"/>
      <c r="C24" s="3448"/>
      <c r="D24" s="3448"/>
      <c r="E24" s="3448"/>
      <c r="F24" s="3448"/>
      <c r="G24" s="3449"/>
      <c r="H24" s="3450"/>
      <c r="I24" s="3451"/>
      <c r="J24" s="3451"/>
      <c r="K24" s="3451"/>
      <c r="L24" s="3451"/>
      <c r="M24" s="4430"/>
    </row>
    <row r="25" spans="2:13" x14ac:dyDescent="0.35">
      <c r="B25" s="3447"/>
      <c r="C25" s="3448"/>
      <c r="D25" s="3448"/>
      <c r="E25" s="3448"/>
      <c r="F25" s="3448"/>
      <c r="G25" s="3449"/>
      <c r="H25" s="3450"/>
      <c r="I25" s="3451"/>
      <c r="J25" s="3451"/>
      <c r="K25" s="3451"/>
      <c r="L25" s="3451"/>
      <c r="M25" s="4430"/>
    </row>
    <row r="26" spans="2:13" ht="15" thickBot="1" x14ac:dyDescent="0.4">
      <c r="B26" s="4435"/>
      <c r="C26" s="4436"/>
      <c r="D26" s="4436"/>
      <c r="E26" s="4436"/>
      <c r="F26" s="4436"/>
      <c r="G26" s="1668"/>
      <c r="H26" s="4437"/>
      <c r="I26" s="4438"/>
      <c r="J26" s="4438"/>
      <c r="K26" s="4438"/>
      <c r="L26" s="4438"/>
      <c r="M26" s="1669"/>
    </row>
    <row r="27" spans="2:13" ht="19" thickTop="1" x14ac:dyDescent="0.35">
      <c r="B27" s="3441" t="s">
        <v>2291</v>
      </c>
      <c r="C27" s="3442"/>
      <c r="D27" s="3442"/>
      <c r="E27" s="3442"/>
      <c r="F27" s="3442"/>
      <c r="G27" s="3443"/>
      <c r="H27" s="3444" t="s">
        <v>2292</v>
      </c>
      <c r="I27" s="3445"/>
      <c r="J27" s="3445"/>
      <c r="K27" s="3445"/>
      <c r="L27" s="3445"/>
      <c r="M27" s="4425"/>
    </row>
    <row r="28" spans="2:13" x14ac:dyDescent="0.35">
      <c r="B28" s="3413"/>
      <c r="C28" s="3414"/>
      <c r="D28" s="3414"/>
      <c r="E28" s="3414"/>
      <c r="F28" s="3414"/>
      <c r="G28" s="3415"/>
      <c r="H28" s="3413"/>
      <c r="I28" s="3414"/>
      <c r="J28" s="3414"/>
      <c r="K28" s="3414"/>
      <c r="L28" s="3414"/>
      <c r="M28" s="3431"/>
    </row>
    <row r="29" spans="2:13" x14ac:dyDescent="0.35">
      <c r="B29" s="3462"/>
      <c r="C29" s="3414"/>
      <c r="D29" s="3414"/>
      <c r="E29" s="3414"/>
      <c r="F29" s="3414"/>
      <c r="G29" s="3415"/>
      <c r="H29" s="3413"/>
      <c r="I29" s="3414"/>
      <c r="J29" s="3414"/>
      <c r="K29" s="3414"/>
      <c r="L29" s="3414"/>
      <c r="M29" s="3431"/>
    </row>
    <row r="30" spans="2:13" x14ac:dyDescent="0.35">
      <c r="B30" s="3413"/>
      <c r="C30" s="3414"/>
      <c r="D30" s="3414"/>
      <c r="E30" s="3414"/>
      <c r="F30" s="3414"/>
      <c r="G30" s="3415"/>
      <c r="H30" s="3413"/>
      <c r="I30" s="3414"/>
      <c r="J30" s="3414"/>
      <c r="K30" s="3414"/>
      <c r="L30" s="3414"/>
      <c r="M30" s="3431"/>
    </row>
    <row r="31" spans="2:13" x14ac:dyDescent="0.35">
      <c r="B31" s="3413"/>
      <c r="C31" s="3414"/>
      <c r="D31" s="3414"/>
      <c r="E31" s="3414"/>
      <c r="F31" s="3414"/>
      <c r="G31" s="3415"/>
      <c r="H31" s="3413"/>
      <c r="I31" s="3414"/>
      <c r="J31" s="3414"/>
      <c r="K31" s="3414"/>
      <c r="L31" s="3414"/>
      <c r="M31" s="3431"/>
    </row>
    <row r="32" spans="2:13" x14ac:dyDescent="0.35">
      <c r="B32" s="3413"/>
      <c r="C32" s="3414"/>
      <c r="D32" s="3414"/>
      <c r="E32" s="3414"/>
      <c r="F32" s="3414"/>
      <c r="G32" s="3415"/>
      <c r="H32" s="3413"/>
      <c r="I32" s="3414"/>
      <c r="J32" s="3414"/>
      <c r="K32" s="3414"/>
      <c r="L32" s="3414"/>
      <c r="M32" s="3431"/>
    </row>
    <row r="33" spans="1:16" x14ac:dyDescent="0.35">
      <c r="B33" s="3413"/>
      <c r="C33" s="3414"/>
      <c r="D33" s="3414"/>
      <c r="E33" s="3414"/>
      <c r="F33" s="3414"/>
      <c r="G33" s="3415"/>
      <c r="H33" s="3413"/>
      <c r="I33" s="3414"/>
      <c r="J33" s="3414"/>
      <c r="K33" s="3414"/>
      <c r="L33" s="3414"/>
      <c r="M33" s="3431"/>
    </row>
    <row r="34" spans="1:16" x14ac:dyDescent="0.35">
      <c r="B34" s="3413"/>
      <c r="C34" s="3414"/>
      <c r="D34" s="3414"/>
      <c r="E34" s="3414"/>
      <c r="F34" s="3414"/>
      <c r="G34" s="3415"/>
      <c r="H34" s="3413"/>
      <c r="I34" s="3414"/>
      <c r="J34" s="3414"/>
      <c r="K34" s="3414"/>
      <c r="L34" s="3414"/>
      <c r="M34" s="3431"/>
    </row>
    <row r="35" spans="1:16" x14ac:dyDescent="0.35">
      <c r="B35" s="3413"/>
      <c r="C35" s="3414"/>
      <c r="D35" s="3414"/>
      <c r="E35" s="3414"/>
      <c r="F35" s="3414"/>
      <c r="G35" s="3415"/>
      <c r="H35" s="3413"/>
      <c r="I35" s="3414"/>
      <c r="J35" s="3414"/>
      <c r="K35" s="3414"/>
      <c r="L35" s="3414"/>
      <c r="M35" s="3431"/>
    </row>
    <row r="36" spans="1:16" x14ac:dyDescent="0.35">
      <c r="B36" s="3413"/>
      <c r="C36" s="3414"/>
      <c r="D36" s="3414"/>
      <c r="E36" s="3414"/>
      <c r="F36" s="3414"/>
      <c r="G36" s="3415"/>
      <c r="H36" s="3413"/>
      <c r="I36" s="3414"/>
      <c r="J36" s="3414"/>
      <c r="K36" s="3414"/>
      <c r="L36" s="3414"/>
      <c r="M36" s="3431"/>
    </row>
    <row r="37" spans="1:16" x14ac:dyDescent="0.35">
      <c r="B37" s="3413"/>
      <c r="C37" s="3414"/>
      <c r="D37" s="3414"/>
      <c r="E37" s="3414"/>
      <c r="F37" s="3414"/>
      <c r="G37" s="3415"/>
      <c r="H37" s="3413"/>
      <c r="I37" s="3414"/>
      <c r="J37" s="3414"/>
      <c r="K37" s="3414"/>
      <c r="L37" s="3414"/>
      <c r="M37" s="3431"/>
    </row>
    <row r="38" spans="1:16" x14ac:dyDescent="0.35">
      <c r="B38" s="3413"/>
      <c r="C38" s="3414"/>
      <c r="D38" s="3414"/>
      <c r="E38" s="3414"/>
      <c r="F38" s="3414"/>
      <c r="G38" s="3415"/>
      <c r="H38" s="3413"/>
      <c r="I38" s="3414"/>
      <c r="J38" s="3414"/>
      <c r="K38" s="3414"/>
      <c r="L38" s="3414"/>
      <c r="M38" s="3431"/>
    </row>
    <row r="39" spans="1:16" x14ac:dyDescent="0.35">
      <c r="B39" s="3413"/>
      <c r="C39" s="3414"/>
      <c r="D39" s="3414"/>
      <c r="E39" s="3414"/>
      <c r="F39" s="3414"/>
      <c r="G39" s="3415"/>
      <c r="H39" s="3413"/>
      <c r="I39" s="3414"/>
      <c r="J39" s="3414"/>
      <c r="K39" s="3414"/>
      <c r="L39" s="3414"/>
      <c r="M39" s="3431"/>
    </row>
    <row r="40" spans="1:16" x14ac:dyDescent="0.35">
      <c r="B40" s="3413"/>
      <c r="C40" s="3414"/>
      <c r="D40" s="3414"/>
      <c r="E40" s="3414"/>
      <c r="F40" s="3414"/>
      <c r="G40" s="3415"/>
      <c r="H40" s="3413"/>
      <c r="I40" s="3414"/>
      <c r="J40" s="3414"/>
      <c r="K40" s="3414"/>
      <c r="L40" s="3414"/>
      <c r="M40" s="3431"/>
    </row>
    <row r="41" spans="1:16" x14ac:dyDescent="0.35">
      <c r="B41" s="3413"/>
      <c r="C41" s="3414"/>
      <c r="D41" s="3414"/>
      <c r="E41" s="3414"/>
      <c r="F41" s="3414"/>
      <c r="G41" s="3415"/>
      <c r="H41" s="3413"/>
      <c r="I41" s="3414"/>
      <c r="J41" s="3414"/>
      <c r="K41" s="3414"/>
      <c r="L41" s="3414"/>
      <c r="M41" s="3431"/>
    </row>
    <row r="42" spans="1:16" x14ac:dyDescent="0.35">
      <c r="B42" s="3413"/>
      <c r="C42" s="3414"/>
      <c r="D42" s="3414"/>
      <c r="E42" s="3414"/>
      <c r="F42" s="3414"/>
      <c r="G42" s="3415"/>
      <c r="H42" s="3413"/>
      <c r="I42" s="3414"/>
      <c r="J42" s="3414"/>
      <c r="K42" s="3414"/>
      <c r="L42" s="3414"/>
      <c r="M42" s="3431"/>
    </row>
    <row r="43" spans="1:16" x14ac:dyDescent="0.35">
      <c r="B43" s="3413"/>
      <c r="C43" s="3414"/>
      <c r="D43" s="3414"/>
      <c r="E43" s="3414"/>
      <c r="F43" s="3414"/>
      <c r="G43" s="3415"/>
      <c r="H43" s="3413"/>
      <c r="I43" s="3414"/>
      <c r="J43" s="3414"/>
      <c r="K43" s="3414"/>
      <c r="L43" s="3414"/>
      <c r="M43" s="3431"/>
    </row>
    <row r="44" spans="1:16" x14ac:dyDescent="0.35">
      <c r="B44" s="3413"/>
      <c r="C44" s="3414"/>
      <c r="D44" s="3414"/>
      <c r="E44" s="3414"/>
      <c r="F44" s="3414"/>
      <c r="G44" s="3415"/>
      <c r="H44" s="3413"/>
      <c r="I44" s="3414"/>
      <c r="J44" s="3414"/>
      <c r="K44" s="3414"/>
      <c r="L44" s="3414"/>
      <c r="M44" s="3431"/>
    </row>
    <row r="45" spans="1:16" x14ac:dyDescent="0.35">
      <c r="B45" s="3413"/>
      <c r="C45" s="3414"/>
      <c r="D45" s="3414"/>
      <c r="E45" s="3414"/>
      <c r="F45" s="3414"/>
      <c r="G45" s="3415"/>
      <c r="H45" s="3413"/>
      <c r="I45" s="3414"/>
      <c r="J45" s="3414"/>
      <c r="K45" s="3414"/>
      <c r="L45" s="3414"/>
      <c r="M45" s="3431"/>
    </row>
    <row r="46" spans="1:16" ht="15" thickBot="1" x14ac:dyDescent="0.4">
      <c r="B46" s="4439"/>
      <c r="C46" s="4440"/>
      <c r="D46" s="4440"/>
      <c r="E46" s="4440"/>
      <c r="F46" s="4440"/>
      <c r="G46" s="1670"/>
      <c r="H46" s="4441"/>
      <c r="I46" s="4442"/>
      <c r="J46" s="4442"/>
      <c r="K46" s="4442"/>
      <c r="L46" s="4442"/>
      <c r="M46" s="1671"/>
    </row>
    <row r="47" spans="1:16" ht="18" customHeight="1" thickTop="1" x14ac:dyDescent="0.35">
      <c r="A47" s="1672"/>
      <c r="B47" s="1673"/>
      <c r="C47" s="1673"/>
      <c r="D47" s="1673"/>
      <c r="E47" s="1674"/>
      <c r="F47" s="1674"/>
      <c r="G47" s="1674"/>
      <c r="H47" s="1674"/>
      <c r="I47" s="1674"/>
      <c r="J47" s="1674"/>
      <c r="K47" s="1675"/>
      <c r="L47" s="1675"/>
      <c r="M47" s="1675"/>
      <c r="N47" s="1675"/>
      <c r="O47" s="63"/>
      <c r="P47" s="63"/>
    </row>
    <row r="48" spans="1:16" x14ac:dyDescent="0.35">
      <c r="A48" s="64"/>
      <c r="B48" s="64"/>
      <c r="C48" s="64"/>
      <c r="D48" s="64"/>
      <c r="E48" s="64"/>
      <c r="F48" s="64"/>
      <c r="G48" s="64"/>
      <c r="H48" s="64"/>
      <c r="I48" s="64"/>
      <c r="J48" s="64"/>
      <c r="K48" s="64"/>
      <c r="L48" s="64"/>
      <c r="M48" s="64"/>
      <c r="N48" s="64"/>
      <c r="O48" s="64"/>
      <c r="P48" s="64"/>
    </row>
    <row r="55" spans="1:16" x14ac:dyDescent="0.35">
      <c r="A55" s="64"/>
      <c r="B55" s="64"/>
      <c r="C55" s="64"/>
      <c r="D55" s="64"/>
      <c r="E55" s="64"/>
      <c r="F55" s="64"/>
      <c r="G55" s="64"/>
      <c r="H55" s="64"/>
      <c r="I55" s="64"/>
      <c r="J55" s="64"/>
      <c r="K55" s="64"/>
      <c r="L55" s="64"/>
      <c r="M55" s="64"/>
      <c r="N55" s="64"/>
      <c r="O55" s="64"/>
      <c r="P55" s="64"/>
    </row>
  </sheetData>
  <mergeCells count="92">
    <mergeCell ref="B46:F46"/>
    <mergeCell ref="H46:L46"/>
    <mergeCell ref="B44:G44"/>
    <mergeCell ref="H44:M44"/>
    <mergeCell ref="B45:G45"/>
    <mergeCell ref="H45:M45"/>
    <mergeCell ref="B41:G41"/>
    <mergeCell ref="H41:M41"/>
    <mergeCell ref="B42:G42"/>
    <mergeCell ref="H42:M42"/>
    <mergeCell ref="B43:G43"/>
    <mergeCell ref="H43:M43"/>
    <mergeCell ref="B38:G38"/>
    <mergeCell ref="H38:M38"/>
    <mergeCell ref="B39:G39"/>
    <mergeCell ref="H39:M39"/>
    <mergeCell ref="B40:G40"/>
    <mergeCell ref="H40:M40"/>
    <mergeCell ref="B35:G35"/>
    <mergeCell ref="H35:M35"/>
    <mergeCell ref="B36:G36"/>
    <mergeCell ref="H36:M36"/>
    <mergeCell ref="B37:G37"/>
    <mergeCell ref="H37:M37"/>
    <mergeCell ref="B23:G23"/>
    <mergeCell ref="H23:M23"/>
    <mergeCell ref="B29:G29"/>
    <mergeCell ref="H29:M29"/>
    <mergeCell ref="B26:F26"/>
    <mergeCell ref="B24:G24"/>
    <mergeCell ref="H24:M24"/>
    <mergeCell ref="B25:G25"/>
    <mergeCell ref="H25:M25"/>
    <mergeCell ref="H26:L26"/>
    <mergeCell ref="B27:G27"/>
    <mergeCell ref="H27:M27"/>
    <mergeCell ref="B28:G28"/>
    <mergeCell ref="H28:M28"/>
    <mergeCell ref="B20:G20"/>
    <mergeCell ref="H20:M20"/>
    <mergeCell ref="B21:G21"/>
    <mergeCell ref="H21:M21"/>
    <mergeCell ref="B22:G22"/>
    <mergeCell ref="H22:M22"/>
    <mergeCell ref="B17:G17"/>
    <mergeCell ref="H17:M17"/>
    <mergeCell ref="B18:G18"/>
    <mergeCell ref="H18:M18"/>
    <mergeCell ref="B19:G19"/>
    <mergeCell ref="H19:M19"/>
    <mergeCell ref="B14:G14"/>
    <mergeCell ref="H14:M14"/>
    <mergeCell ref="B15:G15"/>
    <mergeCell ref="H15:M15"/>
    <mergeCell ref="B16:G16"/>
    <mergeCell ref="H16:M16"/>
    <mergeCell ref="H4:P4"/>
    <mergeCell ref="A4:G4"/>
    <mergeCell ref="D1:G1"/>
    <mergeCell ref="I1:J1"/>
    <mergeCell ref="L1:M1"/>
    <mergeCell ref="D2:G2"/>
    <mergeCell ref="I2:J2"/>
    <mergeCell ref="L2:M2"/>
    <mergeCell ref="D3:G3"/>
    <mergeCell ref="C5:P5"/>
    <mergeCell ref="A5:B5"/>
    <mergeCell ref="A6:N6"/>
    <mergeCell ref="B7:G7"/>
    <mergeCell ref="H7:M7"/>
    <mergeCell ref="B33:G33"/>
    <mergeCell ref="H33:M33"/>
    <mergeCell ref="B34:G34"/>
    <mergeCell ref="H34:M34"/>
    <mergeCell ref="B8:G8"/>
    <mergeCell ref="H8:M8"/>
    <mergeCell ref="B9:G9"/>
    <mergeCell ref="H9:M9"/>
    <mergeCell ref="B10:G10"/>
    <mergeCell ref="H10:M10"/>
    <mergeCell ref="B11:G11"/>
    <mergeCell ref="H11:M11"/>
    <mergeCell ref="B12:G12"/>
    <mergeCell ref="H12:M12"/>
    <mergeCell ref="B13:G13"/>
    <mergeCell ref="H13:M13"/>
    <mergeCell ref="H30:M30"/>
    <mergeCell ref="B31:G31"/>
    <mergeCell ref="H31:M31"/>
    <mergeCell ref="B32:G32"/>
    <mergeCell ref="H32:M32"/>
    <mergeCell ref="B30:G30"/>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800-000000000000}">
      <formula1>AvancementTheme</formula1>
    </dataValidation>
  </dataValidations>
  <hyperlinks>
    <hyperlink ref="O1" location="DPDV_01SW" display="PdV" xr:uid="{00000000-0004-0000-1800-000000000000}"/>
    <hyperlink ref="P1" location="DKPI_01SW" display="KPI's" xr:uid="{00000000-0004-0000-18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34">
    <tabColor rgb="FFFFC000"/>
    <pageSetUpPr fitToPage="1"/>
  </sheetPr>
  <dimension ref="A1:AB19"/>
  <sheetViews>
    <sheetView showGridLines="0" zoomScaleNormal="100" workbookViewId="0">
      <pane xSplit="3" ySplit="9" topLeftCell="D10" activePane="bottomRight" state="frozen"/>
      <selection activeCell="A16" sqref="A16:C16"/>
      <selection pane="topRight" activeCell="A16" sqref="A16:C16"/>
      <selection pane="bottomLeft" activeCell="A16" sqref="A16:C16"/>
      <selection pane="bottomRight" activeCell="A16" sqref="A16:C16"/>
    </sheetView>
  </sheetViews>
  <sheetFormatPr baseColWidth="10" defaultColWidth="11.453125" defaultRowHeight="14.5" x14ac:dyDescent="0.35"/>
  <cols>
    <col min="1" max="1" width="11.453125" style="60" customWidth="1"/>
    <col min="2" max="2" width="11.26953125" style="60" customWidth="1"/>
    <col min="3" max="3" width="8.54296875" style="60" customWidth="1"/>
    <col min="4" max="26" width="6.7265625" style="60" customWidth="1"/>
    <col min="27" max="27" width="11.453125" style="60" customWidth="1"/>
    <col min="28" max="16384" width="11.453125" style="60"/>
  </cols>
  <sheetData>
    <row r="1" spans="1:28"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t="s">
        <v>2</v>
      </c>
      <c r="Y1" s="479" t="s">
        <v>3</v>
      </c>
      <c r="Z1" s="389"/>
      <c r="AA1" s="458"/>
      <c r="AB1" s="458"/>
    </row>
    <row r="2" spans="1:28" s="58" customFormat="1" ht="18" customHeight="1" x14ac:dyDescent="0.35">
      <c r="A2" s="393"/>
      <c r="B2" s="393"/>
      <c r="C2" s="393"/>
      <c r="D2" s="393"/>
      <c r="E2" s="3822" t="str">
        <f>NomClient</f>
        <v xml:space="preserve">EQUINIX </v>
      </c>
      <c r="F2" s="3823"/>
      <c r="G2" s="3823"/>
      <c r="H2" s="3823"/>
      <c r="I2" s="3823"/>
      <c r="J2" s="3824"/>
      <c r="K2" s="393"/>
      <c r="L2" s="3345" t="s">
        <v>407</v>
      </c>
      <c r="M2" s="3826"/>
      <c r="N2" s="3826"/>
      <c r="O2" s="3346"/>
      <c r="P2" s="393"/>
      <c r="Q2" s="393"/>
      <c r="R2" s="3347">
        <v>42534.903437499997</v>
      </c>
      <c r="S2" s="3825"/>
      <c r="T2" s="3825"/>
      <c r="U2" s="3348"/>
      <c r="V2" s="699"/>
      <c r="W2" s="699"/>
      <c r="X2" s="451" t="e">
        <f>IF(LEN(DPDV_03IP)&gt;0,LEN(DPDV_03IP),0-PDV_NBmini)</f>
        <v>#REF!</v>
      </c>
      <c r="Y2" s="451" t="e">
        <f>IF(LEN(DKPI_03IP)&gt;0,LEN(DKPI_03IP),0-KPI_NBmini)</f>
        <v>#REF!</v>
      </c>
      <c r="Z2" s="699"/>
      <c r="AA2" s="459"/>
      <c r="AB2" s="459"/>
    </row>
    <row r="3" spans="1:28" ht="13.5" customHeight="1" thickBot="1" x14ac:dyDescent="0.4">
      <c r="A3" s="396"/>
      <c r="B3" s="396"/>
      <c r="C3" s="396"/>
      <c r="D3" s="396"/>
      <c r="E3" s="4487" t="s">
        <v>1792</v>
      </c>
      <c r="F3" s="4487"/>
      <c r="G3" s="4487"/>
      <c r="H3" s="4487"/>
      <c r="I3" s="4487"/>
      <c r="J3" s="4487"/>
      <c r="K3" s="396"/>
      <c r="L3" s="396"/>
      <c r="M3" s="396"/>
      <c r="N3" s="396"/>
      <c r="O3" s="396"/>
      <c r="P3" s="396"/>
      <c r="Q3" s="396"/>
      <c r="R3" s="396"/>
      <c r="S3" s="396"/>
      <c r="T3" s="396"/>
      <c r="U3" s="396"/>
      <c r="V3" s="396"/>
      <c r="W3" s="396"/>
      <c r="X3" s="396"/>
      <c r="Y3" s="396"/>
      <c r="Z3" s="396"/>
      <c r="AA3" s="64"/>
      <c r="AB3" s="64"/>
    </row>
    <row r="4" spans="1:28" s="1" customFormat="1" ht="24.75" customHeight="1" thickBot="1" x14ac:dyDescent="0.4">
      <c r="A4" s="3507" t="str">
        <f>Parametre!B26  &amp; "  : "</f>
        <v xml:space="preserve">Marchés cibles  : </v>
      </c>
      <c r="B4" s="3507"/>
      <c r="C4" s="3507"/>
      <c r="D4" s="3507"/>
      <c r="E4" s="3507"/>
      <c r="F4" s="3507"/>
      <c r="G4" s="3507"/>
      <c r="H4" s="3507"/>
      <c r="I4" s="3507"/>
      <c r="J4" s="3507"/>
      <c r="K4" s="3505" t="s">
        <v>2336</v>
      </c>
      <c r="L4" s="3505"/>
      <c r="M4" s="3505"/>
      <c r="N4" s="3505"/>
      <c r="O4" s="3505"/>
      <c r="P4" s="3505"/>
      <c r="Q4" s="3505"/>
      <c r="R4" s="3505"/>
      <c r="S4" s="3505"/>
      <c r="T4" s="3505"/>
      <c r="U4" s="3505"/>
      <c r="V4" s="3505"/>
      <c r="W4" s="3505"/>
      <c r="X4" s="3505"/>
      <c r="Y4" s="3505"/>
      <c r="Z4" s="3506"/>
      <c r="AA4" s="444"/>
      <c r="AB4" s="444"/>
    </row>
    <row r="5" spans="1:28" ht="40.5" customHeight="1" thickBot="1" x14ac:dyDescent="0.4">
      <c r="A5" s="4476" t="s">
        <v>14</v>
      </c>
      <c r="B5" s="4476"/>
      <c r="C5" s="3508" t="s">
        <v>1101</v>
      </c>
      <c r="D5" s="3508"/>
      <c r="E5" s="3508"/>
      <c r="F5" s="3508"/>
      <c r="G5" s="3508"/>
      <c r="H5" s="3508"/>
      <c r="I5" s="3508"/>
      <c r="J5" s="3508"/>
      <c r="K5" s="3508"/>
      <c r="L5" s="3508"/>
      <c r="M5" s="3508"/>
      <c r="N5" s="3508"/>
      <c r="O5" s="3508"/>
      <c r="P5" s="3508"/>
      <c r="Q5" s="3508"/>
      <c r="R5" s="3508"/>
      <c r="S5" s="3508"/>
      <c r="T5" s="3508"/>
      <c r="U5" s="3508"/>
      <c r="V5" s="3508"/>
      <c r="W5" s="3508"/>
      <c r="X5" s="3508"/>
      <c r="Y5" s="3508"/>
      <c r="Z5" s="3508"/>
      <c r="AA5" s="64"/>
      <c r="AB5" s="64"/>
    </row>
    <row r="6" spans="1:28" ht="27.75" customHeight="1" x14ac:dyDescent="0.35">
      <c r="A6" s="4452"/>
      <c r="B6" s="4477"/>
      <c r="C6" s="4477"/>
      <c r="D6" s="4481" t="s">
        <v>860</v>
      </c>
      <c r="E6" s="4482"/>
      <c r="F6" s="4483"/>
      <c r="G6" s="4479" t="s">
        <v>864</v>
      </c>
      <c r="H6" s="4480"/>
      <c r="I6" s="4479" t="s">
        <v>863</v>
      </c>
      <c r="J6" s="4480"/>
      <c r="K6" s="4454" t="s">
        <v>862</v>
      </c>
      <c r="L6" s="4454"/>
      <c r="M6" s="4454" t="s">
        <v>861</v>
      </c>
      <c r="N6" s="4478"/>
      <c r="O6" s="64"/>
      <c r="P6" s="64"/>
      <c r="Q6" s="64"/>
      <c r="R6" s="64"/>
      <c r="S6" s="64"/>
      <c r="T6" s="64"/>
      <c r="U6" s="64"/>
      <c r="V6" s="64"/>
      <c r="W6" s="64"/>
      <c r="X6" s="64"/>
      <c r="Y6" s="64"/>
      <c r="Z6" s="64"/>
      <c r="AA6" s="4452"/>
      <c r="AB6" s="64"/>
    </row>
    <row r="7" spans="1:28" ht="18" customHeight="1" thickBot="1" x14ac:dyDescent="0.4">
      <c r="A7" s="4452"/>
      <c r="B7" s="4477"/>
      <c r="C7" s="4477"/>
      <c r="D7" s="4484"/>
      <c r="E7" s="4485"/>
      <c r="F7" s="4486"/>
      <c r="G7" s="4474"/>
      <c r="H7" s="4475"/>
      <c r="I7" s="4472" t="s">
        <v>850</v>
      </c>
      <c r="J7" s="4473"/>
      <c r="K7" s="4453" t="s">
        <v>868</v>
      </c>
      <c r="L7" s="4453"/>
      <c r="M7" s="4455" t="s">
        <v>973</v>
      </c>
      <c r="N7" s="4456"/>
      <c r="O7" s="64"/>
      <c r="P7" s="64"/>
      <c r="Q7" s="64"/>
      <c r="R7" s="64"/>
      <c r="S7" s="64"/>
      <c r="T7" s="64"/>
      <c r="U7" s="64"/>
      <c r="V7" s="64"/>
      <c r="W7" s="64"/>
      <c r="X7" s="64"/>
      <c r="Y7" s="64"/>
      <c r="Z7" s="64"/>
      <c r="AA7" s="4452"/>
      <c r="AB7" s="64"/>
    </row>
    <row r="8" spans="1:28" ht="18" customHeight="1" thickBot="1" x14ac:dyDescent="0.4">
      <c r="A8" s="3697"/>
      <c r="B8" s="3697"/>
      <c r="C8" s="3697"/>
      <c r="D8" s="3697"/>
      <c r="E8" s="3697"/>
      <c r="F8" s="3697"/>
      <c r="G8" s="3697"/>
      <c r="H8" s="3697"/>
      <c r="I8" s="3697"/>
      <c r="J8" s="3697"/>
      <c r="K8" s="3697"/>
      <c r="L8" s="3697"/>
      <c r="M8" s="3697"/>
      <c r="N8" s="3697"/>
      <c r="O8" s="3697"/>
      <c r="P8" s="3697"/>
      <c r="Q8" s="3697"/>
      <c r="R8" s="3697"/>
      <c r="S8" s="3697"/>
      <c r="T8" s="3697"/>
      <c r="U8" s="3697"/>
      <c r="V8" s="3697"/>
      <c r="W8" s="3697"/>
      <c r="X8" s="3697"/>
      <c r="Y8" s="3697"/>
      <c r="Z8" s="3697"/>
      <c r="AA8" s="3697"/>
      <c r="AB8" s="64"/>
    </row>
    <row r="9" spans="1:28" s="192" customFormat="1" ht="77.25" customHeight="1" thickTop="1" x14ac:dyDescent="0.35">
      <c r="A9" s="4463" t="s">
        <v>841</v>
      </c>
      <c r="B9" s="4464"/>
      <c r="C9" s="4465" t="s">
        <v>222</v>
      </c>
      <c r="D9" s="702" t="s">
        <v>442</v>
      </c>
      <c r="E9" s="702" t="s">
        <v>581</v>
      </c>
      <c r="F9" s="702" t="s">
        <v>172</v>
      </c>
      <c r="G9" s="702" t="s">
        <v>441</v>
      </c>
      <c r="H9" s="702" t="s">
        <v>582</v>
      </c>
      <c r="I9" s="702" t="s">
        <v>583</v>
      </c>
      <c r="J9" s="702" t="s">
        <v>440</v>
      </c>
      <c r="K9" s="702" t="s">
        <v>2017</v>
      </c>
      <c r="L9" s="703" t="s">
        <v>439</v>
      </c>
      <c r="M9" s="702" t="s">
        <v>585</v>
      </c>
      <c r="N9" s="702" t="s">
        <v>438</v>
      </c>
      <c r="O9" s="702" t="s">
        <v>584</v>
      </c>
      <c r="P9" s="702" t="s">
        <v>437</v>
      </c>
      <c r="Q9" s="702" t="s">
        <v>1056</v>
      </c>
      <c r="R9" s="1372" t="s">
        <v>586</v>
      </c>
      <c r="S9" s="1372" t="s">
        <v>1060</v>
      </c>
      <c r="T9" s="1372" t="s">
        <v>587</v>
      </c>
      <c r="U9" s="1372" t="s">
        <v>588</v>
      </c>
      <c r="V9" s="1372" t="s">
        <v>589</v>
      </c>
      <c r="W9" s="1372" t="s">
        <v>590</v>
      </c>
      <c r="X9" s="1372" t="s">
        <v>591</v>
      </c>
      <c r="Y9" s="1372" t="s">
        <v>592</v>
      </c>
      <c r="Z9" s="702"/>
      <c r="AA9" s="700"/>
      <c r="AB9" s="701"/>
    </row>
    <row r="10" spans="1:28" ht="3.75" customHeight="1" x14ac:dyDescent="0.35">
      <c r="A10" s="4469"/>
      <c r="B10" s="4470"/>
      <c r="C10" s="4470"/>
      <c r="D10" s="4470"/>
      <c r="E10" s="4470"/>
      <c r="F10" s="4470"/>
      <c r="G10" s="4470"/>
      <c r="H10" s="4470"/>
      <c r="I10" s="4470"/>
      <c r="J10" s="4470"/>
      <c r="K10" s="4470"/>
      <c r="L10" s="4470"/>
      <c r="M10" s="4470"/>
      <c r="N10" s="4470"/>
      <c r="O10" s="4470"/>
      <c r="P10" s="4470"/>
      <c r="Q10" s="4470"/>
      <c r="R10" s="4470"/>
      <c r="S10" s="4470"/>
      <c r="T10" s="4470"/>
      <c r="U10" s="4470"/>
      <c r="V10" s="4470"/>
      <c r="W10" s="4470"/>
      <c r="X10" s="4470"/>
      <c r="Y10" s="4470"/>
      <c r="Z10" s="4470"/>
      <c r="AA10" s="4471"/>
      <c r="AB10" s="64"/>
    </row>
    <row r="11" spans="1:28" ht="31.5" customHeight="1" x14ac:dyDescent="0.35">
      <c r="A11" s="4466" t="s">
        <v>2337</v>
      </c>
      <c r="B11" s="4467"/>
      <c r="C11" s="4468"/>
      <c r="D11" s="1154"/>
      <c r="E11" s="1154"/>
      <c r="F11" s="1154"/>
      <c r="G11" s="1154"/>
      <c r="H11" s="1154"/>
      <c r="I11" s="1154"/>
      <c r="J11" s="1154"/>
      <c r="K11" s="1154"/>
      <c r="L11" s="1154"/>
      <c r="M11" s="1154"/>
      <c r="N11" s="1155"/>
      <c r="O11" s="1154"/>
      <c r="P11" s="1154"/>
      <c r="Q11" s="1154"/>
      <c r="R11" s="1154"/>
      <c r="S11" s="1154"/>
      <c r="T11" s="1154"/>
      <c r="U11" s="1154"/>
      <c r="V11" s="1154"/>
      <c r="W11" s="1154"/>
      <c r="X11" s="1154"/>
      <c r="Y11" s="1154"/>
      <c r="Z11" s="1154"/>
      <c r="AA11" s="203"/>
      <c r="AB11" s="64"/>
    </row>
    <row r="12" spans="1:28" ht="3.75" customHeight="1" x14ac:dyDescent="0.35">
      <c r="A12" s="4469"/>
      <c r="B12" s="4470"/>
      <c r="C12" s="4470"/>
      <c r="D12" s="4470"/>
      <c r="E12" s="4470"/>
      <c r="F12" s="4470"/>
      <c r="G12" s="4470"/>
      <c r="H12" s="4470"/>
      <c r="I12" s="4470"/>
      <c r="J12" s="4470"/>
      <c r="K12" s="4470"/>
      <c r="L12" s="4470"/>
      <c r="M12" s="4470"/>
      <c r="N12" s="4470"/>
      <c r="O12" s="4470"/>
      <c r="P12" s="4470"/>
      <c r="Q12" s="4470"/>
      <c r="R12" s="4470"/>
      <c r="S12" s="4470"/>
      <c r="T12" s="4470"/>
      <c r="U12" s="4470"/>
      <c r="V12" s="4470"/>
      <c r="W12" s="4470"/>
      <c r="X12" s="4470"/>
      <c r="Y12" s="4470"/>
      <c r="Z12" s="4470"/>
      <c r="AA12" s="4471"/>
      <c r="AB12" s="64"/>
    </row>
    <row r="13" spans="1:28" ht="15" customHeight="1" x14ac:dyDescent="0.35">
      <c r="A13" s="4460"/>
      <c r="B13" s="4461"/>
      <c r="C13" s="4461"/>
      <c r="D13" s="4461"/>
      <c r="E13" s="4461"/>
      <c r="F13" s="4461"/>
      <c r="G13" s="4461"/>
      <c r="H13" s="4461"/>
      <c r="I13" s="4461"/>
      <c r="J13" s="4461"/>
      <c r="K13" s="4461"/>
      <c r="L13" s="4461"/>
      <c r="M13" s="4461"/>
      <c r="N13" s="4461"/>
      <c r="O13" s="4461"/>
      <c r="P13" s="4461"/>
      <c r="Q13" s="4461"/>
      <c r="R13" s="4461"/>
      <c r="S13" s="4461"/>
      <c r="T13" s="4461"/>
      <c r="U13" s="4461"/>
      <c r="V13" s="4461"/>
      <c r="W13" s="4461"/>
      <c r="X13" s="4461"/>
      <c r="Y13" s="4461"/>
      <c r="Z13" s="4461"/>
      <c r="AA13" s="4462"/>
      <c r="AB13" s="64"/>
    </row>
    <row r="14" spans="1:28" ht="15" customHeight="1" thickBot="1" x14ac:dyDescent="0.4">
      <c r="A14" s="4443"/>
      <c r="B14" s="4444"/>
      <c r="C14" s="4445"/>
      <c r="D14" s="1918"/>
      <c r="E14" s="1918"/>
      <c r="F14" s="1918"/>
      <c r="G14" s="1918"/>
      <c r="H14" s="1918"/>
      <c r="I14" s="1918"/>
      <c r="J14" s="1918"/>
      <c r="K14" s="1918"/>
      <c r="L14" s="1918"/>
      <c r="M14" s="1918"/>
      <c r="N14" s="1918"/>
      <c r="O14" s="1918"/>
      <c r="P14" s="1918"/>
      <c r="Q14" s="1918"/>
      <c r="R14" s="1918"/>
      <c r="S14" s="1918"/>
      <c r="T14" s="1918"/>
      <c r="U14" s="1918"/>
      <c r="V14" s="1918"/>
      <c r="W14" s="1918"/>
      <c r="X14" s="1918"/>
      <c r="Y14" s="1918"/>
      <c r="Z14" s="1918"/>
      <c r="AA14" s="1919"/>
      <c r="AB14" s="64"/>
    </row>
    <row r="15" spans="1:28" ht="22.5" customHeight="1" thickTop="1" x14ac:dyDescent="0.35">
      <c r="A15" s="4446" t="s">
        <v>1662</v>
      </c>
      <c r="B15" s="4447"/>
      <c r="C15" s="4448"/>
      <c r="D15" s="1156"/>
      <c r="E15" s="1156"/>
      <c r="F15" s="1156"/>
      <c r="G15" s="1156"/>
      <c r="H15" s="1156"/>
      <c r="I15" s="1156"/>
      <c r="J15" s="1156"/>
      <c r="K15" s="1156"/>
      <c r="L15" s="1156"/>
      <c r="M15" s="1156"/>
      <c r="N15" s="1156"/>
      <c r="O15" s="1156"/>
      <c r="P15" s="1156"/>
      <c r="Q15" s="1156"/>
      <c r="R15" s="1156"/>
      <c r="S15" s="1156"/>
      <c r="T15" s="1156"/>
      <c r="U15" s="1156"/>
      <c r="V15" s="1156"/>
      <c r="W15" s="1156"/>
      <c r="X15" s="1156"/>
      <c r="Y15" s="1156"/>
      <c r="Z15" s="1156"/>
      <c r="AA15" s="350"/>
      <c r="AB15" s="64"/>
    </row>
    <row r="16" spans="1:28" ht="22.5" customHeight="1" x14ac:dyDescent="0.35">
      <c r="A16" s="4457" t="s">
        <v>865</v>
      </c>
      <c r="B16" s="4458"/>
      <c r="C16" s="4459"/>
      <c r="D16" s="1157"/>
      <c r="E16" s="1157"/>
      <c r="F16" s="1157"/>
      <c r="G16" s="1157"/>
      <c r="H16" s="1157"/>
      <c r="I16" s="1157"/>
      <c r="J16" s="1157"/>
      <c r="K16" s="1157"/>
      <c r="L16" s="1157"/>
      <c r="M16" s="1157"/>
      <c r="N16" s="1157"/>
      <c r="O16" s="1157"/>
      <c r="P16" s="1157"/>
      <c r="Q16" s="1157"/>
      <c r="R16" s="1157"/>
      <c r="S16" s="1157"/>
      <c r="T16" s="1157"/>
      <c r="U16" s="1157"/>
      <c r="V16" s="1157"/>
      <c r="W16" s="1157"/>
      <c r="X16" s="1157"/>
      <c r="Y16" s="1157"/>
      <c r="Z16" s="1157"/>
      <c r="AA16" s="202"/>
      <c r="AB16" s="64"/>
    </row>
    <row r="17" spans="1:28" ht="29.25" customHeight="1" thickBot="1" x14ac:dyDescent="0.4">
      <c r="A17" s="4449" t="s">
        <v>866</v>
      </c>
      <c r="B17" s="4450"/>
      <c r="C17" s="4451"/>
      <c r="D17" s="1158"/>
      <c r="E17" s="1158"/>
      <c r="F17" s="1158"/>
      <c r="G17" s="1158"/>
      <c r="H17" s="1158"/>
      <c r="I17" s="1158"/>
      <c r="J17" s="1158"/>
      <c r="K17" s="1158"/>
      <c r="L17" s="1158"/>
      <c r="M17" s="1158"/>
      <c r="N17" s="1158"/>
      <c r="O17" s="1158"/>
      <c r="P17" s="1158"/>
      <c r="Q17" s="1158"/>
      <c r="R17" s="1158"/>
      <c r="S17" s="1158"/>
      <c r="T17" s="1158"/>
      <c r="U17" s="1158"/>
      <c r="V17" s="1158"/>
      <c r="W17" s="1158"/>
      <c r="X17" s="1158"/>
      <c r="Y17" s="1158"/>
      <c r="Z17" s="1158"/>
      <c r="AA17" s="201"/>
      <c r="AB17" s="64"/>
    </row>
    <row r="18" spans="1:28" ht="16" thickTop="1" x14ac:dyDescent="0.35">
      <c r="A18" s="4446"/>
      <c r="B18" s="4447"/>
      <c r="C18" s="4448"/>
      <c r="D18" s="470"/>
      <c r="E18" s="470"/>
      <c r="F18" s="470"/>
      <c r="G18" s="470"/>
      <c r="H18" s="470"/>
      <c r="I18" s="470"/>
      <c r="J18" s="470"/>
      <c r="K18" s="470"/>
      <c r="L18" s="470"/>
      <c r="M18" s="470"/>
      <c r="N18" s="470"/>
      <c r="O18" s="470"/>
      <c r="P18" s="470"/>
      <c r="Q18" s="470"/>
      <c r="R18" s="470"/>
      <c r="S18" s="470"/>
      <c r="T18" s="470"/>
      <c r="U18" s="470"/>
      <c r="V18" s="470"/>
      <c r="W18" s="470"/>
      <c r="X18" s="470"/>
      <c r="Y18" s="470"/>
      <c r="Z18" s="463"/>
      <c r="AA18" s="64"/>
      <c r="AB18" s="64"/>
    </row>
    <row r="19" spans="1:28" ht="27.75" customHeight="1" x14ac:dyDescent="0.35">
      <c r="A19" s="470"/>
      <c r="B19" s="470"/>
      <c r="C19" s="470"/>
      <c r="D19" s="64"/>
      <c r="E19" s="64"/>
      <c r="F19" s="64"/>
      <c r="G19" s="64"/>
      <c r="H19" s="64"/>
      <c r="I19" s="64"/>
      <c r="J19" s="64"/>
      <c r="K19" s="64"/>
      <c r="L19" s="64"/>
      <c r="M19" s="64"/>
      <c r="N19" s="64"/>
      <c r="O19" s="64"/>
      <c r="P19" s="64"/>
      <c r="Q19" s="64"/>
      <c r="R19" s="64"/>
      <c r="S19" s="64"/>
      <c r="T19" s="64"/>
      <c r="U19" s="64"/>
      <c r="V19" s="64"/>
      <c r="W19" s="64"/>
      <c r="X19" s="64"/>
      <c r="Y19" s="64"/>
      <c r="Z19" s="64"/>
      <c r="AA19" s="64"/>
      <c r="AB19" s="64"/>
    </row>
  </sheetData>
  <mergeCells count="34">
    <mergeCell ref="E3:J3"/>
    <mergeCell ref="E1:J1"/>
    <mergeCell ref="L1:O1"/>
    <mergeCell ref="R1:U1"/>
    <mergeCell ref="E2:J2"/>
    <mergeCell ref="L2:O2"/>
    <mergeCell ref="R2:U2"/>
    <mergeCell ref="G7:H7"/>
    <mergeCell ref="K4:Z4"/>
    <mergeCell ref="A5:B5"/>
    <mergeCell ref="C5:Z5"/>
    <mergeCell ref="A6:A7"/>
    <mergeCell ref="B6:C7"/>
    <mergeCell ref="A4:J4"/>
    <mergeCell ref="M6:N6"/>
    <mergeCell ref="G6:H6"/>
    <mergeCell ref="I6:J6"/>
    <mergeCell ref="D6:F7"/>
    <mergeCell ref="A14:C14"/>
    <mergeCell ref="A15:C15"/>
    <mergeCell ref="A17:C17"/>
    <mergeCell ref="A18:C18"/>
    <mergeCell ref="AA6:AA7"/>
    <mergeCell ref="K7:L7"/>
    <mergeCell ref="K6:L6"/>
    <mergeCell ref="M7:N7"/>
    <mergeCell ref="A16:C16"/>
    <mergeCell ref="A13:AA13"/>
    <mergeCell ref="A8:AA8"/>
    <mergeCell ref="A9:C9"/>
    <mergeCell ref="A11:C11"/>
    <mergeCell ref="A10:AA10"/>
    <mergeCell ref="A12:AA12"/>
    <mergeCell ref="I7:J7"/>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1900-000000000000}">
      <formula1>AvancementTheme</formula1>
    </dataValidation>
  </dataValidations>
  <hyperlinks>
    <hyperlink ref="X1" location="DPDV_03IP" display="PdV" xr:uid="{00000000-0004-0000-1900-000000000000}"/>
    <hyperlink ref="Y1" location="DKPI_03IP" display="KPI's" xr:uid="{00000000-0004-0000-19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6">
    <tabColor rgb="FFFFC000"/>
    <pageSetUpPr fitToPage="1"/>
  </sheetPr>
  <dimension ref="A1:AE80"/>
  <sheetViews>
    <sheetView showGridLines="0" zoomScale="120" zoomScaleNormal="120" workbookViewId="0">
      <pane ySplit="7" topLeftCell="A8" activePane="bottomLeft" state="frozen"/>
      <selection activeCell="A16" sqref="A16:C16"/>
      <selection pane="bottomLeft" activeCell="A16" sqref="A16:C16"/>
    </sheetView>
  </sheetViews>
  <sheetFormatPr baseColWidth="10" defaultColWidth="11.453125" defaultRowHeight="14.5" x14ac:dyDescent="0.35"/>
  <cols>
    <col min="1" max="1" width="9" style="60" customWidth="1"/>
    <col min="2" max="5" width="11.453125" style="60"/>
    <col min="6" max="6" width="6.1796875" style="60" customWidth="1"/>
    <col min="7" max="7" width="13.54296875" style="60" customWidth="1"/>
    <col min="8" max="9" width="11.453125" style="60"/>
    <col min="10" max="10" width="0.7265625" style="60" customWidth="1"/>
    <col min="11" max="11" width="11" style="60" customWidth="1"/>
    <col min="12" max="12" width="12.81640625" style="60" customWidth="1"/>
    <col min="13" max="14" width="11.453125" style="60"/>
    <col min="15" max="15" width="11.453125" style="60" customWidth="1"/>
    <col min="16" max="16384" width="11.453125" style="60"/>
  </cols>
  <sheetData>
    <row r="1" spans="1:31" s="54" customFormat="1" ht="11.25" customHeight="1" x14ac:dyDescent="0.35">
      <c r="A1" s="389"/>
      <c r="B1" s="389"/>
      <c r="C1" s="389"/>
      <c r="D1" s="3341" t="s">
        <v>5</v>
      </c>
      <c r="E1" s="3341"/>
      <c r="F1" s="3341"/>
      <c r="G1" s="3341"/>
      <c r="H1" s="391"/>
      <c r="I1" s="3341" t="s">
        <v>6</v>
      </c>
      <c r="J1" s="3341"/>
      <c r="K1" s="389"/>
      <c r="L1" s="3341" t="s">
        <v>9</v>
      </c>
      <c r="M1" s="3341"/>
      <c r="N1" s="389"/>
      <c r="O1" s="479" t="s">
        <v>2</v>
      </c>
      <c r="P1" s="479" t="s">
        <v>3</v>
      </c>
      <c r="Q1" s="458"/>
      <c r="R1" s="458"/>
      <c r="S1" s="458"/>
    </row>
    <row r="2" spans="1:31" s="58" customFormat="1" ht="18" customHeight="1" x14ac:dyDescent="0.35">
      <c r="A2" s="393"/>
      <c r="B2" s="393"/>
      <c r="C2" s="393"/>
      <c r="D2" s="3342" t="str">
        <f>NomClient</f>
        <v xml:space="preserve">EQUINIX </v>
      </c>
      <c r="E2" s="3343"/>
      <c r="F2" s="3343"/>
      <c r="G2" s="3344"/>
      <c r="H2" s="393"/>
      <c r="I2" s="3345" t="s">
        <v>407</v>
      </c>
      <c r="J2" s="3346"/>
      <c r="K2" s="393"/>
      <c r="L2" s="3347">
        <v>42534.902453703704</v>
      </c>
      <c r="M2" s="3348"/>
      <c r="N2" s="394"/>
      <c r="O2" s="451" t="e">
        <f>IF(LEN(DPDV_03CK1)&gt;0,LEN(DPDV_03CK1),0-PDV_NBmini)</f>
        <v>#REF!</v>
      </c>
      <c r="P2" s="451" t="e">
        <f>IF(LEN(DKPI_03CK1)&gt;0,LEN(DKPI_03CK1),0-KPI_NBmini)</f>
        <v>#REF!</v>
      </c>
      <c r="Q2" s="459"/>
      <c r="R2" s="459"/>
      <c r="S2" s="459"/>
    </row>
    <row r="3" spans="1:31" ht="12.75" customHeight="1" thickBot="1" x14ac:dyDescent="0.4">
      <c r="A3" s="396"/>
      <c r="B3" s="396"/>
      <c r="C3" s="396"/>
      <c r="D3" s="3937" t="s">
        <v>1792</v>
      </c>
      <c r="E3" s="3937"/>
      <c r="F3" s="3937"/>
      <c r="G3" s="3937"/>
      <c r="H3" s="396"/>
      <c r="I3" s="396"/>
      <c r="J3" s="396"/>
      <c r="K3" s="396"/>
      <c r="L3" s="396"/>
      <c r="M3" s="396"/>
      <c r="N3" s="396"/>
      <c r="O3" s="396"/>
      <c r="P3" s="396"/>
      <c r="Q3" s="64"/>
      <c r="R3" s="64"/>
      <c r="S3" s="64"/>
      <c r="T3" s="64"/>
      <c r="U3" s="64"/>
      <c r="V3" s="64"/>
    </row>
    <row r="4" spans="1:31" s="1" customFormat="1" ht="24.75" customHeight="1" thickBot="1" x14ac:dyDescent="0.4">
      <c r="A4" s="3507" t="str">
        <f>Parametre!B25  &amp; "  : "</f>
        <v xml:space="preserve">Positionnement de l'offre  : </v>
      </c>
      <c r="B4" s="3507"/>
      <c r="C4" s="3507"/>
      <c r="D4" s="3507"/>
      <c r="E4" s="3507"/>
      <c r="F4" s="3507"/>
      <c r="G4" s="3507"/>
      <c r="H4" s="3505" t="s">
        <v>2342</v>
      </c>
      <c r="I4" s="3505"/>
      <c r="J4" s="3505"/>
      <c r="K4" s="3505"/>
      <c r="L4" s="3505"/>
      <c r="M4" s="3505"/>
      <c r="N4" s="3505"/>
      <c r="O4" s="3505"/>
      <c r="P4" s="3506"/>
      <c r="Q4" s="444"/>
      <c r="R4" s="444"/>
      <c r="S4" s="444"/>
    </row>
    <row r="5" spans="1:31" s="193" customFormat="1" ht="29.25" customHeight="1" thickBot="1" x14ac:dyDescent="0.4">
      <c r="A5" s="3438" t="s">
        <v>14</v>
      </c>
      <c r="B5" s="3438"/>
      <c r="C5" s="3508" t="s">
        <v>1979</v>
      </c>
      <c r="D5" s="3508"/>
      <c r="E5" s="3508"/>
      <c r="F5" s="3508"/>
      <c r="G5" s="3508"/>
      <c r="H5" s="3508"/>
      <c r="I5" s="3508"/>
      <c r="J5" s="3508"/>
      <c r="K5" s="3508"/>
      <c r="L5" s="3508"/>
      <c r="M5" s="3508"/>
      <c r="N5" s="3508"/>
      <c r="O5" s="3508"/>
      <c r="P5" s="3508"/>
      <c r="Q5" s="460"/>
      <c r="R5" s="460"/>
      <c r="S5" s="460"/>
    </row>
    <row r="6" spans="1:31" ht="16" thickTop="1" x14ac:dyDescent="0.35">
      <c r="A6" s="4452"/>
      <c r="B6" s="4535" t="s">
        <v>260</v>
      </c>
      <c r="C6" s="4536"/>
      <c r="D6" s="4536"/>
      <c r="E6" s="4536"/>
      <c r="F6" s="4534" t="s">
        <v>2339</v>
      </c>
      <c r="G6" s="4534"/>
      <c r="H6" s="4534" t="s">
        <v>2340</v>
      </c>
      <c r="I6" s="4534"/>
      <c r="J6" s="4544" t="s">
        <v>246</v>
      </c>
      <c r="K6" s="4544"/>
      <c r="L6" s="4544" t="s">
        <v>247</v>
      </c>
      <c r="M6" s="4534" t="s">
        <v>18</v>
      </c>
      <c r="N6" s="4534"/>
      <c r="O6" s="4534"/>
      <c r="P6" s="4539"/>
      <c r="Q6" s="463"/>
      <c r="R6" s="463"/>
      <c r="S6" s="64"/>
      <c r="U6" s="66"/>
      <c r="V6" s="66"/>
      <c r="W6" s="72"/>
      <c r="X6" s="73"/>
      <c r="Y6" s="73"/>
      <c r="Z6" s="66"/>
      <c r="AA6" s="66"/>
      <c r="AB6" s="66"/>
      <c r="AC6" s="66"/>
      <c r="AD6" s="66"/>
      <c r="AE6" s="66"/>
    </row>
    <row r="7" spans="1:31" s="26" customFormat="1" ht="16" thickBot="1" x14ac:dyDescent="0.4">
      <c r="A7" s="4452"/>
      <c r="B7" s="4537"/>
      <c r="C7" s="4538"/>
      <c r="D7" s="4538"/>
      <c r="E7" s="4538"/>
      <c r="F7" s="4543" t="s">
        <v>16</v>
      </c>
      <c r="G7" s="4543"/>
      <c r="H7" s="4540" t="s">
        <v>16</v>
      </c>
      <c r="I7" s="4540"/>
      <c r="J7" s="4545"/>
      <c r="K7" s="4545"/>
      <c r="L7" s="4545"/>
      <c r="M7" s="4540"/>
      <c r="N7" s="4540"/>
      <c r="O7" s="4540"/>
      <c r="P7" s="4541"/>
      <c r="Q7" s="460"/>
      <c r="R7" s="460"/>
      <c r="S7" s="460"/>
      <c r="T7" s="94"/>
      <c r="U7" s="94"/>
      <c r="V7" s="95"/>
      <c r="W7" s="96"/>
      <c r="X7" s="96"/>
      <c r="Y7" s="94"/>
      <c r="Z7" s="94"/>
      <c r="AA7" s="94"/>
      <c r="AB7" s="94"/>
      <c r="AC7" s="94"/>
      <c r="AD7" s="94"/>
    </row>
    <row r="8" spans="1:31" ht="9" customHeight="1" thickTop="1" x14ac:dyDescent="0.35">
      <c r="A8" s="4532" t="s">
        <v>259</v>
      </c>
      <c r="B8" s="4518"/>
      <c r="C8" s="4519"/>
      <c r="D8" s="4519"/>
      <c r="E8" s="4519"/>
      <c r="F8" s="4519"/>
      <c r="G8" s="4519"/>
      <c r="H8" s="4519"/>
      <c r="I8" s="4519"/>
      <c r="J8" s="4519"/>
      <c r="K8" s="4519"/>
      <c r="L8" s="4519"/>
      <c r="M8" s="4519"/>
      <c r="N8" s="4519"/>
      <c r="O8" s="4519"/>
      <c r="P8" s="4520"/>
      <c r="Q8" s="463"/>
      <c r="R8" s="463"/>
      <c r="S8" s="64"/>
      <c r="U8" s="66"/>
      <c r="V8" s="66"/>
      <c r="W8" s="72"/>
      <c r="X8" s="73"/>
      <c r="Y8" s="73"/>
      <c r="Z8" s="66"/>
      <c r="AA8" s="66"/>
      <c r="AB8" s="66"/>
      <c r="AC8" s="66"/>
      <c r="AD8" s="66"/>
      <c r="AE8" s="66"/>
    </row>
    <row r="9" spans="1:31" ht="42.75" customHeight="1" x14ac:dyDescent="0.35">
      <c r="A9" s="4533"/>
      <c r="B9" s="4500" t="s">
        <v>538</v>
      </c>
      <c r="C9" s="4501"/>
      <c r="D9" s="4501"/>
      <c r="E9" s="4501"/>
      <c r="F9" s="4502">
        <v>0</v>
      </c>
      <c r="G9" s="4502"/>
      <c r="H9" s="4502">
        <v>0</v>
      </c>
      <c r="I9" s="4502"/>
      <c r="J9" s="4503">
        <f>ABS(F9-H9)</f>
        <v>0</v>
      </c>
      <c r="K9" s="4503"/>
      <c r="L9" s="1330">
        <v>10</v>
      </c>
      <c r="M9" s="4504"/>
      <c r="N9" s="4504"/>
      <c r="O9" s="4504"/>
      <c r="P9" s="4505"/>
      <c r="Q9" s="463"/>
      <c r="R9" s="463"/>
      <c r="S9" s="64"/>
      <c r="U9" s="66"/>
      <c r="V9" s="66"/>
      <c r="W9" s="72"/>
      <c r="X9" s="73"/>
      <c r="Y9" s="73"/>
      <c r="Z9" s="66"/>
      <c r="AA9" s="66"/>
      <c r="AB9" s="66"/>
      <c r="AC9" s="66"/>
      <c r="AD9" s="66"/>
      <c r="AE9" s="66"/>
    </row>
    <row r="10" spans="1:31" ht="39" customHeight="1" x14ac:dyDescent="0.35">
      <c r="A10" s="4533"/>
      <c r="B10" s="4500" t="s">
        <v>539</v>
      </c>
      <c r="C10" s="4501"/>
      <c r="D10" s="4501"/>
      <c r="E10" s="4501"/>
      <c r="F10" s="4502"/>
      <c r="G10" s="4502"/>
      <c r="H10" s="4502"/>
      <c r="I10" s="4502"/>
      <c r="J10" s="4503">
        <f t="shared" ref="J10:J19" si="0">ABS(F10-H10)</f>
        <v>0</v>
      </c>
      <c r="K10" s="4503"/>
      <c r="L10" s="1330">
        <v>10</v>
      </c>
      <c r="M10" s="4504"/>
      <c r="N10" s="4504"/>
      <c r="O10" s="4504"/>
      <c r="P10" s="4505"/>
      <c r="Q10" s="463"/>
      <c r="R10" s="463"/>
      <c r="S10" s="64"/>
      <c r="U10" s="66"/>
      <c r="V10" s="66"/>
      <c r="W10" s="72"/>
      <c r="X10" s="73"/>
      <c r="Y10" s="73"/>
      <c r="Z10" s="66"/>
      <c r="AA10" s="66"/>
      <c r="AB10" s="66"/>
      <c r="AC10" s="66"/>
      <c r="AD10" s="66"/>
      <c r="AE10" s="66"/>
    </row>
    <row r="11" spans="1:31" ht="30" customHeight="1" x14ac:dyDescent="0.35">
      <c r="A11" s="4533"/>
      <c r="B11" s="4500" t="s">
        <v>248</v>
      </c>
      <c r="C11" s="4501"/>
      <c r="D11" s="4501"/>
      <c r="E11" s="4501"/>
      <c r="F11" s="4502"/>
      <c r="G11" s="4502"/>
      <c r="H11" s="4502"/>
      <c r="I11" s="4502"/>
      <c r="J11" s="4503">
        <f t="shared" si="0"/>
        <v>0</v>
      </c>
      <c r="K11" s="4503"/>
      <c r="L11" s="1330">
        <v>10</v>
      </c>
      <c r="M11" s="4504"/>
      <c r="N11" s="4504"/>
      <c r="O11" s="4504"/>
      <c r="P11" s="4505"/>
      <c r="Q11" s="463"/>
      <c r="R11" s="463"/>
      <c r="S11" s="64"/>
      <c r="U11" s="66"/>
      <c r="V11" s="66"/>
      <c r="W11" s="72"/>
      <c r="X11" s="73"/>
      <c r="Y11" s="73"/>
      <c r="Z11" s="66"/>
      <c r="AA11" s="66"/>
      <c r="AB11" s="66"/>
      <c r="AC11" s="66"/>
      <c r="AD11" s="66"/>
      <c r="AE11" s="66"/>
    </row>
    <row r="12" spans="1:31" ht="30" customHeight="1" x14ac:dyDescent="0.35">
      <c r="A12" s="4533"/>
      <c r="B12" s="4500" t="s">
        <v>540</v>
      </c>
      <c r="C12" s="4501"/>
      <c r="D12" s="4501"/>
      <c r="E12" s="4501"/>
      <c r="F12" s="4502"/>
      <c r="G12" s="4502"/>
      <c r="H12" s="4502"/>
      <c r="I12" s="4502"/>
      <c r="J12" s="4503">
        <f t="shared" si="0"/>
        <v>0</v>
      </c>
      <c r="K12" s="4503"/>
      <c r="L12" s="1330">
        <v>10</v>
      </c>
      <c r="M12" s="4504"/>
      <c r="N12" s="4504"/>
      <c r="O12" s="4504"/>
      <c r="P12" s="4505"/>
      <c r="Q12" s="463"/>
      <c r="R12" s="463"/>
      <c r="S12" s="64"/>
      <c r="U12" s="66"/>
      <c r="V12" s="66"/>
      <c r="W12" s="72"/>
      <c r="X12" s="73"/>
      <c r="Y12" s="73"/>
      <c r="Z12" s="66"/>
      <c r="AA12" s="66"/>
      <c r="AB12" s="66"/>
      <c r="AC12" s="66"/>
      <c r="AD12" s="66"/>
      <c r="AE12" s="66"/>
    </row>
    <row r="13" spans="1:31" ht="30" customHeight="1" x14ac:dyDescent="0.35">
      <c r="A13" s="4533"/>
      <c r="B13" s="4500" t="s">
        <v>541</v>
      </c>
      <c r="C13" s="4500"/>
      <c r="D13" s="4500"/>
      <c r="E13" s="4500"/>
      <c r="F13" s="4502"/>
      <c r="G13" s="4502"/>
      <c r="H13" s="4502"/>
      <c r="I13" s="4502"/>
      <c r="J13" s="4503">
        <f t="shared" si="0"/>
        <v>0</v>
      </c>
      <c r="K13" s="4503"/>
      <c r="L13" s="1330">
        <v>10</v>
      </c>
      <c r="M13" s="4504"/>
      <c r="N13" s="4504"/>
      <c r="O13" s="4504"/>
      <c r="P13" s="4505"/>
      <c r="Q13" s="463"/>
      <c r="R13" s="463"/>
      <c r="S13" s="64"/>
      <c r="U13" s="66"/>
      <c r="V13" s="66"/>
      <c r="W13" s="72"/>
      <c r="X13" s="73"/>
      <c r="Y13" s="73"/>
      <c r="Z13" s="66"/>
      <c r="AA13" s="66"/>
      <c r="AB13" s="66"/>
      <c r="AC13" s="66"/>
      <c r="AD13" s="66"/>
      <c r="AE13" s="66"/>
    </row>
    <row r="14" spans="1:31" ht="30" customHeight="1" x14ac:dyDescent="0.35">
      <c r="A14" s="4533"/>
      <c r="B14" s="4500" t="s">
        <v>542</v>
      </c>
      <c r="C14" s="4501"/>
      <c r="D14" s="4501"/>
      <c r="E14" s="4501"/>
      <c r="F14" s="4502"/>
      <c r="G14" s="4502"/>
      <c r="H14" s="4502"/>
      <c r="I14" s="4502"/>
      <c r="J14" s="4503">
        <f t="shared" si="0"/>
        <v>0</v>
      </c>
      <c r="K14" s="4503"/>
      <c r="L14" s="1330">
        <v>10</v>
      </c>
      <c r="M14" s="4504"/>
      <c r="N14" s="4504"/>
      <c r="O14" s="4504"/>
      <c r="P14" s="4505"/>
      <c r="Q14" s="463"/>
      <c r="R14" s="463"/>
      <c r="S14" s="64"/>
      <c r="U14" s="66"/>
      <c r="V14" s="66"/>
      <c r="W14" s="72"/>
      <c r="X14" s="73"/>
      <c r="Y14" s="73"/>
      <c r="Z14" s="66"/>
      <c r="AA14" s="66"/>
      <c r="AB14" s="66"/>
      <c r="AC14" s="66"/>
      <c r="AD14" s="66"/>
      <c r="AE14" s="66"/>
    </row>
    <row r="15" spans="1:31" ht="30" customHeight="1" x14ac:dyDescent="0.35">
      <c r="A15" s="4533"/>
      <c r="B15" s="4500" t="s">
        <v>874</v>
      </c>
      <c r="C15" s="4501"/>
      <c r="D15" s="4501"/>
      <c r="E15" s="4501"/>
      <c r="F15" s="4502"/>
      <c r="G15" s="4502"/>
      <c r="H15" s="4502"/>
      <c r="I15" s="4502"/>
      <c r="J15" s="4503">
        <f t="shared" si="0"/>
        <v>0</v>
      </c>
      <c r="K15" s="4503"/>
      <c r="L15" s="1330">
        <v>10</v>
      </c>
      <c r="M15" s="4504"/>
      <c r="N15" s="4504"/>
      <c r="O15" s="4504"/>
      <c r="P15" s="4505"/>
      <c r="Q15" s="463"/>
      <c r="R15" s="463"/>
      <c r="S15" s="64"/>
      <c r="U15" s="66"/>
      <c r="V15" s="66"/>
      <c r="W15" s="72"/>
      <c r="X15" s="73"/>
      <c r="Y15" s="73"/>
      <c r="Z15" s="66"/>
      <c r="AA15" s="66"/>
      <c r="AB15" s="66"/>
      <c r="AC15" s="66"/>
      <c r="AD15" s="66"/>
      <c r="AE15" s="66"/>
    </row>
    <row r="16" spans="1:31" ht="30" customHeight="1" x14ac:dyDescent="0.35">
      <c r="A16" s="4533"/>
      <c r="B16" s="4500" t="s">
        <v>543</v>
      </c>
      <c r="C16" s="4501"/>
      <c r="D16" s="4501"/>
      <c r="E16" s="4501"/>
      <c r="F16" s="4502"/>
      <c r="G16" s="4502"/>
      <c r="H16" s="4502"/>
      <c r="I16" s="4502"/>
      <c r="J16" s="4503">
        <f t="shared" si="0"/>
        <v>0</v>
      </c>
      <c r="K16" s="4503"/>
      <c r="L16" s="1330">
        <v>10</v>
      </c>
      <c r="M16" s="4504"/>
      <c r="N16" s="4504"/>
      <c r="O16" s="4504"/>
      <c r="P16" s="4505"/>
      <c r="Q16" s="463"/>
      <c r="R16" s="463"/>
      <c r="S16" s="64"/>
      <c r="U16" s="66"/>
      <c r="V16" s="66"/>
      <c r="W16" s="72"/>
      <c r="X16" s="73"/>
      <c r="Y16" s="73"/>
      <c r="Z16" s="66"/>
      <c r="AA16" s="66"/>
      <c r="AB16" s="66"/>
      <c r="AC16" s="66"/>
      <c r="AD16" s="66"/>
      <c r="AE16" s="66"/>
    </row>
    <row r="17" spans="1:31" ht="30" customHeight="1" x14ac:dyDescent="0.35">
      <c r="A17" s="4533"/>
      <c r="B17" s="4500" t="s">
        <v>544</v>
      </c>
      <c r="C17" s="4501"/>
      <c r="D17" s="4501"/>
      <c r="E17" s="4501"/>
      <c r="F17" s="4502"/>
      <c r="G17" s="4502"/>
      <c r="H17" s="4502"/>
      <c r="I17" s="4502"/>
      <c r="J17" s="4503">
        <f t="shared" si="0"/>
        <v>0</v>
      </c>
      <c r="K17" s="4503"/>
      <c r="L17" s="1330">
        <v>10</v>
      </c>
      <c r="M17" s="4504"/>
      <c r="N17" s="4504"/>
      <c r="O17" s="4504"/>
      <c r="P17" s="4505"/>
      <c r="Q17" s="463"/>
      <c r="R17" s="463"/>
      <c r="S17" s="64"/>
      <c r="U17" s="66"/>
      <c r="V17" s="66"/>
      <c r="W17" s="72"/>
      <c r="X17" s="73"/>
      <c r="Y17" s="73"/>
      <c r="Z17" s="66"/>
      <c r="AA17" s="66"/>
      <c r="AB17" s="66"/>
      <c r="AC17" s="66"/>
      <c r="AD17" s="66"/>
      <c r="AE17" s="66"/>
    </row>
    <row r="18" spans="1:31" ht="30" customHeight="1" x14ac:dyDescent="0.35">
      <c r="A18" s="4533"/>
      <c r="B18" s="4500" t="s">
        <v>2080</v>
      </c>
      <c r="C18" s="4501"/>
      <c r="D18" s="4501"/>
      <c r="E18" s="4501"/>
      <c r="F18" s="4502"/>
      <c r="G18" s="4502"/>
      <c r="H18" s="4502"/>
      <c r="I18" s="4502"/>
      <c r="J18" s="4503">
        <f t="shared" si="0"/>
        <v>0</v>
      </c>
      <c r="K18" s="4503"/>
      <c r="L18" s="1330">
        <v>10</v>
      </c>
      <c r="M18" s="4504"/>
      <c r="N18" s="4504"/>
      <c r="O18" s="4504"/>
      <c r="P18" s="4505"/>
      <c r="Q18" s="463">
        <v>89</v>
      </c>
      <c r="R18" s="463">
        <v>89</v>
      </c>
      <c r="S18" s="64">
        <f>SUM(S6:T17)</f>
        <v>0</v>
      </c>
      <c r="U18" s="66"/>
      <c r="V18" s="66"/>
      <c r="W18" s="72"/>
      <c r="X18" s="73"/>
      <c r="Y18" s="73"/>
      <c r="Z18" s="66"/>
      <c r="AA18" s="66"/>
      <c r="AB18" s="66"/>
      <c r="AC18" s="66"/>
      <c r="AD18" s="66"/>
      <c r="AE18" s="66"/>
    </row>
    <row r="19" spans="1:31" ht="30" customHeight="1" x14ac:dyDescent="0.35">
      <c r="A19" s="4533"/>
      <c r="B19" s="4512" t="s">
        <v>546</v>
      </c>
      <c r="C19" s="4501"/>
      <c r="D19" s="4501"/>
      <c r="E19" s="4501"/>
      <c r="F19" s="4502"/>
      <c r="G19" s="4502"/>
      <c r="H19" s="4502"/>
      <c r="I19" s="4502"/>
      <c r="J19" s="4503">
        <f t="shared" si="0"/>
        <v>0</v>
      </c>
      <c r="K19" s="4503"/>
      <c r="L19" s="1330">
        <v>10</v>
      </c>
      <c r="M19" s="4504"/>
      <c r="N19" s="4504"/>
      <c r="O19" s="4504"/>
      <c r="P19" s="4505"/>
      <c r="Q19" s="463"/>
      <c r="R19" s="463"/>
      <c r="S19" s="64"/>
      <c r="U19" s="66"/>
      <c r="V19" s="66"/>
      <c r="W19" s="72"/>
      <c r="X19" s="73"/>
      <c r="Y19" s="73"/>
      <c r="Z19" s="66"/>
      <c r="AA19" s="66"/>
      <c r="AB19" s="66"/>
      <c r="AC19" s="66"/>
      <c r="AD19" s="66"/>
      <c r="AE19" s="66"/>
    </row>
    <row r="20" spans="1:31" ht="30" customHeight="1" x14ac:dyDescent="0.35">
      <c r="A20" s="4533"/>
      <c r="B20" s="4512" t="s">
        <v>2081</v>
      </c>
      <c r="C20" s="4501"/>
      <c r="D20" s="4501"/>
      <c r="E20" s="4501"/>
      <c r="F20" s="4502"/>
      <c r="G20" s="4502"/>
      <c r="H20" s="4502"/>
      <c r="I20" s="4502"/>
      <c r="J20" s="4503">
        <f>ABS(F20-H20)</f>
        <v>0</v>
      </c>
      <c r="K20" s="4503"/>
      <c r="L20" s="1330">
        <v>10</v>
      </c>
      <c r="M20" s="4504"/>
      <c r="N20" s="4504"/>
      <c r="O20" s="4504"/>
      <c r="P20" s="4505"/>
      <c r="Q20" s="463"/>
      <c r="R20" s="463"/>
      <c r="S20" s="64"/>
      <c r="U20" s="66"/>
      <c r="V20" s="66"/>
      <c r="W20" s="72"/>
      <c r="X20" s="73"/>
      <c r="Y20" s="73"/>
      <c r="Z20" s="66"/>
      <c r="AA20" s="66"/>
      <c r="AB20" s="66"/>
      <c r="AC20" s="66"/>
      <c r="AD20" s="66"/>
      <c r="AE20" s="66"/>
    </row>
    <row r="21" spans="1:31" s="1378" customFormat="1" ht="12" customHeight="1" thickBot="1" x14ac:dyDescent="0.4">
      <c r="A21" s="4533"/>
      <c r="B21" s="4524" t="s">
        <v>1385</v>
      </c>
      <c r="C21" s="4525"/>
      <c r="D21" s="4525"/>
      <c r="E21" s="4525"/>
      <c r="F21" s="4521">
        <f>AVERAGE(F9:G20)</f>
        <v>0</v>
      </c>
      <c r="G21" s="4521"/>
      <c r="H21" s="4521">
        <f>AVERAGE(H9:I20)</f>
        <v>0</v>
      </c>
      <c r="I21" s="4521"/>
      <c r="J21" s="4526"/>
      <c r="K21" s="4526"/>
      <c r="L21" s="1377"/>
      <c r="M21" s="4527"/>
      <c r="N21" s="4528"/>
      <c r="O21" s="4528"/>
      <c r="P21" s="4529"/>
      <c r="Q21" s="1375"/>
      <c r="R21" s="1375"/>
      <c r="S21" s="1375"/>
      <c r="U21" s="1379"/>
      <c r="V21" s="1379"/>
      <c r="W21" s="1380"/>
      <c r="X21" s="1376"/>
      <c r="Y21" s="1376"/>
      <c r="Z21" s="1379"/>
      <c r="AA21" s="1379"/>
      <c r="AB21" s="1379"/>
      <c r="AC21" s="1379"/>
      <c r="AD21" s="1379"/>
      <c r="AE21" s="1379"/>
    </row>
    <row r="22" spans="1:31" ht="9" customHeight="1" x14ac:dyDescent="0.35">
      <c r="A22" s="4530" t="s">
        <v>571</v>
      </c>
      <c r="B22" s="4518"/>
      <c r="C22" s="4519"/>
      <c r="D22" s="4519"/>
      <c r="E22" s="4519"/>
      <c r="F22" s="4519"/>
      <c r="G22" s="4519"/>
      <c r="H22" s="4519"/>
      <c r="I22" s="4519"/>
      <c r="J22" s="4519"/>
      <c r="K22" s="4519"/>
      <c r="L22" s="4519"/>
      <c r="M22" s="4519"/>
      <c r="N22" s="4519"/>
      <c r="O22" s="4519"/>
      <c r="P22" s="4520"/>
      <c r="Q22" s="463"/>
      <c r="R22" s="463"/>
      <c r="S22" s="64"/>
      <c r="U22" s="66"/>
      <c r="V22" s="66"/>
      <c r="W22" s="72"/>
      <c r="X22" s="73"/>
      <c r="Y22" s="73"/>
      <c r="Z22" s="66"/>
      <c r="AA22" s="66"/>
      <c r="AB22" s="66"/>
      <c r="AC22" s="66"/>
      <c r="AD22" s="66"/>
      <c r="AE22" s="66"/>
    </row>
    <row r="23" spans="1:31" ht="30" customHeight="1" x14ac:dyDescent="0.35">
      <c r="A23" s="4531"/>
      <c r="B23" s="4500" t="s">
        <v>249</v>
      </c>
      <c r="C23" s="4501"/>
      <c r="D23" s="4501"/>
      <c r="E23" s="4501"/>
      <c r="F23" s="4502">
        <v>0</v>
      </c>
      <c r="G23" s="4502"/>
      <c r="H23" s="4502">
        <v>0</v>
      </c>
      <c r="I23" s="4502"/>
      <c r="J23" s="4503">
        <f t="shared" ref="J23:J31" si="1">ABS(F23-H23)</f>
        <v>0</v>
      </c>
      <c r="K23" s="4503"/>
      <c r="L23" s="1330">
        <v>10</v>
      </c>
      <c r="M23" s="4504"/>
      <c r="N23" s="4504"/>
      <c r="O23" s="4504"/>
      <c r="P23" s="4505"/>
      <c r="Q23" s="463"/>
      <c r="R23" s="463"/>
      <c r="S23" s="64"/>
      <c r="U23" s="66"/>
      <c r="V23" s="66"/>
      <c r="W23" s="72"/>
      <c r="X23" s="73"/>
      <c r="Y23" s="73"/>
      <c r="Z23" s="66"/>
      <c r="AA23" s="66"/>
      <c r="AB23" s="66"/>
      <c r="AC23" s="66"/>
      <c r="AD23" s="66"/>
      <c r="AE23" s="66"/>
    </row>
    <row r="24" spans="1:31" ht="30" customHeight="1" x14ac:dyDescent="0.35">
      <c r="A24" s="4531"/>
      <c r="B24" s="4500" t="s">
        <v>875</v>
      </c>
      <c r="C24" s="4501"/>
      <c r="D24" s="4501"/>
      <c r="E24" s="4501"/>
      <c r="F24" s="4502"/>
      <c r="G24" s="4502"/>
      <c r="H24" s="4502"/>
      <c r="I24" s="4502"/>
      <c r="J24" s="4503">
        <f t="shared" si="1"/>
        <v>0</v>
      </c>
      <c r="K24" s="4503"/>
      <c r="L24" s="1330">
        <v>10</v>
      </c>
      <c r="M24" s="4504"/>
      <c r="N24" s="4504"/>
      <c r="O24" s="4504"/>
      <c r="P24" s="4505"/>
      <c r="Q24" s="463"/>
      <c r="R24" s="463"/>
      <c r="S24" s="64"/>
      <c r="U24" s="66"/>
      <c r="V24" s="66"/>
      <c r="W24" s="72"/>
      <c r="X24" s="73"/>
      <c r="Y24" s="73"/>
      <c r="Z24" s="66"/>
      <c r="AA24" s="66"/>
      <c r="AB24" s="66"/>
      <c r="AC24" s="66"/>
      <c r="AD24" s="66"/>
      <c r="AE24" s="66"/>
    </row>
    <row r="25" spans="1:31" ht="30" customHeight="1" x14ac:dyDescent="0.35">
      <c r="A25" s="4531"/>
      <c r="B25" s="4500" t="s">
        <v>2082</v>
      </c>
      <c r="C25" s="4501"/>
      <c r="D25" s="4501"/>
      <c r="E25" s="4501"/>
      <c r="F25" s="4502"/>
      <c r="G25" s="4502"/>
      <c r="H25" s="4502"/>
      <c r="I25" s="4502"/>
      <c r="J25" s="4503">
        <f t="shared" si="1"/>
        <v>0</v>
      </c>
      <c r="K25" s="4503"/>
      <c r="L25" s="1330">
        <v>10</v>
      </c>
      <c r="M25" s="4504"/>
      <c r="N25" s="4504"/>
      <c r="O25" s="4504"/>
      <c r="P25" s="4505"/>
      <c r="Q25" s="463"/>
      <c r="R25" s="463"/>
      <c r="S25" s="64"/>
      <c r="U25" s="66"/>
      <c r="V25" s="66"/>
      <c r="W25" s="72"/>
      <c r="X25" s="73"/>
      <c r="Y25" s="73"/>
      <c r="Z25" s="66"/>
      <c r="AA25" s="66"/>
      <c r="AB25" s="66"/>
      <c r="AC25" s="66"/>
      <c r="AD25" s="66"/>
      <c r="AE25" s="66"/>
    </row>
    <row r="26" spans="1:31" ht="30" customHeight="1" x14ac:dyDescent="0.35">
      <c r="A26" s="4531"/>
      <c r="B26" s="4500" t="s">
        <v>549</v>
      </c>
      <c r="C26" s="4501"/>
      <c r="D26" s="4501"/>
      <c r="E26" s="4501"/>
      <c r="F26" s="4502"/>
      <c r="G26" s="4502"/>
      <c r="H26" s="4502"/>
      <c r="I26" s="4502"/>
      <c r="J26" s="4503">
        <f t="shared" si="1"/>
        <v>0</v>
      </c>
      <c r="K26" s="4503"/>
      <c r="L26" s="1330">
        <v>10</v>
      </c>
      <c r="M26" s="4504"/>
      <c r="N26" s="4504"/>
      <c r="O26" s="4504"/>
      <c r="P26" s="4505"/>
      <c r="Q26" s="463"/>
      <c r="R26" s="463"/>
      <c r="S26" s="64"/>
      <c r="U26" s="66"/>
      <c r="V26" s="66"/>
      <c r="W26" s="72"/>
      <c r="X26" s="73"/>
      <c r="Y26" s="73"/>
      <c r="Z26" s="66"/>
      <c r="AA26" s="66"/>
      <c r="AB26" s="66"/>
      <c r="AC26" s="66"/>
      <c r="AD26" s="66"/>
      <c r="AE26" s="66"/>
    </row>
    <row r="27" spans="1:31" ht="30" customHeight="1" x14ac:dyDescent="0.35">
      <c r="A27" s="4531"/>
      <c r="B27" s="4500" t="s">
        <v>1867</v>
      </c>
      <c r="C27" s="4501"/>
      <c r="D27" s="4501"/>
      <c r="E27" s="4501"/>
      <c r="F27" s="4502"/>
      <c r="G27" s="4502"/>
      <c r="H27" s="4502"/>
      <c r="I27" s="4502"/>
      <c r="J27" s="4503">
        <f t="shared" si="1"/>
        <v>0</v>
      </c>
      <c r="K27" s="4503"/>
      <c r="L27" s="1330">
        <v>10</v>
      </c>
      <c r="M27" s="4504"/>
      <c r="N27" s="4504"/>
      <c r="O27" s="4504"/>
      <c r="P27" s="4505"/>
      <c r="Q27" s="463"/>
      <c r="R27" s="463"/>
      <c r="S27" s="64"/>
      <c r="U27" s="66"/>
      <c r="V27" s="66"/>
      <c r="W27" s="72"/>
      <c r="X27" s="73"/>
      <c r="Y27" s="73"/>
      <c r="Z27" s="66"/>
      <c r="AA27" s="66"/>
      <c r="AB27" s="66"/>
      <c r="AC27" s="66"/>
      <c r="AD27" s="66"/>
      <c r="AE27" s="66"/>
    </row>
    <row r="28" spans="1:31" ht="30" customHeight="1" x14ac:dyDescent="0.35">
      <c r="A28" s="4531"/>
      <c r="B28" s="4500" t="s">
        <v>251</v>
      </c>
      <c r="C28" s="4501"/>
      <c r="D28" s="4501"/>
      <c r="E28" s="4501"/>
      <c r="F28" s="4502"/>
      <c r="G28" s="4502"/>
      <c r="H28" s="4502"/>
      <c r="I28" s="4502"/>
      <c r="J28" s="4503">
        <f t="shared" si="1"/>
        <v>0</v>
      </c>
      <c r="K28" s="4503"/>
      <c r="L28" s="1330">
        <v>10</v>
      </c>
      <c r="M28" s="4504"/>
      <c r="N28" s="4504"/>
      <c r="O28" s="4504"/>
      <c r="P28" s="4505"/>
      <c r="Q28" s="463"/>
      <c r="R28" s="463"/>
      <c r="S28" s="64"/>
      <c r="U28" s="66"/>
      <c r="V28" s="66"/>
      <c r="W28" s="72"/>
      <c r="X28" s="73"/>
      <c r="Y28" s="73"/>
      <c r="Z28" s="66"/>
      <c r="AA28" s="66"/>
      <c r="AB28" s="66"/>
      <c r="AC28" s="66"/>
      <c r="AD28" s="66"/>
      <c r="AE28" s="66"/>
    </row>
    <row r="29" spans="1:31" ht="30" customHeight="1" x14ac:dyDescent="0.35">
      <c r="A29" s="4531"/>
      <c r="B29" s="4500" t="s">
        <v>2084</v>
      </c>
      <c r="C29" s="4501"/>
      <c r="D29" s="4501"/>
      <c r="E29" s="4501"/>
      <c r="F29" s="4502"/>
      <c r="G29" s="4502"/>
      <c r="H29" s="4502"/>
      <c r="I29" s="4502"/>
      <c r="J29" s="4503">
        <f t="shared" si="1"/>
        <v>0</v>
      </c>
      <c r="K29" s="4503"/>
      <c r="L29" s="1330">
        <v>10</v>
      </c>
      <c r="M29" s="4504"/>
      <c r="N29" s="4504"/>
      <c r="O29" s="4504"/>
      <c r="P29" s="4505"/>
      <c r="Q29" s="463"/>
      <c r="R29" s="463"/>
      <c r="S29" s="64"/>
      <c r="U29" s="66"/>
      <c r="V29" s="66"/>
      <c r="W29" s="72"/>
      <c r="X29" s="73"/>
      <c r="Y29" s="73"/>
      <c r="Z29" s="66"/>
      <c r="AA29" s="66"/>
      <c r="AB29" s="66"/>
      <c r="AC29" s="66"/>
      <c r="AD29" s="66"/>
      <c r="AE29" s="66"/>
    </row>
    <row r="30" spans="1:31" ht="30" customHeight="1" x14ac:dyDescent="0.35">
      <c r="A30" s="4531"/>
      <c r="B30" s="4500" t="s">
        <v>2083</v>
      </c>
      <c r="C30" s="4501"/>
      <c r="D30" s="4501"/>
      <c r="E30" s="4501"/>
      <c r="F30" s="4502"/>
      <c r="G30" s="4502"/>
      <c r="H30" s="4502"/>
      <c r="I30" s="4502"/>
      <c r="J30" s="4503">
        <f t="shared" si="1"/>
        <v>0</v>
      </c>
      <c r="K30" s="4503"/>
      <c r="L30" s="1330">
        <v>10</v>
      </c>
      <c r="M30" s="4504"/>
      <c r="N30" s="4504"/>
      <c r="O30" s="4504"/>
      <c r="P30" s="4505"/>
      <c r="Q30" s="463"/>
      <c r="R30" s="463"/>
      <c r="S30" s="64"/>
      <c r="U30" s="66"/>
      <c r="V30" s="66"/>
      <c r="W30" s="72"/>
      <c r="X30" s="73"/>
      <c r="Y30" s="73"/>
      <c r="Z30" s="66"/>
      <c r="AA30" s="66"/>
      <c r="AB30" s="66"/>
      <c r="AC30" s="66"/>
      <c r="AD30" s="66"/>
      <c r="AE30" s="66"/>
    </row>
    <row r="31" spans="1:31" ht="30" customHeight="1" x14ac:dyDescent="0.35">
      <c r="A31" s="4531"/>
      <c r="B31" s="4500" t="s">
        <v>2086</v>
      </c>
      <c r="C31" s="4501"/>
      <c r="D31" s="4501"/>
      <c r="E31" s="4501"/>
      <c r="F31" s="4502"/>
      <c r="G31" s="4502"/>
      <c r="H31" s="4502"/>
      <c r="I31" s="4502"/>
      <c r="J31" s="4503">
        <f t="shared" si="1"/>
        <v>0</v>
      </c>
      <c r="K31" s="4503"/>
      <c r="L31" s="1330">
        <v>10</v>
      </c>
      <c r="M31" s="4504"/>
      <c r="N31" s="4504"/>
      <c r="O31" s="4504"/>
      <c r="P31" s="4505"/>
      <c r="Q31" s="463"/>
      <c r="R31" s="463"/>
      <c r="S31" s="64"/>
      <c r="U31" s="66"/>
      <c r="V31" s="66"/>
      <c r="W31" s="72"/>
      <c r="X31" s="73"/>
      <c r="Y31" s="73"/>
      <c r="Z31" s="66"/>
      <c r="AA31" s="66"/>
      <c r="AB31" s="66"/>
      <c r="AC31" s="66"/>
      <c r="AD31" s="66"/>
      <c r="AE31" s="66"/>
    </row>
    <row r="32" spans="1:31" ht="30" customHeight="1" x14ac:dyDescent="0.35">
      <c r="A32" s="4531"/>
      <c r="B32" s="4500" t="s">
        <v>2085</v>
      </c>
      <c r="C32" s="4501"/>
      <c r="D32" s="4501"/>
      <c r="E32" s="4501"/>
      <c r="F32" s="4502"/>
      <c r="G32" s="4502"/>
      <c r="H32" s="4502"/>
      <c r="I32" s="4502"/>
      <c r="J32" s="4503">
        <f>ABS(F32-H32)</f>
        <v>0</v>
      </c>
      <c r="K32" s="4503"/>
      <c r="L32" s="1330">
        <v>10</v>
      </c>
      <c r="M32" s="4504"/>
      <c r="N32" s="4504"/>
      <c r="O32" s="4504"/>
      <c r="P32" s="4505"/>
      <c r="Q32" s="463"/>
      <c r="R32" s="463"/>
      <c r="S32" s="64"/>
      <c r="U32" s="66"/>
      <c r="V32" s="66"/>
      <c r="W32" s="72"/>
      <c r="X32" s="73"/>
      <c r="Y32" s="73"/>
      <c r="Z32" s="66"/>
      <c r="AA32" s="66"/>
      <c r="AB32" s="66"/>
      <c r="AC32" s="66"/>
      <c r="AD32" s="66"/>
      <c r="AE32" s="66"/>
    </row>
    <row r="33" spans="1:31" ht="18.75" customHeight="1" thickBot="1" x14ac:dyDescent="0.4">
      <c r="A33" s="4531"/>
      <c r="B33" s="4513" t="s">
        <v>1385</v>
      </c>
      <c r="C33" s="4542"/>
      <c r="D33" s="4542"/>
      <c r="E33" s="4542"/>
      <c r="F33" s="4521">
        <f>AVERAGE(F23:G32)</f>
        <v>0</v>
      </c>
      <c r="G33" s="4521"/>
      <c r="H33" s="4521">
        <f>AVERAGE(H23:I32)</f>
        <v>0</v>
      </c>
      <c r="I33" s="4521"/>
      <c r="J33" s="4509">
        <v>0</v>
      </c>
      <c r="K33" s="4509"/>
      <c r="L33" s="1335">
        <v>0</v>
      </c>
      <c r="M33" s="1331"/>
      <c r="N33" s="1331"/>
      <c r="O33" s="1331"/>
      <c r="P33" s="1332"/>
      <c r="Q33" s="463"/>
      <c r="R33" s="463"/>
      <c r="S33" s="64"/>
      <c r="U33" s="66"/>
      <c r="V33" s="66"/>
      <c r="W33" s="72"/>
      <c r="X33" s="73"/>
      <c r="Y33" s="73"/>
      <c r="Z33" s="66"/>
      <c r="AA33" s="66"/>
      <c r="AB33" s="66"/>
      <c r="AC33" s="66"/>
      <c r="AD33" s="66"/>
      <c r="AE33" s="66"/>
    </row>
    <row r="34" spans="1:31" ht="9" customHeight="1" x14ac:dyDescent="0.35">
      <c r="A34" s="4522" t="s">
        <v>572</v>
      </c>
      <c r="B34" s="4518"/>
      <c r="C34" s="4519"/>
      <c r="D34" s="4519"/>
      <c r="E34" s="4519"/>
      <c r="F34" s="4519"/>
      <c r="G34" s="4519"/>
      <c r="H34" s="4519"/>
      <c r="I34" s="4519"/>
      <c r="J34" s="4519"/>
      <c r="K34" s="4519"/>
      <c r="L34" s="4519"/>
      <c r="M34" s="4519"/>
      <c r="N34" s="4519"/>
      <c r="O34" s="4519"/>
      <c r="P34" s="4520"/>
      <c r="Q34" s="463"/>
      <c r="R34" s="463"/>
      <c r="S34" s="64"/>
      <c r="U34" s="66"/>
      <c r="V34" s="66"/>
      <c r="W34" s="72"/>
      <c r="X34" s="73"/>
      <c r="Y34" s="73"/>
      <c r="Z34" s="66"/>
      <c r="AA34" s="66"/>
      <c r="AB34" s="66"/>
      <c r="AC34" s="66"/>
      <c r="AD34" s="66"/>
      <c r="AE34" s="66"/>
    </row>
    <row r="35" spans="1:31" ht="30" customHeight="1" x14ac:dyDescent="0.35">
      <c r="A35" s="4523"/>
      <c r="B35" s="4512" t="s">
        <v>553</v>
      </c>
      <c r="C35" s="4501"/>
      <c r="D35" s="4501"/>
      <c r="E35" s="4501"/>
      <c r="F35" s="4502">
        <v>0</v>
      </c>
      <c r="G35" s="4502"/>
      <c r="H35" s="4502">
        <v>0</v>
      </c>
      <c r="I35" s="4502"/>
      <c r="J35" s="4503">
        <f t="shared" ref="J35:J41" si="2">ABS(F35-H35)</f>
        <v>0</v>
      </c>
      <c r="K35" s="4503"/>
      <c r="L35" s="1330">
        <v>10</v>
      </c>
      <c r="M35" s="4504"/>
      <c r="N35" s="4504"/>
      <c r="O35" s="4504"/>
      <c r="P35" s="4505"/>
      <c r="Q35" s="463"/>
      <c r="R35" s="463"/>
      <c r="S35" s="64"/>
      <c r="U35" s="66"/>
      <c r="V35" s="66"/>
      <c r="W35" s="72"/>
      <c r="X35" s="73"/>
      <c r="Y35" s="73"/>
      <c r="Z35" s="66"/>
      <c r="AA35" s="66"/>
      <c r="AB35" s="66"/>
      <c r="AC35" s="66"/>
      <c r="AD35" s="66"/>
      <c r="AE35" s="66"/>
    </row>
    <row r="36" spans="1:31" ht="30" customHeight="1" x14ac:dyDescent="0.35">
      <c r="A36" s="4523"/>
      <c r="B36" s="4512" t="s">
        <v>2088</v>
      </c>
      <c r="C36" s="4501"/>
      <c r="D36" s="4501"/>
      <c r="E36" s="4501"/>
      <c r="F36" s="4502"/>
      <c r="G36" s="4502"/>
      <c r="H36" s="4502"/>
      <c r="I36" s="4502"/>
      <c r="J36" s="4503">
        <f t="shared" si="2"/>
        <v>0</v>
      </c>
      <c r="K36" s="4503"/>
      <c r="L36" s="1330">
        <v>10</v>
      </c>
      <c r="M36" s="4504"/>
      <c r="N36" s="4504"/>
      <c r="O36" s="4504"/>
      <c r="P36" s="4505"/>
      <c r="Q36" s="463"/>
      <c r="R36" s="463"/>
      <c r="S36" s="64"/>
      <c r="U36" s="66"/>
      <c r="V36" s="66"/>
      <c r="W36" s="72"/>
      <c r="X36" s="73"/>
      <c r="Y36" s="73"/>
      <c r="Z36" s="66"/>
      <c r="AA36" s="66"/>
      <c r="AB36" s="66"/>
      <c r="AC36" s="66"/>
      <c r="AD36" s="66"/>
      <c r="AE36" s="66"/>
    </row>
    <row r="37" spans="1:31" ht="30" customHeight="1" x14ac:dyDescent="0.35">
      <c r="A37" s="4523"/>
      <c r="B37" s="4512" t="s">
        <v>252</v>
      </c>
      <c r="C37" s="4501"/>
      <c r="D37" s="4501"/>
      <c r="E37" s="4501"/>
      <c r="F37" s="4502"/>
      <c r="G37" s="4502"/>
      <c r="H37" s="4502"/>
      <c r="I37" s="4502"/>
      <c r="J37" s="4503">
        <f t="shared" si="2"/>
        <v>0</v>
      </c>
      <c r="K37" s="4503"/>
      <c r="L37" s="1330">
        <v>10</v>
      </c>
      <c r="M37" s="4504"/>
      <c r="N37" s="4504"/>
      <c r="O37" s="4504"/>
      <c r="P37" s="4505"/>
      <c r="Q37" s="463"/>
      <c r="R37" s="463"/>
      <c r="S37" s="64"/>
      <c r="U37" s="66"/>
      <c r="V37" s="66"/>
      <c r="W37" s="72"/>
      <c r="X37" s="73"/>
      <c r="Y37" s="73"/>
      <c r="Z37" s="66"/>
      <c r="AA37" s="66"/>
      <c r="AB37" s="66"/>
      <c r="AC37" s="66"/>
      <c r="AD37" s="66"/>
      <c r="AE37" s="66"/>
    </row>
    <row r="38" spans="1:31" ht="30" customHeight="1" x14ac:dyDescent="0.35">
      <c r="A38" s="4523"/>
      <c r="B38" s="4512" t="s">
        <v>557</v>
      </c>
      <c r="C38" s="4501"/>
      <c r="D38" s="4501"/>
      <c r="E38" s="4501"/>
      <c r="F38" s="4502"/>
      <c r="G38" s="4502"/>
      <c r="H38" s="4502"/>
      <c r="I38" s="4502"/>
      <c r="J38" s="4503">
        <f t="shared" si="2"/>
        <v>0</v>
      </c>
      <c r="K38" s="4503"/>
      <c r="L38" s="1330">
        <v>10</v>
      </c>
      <c r="M38" s="4504"/>
      <c r="N38" s="4504"/>
      <c r="O38" s="4504"/>
      <c r="P38" s="4505"/>
      <c r="Q38" s="463"/>
      <c r="R38" s="463"/>
      <c r="S38" s="64"/>
      <c r="U38" s="66"/>
      <c r="V38" s="66"/>
      <c r="W38" s="72"/>
      <c r="X38" s="73"/>
      <c r="Y38" s="73"/>
      <c r="Z38" s="66"/>
      <c r="AA38" s="66"/>
      <c r="AB38" s="66"/>
      <c r="AC38" s="66"/>
      <c r="AD38" s="66"/>
      <c r="AE38" s="66"/>
    </row>
    <row r="39" spans="1:31" ht="30" customHeight="1" x14ac:dyDescent="0.35">
      <c r="A39" s="4523"/>
      <c r="B39" s="4512" t="s">
        <v>558</v>
      </c>
      <c r="C39" s="4501"/>
      <c r="D39" s="4501"/>
      <c r="E39" s="4501"/>
      <c r="F39" s="4502"/>
      <c r="G39" s="4502"/>
      <c r="H39" s="4502"/>
      <c r="I39" s="4502"/>
      <c r="J39" s="4503">
        <f t="shared" si="2"/>
        <v>0</v>
      </c>
      <c r="K39" s="4503"/>
      <c r="L39" s="1330">
        <v>10</v>
      </c>
      <c r="M39" s="4504"/>
      <c r="N39" s="4504"/>
      <c r="O39" s="4504"/>
      <c r="P39" s="4505"/>
      <c r="Q39" s="463"/>
      <c r="R39" s="463"/>
      <c r="S39" s="64"/>
      <c r="U39" s="66"/>
      <c r="V39" s="66"/>
      <c r="W39" s="72"/>
      <c r="X39" s="73"/>
      <c r="Y39" s="73"/>
      <c r="Z39" s="66"/>
      <c r="AA39" s="66"/>
      <c r="AB39" s="66"/>
      <c r="AC39" s="66"/>
      <c r="AD39" s="66"/>
      <c r="AE39" s="66"/>
    </row>
    <row r="40" spans="1:31" ht="30" customHeight="1" x14ac:dyDescent="0.35">
      <c r="A40" s="4523"/>
      <c r="B40" s="4512" t="s">
        <v>556</v>
      </c>
      <c r="C40" s="4501"/>
      <c r="D40" s="4501"/>
      <c r="E40" s="4501"/>
      <c r="F40" s="4502"/>
      <c r="G40" s="4502"/>
      <c r="H40" s="4502"/>
      <c r="I40" s="4502"/>
      <c r="J40" s="4503">
        <f t="shared" si="2"/>
        <v>0</v>
      </c>
      <c r="K40" s="4503"/>
      <c r="L40" s="1330">
        <v>10</v>
      </c>
      <c r="M40" s="4504"/>
      <c r="N40" s="4504"/>
      <c r="O40" s="4504"/>
      <c r="P40" s="4505"/>
      <c r="Q40" s="463"/>
      <c r="R40" s="463"/>
      <c r="S40" s="64"/>
      <c r="U40" s="66"/>
      <c r="V40" s="66"/>
      <c r="W40" s="72"/>
      <c r="X40" s="73"/>
      <c r="Y40" s="73"/>
      <c r="Z40" s="66"/>
      <c r="AA40" s="66"/>
      <c r="AB40" s="66"/>
      <c r="AC40" s="66"/>
      <c r="AD40" s="66"/>
      <c r="AE40" s="66"/>
    </row>
    <row r="41" spans="1:31" ht="30" customHeight="1" x14ac:dyDescent="0.35">
      <c r="A41" s="4523"/>
      <c r="B41" s="4512" t="s">
        <v>555</v>
      </c>
      <c r="C41" s="4501"/>
      <c r="D41" s="4501"/>
      <c r="E41" s="4501"/>
      <c r="F41" s="4502"/>
      <c r="G41" s="4502"/>
      <c r="H41" s="4502"/>
      <c r="I41" s="4502"/>
      <c r="J41" s="4503">
        <f t="shared" si="2"/>
        <v>0</v>
      </c>
      <c r="K41" s="4503"/>
      <c r="L41" s="1330">
        <v>10</v>
      </c>
      <c r="M41" s="4504"/>
      <c r="N41" s="4504"/>
      <c r="O41" s="4504"/>
      <c r="P41" s="4505"/>
      <c r="Q41" s="463"/>
      <c r="R41" s="463"/>
      <c r="S41" s="64"/>
      <c r="U41" s="66"/>
      <c r="V41" s="66"/>
      <c r="W41" s="72"/>
      <c r="X41" s="73"/>
      <c r="Y41" s="73"/>
      <c r="Z41" s="66"/>
      <c r="AA41" s="66"/>
      <c r="AB41" s="66"/>
      <c r="AC41" s="66"/>
      <c r="AD41" s="66"/>
      <c r="AE41" s="66"/>
    </row>
    <row r="42" spans="1:31" ht="30" customHeight="1" x14ac:dyDescent="0.35">
      <c r="A42" s="4523"/>
      <c r="B42" s="4512" t="s">
        <v>253</v>
      </c>
      <c r="C42" s="4501"/>
      <c r="D42" s="4501"/>
      <c r="E42" s="4501"/>
      <c r="F42" s="4502"/>
      <c r="G42" s="4502"/>
      <c r="H42" s="4502"/>
      <c r="I42" s="4502"/>
      <c r="J42" s="4503">
        <f>ABS(F42-H42)</f>
        <v>0</v>
      </c>
      <c r="K42" s="4503"/>
      <c r="L42" s="1330">
        <v>10</v>
      </c>
      <c r="M42" s="4504"/>
      <c r="N42" s="4504"/>
      <c r="O42" s="4504"/>
      <c r="P42" s="4505"/>
      <c r="Q42" s="463"/>
      <c r="R42" s="463"/>
      <c r="S42" s="64"/>
      <c r="U42" s="66"/>
      <c r="V42" s="66"/>
      <c r="W42" s="72"/>
      <c r="X42" s="73"/>
      <c r="Y42" s="73"/>
      <c r="Z42" s="66"/>
      <c r="AA42" s="66"/>
      <c r="AB42" s="66"/>
      <c r="AC42" s="66"/>
      <c r="AD42" s="66"/>
      <c r="AE42" s="66"/>
    </row>
    <row r="43" spans="1:31" ht="18" customHeight="1" thickBot="1" x14ac:dyDescent="0.4">
      <c r="A43" s="4523"/>
      <c r="B43" s="4513" t="s">
        <v>1385</v>
      </c>
      <c r="C43" s="4514"/>
      <c r="D43" s="4514"/>
      <c r="E43" s="4514"/>
      <c r="F43" s="4508">
        <f>AVERAGE(F35:G42)</f>
        <v>0</v>
      </c>
      <c r="G43" s="4508"/>
      <c r="H43" s="4508">
        <f>AVERAGE(H35:I42)</f>
        <v>0</v>
      </c>
      <c r="I43" s="4508"/>
      <c r="J43" s="4509">
        <v>0</v>
      </c>
      <c r="K43" s="4509"/>
      <c r="L43" s="744"/>
      <c r="M43" s="4510"/>
      <c r="N43" s="4510"/>
      <c r="O43" s="4510"/>
      <c r="P43" s="4511"/>
      <c r="Q43" s="463"/>
      <c r="R43" s="463"/>
      <c r="S43" s="64"/>
      <c r="U43" s="66"/>
      <c r="V43" s="66"/>
      <c r="W43" s="72"/>
      <c r="X43" s="73"/>
      <c r="Y43" s="73"/>
      <c r="Z43" s="66"/>
      <c r="AA43" s="66"/>
      <c r="AB43" s="66"/>
      <c r="AC43" s="66"/>
      <c r="AD43" s="66"/>
      <c r="AE43" s="66"/>
    </row>
    <row r="44" spans="1:31" ht="9" customHeight="1" x14ac:dyDescent="0.35">
      <c r="A44" s="4515" t="s">
        <v>258</v>
      </c>
      <c r="B44" s="4518"/>
      <c r="C44" s="4519"/>
      <c r="D44" s="4519"/>
      <c r="E44" s="4519"/>
      <c r="F44" s="4519"/>
      <c r="G44" s="4519"/>
      <c r="H44" s="4519"/>
      <c r="I44" s="4519"/>
      <c r="J44" s="4519"/>
      <c r="K44" s="4519"/>
      <c r="L44" s="4519"/>
      <c r="M44" s="4519"/>
      <c r="N44" s="4519"/>
      <c r="O44" s="4519"/>
      <c r="P44" s="4520"/>
      <c r="Q44" s="463"/>
      <c r="R44" s="463"/>
      <c r="S44" s="64"/>
      <c r="U44" s="66"/>
      <c r="V44" s="66"/>
      <c r="W44" s="72"/>
      <c r="X44" s="73"/>
      <c r="Y44" s="73"/>
      <c r="Z44" s="66"/>
      <c r="AA44" s="66"/>
      <c r="AB44" s="66"/>
      <c r="AC44" s="66"/>
      <c r="AD44" s="66"/>
      <c r="AE44" s="66"/>
    </row>
    <row r="45" spans="1:31" ht="30" customHeight="1" x14ac:dyDescent="0.35">
      <c r="A45" s="4516"/>
      <c r="B45" s="4512" t="s">
        <v>254</v>
      </c>
      <c r="C45" s="4501"/>
      <c r="D45" s="4501"/>
      <c r="E45" s="4501"/>
      <c r="F45" s="4502">
        <v>0</v>
      </c>
      <c r="G45" s="4502"/>
      <c r="H45" s="4502">
        <v>0</v>
      </c>
      <c r="I45" s="4502"/>
      <c r="J45" s="4503">
        <f t="shared" ref="J45:J50" si="3">ABS(F45-H45)</f>
        <v>0</v>
      </c>
      <c r="K45" s="4503"/>
      <c r="L45" s="1330">
        <v>10</v>
      </c>
      <c r="M45" s="4504"/>
      <c r="N45" s="4504"/>
      <c r="O45" s="4504"/>
      <c r="P45" s="4505"/>
      <c r="Q45" s="463"/>
      <c r="R45" s="463"/>
      <c r="S45" s="64"/>
      <c r="U45" s="66"/>
      <c r="V45" s="66"/>
      <c r="W45" s="72"/>
      <c r="X45" s="73"/>
      <c r="Y45" s="73"/>
      <c r="Z45" s="66"/>
      <c r="AA45" s="66"/>
      <c r="AB45" s="66"/>
      <c r="AC45" s="66"/>
      <c r="AD45" s="66"/>
      <c r="AE45" s="66"/>
    </row>
    <row r="46" spans="1:31" ht="30" customHeight="1" x14ac:dyDescent="0.35">
      <c r="A46" s="4516"/>
      <c r="B46" s="4512" t="s">
        <v>559</v>
      </c>
      <c r="C46" s="4501"/>
      <c r="D46" s="4501"/>
      <c r="E46" s="4501"/>
      <c r="F46" s="4502"/>
      <c r="G46" s="4502"/>
      <c r="H46" s="4502"/>
      <c r="I46" s="4502"/>
      <c r="J46" s="4503">
        <f t="shared" si="3"/>
        <v>0</v>
      </c>
      <c r="K46" s="4503"/>
      <c r="L46" s="1330">
        <v>10</v>
      </c>
      <c r="M46" s="4504"/>
      <c r="N46" s="4504"/>
      <c r="O46" s="4504"/>
      <c r="P46" s="4505"/>
      <c r="Q46" s="463"/>
      <c r="R46" s="463"/>
      <c r="S46" s="64"/>
      <c r="U46" s="66"/>
      <c r="V46" s="66"/>
      <c r="W46" s="72"/>
      <c r="X46" s="73"/>
      <c r="Y46" s="73"/>
      <c r="Z46" s="66"/>
      <c r="AA46" s="66"/>
      <c r="AB46" s="66"/>
      <c r="AC46" s="66"/>
      <c r="AD46" s="66"/>
      <c r="AE46" s="66"/>
    </row>
    <row r="47" spans="1:31" ht="30" customHeight="1" x14ac:dyDescent="0.35">
      <c r="A47" s="4516"/>
      <c r="B47" s="4512" t="s">
        <v>255</v>
      </c>
      <c r="C47" s="4501"/>
      <c r="D47" s="4501"/>
      <c r="E47" s="4501"/>
      <c r="F47" s="4502"/>
      <c r="G47" s="4502"/>
      <c r="H47" s="4502"/>
      <c r="I47" s="4502"/>
      <c r="J47" s="4503">
        <f t="shared" si="3"/>
        <v>0</v>
      </c>
      <c r="K47" s="4503"/>
      <c r="L47" s="1330">
        <v>10</v>
      </c>
      <c r="M47" s="4504"/>
      <c r="N47" s="4504"/>
      <c r="O47" s="4504"/>
      <c r="P47" s="4505"/>
      <c r="Q47" s="463"/>
      <c r="R47" s="463"/>
      <c r="S47" s="64"/>
      <c r="U47" s="66"/>
      <c r="V47" s="66"/>
      <c r="W47" s="72"/>
      <c r="X47" s="73"/>
      <c r="Y47" s="73"/>
      <c r="Z47" s="66"/>
      <c r="AA47" s="66"/>
      <c r="AB47" s="66"/>
      <c r="AC47" s="66"/>
      <c r="AD47" s="66"/>
      <c r="AE47" s="66"/>
    </row>
    <row r="48" spans="1:31" ht="30" customHeight="1" x14ac:dyDescent="0.35">
      <c r="A48" s="4516"/>
      <c r="B48" s="4512" t="s">
        <v>560</v>
      </c>
      <c r="C48" s="4501"/>
      <c r="D48" s="4501"/>
      <c r="E48" s="4501"/>
      <c r="F48" s="4502"/>
      <c r="G48" s="4502"/>
      <c r="H48" s="4502"/>
      <c r="I48" s="4502"/>
      <c r="J48" s="4503">
        <f t="shared" si="3"/>
        <v>0</v>
      </c>
      <c r="K48" s="4503"/>
      <c r="L48" s="1330">
        <v>10</v>
      </c>
      <c r="M48" s="4504"/>
      <c r="N48" s="4504"/>
      <c r="O48" s="4504"/>
      <c r="P48" s="4505"/>
      <c r="Q48" s="463"/>
      <c r="R48" s="463"/>
      <c r="S48" s="64"/>
      <c r="U48" s="66"/>
      <c r="V48" s="66"/>
      <c r="W48" s="72"/>
      <c r="X48" s="73"/>
      <c r="Y48" s="73"/>
      <c r="Z48" s="66"/>
      <c r="AA48" s="66"/>
      <c r="AB48" s="66"/>
      <c r="AC48" s="66"/>
      <c r="AD48" s="66"/>
      <c r="AE48" s="66"/>
    </row>
    <row r="49" spans="1:31" ht="30" customHeight="1" x14ac:dyDescent="0.35">
      <c r="A49" s="4516"/>
      <c r="B49" s="4512" t="s">
        <v>876</v>
      </c>
      <c r="C49" s="4501"/>
      <c r="D49" s="4501"/>
      <c r="E49" s="4501"/>
      <c r="F49" s="4502"/>
      <c r="G49" s="4502"/>
      <c r="H49" s="4502"/>
      <c r="I49" s="4502"/>
      <c r="J49" s="4503">
        <f t="shared" si="3"/>
        <v>0</v>
      </c>
      <c r="K49" s="4503"/>
      <c r="L49" s="1330">
        <v>10</v>
      </c>
      <c r="M49" s="4504"/>
      <c r="N49" s="4504"/>
      <c r="O49" s="4504"/>
      <c r="P49" s="4505"/>
      <c r="Q49" s="463"/>
      <c r="R49" s="463"/>
      <c r="S49" s="64"/>
      <c r="U49" s="66"/>
      <c r="V49" s="66"/>
      <c r="W49" s="72"/>
      <c r="X49" s="73"/>
      <c r="Y49" s="73"/>
      <c r="Z49" s="66"/>
      <c r="AA49" s="66"/>
      <c r="AB49" s="66"/>
      <c r="AC49" s="66"/>
      <c r="AD49" s="66"/>
      <c r="AE49" s="66"/>
    </row>
    <row r="50" spans="1:31" ht="30" customHeight="1" x14ac:dyDescent="0.35">
      <c r="A50" s="4516"/>
      <c r="B50" s="4500" t="s">
        <v>256</v>
      </c>
      <c r="C50" s="4501"/>
      <c r="D50" s="4501"/>
      <c r="E50" s="4501"/>
      <c r="F50" s="4502"/>
      <c r="G50" s="4502"/>
      <c r="H50" s="4502"/>
      <c r="I50" s="4502"/>
      <c r="J50" s="4503">
        <f t="shared" si="3"/>
        <v>0</v>
      </c>
      <c r="K50" s="4503"/>
      <c r="L50" s="1330">
        <v>10</v>
      </c>
      <c r="M50" s="4504"/>
      <c r="N50" s="4504"/>
      <c r="O50" s="4504"/>
      <c r="P50" s="4505"/>
      <c r="Q50" s="463"/>
      <c r="R50" s="463"/>
      <c r="S50" s="64"/>
      <c r="U50" s="66"/>
      <c r="V50" s="66"/>
      <c r="W50" s="72"/>
      <c r="X50" s="73"/>
      <c r="Y50" s="73"/>
      <c r="Z50" s="66"/>
      <c r="AA50" s="66"/>
      <c r="AB50" s="66"/>
      <c r="AC50" s="66"/>
      <c r="AD50" s="66"/>
      <c r="AE50" s="66"/>
    </row>
    <row r="51" spans="1:31" ht="30" customHeight="1" x14ac:dyDescent="0.35">
      <c r="A51" s="4516"/>
      <c r="B51" s="4500" t="s">
        <v>257</v>
      </c>
      <c r="C51" s="4501"/>
      <c r="D51" s="4501"/>
      <c r="E51" s="4501"/>
      <c r="F51" s="4502"/>
      <c r="G51" s="4502"/>
      <c r="H51" s="4502"/>
      <c r="I51" s="4502"/>
      <c r="J51" s="4503">
        <f>ABS(F51-H51)</f>
        <v>0</v>
      </c>
      <c r="K51" s="4503"/>
      <c r="L51" s="1330">
        <v>10</v>
      </c>
      <c r="M51" s="4504"/>
      <c r="N51" s="4504"/>
      <c r="O51" s="4504"/>
      <c r="P51" s="4505"/>
      <c r="Q51" s="463"/>
      <c r="R51" s="463"/>
      <c r="S51" s="64"/>
      <c r="U51" s="66"/>
      <c r="V51" s="66"/>
      <c r="W51" s="72"/>
      <c r="X51" s="73"/>
      <c r="Y51" s="73"/>
      <c r="Z51" s="66"/>
      <c r="AA51" s="66"/>
      <c r="AB51" s="66"/>
      <c r="AC51" s="66"/>
      <c r="AD51" s="66"/>
      <c r="AE51" s="66"/>
    </row>
    <row r="52" spans="1:31" ht="11.25" customHeight="1" thickBot="1" x14ac:dyDescent="0.4">
      <c r="A52" s="4516"/>
      <c r="B52" s="4506" t="s">
        <v>1385</v>
      </c>
      <c r="C52" s="4507"/>
      <c r="D52" s="4507"/>
      <c r="E52" s="4507"/>
      <c r="F52" s="4508">
        <f>AVERAGE(F45:G51)</f>
        <v>0</v>
      </c>
      <c r="G52" s="4508"/>
      <c r="H52" s="4508">
        <f>AVERAGE(H45:I51)</f>
        <v>0</v>
      </c>
      <c r="I52" s="4508"/>
      <c r="J52" s="4509">
        <v>0</v>
      </c>
      <c r="K52" s="4509"/>
      <c r="L52" s="744"/>
      <c r="M52" s="4510"/>
      <c r="N52" s="4510"/>
      <c r="O52" s="4510"/>
      <c r="P52" s="4511"/>
      <c r="Q52" s="463"/>
      <c r="R52" s="463"/>
      <c r="S52" s="64"/>
      <c r="U52" s="66"/>
      <c r="V52" s="66"/>
      <c r="W52" s="72"/>
      <c r="X52" s="73"/>
      <c r="Y52" s="73"/>
      <c r="Z52" s="66"/>
      <c r="AA52" s="66"/>
      <c r="AB52" s="66"/>
      <c r="AC52" s="66"/>
      <c r="AD52" s="66"/>
      <c r="AE52" s="66"/>
    </row>
    <row r="53" spans="1:31" ht="9" customHeight="1" thickBot="1" x14ac:dyDescent="0.4">
      <c r="A53" s="4517"/>
      <c r="B53" s="4488"/>
      <c r="C53" s="4489"/>
      <c r="D53" s="4489"/>
      <c r="E53" s="4489"/>
      <c r="F53" s="4489"/>
      <c r="G53" s="4489"/>
      <c r="H53" s="4489"/>
      <c r="I53" s="4489"/>
      <c r="J53" s="4489"/>
      <c r="K53" s="4489"/>
      <c r="L53" s="4489"/>
      <c r="M53" s="4489"/>
      <c r="N53" s="4489"/>
      <c r="O53" s="4489"/>
      <c r="P53" s="4490"/>
      <c r="Q53" s="463"/>
      <c r="R53" s="463"/>
      <c r="S53" s="64"/>
      <c r="U53" s="66"/>
      <c r="V53" s="66"/>
      <c r="W53" s="72"/>
      <c r="X53" s="73"/>
      <c r="Y53" s="73"/>
      <c r="Z53" s="66"/>
      <c r="AA53" s="66"/>
      <c r="AB53" s="66"/>
      <c r="AC53" s="66"/>
      <c r="AD53" s="66"/>
      <c r="AE53" s="66"/>
    </row>
    <row r="54" spans="1:31" ht="29.25" customHeight="1" thickTop="1" x14ac:dyDescent="0.35">
      <c r="A54" s="1325"/>
      <c r="B54" s="1325"/>
      <c r="C54" s="1325"/>
      <c r="D54" s="4491" t="s">
        <v>222</v>
      </c>
      <c r="E54" s="4492"/>
      <c r="F54" s="4493">
        <f>SUM(F9:G20)+SUM(F23:G32)+SUM(F35:G42)+SUM(F45:G51)</f>
        <v>0</v>
      </c>
      <c r="G54" s="4493"/>
      <c r="H54" s="4493">
        <f>SUM(H9:I20)+SUM(H23:I32)+SUM(H35:I42)+SUM(H45:I51)</f>
        <v>0</v>
      </c>
      <c r="I54" s="4493"/>
      <c r="J54" s="4493">
        <f>SUM(J8:J53)</f>
        <v>0</v>
      </c>
      <c r="K54" s="4493"/>
      <c r="L54" s="4494">
        <f>SUM(L8:L53)</f>
        <v>370</v>
      </c>
      <c r="M54" s="1325"/>
      <c r="N54" s="1325"/>
      <c r="O54" s="1325"/>
      <c r="P54" s="1325"/>
      <c r="Q54" s="463"/>
      <c r="R54" s="463"/>
      <c r="S54" s="64"/>
      <c r="U54" s="66"/>
      <c r="V54" s="66"/>
      <c r="W54" s="72"/>
      <c r="X54" s="73"/>
      <c r="Y54" s="73"/>
      <c r="Z54" s="66"/>
      <c r="AA54" s="66"/>
      <c r="AB54" s="66"/>
      <c r="AC54" s="66"/>
      <c r="AD54" s="66"/>
      <c r="AE54" s="66"/>
    </row>
    <row r="55" spans="1:31" ht="29.25" customHeight="1" thickBot="1" x14ac:dyDescent="0.4">
      <c r="A55" s="1325"/>
      <c r="B55" s="1325"/>
      <c r="C55" s="1325"/>
      <c r="D55" s="4496" t="s">
        <v>261</v>
      </c>
      <c r="E55" s="4497"/>
      <c r="F55" s="4498">
        <f>AVERAGE(F9:G20,F23:G32,F35:G42,F45:G51)</f>
        <v>0</v>
      </c>
      <c r="G55" s="4498"/>
      <c r="H55" s="4498">
        <f>AVERAGE(H9:I20,H23:I32,H35:I42,H45:I51)</f>
        <v>0</v>
      </c>
      <c r="I55" s="4498"/>
      <c r="J55" s="4499">
        <f>J54/L54</f>
        <v>0</v>
      </c>
      <c r="K55" s="4499"/>
      <c r="L55" s="4495"/>
      <c r="M55" s="1325"/>
      <c r="N55" s="1325"/>
      <c r="O55" s="1325"/>
      <c r="P55" s="1325"/>
      <c r="Q55" s="463"/>
      <c r="R55" s="463"/>
      <c r="S55" s="64"/>
      <c r="U55" s="66"/>
      <c r="V55" s="66"/>
      <c r="W55" s="72"/>
      <c r="X55" s="73"/>
      <c r="Y55" s="73"/>
      <c r="Z55" s="66"/>
      <c r="AA55" s="66"/>
      <c r="AB55" s="66"/>
      <c r="AC55" s="66"/>
      <c r="AD55" s="66"/>
      <c r="AE55" s="66"/>
    </row>
    <row r="56" spans="1:31" ht="15" thickTop="1" x14ac:dyDescent="0.35">
      <c r="A56" s="1325"/>
      <c r="B56" s="1325"/>
      <c r="C56" s="64"/>
      <c r="D56" s="64"/>
      <c r="E56" s="64"/>
      <c r="F56" s="64"/>
      <c r="G56" s="64"/>
      <c r="H56" s="1325"/>
      <c r="I56" s="1325"/>
      <c r="J56" s="1325"/>
      <c r="K56" s="1325"/>
      <c r="L56" s="1325"/>
      <c r="M56" s="1325"/>
      <c r="N56" s="1325"/>
      <c r="O56" s="1325"/>
      <c r="P56" s="1325"/>
      <c r="Q56" s="463"/>
      <c r="R56" s="463"/>
      <c r="S56" s="64"/>
      <c r="U56" s="93"/>
      <c r="V56" s="93"/>
      <c r="W56" s="73"/>
      <c r="X56" s="73"/>
      <c r="Y56" s="73"/>
      <c r="Z56" s="66"/>
      <c r="AA56" s="66"/>
      <c r="AB56" s="66"/>
      <c r="AC56" s="66"/>
      <c r="AD56" s="66"/>
      <c r="AE56" s="66"/>
    </row>
    <row r="57" spans="1:31" ht="17.25" customHeight="1" x14ac:dyDescent="0.35">
      <c r="A57" s="64"/>
      <c r="B57" s="64"/>
      <c r="C57" s="64"/>
      <c r="D57" s="64"/>
      <c r="E57" s="64"/>
      <c r="F57" s="64"/>
      <c r="G57" s="64"/>
      <c r="H57" s="64"/>
      <c r="I57" s="64"/>
      <c r="J57" s="64"/>
      <c r="K57" s="64"/>
      <c r="L57" s="64"/>
      <c r="M57" s="64"/>
      <c r="N57" s="64"/>
      <c r="O57" s="64"/>
      <c r="P57" s="64"/>
      <c r="Q57" s="64"/>
      <c r="R57" s="64"/>
      <c r="S57" s="64"/>
    </row>
    <row r="58" spans="1:31" x14ac:dyDescent="0.35">
      <c r="A58" s="64"/>
      <c r="B58" s="64"/>
      <c r="C58" s="64"/>
      <c r="D58" s="64"/>
      <c r="E58" s="64"/>
      <c r="F58" s="64"/>
      <c r="G58" s="64"/>
      <c r="H58" s="64"/>
      <c r="I58" s="64"/>
      <c r="J58" s="64"/>
      <c r="K58" s="64"/>
      <c r="L58" s="64"/>
      <c r="M58" s="64"/>
      <c r="N58" s="64"/>
      <c r="O58" s="64"/>
      <c r="P58" s="64"/>
      <c r="Q58" s="64"/>
      <c r="R58" s="64"/>
      <c r="S58" s="64"/>
    </row>
    <row r="59" spans="1:31" x14ac:dyDescent="0.35">
      <c r="A59" s="64"/>
      <c r="B59" s="64"/>
      <c r="C59" s="64"/>
      <c r="D59" s="64"/>
      <c r="E59" s="64"/>
      <c r="F59" s="64"/>
      <c r="G59" s="64"/>
      <c r="H59" s="64"/>
      <c r="I59" s="64"/>
      <c r="J59" s="64"/>
      <c r="K59" s="64"/>
      <c r="L59" s="64"/>
      <c r="M59" s="64"/>
      <c r="N59" s="64"/>
      <c r="O59" s="64"/>
      <c r="P59" s="64"/>
      <c r="Q59" s="64"/>
      <c r="R59" s="64"/>
      <c r="S59" s="64"/>
    </row>
    <row r="60" spans="1:31" x14ac:dyDescent="0.35">
      <c r="A60" s="64"/>
      <c r="B60" s="64"/>
      <c r="C60" s="64"/>
      <c r="D60" s="64"/>
      <c r="E60" s="64"/>
      <c r="F60" s="64"/>
      <c r="G60" s="64"/>
      <c r="H60" s="64"/>
      <c r="I60" s="64"/>
      <c r="J60" s="64"/>
      <c r="K60" s="64"/>
      <c r="L60" s="64"/>
      <c r="M60" s="64"/>
      <c r="N60" s="64"/>
      <c r="O60" s="64"/>
      <c r="P60" s="64"/>
      <c r="Q60" s="64"/>
      <c r="R60" s="64"/>
      <c r="S60" s="64"/>
    </row>
    <row r="61" spans="1:31" x14ac:dyDescent="0.35">
      <c r="A61" s="64"/>
      <c r="B61" s="64"/>
      <c r="C61" s="64"/>
      <c r="D61" s="64"/>
      <c r="E61" s="64"/>
      <c r="F61" s="64"/>
      <c r="G61" s="64"/>
      <c r="H61" s="64"/>
      <c r="I61" s="64"/>
      <c r="J61" s="64"/>
      <c r="K61" s="64"/>
      <c r="L61" s="64"/>
      <c r="M61" s="64"/>
      <c r="N61" s="64"/>
      <c r="O61" s="64"/>
      <c r="P61" s="64"/>
      <c r="Q61" s="64"/>
      <c r="R61" s="64"/>
      <c r="S61" s="64"/>
    </row>
    <row r="62" spans="1:31" x14ac:dyDescent="0.35">
      <c r="A62" s="64"/>
      <c r="B62" s="64"/>
      <c r="C62" s="64"/>
      <c r="D62" s="64"/>
      <c r="E62" s="64"/>
      <c r="F62" s="64"/>
      <c r="G62" s="64"/>
      <c r="H62" s="64"/>
      <c r="I62" s="64"/>
      <c r="J62" s="64"/>
      <c r="K62" s="64"/>
      <c r="L62" s="64"/>
      <c r="M62" s="64"/>
      <c r="N62" s="64"/>
      <c r="O62" s="64"/>
      <c r="P62" s="64"/>
      <c r="Q62" s="64"/>
      <c r="R62" s="64"/>
      <c r="S62" s="64"/>
    </row>
    <row r="63" spans="1:31" x14ac:dyDescent="0.35">
      <c r="A63" s="64"/>
      <c r="B63" s="64"/>
      <c r="C63" s="64"/>
      <c r="D63" s="64"/>
      <c r="E63" s="64"/>
      <c r="F63" s="64"/>
      <c r="G63" s="64"/>
      <c r="H63" s="64"/>
      <c r="I63" s="64"/>
      <c r="J63" s="64"/>
      <c r="K63" s="64"/>
      <c r="L63" s="64"/>
      <c r="M63" s="64"/>
      <c r="N63" s="64"/>
      <c r="O63" s="64"/>
      <c r="P63" s="64"/>
      <c r="Q63" s="64"/>
      <c r="R63" s="64"/>
      <c r="S63" s="64"/>
    </row>
    <row r="64" spans="1:31" x14ac:dyDescent="0.35">
      <c r="A64" s="64"/>
      <c r="B64" s="64"/>
      <c r="C64" s="64"/>
      <c r="D64" s="64"/>
      <c r="E64" s="64"/>
      <c r="F64" s="64"/>
      <c r="G64" s="64"/>
      <c r="H64" s="64"/>
      <c r="I64" s="64"/>
      <c r="J64" s="64"/>
      <c r="K64" s="64"/>
      <c r="L64" s="64"/>
      <c r="M64" s="64"/>
      <c r="N64" s="64"/>
      <c r="O64" s="64"/>
      <c r="P64" s="64"/>
      <c r="Q64" s="64"/>
      <c r="R64" s="64"/>
      <c r="S64" s="64"/>
    </row>
    <row r="65" spans="1:19" x14ac:dyDescent="0.35">
      <c r="A65" s="64"/>
      <c r="B65" s="64"/>
      <c r="C65" s="64"/>
      <c r="D65" s="64"/>
      <c r="E65" s="64"/>
      <c r="F65" s="64"/>
      <c r="G65" s="64"/>
      <c r="H65" s="64"/>
      <c r="I65" s="64"/>
      <c r="J65" s="64"/>
      <c r="K65" s="64"/>
      <c r="L65" s="64"/>
      <c r="M65" s="64"/>
      <c r="N65" s="64"/>
      <c r="O65" s="64"/>
      <c r="P65" s="64"/>
      <c r="Q65" s="64"/>
      <c r="R65" s="64"/>
      <c r="S65" s="64"/>
    </row>
    <row r="66" spans="1:19" x14ac:dyDescent="0.35">
      <c r="A66" s="64"/>
      <c r="B66" s="64"/>
      <c r="C66" s="64"/>
      <c r="D66" s="64"/>
      <c r="E66" s="64"/>
      <c r="F66" s="64"/>
      <c r="G66" s="64"/>
      <c r="H66" s="64"/>
      <c r="I66" s="64"/>
      <c r="J66" s="64"/>
      <c r="K66" s="64"/>
      <c r="L66" s="64"/>
      <c r="M66" s="64"/>
      <c r="N66" s="64"/>
      <c r="O66" s="64"/>
      <c r="P66" s="64"/>
      <c r="Q66" s="64"/>
      <c r="R66" s="64"/>
      <c r="S66" s="64"/>
    </row>
    <row r="67" spans="1:19" x14ac:dyDescent="0.35">
      <c r="A67" s="64"/>
      <c r="B67" s="64"/>
      <c r="C67" s="64"/>
      <c r="D67" s="64"/>
      <c r="E67" s="64"/>
      <c r="F67" s="64"/>
      <c r="G67" s="64"/>
      <c r="H67" s="64"/>
      <c r="I67" s="64"/>
      <c r="J67" s="64"/>
      <c r="K67" s="64"/>
      <c r="L67" s="64"/>
      <c r="M67" s="64"/>
      <c r="N67" s="64"/>
      <c r="O67" s="64"/>
      <c r="P67" s="64"/>
      <c r="Q67" s="64"/>
      <c r="R67" s="64"/>
      <c r="S67" s="64"/>
    </row>
    <row r="68" spans="1:19" x14ac:dyDescent="0.35">
      <c r="A68" s="64"/>
      <c r="B68" s="64"/>
      <c r="C68" s="64"/>
      <c r="D68" s="64"/>
      <c r="E68" s="64"/>
      <c r="F68" s="64"/>
      <c r="G68" s="64"/>
      <c r="H68" s="64"/>
      <c r="I68" s="64"/>
      <c r="J68" s="64"/>
      <c r="K68" s="64"/>
      <c r="L68" s="64"/>
      <c r="M68" s="64"/>
      <c r="N68" s="64"/>
      <c r="O68" s="64"/>
      <c r="P68" s="64"/>
      <c r="Q68" s="64"/>
      <c r="R68" s="64"/>
      <c r="S68" s="64"/>
    </row>
    <row r="69" spans="1:19" x14ac:dyDescent="0.35">
      <c r="A69" s="64"/>
      <c r="B69" s="64"/>
      <c r="C69" s="64"/>
      <c r="D69" s="64"/>
      <c r="E69" s="64"/>
      <c r="F69" s="64"/>
      <c r="G69" s="64"/>
      <c r="H69" s="64"/>
      <c r="I69" s="64"/>
      <c r="J69" s="64"/>
      <c r="K69" s="64"/>
      <c r="L69" s="64"/>
      <c r="M69" s="64"/>
      <c r="N69" s="64"/>
      <c r="O69" s="64"/>
      <c r="P69" s="64"/>
      <c r="Q69" s="64"/>
      <c r="R69" s="64"/>
      <c r="S69" s="64"/>
    </row>
    <row r="70" spans="1:19" x14ac:dyDescent="0.35">
      <c r="A70" s="64"/>
      <c r="B70" s="64"/>
      <c r="C70" s="64"/>
      <c r="D70" s="64"/>
      <c r="E70" s="64"/>
      <c r="F70" s="64"/>
      <c r="G70" s="64"/>
      <c r="H70" s="64"/>
      <c r="I70" s="64"/>
      <c r="J70" s="64"/>
      <c r="K70" s="64"/>
      <c r="L70" s="64"/>
      <c r="M70" s="64"/>
      <c r="N70" s="64"/>
      <c r="O70" s="64"/>
      <c r="P70" s="64"/>
      <c r="Q70" s="64"/>
      <c r="R70" s="64"/>
      <c r="S70" s="64"/>
    </row>
    <row r="71" spans="1:19" x14ac:dyDescent="0.35">
      <c r="A71" s="64"/>
      <c r="B71" s="64"/>
      <c r="C71" s="64"/>
      <c r="D71" s="64"/>
      <c r="E71" s="64"/>
      <c r="F71" s="64"/>
      <c r="G71" s="64"/>
      <c r="H71" s="64"/>
      <c r="I71" s="64"/>
      <c r="J71" s="64"/>
      <c r="K71" s="64"/>
      <c r="L71" s="64"/>
      <c r="M71" s="64"/>
      <c r="N71" s="64"/>
      <c r="O71" s="64"/>
      <c r="P71" s="64"/>
      <c r="Q71" s="64"/>
      <c r="R71" s="64"/>
      <c r="S71" s="64"/>
    </row>
    <row r="72" spans="1:19" x14ac:dyDescent="0.35">
      <c r="A72" s="64"/>
      <c r="B72" s="64"/>
      <c r="C72" s="64"/>
      <c r="D72" s="64"/>
      <c r="E72" s="64"/>
      <c r="F72" s="64"/>
      <c r="G72" s="64"/>
      <c r="H72" s="64"/>
      <c r="I72" s="64"/>
      <c r="J72" s="64"/>
      <c r="K72" s="64"/>
      <c r="L72" s="64"/>
      <c r="M72" s="64"/>
      <c r="N72" s="64"/>
      <c r="O72" s="64"/>
      <c r="P72" s="64"/>
      <c r="Q72" s="64"/>
      <c r="R72" s="64"/>
      <c r="S72" s="64"/>
    </row>
    <row r="73" spans="1:19" x14ac:dyDescent="0.35">
      <c r="A73" s="64"/>
      <c r="B73" s="64"/>
      <c r="C73" s="64"/>
      <c r="D73" s="64"/>
      <c r="E73" s="64"/>
      <c r="F73" s="64"/>
      <c r="G73" s="64"/>
      <c r="H73" s="64"/>
      <c r="I73" s="64"/>
      <c r="J73" s="64"/>
      <c r="K73" s="64"/>
      <c r="L73" s="64"/>
      <c r="M73" s="64"/>
      <c r="N73" s="64"/>
      <c r="O73" s="64"/>
      <c r="P73" s="64"/>
      <c r="Q73" s="64"/>
      <c r="R73" s="64"/>
      <c r="S73" s="64"/>
    </row>
    <row r="74" spans="1:19" x14ac:dyDescent="0.35">
      <c r="A74" s="64"/>
      <c r="B74" s="64"/>
      <c r="C74" s="64"/>
      <c r="D74" s="64"/>
      <c r="E74" s="64"/>
      <c r="F74" s="64"/>
      <c r="G74" s="64"/>
      <c r="H74" s="64"/>
      <c r="I74" s="64"/>
      <c r="J74" s="64"/>
      <c r="K74" s="64"/>
      <c r="L74" s="64"/>
      <c r="M74" s="64"/>
      <c r="N74" s="64"/>
      <c r="O74" s="64"/>
      <c r="P74" s="64"/>
      <c r="Q74" s="64"/>
      <c r="R74" s="64"/>
      <c r="S74" s="64"/>
    </row>
    <row r="75" spans="1:19" x14ac:dyDescent="0.35">
      <c r="A75" s="64"/>
      <c r="B75" s="64"/>
      <c r="C75" s="64"/>
      <c r="D75" s="64"/>
      <c r="E75" s="64"/>
      <c r="F75" s="64"/>
      <c r="G75" s="64"/>
      <c r="H75" s="64"/>
      <c r="I75" s="64"/>
      <c r="J75" s="64"/>
      <c r="K75" s="64"/>
      <c r="L75" s="64"/>
      <c r="M75" s="64"/>
      <c r="N75" s="64"/>
      <c r="O75" s="64"/>
      <c r="P75" s="64"/>
      <c r="Q75" s="64"/>
      <c r="R75" s="64"/>
      <c r="S75" s="64"/>
    </row>
    <row r="76" spans="1:19" x14ac:dyDescent="0.35">
      <c r="A76" s="64"/>
      <c r="B76" s="64"/>
      <c r="C76" s="64"/>
      <c r="D76" s="64"/>
      <c r="E76" s="64"/>
      <c r="F76" s="64"/>
      <c r="G76" s="64"/>
      <c r="H76" s="64"/>
      <c r="I76" s="64"/>
      <c r="J76" s="64"/>
      <c r="K76" s="64"/>
      <c r="L76" s="64"/>
      <c r="M76" s="64"/>
      <c r="N76" s="64"/>
      <c r="O76" s="64"/>
      <c r="P76" s="64"/>
      <c r="Q76" s="64"/>
      <c r="R76" s="64"/>
      <c r="S76" s="64"/>
    </row>
    <row r="77" spans="1:19" x14ac:dyDescent="0.35">
      <c r="A77" s="64"/>
      <c r="B77" s="64"/>
      <c r="C77" s="64"/>
      <c r="D77" s="64"/>
      <c r="E77" s="64"/>
      <c r="F77" s="64"/>
      <c r="G77" s="64"/>
      <c r="H77" s="64"/>
      <c r="I77" s="64"/>
      <c r="J77" s="64"/>
      <c r="K77" s="64"/>
      <c r="L77" s="64"/>
      <c r="M77" s="64"/>
      <c r="N77" s="64"/>
      <c r="O77" s="64"/>
      <c r="P77" s="64"/>
      <c r="Q77" s="64"/>
      <c r="R77" s="64"/>
      <c r="S77" s="64"/>
    </row>
    <row r="78" spans="1:19" x14ac:dyDescent="0.35">
      <c r="A78" s="64"/>
      <c r="B78" s="64"/>
      <c r="C78" s="64"/>
      <c r="D78" s="64"/>
      <c r="E78" s="64"/>
      <c r="F78" s="64"/>
      <c r="G78" s="64"/>
      <c r="H78" s="64"/>
      <c r="I78" s="64"/>
      <c r="J78" s="64"/>
      <c r="K78" s="64"/>
      <c r="L78" s="64"/>
      <c r="M78" s="64"/>
      <c r="N78" s="64"/>
      <c r="O78" s="64"/>
      <c r="P78" s="64"/>
      <c r="Q78" s="64"/>
      <c r="R78" s="64"/>
      <c r="S78" s="64"/>
    </row>
    <row r="79" spans="1:19" x14ac:dyDescent="0.35">
      <c r="A79" s="64"/>
      <c r="B79" s="64"/>
      <c r="C79" s="64"/>
      <c r="D79" s="64"/>
      <c r="E79" s="64"/>
      <c r="F79" s="64"/>
      <c r="G79" s="64"/>
      <c r="H79" s="64"/>
      <c r="I79" s="64"/>
      <c r="J79" s="64"/>
      <c r="K79" s="64"/>
      <c r="L79" s="64"/>
      <c r="M79" s="64"/>
      <c r="N79" s="64"/>
      <c r="O79" s="64"/>
      <c r="P79" s="64"/>
      <c r="Q79" s="64"/>
      <c r="R79" s="64"/>
      <c r="S79" s="64"/>
    </row>
    <row r="80" spans="1:19" x14ac:dyDescent="0.35">
      <c r="A80" s="64"/>
      <c r="B80" s="64"/>
      <c r="C80" s="64"/>
      <c r="D80" s="64"/>
      <c r="E80" s="64"/>
      <c r="F80" s="64"/>
      <c r="G80" s="64"/>
      <c r="H80" s="64"/>
      <c r="I80" s="64"/>
      <c r="J80" s="64"/>
      <c r="K80" s="64"/>
      <c r="L80" s="64"/>
      <c r="M80" s="64"/>
      <c r="N80" s="64"/>
      <c r="O80" s="64"/>
      <c r="P80" s="64"/>
      <c r="Q80" s="64"/>
      <c r="R80" s="64"/>
      <c r="S80" s="64"/>
    </row>
  </sheetData>
  <mergeCells count="242">
    <mergeCell ref="B33:E33"/>
    <mergeCell ref="F33:G33"/>
    <mergeCell ref="A5:B5"/>
    <mergeCell ref="C5:P5"/>
    <mergeCell ref="F7:G7"/>
    <mergeCell ref="H7:I7"/>
    <mergeCell ref="J6:K7"/>
    <mergeCell ref="L6:L7"/>
    <mergeCell ref="F11:G11"/>
    <mergeCell ref="H11:I11"/>
    <mergeCell ref="J11:K11"/>
    <mergeCell ref="M11:P11"/>
    <mergeCell ref="B12:E12"/>
    <mergeCell ref="F12:G12"/>
    <mergeCell ref="H12:I12"/>
    <mergeCell ref="J12:K12"/>
    <mergeCell ref="M12:P12"/>
    <mergeCell ref="B13:E13"/>
    <mergeCell ref="F13:G13"/>
    <mergeCell ref="H13:I13"/>
    <mergeCell ref="J13:K13"/>
    <mergeCell ref="M13:P13"/>
    <mergeCell ref="B14:E14"/>
    <mergeCell ref="F14:G14"/>
    <mergeCell ref="D1:G1"/>
    <mergeCell ref="I1:J1"/>
    <mergeCell ref="L1:M1"/>
    <mergeCell ref="D2:G2"/>
    <mergeCell ref="I2:J2"/>
    <mergeCell ref="L2:M2"/>
    <mergeCell ref="F6:G6"/>
    <mergeCell ref="H6:I6"/>
    <mergeCell ref="A4:G4"/>
    <mergeCell ref="H4:P4"/>
    <mergeCell ref="D3:G3"/>
    <mergeCell ref="B6:E7"/>
    <mergeCell ref="M6:P7"/>
    <mergeCell ref="A6:A7"/>
    <mergeCell ref="A8:A21"/>
    <mergeCell ref="B8:P8"/>
    <mergeCell ref="B9:E9"/>
    <mergeCell ref="F9:G9"/>
    <mergeCell ref="H9:I9"/>
    <mergeCell ref="J9:K9"/>
    <mergeCell ref="M9:P9"/>
    <mergeCell ref="B10:E10"/>
    <mergeCell ref="F10:G10"/>
    <mergeCell ref="H10:I10"/>
    <mergeCell ref="J10:K10"/>
    <mergeCell ref="M10:P10"/>
    <mergeCell ref="B11:E11"/>
    <mergeCell ref="H14:I14"/>
    <mergeCell ref="J14:K14"/>
    <mergeCell ref="M14:P14"/>
    <mergeCell ref="B15:E15"/>
    <mergeCell ref="F15:G15"/>
    <mergeCell ref="H15:I15"/>
    <mergeCell ref="J15:K15"/>
    <mergeCell ref="M15:P15"/>
    <mergeCell ref="B16:E16"/>
    <mergeCell ref="F16:G16"/>
    <mergeCell ref="H16:I16"/>
    <mergeCell ref="J16:K16"/>
    <mergeCell ref="M16:P16"/>
    <mergeCell ref="B17:E17"/>
    <mergeCell ref="F17:G17"/>
    <mergeCell ref="H17:I17"/>
    <mergeCell ref="J17:K17"/>
    <mergeCell ref="M17:P17"/>
    <mergeCell ref="B18:E18"/>
    <mergeCell ref="F18:G18"/>
    <mergeCell ref="H18:I18"/>
    <mergeCell ref="J18:K18"/>
    <mergeCell ref="M18:P18"/>
    <mergeCell ref="B19:E19"/>
    <mergeCell ref="F19:G19"/>
    <mergeCell ref="H19:I19"/>
    <mergeCell ref="J19:K19"/>
    <mergeCell ref="M19:P19"/>
    <mergeCell ref="B20:E20"/>
    <mergeCell ref="F20:G20"/>
    <mergeCell ref="H20:I20"/>
    <mergeCell ref="J20:K20"/>
    <mergeCell ref="M20:P20"/>
    <mergeCell ref="B21:E21"/>
    <mergeCell ref="F21:G21"/>
    <mergeCell ref="H21:I21"/>
    <mergeCell ref="J21:K21"/>
    <mergeCell ref="M21:P21"/>
    <mergeCell ref="A22:A33"/>
    <mergeCell ref="B22:P22"/>
    <mergeCell ref="B23:E23"/>
    <mergeCell ref="F23:G23"/>
    <mergeCell ref="H23:I23"/>
    <mergeCell ref="J23:K23"/>
    <mergeCell ref="M23:P23"/>
    <mergeCell ref="B24:E24"/>
    <mergeCell ref="F24:G24"/>
    <mergeCell ref="H24:I24"/>
    <mergeCell ref="J24:K24"/>
    <mergeCell ref="M24:P24"/>
    <mergeCell ref="B25:E25"/>
    <mergeCell ref="F25:G25"/>
    <mergeCell ref="H25:I25"/>
    <mergeCell ref="J25:K25"/>
    <mergeCell ref="M25:P25"/>
    <mergeCell ref="B26:E26"/>
    <mergeCell ref="F26:G26"/>
    <mergeCell ref="H26:I26"/>
    <mergeCell ref="J26:K26"/>
    <mergeCell ref="M26:P26"/>
    <mergeCell ref="B27:E27"/>
    <mergeCell ref="F27:G27"/>
    <mergeCell ref="H27:I27"/>
    <mergeCell ref="J27:K27"/>
    <mergeCell ref="M27:P27"/>
    <mergeCell ref="B28:E28"/>
    <mergeCell ref="F28:G28"/>
    <mergeCell ref="H28:I28"/>
    <mergeCell ref="J28:K28"/>
    <mergeCell ref="M28:P28"/>
    <mergeCell ref="B29:E29"/>
    <mergeCell ref="F29:G29"/>
    <mergeCell ref="H29:I29"/>
    <mergeCell ref="J29:K29"/>
    <mergeCell ref="M29:P29"/>
    <mergeCell ref="B30:E30"/>
    <mergeCell ref="F30:G30"/>
    <mergeCell ref="H30:I30"/>
    <mergeCell ref="J30:K30"/>
    <mergeCell ref="M30:P30"/>
    <mergeCell ref="B31:E31"/>
    <mergeCell ref="F31:G31"/>
    <mergeCell ref="H31:I31"/>
    <mergeCell ref="J31:K31"/>
    <mergeCell ref="M31:P31"/>
    <mergeCell ref="B32:E32"/>
    <mergeCell ref="F32:G32"/>
    <mergeCell ref="H32:I32"/>
    <mergeCell ref="J32:K32"/>
    <mergeCell ref="M32:P32"/>
    <mergeCell ref="H33:I33"/>
    <mergeCell ref="J33:K33"/>
    <mergeCell ref="A34:A43"/>
    <mergeCell ref="B34:P34"/>
    <mergeCell ref="B35:E35"/>
    <mergeCell ref="F35:G35"/>
    <mergeCell ref="H35:I35"/>
    <mergeCell ref="J35:K35"/>
    <mergeCell ref="M35:P35"/>
    <mergeCell ref="B36:E36"/>
    <mergeCell ref="F36:G36"/>
    <mergeCell ref="H36:I36"/>
    <mergeCell ref="J36:K36"/>
    <mergeCell ref="M36:P36"/>
    <mergeCell ref="B37:E37"/>
    <mergeCell ref="F37:G37"/>
    <mergeCell ref="H37:I37"/>
    <mergeCell ref="J37:K37"/>
    <mergeCell ref="M37:P37"/>
    <mergeCell ref="B38:E38"/>
    <mergeCell ref="F38:G38"/>
    <mergeCell ref="H38:I38"/>
    <mergeCell ref="J38:K38"/>
    <mergeCell ref="M38:P38"/>
    <mergeCell ref="B39:E39"/>
    <mergeCell ref="F39:G39"/>
    <mergeCell ref="H39:I39"/>
    <mergeCell ref="J39:K39"/>
    <mergeCell ref="M39:P39"/>
    <mergeCell ref="B40:E40"/>
    <mergeCell ref="F40:G40"/>
    <mergeCell ref="H40:I40"/>
    <mergeCell ref="J40:K40"/>
    <mergeCell ref="M40:P40"/>
    <mergeCell ref="B41:E41"/>
    <mergeCell ref="F41:G41"/>
    <mergeCell ref="H41:I41"/>
    <mergeCell ref="J41:K41"/>
    <mergeCell ref="M41:P41"/>
    <mergeCell ref="B42:E42"/>
    <mergeCell ref="F42:G42"/>
    <mergeCell ref="H42:I42"/>
    <mergeCell ref="J42:K42"/>
    <mergeCell ref="M42:P42"/>
    <mergeCell ref="B43:E43"/>
    <mergeCell ref="F43:G43"/>
    <mergeCell ref="H43:I43"/>
    <mergeCell ref="J43:K43"/>
    <mergeCell ref="M43:P43"/>
    <mergeCell ref="A44:A53"/>
    <mergeCell ref="B44:P44"/>
    <mergeCell ref="B45:E45"/>
    <mergeCell ref="F45:G45"/>
    <mergeCell ref="H45:I45"/>
    <mergeCell ref="J45:K45"/>
    <mergeCell ref="M45:P45"/>
    <mergeCell ref="B46:E46"/>
    <mergeCell ref="F46:G46"/>
    <mergeCell ref="H46:I46"/>
    <mergeCell ref="J46:K46"/>
    <mergeCell ref="M46:P46"/>
    <mergeCell ref="B47:E47"/>
    <mergeCell ref="F47:G47"/>
    <mergeCell ref="H47:I47"/>
    <mergeCell ref="J47:K47"/>
    <mergeCell ref="M47:P47"/>
    <mergeCell ref="B48:E48"/>
    <mergeCell ref="F48:G48"/>
    <mergeCell ref="H48:I48"/>
    <mergeCell ref="J48:K48"/>
    <mergeCell ref="M48:P48"/>
    <mergeCell ref="B49:E49"/>
    <mergeCell ref="F49:G49"/>
    <mergeCell ref="H49:I49"/>
    <mergeCell ref="J49:K49"/>
    <mergeCell ref="M49:P49"/>
    <mergeCell ref="B50:E50"/>
    <mergeCell ref="F50:G50"/>
    <mergeCell ref="H50:I50"/>
    <mergeCell ref="J50:K50"/>
    <mergeCell ref="M50:P50"/>
    <mergeCell ref="B51:E51"/>
    <mergeCell ref="F51:G51"/>
    <mergeCell ref="H51:I51"/>
    <mergeCell ref="J51:K51"/>
    <mergeCell ref="M51:P51"/>
    <mergeCell ref="B52:E52"/>
    <mergeCell ref="F52:G52"/>
    <mergeCell ref="H52:I52"/>
    <mergeCell ref="J52:K52"/>
    <mergeCell ref="M52:P52"/>
    <mergeCell ref="B53:P53"/>
    <mergeCell ref="D54:E54"/>
    <mergeCell ref="F54:G54"/>
    <mergeCell ref="H54:I54"/>
    <mergeCell ref="J54:K54"/>
    <mergeCell ref="L54:L55"/>
    <mergeCell ref="D55:E55"/>
    <mergeCell ref="F55:G55"/>
    <mergeCell ref="H55:I55"/>
    <mergeCell ref="J55:K5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A00-000000000000}">
      <formula1>AvancementTheme</formula1>
    </dataValidation>
  </dataValidations>
  <hyperlinks>
    <hyperlink ref="O1" location="DPDV_03CK1" display="PdV" xr:uid="{00000000-0004-0000-1A00-000000000000}"/>
    <hyperlink ref="P1" location="DKPI_03CK1" display="KPI's" xr:uid="{00000000-0004-0000-1A00-000001000000}"/>
  </hyperlinks>
  <pageMargins left="0.70866141732283472" right="0.70866141732283472" top="0.74803149606299213" bottom="0.74803149606299213" header="0.31496062992125984" footer="0.31496062992125984"/>
  <pageSetup paperSize="9" scale="34" orientation="portrait" r:id="rId1"/>
  <headerFooter>
    <oddHeader>&amp;LPAD Methodology (c) 2013-2014&amp;RStrategic Management Workshop</oddHeader>
    <oddFooter>&amp;L&amp;F&amp;C&amp;A&amp;RSituation au : &amp;D - page : &amp;P/&amp;N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38">
    <tabColor theme="9" tint="-0.249977111117893"/>
    <pageSetUpPr fitToPage="1"/>
  </sheetPr>
  <dimension ref="A1:AA48"/>
  <sheetViews>
    <sheetView showGridLines="0" zoomScaleNormal="100" workbookViewId="0">
      <pane xSplit="3" ySplit="9" topLeftCell="D10" activePane="bottomRight" state="frozen"/>
      <selection activeCell="A16" sqref="A16:C16"/>
      <selection pane="topRight" activeCell="A16" sqref="A16:C16"/>
      <selection pane="bottomLeft" activeCell="A16" sqref="A16:C16"/>
      <selection pane="bottomRight" activeCell="A16" sqref="A16:C16"/>
    </sheetView>
  </sheetViews>
  <sheetFormatPr baseColWidth="10" defaultColWidth="11.453125" defaultRowHeight="14.5" x14ac:dyDescent="0.35"/>
  <cols>
    <col min="1" max="1" width="11.453125" style="60" customWidth="1"/>
    <col min="2" max="2" width="11.26953125" style="60" customWidth="1"/>
    <col min="3" max="3" width="8.54296875" style="60" customWidth="1"/>
    <col min="4" max="26" width="6.7265625" style="60" customWidth="1"/>
    <col min="27" max="16384" width="11.453125" style="60"/>
  </cols>
  <sheetData>
    <row r="1" spans="1:27"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t="s">
        <v>2</v>
      </c>
      <c r="Y1" s="479" t="s">
        <v>3</v>
      </c>
      <c r="Z1" s="389"/>
      <c r="AA1" s="458"/>
    </row>
    <row r="2" spans="1:27" s="58" customFormat="1" ht="18" customHeight="1" x14ac:dyDescent="0.35">
      <c r="A2" s="393"/>
      <c r="B2" s="393"/>
      <c r="C2" s="393"/>
      <c r="D2" s="393"/>
      <c r="E2" s="3822" t="str">
        <f>NomClient</f>
        <v xml:space="preserve">EQUINIX </v>
      </c>
      <c r="F2" s="3823"/>
      <c r="G2" s="3823"/>
      <c r="H2" s="3823"/>
      <c r="I2" s="3823"/>
      <c r="J2" s="3824"/>
      <c r="K2" s="393"/>
      <c r="L2" s="3345" t="s">
        <v>407</v>
      </c>
      <c r="M2" s="3826"/>
      <c r="N2" s="3826"/>
      <c r="O2" s="3346"/>
      <c r="P2" s="393"/>
      <c r="Q2" s="393"/>
      <c r="R2" s="3347">
        <v>42534.898958333331</v>
      </c>
      <c r="S2" s="3825"/>
      <c r="T2" s="3825"/>
      <c r="U2" s="3348"/>
      <c r="V2" s="699"/>
      <c r="W2" s="699"/>
      <c r="X2" s="451">
        <f>IF(LEN(DPDV_04GF1)&gt;0,LEN(DPDV_04GF1),0-PDV_NBmini)</f>
        <v>18</v>
      </c>
      <c r="Y2" s="451">
        <f>IF(LEN(DKPI_04GF1)&gt;0,LEN(DKPI_04GF1),0-KPI_NBmini)</f>
        <v>18</v>
      </c>
      <c r="Z2" s="699"/>
      <c r="AA2" s="459"/>
    </row>
    <row r="3" spans="1:27" ht="12.75" customHeight="1" thickBot="1" x14ac:dyDescent="0.4">
      <c r="A3" s="396"/>
      <c r="B3" s="396"/>
      <c r="C3" s="396"/>
      <c r="D3" s="3835" t="s">
        <v>1792</v>
      </c>
      <c r="E3" s="3835"/>
      <c r="F3" s="3835"/>
      <c r="G3" s="3835"/>
      <c r="H3" s="3835"/>
      <c r="I3" s="3835"/>
      <c r="J3" s="3835"/>
      <c r="K3" s="396"/>
      <c r="L3" s="396"/>
      <c r="M3" s="396"/>
      <c r="N3" s="396"/>
      <c r="O3" s="396"/>
      <c r="P3" s="396"/>
      <c r="Q3" s="393"/>
      <c r="R3" s="393"/>
      <c r="S3" s="393"/>
      <c r="T3" s="393"/>
      <c r="U3" s="393"/>
      <c r="V3" s="393"/>
      <c r="W3" s="393"/>
      <c r="X3" s="393"/>
      <c r="Y3" s="393"/>
      <c r="Z3" s="393"/>
    </row>
    <row r="4" spans="1:27" s="1" customFormat="1" ht="24.75" customHeight="1" thickBot="1" x14ac:dyDescent="0.4">
      <c r="A4" s="3842" t="str">
        <f>Parametre!B26 &amp; "  : "</f>
        <v xml:space="preserve">Marchés cibles  : </v>
      </c>
      <c r="B4" s="3842"/>
      <c r="C4" s="3842"/>
      <c r="D4" s="3842"/>
      <c r="E4" s="3842"/>
      <c r="F4" s="3842"/>
      <c r="G4" s="3842"/>
      <c r="H4" s="3842"/>
      <c r="I4" s="3842"/>
      <c r="J4" s="3842"/>
      <c r="K4" s="3840" t="s">
        <v>2344</v>
      </c>
      <c r="L4" s="3840"/>
      <c r="M4" s="3840"/>
      <c r="N4" s="3840"/>
      <c r="O4" s="3840"/>
      <c r="P4" s="3840"/>
      <c r="Q4" s="3840"/>
      <c r="R4" s="3840"/>
      <c r="S4" s="3840"/>
      <c r="T4" s="3840"/>
      <c r="U4" s="3840"/>
      <c r="V4" s="3840"/>
      <c r="W4" s="3840"/>
      <c r="X4" s="3840"/>
      <c r="Y4" s="3840"/>
      <c r="Z4" s="3841"/>
      <c r="AA4" s="444"/>
    </row>
    <row r="5" spans="1:27" ht="37.5" customHeight="1" thickBot="1" x14ac:dyDescent="0.4">
      <c r="A5" s="4590" t="s">
        <v>14</v>
      </c>
      <c r="B5" s="4590"/>
      <c r="C5" s="4591" t="s">
        <v>1983</v>
      </c>
      <c r="D5" s="4591"/>
      <c r="E5" s="4591"/>
      <c r="F5" s="4591"/>
      <c r="G5" s="4591"/>
      <c r="H5" s="4591"/>
      <c r="I5" s="4591"/>
      <c r="J5" s="4591"/>
      <c r="K5" s="4591"/>
      <c r="L5" s="4591"/>
      <c r="M5" s="4591"/>
      <c r="N5" s="4591"/>
      <c r="O5" s="4591"/>
      <c r="P5" s="4591"/>
      <c r="Q5" s="4591"/>
      <c r="R5" s="4591"/>
      <c r="S5" s="4591"/>
      <c r="T5" s="4591"/>
      <c r="U5" s="4591"/>
      <c r="V5" s="4591"/>
      <c r="W5" s="4591"/>
      <c r="X5" s="4591"/>
      <c r="Y5" s="4591"/>
      <c r="Z5" s="4591"/>
      <c r="AA5" s="64"/>
    </row>
    <row r="6" spans="1:27" ht="17.25" customHeight="1" x14ac:dyDescent="0.35">
      <c r="A6" s="3836"/>
      <c r="B6" s="3837" t="s">
        <v>359</v>
      </c>
      <c r="C6" s="3832"/>
      <c r="D6" s="3831" t="s">
        <v>350</v>
      </c>
      <c r="E6" s="3831"/>
      <c r="F6" s="3831" t="s">
        <v>351</v>
      </c>
      <c r="G6" s="3831"/>
      <c r="H6" s="3831" t="s">
        <v>352</v>
      </c>
      <c r="I6" s="3831"/>
      <c r="J6" s="3831" t="s">
        <v>353</v>
      </c>
      <c r="K6" s="3831"/>
      <c r="L6" s="3831" t="s">
        <v>354</v>
      </c>
      <c r="M6" s="3845"/>
      <c r="N6" s="3829"/>
      <c r="O6" s="3830"/>
      <c r="P6" s="3837" t="s">
        <v>577</v>
      </c>
      <c r="Q6" s="3832"/>
      <c r="R6" s="3832"/>
      <c r="S6" s="3831" t="s">
        <v>355</v>
      </c>
      <c r="T6" s="3831"/>
      <c r="U6" s="3831" t="s">
        <v>356</v>
      </c>
      <c r="V6" s="3831"/>
      <c r="W6" s="3831" t="s">
        <v>357</v>
      </c>
      <c r="X6" s="3831"/>
      <c r="Y6" s="3831" t="s">
        <v>578</v>
      </c>
      <c r="Z6" s="3845"/>
      <c r="AA6" s="3828"/>
    </row>
    <row r="7" spans="1:27" ht="18" customHeight="1" thickBot="1" x14ac:dyDescent="0.4">
      <c r="A7" s="3836"/>
      <c r="B7" s="3838"/>
      <c r="C7" s="3839"/>
      <c r="D7" s="3834">
        <v>1</v>
      </c>
      <c r="E7" s="3834"/>
      <c r="F7" s="3834">
        <v>2</v>
      </c>
      <c r="G7" s="3834"/>
      <c r="H7" s="3834">
        <v>3</v>
      </c>
      <c r="I7" s="3834"/>
      <c r="J7" s="3834">
        <v>4</v>
      </c>
      <c r="K7" s="3834"/>
      <c r="L7" s="3834">
        <v>5</v>
      </c>
      <c r="M7" s="3844"/>
      <c r="N7" s="3829"/>
      <c r="O7" s="3830"/>
      <c r="P7" s="3838"/>
      <c r="Q7" s="3839"/>
      <c r="R7" s="3839"/>
      <c r="S7" s="3846"/>
      <c r="T7" s="3846"/>
      <c r="U7" s="3847"/>
      <c r="V7" s="3847"/>
      <c r="W7" s="3848"/>
      <c r="X7" s="3848"/>
      <c r="Y7" s="3849"/>
      <c r="Z7" s="3850"/>
      <c r="AA7" s="3828"/>
    </row>
    <row r="8" spans="1:27" ht="36" customHeight="1" thickBot="1" x14ac:dyDescent="0.4">
      <c r="A8" s="4554" t="s">
        <v>2118</v>
      </c>
      <c r="B8" s="4554"/>
      <c r="C8" s="4554"/>
      <c r="D8" s="4554"/>
      <c r="E8" s="4554"/>
      <c r="F8" s="4554"/>
      <c r="G8" s="4554"/>
      <c r="H8" s="4554"/>
      <c r="I8" s="4554"/>
      <c r="J8" s="4554"/>
      <c r="K8" s="4554"/>
      <c r="L8" s="4554"/>
      <c r="M8" s="4554"/>
      <c r="N8" s="4554"/>
      <c r="O8" s="4554"/>
      <c r="P8" s="4554"/>
      <c r="Q8" s="4554"/>
      <c r="R8" s="4554"/>
      <c r="S8" s="4554"/>
      <c r="T8" s="4554"/>
      <c r="U8" s="4554"/>
      <c r="V8" s="4554"/>
      <c r="W8" s="4554"/>
      <c r="X8" s="4554"/>
      <c r="Y8" s="4554"/>
      <c r="Z8" s="4554"/>
      <c r="AA8" s="2486"/>
    </row>
    <row r="9" spans="1:27" s="52" customFormat="1" ht="90.75" customHeight="1" thickTop="1" thickBot="1" x14ac:dyDescent="0.4">
      <c r="A9" s="3802" t="str">
        <f>NomProd1 &amp;
" Repartition Regionale France"</f>
        <v>EQUINIX Repartition Regionale France</v>
      </c>
      <c r="B9" s="3803"/>
      <c r="C9" s="794" t="s">
        <v>222</v>
      </c>
      <c r="D9" s="771" t="s">
        <v>362</v>
      </c>
      <c r="E9" s="771" t="s">
        <v>363</v>
      </c>
      <c r="F9" s="771" t="s">
        <v>364</v>
      </c>
      <c r="G9" s="771" t="s">
        <v>365</v>
      </c>
      <c r="H9" s="771" t="s">
        <v>366</v>
      </c>
      <c r="I9" s="771" t="s">
        <v>367</v>
      </c>
      <c r="J9" s="771" t="s">
        <v>368</v>
      </c>
      <c r="K9" s="771" t="s">
        <v>369</v>
      </c>
      <c r="L9" s="771" t="s">
        <v>370</v>
      </c>
      <c r="M9" s="771" t="s">
        <v>371</v>
      </c>
      <c r="N9" s="771" t="s">
        <v>372</v>
      </c>
      <c r="O9" s="771" t="s">
        <v>373</v>
      </c>
      <c r="P9" s="771" t="s">
        <v>374</v>
      </c>
      <c r="Q9" s="771" t="s">
        <v>375</v>
      </c>
      <c r="R9" s="771" t="s">
        <v>376</v>
      </c>
      <c r="S9" s="771" t="s">
        <v>377</v>
      </c>
      <c r="T9" s="771" t="s">
        <v>378</v>
      </c>
      <c r="U9" s="771" t="s">
        <v>379</v>
      </c>
      <c r="V9" s="771" t="s">
        <v>380</v>
      </c>
      <c r="W9" s="771" t="s">
        <v>1816</v>
      </c>
      <c r="X9" s="771" t="s">
        <v>1059</v>
      </c>
      <c r="Y9" s="701"/>
      <c r="Z9" s="701"/>
      <c r="AA9" s="701"/>
    </row>
    <row r="10" spans="1:27" s="52" customFormat="1" ht="30.75" customHeight="1" thickBot="1" x14ac:dyDescent="0.4">
      <c r="A10" s="4586" t="s">
        <v>580</v>
      </c>
      <c r="B10" s="4587"/>
      <c r="C10" s="798">
        <f>SUM(D10:X10)</f>
        <v>1.0000000000000004</v>
      </c>
      <c r="D10" s="813">
        <v>0.25</v>
      </c>
      <c r="E10" s="814">
        <v>0.11</v>
      </c>
      <c r="F10" s="814">
        <v>0.06</v>
      </c>
      <c r="G10" s="814">
        <v>0.06</v>
      </c>
      <c r="H10" s="814">
        <v>0.06</v>
      </c>
      <c r="I10" s="814">
        <v>0.05</v>
      </c>
      <c r="J10" s="814">
        <v>0.04</v>
      </c>
      <c r="K10" s="814">
        <v>0.04</v>
      </c>
      <c r="L10" s="814">
        <v>0.04</v>
      </c>
      <c r="M10" s="814">
        <v>0.03</v>
      </c>
      <c r="N10" s="814">
        <v>0.03</v>
      </c>
      <c r="O10" s="814">
        <v>0.03</v>
      </c>
      <c r="P10" s="814">
        <v>0.03</v>
      </c>
      <c r="Q10" s="814">
        <v>0.03</v>
      </c>
      <c r="R10" s="814">
        <v>0.03</v>
      </c>
      <c r="S10" s="814">
        <v>0.03</v>
      </c>
      <c r="T10" s="814">
        <v>0.02</v>
      </c>
      <c r="U10" s="814">
        <v>0.02</v>
      </c>
      <c r="V10" s="814">
        <v>0.02</v>
      </c>
      <c r="W10" s="814">
        <v>0.01</v>
      </c>
      <c r="X10" s="815">
        <v>0.01</v>
      </c>
      <c r="Y10" s="701"/>
      <c r="Z10" s="701"/>
      <c r="AA10" s="701"/>
    </row>
    <row r="11" spans="1:27" ht="17.25" customHeight="1" thickBot="1" x14ac:dyDescent="0.4">
      <c r="A11" s="4588" t="str">
        <f>"% CA client en " &amp; AnReference</f>
        <v>% CA client en 2018</v>
      </c>
      <c r="B11" s="4589"/>
      <c r="C11" s="799">
        <f>SUM(D11:X11)</f>
        <v>0.91</v>
      </c>
      <c r="D11" s="2450">
        <v>0.7</v>
      </c>
      <c r="E11" s="2451">
        <v>0.08</v>
      </c>
      <c r="F11" s="2451">
        <v>0.01</v>
      </c>
      <c r="G11" s="2451">
        <v>0.01</v>
      </c>
      <c r="H11" s="2451">
        <v>0.01</v>
      </c>
      <c r="I11" s="2451">
        <v>0</v>
      </c>
      <c r="J11" s="2451"/>
      <c r="K11" s="2451"/>
      <c r="L11" s="2451">
        <v>0.03</v>
      </c>
      <c r="M11" s="2451">
        <v>0.01</v>
      </c>
      <c r="N11" s="2451"/>
      <c r="O11" s="2451"/>
      <c r="P11" s="2451">
        <v>0.05</v>
      </c>
      <c r="Q11" s="2451"/>
      <c r="R11" s="2451"/>
      <c r="S11" s="2451"/>
      <c r="T11" s="2451"/>
      <c r="U11" s="2451"/>
      <c r="V11" s="2451"/>
      <c r="W11" s="2451">
        <v>0.01</v>
      </c>
      <c r="X11" s="2451"/>
      <c r="Y11" s="64"/>
      <c r="Z11" s="64"/>
      <c r="AA11" s="64"/>
    </row>
    <row r="12" spans="1:27" ht="29.25" customHeight="1" x14ac:dyDescent="0.35">
      <c r="A12" s="4555" t="s">
        <v>1860</v>
      </c>
      <c r="B12" s="4556"/>
      <c r="C12" s="4557"/>
      <c r="D12" s="2073"/>
      <c r="E12" s="2073"/>
      <c r="F12" s="2073"/>
      <c r="G12" s="2073"/>
      <c r="H12" s="2073"/>
      <c r="I12" s="2073"/>
      <c r="J12" s="2073"/>
      <c r="K12" s="2073"/>
      <c r="L12" s="2073"/>
      <c r="M12" s="2073"/>
      <c r="N12" s="2073"/>
      <c r="O12" s="2073"/>
      <c r="P12" s="2073"/>
      <c r="Q12" s="2073"/>
      <c r="R12" s="2073"/>
      <c r="S12" s="2073"/>
      <c r="T12" s="2073"/>
      <c r="U12" s="2073"/>
      <c r="V12" s="2073"/>
      <c r="W12" s="2073"/>
      <c r="X12" s="2073"/>
      <c r="Y12" s="64"/>
      <c r="Z12" s="64"/>
      <c r="AA12" s="64"/>
    </row>
    <row r="13" spans="1:27" ht="31.5" customHeight="1" x14ac:dyDescent="0.35">
      <c r="A13" s="4555" t="s">
        <v>348</v>
      </c>
      <c r="B13" s="4556"/>
      <c r="C13" s="4557"/>
      <c r="D13" s="315"/>
      <c r="E13" s="261"/>
      <c r="F13" s="261"/>
      <c r="G13" s="261"/>
      <c r="H13" s="261"/>
      <c r="I13" s="261"/>
      <c r="J13" s="261"/>
      <c r="K13" s="261"/>
      <c r="L13" s="261"/>
      <c r="M13" s="261"/>
      <c r="N13" s="261"/>
      <c r="O13" s="261"/>
      <c r="P13" s="261"/>
      <c r="Q13" s="261"/>
      <c r="R13" s="261"/>
      <c r="S13" s="261"/>
      <c r="T13" s="261"/>
      <c r="U13" s="261"/>
      <c r="V13" s="261"/>
      <c r="W13" s="261"/>
      <c r="X13" s="262"/>
      <c r="Y13" s="64"/>
      <c r="Z13" s="1159"/>
      <c r="AA13" s="64"/>
    </row>
    <row r="14" spans="1:27" ht="22.5" customHeight="1" thickBot="1" x14ac:dyDescent="0.4">
      <c r="A14" s="3794" t="s">
        <v>149</v>
      </c>
      <c r="B14" s="3795"/>
      <c r="C14" s="4585"/>
      <c r="D14" s="227"/>
      <c r="E14" s="228" t="s">
        <v>2042</v>
      </c>
      <c r="F14" s="228" t="s">
        <v>2043</v>
      </c>
      <c r="G14" s="228" t="s">
        <v>2043</v>
      </c>
      <c r="H14" s="228" t="s">
        <v>2043</v>
      </c>
      <c r="I14" s="228"/>
      <c r="J14" s="228" t="s">
        <v>2043</v>
      </c>
      <c r="K14" s="228"/>
      <c r="L14" s="228" t="s">
        <v>2043</v>
      </c>
      <c r="M14" s="228"/>
      <c r="N14" s="228"/>
      <c r="O14" s="228"/>
      <c r="P14" s="228" t="s">
        <v>2043</v>
      </c>
      <c r="Q14" s="228"/>
      <c r="R14" s="228"/>
      <c r="S14" s="228"/>
      <c r="T14" s="228"/>
      <c r="U14" s="228"/>
      <c r="V14" s="228"/>
      <c r="W14" s="228"/>
      <c r="X14" s="229"/>
      <c r="Y14" s="64"/>
      <c r="Z14" s="64"/>
      <c r="AA14" s="64"/>
    </row>
    <row r="15" spans="1:27" s="66" customFormat="1" ht="3.75" customHeight="1" thickBot="1" x14ac:dyDescent="0.4">
      <c r="A15" s="806"/>
      <c r="B15" s="807"/>
      <c r="C15" s="808"/>
      <c r="D15" s="809"/>
      <c r="E15" s="810"/>
      <c r="F15" s="810"/>
      <c r="G15" s="810"/>
      <c r="H15" s="810"/>
      <c r="I15" s="810"/>
      <c r="J15" s="810"/>
      <c r="K15" s="810"/>
      <c r="L15" s="810"/>
      <c r="M15" s="810"/>
      <c r="N15" s="810"/>
      <c r="O15" s="810"/>
      <c r="P15" s="810"/>
      <c r="Q15" s="810"/>
      <c r="R15" s="810"/>
      <c r="S15" s="810"/>
      <c r="T15" s="810"/>
      <c r="U15" s="810"/>
      <c r="V15" s="810"/>
      <c r="W15" s="810"/>
      <c r="X15" s="811"/>
      <c r="Y15" s="64"/>
      <c r="Z15" s="397"/>
      <c r="AA15" s="397"/>
    </row>
    <row r="16" spans="1:27" ht="18.75" customHeight="1" thickBot="1" x14ac:dyDescent="0.4">
      <c r="A16" s="1160" t="s">
        <v>974</v>
      </c>
      <c r="B16" s="1161"/>
      <c r="C16" s="782">
        <f>SUM(D16:Z16)</f>
        <v>0</v>
      </c>
      <c r="D16" s="790"/>
      <c r="E16" s="791"/>
      <c r="F16" s="791"/>
      <c r="G16" s="791"/>
      <c r="H16" s="791"/>
      <c r="I16" s="791"/>
      <c r="J16" s="791"/>
      <c r="K16" s="791"/>
      <c r="L16" s="791"/>
      <c r="M16" s="791"/>
      <c r="N16" s="791"/>
      <c r="O16" s="791"/>
      <c r="P16" s="791"/>
      <c r="Q16" s="791"/>
      <c r="R16" s="791"/>
      <c r="S16" s="791"/>
      <c r="T16" s="791"/>
      <c r="U16" s="791"/>
      <c r="V16" s="791"/>
      <c r="W16" s="791"/>
      <c r="X16" s="818"/>
      <c r="Y16" s="64"/>
      <c r="Z16" s="397"/>
      <c r="AA16" s="64"/>
    </row>
    <row r="17" spans="1:27" s="66" customFormat="1" ht="3.75" customHeight="1" thickBot="1" x14ac:dyDescent="0.4">
      <c r="A17" s="806"/>
      <c r="B17" s="807"/>
      <c r="C17" s="808"/>
      <c r="D17" s="809"/>
      <c r="E17" s="810"/>
      <c r="F17" s="810"/>
      <c r="G17" s="810"/>
      <c r="H17" s="810"/>
      <c r="I17" s="810"/>
      <c r="J17" s="810"/>
      <c r="K17" s="810"/>
      <c r="L17" s="810"/>
      <c r="M17" s="810"/>
      <c r="N17" s="810"/>
      <c r="O17" s="810"/>
      <c r="P17" s="810"/>
      <c r="Q17" s="810"/>
      <c r="R17" s="810"/>
      <c r="S17" s="810"/>
      <c r="T17" s="810"/>
      <c r="U17" s="810"/>
      <c r="V17" s="810"/>
      <c r="W17" s="810"/>
      <c r="X17" s="811"/>
      <c r="Y17" s="64"/>
      <c r="Z17" s="397"/>
      <c r="AA17" s="397"/>
    </row>
    <row r="18" spans="1:27" ht="22.5" customHeight="1" x14ac:dyDescent="0.35">
      <c r="A18" s="3816" t="s">
        <v>2347</v>
      </c>
      <c r="B18" s="3817"/>
      <c r="C18" s="783">
        <f>SUM(D18:X18)</f>
        <v>65</v>
      </c>
      <c r="D18" s="233">
        <v>2</v>
      </c>
      <c r="E18" s="234">
        <v>6</v>
      </c>
      <c r="F18" s="234">
        <v>4</v>
      </c>
      <c r="G18" s="234">
        <v>4</v>
      </c>
      <c r="H18" s="234">
        <v>4</v>
      </c>
      <c r="I18" s="234">
        <v>4</v>
      </c>
      <c r="J18" s="234">
        <v>4</v>
      </c>
      <c r="K18" s="234">
        <v>4</v>
      </c>
      <c r="L18" s="234">
        <v>4</v>
      </c>
      <c r="M18" s="234">
        <v>3</v>
      </c>
      <c r="N18" s="234">
        <v>3</v>
      </c>
      <c r="O18" s="234">
        <v>3</v>
      </c>
      <c r="P18" s="234">
        <v>3</v>
      </c>
      <c r="Q18" s="234">
        <v>3</v>
      </c>
      <c r="R18" s="234">
        <v>3</v>
      </c>
      <c r="S18" s="234">
        <v>3</v>
      </c>
      <c r="T18" s="234">
        <v>2</v>
      </c>
      <c r="U18" s="234">
        <v>2</v>
      </c>
      <c r="V18" s="234">
        <v>2</v>
      </c>
      <c r="W18" s="234">
        <v>1</v>
      </c>
      <c r="X18" s="234">
        <v>1</v>
      </c>
      <c r="Y18" s="64"/>
      <c r="Z18" s="64"/>
      <c r="AA18" s="64"/>
    </row>
    <row r="19" spans="1:27" ht="22.5" customHeight="1" x14ac:dyDescent="0.35">
      <c r="A19" s="4558" t="s">
        <v>2349</v>
      </c>
      <c r="B19" s="4559"/>
      <c r="C19" s="784">
        <f>SUM(D19:X19)</f>
        <v>5</v>
      </c>
      <c r="D19" s="236"/>
      <c r="E19" s="237">
        <v>3</v>
      </c>
      <c r="F19" s="237"/>
      <c r="G19" s="237"/>
      <c r="H19" s="237"/>
      <c r="I19" s="237">
        <v>2</v>
      </c>
      <c r="J19" s="237"/>
      <c r="K19" s="237"/>
      <c r="L19" s="237"/>
      <c r="M19" s="237"/>
      <c r="N19" s="237"/>
      <c r="O19" s="237"/>
      <c r="P19" s="237"/>
      <c r="Q19" s="237"/>
      <c r="R19" s="237"/>
      <c r="S19" s="237"/>
      <c r="T19" s="237"/>
      <c r="U19" s="237"/>
      <c r="V19" s="237"/>
      <c r="W19" s="237"/>
      <c r="X19" s="238"/>
      <c r="Y19" s="64"/>
      <c r="Z19" s="64"/>
      <c r="AA19" s="64"/>
    </row>
    <row r="20" spans="1:27" ht="22.5" customHeight="1" thickBot="1" x14ac:dyDescent="0.4">
      <c r="A20" s="4560" t="s">
        <v>2348</v>
      </c>
      <c r="B20" s="4561"/>
      <c r="C20" s="812">
        <f>SUM(D20:X20)</f>
        <v>0</v>
      </c>
      <c r="D20" s="352"/>
      <c r="E20" s="351"/>
      <c r="F20" s="351"/>
      <c r="G20" s="351"/>
      <c r="H20" s="351"/>
      <c r="I20" s="351"/>
      <c r="J20" s="351"/>
      <c r="K20" s="351"/>
      <c r="L20" s="351"/>
      <c r="M20" s="351"/>
      <c r="N20" s="351"/>
      <c r="O20" s="351"/>
      <c r="P20" s="351"/>
      <c r="Q20" s="351"/>
      <c r="R20" s="351"/>
      <c r="S20" s="351"/>
      <c r="T20" s="351"/>
      <c r="U20" s="351"/>
      <c r="V20" s="351"/>
      <c r="W20" s="351"/>
      <c r="X20" s="356"/>
      <c r="Y20" s="64"/>
      <c r="Z20" s="64"/>
      <c r="AA20" s="64"/>
    </row>
    <row r="21" spans="1:27" ht="16.5" customHeight="1" thickTop="1" thickBot="1" x14ac:dyDescent="0.4">
      <c r="A21" s="4563" t="s">
        <v>361</v>
      </c>
      <c r="B21" s="4564"/>
      <c r="C21" s="357">
        <f t="shared" ref="C21:X21" si="0">C18-(C19+C20)</f>
        <v>60</v>
      </c>
      <c r="D21" s="357">
        <f t="shared" si="0"/>
        <v>2</v>
      </c>
      <c r="E21" s="357">
        <f t="shared" si="0"/>
        <v>3</v>
      </c>
      <c r="F21" s="357">
        <f t="shared" si="0"/>
        <v>4</v>
      </c>
      <c r="G21" s="357">
        <f t="shared" si="0"/>
        <v>4</v>
      </c>
      <c r="H21" s="357">
        <f t="shared" si="0"/>
        <v>4</v>
      </c>
      <c r="I21" s="357">
        <f t="shared" si="0"/>
        <v>2</v>
      </c>
      <c r="J21" s="357">
        <f t="shared" si="0"/>
        <v>4</v>
      </c>
      <c r="K21" s="357">
        <f t="shared" si="0"/>
        <v>4</v>
      </c>
      <c r="L21" s="357">
        <f t="shared" si="0"/>
        <v>4</v>
      </c>
      <c r="M21" s="357">
        <f t="shared" si="0"/>
        <v>3</v>
      </c>
      <c r="N21" s="357">
        <f t="shared" si="0"/>
        <v>3</v>
      </c>
      <c r="O21" s="357">
        <f t="shared" si="0"/>
        <v>3</v>
      </c>
      <c r="P21" s="357">
        <f t="shared" si="0"/>
        <v>3</v>
      </c>
      <c r="Q21" s="357">
        <f t="shared" si="0"/>
        <v>3</v>
      </c>
      <c r="R21" s="357">
        <f t="shared" si="0"/>
        <v>3</v>
      </c>
      <c r="S21" s="357">
        <f t="shared" si="0"/>
        <v>3</v>
      </c>
      <c r="T21" s="357">
        <f t="shared" si="0"/>
        <v>2</v>
      </c>
      <c r="U21" s="357">
        <f t="shared" si="0"/>
        <v>2</v>
      </c>
      <c r="V21" s="357">
        <f t="shared" si="0"/>
        <v>2</v>
      </c>
      <c r="W21" s="357">
        <f t="shared" si="0"/>
        <v>1</v>
      </c>
      <c r="X21" s="358">
        <f t="shared" si="0"/>
        <v>1</v>
      </c>
      <c r="Y21" s="64"/>
      <c r="Z21" s="64"/>
      <c r="AA21" s="64"/>
    </row>
    <row r="22" spans="1:27" ht="15" thickTop="1" x14ac:dyDescent="0.35">
      <c r="A22" s="470"/>
      <c r="B22" s="470"/>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63"/>
      <c r="AA22" s="64"/>
    </row>
    <row r="23" spans="1:27" ht="15" thickBot="1" x14ac:dyDescent="0.4">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row>
    <row r="24" spans="1:27" ht="20.25" customHeight="1" thickTop="1" thickBot="1" x14ac:dyDescent="0.4">
      <c r="A24" s="4573" t="s">
        <v>10</v>
      </c>
      <c r="B24" s="4574"/>
      <c r="C24" s="4574"/>
      <c r="D24" s="4574"/>
      <c r="E24" s="4574"/>
      <c r="F24" s="4574"/>
      <c r="G24" s="4574"/>
      <c r="H24" s="4574"/>
      <c r="I24" s="4574"/>
      <c r="J24" s="4574"/>
      <c r="K24" s="4574"/>
      <c r="L24" s="4574"/>
      <c r="M24" s="4574"/>
      <c r="N24" s="4574"/>
      <c r="O24" s="4574"/>
      <c r="P24" s="4574"/>
      <c r="Q24" s="4574"/>
      <c r="R24" s="113"/>
      <c r="S24" s="31"/>
      <c r="T24" s="3725" t="s">
        <v>748</v>
      </c>
      <c r="U24" s="3726"/>
      <c r="V24" s="3727"/>
      <c r="W24" s="31"/>
      <c r="X24" s="31"/>
      <c r="Y24" s="31"/>
      <c r="Z24" s="64"/>
      <c r="AA24" s="64"/>
    </row>
    <row r="25" spans="1:27" ht="20.25" customHeight="1" x14ac:dyDescent="0.35">
      <c r="A25" s="4575" t="s">
        <v>1087</v>
      </c>
      <c r="B25" s="4581"/>
      <c r="C25" s="4581"/>
      <c r="D25" s="4581"/>
      <c r="E25" s="4581"/>
      <c r="F25" s="4581"/>
      <c r="G25" s="4581"/>
      <c r="H25" s="4581"/>
      <c r="I25" s="4581"/>
      <c r="J25" s="4581"/>
      <c r="K25" s="4581"/>
      <c r="L25" s="4581"/>
      <c r="M25" s="4581"/>
      <c r="N25" s="4581"/>
      <c r="O25" s="4581"/>
      <c r="P25" s="4581"/>
      <c r="Q25" s="4581"/>
      <c r="R25" s="36"/>
      <c r="S25" s="33"/>
      <c r="T25" s="3750" t="s">
        <v>798</v>
      </c>
      <c r="U25" s="3751"/>
      <c r="V25" s="3752"/>
      <c r="W25" s="33"/>
      <c r="X25" s="33"/>
      <c r="Y25" s="33"/>
      <c r="Z25" s="64"/>
      <c r="AA25" s="64"/>
    </row>
    <row r="26" spans="1:27" ht="20.25" customHeight="1" x14ac:dyDescent="0.35">
      <c r="A26" s="4582"/>
      <c r="B26" s="3882"/>
      <c r="C26" s="3882"/>
      <c r="D26" s="3882"/>
      <c r="E26" s="3882"/>
      <c r="F26" s="3882"/>
      <c r="G26" s="3882"/>
      <c r="H26" s="3882"/>
      <c r="I26" s="3882"/>
      <c r="J26" s="3882"/>
      <c r="K26" s="3882"/>
      <c r="L26" s="3882"/>
      <c r="M26" s="3882"/>
      <c r="N26" s="3882"/>
      <c r="O26" s="3882"/>
      <c r="P26" s="3882"/>
      <c r="Q26" s="3882"/>
      <c r="R26" s="36"/>
      <c r="S26" s="33"/>
      <c r="T26" s="3753"/>
      <c r="U26" s="3754"/>
      <c r="V26" s="3755"/>
      <c r="W26" s="33"/>
      <c r="X26" s="33"/>
      <c r="Y26" s="33"/>
      <c r="Z26" s="64"/>
      <c r="AA26" s="64"/>
    </row>
    <row r="27" spans="1:27" ht="20.25" customHeight="1" x14ac:dyDescent="0.35">
      <c r="A27" s="4582"/>
      <c r="B27" s="3882"/>
      <c r="C27" s="3882"/>
      <c r="D27" s="3882"/>
      <c r="E27" s="3882"/>
      <c r="F27" s="3882"/>
      <c r="G27" s="3882"/>
      <c r="H27" s="3882"/>
      <c r="I27" s="3882"/>
      <c r="J27" s="3882"/>
      <c r="K27" s="3882"/>
      <c r="L27" s="3882"/>
      <c r="M27" s="3882"/>
      <c r="N27" s="3882"/>
      <c r="O27" s="3882"/>
      <c r="P27" s="3882"/>
      <c r="Q27" s="3882"/>
      <c r="R27" s="36"/>
      <c r="S27" s="33"/>
      <c r="T27" s="3753"/>
      <c r="U27" s="3754"/>
      <c r="V27" s="3755"/>
      <c r="W27" s="33"/>
      <c r="X27" s="33"/>
      <c r="Y27" s="33"/>
      <c r="Z27" s="64"/>
      <c r="AA27" s="64"/>
    </row>
    <row r="28" spans="1:27" ht="15" thickBot="1" x14ac:dyDescent="0.4">
      <c r="A28" s="4583"/>
      <c r="B28" s="4584"/>
      <c r="C28" s="4584"/>
      <c r="D28" s="4584"/>
      <c r="E28" s="4584"/>
      <c r="F28" s="4584"/>
      <c r="G28" s="4584"/>
      <c r="H28" s="4584"/>
      <c r="I28" s="4584"/>
      <c r="J28" s="4584"/>
      <c r="K28" s="4584"/>
      <c r="L28" s="4584"/>
      <c r="M28" s="4584"/>
      <c r="N28" s="4584"/>
      <c r="O28" s="4584"/>
      <c r="P28" s="4584"/>
      <c r="Q28" s="4584"/>
      <c r="R28" s="36"/>
      <c r="S28" s="33"/>
      <c r="T28" s="3756"/>
      <c r="U28" s="3757"/>
      <c r="V28" s="3758"/>
      <c r="W28" s="33"/>
      <c r="X28" s="33"/>
      <c r="Y28" s="33"/>
      <c r="Z28" s="64"/>
      <c r="AA28" s="64"/>
    </row>
    <row r="29" spans="1:27" ht="15.5" thickTop="1" thickBot="1" x14ac:dyDescent="0.4">
      <c r="A29" s="64"/>
      <c r="B29" s="64"/>
      <c r="C29" s="64"/>
      <c r="D29" s="64"/>
      <c r="E29" s="64"/>
      <c r="F29" s="64"/>
      <c r="G29" s="64"/>
      <c r="H29" s="64"/>
      <c r="I29" s="64"/>
      <c r="J29" s="64"/>
      <c r="K29" s="64"/>
      <c r="L29" s="64"/>
      <c r="M29" s="64"/>
      <c r="N29" s="64"/>
      <c r="O29" s="64"/>
      <c r="P29" s="64"/>
      <c r="Q29" s="64"/>
      <c r="R29" s="64"/>
      <c r="S29" s="64"/>
      <c r="T29" s="31"/>
      <c r="U29" s="31"/>
      <c r="V29" s="31"/>
      <c r="W29" s="64"/>
      <c r="X29" s="64"/>
      <c r="Y29" s="64"/>
      <c r="Z29" s="64"/>
      <c r="AA29" s="64"/>
    </row>
    <row r="30" spans="1:27" ht="20.25" customHeight="1" thickTop="1" thickBot="1" x14ac:dyDescent="0.4">
      <c r="A30" s="4573" t="s">
        <v>11</v>
      </c>
      <c r="B30" s="4574"/>
      <c r="C30" s="4574"/>
      <c r="D30" s="4574"/>
      <c r="E30" s="4574"/>
      <c r="F30" s="4574"/>
      <c r="G30" s="4574"/>
      <c r="H30" s="4574"/>
      <c r="I30" s="4574"/>
      <c r="J30" s="4574"/>
      <c r="K30" s="4574"/>
      <c r="L30" s="4574"/>
      <c r="M30" s="4574"/>
      <c r="N30" s="4574"/>
      <c r="O30" s="4574"/>
      <c r="P30" s="4574"/>
      <c r="Q30" s="4574"/>
      <c r="R30" s="113"/>
      <c r="S30" s="31"/>
      <c r="T30" s="3725" t="s">
        <v>748</v>
      </c>
      <c r="U30" s="3726"/>
      <c r="V30" s="3727"/>
      <c r="W30" s="31"/>
      <c r="X30" s="31"/>
      <c r="Y30" s="31"/>
      <c r="Z30" s="64"/>
      <c r="AA30" s="64"/>
    </row>
    <row r="31" spans="1:27" ht="20.25" customHeight="1" x14ac:dyDescent="0.35">
      <c r="A31" s="4575" t="s">
        <v>1088</v>
      </c>
      <c r="B31" s="4576"/>
      <c r="C31" s="4576"/>
      <c r="D31" s="4576"/>
      <c r="E31" s="4576"/>
      <c r="F31" s="4576"/>
      <c r="G31" s="4576"/>
      <c r="H31" s="4576"/>
      <c r="I31" s="4576"/>
      <c r="J31" s="4576"/>
      <c r="K31" s="4576"/>
      <c r="L31" s="4576"/>
      <c r="M31" s="4576"/>
      <c r="N31" s="4576"/>
      <c r="O31" s="4576"/>
      <c r="P31" s="4576"/>
      <c r="Q31" s="4576"/>
      <c r="R31" s="36"/>
      <c r="S31" s="33"/>
      <c r="T31" s="3750" t="s">
        <v>799</v>
      </c>
      <c r="U31" s="3751"/>
      <c r="V31" s="3752"/>
      <c r="W31" s="33"/>
      <c r="X31" s="33"/>
      <c r="Y31" s="33"/>
      <c r="Z31" s="64"/>
      <c r="AA31" s="64"/>
    </row>
    <row r="32" spans="1:27" ht="20.25" customHeight="1" x14ac:dyDescent="0.35">
      <c r="A32" s="4577"/>
      <c r="B32" s="4578"/>
      <c r="C32" s="4578"/>
      <c r="D32" s="4578"/>
      <c r="E32" s="4578"/>
      <c r="F32" s="4578"/>
      <c r="G32" s="4578"/>
      <c r="H32" s="4578"/>
      <c r="I32" s="4578"/>
      <c r="J32" s="4578"/>
      <c r="K32" s="4578"/>
      <c r="L32" s="4578"/>
      <c r="M32" s="4578"/>
      <c r="N32" s="4578"/>
      <c r="O32" s="4578"/>
      <c r="P32" s="4578"/>
      <c r="Q32" s="4578"/>
      <c r="R32" s="36"/>
      <c r="S32" s="33"/>
      <c r="T32" s="3753"/>
      <c r="U32" s="3754"/>
      <c r="V32" s="3755"/>
      <c r="W32" s="33"/>
      <c r="X32" s="33"/>
      <c r="Y32" s="33"/>
      <c r="Z32" s="64"/>
      <c r="AA32" s="64"/>
    </row>
    <row r="33" spans="1:27" ht="20.25" customHeight="1" x14ac:dyDescent="0.35">
      <c r="A33" s="4577"/>
      <c r="B33" s="4578"/>
      <c r="C33" s="4578"/>
      <c r="D33" s="4578"/>
      <c r="E33" s="4578"/>
      <c r="F33" s="4578"/>
      <c r="G33" s="4578"/>
      <c r="H33" s="4578"/>
      <c r="I33" s="4578"/>
      <c r="J33" s="4578"/>
      <c r="K33" s="4578"/>
      <c r="L33" s="4578"/>
      <c r="M33" s="4578"/>
      <c r="N33" s="4578"/>
      <c r="O33" s="4578"/>
      <c r="P33" s="4578"/>
      <c r="Q33" s="4578"/>
      <c r="R33" s="36"/>
      <c r="S33" s="33"/>
      <c r="T33" s="3753"/>
      <c r="U33" s="3754"/>
      <c r="V33" s="3755"/>
      <c r="W33" s="33"/>
      <c r="X33" s="33"/>
      <c r="Y33" s="33"/>
      <c r="Z33" s="64"/>
      <c r="AA33" s="64"/>
    </row>
    <row r="34" spans="1:27" ht="15" thickBot="1" x14ac:dyDescent="0.4">
      <c r="A34" s="4579"/>
      <c r="B34" s="4580"/>
      <c r="C34" s="4580"/>
      <c r="D34" s="4580"/>
      <c r="E34" s="4580"/>
      <c r="F34" s="4580"/>
      <c r="G34" s="4580"/>
      <c r="H34" s="4580"/>
      <c r="I34" s="4580"/>
      <c r="J34" s="4580"/>
      <c r="K34" s="4580"/>
      <c r="L34" s="4580"/>
      <c r="M34" s="4580"/>
      <c r="N34" s="4580"/>
      <c r="O34" s="4580"/>
      <c r="P34" s="4580"/>
      <c r="Q34" s="4580"/>
      <c r="R34" s="36"/>
      <c r="S34" s="33"/>
      <c r="T34" s="3756"/>
      <c r="U34" s="3757"/>
      <c r="V34" s="3758"/>
      <c r="W34" s="33"/>
      <c r="X34" s="33"/>
      <c r="Y34" s="33"/>
      <c r="Z34" s="64"/>
      <c r="AA34" s="64"/>
    </row>
    <row r="35" spans="1:27" ht="15" thickTop="1" x14ac:dyDescent="0.35">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row>
    <row r="36" spans="1:27" ht="15" thickBot="1" x14ac:dyDescent="0.4">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row>
    <row r="37" spans="1:27" ht="19" thickTop="1" x14ac:dyDescent="0.45">
      <c r="A37" s="4565" t="s">
        <v>804</v>
      </c>
      <c r="B37" s="4566"/>
      <c r="C37" s="4566"/>
      <c r="D37" s="4566"/>
      <c r="E37" s="4566"/>
      <c r="F37" s="4566"/>
      <c r="G37" s="4566"/>
      <c r="H37" s="4566"/>
      <c r="I37" s="4566"/>
      <c r="J37" s="4566"/>
      <c r="K37" s="4567"/>
      <c r="L37" s="64"/>
      <c r="M37" s="64"/>
      <c r="N37" s="64"/>
      <c r="O37" s="64"/>
      <c r="P37" s="64"/>
      <c r="Q37" s="64"/>
      <c r="R37" s="64"/>
      <c r="S37" s="64"/>
      <c r="T37" s="64"/>
      <c r="U37" s="64"/>
      <c r="V37" s="64"/>
      <c r="W37" s="64"/>
      <c r="X37" s="64"/>
      <c r="Y37" s="64"/>
      <c r="Z37" s="64"/>
      <c r="AA37" s="64"/>
    </row>
    <row r="38" spans="1:27" x14ac:dyDescent="0.35">
      <c r="A38" s="4592" t="s">
        <v>800</v>
      </c>
      <c r="B38" s="4562"/>
      <c r="C38" s="4562" t="s">
        <v>801</v>
      </c>
      <c r="D38" s="4562"/>
      <c r="E38" s="4562"/>
      <c r="F38" s="4568" t="s">
        <v>882</v>
      </c>
      <c r="G38" s="4569"/>
      <c r="H38" s="4568" t="s">
        <v>883</v>
      </c>
      <c r="I38" s="4569"/>
      <c r="J38" s="4562" t="s">
        <v>802</v>
      </c>
      <c r="K38" s="4572"/>
      <c r="L38" s="64"/>
      <c r="M38" s="64"/>
      <c r="N38" s="64"/>
      <c r="O38" s="64"/>
      <c r="P38" s="64"/>
      <c r="Q38" s="64"/>
      <c r="R38" s="64"/>
      <c r="S38" s="64"/>
      <c r="T38" s="64"/>
      <c r="U38" s="64"/>
      <c r="V38" s="64"/>
      <c r="W38" s="64"/>
      <c r="X38" s="64"/>
      <c r="Y38" s="64"/>
      <c r="Z38" s="64"/>
      <c r="AA38" s="64"/>
    </row>
    <row r="39" spans="1:27" x14ac:dyDescent="0.35">
      <c r="A39" s="4592"/>
      <c r="B39" s="4562"/>
      <c r="C39" s="4562"/>
      <c r="D39" s="4562"/>
      <c r="E39" s="4562"/>
      <c r="F39" s="4570"/>
      <c r="G39" s="4571"/>
      <c r="H39" s="4570"/>
      <c r="I39" s="4571"/>
      <c r="J39" s="4562"/>
      <c r="K39" s="4572"/>
      <c r="L39" s="64"/>
      <c r="M39" s="64"/>
      <c r="N39" s="64"/>
      <c r="O39" s="64"/>
      <c r="P39" s="64"/>
      <c r="Q39" s="64"/>
      <c r="R39" s="64"/>
      <c r="S39" s="64"/>
      <c r="T39" s="64"/>
      <c r="U39" s="64"/>
      <c r="V39" s="64"/>
      <c r="W39" s="64"/>
      <c r="X39" s="64"/>
      <c r="Y39" s="64"/>
      <c r="Z39" s="64"/>
      <c r="AA39" s="64"/>
    </row>
    <row r="40" spans="1:27" x14ac:dyDescent="0.35">
      <c r="A40" s="4552" t="s">
        <v>362</v>
      </c>
      <c r="B40" s="4553"/>
      <c r="C40" s="4549"/>
      <c r="D40" s="4549"/>
      <c r="E40" s="4549"/>
      <c r="F40" s="4550"/>
      <c r="G40" s="4550"/>
      <c r="H40" s="4550"/>
      <c r="I40" s="4550"/>
      <c r="J40" s="4549"/>
      <c r="K40" s="4551"/>
      <c r="L40" s="64"/>
      <c r="M40" s="64"/>
      <c r="N40" s="64"/>
      <c r="O40" s="64"/>
      <c r="P40" s="64"/>
      <c r="Q40" s="64"/>
      <c r="R40" s="64"/>
      <c r="S40" s="64"/>
      <c r="T40" s="64"/>
      <c r="U40" s="64"/>
      <c r="V40" s="64"/>
      <c r="W40" s="64"/>
      <c r="X40" s="64"/>
      <c r="Y40" s="64"/>
      <c r="Z40" s="64"/>
      <c r="AA40" s="64"/>
    </row>
    <row r="41" spans="1:27" x14ac:dyDescent="0.35">
      <c r="A41" s="4552" t="s">
        <v>885</v>
      </c>
      <c r="B41" s="4553"/>
      <c r="C41" s="4549"/>
      <c r="D41" s="4549"/>
      <c r="E41" s="4549"/>
      <c r="F41" s="4550"/>
      <c r="G41" s="4550"/>
      <c r="H41" s="4550"/>
      <c r="I41" s="4550"/>
      <c r="J41" s="4549"/>
      <c r="K41" s="4551"/>
      <c r="L41" s="64"/>
      <c r="M41" s="64"/>
      <c r="N41" s="64"/>
      <c r="O41" s="64"/>
      <c r="P41" s="64"/>
      <c r="Q41" s="64"/>
      <c r="R41" s="64"/>
      <c r="S41" s="64"/>
      <c r="T41" s="64"/>
      <c r="U41" s="64"/>
      <c r="V41" s="64"/>
      <c r="W41" s="64"/>
      <c r="X41" s="64"/>
      <c r="Y41" s="64"/>
      <c r="Z41" s="64"/>
      <c r="AA41" s="64"/>
    </row>
    <row r="42" spans="1:27" x14ac:dyDescent="0.35">
      <c r="A42" s="4552" t="s">
        <v>886</v>
      </c>
      <c r="B42" s="4553"/>
      <c r="C42" s="4549"/>
      <c r="D42" s="4549"/>
      <c r="E42" s="4549"/>
      <c r="F42" s="4550"/>
      <c r="G42" s="4550"/>
      <c r="H42" s="4550"/>
      <c r="I42" s="4550"/>
      <c r="J42" s="4549"/>
      <c r="K42" s="4551"/>
      <c r="L42" s="64"/>
      <c r="M42" s="64"/>
      <c r="N42" s="64"/>
      <c r="O42" s="64"/>
      <c r="P42" s="64"/>
      <c r="Q42" s="64"/>
      <c r="R42" s="64"/>
      <c r="S42" s="64"/>
      <c r="T42" s="64"/>
      <c r="U42" s="64"/>
      <c r="V42" s="64"/>
      <c r="W42" s="64"/>
      <c r="X42" s="64"/>
      <c r="Y42" s="64"/>
      <c r="Z42" s="64"/>
      <c r="AA42" s="64"/>
    </row>
    <row r="43" spans="1:27" x14ac:dyDescent="0.35">
      <c r="A43" s="4552" t="s">
        <v>887</v>
      </c>
      <c r="B43" s="4553"/>
      <c r="C43" s="4549"/>
      <c r="D43" s="4549"/>
      <c r="E43" s="4549"/>
      <c r="F43" s="4550"/>
      <c r="G43" s="4550"/>
      <c r="H43" s="4550"/>
      <c r="I43" s="4550"/>
      <c r="J43" s="4549"/>
      <c r="K43" s="4551"/>
      <c r="L43" s="64"/>
      <c r="M43" s="64"/>
      <c r="N43" s="64"/>
      <c r="O43" s="64"/>
      <c r="P43" s="64"/>
      <c r="Q43" s="64"/>
      <c r="R43" s="64"/>
      <c r="S43" s="64"/>
      <c r="T43" s="64"/>
      <c r="U43" s="64"/>
      <c r="V43" s="64"/>
      <c r="W43" s="64"/>
      <c r="X43" s="64"/>
      <c r="Y43" s="64"/>
      <c r="Z43" s="64"/>
      <c r="AA43" s="64"/>
    </row>
    <row r="44" spans="1:27" x14ac:dyDescent="0.35">
      <c r="A44" s="4552" t="s">
        <v>888</v>
      </c>
      <c r="B44" s="4553"/>
      <c r="C44" s="4549"/>
      <c r="D44" s="4549"/>
      <c r="E44" s="4549"/>
      <c r="F44" s="4550"/>
      <c r="G44" s="4550"/>
      <c r="H44" s="4550"/>
      <c r="I44" s="4550"/>
      <c r="J44" s="4549"/>
      <c r="K44" s="4551"/>
      <c r="L44" s="64"/>
      <c r="M44" s="64"/>
      <c r="N44" s="64"/>
      <c r="O44" s="64"/>
      <c r="P44" s="64"/>
      <c r="Q44" s="64"/>
      <c r="R44" s="64"/>
      <c r="S44" s="64"/>
      <c r="T44" s="64"/>
      <c r="U44" s="64"/>
      <c r="V44" s="64"/>
      <c r="W44" s="64"/>
      <c r="X44" s="64"/>
      <c r="Y44" s="64"/>
      <c r="Z44" s="64"/>
      <c r="AA44" s="64"/>
    </row>
    <row r="45" spans="1:27" x14ac:dyDescent="0.35">
      <c r="A45" s="4552"/>
      <c r="B45" s="4553"/>
      <c r="C45" s="4549"/>
      <c r="D45" s="4549"/>
      <c r="E45" s="4549"/>
      <c r="F45" s="4550"/>
      <c r="G45" s="4550"/>
      <c r="H45" s="4550"/>
      <c r="I45" s="4550"/>
      <c r="J45" s="4549"/>
      <c r="K45" s="4551"/>
      <c r="L45" s="64"/>
      <c r="M45" s="64"/>
      <c r="N45" s="64"/>
      <c r="O45" s="64"/>
      <c r="P45" s="64"/>
      <c r="Q45" s="64"/>
      <c r="R45" s="64"/>
      <c r="S45" s="64"/>
      <c r="T45" s="64"/>
      <c r="U45" s="64"/>
      <c r="V45" s="64"/>
      <c r="W45" s="64"/>
      <c r="X45" s="64"/>
      <c r="Y45" s="64"/>
      <c r="Z45" s="64"/>
      <c r="AA45" s="64"/>
    </row>
    <row r="46" spans="1:27" x14ac:dyDescent="0.35">
      <c r="A46" s="4552"/>
      <c r="B46" s="4553"/>
      <c r="C46" s="4549"/>
      <c r="D46" s="4549"/>
      <c r="E46" s="4549"/>
      <c r="F46" s="4550"/>
      <c r="G46" s="4550"/>
      <c r="H46" s="4550"/>
      <c r="I46" s="4550"/>
      <c r="J46" s="4549"/>
      <c r="K46" s="4551"/>
      <c r="L46" s="64"/>
      <c r="M46" s="64"/>
      <c r="N46" s="64"/>
      <c r="O46" s="64"/>
      <c r="P46" s="64"/>
      <c r="Q46" s="64"/>
      <c r="R46" s="64"/>
      <c r="S46" s="64"/>
      <c r="T46" s="64"/>
      <c r="U46" s="64"/>
      <c r="V46" s="64"/>
      <c r="W46" s="64"/>
      <c r="X46" s="64"/>
      <c r="Y46" s="64"/>
      <c r="Z46" s="64"/>
      <c r="AA46" s="64"/>
    </row>
    <row r="47" spans="1:27" ht="15" thickBot="1" x14ac:dyDescent="0.4">
      <c r="A47" s="4546"/>
      <c r="B47" s="4547"/>
      <c r="C47" s="4547"/>
      <c r="D47" s="4547"/>
      <c r="E47" s="4547"/>
      <c r="F47" s="4547"/>
      <c r="G47" s="4547"/>
      <c r="H47" s="4547"/>
      <c r="I47" s="4547"/>
      <c r="J47" s="4547"/>
      <c r="K47" s="4548"/>
      <c r="L47" s="64"/>
      <c r="M47" s="64"/>
      <c r="N47" s="64"/>
      <c r="O47" s="64"/>
      <c r="P47" s="64"/>
      <c r="Q47" s="64"/>
      <c r="R47" s="64"/>
      <c r="S47" s="64"/>
      <c r="T47" s="64"/>
      <c r="U47" s="64"/>
      <c r="V47" s="64"/>
      <c r="W47" s="64"/>
      <c r="X47" s="64"/>
      <c r="Y47" s="64"/>
      <c r="Z47" s="64"/>
      <c r="AA47" s="64"/>
    </row>
    <row r="48" spans="1:27" ht="15" thickTop="1" x14ac:dyDescent="0.3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row>
  </sheetData>
  <mergeCells count="95">
    <mergeCell ref="F43:G43"/>
    <mergeCell ref="H43:I43"/>
    <mergeCell ref="J43:K43"/>
    <mergeCell ref="C45:E45"/>
    <mergeCell ref="F45:G45"/>
    <mergeCell ref="H45:I45"/>
    <mergeCell ref="J45:K45"/>
    <mergeCell ref="A45:B45"/>
    <mergeCell ref="A38:B39"/>
    <mergeCell ref="A40:B40"/>
    <mergeCell ref="A41:B41"/>
    <mergeCell ref="A42:B42"/>
    <mergeCell ref="A43:B43"/>
    <mergeCell ref="A44:B44"/>
    <mergeCell ref="D3:J3"/>
    <mergeCell ref="P6:R7"/>
    <mergeCell ref="F6:G6"/>
    <mergeCell ref="H6:I6"/>
    <mergeCell ref="J6:K6"/>
    <mergeCell ref="L6:M6"/>
    <mergeCell ref="N6:O7"/>
    <mergeCell ref="E1:J1"/>
    <mergeCell ref="L1:O1"/>
    <mergeCell ref="R1:U1"/>
    <mergeCell ref="E2:J2"/>
    <mergeCell ref="L2:O2"/>
    <mergeCell ref="R2:U2"/>
    <mergeCell ref="Y6:Z6"/>
    <mergeCell ref="L7:M7"/>
    <mergeCell ref="A5:B5"/>
    <mergeCell ref="C5:Z5"/>
    <mergeCell ref="K4:Z4"/>
    <mergeCell ref="A4:J4"/>
    <mergeCell ref="A6:A7"/>
    <mergeCell ref="B6:C7"/>
    <mergeCell ref="D6:E6"/>
    <mergeCell ref="S7:T7"/>
    <mergeCell ref="AA6:AA7"/>
    <mergeCell ref="A14:C14"/>
    <mergeCell ref="A9:B9"/>
    <mergeCell ref="D7:E7"/>
    <mergeCell ref="F7:G7"/>
    <mergeCell ref="H7:I7"/>
    <mergeCell ref="J7:K7"/>
    <mergeCell ref="U7:V7"/>
    <mergeCell ref="W7:X7"/>
    <mergeCell ref="Y7:Z7"/>
    <mergeCell ref="S6:T6"/>
    <mergeCell ref="U6:V6"/>
    <mergeCell ref="W6:X6"/>
    <mergeCell ref="A10:B10"/>
    <mergeCell ref="A11:B11"/>
    <mergeCell ref="A13:C13"/>
    <mergeCell ref="T24:V24"/>
    <mergeCell ref="T25:V28"/>
    <mergeCell ref="T30:V30"/>
    <mergeCell ref="T31:V34"/>
    <mergeCell ref="A24:Q24"/>
    <mergeCell ref="A30:Q30"/>
    <mergeCell ref="A31:Q34"/>
    <mergeCell ref="A25:Q28"/>
    <mergeCell ref="C41:E41"/>
    <mergeCell ref="C38:E39"/>
    <mergeCell ref="C40:E40"/>
    <mergeCell ref="A21:B21"/>
    <mergeCell ref="A37:K37"/>
    <mergeCell ref="F41:G41"/>
    <mergeCell ref="H41:I41"/>
    <mergeCell ref="J41:K41"/>
    <mergeCell ref="F38:G39"/>
    <mergeCell ref="H38:I39"/>
    <mergeCell ref="J38:K39"/>
    <mergeCell ref="F40:G40"/>
    <mergeCell ref="A8:Z8"/>
    <mergeCell ref="C44:E44"/>
    <mergeCell ref="F44:G44"/>
    <mergeCell ref="H44:I44"/>
    <mergeCell ref="J44:K44"/>
    <mergeCell ref="C42:E42"/>
    <mergeCell ref="F42:G42"/>
    <mergeCell ref="H42:I42"/>
    <mergeCell ref="J42:K42"/>
    <mergeCell ref="C43:E43"/>
    <mergeCell ref="H40:I40"/>
    <mergeCell ref="J40:K40"/>
    <mergeCell ref="A12:C12"/>
    <mergeCell ref="A18:B18"/>
    <mergeCell ref="A19:B19"/>
    <mergeCell ref="A20:B20"/>
    <mergeCell ref="A47:K47"/>
    <mergeCell ref="C46:E46"/>
    <mergeCell ref="F46:G46"/>
    <mergeCell ref="H46:I46"/>
    <mergeCell ref="J46:K46"/>
    <mergeCell ref="A46:B46"/>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1C00-000000000000}">
      <formula1>AvancementTheme</formula1>
    </dataValidation>
  </dataValidations>
  <hyperlinks>
    <hyperlink ref="X1" location="DPDV_04GF1" display="PdV" xr:uid="{00000000-0004-0000-1C00-000000000000}"/>
    <hyperlink ref="Y1" location="DKPI_04GF1" display="KPI's" xr:uid="{00000000-0004-0000-1C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41">
    <tabColor theme="9" tint="-0.249977111117893"/>
    <pageSetUpPr fitToPage="1"/>
  </sheetPr>
  <dimension ref="A1:AB47"/>
  <sheetViews>
    <sheetView showGridLines="0" zoomScale="120" zoomScaleNormal="120" workbookViewId="0">
      <pane xSplit="3" ySplit="9" topLeftCell="D13" activePane="bottomRight" state="frozen"/>
      <selection activeCell="A16" sqref="A16:C16"/>
      <selection pane="topRight" activeCell="A16" sqref="A16:C16"/>
      <selection pane="bottomLeft" activeCell="A16" sqref="A16:C16"/>
      <selection pane="bottomRight" activeCell="A16" sqref="A16:C16"/>
    </sheetView>
  </sheetViews>
  <sheetFormatPr baseColWidth="10" defaultColWidth="11.453125" defaultRowHeight="14.5" x14ac:dyDescent="0.35"/>
  <cols>
    <col min="1" max="1" width="11.453125" style="60" customWidth="1"/>
    <col min="2" max="2" width="11.26953125" style="60" customWidth="1"/>
    <col min="3" max="3" width="8.54296875" style="60" customWidth="1"/>
    <col min="4" max="27" width="6.7265625" style="60" customWidth="1"/>
    <col min="28" max="16384" width="11.453125" style="60"/>
  </cols>
  <sheetData>
    <row r="1" spans="1:28"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t="s">
        <v>2</v>
      </c>
      <c r="Y1" s="479" t="s">
        <v>3</v>
      </c>
      <c r="Z1" s="389"/>
      <c r="AA1" s="458"/>
      <c r="AB1" s="458"/>
    </row>
    <row r="2" spans="1:28" s="58" customFormat="1" ht="18" customHeight="1" x14ac:dyDescent="0.35">
      <c r="A2" s="393"/>
      <c r="B2" s="393"/>
      <c r="C2" s="393"/>
      <c r="D2" s="393"/>
      <c r="E2" s="3822" t="str">
        <f>NomClient</f>
        <v xml:space="preserve">EQUINIX </v>
      </c>
      <c r="F2" s="3823"/>
      <c r="G2" s="3823"/>
      <c r="H2" s="3823"/>
      <c r="I2" s="3823"/>
      <c r="J2" s="3824"/>
      <c r="K2" s="393"/>
      <c r="L2" s="3345" t="s">
        <v>407</v>
      </c>
      <c r="M2" s="3826"/>
      <c r="N2" s="3826"/>
      <c r="O2" s="3346"/>
      <c r="P2" s="2134"/>
      <c r="Q2" s="393"/>
      <c r="R2" s="3347">
        <v>42534.898877314816</v>
      </c>
      <c r="S2" s="3825"/>
      <c r="T2" s="3825"/>
      <c r="U2" s="3348"/>
      <c r="V2" s="699"/>
      <c r="W2" s="699"/>
      <c r="X2" s="451">
        <f>IF(LEN(DPDV_04GI1)&gt;0,LEN(DPDV_04GI1),0-PDV_NBmini)</f>
        <v>37</v>
      </c>
      <c r="Y2" s="451">
        <f>IF(LEN(DKPI_04GI1)&gt;0,LEN(DKPI_04GI1),0-KPI_NBmini)</f>
        <v>37</v>
      </c>
      <c r="Z2" s="699"/>
      <c r="AA2" s="459"/>
      <c r="AB2" s="459"/>
    </row>
    <row r="3" spans="1:28" ht="12.75" customHeight="1" thickBot="1" x14ac:dyDescent="0.4">
      <c r="A3" s="396"/>
      <c r="B3" s="396"/>
      <c r="C3" s="396"/>
      <c r="D3" s="3835" t="s">
        <v>1792</v>
      </c>
      <c r="E3" s="3835"/>
      <c r="F3" s="3835"/>
      <c r="G3" s="3835"/>
      <c r="H3" s="3835"/>
      <c r="I3" s="3835"/>
      <c r="J3" s="3835"/>
      <c r="K3" s="396"/>
      <c r="L3" s="396"/>
      <c r="M3" s="396"/>
      <c r="N3" s="396"/>
      <c r="O3" s="396"/>
      <c r="P3" s="396"/>
      <c r="Q3" s="393"/>
      <c r="R3" s="393"/>
      <c r="S3" s="393"/>
      <c r="T3" s="393"/>
      <c r="U3" s="393"/>
      <c r="V3" s="393"/>
      <c r="W3" s="393"/>
      <c r="X3" s="393"/>
      <c r="Y3" s="393"/>
      <c r="Z3" s="393"/>
    </row>
    <row r="4" spans="1:28" s="1" customFormat="1" ht="24.75" customHeight="1" thickBot="1" x14ac:dyDescent="0.4">
      <c r="A4" s="3842" t="str">
        <f>Parametre!B26 &amp; "   : "</f>
        <v xml:space="preserve">Marchés cibles   : </v>
      </c>
      <c r="B4" s="3842"/>
      <c r="C4" s="3842"/>
      <c r="D4" s="3842"/>
      <c r="E4" s="3842"/>
      <c r="F4" s="3842"/>
      <c r="G4" s="3842"/>
      <c r="H4" s="3842"/>
      <c r="I4" s="3842"/>
      <c r="J4" s="3842"/>
      <c r="K4" s="3840" t="str">
        <f>"Répartition à l'International pour " &amp; NomProd1</f>
        <v>Répartition à l'International pour EQUINIX</v>
      </c>
      <c r="L4" s="3840"/>
      <c r="M4" s="3840"/>
      <c r="N4" s="3840"/>
      <c r="O4" s="3840"/>
      <c r="P4" s="3840"/>
      <c r="Q4" s="3840"/>
      <c r="R4" s="3840"/>
      <c r="S4" s="3840"/>
      <c r="T4" s="3840"/>
      <c r="U4" s="3840"/>
      <c r="V4" s="3840"/>
      <c r="W4" s="3840"/>
      <c r="X4" s="3840"/>
      <c r="Y4" s="3840"/>
      <c r="Z4" s="3841"/>
      <c r="AA4" s="444"/>
      <c r="AB4" s="444"/>
    </row>
    <row r="5" spans="1:28" s="65" customFormat="1" ht="37.5" customHeight="1" thickBot="1" x14ac:dyDescent="0.4">
      <c r="A5" s="3438" t="s">
        <v>14</v>
      </c>
      <c r="B5" s="3438"/>
      <c r="C5" s="3508" t="s">
        <v>1984</v>
      </c>
      <c r="D5" s="3508"/>
      <c r="E5" s="3508"/>
      <c r="F5" s="3508"/>
      <c r="G5" s="3508"/>
      <c r="H5" s="3508"/>
      <c r="I5" s="3508"/>
      <c r="J5" s="3508"/>
      <c r="K5" s="3508"/>
      <c r="L5" s="3508"/>
      <c r="M5" s="3508"/>
      <c r="N5" s="3508"/>
      <c r="O5" s="3508"/>
      <c r="P5" s="3508"/>
      <c r="Q5" s="3508"/>
      <c r="R5" s="3508"/>
      <c r="S5" s="3508"/>
      <c r="T5" s="3508"/>
      <c r="U5" s="3508"/>
      <c r="V5" s="3508"/>
      <c r="W5" s="3508"/>
      <c r="X5" s="3508"/>
      <c r="Y5" s="3508"/>
      <c r="Z5" s="3508"/>
      <c r="AA5" s="398"/>
      <c r="AB5" s="398"/>
    </row>
    <row r="6" spans="1:28" ht="17.25" customHeight="1" x14ac:dyDescent="0.35">
      <c r="A6" s="3836"/>
      <c r="B6" s="3837" t="s">
        <v>359</v>
      </c>
      <c r="C6" s="3832"/>
      <c r="D6" s="3831" t="s">
        <v>350</v>
      </c>
      <c r="E6" s="3831"/>
      <c r="F6" s="3831" t="s">
        <v>351</v>
      </c>
      <c r="G6" s="3831"/>
      <c r="H6" s="3831" t="s">
        <v>352</v>
      </c>
      <c r="I6" s="3831"/>
      <c r="J6" s="3831" t="s">
        <v>353</v>
      </c>
      <c r="K6" s="3831"/>
      <c r="L6" s="3831" t="s">
        <v>354</v>
      </c>
      <c r="M6" s="3845"/>
      <c r="N6" s="3829"/>
      <c r="O6" s="3830"/>
      <c r="P6" s="3837" t="s">
        <v>594</v>
      </c>
      <c r="Q6" s="3832"/>
      <c r="R6" s="3832"/>
      <c r="S6" s="3831" t="s">
        <v>355</v>
      </c>
      <c r="T6" s="3831"/>
      <c r="U6" s="3831" t="s">
        <v>356</v>
      </c>
      <c r="V6" s="3831"/>
      <c r="W6" s="3831" t="s">
        <v>357</v>
      </c>
      <c r="X6" s="3831"/>
      <c r="Y6" s="3831" t="s">
        <v>358</v>
      </c>
      <c r="Z6" s="3845"/>
      <c r="AA6" s="3828"/>
      <c r="AB6" s="64"/>
    </row>
    <row r="7" spans="1:28" ht="18" customHeight="1" thickBot="1" x14ac:dyDescent="0.4">
      <c r="A7" s="3836"/>
      <c r="B7" s="3838"/>
      <c r="C7" s="3839"/>
      <c r="D7" s="3834">
        <v>1</v>
      </c>
      <c r="E7" s="3834"/>
      <c r="F7" s="3834">
        <v>2</v>
      </c>
      <c r="G7" s="3834"/>
      <c r="H7" s="3834">
        <v>3</v>
      </c>
      <c r="I7" s="3834"/>
      <c r="J7" s="3834">
        <v>4</v>
      </c>
      <c r="K7" s="3834"/>
      <c r="L7" s="3834">
        <v>5</v>
      </c>
      <c r="M7" s="3844"/>
      <c r="N7" s="3829"/>
      <c r="O7" s="3830"/>
      <c r="P7" s="3838"/>
      <c r="Q7" s="3839"/>
      <c r="R7" s="3839"/>
      <c r="S7" s="3846"/>
      <c r="T7" s="3846"/>
      <c r="U7" s="3847"/>
      <c r="V7" s="3847"/>
      <c r="W7" s="3848"/>
      <c r="X7" s="3848"/>
      <c r="Y7" s="3849"/>
      <c r="Z7" s="3850"/>
      <c r="AA7" s="3828"/>
      <c r="AB7" s="64"/>
    </row>
    <row r="8" spans="1:28" ht="36" customHeight="1" thickBot="1" x14ac:dyDescent="0.4">
      <c r="A8" s="4554" t="s">
        <v>2118</v>
      </c>
      <c r="B8" s="4554"/>
      <c r="C8" s="4554"/>
      <c r="D8" s="4554"/>
      <c r="E8" s="4554"/>
      <c r="F8" s="4554"/>
      <c r="G8" s="4554"/>
      <c r="H8" s="4554"/>
      <c r="I8" s="4554"/>
      <c r="J8" s="4554"/>
      <c r="K8" s="4554"/>
      <c r="L8" s="4554"/>
      <c r="M8" s="4554"/>
      <c r="N8" s="4554"/>
      <c r="O8" s="4554"/>
      <c r="P8" s="4554"/>
      <c r="Q8" s="4554"/>
      <c r="R8" s="4554"/>
      <c r="S8" s="4554"/>
      <c r="T8" s="4554"/>
      <c r="U8" s="4554"/>
      <c r="V8" s="4554"/>
      <c r="W8" s="4554"/>
      <c r="X8" s="4554"/>
      <c r="Y8" s="4554"/>
      <c r="Z8" s="4554"/>
      <c r="AA8" s="2486"/>
    </row>
    <row r="9" spans="1:28" s="52" customFormat="1" ht="90.75" customHeight="1" thickTop="1" thickBot="1" x14ac:dyDescent="0.4">
      <c r="A9" s="3800" t="str">
        <f>NomProd1 &amp;
" Repartition Export"</f>
        <v>EQUINIX Repartition Export</v>
      </c>
      <c r="B9" s="3801"/>
      <c r="C9" s="820" t="s">
        <v>222</v>
      </c>
      <c r="D9" s="771" t="s">
        <v>382</v>
      </c>
      <c r="E9" s="771" t="s">
        <v>383</v>
      </c>
      <c r="F9" s="771" t="s">
        <v>384</v>
      </c>
      <c r="G9" s="771" t="s">
        <v>385</v>
      </c>
      <c r="H9" s="771" t="s">
        <v>386</v>
      </c>
      <c r="I9" s="771" t="s">
        <v>387</v>
      </c>
      <c r="J9" s="771" t="s">
        <v>388</v>
      </c>
      <c r="K9" s="771" t="s">
        <v>389</v>
      </c>
      <c r="L9" s="771" t="s">
        <v>390</v>
      </c>
      <c r="M9" s="771" t="s">
        <v>391</v>
      </c>
      <c r="N9" s="771" t="s">
        <v>392</v>
      </c>
      <c r="O9" s="771" t="s">
        <v>393</v>
      </c>
      <c r="P9" s="771" t="s">
        <v>394</v>
      </c>
      <c r="Q9" s="771" t="s">
        <v>395</v>
      </c>
      <c r="R9" s="771" t="s">
        <v>396</v>
      </c>
      <c r="S9" s="771" t="s">
        <v>397</v>
      </c>
      <c r="T9" s="771" t="s">
        <v>402</v>
      </c>
      <c r="U9" s="771" t="s">
        <v>399</v>
      </c>
      <c r="V9" s="771" t="s">
        <v>1638</v>
      </c>
      <c r="W9" s="771" t="s">
        <v>401</v>
      </c>
      <c r="X9" s="771" t="s">
        <v>2044</v>
      </c>
      <c r="Y9" s="771" t="s">
        <v>403</v>
      </c>
      <c r="Z9" s="771"/>
      <c r="AA9" s="771" t="s">
        <v>405</v>
      </c>
      <c r="AB9" s="701"/>
    </row>
    <row r="10" spans="1:28" ht="17.25" customHeight="1" thickBot="1" x14ac:dyDescent="0.4">
      <c r="A10" s="4608" t="str">
        <f>"% CA client en " &amp; AnReference</f>
        <v>% CA client en 2018</v>
      </c>
      <c r="B10" s="4609"/>
      <c r="C10" s="825">
        <f>SUM(D10:AA10)</f>
        <v>0</v>
      </c>
      <c r="D10" s="316"/>
      <c r="E10" s="317"/>
      <c r="F10" s="317"/>
      <c r="G10" s="317"/>
      <c r="H10" s="317"/>
      <c r="I10" s="317"/>
      <c r="J10" s="317"/>
      <c r="K10" s="317"/>
      <c r="L10" s="317"/>
      <c r="M10" s="317"/>
      <c r="N10" s="317"/>
      <c r="O10" s="317"/>
      <c r="P10" s="317"/>
      <c r="Q10" s="317"/>
      <c r="R10" s="317"/>
      <c r="S10" s="317"/>
      <c r="T10" s="317"/>
      <c r="U10" s="317"/>
      <c r="V10" s="317"/>
      <c r="W10" s="317"/>
      <c r="X10" s="317"/>
      <c r="Y10" s="317"/>
      <c r="Z10" s="317"/>
      <c r="AA10" s="318"/>
      <c r="AB10" s="64"/>
    </row>
    <row r="11" spans="1:28" ht="31.5" customHeight="1" x14ac:dyDescent="0.35">
      <c r="A11" s="4602" t="s">
        <v>348</v>
      </c>
      <c r="B11" s="4603"/>
      <c r="C11" s="4604"/>
      <c r="D11" s="314"/>
      <c r="E11" s="114"/>
      <c r="F11" s="114"/>
      <c r="G11" s="114"/>
      <c r="H11" s="114"/>
      <c r="I11" s="114"/>
      <c r="J11" s="114"/>
      <c r="K11" s="114"/>
      <c r="L11" s="114"/>
      <c r="M11" s="114"/>
      <c r="N11" s="114"/>
      <c r="O11" s="114"/>
      <c r="P11" s="114"/>
      <c r="Q11" s="114"/>
      <c r="R11" s="114"/>
      <c r="S11" s="114"/>
      <c r="T11" s="114"/>
      <c r="U11" s="114"/>
      <c r="V11" s="114"/>
      <c r="W11" s="114"/>
      <c r="X11" s="114"/>
      <c r="Y11" s="114"/>
      <c r="Z11" s="114"/>
      <c r="AA11" s="196"/>
      <c r="AB11" s="64"/>
    </row>
    <row r="12" spans="1:28" ht="22.5" customHeight="1" thickBot="1" x14ac:dyDescent="0.4">
      <c r="A12" s="3794" t="s">
        <v>149</v>
      </c>
      <c r="B12" s="3795"/>
      <c r="C12" s="4585"/>
      <c r="D12" s="227"/>
      <c r="E12" s="228"/>
      <c r="F12" s="228"/>
      <c r="G12" s="228"/>
      <c r="H12" s="228"/>
      <c r="I12" s="228" t="s">
        <v>2042</v>
      </c>
      <c r="J12" s="228" t="s">
        <v>2043</v>
      </c>
      <c r="K12" s="228"/>
      <c r="L12" s="228" t="s">
        <v>2042</v>
      </c>
      <c r="M12" s="228" t="s">
        <v>2043</v>
      </c>
      <c r="N12" s="228"/>
      <c r="O12" s="228"/>
      <c r="P12" s="228"/>
      <c r="Q12" s="228"/>
      <c r="R12" s="228"/>
      <c r="S12" s="228"/>
      <c r="T12" s="228"/>
      <c r="U12" s="228"/>
      <c r="V12" s="228"/>
      <c r="W12" s="228"/>
      <c r="X12" s="228" t="s">
        <v>2043</v>
      </c>
      <c r="Y12" s="228"/>
      <c r="Z12" s="228"/>
      <c r="AA12" s="229"/>
      <c r="AB12" s="64"/>
    </row>
    <row r="13" spans="1:28" ht="18.75" customHeight="1" thickBot="1" x14ac:dyDescent="0.4">
      <c r="A13" s="1160" t="s">
        <v>974</v>
      </c>
      <c r="B13" s="1161"/>
      <c r="C13" s="782">
        <f>SUM(D13:Z13)</f>
        <v>0</v>
      </c>
      <c r="D13" s="790"/>
      <c r="E13" s="791"/>
      <c r="F13" s="791"/>
      <c r="G13" s="791"/>
      <c r="H13" s="791"/>
      <c r="I13" s="791"/>
      <c r="J13" s="791"/>
      <c r="K13" s="791"/>
      <c r="L13" s="791"/>
      <c r="M13" s="791"/>
      <c r="N13" s="791"/>
      <c r="O13" s="791"/>
      <c r="P13" s="791"/>
      <c r="Q13" s="791"/>
      <c r="R13" s="791"/>
      <c r="S13" s="791"/>
      <c r="T13" s="791"/>
      <c r="U13" s="791"/>
      <c r="V13" s="791"/>
      <c r="W13" s="791"/>
      <c r="X13" s="228"/>
      <c r="Y13" s="228"/>
      <c r="Z13" s="228"/>
      <c r="AA13" s="229"/>
      <c r="AB13" s="64"/>
    </row>
    <row r="14" spans="1:28" ht="9.75" customHeight="1" thickBot="1" x14ac:dyDescent="0.4">
      <c r="A14" s="1162"/>
      <c r="B14" s="1162"/>
      <c r="C14" s="1162"/>
      <c r="D14" s="1163"/>
      <c r="E14" s="1163"/>
      <c r="F14" s="1163"/>
      <c r="G14" s="1163"/>
      <c r="H14" s="1163"/>
      <c r="I14" s="1163"/>
      <c r="J14" s="1163"/>
      <c r="K14" s="1163"/>
      <c r="L14" s="1163"/>
      <c r="M14" s="1163"/>
      <c r="N14" s="1163"/>
      <c r="O14" s="1163"/>
      <c r="P14" s="1163"/>
      <c r="Q14" s="1163"/>
      <c r="R14" s="1163"/>
      <c r="S14" s="1163"/>
      <c r="T14" s="1163"/>
      <c r="U14" s="1163"/>
      <c r="V14" s="1163"/>
      <c r="W14" s="1163"/>
      <c r="X14" s="1163"/>
      <c r="Y14" s="1163"/>
      <c r="Z14" s="1163"/>
      <c r="AA14" s="229"/>
      <c r="AB14" s="64"/>
    </row>
    <row r="15" spans="1:28" ht="20.25" hidden="1" customHeight="1" thickBot="1" x14ac:dyDescent="0.4">
      <c r="A15" s="826"/>
      <c r="B15" s="826"/>
      <c r="C15" s="827"/>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64"/>
    </row>
    <row r="16" spans="1:28" ht="22.5" customHeight="1" x14ac:dyDescent="0.35">
      <c r="A16" s="3816" t="s">
        <v>2347</v>
      </c>
      <c r="B16" s="3817"/>
      <c r="C16" s="783">
        <f>SUM(D16:AA16)</f>
        <v>10</v>
      </c>
      <c r="D16" s="233"/>
      <c r="E16" s="234"/>
      <c r="F16" s="234"/>
      <c r="G16" s="234"/>
      <c r="H16" s="234"/>
      <c r="I16" s="234">
        <v>2</v>
      </c>
      <c r="J16" s="234">
        <v>2</v>
      </c>
      <c r="K16" s="234"/>
      <c r="L16" s="234">
        <v>2</v>
      </c>
      <c r="M16" s="234">
        <v>2</v>
      </c>
      <c r="N16" s="234"/>
      <c r="O16" s="234"/>
      <c r="P16" s="234"/>
      <c r="Q16" s="234"/>
      <c r="R16" s="234"/>
      <c r="S16" s="234"/>
      <c r="T16" s="234"/>
      <c r="U16" s="234"/>
      <c r="V16" s="234"/>
      <c r="W16" s="234"/>
      <c r="X16" s="234">
        <v>2</v>
      </c>
      <c r="Y16" s="234"/>
      <c r="Z16" s="234"/>
      <c r="AA16" s="235"/>
      <c r="AB16" s="64"/>
    </row>
    <row r="17" spans="1:28" ht="22.5" customHeight="1" x14ac:dyDescent="0.35">
      <c r="A17" s="4558" t="s">
        <v>2349</v>
      </c>
      <c r="B17" s="4559"/>
      <c r="C17" s="784">
        <f>SUM(D17:AA17)</f>
        <v>0</v>
      </c>
      <c r="D17" s="236"/>
      <c r="E17" s="237"/>
      <c r="F17" s="237"/>
      <c r="G17" s="237"/>
      <c r="H17" s="237"/>
      <c r="I17" s="237"/>
      <c r="J17" s="237"/>
      <c r="K17" s="237"/>
      <c r="L17" s="237"/>
      <c r="M17" s="237"/>
      <c r="N17" s="237"/>
      <c r="O17" s="237"/>
      <c r="P17" s="237"/>
      <c r="Q17" s="237"/>
      <c r="R17" s="237"/>
      <c r="S17" s="237"/>
      <c r="T17" s="237"/>
      <c r="U17" s="237"/>
      <c r="V17" s="237"/>
      <c r="W17" s="237"/>
      <c r="X17" s="237"/>
      <c r="Y17" s="237"/>
      <c r="Z17" s="237"/>
      <c r="AA17" s="238"/>
      <c r="AB17" s="64"/>
    </row>
    <row r="18" spans="1:28" ht="22.5" customHeight="1" thickBot="1" x14ac:dyDescent="0.4">
      <c r="A18" s="4560" t="s">
        <v>2348</v>
      </c>
      <c r="B18" s="4561"/>
      <c r="C18" s="812">
        <f>SUM(D18:AA18)</f>
        <v>0</v>
      </c>
      <c r="D18" s="352"/>
      <c r="E18" s="351"/>
      <c r="F18" s="351"/>
      <c r="G18" s="351"/>
      <c r="H18" s="351"/>
      <c r="I18" s="351"/>
      <c r="J18" s="351"/>
      <c r="K18" s="351"/>
      <c r="L18" s="351"/>
      <c r="M18" s="351"/>
      <c r="N18" s="351"/>
      <c r="O18" s="351"/>
      <c r="P18" s="351"/>
      <c r="Q18" s="351"/>
      <c r="R18" s="351"/>
      <c r="S18" s="351"/>
      <c r="T18" s="351"/>
      <c r="U18" s="351"/>
      <c r="V18" s="351"/>
      <c r="W18" s="351"/>
      <c r="X18" s="351"/>
      <c r="Y18" s="351"/>
      <c r="Z18" s="351"/>
      <c r="AA18" s="356"/>
      <c r="AB18" s="64"/>
    </row>
    <row r="19" spans="1:28" ht="23.25" customHeight="1" thickTop="1" thickBot="1" x14ac:dyDescent="0.4">
      <c r="A19" s="4606" t="s">
        <v>361</v>
      </c>
      <c r="B19" s="4607"/>
      <c r="C19" s="828">
        <f>SUM(D19:AA19)</f>
        <v>10</v>
      </c>
      <c r="D19" s="357">
        <f t="shared" ref="D19:AA19" si="0">D16-(D17+D18)</f>
        <v>0</v>
      </c>
      <c r="E19" s="357">
        <f t="shared" si="0"/>
        <v>0</v>
      </c>
      <c r="F19" s="357">
        <f t="shared" si="0"/>
        <v>0</v>
      </c>
      <c r="G19" s="357">
        <f t="shared" si="0"/>
        <v>0</v>
      </c>
      <c r="H19" s="357">
        <f t="shared" si="0"/>
        <v>0</v>
      </c>
      <c r="I19" s="357">
        <f t="shared" si="0"/>
        <v>2</v>
      </c>
      <c r="J19" s="357">
        <f t="shared" si="0"/>
        <v>2</v>
      </c>
      <c r="K19" s="357">
        <f t="shared" si="0"/>
        <v>0</v>
      </c>
      <c r="L19" s="357">
        <f t="shared" si="0"/>
        <v>2</v>
      </c>
      <c r="M19" s="357">
        <f t="shared" si="0"/>
        <v>2</v>
      </c>
      <c r="N19" s="357">
        <f t="shared" si="0"/>
        <v>0</v>
      </c>
      <c r="O19" s="357">
        <f t="shared" si="0"/>
        <v>0</v>
      </c>
      <c r="P19" s="357">
        <f t="shared" si="0"/>
        <v>0</v>
      </c>
      <c r="Q19" s="357">
        <f t="shared" si="0"/>
        <v>0</v>
      </c>
      <c r="R19" s="357">
        <f t="shared" si="0"/>
        <v>0</v>
      </c>
      <c r="S19" s="357">
        <f t="shared" si="0"/>
        <v>0</v>
      </c>
      <c r="T19" s="357">
        <f t="shared" si="0"/>
        <v>0</v>
      </c>
      <c r="U19" s="357">
        <f t="shared" si="0"/>
        <v>0</v>
      </c>
      <c r="V19" s="357">
        <f t="shared" si="0"/>
        <v>0</v>
      </c>
      <c r="W19" s="357">
        <f t="shared" si="0"/>
        <v>0</v>
      </c>
      <c r="X19" s="357">
        <f t="shared" si="0"/>
        <v>2</v>
      </c>
      <c r="Y19" s="357">
        <f t="shared" si="0"/>
        <v>0</v>
      </c>
      <c r="Z19" s="357">
        <f t="shared" si="0"/>
        <v>0</v>
      </c>
      <c r="AA19" s="358">
        <f t="shared" si="0"/>
        <v>0</v>
      </c>
      <c r="AB19" s="64"/>
    </row>
    <row r="20" spans="1:28" ht="15" thickTop="1" x14ac:dyDescent="0.35">
      <c r="A20" s="470"/>
      <c r="B20" s="470"/>
      <c r="C20" s="470"/>
      <c r="D20" s="470"/>
      <c r="E20" s="470"/>
      <c r="F20" s="470"/>
      <c r="G20" s="470"/>
      <c r="H20" s="470"/>
      <c r="I20" s="470"/>
      <c r="J20" s="470"/>
      <c r="K20" s="470"/>
      <c r="L20" s="470"/>
      <c r="M20" s="470"/>
      <c r="N20" s="470"/>
      <c r="O20" s="470"/>
      <c r="P20" s="470"/>
      <c r="Q20" s="470"/>
      <c r="R20" s="470"/>
      <c r="S20" s="470"/>
      <c r="T20" s="470"/>
      <c r="U20" s="470"/>
      <c r="V20" s="470"/>
      <c r="W20" s="470"/>
      <c r="X20" s="470"/>
      <c r="Y20" s="470"/>
      <c r="Z20" s="463"/>
      <c r="AA20" s="64"/>
      <c r="AB20" s="64"/>
    </row>
    <row r="21" spans="1:28" ht="15" thickBot="1" x14ac:dyDescent="0.4">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row>
    <row r="22" spans="1:28" ht="20.25" customHeight="1" thickTop="1" thickBot="1" x14ac:dyDescent="0.4">
      <c r="A22" s="4573" t="s">
        <v>10</v>
      </c>
      <c r="B22" s="4574"/>
      <c r="C22" s="4574"/>
      <c r="D22" s="4574"/>
      <c r="E22" s="4574"/>
      <c r="F22" s="4574"/>
      <c r="G22" s="4574"/>
      <c r="H22" s="4574"/>
      <c r="I22" s="4574"/>
      <c r="J22" s="4574"/>
      <c r="K22" s="4574"/>
      <c r="L22" s="4574"/>
      <c r="M22" s="4574"/>
      <c r="N22" s="4574"/>
      <c r="O22" s="4574"/>
      <c r="P22" s="4574"/>
      <c r="Q22" s="4574"/>
      <c r="R22" s="113"/>
      <c r="S22" s="3725" t="s">
        <v>748</v>
      </c>
      <c r="T22" s="3726"/>
      <c r="U22" s="3727"/>
      <c r="V22" s="31"/>
      <c r="W22" s="31"/>
      <c r="X22" s="31"/>
      <c r="Y22" s="31"/>
      <c r="Z22" s="64"/>
      <c r="AA22" s="64"/>
      <c r="AB22" s="64"/>
    </row>
    <row r="23" spans="1:28" ht="20.25" customHeight="1" x14ac:dyDescent="0.35">
      <c r="A23" s="4575" t="s">
        <v>1085</v>
      </c>
      <c r="B23" s="4576"/>
      <c r="C23" s="4576"/>
      <c r="D23" s="4576"/>
      <c r="E23" s="4576"/>
      <c r="F23" s="4576"/>
      <c r="G23" s="4576"/>
      <c r="H23" s="4576"/>
      <c r="I23" s="4576"/>
      <c r="J23" s="4576"/>
      <c r="K23" s="4576"/>
      <c r="L23" s="4576"/>
      <c r="M23" s="4576"/>
      <c r="N23" s="4576"/>
      <c r="O23" s="4576"/>
      <c r="P23" s="4576"/>
      <c r="Q23" s="4576"/>
      <c r="R23" s="36"/>
      <c r="S23" s="3750" t="s">
        <v>798</v>
      </c>
      <c r="T23" s="3751"/>
      <c r="U23" s="3752"/>
      <c r="V23" s="33"/>
      <c r="W23" s="33"/>
      <c r="X23" s="33"/>
      <c r="Y23" s="33"/>
      <c r="Z23" s="64"/>
      <c r="AA23" s="64"/>
      <c r="AB23" s="64"/>
    </row>
    <row r="24" spans="1:28" ht="20.25" customHeight="1" x14ac:dyDescent="0.35">
      <c r="A24" s="4577"/>
      <c r="B24" s="4578"/>
      <c r="C24" s="4578"/>
      <c r="D24" s="4578"/>
      <c r="E24" s="4578"/>
      <c r="F24" s="4578"/>
      <c r="G24" s="4578"/>
      <c r="H24" s="4578"/>
      <c r="I24" s="4578"/>
      <c r="J24" s="4578"/>
      <c r="K24" s="4578"/>
      <c r="L24" s="4578"/>
      <c r="M24" s="4578"/>
      <c r="N24" s="4578"/>
      <c r="O24" s="4578"/>
      <c r="P24" s="4578"/>
      <c r="Q24" s="4578"/>
      <c r="R24" s="36"/>
      <c r="S24" s="3753"/>
      <c r="T24" s="3754"/>
      <c r="U24" s="3755"/>
      <c r="V24" s="33"/>
      <c r="W24" s="33"/>
      <c r="X24" s="33"/>
      <c r="Y24" s="33"/>
      <c r="Z24" s="64"/>
      <c r="AA24" s="64"/>
      <c r="AB24" s="64"/>
    </row>
    <row r="25" spans="1:28" ht="20.25" customHeight="1" x14ac:dyDescent="0.35">
      <c r="A25" s="4577"/>
      <c r="B25" s="4578"/>
      <c r="C25" s="4578"/>
      <c r="D25" s="4578"/>
      <c r="E25" s="4578"/>
      <c r="F25" s="4578"/>
      <c r="G25" s="4578"/>
      <c r="H25" s="4578"/>
      <c r="I25" s="4578"/>
      <c r="J25" s="4578"/>
      <c r="K25" s="4578"/>
      <c r="L25" s="4578"/>
      <c r="M25" s="4578"/>
      <c r="N25" s="4578"/>
      <c r="O25" s="4578"/>
      <c r="P25" s="4578"/>
      <c r="Q25" s="4578"/>
      <c r="R25" s="36"/>
      <c r="S25" s="3753"/>
      <c r="T25" s="3754"/>
      <c r="U25" s="3755"/>
      <c r="V25" s="33"/>
      <c r="W25" s="33"/>
      <c r="X25" s="33"/>
      <c r="Y25" s="33"/>
      <c r="Z25" s="64"/>
      <c r="AA25" s="64"/>
      <c r="AB25" s="64"/>
    </row>
    <row r="26" spans="1:28" ht="15" thickBot="1" x14ac:dyDescent="0.4">
      <c r="A26" s="4579"/>
      <c r="B26" s="4580"/>
      <c r="C26" s="4580"/>
      <c r="D26" s="4580"/>
      <c r="E26" s="4580"/>
      <c r="F26" s="4580"/>
      <c r="G26" s="4580"/>
      <c r="H26" s="4580"/>
      <c r="I26" s="4580"/>
      <c r="J26" s="4580"/>
      <c r="K26" s="4580"/>
      <c r="L26" s="4580"/>
      <c r="M26" s="4580"/>
      <c r="N26" s="4580"/>
      <c r="O26" s="4580"/>
      <c r="P26" s="4580"/>
      <c r="Q26" s="4580"/>
      <c r="R26" s="36"/>
      <c r="S26" s="3756"/>
      <c r="T26" s="3757"/>
      <c r="U26" s="3758"/>
      <c r="V26" s="33"/>
      <c r="W26" s="33"/>
      <c r="X26" s="33"/>
      <c r="Y26" s="33"/>
      <c r="Z26" s="64"/>
      <c r="AA26" s="64"/>
      <c r="AB26" s="64"/>
    </row>
    <row r="27" spans="1:28" ht="15.5" thickTop="1" thickBot="1" x14ac:dyDescent="0.4">
      <c r="A27" s="64"/>
      <c r="B27" s="64"/>
      <c r="C27" s="64"/>
      <c r="D27" s="64"/>
      <c r="E27" s="64"/>
      <c r="F27" s="64"/>
      <c r="G27" s="64"/>
      <c r="H27" s="64"/>
      <c r="I27" s="64"/>
      <c r="J27" s="64"/>
      <c r="K27" s="64"/>
      <c r="L27" s="64"/>
      <c r="M27" s="64"/>
      <c r="N27" s="64"/>
      <c r="O27" s="64"/>
      <c r="P27" s="64"/>
      <c r="Q27" s="64"/>
      <c r="R27" s="64"/>
      <c r="S27" s="31"/>
      <c r="T27" s="31"/>
      <c r="U27" s="31"/>
      <c r="V27" s="64"/>
      <c r="W27" s="64"/>
      <c r="X27" s="64"/>
      <c r="Y27" s="64"/>
      <c r="Z27" s="64"/>
      <c r="AA27" s="64"/>
      <c r="AB27" s="64"/>
    </row>
    <row r="28" spans="1:28" ht="20.25" customHeight="1" thickTop="1" thickBot="1" x14ac:dyDescent="0.4">
      <c r="A28" s="4573" t="s">
        <v>11</v>
      </c>
      <c r="B28" s="4605"/>
      <c r="C28" s="4605"/>
      <c r="D28" s="4605"/>
      <c r="E28" s="4605"/>
      <c r="F28" s="4605"/>
      <c r="G28" s="4605"/>
      <c r="H28" s="4605"/>
      <c r="I28" s="4605"/>
      <c r="J28" s="4605"/>
      <c r="K28" s="4605"/>
      <c r="L28" s="4605"/>
      <c r="M28" s="4605"/>
      <c r="N28" s="4605"/>
      <c r="O28" s="4605"/>
      <c r="P28" s="4605"/>
      <c r="Q28" s="4605"/>
      <c r="R28" s="113"/>
      <c r="S28" s="3725" t="s">
        <v>748</v>
      </c>
      <c r="T28" s="3726"/>
      <c r="U28" s="3727"/>
      <c r="V28" s="31"/>
      <c r="W28" s="31"/>
      <c r="X28" s="31"/>
      <c r="Y28" s="31"/>
      <c r="Z28" s="64"/>
      <c r="AA28" s="64"/>
      <c r="AB28" s="64"/>
    </row>
    <row r="29" spans="1:28" ht="20.25" customHeight="1" x14ac:dyDescent="0.35">
      <c r="A29" s="4575" t="s">
        <v>1085</v>
      </c>
      <c r="B29" s="4581"/>
      <c r="C29" s="4581"/>
      <c r="D29" s="4581"/>
      <c r="E29" s="4581"/>
      <c r="F29" s="4581"/>
      <c r="G29" s="4581"/>
      <c r="H29" s="4581"/>
      <c r="I29" s="4581"/>
      <c r="J29" s="4581"/>
      <c r="K29" s="4581"/>
      <c r="L29" s="4581"/>
      <c r="M29" s="4581"/>
      <c r="N29" s="4581"/>
      <c r="O29" s="4581"/>
      <c r="P29" s="4581"/>
      <c r="Q29" s="4581"/>
      <c r="R29" s="36"/>
      <c r="S29" s="4593" t="s">
        <v>799</v>
      </c>
      <c r="T29" s="4594"/>
      <c r="U29" s="4595"/>
      <c r="V29" s="33"/>
      <c r="W29" s="33"/>
      <c r="X29" s="33"/>
      <c r="Y29" s="33"/>
      <c r="Z29" s="64"/>
      <c r="AA29" s="64"/>
      <c r="AB29" s="64"/>
    </row>
    <row r="30" spans="1:28" ht="20.25" customHeight="1" x14ac:dyDescent="0.35">
      <c r="A30" s="4582"/>
      <c r="B30" s="3882"/>
      <c r="C30" s="3882"/>
      <c r="D30" s="3882"/>
      <c r="E30" s="3882"/>
      <c r="F30" s="3882"/>
      <c r="G30" s="3882"/>
      <c r="H30" s="3882"/>
      <c r="I30" s="3882"/>
      <c r="J30" s="3882"/>
      <c r="K30" s="3882"/>
      <c r="L30" s="3882"/>
      <c r="M30" s="3882"/>
      <c r="N30" s="3882"/>
      <c r="O30" s="3882"/>
      <c r="P30" s="3882"/>
      <c r="Q30" s="3882"/>
      <c r="R30" s="36"/>
      <c r="S30" s="4596"/>
      <c r="T30" s="4597"/>
      <c r="U30" s="4598"/>
      <c r="V30" s="33"/>
      <c r="W30" s="33"/>
      <c r="X30" s="33"/>
      <c r="Y30" s="33"/>
      <c r="Z30" s="64"/>
      <c r="AA30" s="64"/>
      <c r="AB30" s="64"/>
    </row>
    <row r="31" spans="1:28" ht="20.25" customHeight="1" x14ac:dyDescent="0.35">
      <c r="A31" s="4582"/>
      <c r="B31" s="3882"/>
      <c r="C31" s="3882"/>
      <c r="D31" s="3882"/>
      <c r="E31" s="3882"/>
      <c r="F31" s="3882"/>
      <c r="G31" s="3882"/>
      <c r="H31" s="3882"/>
      <c r="I31" s="3882"/>
      <c r="J31" s="3882"/>
      <c r="K31" s="3882"/>
      <c r="L31" s="3882"/>
      <c r="M31" s="3882"/>
      <c r="N31" s="3882"/>
      <c r="O31" s="3882"/>
      <c r="P31" s="3882"/>
      <c r="Q31" s="3882"/>
      <c r="R31" s="36"/>
      <c r="S31" s="4596"/>
      <c r="T31" s="4597"/>
      <c r="U31" s="4598"/>
      <c r="V31" s="33"/>
      <c r="W31" s="33"/>
      <c r="X31" s="33"/>
      <c r="Y31" s="33"/>
      <c r="Z31" s="64"/>
      <c r="AA31" s="64"/>
      <c r="AB31" s="64"/>
    </row>
    <row r="32" spans="1:28" ht="15" thickBot="1" x14ac:dyDescent="0.4">
      <c r="A32" s="4583"/>
      <c r="B32" s="4584"/>
      <c r="C32" s="4584"/>
      <c r="D32" s="4584"/>
      <c r="E32" s="4584"/>
      <c r="F32" s="4584"/>
      <c r="G32" s="4584"/>
      <c r="H32" s="4584"/>
      <c r="I32" s="4584"/>
      <c r="J32" s="4584"/>
      <c r="K32" s="4584"/>
      <c r="L32" s="4584"/>
      <c r="M32" s="4584"/>
      <c r="N32" s="4584"/>
      <c r="O32" s="4584"/>
      <c r="P32" s="4584"/>
      <c r="Q32" s="4584"/>
      <c r="R32" s="36"/>
      <c r="S32" s="4599"/>
      <c r="T32" s="4600"/>
      <c r="U32" s="4601"/>
      <c r="V32" s="33"/>
      <c r="W32" s="33"/>
      <c r="X32" s="33"/>
      <c r="Y32" s="33"/>
      <c r="Z32" s="64"/>
      <c r="AA32" s="64"/>
      <c r="AB32" s="64"/>
    </row>
    <row r="33" spans="1:28" ht="15" thickTop="1" x14ac:dyDescent="0.35">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row>
    <row r="34" spans="1:28" ht="15" thickBot="1" x14ac:dyDescent="0.4">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row>
    <row r="35" spans="1:28" ht="19" thickTop="1" x14ac:dyDescent="0.45">
      <c r="A35" s="4565" t="s">
        <v>805</v>
      </c>
      <c r="B35" s="4566"/>
      <c r="C35" s="4566"/>
      <c r="D35" s="4566"/>
      <c r="E35" s="4566"/>
      <c r="F35" s="4566"/>
      <c r="G35" s="4566"/>
      <c r="H35" s="4566"/>
      <c r="I35" s="4566"/>
      <c r="J35" s="4566"/>
      <c r="K35" s="4567"/>
      <c r="L35" s="64"/>
      <c r="M35" s="64"/>
      <c r="N35" s="64"/>
      <c r="O35" s="64"/>
      <c r="P35" s="64"/>
      <c r="Q35" s="64"/>
      <c r="R35" s="64"/>
      <c r="S35" s="64"/>
      <c r="T35" s="64"/>
      <c r="U35" s="64"/>
      <c r="V35" s="64"/>
      <c r="W35" s="64"/>
      <c r="X35" s="64"/>
      <c r="Y35" s="64"/>
      <c r="Z35" s="64"/>
      <c r="AA35" s="64"/>
      <c r="AB35" s="64"/>
    </row>
    <row r="36" spans="1:28" ht="15" customHeight="1" x14ac:dyDescent="0.35">
      <c r="A36" s="4592" t="s">
        <v>800</v>
      </c>
      <c r="B36" s="4562"/>
      <c r="C36" s="4562" t="s">
        <v>801</v>
      </c>
      <c r="D36" s="4562"/>
      <c r="E36" s="4562"/>
      <c r="F36" s="4568" t="s">
        <v>882</v>
      </c>
      <c r="G36" s="4569"/>
      <c r="H36" s="4568" t="s">
        <v>891</v>
      </c>
      <c r="I36" s="4569"/>
      <c r="J36" s="4562" t="s">
        <v>802</v>
      </c>
      <c r="K36" s="4572"/>
      <c r="L36" s="64"/>
      <c r="M36" s="64"/>
      <c r="N36" s="64"/>
      <c r="O36" s="64"/>
      <c r="P36" s="64"/>
      <c r="Q36" s="64"/>
      <c r="R36" s="64"/>
      <c r="S36" s="64"/>
      <c r="T36" s="64"/>
      <c r="U36" s="64"/>
      <c r="V36" s="64"/>
      <c r="W36" s="64"/>
      <c r="X36" s="64"/>
      <c r="Y36" s="64"/>
      <c r="Z36" s="64"/>
      <c r="AA36" s="64"/>
      <c r="AB36" s="64"/>
    </row>
    <row r="37" spans="1:28" x14ac:dyDescent="0.35">
      <c r="A37" s="4592"/>
      <c r="B37" s="4562"/>
      <c r="C37" s="4562"/>
      <c r="D37" s="4562"/>
      <c r="E37" s="4562"/>
      <c r="F37" s="4570"/>
      <c r="G37" s="4571"/>
      <c r="H37" s="4570"/>
      <c r="I37" s="4571"/>
      <c r="J37" s="4562"/>
      <c r="K37" s="4572"/>
      <c r="L37" s="64"/>
      <c r="M37" s="64"/>
      <c r="N37" s="64"/>
      <c r="O37" s="64"/>
      <c r="P37" s="64"/>
      <c r="Q37" s="64"/>
      <c r="R37" s="64"/>
      <c r="S37" s="64"/>
      <c r="T37" s="64"/>
      <c r="U37" s="64"/>
      <c r="V37" s="64"/>
      <c r="W37" s="64"/>
      <c r="X37" s="64"/>
      <c r="Y37" s="64"/>
      <c r="Z37" s="64"/>
      <c r="AA37" s="64"/>
      <c r="AB37" s="64"/>
    </row>
    <row r="38" spans="1:28" x14ac:dyDescent="0.35">
      <c r="A38" s="4552" t="s">
        <v>382</v>
      </c>
      <c r="B38" s="4553"/>
      <c r="C38" s="4549"/>
      <c r="D38" s="4549"/>
      <c r="E38" s="4549"/>
      <c r="F38" s="4550"/>
      <c r="G38" s="4550"/>
      <c r="H38" s="4550"/>
      <c r="I38" s="4550"/>
      <c r="J38" s="4549"/>
      <c r="K38" s="4551"/>
      <c r="L38" s="64"/>
      <c r="M38" s="64"/>
      <c r="N38" s="64"/>
      <c r="O38" s="64"/>
      <c r="P38" s="64"/>
      <c r="Q38" s="64"/>
      <c r="R38" s="64"/>
      <c r="S38" s="64"/>
      <c r="T38" s="64"/>
      <c r="U38" s="64"/>
      <c r="V38" s="64"/>
      <c r="W38" s="64"/>
      <c r="X38" s="64"/>
      <c r="Y38" s="64"/>
      <c r="Z38" s="64"/>
      <c r="AA38" s="64"/>
      <c r="AB38" s="64"/>
    </row>
    <row r="39" spans="1:28" x14ac:dyDescent="0.35">
      <c r="A39" s="4552" t="s">
        <v>889</v>
      </c>
      <c r="B39" s="4553"/>
      <c r="C39" s="4549"/>
      <c r="D39" s="4549"/>
      <c r="E39" s="4549"/>
      <c r="F39" s="4550"/>
      <c r="G39" s="4550"/>
      <c r="H39" s="4550"/>
      <c r="I39" s="4550"/>
      <c r="J39" s="4549"/>
      <c r="K39" s="4551"/>
      <c r="L39" s="64"/>
      <c r="M39" s="64"/>
      <c r="N39" s="64"/>
      <c r="O39" s="64"/>
      <c r="P39" s="64"/>
      <c r="Q39" s="64"/>
      <c r="R39" s="64"/>
      <c r="S39" s="64"/>
      <c r="T39" s="64"/>
      <c r="U39" s="64"/>
      <c r="V39" s="64"/>
      <c r="W39" s="64"/>
      <c r="X39" s="64"/>
      <c r="Y39" s="64"/>
      <c r="Z39" s="64"/>
      <c r="AA39" s="64"/>
      <c r="AB39" s="64"/>
    </row>
    <row r="40" spans="1:28" x14ac:dyDescent="0.35">
      <c r="A40" s="4552" t="s">
        <v>890</v>
      </c>
      <c r="B40" s="4553"/>
      <c r="C40" s="4549"/>
      <c r="D40" s="4549"/>
      <c r="E40" s="4549"/>
      <c r="F40" s="4550"/>
      <c r="G40" s="4550"/>
      <c r="H40" s="4550"/>
      <c r="I40" s="4550"/>
      <c r="J40" s="4549"/>
      <c r="K40" s="4551"/>
      <c r="L40" s="64"/>
      <c r="M40" s="64"/>
      <c r="N40" s="64"/>
      <c r="O40" s="64"/>
      <c r="P40" s="64"/>
      <c r="Q40" s="64"/>
      <c r="R40" s="64"/>
      <c r="S40" s="64"/>
      <c r="T40" s="64"/>
      <c r="U40" s="64"/>
      <c r="V40" s="64"/>
      <c r="W40" s="64"/>
      <c r="X40" s="64"/>
      <c r="Y40" s="64"/>
      <c r="Z40" s="64"/>
      <c r="AA40" s="64"/>
      <c r="AB40" s="64"/>
    </row>
    <row r="41" spans="1:28" x14ac:dyDescent="0.35">
      <c r="A41" s="4552" t="s">
        <v>387</v>
      </c>
      <c r="B41" s="4553"/>
      <c r="C41" s="4549"/>
      <c r="D41" s="4549"/>
      <c r="E41" s="4549"/>
      <c r="F41" s="4550"/>
      <c r="G41" s="4550"/>
      <c r="H41" s="4550"/>
      <c r="I41" s="4550"/>
      <c r="J41" s="4549"/>
      <c r="K41" s="4551"/>
      <c r="L41" s="64"/>
      <c r="M41" s="64"/>
      <c r="N41" s="64"/>
      <c r="O41" s="64"/>
      <c r="P41" s="64"/>
      <c r="Q41" s="64"/>
      <c r="R41" s="64"/>
      <c r="S41" s="64"/>
      <c r="T41" s="64"/>
      <c r="U41" s="64"/>
      <c r="V41" s="64"/>
      <c r="W41" s="64"/>
      <c r="X41" s="64"/>
      <c r="Y41" s="64"/>
      <c r="Z41" s="64"/>
      <c r="AA41" s="64"/>
      <c r="AB41" s="64"/>
    </row>
    <row r="42" spans="1:28" x14ac:dyDescent="0.35">
      <c r="A42" s="4552" t="s">
        <v>403</v>
      </c>
      <c r="B42" s="4553"/>
      <c r="C42" s="4549"/>
      <c r="D42" s="4549"/>
      <c r="E42" s="4549"/>
      <c r="F42" s="4550"/>
      <c r="G42" s="4550"/>
      <c r="H42" s="4550"/>
      <c r="I42" s="4550"/>
      <c r="J42" s="4549"/>
      <c r="K42" s="4551"/>
      <c r="L42" s="64"/>
      <c r="M42" s="64"/>
      <c r="N42" s="64"/>
      <c r="O42" s="64"/>
      <c r="P42" s="64"/>
      <c r="Q42" s="64"/>
      <c r="R42" s="64"/>
      <c r="S42" s="64"/>
      <c r="T42" s="64"/>
      <c r="U42" s="64"/>
      <c r="V42" s="64"/>
      <c r="W42" s="64"/>
      <c r="X42" s="64"/>
      <c r="Y42" s="64"/>
      <c r="Z42" s="64"/>
      <c r="AA42" s="64"/>
      <c r="AB42" s="64"/>
    </row>
    <row r="43" spans="1:28" x14ac:dyDescent="0.35">
      <c r="A43" s="4552"/>
      <c r="B43" s="4553"/>
      <c r="C43" s="4549"/>
      <c r="D43" s="4549"/>
      <c r="E43" s="4549"/>
      <c r="F43" s="4550"/>
      <c r="G43" s="4550"/>
      <c r="H43" s="4550"/>
      <c r="I43" s="4550"/>
      <c r="J43" s="4549"/>
      <c r="K43" s="4551"/>
      <c r="L43" s="64"/>
      <c r="M43" s="64"/>
      <c r="N43" s="64"/>
      <c r="O43" s="64"/>
      <c r="P43" s="64"/>
      <c r="Q43" s="64"/>
      <c r="R43" s="64"/>
      <c r="S43" s="64"/>
      <c r="T43" s="64"/>
      <c r="U43" s="64"/>
      <c r="V43" s="64"/>
      <c r="W43" s="64"/>
      <c r="X43" s="64"/>
      <c r="Y43" s="64"/>
      <c r="Z43" s="64"/>
      <c r="AA43" s="64"/>
      <c r="AB43" s="64"/>
    </row>
    <row r="44" spans="1:28" x14ac:dyDescent="0.35">
      <c r="A44" s="4552"/>
      <c r="B44" s="4553"/>
      <c r="C44" s="4549"/>
      <c r="D44" s="4549"/>
      <c r="E44" s="4549"/>
      <c r="F44" s="4550"/>
      <c r="G44" s="4550"/>
      <c r="H44" s="4550"/>
      <c r="I44" s="4550"/>
      <c r="J44" s="4549"/>
      <c r="K44" s="4551"/>
      <c r="L44" s="64"/>
      <c r="M44" s="64"/>
      <c r="N44" s="64"/>
      <c r="O44" s="64"/>
      <c r="P44" s="64"/>
      <c r="Q44" s="64"/>
      <c r="R44" s="64"/>
      <c r="S44" s="64"/>
      <c r="T44" s="64"/>
      <c r="U44" s="64"/>
      <c r="V44" s="64"/>
      <c r="W44" s="64"/>
      <c r="X44" s="64"/>
      <c r="Y44" s="64"/>
      <c r="Z44" s="64"/>
      <c r="AA44" s="64"/>
      <c r="AB44" s="64"/>
    </row>
    <row r="45" spans="1:28" ht="15" thickBot="1" x14ac:dyDescent="0.4">
      <c r="A45" s="4546"/>
      <c r="B45" s="4547"/>
      <c r="C45" s="4547"/>
      <c r="D45" s="4547"/>
      <c r="E45" s="4547"/>
      <c r="F45" s="4547"/>
      <c r="G45" s="4547"/>
      <c r="H45" s="4547"/>
      <c r="I45" s="4547"/>
      <c r="J45" s="4547"/>
      <c r="K45" s="4548"/>
      <c r="L45" s="64"/>
      <c r="M45" s="64"/>
      <c r="N45" s="64"/>
      <c r="O45" s="64"/>
      <c r="P45" s="64"/>
      <c r="Q45" s="64"/>
      <c r="R45" s="64"/>
      <c r="S45" s="64"/>
      <c r="T45" s="64"/>
      <c r="U45" s="64"/>
      <c r="V45" s="64"/>
      <c r="W45" s="64"/>
      <c r="X45" s="64"/>
      <c r="Y45" s="64"/>
      <c r="Z45" s="64"/>
      <c r="AA45" s="64"/>
      <c r="AB45" s="64"/>
    </row>
    <row r="46" spans="1:28" ht="15" thickTop="1" x14ac:dyDescent="0.3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row>
    <row r="47" spans="1:28" x14ac:dyDescent="0.35">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row>
  </sheetData>
  <mergeCells count="93">
    <mergeCell ref="D3:J3"/>
    <mergeCell ref="E1:J1"/>
    <mergeCell ref="L1:O1"/>
    <mergeCell ref="R1:U1"/>
    <mergeCell ref="E2:J2"/>
    <mergeCell ref="L2:O2"/>
    <mergeCell ref="R2:U2"/>
    <mergeCell ref="L6:M6"/>
    <mergeCell ref="N6:O7"/>
    <mergeCell ref="P6:R7"/>
    <mergeCell ref="A5:B5"/>
    <mergeCell ref="K4:Z4"/>
    <mergeCell ref="A4:J4"/>
    <mergeCell ref="C5:Z5"/>
    <mergeCell ref="AA6:AA7"/>
    <mergeCell ref="A6:A7"/>
    <mergeCell ref="B6:C7"/>
    <mergeCell ref="D6:E6"/>
    <mergeCell ref="F6:G6"/>
    <mergeCell ref="S6:T6"/>
    <mergeCell ref="U6:V6"/>
    <mergeCell ref="W6:X6"/>
    <mergeCell ref="Y6:Z6"/>
    <mergeCell ref="S7:T7"/>
    <mergeCell ref="U7:V7"/>
    <mergeCell ref="W7:X7"/>
    <mergeCell ref="Y7:Z7"/>
    <mergeCell ref="L7:M7"/>
    <mergeCell ref="H6:I6"/>
    <mergeCell ref="J6:K6"/>
    <mergeCell ref="A19:B19"/>
    <mergeCell ref="D7:E7"/>
    <mergeCell ref="F7:G7"/>
    <mergeCell ref="H7:I7"/>
    <mergeCell ref="J7:K7"/>
    <mergeCell ref="A10:B10"/>
    <mergeCell ref="A16:B16"/>
    <mergeCell ref="A17:B17"/>
    <mergeCell ref="A18:B18"/>
    <mergeCell ref="A35:K35"/>
    <mergeCell ref="A36:B37"/>
    <mergeCell ref="C36:E37"/>
    <mergeCell ref="F36:G37"/>
    <mergeCell ref="H36:I37"/>
    <mergeCell ref="J36:K37"/>
    <mergeCell ref="A38:B38"/>
    <mergeCell ref="A39:B39"/>
    <mergeCell ref="A40:B40"/>
    <mergeCell ref="A41:B41"/>
    <mergeCell ref="A42:B42"/>
    <mergeCell ref="C38:E38"/>
    <mergeCell ref="F38:G38"/>
    <mergeCell ref="H38:I38"/>
    <mergeCell ref="J38:K38"/>
    <mergeCell ref="C39:E39"/>
    <mergeCell ref="F39:G39"/>
    <mergeCell ref="H39:I39"/>
    <mergeCell ref="J39:K39"/>
    <mergeCell ref="C43:E43"/>
    <mergeCell ref="F43:G43"/>
    <mergeCell ref="H43:I43"/>
    <mergeCell ref="J43:K43"/>
    <mergeCell ref="A45:K45"/>
    <mergeCell ref="A43:B43"/>
    <mergeCell ref="A44:B44"/>
    <mergeCell ref="C44:E44"/>
    <mergeCell ref="F44:G44"/>
    <mergeCell ref="H44:I44"/>
    <mergeCell ref="J44:K44"/>
    <mergeCell ref="C40:E40"/>
    <mergeCell ref="F40:G40"/>
    <mergeCell ref="H40:I40"/>
    <mergeCell ref="J40:K40"/>
    <mergeCell ref="C41:E41"/>
    <mergeCell ref="F41:G41"/>
    <mergeCell ref="H41:I41"/>
    <mergeCell ref="J41:K41"/>
    <mergeCell ref="C42:E42"/>
    <mergeCell ref="F42:G42"/>
    <mergeCell ref="H42:I42"/>
    <mergeCell ref="J42:K42"/>
    <mergeCell ref="A8:Z8"/>
    <mergeCell ref="S22:U22"/>
    <mergeCell ref="S23:U26"/>
    <mergeCell ref="S28:U28"/>
    <mergeCell ref="S29:U32"/>
    <mergeCell ref="A11:C11"/>
    <mergeCell ref="A12:C12"/>
    <mergeCell ref="A9:B9"/>
    <mergeCell ref="A29:Q32"/>
    <mergeCell ref="A22:Q22"/>
    <mergeCell ref="A28:Q28"/>
    <mergeCell ref="A23:Q26"/>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1D00-000000000000}">
      <formula1>AvancementTheme</formula1>
    </dataValidation>
  </dataValidations>
  <hyperlinks>
    <hyperlink ref="X1" location="DPDV_04GI1" display="PdV" xr:uid="{00000000-0004-0000-1D00-000000000000}"/>
    <hyperlink ref="Y1" location="DKPI_04GI1" display="KPI's" xr:uid="{00000000-0004-0000-1D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47">
    <tabColor theme="2" tint="-0.249977111117893"/>
    <pageSetUpPr fitToPage="1"/>
  </sheetPr>
  <dimension ref="A1:V40"/>
  <sheetViews>
    <sheetView showGridLines="0" zoomScaleNormal="100" workbookViewId="0">
      <pane ySplit="8" topLeftCell="A9" activePane="bottomLeft" state="frozen"/>
      <selection activeCell="A16" sqref="A16:C16"/>
      <selection pane="bottomLeft" activeCell="A16" sqref="A16:C16"/>
    </sheetView>
  </sheetViews>
  <sheetFormatPr baseColWidth="10" defaultColWidth="11.453125" defaultRowHeight="14.5" x14ac:dyDescent="0.35"/>
  <cols>
    <col min="1" max="3" width="11.453125" style="60"/>
    <col min="4" max="4" width="10.7265625" style="60" customWidth="1"/>
    <col min="5" max="5" width="11.7265625" style="60" customWidth="1"/>
    <col min="6" max="9" width="10.7265625" style="60" customWidth="1"/>
    <col min="10" max="10" width="9.453125" style="60" customWidth="1"/>
    <col min="11" max="11" width="10.7265625" style="60" customWidth="1"/>
    <col min="12" max="17" width="9.453125" style="60" customWidth="1"/>
    <col min="18"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389"/>
      <c r="P1" s="450" t="s">
        <v>2</v>
      </c>
      <c r="Q1" s="479" t="s">
        <v>3</v>
      </c>
      <c r="R1" s="458"/>
    </row>
    <row r="2" spans="1:22" s="58" customFormat="1" ht="18" customHeight="1" x14ac:dyDescent="0.35">
      <c r="A2" s="393"/>
      <c r="B2" s="393"/>
      <c r="C2" s="393"/>
      <c r="D2" s="3342" t="str">
        <f>NomClient</f>
        <v xml:space="preserve">EQUINIX </v>
      </c>
      <c r="E2" s="3343"/>
      <c r="F2" s="3343"/>
      <c r="G2" s="3344"/>
      <c r="H2" s="393"/>
      <c r="I2" s="3345" t="s">
        <v>407</v>
      </c>
      <c r="J2" s="3346"/>
      <c r="K2" s="393"/>
      <c r="L2" s="3347">
        <v>42534.898796296293</v>
      </c>
      <c r="M2" s="3348"/>
      <c r="N2" s="699"/>
      <c r="O2" s="394"/>
      <c r="P2" s="451">
        <f>IF(LEN(DPDV_06TP1)&gt;0,LEN(DPDV_06TP1),0-PDV_NBmini)</f>
        <v>99</v>
      </c>
      <c r="Q2" s="451">
        <f>IF(LEN(DKPI_06TP1)&gt;0,LEN(DKPI_06TP1),0-KPI_NBmini)</f>
        <v>-10</v>
      </c>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396"/>
      <c r="R3" s="64"/>
      <c r="S3" s="64"/>
      <c r="T3" s="64"/>
      <c r="U3" s="64"/>
      <c r="V3" s="64"/>
    </row>
    <row r="4" spans="1:22" s="1" customFormat="1" ht="24.75" customHeight="1" thickBot="1" x14ac:dyDescent="0.4">
      <c r="A4" s="3769" t="str">
        <f>Parametre!B28 &amp; "  : "</f>
        <v xml:space="preserve">Typologie des partenaires  : </v>
      </c>
      <c r="B4" s="3769"/>
      <c r="C4" s="3769"/>
      <c r="D4" s="3769"/>
      <c r="E4" s="3769"/>
      <c r="F4" s="3769"/>
      <c r="G4" s="3769"/>
      <c r="H4" s="3767" t="s">
        <v>2361</v>
      </c>
      <c r="I4" s="3767"/>
      <c r="J4" s="3767"/>
      <c r="K4" s="3767"/>
      <c r="L4" s="3767"/>
      <c r="M4" s="3767"/>
      <c r="N4" s="3767"/>
      <c r="O4" s="3767"/>
      <c r="P4" s="3767"/>
      <c r="Q4" s="3768"/>
      <c r="R4" s="444"/>
    </row>
    <row r="5" spans="1:22" s="25" customFormat="1" ht="36" customHeight="1" thickBot="1" x14ac:dyDescent="0.4">
      <c r="A5" s="3438" t="s">
        <v>14</v>
      </c>
      <c r="B5" s="3438"/>
      <c r="C5" s="3508" t="s">
        <v>810</v>
      </c>
      <c r="D5" s="3508"/>
      <c r="E5" s="3508"/>
      <c r="F5" s="3508"/>
      <c r="G5" s="3508"/>
      <c r="H5" s="3508"/>
      <c r="I5" s="3508"/>
      <c r="J5" s="3508"/>
      <c r="K5" s="3508"/>
      <c r="L5" s="3508"/>
      <c r="M5" s="3508"/>
      <c r="N5" s="3508"/>
      <c r="O5" s="3508"/>
      <c r="P5" s="3508"/>
      <c r="Q5" s="3508"/>
      <c r="R5" s="767"/>
    </row>
    <row r="6" spans="1:22" s="118" customFormat="1" ht="30.75" customHeight="1" thickTop="1" x14ac:dyDescent="0.35">
      <c r="A6" s="4636" t="s">
        <v>463</v>
      </c>
      <c r="B6" s="4637"/>
      <c r="C6" s="4637"/>
      <c r="D6" s="4645"/>
      <c r="E6" s="837" t="s">
        <v>462</v>
      </c>
      <c r="F6" s="4642" t="s">
        <v>461</v>
      </c>
      <c r="G6" s="4643"/>
      <c r="H6" s="4643"/>
      <c r="I6" s="4644"/>
      <c r="J6" s="4636" t="s">
        <v>460</v>
      </c>
      <c r="K6" s="4637"/>
      <c r="L6" s="4637"/>
      <c r="M6" s="4637"/>
      <c r="N6" s="4637"/>
      <c r="O6" s="4637"/>
      <c r="P6" s="4637"/>
      <c r="Q6" s="4638"/>
      <c r="R6" s="836"/>
    </row>
    <row r="7" spans="1:22" s="118" customFormat="1" ht="72.75" customHeight="1" x14ac:dyDescent="0.35">
      <c r="A7" s="4649" t="s">
        <v>459</v>
      </c>
      <c r="B7" s="4650"/>
      <c r="C7" s="4650"/>
      <c r="D7" s="4651"/>
      <c r="E7" s="838" t="s">
        <v>508</v>
      </c>
      <c r="F7" s="839" t="s">
        <v>1869</v>
      </c>
      <c r="G7" s="840" t="s">
        <v>174</v>
      </c>
      <c r="H7" s="840" t="s">
        <v>110</v>
      </c>
      <c r="I7" s="841" t="s">
        <v>111</v>
      </c>
      <c r="J7" s="4632" t="s">
        <v>1863</v>
      </c>
      <c r="K7" s="4633"/>
      <c r="L7" s="4634" t="s">
        <v>1800</v>
      </c>
      <c r="M7" s="4634"/>
      <c r="N7" s="4634" t="s">
        <v>456</v>
      </c>
      <c r="O7" s="4634"/>
      <c r="P7" s="4634" t="s">
        <v>1864</v>
      </c>
      <c r="Q7" s="4635"/>
      <c r="R7" s="842"/>
    </row>
    <row r="8" spans="1:22" s="118" customFormat="1" ht="0.75" customHeight="1" x14ac:dyDescent="0.35">
      <c r="A8" s="843" t="s">
        <v>454</v>
      </c>
      <c r="B8" s="844"/>
      <c r="C8" s="845"/>
      <c r="D8" s="846"/>
      <c r="E8" s="847"/>
      <c r="F8" s="848"/>
      <c r="G8" s="849"/>
      <c r="H8" s="844"/>
      <c r="I8" s="850"/>
      <c r="J8" s="851"/>
      <c r="K8" s="852"/>
      <c r="L8" s="853"/>
      <c r="M8" s="854"/>
      <c r="N8" s="854"/>
      <c r="O8" s="854"/>
      <c r="P8" s="854"/>
      <c r="Q8" s="855"/>
      <c r="R8" s="836"/>
    </row>
    <row r="9" spans="1:22" s="118" customFormat="1" ht="0.75" customHeight="1" x14ac:dyDescent="0.35">
      <c r="A9" s="843"/>
      <c r="B9" s="844"/>
      <c r="C9" s="845"/>
      <c r="D9" s="846"/>
      <c r="E9" s="847"/>
      <c r="F9" s="848"/>
      <c r="G9" s="849"/>
      <c r="H9" s="844"/>
      <c r="I9" s="850"/>
      <c r="J9" s="851"/>
      <c r="K9" s="852"/>
      <c r="L9" s="853"/>
      <c r="M9" s="854"/>
      <c r="N9" s="854"/>
      <c r="O9" s="854"/>
      <c r="P9" s="854"/>
      <c r="Q9" s="855"/>
      <c r="R9" s="836"/>
    </row>
    <row r="10" spans="1:22" s="121" customFormat="1" ht="13.5" customHeight="1" x14ac:dyDescent="0.35">
      <c r="A10" s="4652" t="s">
        <v>2120</v>
      </c>
      <c r="B10" s="4653"/>
      <c r="C10" s="4653"/>
      <c r="D10" s="4653"/>
      <c r="E10" s="4653"/>
      <c r="F10" s="4653"/>
      <c r="G10" s="4653"/>
      <c r="H10" s="4653"/>
      <c r="I10" s="4653"/>
      <c r="J10" s="4653"/>
      <c r="K10" s="4653"/>
      <c r="L10" s="4653"/>
      <c r="M10" s="4653"/>
      <c r="N10" s="4653"/>
      <c r="O10" s="4653"/>
      <c r="P10" s="4653"/>
      <c r="Q10" s="4654"/>
      <c r="R10" s="856"/>
    </row>
    <row r="11" spans="1:22" s="116" customFormat="1" ht="35.25" customHeight="1" x14ac:dyDescent="0.3">
      <c r="A11" s="4655" t="s">
        <v>614</v>
      </c>
      <c r="B11" s="4656"/>
      <c r="C11" s="4656"/>
      <c r="D11" s="4657"/>
      <c r="E11" s="226"/>
      <c r="F11" s="1208"/>
      <c r="G11" s="1209"/>
      <c r="H11" s="1205"/>
      <c r="I11" s="1207"/>
      <c r="J11" s="4658"/>
      <c r="K11" s="4623"/>
      <c r="L11" s="4623"/>
      <c r="M11" s="4623"/>
      <c r="N11" s="4623"/>
      <c r="O11" s="4623"/>
      <c r="P11" s="4623"/>
      <c r="Q11" s="4646"/>
      <c r="R11" s="651"/>
    </row>
    <row r="12" spans="1:22" s="118" customFormat="1" ht="35.25" customHeight="1" x14ac:dyDescent="0.35">
      <c r="A12" s="4639" t="s">
        <v>1871</v>
      </c>
      <c r="B12" s="4640"/>
      <c r="C12" s="4640"/>
      <c r="D12" s="4641"/>
      <c r="E12" s="226" t="s">
        <v>741</v>
      </c>
      <c r="F12" s="310"/>
      <c r="G12" s="311"/>
      <c r="H12" s="311"/>
      <c r="I12" s="312"/>
      <c r="J12" s="4647"/>
      <c r="K12" s="4648"/>
      <c r="L12" s="4621"/>
      <c r="M12" s="4621"/>
      <c r="N12" s="4622"/>
      <c r="O12" s="4622"/>
      <c r="P12" s="4622"/>
      <c r="Q12" s="4624"/>
      <c r="R12" s="836"/>
    </row>
    <row r="13" spans="1:22" s="118" customFormat="1" ht="35.25" customHeight="1" x14ac:dyDescent="0.35">
      <c r="A13" s="4639" t="s">
        <v>610</v>
      </c>
      <c r="B13" s="4640"/>
      <c r="C13" s="4640"/>
      <c r="D13" s="4641"/>
      <c r="E13" s="226" t="s">
        <v>741</v>
      </c>
      <c r="F13" s="310"/>
      <c r="G13" s="311"/>
      <c r="H13" s="311"/>
      <c r="I13" s="312"/>
      <c r="J13" s="4619"/>
      <c r="K13" s="4620"/>
      <c r="L13" s="4621"/>
      <c r="M13" s="4621"/>
      <c r="N13" s="4622"/>
      <c r="O13" s="4622"/>
      <c r="P13" s="4622"/>
      <c r="Q13" s="4624"/>
      <c r="R13" s="836"/>
    </row>
    <row r="14" spans="1:22" s="123" customFormat="1" ht="35.25" customHeight="1" x14ac:dyDescent="0.3">
      <c r="A14" s="4639" t="s">
        <v>2018</v>
      </c>
      <c r="B14" s="4640"/>
      <c r="C14" s="4640"/>
      <c r="D14" s="4641"/>
      <c r="E14" s="226" t="s">
        <v>741</v>
      </c>
      <c r="F14" s="313"/>
      <c r="G14" s="311"/>
      <c r="H14" s="311"/>
      <c r="I14" s="312"/>
      <c r="J14" s="4619"/>
      <c r="K14" s="4620"/>
      <c r="L14" s="4621"/>
      <c r="M14" s="4621"/>
      <c r="N14" s="4622"/>
      <c r="O14" s="4622"/>
      <c r="P14" s="4622"/>
      <c r="Q14" s="4624"/>
      <c r="R14" s="857"/>
    </row>
    <row r="15" spans="1:22" s="123" customFormat="1" ht="35.25" customHeight="1" x14ac:dyDescent="0.3">
      <c r="A15" s="4639" t="s">
        <v>2353</v>
      </c>
      <c r="B15" s="4640"/>
      <c r="C15" s="4640"/>
      <c r="D15" s="4641"/>
      <c r="E15" s="226" t="s">
        <v>741</v>
      </c>
      <c r="F15" s="313"/>
      <c r="G15" s="311"/>
      <c r="H15" s="311"/>
      <c r="I15" s="312"/>
      <c r="J15" s="4619"/>
      <c r="K15" s="4620"/>
      <c r="L15" s="4621"/>
      <c r="M15" s="4621"/>
      <c r="N15" s="4622"/>
      <c r="O15" s="4622"/>
      <c r="P15" s="4622"/>
      <c r="Q15" s="4624"/>
      <c r="R15" s="857"/>
    </row>
    <row r="16" spans="1:22" s="124" customFormat="1" ht="35.25" customHeight="1" x14ac:dyDescent="0.35">
      <c r="A16" s="4639" t="s">
        <v>1870</v>
      </c>
      <c r="B16" s="4640"/>
      <c r="C16" s="4640"/>
      <c r="D16" s="4641"/>
      <c r="E16" s="226" t="s">
        <v>151</v>
      </c>
      <c r="F16" s="310"/>
      <c r="G16" s="311"/>
      <c r="H16" s="311"/>
      <c r="I16" s="312"/>
      <c r="J16" s="4619"/>
      <c r="K16" s="4620"/>
      <c r="L16" s="4621"/>
      <c r="M16" s="4621"/>
      <c r="N16" s="4622"/>
      <c r="O16" s="4622"/>
      <c r="P16" s="4622"/>
      <c r="Q16" s="4624"/>
      <c r="R16" s="858"/>
    </row>
    <row r="17" spans="1:18" s="118" customFormat="1" ht="35.25" customHeight="1" x14ac:dyDescent="0.35">
      <c r="A17" s="4639" t="s">
        <v>2354</v>
      </c>
      <c r="B17" s="4640"/>
      <c r="C17" s="4640"/>
      <c r="D17" s="4641"/>
      <c r="E17" s="226" t="s">
        <v>151</v>
      </c>
      <c r="F17" s="310"/>
      <c r="G17" s="311"/>
      <c r="H17" s="311"/>
      <c r="I17" s="312"/>
      <c r="J17" s="4619"/>
      <c r="K17" s="4620"/>
      <c r="L17" s="4621"/>
      <c r="M17" s="4621"/>
      <c r="N17" s="4622"/>
      <c r="O17" s="4622"/>
      <c r="P17" s="4622"/>
      <c r="Q17" s="4624"/>
      <c r="R17" s="836"/>
    </row>
    <row r="18" spans="1:18" s="118" customFormat="1" ht="35.25" customHeight="1" x14ac:dyDescent="0.35">
      <c r="A18" s="4639" t="s">
        <v>2355</v>
      </c>
      <c r="B18" s="4640"/>
      <c r="C18" s="4640"/>
      <c r="D18" s="4641"/>
      <c r="E18" s="226" t="s">
        <v>151</v>
      </c>
      <c r="F18" s="310"/>
      <c r="G18" s="311"/>
      <c r="H18" s="311"/>
      <c r="I18" s="312"/>
      <c r="J18" s="4619"/>
      <c r="K18" s="4620"/>
      <c r="L18" s="4621"/>
      <c r="M18" s="4621"/>
      <c r="N18" s="4622"/>
      <c r="O18" s="4622"/>
      <c r="P18" s="4622"/>
      <c r="Q18" s="4624"/>
      <c r="R18" s="836"/>
    </row>
    <row r="19" spans="1:18" s="124" customFormat="1" ht="35.25" customHeight="1" x14ac:dyDescent="0.35">
      <c r="A19" s="4639" t="s">
        <v>102</v>
      </c>
      <c r="B19" s="4640"/>
      <c r="C19" s="4640"/>
      <c r="D19" s="4641"/>
      <c r="E19" s="226"/>
      <c r="F19" s="310"/>
      <c r="G19" s="311"/>
      <c r="H19" s="311"/>
      <c r="I19" s="312"/>
      <c r="J19" s="4619"/>
      <c r="K19" s="4620"/>
      <c r="L19" s="4621"/>
      <c r="M19" s="4621"/>
      <c r="N19" s="4622"/>
      <c r="O19" s="4622"/>
      <c r="P19" s="4622"/>
      <c r="Q19" s="4624"/>
      <c r="R19" s="858"/>
    </row>
    <row r="20" spans="1:18" s="124" customFormat="1" ht="35.25" customHeight="1" x14ac:dyDescent="0.35">
      <c r="A20" s="4639"/>
      <c r="B20" s="4640"/>
      <c r="C20" s="4640"/>
      <c r="D20" s="4641"/>
      <c r="E20" s="226"/>
      <c r="F20" s="310"/>
      <c r="G20" s="311"/>
      <c r="H20" s="311"/>
      <c r="I20" s="312"/>
      <c r="J20" s="4619"/>
      <c r="K20" s="4620"/>
      <c r="L20" s="4621"/>
      <c r="M20" s="4621"/>
      <c r="N20" s="4622"/>
      <c r="O20" s="4622"/>
      <c r="P20" s="4622"/>
      <c r="Q20" s="4624"/>
      <c r="R20" s="858"/>
    </row>
    <row r="21" spans="1:18" s="124" customFormat="1" ht="35.25" customHeight="1" x14ac:dyDescent="0.35">
      <c r="A21" s="4639"/>
      <c r="B21" s="4640"/>
      <c r="C21" s="4640"/>
      <c r="D21" s="4641"/>
      <c r="E21" s="226"/>
      <c r="F21" s="310"/>
      <c r="G21" s="311"/>
      <c r="H21" s="311"/>
      <c r="I21" s="312"/>
      <c r="J21" s="4619"/>
      <c r="K21" s="4620"/>
      <c r="L21" s="4621"/>
      <c r="M21" s="4621"/>
      <c r="N21" s="4622"/>
      <c r="O21" s="4622"/>
      <c r="P21" s="4622"/>
      <c r="Q21" s="4624"/>
      <c r="R21" s="858"/>
    </row>
    <row r="22" spans="1:18" s="124" customFormat="1" ht="35.25" customHeight="1" x14ac:dyDescent="0.35">
      <c r="A22" s="4639"/>
      <c r="B22" s="4640"/>
      <c r="C22" s="4640"/>
      <c r="D22" s="4641"/>
      <c r="E22" s="226"/>
      <c r="F22" s="310"/>
      <c r="G22" s="311"/>
      <c r="H22" s="311"/>
      <c r="I22" s="312"/>
      <c r="J22" s="4619"/>
      <c r="K22" s="4620"/>
      <c r="L22" s="4621"/>
      <c r="M22" s="4621"/>
      <c r="N22" s="4622"/>
      <c r="O22" s="4622"/>
      <c r="P22" s="4622"/>
      <c r="Q22" s="4624"/>
      <c r="R22" s="858"/>
    </row>
    <row r="23" spans="1:18" s="124" customFormat="1" ht="35.25" customHeight="1" x14ac:dyDescent="0.35">
      <c r="A23" s="4639"/>
      <c r="B23" s="4640"/>
      <c r="C23" s="4640"/>
      <c r="D23" s="4641"/>
      <c r="E23" s="226"/>
      <c r="F23" s="310"/>
      <c r="G23" s="311"/>
      <c r="H23" s="311"/>
      <c r="I23" s="312"/>
      <c r="J23" s="4619"/>
      <c r="K23" s="4620"/>
      <c r="L23" s="4621"/>
      <c r="M23" s="4621"/>
      <c r="N23" s="4622"/>
      <c r="O23" s="4622"/>
      <c r="P23" s="4622"/>
      <c r="Q23" s="4624"/>
      <c r="R23" s="858"/>
    </row>
    <row r="24" spans="1:18" s="124" customFormat="1" ht="35.25" customHeight="1" x14ac:dyDescent="0.35">
      <c r="A24" s="4639"/>
      <c r="B24" s="4640"/>
      <c r="C24" s="4640"/>
      <c r="D24" s="4641"/>
      <c r="E24" s="226"/>
      <c r="F24" s="310"/>
      <c r="G24" s="311"/>
      <c r="H24" s="311"/>
      <c r="I24" s="312"/>
      <c r="J24" s="4619"/>
      <c r="K24" s="4620"/>
      <c r="L24" s="4621"/>
      <c r="M24" s="4621"/>
      <c r="N24" s="4622"/>
      <c r="O24" s="4622"/>
      <c r="P24" s="4622"/>
      <c r="Q24" s="4624"/>
      <c r="R24" s="858"/>
    </row>
    <row r="25" spans="1:18" s="121" customFormat="1" ht="7.5" customHeight="1" thickBot="1" x14ac:dyDescent="0.4">
      <c r="A25" s="3770"/>
      <c r="B25" s="3771"/>
      <c r="C25" s="3771"/>
      <c r="D25" s="3771"/>
      <c r="E25" s="3771"/>
      <c r="F25" s="3771"/>
      <c r="G25" s="3771"/>
      <c r="H25" s="3771"/>
      <c r="I25" s="3771"/>
      <c r="J25" s="3771"/>
      <c r="K25" s="3771"/>
      <c r="L25" s="3771"/>
      <c r="M25" s="3771"/>
      <c r="N25" s="3771"/>
      <c r="O25" s="3771"/>
      <c r="P25" s="3771"/>
      <c r="Q25" s="3772"/>
      <c r="R25" s="856"/>
    </row>
    <row r="26" spans="1:18" ht="13.5" customHeight="1" thickTop="1" x14ac:dyDescent="0.35">
      <c r="A26" s="859"/>
      <c r="B26" s="859"/>
      <c r="C26" s="860"/>
      <c r="D26" s="860"/>
      <c r="E26" s="860"/>
      <c r="F26" s="860"/>
      <c r="G26" s="860"/>
      <c r="H26" s="860"/>
      <c r="I26" s="860"/>
      <c r="J26" s="860"/>
      <c r="K26" s="860"/>
      <c r="L26" s="860"/>
      <c r="M26" s="860"/>
      <c r="N26" s="860"/>
      <c r="O26" s="861"/>
      <c r="P26" s="861"/>
      <c r="Q26" s="860"/>
      <c r="R26" s="64"/>
    </row>
    <row r="27" spans="1:18" ht="15" thickBot="1" x14ac:dyDescent="0.4">
      <c r="A27" s="64"/>
      <c r="B27" s="64"/>
      <c r="C27" s="64"/>
      <c r="D27" s="64"/>
      <c r="E27" s="64"/>
      <c r="F27" s="64"/>
      <c r="G27" s="64"/>
      <c r="H27" s="64"/>
      <c r="I27" s="64"/>
      <c r="J27" s="64"/>
      <c r="K27" s="64"/>
      <c r="L27" s="64"/>
      <c r="M27" s="64"/>
      <c r="N27" s="64"/>
      <c r="O27" s="64"/>
      <c r="P27" s="64"/>
      <c r="Q27" s="64"/>
      <c r="R27" s="64"/>
    </row>
    <row r="28" spans="1:18" ht="19.5" thickTop="1" thickBot="1" x14ac:dyDescent="0.4">
      <c r="A28" s="3728" t="s">
        <v>10</v>
      </c>
      <c r="B28" s="3729"/>
      <c r="C28" s="3729"/>
      <c r="D28" s="3729"/>
      <c r="E28" s="3729"/>
      <c r="F28" s="3729"/>
      <c r="G28" s="3729"/>
      <c r="H28" s="3729"/>
      <c r="I28" s="3729"/>
      <c r="J28" s="3729"/>
      <c r="K28" s="3730"/>
      <c r="L28" s="31"/>
      <c r="M28" s="3725" t="s">
        <v>748</v>
      </c>
      <c r="N28" s="3726"/>
      <c r="O28" s="3727"/>
      <c r="P28" s="31"/>
      <c r="Q28" s="31"/>
      <c r="R28" s="64"/>
    </row>
    <row r="29" spans="1:18" ht="20.25" customHeight="1" x14ac:dyDescent="0.35">
      <c r="A29" s="4610" t="s">
        <v>2123</v>
      </c>
      <c r="B29" s="4611"/>
      <c r="C29" s="4611"/>
      <c r="D29" s="4611"/>
      <c r="E29" s="4611"/>
      <c r="F29" s="4611"/>
      <c r="G29" s="4611"/>
      <c r="H29" s="4611"/>
      <c r="I29" s="4611"/>
      <c r="J29" s="4611"/>
      <c r="K29" s="4612"/>
      <c r="L29" s="33"/>
      <c r="M29" s="3750" t="s">
        <v>811</v>
      </c>
      <c r="N29" s="3751"/>
      <c r="O29" s="3752"/>
      <c r="P29" s="33"/>
      <c r="Q29" s="33"/>
      <c r="R29" s="64"/>
    </row>
    <row r="30" spans="1:18" ht="20.25" customHeight="1" x14ac:dyDescent="0.35">
      <c r="A30" s="4613"/>
      <c r="B30" s="4614"/>
      <c r="C30" s="4614"/>
      <c r="D30" s="4614"/>
      <c r="E30" s="4614"/>
      <c r="F30" s="4614"/>
      <c r="G30" s="4614"/>
      <c r="H30" s="4614"/>
      <c r="I30" s="4614"/>
      <c r="J30" s="4614"/>
      <c r="K30" s="4615"/>
      <c r="L30" s="33"/>
      <c r="M30" s="3753"/>
      <c r="N30" s="3754"/>
      <c r="O30" s="3755"/>
      <c r="P30" s="33"/>
      <c r="Q30" s="33"/>
      <c r="R30" s="64"/>
    </row>
    <row r="31" spans="1:18" ht="20.25" customHeight="1" x14ac:dyDescent="0.35">
      <c r="A31" s="4613"/>
      <c r="B31" s="4614"/>
      <c r="C31" s="4614"/>
      <c r="D31" s="4614"/>
      <c r="E31" s="4614"/>
      <c r="F31" s="4614"/>
      <c r="G31" s="4614"/>
      <c r="H31" s="4614"/>
      <c r="I31" s="4614"/>
      <c r="J31" s="4614"/>
      <c r="K31" s="4615"/>
      <c r="L31" s="33"/>
      <c r="M31" s="3753"/>
      <c r="N31" s="3754"/>
      <c r="O31" s="3755"/>
      <c r="P31" s="33"/>
      <c r="Q31" s="33"/>
      <c r="R31" s="64"/>
    </row>
    <row r="32" spans="1:18" ht="20.25" customHeight="1" thickBot="1" x14ac:dyDescent="0.4">
      <c r="A32" s="4613"/>
      <c r="B32" s="4614"/>
      <c r="C32" s="4614"/>
      <c r="D32" s="4614"/>
      <c r="E32" s="4614"/>
      <c r="F32" s="4614"/>
      <c r="G32" s="4614"/>
      <c r="H32" s="4614"/>
      <c r="I32" s="4614"/>
      <c r="J32" s="4614"/>
      <c r="K32" s="4615"/>
      <c r="L32" s="33"/>
      <c r="M32" s="3756"/>
      <c r="N32" s="3757"/>
      <c r="O32" s="3758"/>
      <c r="P32" s="33"/>
      <c r="Q32" s="33"/>
      <c r="R32" s="64"/>
    </row>
    <row r="33" spans="1:18" ht="20.25" customHeight="1" thickBot="1" x14ac:dyDescent="0.4">
      <c r="A33" s="4616"/>
      <c r="B33" s="4617"/>
      <c r="C33" s="4617"/>
      <c r="D33" s="4617"/>
      <c r="E33" s="4617"/>
      <c r="F33" s="4617"/>
      <c r="G33" s="4617"/>
      <c r="H33" s="4617"/>
      <c r="I33" s="4617"/>
      <c r="J33" s="4617"/>
      <c r="K33" s="4618"/>
      <c r="L33" s="33"/>
      <c r="M33" s="31"/>
      <c r="N33" s="31"/>
      <c r="O33" s="31"/>
      <c r="P33" s="33"/>
      <c r="Q33" s="33"/>
      <c r="R33" s="64"/>
    </row>
    <row r="34" spans="1:18" ht="20.25" customHeight="1" thickTop="1" thickBot="1" x14ac:dyDescent="0.4">
      <c r="A34" s="64"/>
      <c r="B34" s="64"/>
      <c r="C34" s="64"/>
      <c r="D34" s="64"/>
      <c r="E34" s="64"/>
      <c r="F34" s="64"/>
      <c r="G34" s="64"/>
      <c r="H34" s="64"/>
      <c r="I34" s="64"/>
      <c r="J34" s="64"/>
      <c r="K34" s="64"/>
      <c r="L34" s="33"/>
      <c r="M34" s="3725" t="s">
        <v>748</v>
      </c>
      <c r="N34" s="3726"/>
      <c r="O34" s="3727"/>
      <c r="P34" s="33"/>
      <c r="Q34" s="33"/>
      <c r="R34" s="64"/>
    </row>
    <row r="35" spans="1:18" ht="16.5" customHeight="1" thickTop="1" x14ac:dyDescent="0.35">
      <c r="A35" s="3728" t="s">
        <v>11</v>
      </c>
      <c r="B35" s="3729"/>
      <c r="C35" s="3729"/>
      <c r="D35" s="3729"/>
      <c r="E35" s="3729"/>
      <c r="F35" s="3729"/>
      <c r="G35" s="3729"/>
      <c r="H35" s="3729"/>
      <c r="I35" s="3729"/>
      <c r="J35" s="3729"/>
      <c r="K35" s="3730"/>
      <c r="L35" s="64"/>
      <c r="M35" s="3750" t="s">
        <v>812</v>
      </c>
      <c r="N35" s="3751"/>
      <c r="O35" s="3752"/>
      <c r="P35" s="64"/>
      <c r="Q35" s="64"/>
      <c r="R35" s="64"/>
    </row>
    <row r="36" spans="1:18" x14ac:dyDescent="0.35">
      <c r="A36" s="4625"/>
      <c r="B36" s="4626"/>
      <c r="C36" s="4626"/>
      <c r="D36" s="4626"/>
      <c r="E36" s="4626"/>
      <c r="F36" s="4626"/>
      <c r="G36" s="4626"/>
      <c r="H36" s="4626"/>
      <c r="I36" s="4626"/>
      <c r="J36" s="4626"/>
      <c r="K36" s="4627"/>
      <c r="L36" s="31"/>
      <c r="M36" s="3753"/>
      <c r="N36" s="3754"/>
      <c r="O36" s="3755"/>
      <c r="P36" s="31"/>
      <c r="Q36" s="31"/>
      <c r="R36" s="64"/>
    </row>
    <row r="37" spans="1:18" ht="20.25" customHeight="1" x14ac:dyDescent="0.35">
      <c r="A37" s="4628"/>
      <c r="B37" s="4626"/>
      <c r="C37" s="4626"/>
      <c r="D37" s="4626"/>
      <c r="E37" s="4626"/>
      <c r="F37" s="4626"/>
      <c r="G37" s="4626"/>
      <c r="H37" s="4626"/>
      <c r="I37" s="4626"/>
      <c r="J37" s="4626"/>
      <c r="K37" s="4627"/>
      <c r="L37" s="33"/>
      <c r="M37" s="3753"/>
      <c r="N37" s="3754"/>
      <c r="O37" s="3755"/>
      <c r="P37" s="33"/>
      <c r="Q37" s="33"/>
      <c r="R37" s="64"/>
    </row>
    <row r="38" spans="1:18" ht="20.25" customHeight="1" thickBot="1" x14ac:dyDescent="0.4">
      <c r="A38" s="4628"/>
      <c r="B38" s="4626"/>
      <c r="C38" s="4626"/>
      <c r="D38" s="4626"/>
      <c r="E38" s="4626"/>
      <c r="F38" s="4626"/>
      <c r="G38" s="4626"/>
      <c r="H38" s="4626"/>
      <c r="I38" s="4626"/>
      <c r="J38" s="4626"/>
      <c r="K38" s="4627"/>
      <c r="L38" s="33"/>
      <c r="M38" s="3756"/>
      <c r="N38" s="3757"/>
      <c r="O38" s="3758"/>
      <c r="P38" s="33"/>
      <c r="Q38" s="33"/>
      <c r="R38" s="64"/>
    </row>
    <row r="39" spans="1:18" ht="20.25" customHeight="1" thickBot="1" x14ac:dyDescent="0.4">
      <c r="A39" s="4629"/>
      <c r="B39" s="4630"/>
      <c r="C39" s="4630"/>
      <c r="D39" s="4630"/>
      <c r="E39" s="4630"/>
      <c r="F39" s="4630"/>
      <c r="G39" s="4630"/>
      <c r="H39" s="4630"/>
      <c r="I39" s="4630"/>
      <c r="J39" s="4630"/>
      <c r="K39" s="4631"/>
      <c r="L39" s="33"/>
      <c r="M39" s="33"/>
      <c r="N39" s="33"/>
      <c r="O39" s="33"/>
      <c r="P39" s="33"/>
      <c r="Q39" s="33"/>
      <c r="R39" s="64"/>
    </row>
    <row r="40" spans="1:18" ht="20.25" customHeight="1" thickTop="1" x14ac:dyDescent="0.35">
      <c r="A40" s="64"/>
      <c r="B40" s="64"/>
      <c r="C40" s="64"/>
      <c r="D40" s="64"/>
      <c r="E40" s="64"/>
      <c r="F40" s="64"/>
      <c r="G40" s="64"/>
      <c r="H40" s="64"/>
      <c r="I40" s="64"/>
      <c r="J40" s="64"/>
      <c r="K40" s="64"/>
      <c r="L40" s="33"/>
      <c r="M40" s="33"/>
      <c r="N40" s="33"/>
      <c r="O40" s="33"/>
      <c r="P40" s="33"/>
      <c r="Q40" s="33"/>
      <c r="R40" s="64"/>
    </row>
  </sheetData>
  <mergeCells count="99">
    <mergeCell ref="D3:G3"/>
    <mergeCell ref="D1:G1"/>
    <mergeCell ref="I1:J1"/>
    <mergeCell ref="L1:M1"/>
    <mergeCell ref="D2:G2"/>
    <mergeCell ref="I2:J2"/>
    <mergeCell ref="L2:M2"/>
    <mergeCell ref="A28:K28"/>
    <mergeCell ref="A35:K35"/>
    <mergeCell ref="A20:D20"/>
    <mergeCell ref="A21:D21"/>
    <mergeCell ref="A11:D11"/>
    <mergeCell ref="J11:K11"/>
    <mergeCell ref="A17:D17"/>
    <mergeCell ref="A18:D18"/>
    <mergeCell ref="A19:D19"/>
    <mergeCell ref="J22:K22"/>
    <mergeCell ref="A25:Q25"/>
    <mergeCell ref="P23:Q23"/>
    <mergeCell ref="P24:Q24"/>
    <mergeCell ref="J13:K13"/>
    <mergeCell ref="J19:K19"/>
    <mergeCell ref="J18:K18"/>
    <mergeCell ref="A7:D7"/>
    <mergeCell ref="A12:D12"/>
    <mergeCell ref="A13:D13"/>
    <mergeCell ref="J15:K15"/>
    <mergeCell ref="A15:D15"/>
    <mergeCell ref="A10:Q10"/>
    <mergeCell ref="A14:D14"/>
    <mergeCell ref="J17:K17"/>
    <mergeCell ref="L17:M17"/>
    <mergeCell ref="H4:Q4"/>
    <mergeCell ref="P18:Q18"/>
    <mergeCell ref="N16:O16"/>
    <mergeCell ref="P16:Q16"/>
    <mergeCell ref="N18:O18"/>
    <mergeCell ref="P11:Q11"/>
    <mergeCell ref="J12:K12"/>
    <mergeCell ref="L12:M12"/>
    <mergeCell ref="N12:O12"/>
    <mergeCell ref="P12:Q12"/>
    <mergeCell ref="L11:M11"/>
    <mergeCell ref="P13:Q13"/>
    <mergeCell ref="A36:K39"/>
    <mergeCell ref="L13:M13"/>
    <mergeCell ref="A5:B5"/>
    <mergeCell ref="C5:Q5"/>
    <mergeCell ref="J7:K7"/>
    <mergeCell ref="L7:M7"/>
    <mergeCell ref="N7:O7"/>
    <mergeCell ref="P7:Q7"/>
    <mergeCell ref="J6:Q6"/>
    <mergeCell ref="A22:D22"/>
    <mergeCell ref="A23:D23"/>
    <mergeCell ref="A24:D24"/>
    <mergeCell ref="F6:I6"/>
    <mergeCell ref="A6:D6"/>
    <mergeCell ref="A16:D16"/>
    <mergeCell ref="P17:Q17"/>
    <mergeCell ref="J21:K21"/>
    <mergeCell ref="J14:K14"/>
    <mergeCell ref="L14:M14"/>
    <mergeCell ref="N14:O14"/>
    <mergeCell ref="P14:Q14"/>
    <mergeCell ref="L21:M21"/>
    <mergeCell ref="N21:O21"/>
    <mergeCell ref="P21:Q21"/>
    <mergeCell ref="J20:K20"/>
    <mergeCell ref="L15:M15"/>
    <mergeCell ref="N15:O15"/>
    <mergeCell ref="P15:Q15"/>
    <mergeCell ref="J16:K16"/>
    <mergeCell ref="L16:M16"/>
    <mergeCell ref="N17:O17"/>
    <mergeCell ref="L18:M18"/>
    <mergeCell ref="P22:Q22"/>
    <mergeCell ref="N19:O19"/>
    <mergeCell ref="P19:Q19"/>
    <mergeCell ref="L20:M20"/>
    <mergeCell ref="N20:O20"/>
    <mergeCell ref="P20:Q20"/>
    <mergeCell ref="L19:M19"/>
    <mergeCell ref="A4:G4"/>
    <mergeCell ref="M28:O28"/>
    <mergeCell ref="M29:O32"/>
    <mergeCell ref="M34:O34"/>
    <mergeCell ref="M35:O38"/>
    <mergeCell ref="A29:K33"/>
    <mergeCell ref="J23:K23"/>
    <mergeCell ref="L23:M23"/>
    <mergeCell ref="N23:O23"/>
    <mergeCell ref="J24:K24"/>
    <mergeCell ref="L24:M24"/>
    <mergeCell ref="N24:O24"/>
    <mergeCell ref="L22:M22"/>
    <mergeCell ref="N22:O22"/>
    <mergeCell ref="N13:O13"/>
    <mergeCell ref="N11:O11"/>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E00-000000000000}">
      <formula1>AvancementTheme</formula1>
    </dataValidation>
  </dataValidations>
  <hyperlinks>
    <hyperlink ref="P1" location="DPDV_06TP1" display="PdV" xr:uid="{00000000-0004-0000-1E00-000000000000}"/>
    <hyperlink ref="Q1" location="DKPI_06TP1" display="KPI's" xr:uid="{00000000-0004-0000-1E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1000000}">
          <x14:formula1>
            <xm:f>Parametre!$B$15:$B$17</xm:f>
          </x14:formula1>
          <xm:sqref>E11:E24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48">
    <tabColor theme="2" tint="-0.249977111117893"/>
    <pageSetUpPr fitToPage="1"/>
  </sheetPr>
  <dimension ref="A1:V128"/>
  <sheetViews>
    <sheetView showGridLines="0" zoomScale="110" zoomScaleNormal="110" workbookViewId="0">
      <pane ySplit="7" topLeftCell="A35" activePane="bottomLeft" state="frozen"/>
      <selection activeCell="A16" sqref="A16:C16"/>
      <selection pane="bottomLeft" activeCell="A16" sqref="A16:C16"/>
    </sheetView>
  </sheetViews>
  <sheetFormatPr baseColWidth="10" defaultColWidth="11.453125" defaultRowHeight="14.5" x14ac:dyDescent="0.35"/>
  <cols>
    <col min="1" max="1" width="11.453125" style="60"/>
    <col min="2" max="2" width="11.81640625" style="60" customWidth="1"/>
    <col min="3" max="3" width="8.81640625" style="60" customWidth="1"/>
    <col min="4" max="4" width="7.54296875" style="60" customWidth="1"/>
    <col min="5" max="9" width="10.7265625" style="60" customWidth="1"/>
    <col min="10" max="10" width="9.453125" style="60" customWidth="1"/>
    <col min="11" max="11" width="10.7265625" style="60" customWidth="1"/>
    <col min="12" max="15" width="9.453125" style="60" customWidth="1"/>
    <col min="16" max="16" width="11.26953125" style="60" customWidth="1"/>
    <col min="17" max="17" width="14.453125" style="60" customWidth="1"/>
    <col min="18"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389"/>
      <c r="P1" s="479" t="s">
        <v>2</v>
      </c>
      <c r="Q1" s="479" t="s">
        <v>3</v>
      </c>
      <c r="R1" s="458"/>
    </row>
    <row r="2" spans="1:22" s="58" customFormat="1" ht="18" customHeight="1" x14ac:dyDescent="0.35">
      <c r="A2" s="393"/>
      <c r="B2" s="393"/>
      <c r="C2" s="393"/>
      <c r="D2" s="3342" t="str">
        <f>NomClient</f>
        <v xml:space="preserve">EQUINIX </v>
      </c>
      <c r="E2" s="3343"/>
      <c r="F2" s="3343"/>
      <c r="G2" s="3344"/>
      <c r="H2" s="393"/>
      <c r="I2" s="3345" t="s">
        <v>407</v>
      </c>
      <c r="J2" s="3346"/>
      <c r="K2" s="393"/>
      <c r="L2" s="3347">
        <v>42534.898657407408</v>
      </c>
      <c r="M2" s="3348"/>
      <c r="N2" s="699"/>
      <c r="O2" s="394"/>
      <c r="P2" s="451">
        <f>IF(LEN(DPDV_06PP1)&gt;0,LEN(DPDV_06PP1),0-PDV_NBmini)</f>
        <v>64</v>
      </c>
      <c r="Q2" s="451">
        <f>IF(LEN(DKPI_06PP1)&gt;0,LEN(DKPI_06PP1),0-KPI_NBmini)</f>
        <v>100</v>
      </c>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1.75" customHeight="1" thickBot="1" x14ac:dyDescent="0.4">
      <c r="A4" s="3769" t="str">
        <f>Parametre!B28 &amp; "  : "</f>
        <v xml:space="preserve">Typologie des partenaires  : </v>
      </c>
      <c r="B4" s="3769"/>
      <c r="C4" s="3769"/>
      <c r="D4" s="3769"/>
      <c r="E4" s="3769"/>
      <c r="F4" s="3769"/>
      <c r="G4" s="3769"/>
      <c r="H4" s="3767" t="s">
        <v>2362</v>
      </c>
      <c r="I4" s="3767"/>
      <c r="J4" s="3767"/>
      <c r="K4" s="3767"/>
      <c r="L4" s="3767"/>
      <c r="M4" s="3767"/>
      <c r="N4" s="3767"/>
      <c r="O4" s="3767"/>
      <c r="P4" s="3767"/>
      <c r="Q4" s="3768"/>
      <c r="R4" s="444"/>
    </row>
    <row r="5" spans="1:22" s="26" customFormat="1" ht="15" customHeight="1" thickBot="1" x14ac:dyDescent="0.4">
      <c r="A5" s="3438" t="s">
        <v>14</v>
      </c>
      <c r="B5" s="3438"/>
      <c r="C5" s="4693" t="s">
        <v>2205</v>
      </c>
      <c r="D5" s="4693"/>
      <c r="E5" s="4693"/>
      <c r="F5" s="4693"/>
      <c r="G5" s="4693"/>
      <c r="H5" s="4693"/>
      <c r="I5" s="4693"/>
      <c r="J5" s="4693"/>
      <c r="K5" s="4693"/>
      <c r="L5" s="4693"/>
      <c r="M5" s="4693"/>
      <c r="N5" s="4693"/>
      <c r="O5" s="4693"/>
      <c r="P5" s="4693"/>
      <c r="Q5" s="4693"/>
      <c r="R5" s="460"/>
    </row>
    <row r="6" spans="1:22" s="125" customFormat="1" ht="18.75" customHeight="1" thickBot="1" x14ac:dyDescent="0.4">
      <c r="A6" s="4701" t="s">
        <v>463</v>
      </c>
      <c r="B6" s="4702"/>
      <c r="C6" s="868" t="s">
        <v>462</v>
      </c>
      <c r="D6" s="4695" t="s">
        <v>478</v>
      </c>
      <c r="E6" s="4696"/>
      <c r="F6" s="4696"/>
      <c r="G6" s="4696"/>
      <c r="H6" s="4696"/>
      <c r="I6" s="4696"/>
      <c r="J6" s="4696"/>
      <c r="K6" s="4696"/>
      <c r="L6" s="4696"/>
      <c r="M6" s="4696"/>
      <c r="N6" s="4696"/>
      <c r="O6" s="4696"/>
      <c r="P6" s="4696"/>
      <c r="Q6" s="4697"/>
      <c r="R6" s="863"/>
    </row>
    <row r="7" spans="1:22" s="121" customFormat="1" ht="18" customHeight="1" thickBot="1" x14ac:dyDescent="0.4">
      <c r="A7" s="2335"/>
      <c r="B7" s="2336"/>
      <c r="C7" s="2336"/>
      <c r="D7" s="2336"/>
      <c r="E7" s="2336"/>
      <c r="F7" s="2336"/>
      <c r="G7" s="2336"/>
      <c r="H7" s="4659" t="s">
        <v>1813</v>
      </c>
      <c r="I7" s="4660"/>
      <c r="J7" s="4660"/>
      <c r="K7" s="4660"/>
      <c r="L7" s="4660"/>
      <c r="M7" s="4661" t="s">
        <v>1814</v>
      </c>
      <c r="N7" s="4662"/>
      <c r="O7" s="4662"/>
      <c r="P7" s="4662"/>
      <c r="Q7" s="4662"/>
      <c r="R7" s="856"/>
    </row>
    <row r="8" spans="1:22" s="118" customFormat="1" ht="12.75" customHeight="1" thickTop="1" thickBot="1" x14ac:dyDescent="0.4">
      <c r="A8" s="4703" t="str">
        <f>TYPOPARTNER!A11:D11</f>
        <v>Force de vente directe</v>
      </c>
      <c r="B8" s="4704"/>
      <c r="C8" s="1384" t="str">
        <f>IF(LEN(TYPOPARTNER!E11)&lt;1,"",TYPOPARTNER!E11)</f>
        <v/>
      </c>
      <c r="D8" s="4725"/>
      <c r="E8" s="4726"/>
      <c r="F8" s="4726"/>
      <c r="G8" s="4726"/>
      <c r="H8" s="4671" t="s">
        <v>2121</v>
      </c>
      <c r="I8" s="4672"/>
      <c r="J8" s="4672"/>
      <c r="K8" s="4672"/>
      <c r="L8" s="4672"/>
      <c r="M8" s="4673" t="s">
        <v>2121</v>
      </c>
      <c r="N8" s="4674"/>
      <c r="O8" s="4674"/>
      <c r="P8" s="4674"/>
      <c r="Q8" s="4675"/>
      <c r="R8" s="836"/>
    </row>
    <row r="9" spans="1:22" s="118" customFormat="1" ht="77.25" customHeight="1" thickTop="1" thickBot="1" x14ac:dyDescent="0.4">
      <c r="A9" s="4733" t="str">
        <f>TYPOPARTNER!A12:D12</f>
        <v xml:space="preserve">VARs / SS2I locales </v>
      </c>
      <c r="B9" s="4734"/>
      <c r="C9" s="4721" t="str">
        <f>IF(LEN(TYPOPARTNER!E12)&lt;1,"",TYPOPARTNER!E12)</f>
        <v>1- Haute</v>
      </c>
      <c r="D9" s="4722" t="s">
        <v>1406</v>
      </c>
      <c r="E9" s="4723"/>
      <c r="F9" s="4723"/>
      <c r="G9" s="4724"/>
      <c r="H9" s="4682" t="s">
        <v>2047</v>
      </c>
      <c r="I9" s="4677"/>
      <c r="J9" s="4677"/>
      <c r="K9" s="4677"/>
      <c r="L9" s="4677"/>
      <c r="M9" s="4683">
        <v>20</v>
      </c>
      <c r="N9" s="4677"/>
      <c r="O9" s="4677"/>
      <c r="P9" s="4677"/>
      <c r="Q9" s="4684"/>
      <c r="R9" s="836"/>
    </row>
    <row r="10" spans="1:22" s="118" customFormat="1" ht="87.75" customHeight="1" x14ac:dyDescent="0.35">
      <c r="A10" s="4735"/>
      <c r="B10" s="4736"/>
      <c r="C10" s="4715"/>
      <c r="D10" s="4740" t="s">
        <v>1405</v>
      </c>
      <c r="E10" s="4741"/>
      <c r="F10" s="4741"/>
      <c r="G10" s="4742"/>
      <c r="H10" s="4682" t="s">
        <v>2053</v>
      </c>
      <c r="I10" s="4677"/>
      <c r="J10" s="4677"/>
      <c r="K10" s="4677"/>
      <c r="L10" s="4677"/>
      <c r="M10" s="4683" t="s">
        <v>2048</v>
      </c>
      <c r="N10" s="4677"/>
      <c r="O10" s="4677"/>
      <c r="P10" s="4677"/>
      <c r="Q10" s="4684"/>
      <c r="R10" s="836"/>
    </row>
    <row r="11" spans="1:22" s="118" customFormat="1" ht="73.5" customHeight="1" x14ac:dyDescent="0.35">
      <c r="A11" s="4735"/>
      <c r="B11" s="4736"/>
      <c r="C11" s="4715"/>
      <c r="D11" s="4728" t="s">
        <v>1407</v>
      </c>
      <c r="E11" s="4729"/>
      <c r="F11" s="4729"/>
      <c r="G11" s="4730"/>
      <c r="H11" s="4682" t="s">
        <v>2049</v>
      </c>
      <c r="I11" s="4677"/>
      <c r="J11" s="4677"/>
      <c r="K11" s="4677"/>
      <c r="L11" s="4677"/>
      <c r="M11" s="4683" t="s">
        <v>2050</v>
      </c>
      <c r="N11" s="4677"/>
      <c r="O11" s="4677"/>
      <c r="P11" s="4677"/>
      <c r="Q11" s="4684"/>
      <c r="R11" s="836"/>
    </row>
    <row r="12" spans="1:22" s="118" customFormat="1" ht="55.5" customHeight="1" x14ac:dyDescent="0.35">
      <c r="A12" s="4735"/>
      <c r="B12" s="4736"/>
      <c r="C12" s="4715"/>
      <c r="D12" s="4728" t="s">
        <v>1408</v>
      </c>
      <c r="E12" s="4729"/>
      <c r="F12" s="4729"/>
      <c r="G12" s="4730"/>
      <c r="H12" s="4682" t="s">
        <v>2051</v>
      </c>
      <c r="I12" s="4677"/>
      <c r="J12" s="4677"/>
      <c r="K12" s="4677"/>
      <c r="L12" s="4677"/>
      <c r="M12" s="4683" t="s">
        <v>2052</v>
      </c>
      <c r="N12" s="4677"/>
      <c r="O12" s="4677"/>
      <c r="P12" s="4677"/>
      <c r="Q12" s="4684"/>
      <c r="R12" s="836"/>
    </row>
    <row r="13" spans="1:22" s="118" customFormat="1" ht="46.5" customHeight="1" x14ac:dyDescent="0.35">
      <c r="A13" s="4735"/>
      <c r="B13" s="4736"/>
      <c r="C13" s="4715"/>
      <c r="D13" s="4728" t="s">
        <v>1409</v>
      </c>
      <c r="E13" s="4729"/>
      <c r="F13" s="4729"/>
      <c r="G13" s="4730"/>
      <c r="H13" s="4682" t="s">
        <v>2055</v>
      </c>
      <c r="I13" s="4677"/>
      <c r="J13" s="4677"/>
      <c r="K13" s="4677"/>
      <c r="L13" s="4677"/>
      <c r="M13" s="4683" t="s">
        <v>2054</v>
      </c>
      <c r="N13" s="4677"/>
      <c r="O13" s="4677"/>
      <c r="P13" s="4677"/>
      <c r="Q13" s="4684"/>
      <c r="R13" s="836"/>
    </row>
    <row r="14" spans="1:22" s="118" customFormat="1" ht="53.25" customHeight="1" x14ac:dyDescent="0.35">
      <c r="A14" s="4735"/>
      <c r="B14" s="4736"/>
      <c r="C14" s="4715"/>
      <c r="D14" s="4728" t="s">
        <v>1410</v>
      </c>
      <c r="E14" s="4729"/>
      <c r="F14" s="4729"/>
      <c r="G14" s="4730"/>
      <c r="H14" s="4682" t="s">
        <v>2056</v>
      </c>
      <c r="I14" s="4677"/>
      <c r="J14" s="4677"/>
      <c r="K14" s="4677"/>
      <c r="L14" s="4677"/>
      <c r="M14" s="4683" t="s">
        <v>2057</v>
      </c>
      <c r="N14" s="4677"/>
      <c r="O14" s="4677"/>
      <c r="P14" s="4677"/>
      <c r="Q14" s="4684"/>
      <c r="R14" s="836"/>
    </row>
    <row r="15" spans="1:22" s="118" customFormat="1" ht="52.5" customHeight="1" thickBot="1" x14ac:dyDescent="0.4">
      <c r="A15" s="4735"/>
      <c r="B15" s="4736"/>
      <c r="C15" s="4715"/>
      <c r="D15" s="4737" t="s">
        <v>1411</v>
      </c>
      <c r="E15" s="4738"/>
      <c r="F15" s="4738"/>
      <c r="G15" s="4739"/>
      <c r="H15" s="4682" t="s">
        <v>2059</v>
      </c>
      <c r="I15" s="4677"/>
      <c r="J15" s="4677"/>
      <c r="K15" s="4677"/>
      <c r="L15" s="4677"/>
      <c r="M15" s="4691" t="s">
        <v>2058</v>
      </c>
      <c r="N15" s="4680"/>
      <c r="O15" s="4680"/>
      <c r="P15" s="4680"/>
      <c r="Q15" s="4692"/>
      <c r="R15" s="836"/>
    </row>
    <row r="16" spans="1:22" s="118" customFormat="1" ht="8.25" customHeight="1" thickTop="1" thickBot="1" x14ac:dyDescent="0.4">
      <c r="A16" s="1385"/>
      <c r="B16" s="1386"/>
      <c r="C16" s="1387"/>
      <c r="D16" s="1388"/>
      <c r="E16" s="1389"/>
      <c r="F16" s="1389"/>
      <c r="G16" s="1389"/>
      <c r="H16" s="1389"/>
      <c r="I16" s="1389"/>
      <c r="J16" s="1389"/>
      <c r="K16" s="1389"/>
      <c r="L16" s="1389"/>
      <c r="M16" s="2487"/>
      <c r="N16" s="1389"/>
      <c r="O16" s="1389"/>
      <c r="P16" s="1389"/>
      <c r="Q16" s="2488"/>
      <c r="R16" s="836"/>
    </row>
    <row r="17" spans="1:18" s="118" customFormat="1" ht="76.5" customHeight="1" thickTop="1" thickBot="1" x14ac:dyDescent="0.4">
      <c r="A17" s="4743" t="str">
        <f>TYPOPARTNER!A13</f>
        <v>ESN ( SS2I )</v>
      </c>
      <c r="B17" s="4744"/>
      <c r="C17" s="4715" t="str">
        <f>IF(LEN(TYPOPARTNER!E13)&lt;1,"",TYPOPARTNER!E13)</f>
        <v>1- Haute</v>
      </c>
      <c r="D17" s="4747" t="s">
        <v>1406</v>
      </c>
      <c r="E17" s="4748"/>
      <c r="F17" s="4748"/>
      <c r="G17" s="4749"/>
      <c r="H17" s="4682" t="s">
        <v>2060</v>
      </c>
      <c r="I17" s="4677"/>
      <c r="J17" s="4677"/>
      <c r="K17" s="4677"/>
      <c r="L17" s="4677"/>
      <c r="M17" s="4683" t="s">
        <v>2061</v>
      </c>
      <c r="N17" s="4677"/>
      <c r="O17" s="4677"/>
      <c r="P17" s="4677"/>
      <c r="Q17" s="4684"/>
      <c r="R17" s="836"/>
    </row>
    <row r="18" spans="1:18" s="118" customFormat="1" ht="74.25" customHeight="1" x14ac:dyDescent="0.35">
      <c r="A18" s="4743"/>
      <c r="B18" s="4744"/>
      <c r="C18" s="4715"/>
      <c r="D18" s="4740" t="s">
        <v>1405</v>
      </c>
      <c r="E18" s="4741"/>
      <c r="F18" s="4741"/>
      <c r="G18" s="4742"/>
      <c r="H18" s="4682" t="s">
        <v>2062</v>
      </c>
      <c r="I18" s="4677"/>
      <c r="J18" s="4677"/>
      <c r="K18" s="4677"/>
      <c r="L18" s="4677"/>
      <c r="M18" s="4683" t="s">
        <v>2063</v>
      </c>
      <c r="N18" s="4677"/>
      <c r="O18" s="4677"/>
      <c r="P18" s="4677"/>
      <c r="Q18" s="4684"/>
      <c r="R18" s="836"/>
    </row>
    <row r="19" spans="1:18" s="118" customFormat="1" ht="73.5" customHeight="1" x14ac:dyDescent="0.35">
      <c r="A19" s="4743"/>
      <c r="B19" s="4744"/>
      <c r="C19" s="4715"/>
      <c r="D19" s="4728" t="s">
        <v>1407</v>
      </c>
      <c r="E19" s="4729"/>
      <c r="F19" s="4729"/>
      <c r="G19" s="4730"/>
      <c r="H19" s="4682" t="s">
        <v>2049</v>
      </c>
      <c r="I19" s="4677"/>
      <c r="J19" s="4677"/>
      <c r="K19" s="4677"/>
      <c r="L19" s="4677"/>
      <c r="M19" s="4683" t="s">
        <v>2050</v>
      </c>
      <c r="N19" s="4677"/>
      <c r="O19" s="4677"/>
      <c r="P19" s="4677"/>
      <c r="Q19" s="4684"/>
      <c r="R19" s="836"/>
    </row>
    <row r="20" spans="1:18" s="118" customFormat="1" ht="55.5" customHeight="1" x14ac:dyDescent="0.35">
      <c r="A20" s="4743"/>
      <c r="B20" s="4744"/>
      <c r="C20" s="4715"/>
      <c r="D20" s="4728" t="s">
        <v>1408</v>
      </c>
      <c r="E20" s="4729"/>
      <c r="F20" s="4729"/>
      <c r="G20" s="4730"/>
      <c r="H20" s="4682" t="s">
        <v>2064</v>
      </c>
      <c r="I20" s="4677"/>
      <c r="J20" s="4677"/>
      <c r="K20" s="4677"/>
      <c r="L20" s="4677"/>
      <c r="M20" s="4683" t="s">
        <v>2052</v>
      </c>
      <c r="N20" s="4677"/>
      <c r="O20" s="4677"/>
      <c r="P20" s="4677"/>
      <c r="Q20" s="4684"/>
      <c r="R20" s="836"/>
    </row>
    <row r="21" spans="1:18" s="118" customFormat="1" ht="46.5" customHeight="1" x14ac:dyDescent="0.35">
      <c r="A21" s="4743"/>
      <c r="B21" s="4744"/>
      <c r="C21" s="4715"/>
      <c r="D21" s="4728" t="s">
        <v>1409</v>
      </c>
      <c r="E21" s="4729"/>
      <c r="F21" s="4729"/>
      <c r="G21" s="4730"/>
      <c r="H21" s="4682" t="s">
        <v>2065</v>
      </c>
      <c r="I21" s="4677"/>
      <c r="J21" s="4677"/>
      <c r="K21" s="4677"/>
      <c r="L21" s="4677"/>
      <c r="M21" s="4683" t="s">
        <v>2054</v>
      </c>
      <c r="N21" s="4677"/>
      <c r="O21" s="4677"/>
      <c r="P21" s="4677"/>
      <c r="Q21" s="4684"/>
      <c r="R21" s="836"/>
    </row>
    <row r="22" spans="1:18" s="118" customFormat="1" ht="53.25" customHeight="1" x14ac:dyDescent="0.35">
      <c r="A22" s="4743"/>
      <c r="B22" s="4744"/>
      <c r="C22" s="4715"/>
      <c r="D22" s="4728" t="s">
        <v>1410</v>
      </c>
      <c r="E22" s="4729"/>
      <c r="F22" s="4729"/>
      <c r="G22" s="4730"/>
      <c r="H22" s="4682" t="s">
        <v>2066</v>
      </c>
      <c r="I22" s="4677"/>
      <c r="J22" s="4677"/>
      <c r="K22" s="4677"/>
      <c r="L22" s="4677"/>
      <c r="M22" s="4683" t="s">
        <v>2067</v>
      </c>
      <c r="N22" s="4677"/>
      <c r="O22" s="4677"/>
      <c r="P22" s="4677"/>
      <c r="Q22" s="4684"/>
      <c r="R22" s="836"/>
    </row>
    <row r="23" spans="1:18" s="118" customFormat="1" ht="52.5" customHeight="1" thickBot="1" x14ac:dyDescent="0.4">
      <c r="A23" s="4745"/>
      <c r="B23" s="4746"/>
      <c r="C23" s="4727"/>
      <c r="D23" s="4705" t="s">
        <v>1411</v>
      </c>
      <c r="E23" s="4706"/>
      <c r="F23" s="4706"/>
      <c r="G23" s="4707"/>
      <c r="H23" s="4682" t="s">
        <v>2068</v>
      </c>
      <c r="I23" s="4677"/>
      <c r="J23" s="4677"/>
      <c r="K23" s="4677"/>
      <c r="L23" s="4677"/>
      <c r="M23" s="4691" t="s">
        <v>2068</v>
      </c>
      <c r="N23" s="4680"/>
      <c r="O23" s="4680"/>
      <c r="P23" s="4680"/>
      <c r="Q23" s="4692"/>
      <c r="R23" s="836"/>
    </row>
    <row r="24" spans="1:18" s="118" customFormat="1" ht="8.25" customHeight="1" thickTop="1" thickBot="1" x14ac:dyDescent="0.4">
      <c r="A24" s="1385"/>
      <c r="B24" s="1386"/>
      <c r="C24" s="1387"/>
      <c r="D24" s="1388"/>
      <c r="E24" s="1389"/>
      <c r="F24" s="1389"/>
      <c r="G24" s="1389"/>
      <c r="H24" s="1389"/>
      <c r="I24" s="1389"/>
      <c r="J24" s="1389"/>
      <c r="K24" s="1389"/>
      <c r="L24" s="1389"/>
      <c r="M24" s="2487"/>
      <c r="N24" s="1389"/>
      <c r="O24" s="1389"/>
      <c r="P24" s="1389"/>
      <c r="Q24" s="2488"/>
      <c r="R24" s="836"/>
    </row>
    <row r="25" spans="1:18" s="124" customFormat="1" ht="64.5" customHeight="1" thickTop="1" thickBot="1" x14ac:dyDescent="0.4">
      <c r="A25" s="4708" t="str">
        <f>TYPOPARTNER!A14</f>
        <v>Constructeurs Matériel</v>
      </c>
      <c r="B25" s="4709"/>
      <c r="C25" s="4714" t="str">
        <f>IF(LEN(TYPOPARTNER!E14)&lt;1,"",TYPOPARTNER!E14)</f>
        <v>1- Haute</v>
      </c>
      <c r="D25" s="4722" t="s">
        <v>1406</v>
      </c>
      <c r="E25" s="4723"/>
      <c r="F25" s="4723"/>
      <c r="G25" s="4724"/>
      <c r="H25" s="4682"/>
      <c r="I25" s="4677"/>
      <c r="J25" s="4677"/>
      <c r="K25" s="4677"/>
      <c r="L25" s="4677"/>
      <c r="M25" s="4683"/>
      <c r="N25" s="4677"/>
      <c r="O25" s="4677"/>
      <c r="P25" s="4677"/>
      <c r="Q25" s="4684"/>
      <c r="R25" s="858"/>
    </row>
    <row r="26" spans="1:18" s="189" customFormat="1" ht="77.25" customHeight="1" x14ac:dyDescent="0.35">
      <c r="A26" s="4710"/>
      <c r="B26" s="4711"/>
      <c r="C26" s="4715"/>
      <c r="D26" s="4740" t="s">
        <v>1405</v>
      </c>
      <c r="E26" s="4741"/>
      <c r="F26" s="4741"/>
      <c r="G26" s="4742"/>
      <c r="H26" s="4682"/>
      <c r="I26" s="4677"/>
      <c r="J26" s="4677"/>
      <c r="K26" s="4677"/>
      <c r="L26" s="4677"/>
      <c r="M26" s="4683"/>
      <c r="N26" s="4677"/>
      <c r="O26" s="4677"/>
      <c r="P26" s="4677"/>
      <c r="Q26" s="4684"/>
      <c r="R26" s="869"/>
    </row>
    <row r="27" spans="1:18" s="189" customFormat="1" ht="75.75" customHeight="1" x14ac:dyDescent="0.35">
      <c r="A27" s="4710"/>
      <c r="B27" s="4711"/>
      <c r="C27" s="4715"/>
      <c r="D27" s="4728" t="s">
        <v>1407</v>
      </c>
      <c r="E27" s="4729"/>
      <c r="F27" s="4729"/>
      <c r="G27" s="4730"/>
      <c r="H27" s="4682"/>
      <c r="I27" s="4677"/>
      <c r="J27" s="4677"/>
      <c r="K27" s="4677"/>
      <c r="L27" s="4677"/>
      <c r="M27" s="4683"/>
      <c r="N27" s="4677"/>
      <c r="O27" s="4677"/>
      <c r="P27" s="4677"/>
      <c r="Q27" s="4684"/>
      <c r="R27" s="869"/>
    </row>
    <row r="28" spans="1:18" s="124" customFormat="1" ht="62.25" customHeight="1" x14ac:dyDescent="0.35">
      <c r="A28" s="4710"/>
      <c r="B28" s="4711"/>
      <c r="C28" s="4715"/>
      <c r="D28" s="4728" t="s">
        <v>1408</v>
      </c>
      <c r="E28" s="4729"/>
      <c r="F28" s="4729"/>
      <c r="G28" s="4730"/>
      <c r="H28" s="4682"/>
      <c r="I28" s="4677"/>
      <c r="J28" s="4677"/>
      <c r="K28" s="4677"/>
      <c r="L28" s="4677"/>
      <c r="M28" s="4683"/>
      <c r="N28" s="4677"/>
      <c r="O28" s="4677"/>
      <c r="P28" s="4677"/>
      <c r="Q28" s="4684"/>
      <c r="R28" s="858"/>
    </row>
    <row r="29" spans="1:18" s="118" customFormat="1" ht="45" customHeight="1" x14ac:dyDescent="0.35">
      <c r="A29" s="4710"/>
      <c r="B29" s="4711"/>
      <c r="C29" s="4715"/>
      <c r="D29" s="4728" t="s">
        <v>1409</v>
      </c>
      <c r="E29" s="4729"/>
      <c r="F29" s="4729"/>
      <c r="G29" s="4730"/>
      <c r="H29" s="4682"/>
      <c r="I29" s="4677"/>
      <c r="J29" s="4677"/>
      <c r="K29" s="4677"/>
      <c r="L29" s="4677"/>
      <c r="M29" s="4683"/>
      <c r="N29" s="4677"/>
      <c r="O29" s="4677"/>
      <c r="P29" s="4677"/>
      <c r="Q29" s="4684"/>
      <c r="R29" s="836"/>
    </row>
    <row r="30" spans="1:18" s="118" customFormat="1" ht="60" customHeight="1" x14ac:dyDescent="0.35">
      <c r="A30" s="4710"/>
      <c r="B30" s="4711"/>
      <c r="C30" s="4715"/>
      <c r="D30" s="4728" t="s">
        <v>1410</v>
      </c>
      <c r="E30" s="4729"/>
      <c r="F30" s="4729"/>
      <c r="G30" s="4730"/>
      <c r="H30" s="4682"/>
      <c r="I30" s="4677"/>
      <c r="J30" s="4677"/>
      <c r="K30" s="4677"/>
      <c r="L30" s="4677"/>
      <c r="M30" s="4683"/>
      <c r="N30" s="4677"/>
      <c r="O30" s="4677"/>
      <c r="P30" s="4677"/>
      <c r="Q30" s="4684"/>
      <c r="R30" s="836"/>
    </row>
    <row r="31" spans="1:18" s="124" customFormat="1" ht="47.25" customHeight="1" thickBot="1" x14ac:dyDescent="0.4">
      <c r="A31" s="4712"/>
      <c r="B31" s="4713"/>
      <c r="C31" s="4716"/>
      <c r="D31" s="4705" t="s">
        <v>1411</v>
      </c>
      <c r="E31" s="4706"/>
      <c r="F31" s="4706"/>
      <c r="G31" s="4707"/>
      <c r="H31" s="4682"/>
      <c r="I31" s="4677"/>
      <c r="J31" s="4677"/>
      <c r="K31" s="4677"/>
      <c r="L31" s="4677"/>
      <c r="M31" s="4691"/>
      <c r="N31" s="4680"/>
      <c r="O31" s="4680"/>
      <c r="P31" s="4680"/>
      <c r="Q31" s="4692"/>
      <c r="R31" s="858"/>
    </row>
    <row r="32" spans="1:18" s="118" customFormat="1" ht="8.25" customHeight="1" thickTop="1" thickBot="1" x14ac:dyDescent="0.4">
      <c r="A32" s="1385"/>
      <c r="B32" s="1386"/>
      <c r="C32" s="1387"/>
      <c r="D32" s="1388"/>
      <c r="E32" s="1389"/>
      <c r="F32" s="1389"/>
      <c r="G32" s="1389"/>
      <c r="H32" s="1389"/>
      <c r="I32" s="1389"/>
      <c r="J32" s="1389"/>
      <c r="K32" s="1389"/>
      <c r="L32" s="1389"/>
      <c r="M32" s="2487"/>
      <c r="N32" s="1389"/>
      <c r="O32" s="1389"/>
      <c r="P32" s="1389"/>
      <c r="Q32" s="2488"/>
      <c r="R32" s="836"/>
    </row>
    <row r="33" spans="1:18" s="118" customFormat="1" ht="77.25" customHeight="1" thickTop="1" thickBot="1" x14ac:dyDescent="0.4">
      <c r="A33" s="4717" t="str">
        <f>TYPOPARTNER!A15:D15</f>
        <v>Editeurs de solutions complémentaires</v>
      </c>
      <c r="B33" s="4718"/>
      <c r="C33" s="4721" t="str">
        <f>IF(LEN(TYPOPARTNER!E15)&lt;1,"",TYPOPARTNER!E15)</f>
        <v>1- Haute</v>
      </c>
      <c r="D33" s="4722" t="s">
        <v>1406</v>
      </c>
      <c r="E33" s="4723"/>
      <c r="F33" s="4723"/>
      <c r="G33" s="4724"/>
      <c r="H33" s="4682" t="s">
        <v>2069</v>
      </c>
      <c r="I33" s="4677"/>
      <c r="J33" s="4677"/>
      <c r="K33" s="4677"/>
      <c r="L33" s="4677"/>
      <c r="M33" s="4683"/>
      <c r="N33" s="4677"/>
      <c r="O33" s="4677"/>
      <c r="P33" s="4677"/>
      <c r="Q33" s="4684"/>
      <c r="R33" s="836"/>
    </row>
    <row r="34" spans="1:18" s="118" customFormat="1" ht="102.75" customHeight="1" x14ac:dyDescent="0.35">
      <c r="A34" s="4719"/>
      <c r="B34" s="4720"/>
      <c r="C34" s="4715"/>
      <c r="D34" s="4740" t="s">
        <v>1405</v>
      </c>
      <c r="E34" s="4741"/>
      <c r="F34" s="4741"/>
      <c r="G34" s="4742"/>
      <c r="H34" s="4682"/>
      <c r="I34" s="4677"/>
      <c r="J34" s="4677"/>
      <c r="K34" s="4677"/>
      <c r="L34" s="4677"/>
      <c r="M34" s="4683"/>
      <c r="N34" s="4677"/>
      <c r="O34" s="4677"/>
      <c r="P34" s="4677"/>
      <c r="Q34" s="4684"/>
      <c r="R34" s="836"/>
    </row>
    <row r="35" spans="1:18" s="118" customFormat="1" ht="73.5" customHeight="1" x14ac:dyDescent="0.35">
      <c r="A35" s="4719"/>
      <c r="B35" s="4720"/>
      <c r="C35" s="4715"/>
      <c r="D35" s="4728" t="s">
        <v>1407</v>
      </c>
      <c r="E35" s="4729"/>
      <c r="F35" s="4729"/>
      <c r="G35" s="4730"/>
      <c r="H35" s="4682"/>
      <c r="I35" s="4677"/>
      <c r="J35" s="4677"/>
      <c r="K35" s="4677"/>
      <c r="L35" s="4677"/>
      <c r="M35" s="4683"/>
      <c r="N35" s="4677"/>
      <c r="O35" s="4677"/>
      <c r="P35" s="4677"/>
      <c r="Q35" s="4684"/>
      <c r="R35" s="836"/>
    </row>
    <row r="36" spans="1:18" s="118" customFormat="1" ht="55.5" customHeight="1" x14ac:dyDescent="0.35">
      <c r="A36" s="4719"/>
      <c r="B36" s="4720"/>
      <c r="C36" s="4715"/>
      <c r="D36" s="4728" t="s">
        <v>1408</v>
      </c>
      <c r="E36" s="4729"/>
      <c r="F36" s="4729"/>
      <c r="G36" s="4730"/>
      <c r="H36" s="4682"/>
      <c r="I36" s="4677"/>
      <c r="J36" s="4677"/>
      <c r="K36" s="4677"/>
      <c r="L36" s="4677"/>
      <c r="M36" s="4683"/>
      <c r="N36" s="4677"/>
      <c r="O36" s="4677"/>
      <c r="P36" s="4677"/>
      <c r="Q36" s="4684"/>
      <c r="R36" s="836"/>
    </row>
    <row r="37" spans="1:18" s="118" customFormat="1" ht="46.5" customHeight="1" x14ac:dyDescent="0.35">
      <c r="A37" s="4719"/>
      <c r="B37" s="4720"/>
      <c r="C37" s="4715"/>
      <c r="D37" s="4728" t="s">
        <v>1409</v>
      </c>
      <c r="E37" s="4729"/>
      <c r="F37" s="4729"/>
      <c r="G37" s="4730"/>
      <c r="H37" s="4682"/>
      <c r="I37" s="4677"/>
      <c r="J37" s="4677"/>
      <c r="K37" s="4677"/>
      <c r="L37" s="4677"/>
      <c r="M37" s="4683"/>
      <c r="N37" s="4677"/>
      <c r="O37" s="4677"/>
      <c r="P37" s="4677"/>
      <c r="Q37" s="4684"/>
      <c r="R37" s="836"/>
    </row>
    <row r="38" spans="1:18" s="118" customFormat="1" ht="53.25" customHeight="1" x14ac:dyDescent="0.35">
      <c r="A38" s="4719"/>
      <c r="B38" s="4720"/>
      <c r="C38" s="4715"/>
      <c r="D38" s="4728" t="s">
        <v>1410</v>
      </c>
      <c r="E38" s="4729"/>
      <c r="F38" s="4729"/>
      <c r="G38" s="4730"/>
      <c r="H38" s="4682"/>
      <c r="I38" s="4677"/>
      <c r="J38" s="4677"/>
      <c r="K38" s="4677"/>
      <c r="L38" s="4677"/>
      <c r="M38" s="4683"/>
      <c r="N38" s="4677"/>
      <c r="O38" s="4677"/>
      <c r="P38" s="4677"/>
      <c r="Q38" s="4684"/>
      <c r="R38" s="836"/>
    </row>
    <row r="39" spans="1:18" s="118" customFormat="1" ht="31.5" customHeight="1" thickBot="1" x14ac:dyDescent="0.4">
      <c r="A39" s="4719"/>
      <c r="B39" s="4720"/>
      <c r="C39" s="4715"/>
      <c r="D39" s="4737" t="s">
        <v>1411</v>
      </c>
      <c r="E39" s="4738"/>
      <c r="F39" s="4738"/>
      <c r="G39" s="4739"/>
      <c r="H39" s="4682"/>
      <c r="I39" s="4677"/>
      <c r="J39" s="4677"/>
      <c r="K39" s="4677"/>
      <c r="L39" s="4677"/>
      <c r="M39" s="4691"/>
      <c r="N39" s="4680"/>
      <c r="O39" s="4680"/>
      <c r="P39" s="4680"/>
      <c r="Q39" s="4692"/>
      <c r="R39" s="836"/>
    </row>
    <row r="40" spans="1:18" s="118" customFormat="1" ht="8.25" customHeight="1" thickTop="1" thickBot="1" x14ac:dyDescent="0.4">
      <c r="A40" s="1385"/>
      <c r="B40" s="1386"/>
      <c r="C40" s="1387"/>
      <c r="D40" s="1388"/>
      <c r="E40" s="1389"/>
      <c r="F40" s="1389"/>
      <c r="G40" s="1389"/>
      <c r="H40" s="1389"/>
      <c r="I40" s="1389"/>
      <c r="J40" s="1389"/>
      <c r="K40" s="1389"/>
      <c r="L40" s="1389"/>
      <c r="M40" s="2487"/>
      <c r="N40" s="1389"/>
      <c r="O40" s="1389"/>
      <c r="P40" s="1389"/>
      <c r="Q40" s="2488"/>
      <c r="R40" s="836"/>
    </row>
    <row r="41" spans="1:18" s="118" customFormat="1" ht="58.5" customHeight="1" thickTop="1" thickBot="1" x14ac:dyDescent="0.4">
      <c r="A41" s="4750" t="str">
        <f>TYPOPARTNER!A16:D16</f>
        <v>Cabinets de conseil / Consultants</v>
      </c>
      <c r="B41" s="4751"/>
      <c r="C41" s="4715" t="str">
        <f>IF(LEN('06-TYPOPARTNER-OFR2'!E16)&lt;1,"",'06-TYPOPARTNER-OFR2'!E16)</f>
        <v/>
      </c>
      <c r="D41" s="4747" t="s">
        <v>1406</v>
      </c>
      <c r="E41" s="4748"/>
      <c r="F41" s="4748"/>
      <c r="G41" s="4749"/>
      <c r="H41" s="4677"/>
      <c r="I41" s="4677"/>
      <c r="J41" s="4677"/>
      <c r="K41" s="4677"/>
      <c r="L41" s="4677"/>
      <c r="M41" s="4683"/>
      <c r="N41" s="4677"/>
      <c r="O41" s="4677"/>
      <c r="P41" s="4677"/>
      <c r="Q41" s="4684"/>
      <c r="R41" s="836"/>
    </row>
    <row r="42" spans="1:18" s="118" customFormat="1" ht="74.25" customHeight="1" x14ac:dyDescent="0.35">
      <c r="A42" s="4750"/>
      <c r="B42" s="4751"/>
      <c r="C42" s="4715"/>
      <c r="D42" s="4740" t="s">
        <v>1405</v>
      </c>
      <c r="E42" s="4741"/>
      <c r="F42" s="4741"/>
      <c r="G42" s="4742"/>
      <c r="H42" s="4677"/>
      <c r="I42" s="4677"/>
      <c r="J42" s="4677"/>
      <c r="K42" s="4677"/>
      <c r="L42" s="4677"/>
      <c r="M42" s="4683"/>
      <c r="N42" s="4677"/>
      <c r="O42" s="4677"/>
      <c r="P42" s="4677"/>
      <c r="Q42" s="4684"/>
      <c r="R42" s="836"/>
    </row>
    <row r="43" spans="1:18" s="118" customFormat="1" ht="73.5" customHeight="1" x14ac:dyDescent="0.35">
      <c r="A43" s="4750"/>
      <c r="B43" s="4751"/>
      <c r="C43" s="4715"/>
      <c r="D43" s="4728" t="s">
        <v>1407</v>
      </c>
      <c r="E43" s="4729"/>
      <c r="F43" s="4729"/>
      <c r="G43" s="4730"/>
      <c r="H43" s="4677"/>
      <c r="I43" s="4677"/>
      <c r="J43" s="4677"/>
      <c r="K43" s="4677"/>
      <c r="L43" s="4677"/>
      <c r="M43" s="4683"/>
      <c r="N43" s="4677"/>
      <c r="O43" s="4677"/>
      <c r="P43" s="4677"/>
      <c r="Q43" s="4684"/>
      <c r="R43" s="836"/>
    </row>
    <row r="44" spans="1:18" s="118" customFormat="1" ht="55.5" customHeight="1" thickBot="1" x14ac:dyDescent="0.4">
      <c r="A44" s="4750"/>
      <c r="B44" s="4751"/>
      <c r="C44" s="4715"/>
      <c r="D44" s="4728" t="s">
        <v>1408</v>
      </c>
      <c r="E44" s="4729"/>
      <c r="F44" s="4729"/>
      <c r="G44" s="4730"/>
      <c r="H44" s="4677"/>
      <c r="I44" s="4677"/>
      <c r="J44" s="4677"/>
      <c r="K44" s="4677"/>
      <c r="L44" s="4677"/>
      <c r="M44" s="4685"/>
      <c r="N44" s="4686"/>
      <c r="O44" s="4686"/>
      <c r="P44" s="4686"/>
      <c r="Q44" s="4687"/>
      <c r="R44" s="836"/>
    </row>
    <row r="45" spans="1:18" s="118" customFormat="1" ht="46.5" customHeight="1" thickTop="1" x14ac:dyDescent="0.35">
      <c r="A45" s="4750"/>
      <c r="B45" s="4751"/>
      <c r="C45" s="4715"/>
      <c r="D45" s="4728" t="s">
        <v>1409</v>
      </c>
      <c r="E45" s="4729"/>
      <c r="F45" s="4729"/>
      <c r="G45" s="4730"/>
      <c r="H45" s="1358"/>
      <c r="I45" s="1358"/>
      <c r="J45" s="1358"/>
      <c r="K45" s="1358"/>
      <c r="L45" s="1358"/>
      <c r="M45" s="4688"/>
      <c r="N45" s="4689"/>
      <c r="O45" s="4689"/>
      <c r="P45" s="4689"/>
      <c r="Q45" s="4690"/>
      <c r="R45" s="836"/>
    </row>
    <row r="46" spans="1:18" s="118" customFormat="1" ht="53.25" customHeight="1" x14ac:dyDescent="0.35">
      <c r="A46" s="4750"/>
      <c r="B46" s="4751"/>
      <c r="C46" s="4715"/>
      <c r="D46" s="4728" t="s">
        <v>1410</v>
      </c>
      <c r="E46" s="4729"/>
      <c r="F46" s="4729"/>
      <c r="G46" s="4730"/>
      <c r="H46" s="1358"/>
      <c r="I46" s="1358"/>
      <c r="J46" s="1358"/>
      <c r="K46" s="1358"/>
      <c r="L46" s="1358"/>
      <c r="M46" s="4676"/>
      <c r="N46" s="4677"/>
      <c r="O46" s="4677"/>
      <c r="P46" s="4677"/>
      <c r="Q46" s="4678"/>
      <c r="R46" s="836"/>
    </row>
    <row r="47" spans="1:18" s="118" customFormat="1" ht="31.5" customHeight="1" thickBot="1" x14ac:dyDescent="0.4">
      <c r="A47" s="4752"/>
      <c r="B47" s="4753"/>
      <c r="C47" s="4727"/>
      <c r="D47" s="4705" t="s">
        <v>1411</v>
      </c>
      <c r="E47" s="4706"/>
      <c r="F47" s="4706"/>
      <c r="G47" s="4707"/>
      <c r="H47" s="1358"/>
      <c r="I47" s="1358"/>
      <c r="J47" s="1358"/>
      <c r="K47" s="1358"/>
      <c r="L47" s="1358"/>
      <c r="M47" s="4679"/>
      <c r="N47" s="4680"/>
      <c r="O47" s="4680"/>
      <c r="P47" s="4680"/>
      <c r="Q47" s="4681"/>
      <c r="R47" s="836"/>
    </row>
    <row r="48" spans="1:18" s="118" customFormat="1" ht="8.25" customHeight="1" thickTop="1" thickBot="1" x14ac:dyDescent="0.4">
      <c r="A48" s="1385"/>
      <c r="B48" s="1386"/>
      <c r="C48" s="1387"/>
      <c r="D48" s="1388"/>
      <c r="E48" s="1389"/>
      <c r="F48" s="1389"/>
      <c r="G48" s="1389"/>
      <c r="H48" s="1389"/>
      <c r="I48" s="1389"/>
      <c r="J48" s="1389"/>
      <c r="K48" s="1389"/>
      <c r="L48" s="1389"/>
      <c r="M48" s="1389"/>
      <c r="N48" s="1389"/>
      <c r="O48" s="1389"/>
      <c r="P48" s="1389"/>
      <c r="Q48" s="1390"/>
      <c r="R48" s="836"/>
    </row>
    <row r="49" spans="1:18" s="124" customFormat="1" ht="64.5" customHeight="1" thickTop="1" thickBot="1" x14ac:dyDescent="0.4">
      <c r="A49" s="4760" t="str">
        <f>TYPOPARTNER!A17:D17</f>
        <v xml:space="preserve">Hébergeurs </v>
      </c>
      <c r="B49" s="4761"/>
      <c r="C49" s="4714" t="str">
        <f>IF(LEN(TYPOPARTNER!E17)&lt;1,"",TYPOPARTNER!E17)</f>
        <v>2- Moyenne</v>
      </c>
      <c r="D49" s="4722" t="s">
        <v>1406</v>
      </c>
      <c r="E49" s="4723"/>
      <c r="F49" s="4723"/>
      <c r="G49" s="4724"/>
      <c r="H49" s="4677"/>
      <c r="I49" s="4677"/>
      <c r="J49" s="4677"/>
      <c r="K49" s="4677"/>
      <c r="L49" s="4678"/>
      <c r="M49" s="4676"/>
      <c r="N49" s="4677"/>
      <c r="O49" s="4677"/>
      <c r="P49" s="4677"/>
      <c r="Q49" s="4678"/>
      <c r="R49" s="858"/>
    </row>
    <row r="50" spans="1:18" s="189" customFormat="1" ht="77.25" customHeight="1" x14ac:dyDescent="0.35">
      <c r="A50" s="4762"/>
      <c r="B50" s="4763"/>
      <c r="C50" s="4715"/>
      <c r="D50" s="4740" t="s">
        <v>1405</v>
      </c>
      <c r="E50" s="4741"/>
      <c r="F50" s="4741"/>
      <c r="G50" s="4742"/>
      <c r="H50" s="4677"/>
      <c r="I50" s="4677"/>
      <c r="J50" s="4677"/>
      <c r="K50" s="4677"/>
      <c r="L50" s="4678"/>
      <c r="M50" s="4676"/>
      <c r="N50" s="4677"/>
      <c r="O50" s="4677"/>
      <c r="P50" s="4677"/>
      <c r="Q50" s="4678"/>
      <c r="R50" s="869"/>
    </row>
    <row r="51" spans="1:18" s="189" customFormat="1" ht="75.75" customHeight="1" x14ac:dyDescent="0.35">
      <c r="A51" s="4762"/>
      <c r="B51" s="4763"/>
      <c r="C51" s="4715"/>
      <c r="D51" s="4728" t="s">
        <v>1407</v>
      </c>
      <c r="E51" s="4729"/>
      <c r="F51" s="4729"/>
      <c r="G51" s="4730"/>
      <c r="H51" s="4677"/>
      <c r="I51" s="4677"/>
      <c r="J51" s="4677"/>
      <c r="K51" s="4677"/>
      <c r="L51" s="4678"/>
      <c r="M51" s="4676"/>
      <c r="N51" s="4677"/>
      <c r="O51" s="4677"/>
      <c r="P51" s="4677"/>
      <c r="Q51" s="4678"/>
      <c r="R51" s="869"/>
    </row>
    <row r="52" spans="1:18" s="124" customFormat="1" ht="62.25" customHeight="1" x14ac:dyDescent="0.35">
      <c r="A52" s="4762"/>
      <c r="B52" s="4763"/>
      <c r="C52" s="4715"/>
      <c r="D52" s="4728" t="s">
        <v>1408</v>
      </c>
      <c r="E52" s="4729"/>
      <c r="F52" s="4729"/>
      <c r="G52" s="4730"/>
      <c r="H52" s="4677"/>
      <c r="I52" s="4677"/>
      <c r="J52" s="4677"/>
      <c r="K52" s="4677"/>
      <c r="L52" s="4678"/>
      <c r="M52" s="4676"/>
      <c r="N52" s="4677"/>
      <c r="O52" s="4677"/>
      <c r="P52" s="4677"/>
      <c r="Q52" s="4678"/>
      <c r="R52" s="858"/>
    </row>
    <row r="53" spans="1:18" s="118" customFormat="1" ht="45" customHeight="1" x14ac:dyDescent="0.35">
      <c r="A53" s="4762"/>
      <c r="B53" s="4763"/>
      <c r="C53" s="4715"/>
      <c r="D53" s="4728" t="s">
        <v>1409</v>
      </c>
      <c r="E53" s="4729"/>
      <c r="F53" s="4729"/>
      <c r="G53" s="4730"/>
      <c r="H53" s="4677"/>
      <c r="I53" s="4677"/>
      <c r="J53" s="4677"/>
      <c r="K53" s="4677"/>
      <c r="L53" s="4678"/>
      <c r="M53" s="4676"/>
      <c r="N53" s="4677"/>
      <c r="O53" s="4677"/>
      <c r="P53" s="4677"/>
      <c r="Q53" s="4678"/>
      <c r="R53" s="836"/>
    </row>
    <row r="54" spans="1:18" s="118" customFormat="1" ht="60" customHeight="1" x14ac:dyDescent="0.35">
      <c r="A54" s="4762"/>
      <c r="B54" s="4763"/>
      <c r="C54" s="4715"/>
      <c r="D54" s="4728" t="s">
        <v>1410</v>
      </c>
      <c r="E54" s="4729"/>
      <c r="F54" s="4729"/>
      <c r="G54" s="4730"/>
      <c r="H54" s="4677"/>
      <c r="I54" s="4677"/>
      <c r="J54" s="4677"/>
      <c r="K54" s="4677"/>
      <c r="L54" s="4678"/>
      <c r="M54" s="4676"/>
      <c r="N54" s="4677"/>
      <c r="O54" s="4677"/>
      <c r="P54" s="4677"/>
      <c r="Q54" s="4678"/>
      <c r="R54" s="836"/>
    </row>
    <row r="55" spans="1:18" s="124" customFormat="1" ht="47.25" customHeight="1" thickBot="1" x14ac:dyDescent="0.4">
      <c r="A55" s="4764"/>
      <c r="B55" s="4765"/>
      <c r="C55" s="4716"/>
      <c r="D55" s="4705" t="s">
        <v>1411</v>
      </c>
      <c r="E55" s="4706"/>
      <c r="F55" s="4706"/>
      <c r="G55" s="4707"/>
      <c r="H55" s="4677"/>
      <c r="I55" s="4677"/>
      <c r="J55" s="4677"/>
      <c r="K55" s="4677"/>
      <c r="L55" s="4678"/>
      <c r="M55" s="4679"/>
      <c r="N55" s="4680"/>
      <c r="O55" s="4680"/>
      <c r="P55" s="4680"/>
      <c r="Q55" s="4681"/>
      <c r="R55" s="858"/>
    </row>
    <row r="56" spans="1:18" s="118" customFormat="1" ht="8.25" customHeight="1" thickTop="1" thickBot="1" x14ac:dyDescent="0.4">
      <c r="A56" s="1385"/>
      <c r="B56" s="1386"/>
      <c r="C56" s="1387"/>
      <c r="D56" s="1388"/>
      <c r="E56" s="1389"/>
      <c r="F56" s="1389"/>
      <c r="G56" s="1389"/>
      <c r="H56" s="1389"/>
      <c r="I56" s="1389"/>
      <c r="J56" s="1389"/>
      <c r="K56" s="1389"/>
      <c r="L56" s="1389"/>
      <c r="M56" s="1389"/>
      <c r="N56" s="1389"/>
      <c r="O56" s="1389"/>
      <c r="P56" s="1389"/>
      <c r="Q56" s="1390"/>
      <c r="R56" s="836"/>
    </row>
    <row r="57" spans="1:18" s="118" customFormat="1" ht="58.5" customHeight="1" thickTop="1" thickBot="1" x14ac:dyDescent="0.4">
      <c r="A57" s="4754" t="str">
        <f>TYPOPARTNER!A18</f>
        <v>Agrégateurs</v>
      </c>
      <c r="B57" s="4755"/>
      <c r="C57" s="4721" t="str">
        <f>IF(LEN(TYPOPARTNER!E21)&lt;1,"",TYPOPARTNER!E21)</f>
        <v/>
      </c>
      <c r="D57" s="4722" t="s">
        <v>1406</v>
      </c>
      <c r="E57" s="4723"/>
      <c r="F57" s="4723"/>
      <c r="G57" s="4724"/>
      <c r="H57" s="4677"/>
      <c r="I57" s="4677"/>
      <c r="J57" s="4677"/>
      <c r="K57" s="4677"/>
      <c r="L57" s="4678"/>
      <c r="M57" s="4676"/>
      <c r="N57" s="4677"/>
      <c r="O57" s="4677"/>
      <c r="P57" s="4677"/>
      <c r="Q57" s="4678"/>
      <c r="R57" s="836"/>
    </row>
    <row r="58" spans="1:18" s="118" customFormat="1" ht="74.25" customHeight="1" x14ac:dyDescent="0.35">
      <c r="A58" s="4756"/>
      <c r="B58" s="4757"/>
      <c r="C58" s="4715"/>
      <c r="D58" s="4740" t="s">
        <v>1405</v>
      </c>
      <c r="E58" s="4741"/>
      <c r="F58" s="4741"/>
      <c r="G58" s="4742"/>
      <c r="H58" s="4677"/>
      <c r="I58" s="4677"/>
      <c r="J58" s="4677"/>
      <c r="K58" s="4677"/>
      <c r="L58" s="4678"/>
      <c r="M58" s="4676"/>
      <c r="N58" s="4677"/>
      <c r="O58" s="4677"/>
      <c r="P58" s="4677"/>
      <c r="Q58" s="4678"/>
      <c r="R58" s="836"/>
    </row>
    <row r="59" spans="1:18" s="118" customFormat="1" ht="73.5" customHeight="1" x14ac:dyDescent="0.35">
      <c r="A59" s="4756"/>
      <c r="B59" s="4757"/>
      <c r="C59" s="4715"/>
      <c r="D59" s="4728" t="s">
        <v>1407</v>
      </c>
      <c r="E59" s="4729"/>
      <c r="F59" s="4729"/>
      <c r="G59" s="4730"/>
      <c r="H59" s="4682"/>
      <c r="I59" s="4677"/>
      <c r="J59" s="4677"/>
      <c r="K59" s="4677"/>
      <c r="L59" s="4677"/>
      <c r="M59" s="4676"/>
      <c r="N59" s="4677"/>
      <c r="O59" s="4677"/>
      <c r="P59" s="4677"/>
      <c r="Q59" s="4678"/>
      <c r="R59" s="836"/>
    </row>
    <row r="60" spans="1:18" s="118" customFormat="1" ht="55.5" customHeight="1" x14ac:dyDescent="0.35">
      <c r="A60" s="4756"/>
      <c r="B60" s="4757"/>
      <c r="C60" s="4715"/>
      <c r="D60" s="4728" t="s">
        <v>1408</v>
      </c>
      <c r="E60" s="4729"/>
      <c r="F60" s="4729"/>
      <c r="G60" s="4730"/>
      <c r="H60" s="4677"/>
      <c r="I60" s="4677"/>
      <c r="J60" s="4677"/>
      <c r="K60" s="4677"/>
      <c r="L60" s="4678"/>
      <c r="M60" s="4676"/>
      <c r="N60" s="4677"/>
      <c r="O60" s="4677"/>
      <c r="P60" s="4677"/>
      <c r="Q60" s="4678"/>
      <c r="R60" s="836"/>
    </row>
    <row r="61" spans="1:18" s="118" customFormat="1" ht="46.5" customHeight="1" x14ac:dyDescent="0.35">
      <c r="A61" s="4756"/>
      <c r="B61" s="4757"/>
      <c r="C61" s="4715"/>
      <c r="D61" s="4728" t="s">
        <v>1409</v>
      </c>
      <c r="E61" s="4729"/>
      <c r="F61" s="4729"/>
      <c r="G61" s="4730"/>
      <c r="H61" s="4677"/>
      <c r="I61" s="4677"/>
      <c r="J61" s="4677"/>
      <c r="K61" s="4677"/>
      <c r="L61" s="4678"/>
      <c r="M61" s="4676"/>
      <c r="N61" s="4677"/>
      <c r="O61" s="4677"/>
      <c r="P61" s="4677"/>
      <c r="Q61" s="4678"/>
      <c r="R61" s="836"/>
    </row>
    <row r="62" spans="1:18" s="118" customFormat="1" ht="53.25" customHeight="1" x14ac:dyDescent="0.35">
      <c r="A62" s="4756"/>
      <c r="B62" s="4757"/>
      <c r="C62" s="4715"/>
      <c r="D62" s="4728" t="s">
        <v>1410</v>
      </c>
      <c r="E62" s="4729"/>
      <c r="F62" s="4729"/>
      <c r="G62" s="4730"/>
      <c r="H62" s="4677"/>
      <c r="I62" s="4677"/>
      <c r="J62" s="4677"/>
      <c r="K62" s="4677"/>
      <c r="L62" s="4678"/>
      <c r="M62" s="4676"/>
      <c r="N62" s="4677"/>
      <c r="O62" s="4677"/>
      <c r="P62" s="4677"/>
      <c r="Q62" s="4678"/>
      <c r="R62" s="836"/>
    </row>
    <row r="63" spans="1:18" s="118" customFormat="1" ht="31.5" customHeight="1" thickBot="1" x14ac:dyDescent="0.4">
      <c r="A63" s="4758"/>
      <c r="B63" s="4759"/>
      <c r="C63" s="4727"/>
      <c r="D63" s="4705" t="s">
        <v>1411</v>
      </c>
      <c r="E63" s="4706"/>
      <c r="F63" s="4706"/>
      <c r="G63" s="4707"/>
      <c r="H63" s="4677"/>
      <c r="I63" s="4677"/>
      <c r="J63" s="4677"/>
      <c r="K63" s="4677"/>
      <c r="L63" s="4678"/>
      <c r="M63" s="4679"/>
      <c r="N63" s="4680"/>
      <c r="O63" s="4680"/>
      <c r="P63" s="4680"/>
      <c r="Q63" s="4681"/>
      <c r="R63" s="836"/>
    </row>
    <row r="64" spans="1:18" s="118" customFormat="1" ht="8.25" customHeight="1" thickTop="1" thickBot="1" x14ac:dyDescent="0.4">
      <c r="A64" s="1385"/>
      <c r="B64" s="1386"/>
      <c r="C64" s="1387"/>
      <c r="D64" s="1388"/>
      <c r="E64" s="1389"/>
      <c r="F64" s="1389"/>
      <c r="G64" s="1389"/>
      <c r="H64" s="1389"/>
      <c r="I64" s="1389"/>
      <c r="J64" s="1389"/>
      <c r="K64" s="1389"/>
      <c r="L64" s="1389"/>
      <c r="M64" s="1389"/>
      <c r="N64" s="1389"/>
      <c r="O64" s="1389"/>
      <c r="P64" s="1389"/>
      <c r="Q64" s="1390"/>
      <c r="R64" s="836"/>
    </row>
    <row r="65" spans="1:18" s="118" customFormat="1" ht="58.5" customHeight="1" thickTop="1" thickBot="1" x14ac:dyDescent="0.4">
      <c r="A65" s="4766" t="str">
        <f>TYPOPARTNER!A19</f>
        <v>Autre</v>
      </c>
      <c r="B65" s="4767"/>
      <c r="C65" s="4721" t="str">
        <f>IF(LEN(TYPOPARTNER!E18)&lt;1,"",TYPOPARTNER!E18)</f>
        <v>2- Moyenne</v>
      </c>
      <c r="D65" s="4722" t="s">
        <v>1406</v>
      </c>
      <c r="E65" s="4723"/>
      <c r="F65" s="4723"/>
      <c r="G65" s="4724"/>
      <c r="H65" s="4682"/>
      <c r="I65" s="4677"/>
      <c r="J65" s="4677"/>
      <c r="K65" s="4677"/>
      <c r="L65" s="4677"/>
      <c r="M65" s="4676"/>
      <c r="N65" s="4677"/>
      <c r="O65" s="4677"/>
      <c r="P65" s="4677"/>
      <c r="Q65" s="4678"/>
      <c r="R65" s="836"/>
    </row>
    <row r="66" spans="1:18" s="118" customFormat="1" ht="74.25" customHeight="1" x14ac:dyDescent="0.35">
      <c r="A66" s="4768"/>
      <c r="B66" s="4769"/>
      <c r="C66" s="4715"/>
      <c r="D66" s="4740" t="s">
        <v>1405</v>
      </c>
      <c r="E66" s="4741"/>
      <c r="F66" s="4741"/>
      <c r="G66" s="4742"/>
      <c r="H66" s="4682"/>
      <c r="I66" s="4677"/>
      <c r="J66" s="4677"/>
      <c r="K66" s="4677"/>
      <c r="L66" s="4677"/>
      <c r="M66" s="4676"/>
      <c r="N66" s="4677"/>
      <c r="O66" s="4677"/>
      <c r="P66" s="4677"/>
      <c r="Q66" s="4678"/>
      <c r="R66" s="836"/>
    </row>
    <row r="67" spans="1:18" s="118" customFormat="1" ht="73.5" customHeight="1" x14ac:dyDescent="0.35">
      <c r="A67" s="4768"/>
      <c r="B67" s="4769"/>
      <c r="C67" s="4715"/>
      <c r="D67" s="4728" t="s">
        <v>1407</v>
      </c>
      <c r="E67" s="4729"/>
      <c r="F67" s="4729"/>
      <c r="G67" s="4730"/>
      <c r="H67" s="4682"/>
      <c r="I67" s="4677"/>
      <c r="J67" s="4677"/>
      <c r="K67" s="4677"/>
      <c r="L67" s="4677"/>
      <c r="M67" s="4676"/>
      <c r="N67" s="4677"/>
      <c r="O67" s="4677"/>
      <c r="P67" s="4677"/>
      <c r="Q67" s="4678"/>
      <c r="R67" s="836"/>
    </row>
    <row r="68" spans="1:18" s="118" customFormat="1" ht="55.5" customHeight="1" x14ac:dyDescent="0.35">
      <c r="A68" s="4768"/>
      <c r="B68" s="4769"/>
      <c r="C68" s="4715"/>
      <c r="D68" s="4728" t="s">
        <v>1408</v>
      </c>
      <c r="E68" s="4729"/>
      <c r="F68" s="4729"/>
      <c r="G68" s="4730"/>
      <c r="H68" s="4682"/>
      <c r="I68" s="4677"/>
      <c r="J68" s="4677"/>
      <c r="K68" s="4677"/>
      <c r="L68" s="4677"/>
      <c r="M68" s="4676"/>
      <c r="N68" s="4677"/>
      <c r="O68" s="4677"/>
      <c r="P68" s="4677"/>
      <c r="Q68" s="4678"/>
      <c r="R68" s="836"/>
    </row>
    <row r="69" spans="1:18" s="118" customFormat="1" ht="46.5" customHeight="1" x14ac:dyDescent="0.35">
      <c r="A69" s="4768"/>
      <c r="B69" s="4769"/>
      <c r="C69" s="4715"/>
      <c r="D69" s="4728" t="s">
        <v>1409</v>
      </c>
      <c r="E69" s="4729"/>
      <c r="F69" s="4729"/>
      <c r="G69" s="4730"/>
      <c r="H69" s="4682"/>
      <c r="I69" s="4677"/>
      <c r="J69" s="4677"/>
      <c r="K69" s="4677"/>
      <c r="L69" s="4677"/>
      <c r="M69" s="4676"/>
      <c r="N69" s="4677"/>
      <c r="O69" s="4677"/>
      <c r="P69" s="4677"/>
      <c r="Q69" s="4678"/>
      <c r="R69" s="836"/>
    </row>
    <row r="70" spans="1:18" s="118" customFormat="1" ht="53.25" customHeight="1" x14ac:dyDescent="0.35">
      <c r="A70" s="4768"/>
      <c r="B70" s="4769"/>
      <c r="C70" s="4715"/>
      <c r="D70" s="4728" t="s">
        <v>1410</v>
      </c>
      <c r="E70" s="4729"/>
      <c r="F70" s="4729"/>
      <c r="G70" s="4730"/>
      <c r="H70" s="4682"/>
      <c r="I70" s="4677"/>
      <c r="J70" s="4677"/>
      <c r="K70" s="4677"/>
      <c r="L70" s="4677"/>
      <c r="M70" s="4676"/>
      <c r="N70" s="4677"/>
      <c r="O70" s="4677"/>
      <c r="P70" s="4677"/>
      <c r="Q70" s="4678"/>
      <c r="R70" s="836"/>
    </row>
    <row r="71" spans="1:18" s="118" customFormat="1" ht="31.5" customHeight="1" thickBot="1" x14ac:dyDescent="0.4">
      <c r="A71" s="4770"/>
      <c r="B71" s="4771"/>
      <c r="C71" s="4727"/>
      <c r="D71" s="4705" t="s">
        <v>1411</v>
      </c>
      <c r="E71" s="4706"/>
      <c r="F71" s="4706"/>
      <c r="G71" s="4707"/>
      <c r="H71" s="4682"/>
      <c r="I71" s="4677"/>
      <c r="J71" s="4677"/>
      <c r="K71" s="4677"/>
      <c r="L71" s="4677"/>
      <c r="M71" s="4679"/>
      <c r="N71" s="4680"/>
      <c r="O71" s="4680"/>
      <c r="P71" s="4680"/>
      <c r="Q71" s="4681"/>
      <c r="R71" s="836"/>
    </row>
    <row r="72" spans="1:18" s="118" customFormat="1" ht="8.25" customHeight="1" thickTop="1" thickBot="1" x14ac:dyDescent="0.4">
      <c r="A72" s="1385"/>
      <c r="B72" s="1386"/>
      <c r="C72" s="1387"/>
      <c r="D72" s="1388"/>
      <c r="E72" s="1389"/>
      <c r="F72" s="1389"/>
      <c r="G72" s="1389"/>
      <c r="H72" s="1389"/>
      <c r="I72" s="1389"/>
      <c r="J72" s="1389"/>
      <c r="K72" s="1389"/>
      <c r="L72" s="1389"/>
      <c r="M72" s="1389"/>
      <c r="N72" s="1389"/>
      <c r="O72" s="1389"/>
      <c r="P72" s="1389"/>
      <c r="Q72" s="1390"/>
      <c r="R72" s="836"/>
    </row>
    <row r="73" spans="1:18" s="124" customFormat="1" ht="64.5" customHeight="1" thickTop="1" thickBot="1" x14ac:dyDescent="0.4">
      <c r="A73" s="4772">
        <f>TYPOPARTNER!A20</f>
        <v>0</v>
      </c>
      <c r="B73" s="4773"/>
      <c r="C73" s="4714" t="str">
        <f>IF(LEN(TYPOPARTNER!E19)&lt;1,"",TYPOPARTNER!E19)</f>
        <v/>
      </c>
      <c r="D73" s="4722" t="s">
        <v>1406</v>
      </c>
      <c r="E73" s="4723"/>
      <c r="F73" s="4723"/>
      <c r="G73" s="4724"/>
      <c r="H73" s="4682"/>
      <c r="I73" s="4677"/>
      <c r="J73" s="4677"/>
      <c r="K73" s="4677"/>
      <c r="L73" s="4677"/>
      <c r="M73" s="4676"/>
      <c r="N73" s="4677"/>
      <c r="O73" s="4677"/>
      <c r="P73" s="4677"/>
      <c r="Q73" s="4678"/>
      <c r="R73" s="858"/>
    </row>
    <row r="74" spans="1:18" s="189" customFormat="1" ht="77.25" customHeight="1" x14ac:dyDescent="0.35">
      <c r="A74" s="4774"/>
      <c r="B74" s="4775"/>
      <c r="C74" s="4715"/>
      <c r="D74" s="4740" t="s">
        <v>1405</v>
      </c>
      <c r="E74" s="4741"/>
      <c r="F74" s="4741"/>
      <c r="G74" s="4742"/>
      <c r="H74" s="4682"/>
      <c r="I74" s="4677"/>
      <c r="J74" s="4677"/>
      <c r="K74" s="4677"/>
      <c r="L74" s="4677"/>
      <c r="M74" s="4676"/>
      <c r="N74" s="4677"/>
      <c r="O74" s="4677"/>
      <c r="P74" s="4677"/>
      <c r="Q74" s="4678"/>
      <c r="R74" s="869"/>
    </row>
    <row r="75" spans="1:18" s="189" customFormat="1" ht="75.75" customHeight="1" x14ac:dyDescent="0.35">
      <c r="A75" s="4774"/>
      <c r="B75" s="4775"/>
      <c r="C75" s="4715"/>
      <c r="D75" s="4728" t="s">
        <v>1407</v>
      </c>
      <c r="E75" s="4729"/>
      <c r="F75" s="4729"/>
      <c r="G75" s="4730"/>
      <c r="H75" s="4682"/>
      <c r="I75" s="4677"/>
      <c r="J75" s="4677"/>
      <c r="K75" s="4677"/>
      <c r="L75" s="4677"/>
      <c r="M75" s="4676"/>
      <c r="N75" s="4677"/>
      <c r="O75" s="4677"/>
      <c r="P75" s="4677"/>
      <c r="Q75" s="4678"/>
      <c r="R75" s="869"/>
    </row>
    <row r="76" spans="1:18" s="124" customFormat="1" ht="62.25" customHeight="1" x14ac:dyDescent="0.35">
      <c r="A76" s="4774"/>
      <c r="B76" s="4775"/>
      <c r="C76" s="4715"/>
      <c r="D76" s="4728" t="s">
        <v>1408</v>
      </c>
      <c r="E76" s="4729"/>
      <c r="F76" s="4729"/>
      <c r="G76" s="4730"/>
      <c r="H76" s="4682"/>
      <c r="I76" s="4677"/>
      <c r="J76" s="4677"/>
      <c r="K76" s="4677"/>
      <c r="L76" s="4677"/>
      <c r="M76" s="4676"/>
      <c r="N76" s="4677"/>
      <c r="O76" s="4677"/>
      <c r="P76" s="4677"/>
      <c r="Q76" s="4678"/>
      <c r="R76" s="858"/>
    </row>
    <row r="77" spans="1:18" s="118" customFormat="1" ht="45" customHeight="1" x14ac:dyDescent="0.35">
      <c r="A77" s="4774"/>
      <c r="B77" s="4775"/>
      <c r="C77" s="4715"/>
      <c r="D77" s="4728" t="s">
        <v>1409</v>
      </c>
      <c r="E77" s="4729"/>
      <c r="F77" s="4729"/>
      <c r="G77" s="4730"/>
      <c r="H77" s="4682"/>
      <c r="I77" s="4677"/>
      <c r="J77" s="4677"/>
      <c r="K77" s="4677"/>
      <c r="L77" s="4677"/>
      <c r="M77" s="4676"/>
      <c r="N77" s="4677"/>
      <c r="O77" s="4677"/>
      <c r="P77" s="4677"/>
      <c r="Q77" s="4678"/>
      <c r="R77" s="836"/>
    </row>
    <row r="78" spans="1:18" s="118" customFormat="1" ht="60" customHeight="1" x14ac:dyDescent="0.35">
      <c r="A78" s="4774"/>
      <c r="B78" s="4775"/>
      <c r="C78" s="4715"/>
      <c r="D78" s="4728" t="s">
        <v>1410</v>
      </c>
      <c r="E78" s="4729"/>
      <c r="F78" s="4729"/>
      <c r="G78" s="4730"/>
      <c r="H78" s="4682"/>
      <c r="I78" s="4677"/>
      <c r="J78" s="4677"/>
      <c r="K78" s="4677"/>
      <c r="L78" s="4677"/>
      <c r="M78" s="4676"/>
      <c r="N78" s="4677"/>
      <c r="O78" s="4677"/>
      <c r="P78" s="4677"/>
      <c r="Q78" s="4678"/>
      <c r="R78" s="836"/>
    </row>
    <row r="79" spans="1:18" s="124" customFormat="1" ht="47.25" customHeight="1" thickBot="1" x14ac:dyDescent="0.4">
      <c r="A79" s="4776"/>
      <c r="B79" s="4777"/>
      <c r="C79" s="4716"/>
      <c r="D79" s="4705" t="s">
        <v>1411</v>
      </c>
      <c r="E79" s="4706"/>
      <c r="F79" s="4706"/>
      <c r="G79" s="4707"/>
      <c r="H79" s="4682"/>
      <c r="I79" s="4677"/>
      <c r="J79" s="4677"/>
      <c r="K79" s="4677"/>
      <c r="L79" s="4677"/>
      <c r="M79" s="4679"/>
      <c r="N79" s="4680"/>
      <c r="O79" s="4680"/>
      <c r="P79" s="4680"/>
      <c r="Q79" s="4681"/>
      <c r="R79" s="858"/>
    </row>
    <row r="80" spans="1:18" s="118" customFormat="1" ht="8.25" customHeight="1" thickTop="1" thickBot="1" x14ac:dyDescent="0.4">
      <c r="A80" s="1385"/>
      <c r="B80" s="1386"/>
      <c r="C80" s="1387"/>
      <c r="D80" s="1388"/>
      <c r="E80" s="1389"/>
      <c r="F80" s="1389"/>
      <c r="G80" s="1389"/>
      <c r="H80" s="1389"/>
      <c r="I80" s="1389"/>
      <c r="J80" s="1389"/>
      <c r="K80" s="1389"/>
      <c r="L80" s="1389"/>
      <c r="M80" s="1389"/>
      <c r="N80" s="1389"/>
      <c r="O80" s="1389"/>
      <c r="P80" s="1389"/>
      <c r="Q80" s="1390"/>
      <c r="R80" s="836"/>
    </row>
    <row r="81" spans="1:18" s="118" customFormat="1" ht="58.5" customHeight="1" thickTop="1" thickBot="1" x14ac:dyDescent="0.4">
      <c r="A81" s="4766">
        <f>TYPOPARTNER!A21</f>
        <v>0</v>
      </c>
      <c r="B81" s="4767"/>
      <c r="C81" s="4721" t="str">
        <f>IF(LEN(TYPOPARTNER!E22)&lt;1,"",TYPOPARTNER!E22)</f>
        <v/>
      </c>
      <c r="D81" s="4722" t="s">
        <v>1406</v>
      </c>
      <c r="E81" s="4723"/>
      <c r="F81" s="4723"/>
      <c r="G81" s="4724"/>
      <c r="H81" s="4682"/>
      <c r="I81" s="4677"/>
      <c r="J81" s="4677"/>
      <c r="K81" s="4677"/>
      <c r="L81" s="4677"/>
      <c r="M81" s="4676"/>
      <c r="N81" s="4677"/>
      <c r="O81" s="4677"/>
      <c r="P81" s="4677"/>
      <c r="Q81" s="4678"/>
      <c r="R81" s="836"/>
    </row>
    <row r="82" spans="1:18" s="118" customFormat="1" ht="74.25" customHeight="1" x14ac:dyDescent="0.35">
      <c r="A82" s="4768"/>
      <c r="B82" s="4769"/>
      <c r="C82" s="4715"/>
      <c r="D82" s="4740" t="s">
        <v>1405</v>
      </c>
      <c r="E82" s="4741"/>
      <c r="F82" s="4741"/>
      <c r="G82" s="4742"/>
      <c r="H82" s="4682"/>
      <c r="I82" s="4677"/>
      <c r="J82" s="4677"/>
      <c r="K82" s="4677"/>
      <c r="L82" s="4677"/>
      <c r="M82" s="4676"/>
      <c r="N82" s="4677"/>
      <c r="O82" s="4677"/>
      <c r="P82" s="4677"/>
      <c r="Q82" s="4678"/>
      <c r="R82" s="836"/>
    </row>
    <row r="83" spans="1:18" s="118" customFormat="1" ht="73.5" customHeight="1" x14ac:dyDescent="0.35">
      <c r="A83" s="4768"/>
      <c r="B83" s="4769"/>
      <c r="C83" s="4715"/>
      <c r="D83" s="4728" t="s">
        <v>1407</v>
      </c>
      <c r="E83" s="4729"/>
      <c r="F83" s="4729"/>
      <c r="G83" s="4730"/>
      <c r="H83" s="4682"/>
      <c r="I83" s="4677"/>
      <c r="J83" s="4677"/>
      <c r="K83" s="4677"/>
      <c r="L83" s="4677"/>
      <c r="M83" s="4676"/>
      <c r="N83" s="4677"/>
      <c r="O83" s="4677"/>
      <c r="P83" s="4677"/>
      <c r="Q83" s="4678"/>
      <c r="R83" s="836"/>
    </row>
    <row r="84" spans="1:18" s="118" customFormat="1" ht="55.5" customHeight="1" x14ac:dyDescent="0.35">
      <c r="A84" s="4768"/>
      <c r="B84" s="4769"/>
      <c r="C84" s="4715"/>
      <c r="D84" s="4728" t="s">
        <v>1408</v>
      </c>
      <c r="E84" s="4729"/>
      <c r="F84" s="4729"/>
      <c r="G84" s="4730"/>
      <c r="H84" s="4682"/>
      <c r="I84" s="4677"/>
      <c r="J84" s="4677"/>
      <c r="K84" s="4677"/>
      <c r="L84" s="4677"/>
      <c r="M84" s="4676"/>
      <c r="N84" s="4677"/>
      <c r="O84" s="4677"/>
      <c r="P84" s="4677"/>
      <c r="Q84" s="4678"/>
      <c r="R84" s="836"/>
    </row>
    <row r="85" spans="1:18" s="118" customFormat="1" ht="46.5" customHeight="1" x14ac:dyDescent="0.35">
      <c r="A85" s="4768"/>
      <c r="B85" s="4769"/>
      <c r="C85" s="4715"/>
      <c r="D85" s="4728" t="s">
        <v>1409</v>
      </c>
      <c r="E85" s="4729"/>
      <c r="F85" s="4729"/>
      <c r="G85" s="4730"/>
      <c r="H85" s="4682"/>
      <c r="I85" s="4677"/>
      <c r="J85" s="4677"/>
      <c r="K85" s="4677"/>
      <c r="L85" s="4677"/>
      <c r="M85" s="4676"/>
      <c r="N85" s="4677"/>
      <c r="O85" s="4677"/>
      <c r="P85" s="4677"/>
      <c r="Q85" s="4678"/>
      <c r="R85" s="836"/>
    </row>
    <row r="86" spans="1:18" s="118" customFormat="1" ht="53.25" customHeight="1" x14ac:dyDescent="0.35">
      <c r="A86" s="4768"/>
      <c r="B86" s="4769"/>
      <c r="C86" s="4715"/>
      <c r="D86" s="4728" t="s">
        <v>1410</v>
      </c>
      <c r="E86" s="4729"/>
      <c r="F86" s="4729"/>
      <c r="G86" s="4730"/>
      <c r="H86" s="4682"/>
      <c r="I86" s="4677"/>
      <c r="J86" s="4677"/>
      <c r="K86" s="4677"/>
      <c r="L86" s="4677"/>
      <c r="M86" s="4676"/>
      <c r="N86" s="4677"/>
      <c r="O86" s="4677"/>
      <c r="P86" s="4677"/>
      <c r="Q86" s="4678"/>
      <c r="R86" s="836"/>
    </row>
    <row r="87" spans="1:18" s="118" customFormat="1" ht="31.5" customHeight="1" thickBot="1" x14ac:dyDescent="0.4">
      <c r="A87" s="4770"/>
      <c r="B87" s="4771"/>
      <c r="C87" s="4727"/>
      <c r="D87" s="4705" t="s">
        <v>1411</v>
      </c>
      <c r="E87" s="4706"/>
      <c r="F87" s="4706"/>
      <c r="G87" s="4707"/>
      <c r="H87" s="4682"/>
      <c r="I87" s="4677"/>
      <c r="J87" s="4677"/>
      <c r="K87" s="4677"/>
      <c r="L87" s="4677"/>
      <c r="M87" s="4679"/>
      <c r="N87" s="4680"/>
      <c r="O87" s="4680"/>
      <c r="P87" s="4680"/>
      <c r="Q87" s="4681"/>
      <c r="R87" s="836"/>
    </row>
    <row r="88" spans="1:18" s="118" customFormat="1" ht="8.25" customHeight="1" thickTop="1" thickBot="1" x14ac:dyDescent="0.4">
      <c r="A88" s="1385"/>
      <c r="B88" s="1386"/>
      <c r="C88" s="1387"/>
      <c r="D88" s="1388"/>
      <c r="E88" s="1389"/>
      <c r="F88" s="1389"/>
      <c r="G88" s="1389"/>
      <c r="H88" s="1389"/>
      <c r="I88" s="1389"/>
      <c r="J88" s="1389"/>
      <c r="K88" s="1389"/>
      <c r="L88" s="1389"/>
      <c r="M88" s="1389"/>
      <c r="N88" s="1389"/>
      <c r="O88" s="1389"/>
      <c r="P88" s="1389"/>
      <c r="Q88" s="1390"/>
      <c r="R88" s="836"/>
    </row>
    <row r="89" spans="1:18" s="118" customFormat="1" ht="58.5" customHeight="1" thickTop="1" thickBot="1" x14ac:dyDescent="0.4">
      <c r="A89" s="4766">
        <f>TYPOPARTNER!A22</f>
        <v>0</v>
      </c>
      <c r="B89" s="4767"/>
      <c r="C89" s="4721" t="str">
        <f>IF(LEN(TYPOPARTNER!E23)&lt;1,"",TYPOPARTNER!E23)</f>
        <v/>
      </c>
      <c r="D89" s="4722" t="s">
        <v>1406</v>
      </c>
      <c r="E89" s="4723"/>
      <c r="F89" s="4723"/>
      <c r="G89" s="4724"/>
      <c r="H89" s="4682"/>
      <c r="I89" s="4677"/>
      <c r="J89" s="4677"/>
      <c r="K89" s="4677"/>
      <c r="L89" s="4677"/>
      <c r="M89" s="4676"/>
      <c r="N89" s="4677"/>
      <c r="O89" s="4677"/>
      <c r="P89" s="4677"/>
      <c r="Q89" s="4678"/>
      <c r="R89" s="836"/>
    </row>
    <row r="90" spans="1:18" s="118" customFormat="1" ht="74.25" customHeight="1" x14ac:dyDescent="0.35">
      <c r="A90" s="4768"/>
      <c r="B90" s="4769"/>
      <c r="C90" s="4715"/>
      <c r="D90" s="4740" t="s">
        <v>1405</v>
      </c>
      <c r="E90" s="4741"/>
      <c r="F90" s="4741"/>
      <c r="G90" s="4742"/>
      <c r="H90" s="4682"/>
      <c r="I90" s="4677"/>
      <c r="J90" s="4677"/>
      <c r="K90" s="4677"/>
      <c r="L90" s="4677"/>
      <c r="M90" s="4676"/>
      <c r="N90" s="4677"/>
      <c r="O90" s="4677"/>
      <c r="P90" s="4677"/>
      <c r="Q90" s="4678"/>
      <c r="R90" s="836"/>
    </row>
    <row r="91" spans="1:18" s="118" customFormat="1" ht="73.5" customHeight="1" x14ac:dyDescent="0.35">
      <c r="A91" s="4768"/>
      <c r="B91" s="4769"/>
      <c r="C91" s="4715"/>
      <c r="D91" s="4728" t="s">
        <v>1407</v>
      </c>
      <c r="E91" s="4729"/>
      <c r="F91" s="4729"/>
      <c r="G91" s="4730"/>
      <c r="H91" s="4682"/>
      <c r="I91" s="4677"/>
      <c r="J91" s="4677"/>
      <c r="K91" s="4677"/>
      <c r="L91" s="4677"/>
      <c r="M91" s="4676"/>
      <c r="N91" s="4677"/>
      <c r="O91" s="4677"/>
      <c r="P91" s="4677"/>
      <c r="Q91" s="4678"/>
      <c r="R91" s="836"/>
    </row>
    <row r="92" spans="1:18" s="118" customFormat="1" ht="55.5" customHeight="1" x14ac:dyDescent="0.35">
      <c r="A92" s="4768"/>
      <c r="B92" s="4769"/>
      <c r="C92" s="4715"/>
      <c r="D92" s="4728" t="s">
        <v>1408</v>
      </c>
      <c r="E92" s="4729"/>
      <c r="F92" s="4729"/>
      <c r="G92" s="4730"/>
      <c r="H92" s="4682"/>
      <c r="I92" s="4677"/>
      <c r="J92" s="4677"/>
      <c r="K92" s="4677"/>
      <c r="L92" s="4677"/>
      <c r="M92" s="4676"/>
      <c r="N92" s="4677"/>
      <c r="O92" s="4677"/>
      <c r="P92" s="4677"/>
      <c r="Q92" s="4678"/>
      <c r="R92" s="836"/>
    </row>
    <row r="93" spans="1:18" s="118" customFormat="1" ht="46.5" customHeight="1" x14ac:dyDescent="0.35">
      <c r="A93" s="4768"/>
      <c r="B93" s="4769"/>
      <c r="C93" s="4715"/>
      <c r="D93" s="4728" t="s">
        <v>1409</v>
      </c>
      <c r="E93" s="4729"/>
      <c r="F93" s="4729"/>
      <c r="G93" s="4730"/>
      <c r="H93" s="4682"/>
      <c r="I93" s="4677"/>
      <c r="J93" s="4677"/>
      <c r="K93" s="4677"/>
      <c r="L93" s="4677"/>
      <c r="M93" s="4676"/>
      <c r="N93" s="4677"/>
      <c r="O93" s="4677"/>
      <c r="P93" s="4677"/>
      <c r="Q93" s="4678"/>
      <c r="R93" s="836"/>
    </row>
    <row r="94" spans="1:18" s="118" customFormat="1" ht="53.25" customHeight="1" x14ac:dyDescent="0.35">
      <c r="A94" s="4768"/>
      <c r="B94" s="4769"/>
      <c r="C94" s="4715"/>
      <c r="D94" s="4728" t="s">
        <v>1410</v>
      </c>
      <c r="E94" s="4729"/>
      <c r="F94" s="4729"/>
      <c r="G94" s="4730"/>
      <c r="H94" s="4682"/>
      <c r="I94" s="4677"/>
      <c r="J94" s="4677"/>
      <c r="K94" s="4677"/>
      <c r="L94" s="4677"/>
      <c r="M94" s="4676"/>
      <c r="N94" s="4677"/>
      <c r="O94" s="4677"/>
      <c r="P94" s="4677"/>
      <c r="Q94" s="4678"/>
      <c r="R94" s="836"/>
    </row>
    <row r="95" spans="1:18" s="118" customFormat="1" ht="31.5" customHeight="1" thickBot="1" x14ac:dyDescent="0.4">
      <c r="A95" s="4770"/>
      <c r="B95" s="4771"/>
      <c r="C95" s="4727"/>
      <c r="D95" s="4705" t="s">
        <v>1411</v>
      </c>
      <c r="E95" s="4706"/>
      <c r="F95" s="4706"/>
      <c r="G95" s="4707"/>
      <c r="H95" s="4682"/>
      <c r="I95" s="4677"/>
      <c r="J95" s="4677"/>
      <c r="K95" s="4677"/>
      <c r="L95" s="4677"/>
      <c r="M95" s="4679"/>
      <c r="N95" s="4680"/>
      <c r="O95" s="4680"/>
      <c r="P95" s="4680"/>
      <c r="Q95" s="4681"/>
      <c r="R95" s="836"/>
    </row>
    <row r="96" spans="1:18" s="118" customFormat="1" ht="8.25" customHeight="1" thickTop="1" thickBot="1" x14ac:dyDescent="0.4">
      <c r="A96" s="1385"/>
      <c r="B96" s="1386"/>
      <c r="C96" s="1387"/>
      <c r="D96" s="1388"/>
      <c r="E96" s="1389"/>
      <c r="F96" s="1389"/>
      <c r="G96" s="1389"/>
      <c r="H96" s="1389"/>
      <c r="I96" s="1389"/>
      <c r="J96" s="1389"/>
      <c r="K96" s="1389"/>
      <c r="L96" s="1389"/>
      <c r="M96" s="1389"/>
      <c r="N96" s="1389"/>
      <c r="O96" s="1389"/>
      <c r="P96" s="1389"/>
      <c r="Q96" s="1390"/>
      <c r="R96" s="836"/>
    </row>
    <row r="97" spans="1:18" s="124" customFormat="1" ht="64.5" customHeight="1" thickTop="1" thickBot="1" x14ac:dyDescent="0.4">
      <c r="A97" s="4778">
        <f>TYPOPARTNER!A23</f>
        <v>0</v>
      </c>
      <c r="B97" s="4779"/>
      <c r="C97" s="4714" t="str">
        <f>IF(LEN(TYPOPARTNER!E24)&lt;1,"",TYPOPARTNER!E24)</f>
        <v/>
      </c>
      <c r="D97" s="4722" t="s">
        <v>1406</v>
      </c>
      <c r="E97" s="4723"/>
      <c r="F97" s="4723"/>
      <c r="G97" s="4724"/>
      <c r="H97" s="4682"/>
      <c r="I97" s="4677"/>
      <c r="J97" s="4677"/>
      <c r="K97" s="4677"/>
      <c r="L97" s="4677"/>
      <c r="M97" s="4676"/>
      <c r="N97" s="4677"/>
      <c r="O97" s="4677"/>
      <c r="P97" s="4677"/>
      <c r="Q97" s="4678"/>
      <c r="R97" s="858"/>
    </row>
    <row r="98" spans="1:18" s="189" customFormat="1" ht="77.25" customHeight="1" x14ac:dyDescent="0.35">
      <c r="A98" s="4768"/>
      <c r="B98" s="4769"/>
      <c r="C98" s="4715"/>
      <c r="D98" s="4740" t="s">
        <v>1405</v>
      </c>
      <c r="E98" s="4741"/>
      <c r="F98" s="4741"/>
      <c r="G98" s="4742"/>
      <c r="H98" s="4682"/>
      <c r="I98" s="4677"/>
      <c r="J98" s="4677"/>
      <c r="K98" s="4677"/>
      <c r="L98" s="4677"/>
      <c r="M98" s="4676"/>
      <c r="N98" s="4677"/>
      <c r="O98" s="4677"/>
      <c r="P98" s="4677"/>
      <c r="Q98" s="4678"/>
      <c r="R98" s="869"/>
    </row>
    <row r="99" spans="1:18" s="189" customFormat="1" ht="75.75" customHeight="1" x14ac:dyDescent="0.35">
      <c r="A99" s="4768"/>
      <c r="B99" s="4769"/>
      <c r="C99" s="4715"/>
      <c r="D99" s="4728" t="s">
        <v>1407</v>
      </c>
      <c r="E99" s="4729"/>
      <c r="F99" s="4729"/>
      <c r="G99" s="4730"/>
      <c r="H99" s="4682"/>
      <c r="I99" s="4677"/>
      <c r="J99" s="4677"/>
      <c r="K99" s="4677"/>
      <c r="L99" s="4677"/>
      <c r="M99" s="4676"/>
      <c r="N99" s="4677"/>
      <c r="O99" s="4677"/>
      <c r="P99" s="4677"/>
      <c r="Q99" s="4678"/>
      <c r="R99" s="869"/>
    </row>
    <row r="100" spans="1:18" s="124" customFormat="1" ht="62.25" customHeight="1" x14ac:dyDescent="0.35">
      <c r="A100" s="4768"/>
      <c r="B100" s="4769"/>
      <c r="C100" s="4715"/>
      <c r="D100" s="4728" t="s">
        <v>1408</v>
      </c>
      <c r="E100" s="4729"/>
      <c r="F100" s="4729"/>
      <c r="G100" s="4730"/>
      <c r="H100" s="4682"/>
      <c r="I100" s="4677"/>
      <c r="J100" s="4677"/>
      <c r="K100" s="4677"/>
      <c r="L100" s="4677"/>
      <c r="M100" s="4676"/>
      <c r="N100" s="4677"/>
      <c r="O100" s="4677"/>
      <c r="P100" s="4677"/>
      <c r="Q100" s="4678"/>
      <c r="R100" s="858"/>
    </row>
    <row r="101" spans="1:18" s="118" customFormat="1" ht="45" customHeight="1" x14ac:dyDescent="0.35">
      <c r="A101" s="4768"/>
      <c r="B101" s="4769"/>
      <c r="C101" s="4715"/>
      <c r="D101" s="4728" t="s">
        <v>1409</v>
      </c>
      <c r="E101" s="4729"/>
      <c r="F101" s="4729"/>
      <c r="G101" s="4730"/>
      <c r="H101" s="4682"/>
      <c r="I101" s="4677"/>
      <c r="J101" s="4677"/>
      <c r="K101" s="4677"/>
      <c r="L101" s="4677"/>
      <c r="M101" s="4676"/>
      <c r="N101" s="4677"/>
      <c r="O101" s="4677"/>
      <c r="P101" s="4677"/>
      <c r="Q101" s="4678"/>
      <c r="R101" s="836"/>
    </row>
    <row r="102" spans="1:18" s="118" customFormat="1" ht="60" customHeight="1" x14ac:dyDescent="0.35">
      <c r="A102" s="4768"/>
      <c r="B102" s="4769"/>
      <c r="C102" s="4715"/>
      <c r="D102" s="4728" t="s">
        <v>1410</v>
      </c>
      <c r="E102" s="4729"/>
      <c r="F102" s="4729"/>
      <c r="G102" s="4730"/>
      <c r="H102" s="4682"/>
      <c r="I102" s="4677"/>
      <c r="J102" s="4677"/>
      <c r="K102" s="4677"/>
      <c r="L102" s="4677"/>
      <c r="M102" s="4676"/>
      <c r="N102" s="4677"/>
      <c r="O102" s="4677"/>
      <c r="P102" s="4677"/>
      <c r="Q102" s="4678"/>
      <c r="R102" s="836"/>
    </row>
    <row r="103" spans="1:18" s="124" customFormat="1" ht="47.25" customHeight="1" thickBot="1" x14ac:dyDescent="0.4">
      <c r="A103" s="4780"/>
      <c r="B103" s="4781"/>
      <c r="C103" s="4716"/>
      <c r="D103" s="4705" t="s">
        <v>1411</v>
      </c>
      <c r="E103" s="4706"/>
      <c r="F103" s="4706"/>
      <c r="G103" s="4707"/>
      <c r="H103" s="4682"/>
      <c r="I103" s="4677"/>
      <c r="J103" s="4677"/>
      <c r="K103" s="4677"/>
      <c r="L103" s="4677"/>
      <c r="M103" s="4679"/>
      <c r="N103" s="4680"/>
      <c r="O103" s="4680"/>
      <c r="P103" s="4680"/>
      <c r="Q103" s="4681"/>
      <c r="R103" s="858"/>
    </row>
    <row r="104" spans="1:18" s="118" customFormat="1" ht="8.25" customHeight="1" thickTop="1" thickBot="1" x14ac:dyDescent="0.4">
      <c r="A104" s="1385"/>
      <c r="B104" s="1386"/>
      <c r="C104" s="1387"/>
      <c r="D104" s="1388"/>
      <c r="E104" s="1389"/>
      <c r="F104" s="1389"/>
      <c r="G104" s="1389"/>
      <c r="H104" s="1389"/>
      <c r="I104" s="1389"/>
      <c r="J104" s="1389"/>
      <c r="K104" s="1389"/>
      <c r="L104" s="1389"/>
      <c r="M104" s="1389"/>
      <c r="N104" s="1389"/>
      <c r="O104" s="1389"/>
      <c r="P104" s="1389"/>
      <c r="Q104" s="1390"/>
      <c r="R104" s="836"/>
    </row>
    <row r="105" spans="1:18" s="104" customFormat="1" ht="13.5" customHeight="1" thickTop="1" x14ac:dyDescent="0.35">
      <c r="A105" s="1391"/>
      <c r="B105" s="1391"/>
      <c r="C105" s="1392"/>
      <c r="D105" s="4694"/>
      <c r="E105" s="4694"/>
      <c r="F105" s="4694"/>
      <c r="G105" s="4694"/>
      <c r="H105" s="4694"/>
      <c r="I105" s="4694"/>
      <c r="J105" s="4694"/>
      <c r="K105" s="4694"/>
      <c r="L105" s="4694"/>
      <c r="M105" s="4694"/>
      <c r="N105" s="4694"/>
      <c r="O105" s="4694"/>
      <c r="P105" s="4694"/>
      <c r="Q105" s="4694"/>
      <c r="R105" s="1393"/>
    </row>
    <row r="106" spans="1:18" s="104" customFormat="1" ht="16" thickBot="1" x14ac:dyDescent="0.4">
      <c r="A106" s="1393"/>
      <c r="B106" s="1393"/>
      <c r="C106" s="1393"/>
      <c r="D106" s="4731"/>
      <c r="E106" s="4731"/>
      <c r="F106" s="4731"/>
      <c r="G106" s="4731"/>
      <c r="H106" s="4731"/>
      <c r="I106" s="4731"/>
      <c r="J106" s="4731"/>
      <c r="K106" s="4731"/>
      <c r="L106" s="4732"/>
      <c r="M106" s="4732"/>
      <c r="N106" s="4732"/>
      <c r="O106" s="4732"/>
      <c r="P106" s="4732"/>
      <c r="Q106" s="4732"/>
      <c r="R106" s="1393"/>
    </row>
    <row r="107" spans="1:18" s="65" customFormat="1" ht="19.5" thickTop="1" thickBot="1" x14ac:dyDescent="0.4">
      <c r="A107" s="1354" t="s">
        <v>10</v>
      </c>
      <c r="B107" s="1357"/>
      <c r="C107" s="1357"/>
      <c r="D107" s="1355"/>
      <c r="E107" s="1355"/>
      <c r="F107" s="1355"/>
      <c r="G107" s="1355"/>
      <c r="H107" s="1355"/>
      <c r="I107" s="1355"/>
      <c r="J107" s="1355"/>
      <c r="K107" s="1356"/>
      <c r="L107" s="1394"/>
      <c r="M107" s="4698" t="s">
        <v>748</v>
      </c>
      <c r="N107" s="4699"/>
      <c r="O107" s="4700"/>
      <c r="P107" s="1395"/>
      <c r="Q107" s="1395"/>
      <c r="R107" s="398"/>
    </row>
    <row r="108" spans="1:18" s="65" customFormat="1" ht="20.25" customHeight="1" x14ac:dyDescent="0.35">
      <c r="A108" s="4663" t="s">
        <v>2122</v>
      </c>
      <c r="B108" s="4664"/>
      <c r="C108" s="4664"/>
      <c r="D108" s="4664"/>
      <c r="E108" s="4664"/>
      <c r="F108" s="4664"/>
      <c r="G108" s="4664"/>
      <c r="H108" s="4664"/>
      <c r="I108" s="4664"/>
      <c r="J108" s="4664"/>
      <c r="K108" s="4665"/>
      <c r="L108" s="1394"/>
      <c r="M108" s="3750" t="s">
        <v>1413</v>
      </c>
      <c r="N108" s="3751"/>
      <c r="O108" s="3752"/>
      <c r="P108" s="1395"/>
      <c r="Q108" s="1395"/>
      <c r="R108" s="398"/>
    </row>
    <row r="109" spans="1:18" s="65" customFormat="1" ht="20.25" customHeight="1" x14ac:dyDescent="0.35">
      <c r="A109" s="4666"/>
      <c r="B109" s="3879"/>
      <c r="C109" s="3879"/>
      <c r="D109" s="3879"/>
      <c r="E109" s="3879"/>
      <c r="F109" s="3879"/>
      <c r="G109" s="3879"/>
      <c r="H109" s="3879"/>
      <c r="I109" s="3879"/>
      <c r="J109" s="3879"/>
      <c r="K109" s="4667"/>
      <c r="L109" s="1394"/>
      <c r="M109" s="3753"/>
      <c r="N109" s="3754"/>
      <c r="O109" s="3755"/>
      <c r="P109" s="1395"/>
      <c r="Q109" s="1395"/>
      <c r="R109" s="398"/>
    </row>
    <row r="110" spans="1:18" s="65" customFormat="1" ht="20.25" customHeight="1" x14ac:dyDescent="0.35">
      <c r="A110" s="4666"/>
      <c r="B110" s="3879"/>
      <c r="C110" s="3879"/>
      <c r="D110" s="3879"/>
      <c r="E110" s="3879"/>
      <c r="F110" s="3879"/>
      <c r="G110" s="3879"/>
      <c r="H110" s="3879"/>
      <c r="I110" s="3879"/>
      <c r="J110" s="3879"/>
      <c r="K110" s="4667"/>
      <c r="L110" s="1394"/>
      <c r="M110" s="3753"/>
      <c r="N110" s="3754"/>
      <c r="O110" s="3755"/>
      <c r="P110" s="1395"/>
      <c r="Q110" s="1395"/>
      <c r="R110" s="398"/>
    </row>
    <row r="111" spans="1:18" s="65" customFormat="1" ht="20.25" customHeight="1" thickBot="1" x14ac:dyDescent="0.4">
      <c r="A111" s="4668"/>
      <c r="B111" s="4669"/>
      <c r="C111" s="4669"/>
      <c r="D111" s="4669"/>
      <c r="E111" s="4669"/>
      <c r="F111" s="4669"/>
      <c r="G111" s="4669"/>
      <c r="H111" s="4669"/>
      <c r="I111" s="4669"/>
      <c r="J111" s="4669"/>
      <c r="K111" s="4670"/>
      <c r="L111" s="1396"/>
      <c r="M111" s="3756"/>
      <c r="N111" s="3757"/>
      <c r="O111" s="3758"/>
      <c r="P111" s="1397"/>
      <c r="Q111" s="1397"/>
      <c r="R111" s="398"/>
    </row>
    <row r="112" spans="1:18" s="65" customFormat="1" ht="16.5" thickTop="1" thickBot="1" x14ac:dyDescent="0.4">
      <c r="A112" s="398"/>
      <c r="B112" s="398"/>
      <c r="C112" s="398"/>
      <c r="D112" s="860"/>
      <c r="E112" s="860"/>
      <c r="F112" s="860"/>
      <c r="G112" s="860"/>
      <c r="H112" s="860"/>
      <c r="I112" s="860"/>
      <c r="J112" s="860"/>
      <c r="K112" s="860"/>
      <c r="L112" s="860"/>
      <c r="M112" s="860"/>
      <c r="N112" s="860"/>
      <c r="O112" s="871"/>
      <c r="P112" s="871"/>
      <c r="Q112" s="860"/>
      <c r="R112" s="398"/>
    </row>
    <row r="113" spans="1:18" s="65" customFormat="1" ht="19.5" thickTop="1" thickBot="1" x14ac:dyDescent="0.4">
      <c r="A113" s="1354" t="s">
        <v>11</v>
      </c>
      <c r="B113" s="1357"/>
      <c r="C113" s="1357"/>
      <c r="D113" s="1355"/>
      <c r="E113" s="1355"/>
      <c r="F113" s="1355"/>
      <c r="G113" s="1355"/>
      <c r="H113" s="1355"/>
      <c r="I113" s="1355"/>
      <c r="J113" s="1355"/>
      <c r="K113" s="1356"/>
      <c r="L113" s="398"/>
      <c r="M113" s="4698" t="s">
        <v>748</v>
      </c>
      <c r="N113" s="4699"/>
      <c r="O113" s="4700"/>
      <c r="P113" s="398"/>
      <c r="Q113" s="398"/>
      <c r="R113" s="398"/>
    </row>
    <row r="114" spans="1:18" s="65" customFormat="1" ht="20.25" customHeight="1" x14ac:dyDescent="0.35">
      <c r="A114" s="4663" t="s">
        <v>2206</v>
      </c>
      <c r="B114" s="4664"/>
      <c r="C114" s="4664"/>
      <c r="D114" s="4664"/>
      <c r="E114" s="4664"/>
      <c r="F114" s="4664"/>
      <c r="G114" s="4664"/>
      <c r="H114" s="4664"/>
      <c r="I114" s="4664"/>
      <c r="J114" s="4664"/>
      <c r="K114" s="4665"/>
      <c r="L114" s="190"/>
      <c r="M114" s="3750" t="s">
        <v>1414</v>
      </c>
      <c r="N114" s="3751"/>
      <c r="O114" s="3752"/>
      <c r="P114" s="190"/>
      <c r="Q114" s="190"/>
      <c r="R114" s="398"/>
    </row>
    <row r="115" spans="1:18" s="65" customFormat="1" ht="20.25" customHeight="1" x14ac:dyDescent="0.35">
      <c r="A115" s="4666"/>
      <c r="B115" s="3879"/>
      <c r="C115" s="3879"/>
      <c r="D115" s="3879"/>
      <c r="E115" s="3879"/>
      <c r="F115" s="3879"/>
      <c r="G115" s="3879"/>
      <c r="H115" s="3879"/>
      <c r="I115" s="3879"/>
      <c r="J115" s="3879"/>
      <c r="K115" s="4667"/>
      <c r="L115" s="191"/>
      <c r="M115" s="3753"/>
      <c r="N115" s="3754"/>
      <c r="O115" s="3755"/>
      <c r="P115" s="191"/>
      <c r="Q115" s="191"/>
      <c r="R115" s="398"/>
    </row>
    <row r="116" spans="1:18" s="65" customFormat="1" ht="20.25" customHeight="1" x14ac:dyDescent="0.35">
      <c r="A116" s="4666"/>
      <c r="B116" s="3879"/>
      <c r="C116" s="3879"/>
      <c r="D116" s="3879"/>
      <c r="E116" s="3879"/>
      <c r="F116" s="3879"/>
      <c r="G116" s="3879"/>
      <c r="H116" s="3879"/>
      <c r="I116" s="3879"/>
      <c r="J116" s="3879"/>
      <c r="K116" s="4667"/>
      <c r="L116" s="191"/>
      <c r="M116" s="3753"/>
      <c r="N116" s="3754"/>
      <c r="O116" s="3755"/>
      <c r="P116" s="191"/>
      <c r="Q116" s="191"/>
      <c r="R116" s="398"/>
    </row>
    <row r="117" spans="1:18" s="65" customFormat="1" ht="20.25" customHeight="1" thickBot="1" x14ac:dyDescent="0.4">
      <c r="A117" s="4668"/>
      <c r="B117" s="4669"/>
      <c r="C117" s="4669"/>
      <c r="D117" s="4669"/>
      <c r="E117" s="4669"/>
      <c r="F117" s="4669"/>
      <c r="G117" s="4669"/>
      <c r="H117" s="4669"/>
      <c r="I117" s="4669"/>
      <c r="J117" s="4669"/>
      <c r="K117" s="4670"/>
      <c r="L117" s="191"/>
      <c r="M117" s="3756"/>
      <c r="N117" s="3757"/>
      <c r="O117" s="3758"/>
      <c r="P117" s="191"/>
      <c r="Q117" s="191"/>
      <c r="R117" s="398"/>
    </row>
    <row r="118" spans="1:18" s="65" customFormat="1" ht="15" thickTop="1" x14ac:dyDescent="0.35">
      <c r="A118" s="398"/>
      <c r="B118" s="398"/>
      <c r="C118" s="398"/>
      <c r="L118" s="191"/>
      <c r="M118" s="190"/>
      <c r="N118" s="190"/>
      <c r="O118" s="190"/>
      <c r="P118" s="191"/>
      <c r="Q118" s="191"/>
      <c r="R118" s="398"/>
    </row>
    <row r="119" spans="1:18" s="65" customFormat="1" x14ac:dyDescent="0.35">
      <c r="D119" s="398"/>
      <c r="E119" s="398"/>
      <c r="F119" s="398"/>
      <c r="G119" s="398"/>
      <c r="H119" s="398"/>
      <c r="I119" s="398"/>
      <c r="J119" s="398"/>
      <c r="K119" s="398"/>
      <c r="L119" s="398"/>
      <c r="P119" s="398"/>
      <c r="Q119" s="398"/>
    </row>
    <row r="120" spans="1:18" s="65" customFormat="1" x14ac:dyDescent="0.35"/>
    <row r="121" spans="1:18" s="65" customFormat="1" x14ac:dyDescent="0.35"/>
    <row r="122" spans="1:18" x14ac:dyDescent="0.35">
      <c r="D122" s="65"/>
      <c r="E122" s="65"/>
      <c r="F122" s="65"/>
      <c r="G122" s="65"/>
      <c r="H122" s="65"/>
      <c r="I122" s="65"/>
      <c r="J122" s="65"/>
      <c r="K122" s="65"/>
      <c r="L122" s="65"/>
      <c r="M122" s="65"/>
      <c r="N122" s="65"/>
      <c r="O122" s="65"/>
      <c r="P122" s="65"/>
      <c r="Q122" s="65"/>
    </row>
    <row r="123" spans="1:18" x14ac:dyDescent="0.35">
      <c r="D123" s="65"/>
      <c r="E123" s="65"/>
      <c r="F123" s="65"/>
      <c r="G123" s="65"/>
      <c r="H123" s="65"/>
      <c r="I123" s="65"/>
      <c r="J123" s="65"/>
      <c r="K123" s="65"/>
      <c r="L123" s="65"/>
      <c r="M123" s="65"/>
      <c r="N123" s="65"/>
      <c r="O123" s="65"/>
      <c r="P123" s="65"/>
      <c r="Q123" s="65"/>
    </row>
    <row r="124" spans="1:18" x14ac:dyDescent="0.35">
      <c r="D124" s="65"/>
      <c r="E124" s="65"/>
      <c r="F124" s="65"/>
      <c r="G124" s="65"/>
      <c r="H124" s="65"/>
      <c r="I124" s="65"/>
      <c r="J124" s="65"/>
      <c r="K124" s="65"/>
      <c r="L124" s="65"/>
      <c r="M124" s="65"/>
      <c r="N124" s="65"/>
      <c r="O124" s="65"/>
      <c r="P124" s="65"/>
      <c r="Q124" s="65"/>
    </row>
    <row r="125" spans="1:18" x14ac:dyDescent="0.35">
      <c r="D125" s="65"/>
      <c r="E125" s="65"/>
      <c r="F125" s="65"/>
      <c r="G125" s="65"/>
      <c r="H125" s="65"/>
      <c r="I125" s="65"/>
      <c r="J125" s="65"/>
      <c r="K125" s="65"/>
      <c r="L125" s="65"/>
      <c r="M125" s="65"/>
      <c r="N125" s="65"/>
      <c r="O125" s="65"/>
      <c r="P125" s="65"/>
      <c r="Q125" s="65"/>
    </row>
    <row r="126" spans="1:18" x14ac:dyDescent="0.35">
      <c r="D126" s="65"/>
      <c r="E126" s="65"/>
      <c r="F126" s="65"/>
      <c r="G126" s="65"/>
      <c r="H126" s="65"/>
      <c r="I126" s="65"/>
      <c r="J126" s="65"/>
      <c r="K126" s="65"/>
      <c r="L126" s="65"/>
      <c r="M126" s="65"/>
      <c r="N126" s="65"/>
      <c r="O126" s="65"/>
      <c r="P126" s="65"/>
      <c r="Q126" s="65"/>
    </row>
    <row r="127" spans="1:18" x14ac:dyDescent="0.35">
      <c r="D127" s="65"/>
      <c r="E127" s="65"/>
      <c r="F127" s="65"/>
      <c r="G127" s="65"/>
      <c r="H127" s="65"/>
      <c r="I127" s="65"/>
      <c r="J127" s="65"/>
      <c r="K127" s="65"/>
      <c r="L127" s="65"/>
      <c r="M127" s="65"/>
      <c r="N127" s="65"/>
      <c r="O127" s="65"/>
      <c r="P127" s="65"/>
      <c r="Q127" s="65"/>
    </row>
    <row r="128" spans="1:18" x14ac:dyDescent="0.35">
      <c r="D128" s="65"/>
      <c r="E128" s="65"/>
      <c r="F128" s="65"/>
      <c r="G128" s="65"/>
      <c r="H128" s="65"/>
      <c r="I128" s="65"/>
      <c r="J128" s="65"/>
      <c r="K128" s="65"/>
      <c r="L128" s="65"/>
      <c r="P128" s="65"/>
      <c r="Q128" s="65"/>
    </row>
  </sheetData>
  <mergeCells count="300">
    <mergeCell ref="D3:G3"/>
    <mergeCell ref="A97:B103"/>
    <mergeCell ref="C97:C103"/>
    <mergeCell ref="D97:G97"/>
    <mergeCell ref="D98:G98"/>
    <mergeCell ref="D99:G99"/>
    <mergeCell ref="D100:G100"/>
    <mergeCell ref="D101:G101"/>
    <mergeCell ref="D102:G102"/>
    <mergeCell ref="D103:G103"/>
    <mergeCell ref="D87:G87"/>
    <mergeCell ref="A89:B95"/>
    <mergeCell ref="C89:C95"/>
    <mergeCell ref="D89:G89"/>
    <mergeCell ref="D90:G90"/>
    <mergeCell ref="D92:G92"/>
    <mergeCell ref="D93:G93"/>
    <mergeCell ref="D94:G94"/>
    <mergeCell ref="D95:G95"/>
    <mergeCell ref="A81:B87"/>
    <mergeCell ref="C81:C87"/>
    <mergeCell ref="D81:G81"/>
    <mergeCell ref="D82:G82"/>
    <mergeCell ref="D83:G83"/>
    <mergeCell ref="D91:G91"/>
    <mergeCell ref="H83:L83"/>
    <mergeCell ref="M83:Q83"/>
    <mergeCell ref="A73:B79"/>
    <mergeCell ref="C73:C79"/>
    <mergeCell ref="D73:G73"/>
    <mergeCell ref="D74:G74"/>
    <mergeCell ref="D75:G75"/>
    <mergeCell ref="D76:G76"/>
    <mergeCell ref="D77:G77"/>
    <mergeCell ref="D78:G78"/>
    <mergeCell ref="D79:G79"/>
    <mergeCell ref="H81:L81"/>
    <mergeCell ref="M81:Q81"/>
    <mergeCell ref="H82:L82"/>
    <mergeCell ref="M82:Q82"/>
    <mergeCell ref="D84:G84"/>
    <mergeCell ref="D85:G85"/>
    <mergeCell ref="D86:G86"/>
    <mergeCell ref="H73:L73"/>
    <mergeCell ref="M73:Q73"/>
    <mergeCell ref="H74:L74"/>
    <mergeCell ref="M74:Q74"/>
    <mergeCell ref="H75:L75"/>
    <mergeCell ref="H65:L65"/>
    <mergeCell ref="M65:Q65"/>
    <mergeCell ref="H66:L66"/>
    <mergeCell ref="M66:Q66"/>
    <mergeCell ref="H67:L67"/>
    <mergeCell ref="M67:Q67"/>
    <mergeCell ref="H68:L68"/>
    <mergeCell ref="M68:Q68"/>
    <mergeCell ref="H69:L69"/>
    <mergeCell ref="A65:B71"/>
    <mergeCell ref="C65:C71"/>
    <mergeCell ref="D65:G65"/>
    <mergeCell ref="D66:G66"/>
    <mergeCell ref="D67:G67"/>
    <mergeCell ref="D68:G68"/>
    <mergeCell ref="D69:G69"/>
    <mergeCell ref="D70:G70"/>
    <mergeCell ref="D71:G71"/>
    <mergeCell ref="M51:Q51"/>
    <mergeCell ref="H52:L52"/>
    <mergeCell ref="M52:Q52"/>
    <mergeCell ref="H53:L53"/>
    <mergeCell ref="A57:B63"/>
    <mergeCell ref="C57:C63"/>
    <mergeCell ref="D57:G57"/>
    <mergeCell ref="D58:G58"/>
    <mergeCell ref="D59:G59"/>
    <mergeCell ref="D60:G60"/>
    <mergeCell ref="D61:G61"/>
    <mergeCell ref="D62:G62"/>
    <mergeCell ref="D63:G63"/>
    <mergeCell ref="H60:L60"/>
    <mergeCell ref="M60:Q60"/>
    <mergeCell ref="H61:L61"/>
    <mergeCell ref="M61:Q61"/>
    <mergeCell ref="H62:L62"/>
    <mergeCell ref="M62:Q62"/>
    <mergeCell ref="H63:L63"/>
    <mergeCell ref="M63:Q63"/>
    <mergeCell ref="A49:B55"/>
    <mergeCell ref="C49:C55"/>
    <mergeCell ref="D49:G49"/>
    <mergeCell ref="D50:G50"/>
    <mergeCell ref="D51:G51"/>
    <mergeCell ref="D52:G52"/>
    <mergeCell ref="D53:G53"/>
    <mergeCell ref="D54:G54"/>
    <mergeCell ref="D55:G55"/>
    <mergeCell ref="A41:B47"/>
    <mergeCell ref="C41:C47"/>
    <mergeCell ref="D41:G41"/>
    <mergeCell ref="D42:G42"/>
    <mergeCell ref="D43:G43"/>
    <mergeCell ref="D44:G44"/>
    <mergeCell ref="D45:G45"/>
    <mergeCell ref="D46:G46"/>
    <mergeCell ref="D47:G47"/>
    <mergeCell ref="D37:G37"/>
    <mergeCell ref="D38:G38"/>
    <mergeCell ref="D39:G39"/>
    <mergeCell ref="D34:G34"/>
    <mergeCell ref="D35:G35"/>
    <mergeCell ref="D36:G36"/>
    <mergeCell ref="H35:L35"/>
    <mergeCell ref="M35:Q35"/>
    <mergeCell ref="H36:L36"/>
    <mergeCell ref="M36:Q36"/>
    <mergeCell ref="H37:L37"/>
    <mergeCell ref="M37:Q37"/>
    <mergeCell ref="H38:L38"/>
    <mergeCell ref="M38:Q38"/>
    <mergeCell ref="H39:L39"/>
    <mergeCell ref="M39:Q39"/>
    <mergeCell ref="D26:G26"/>
    <mergeCell ref="D27:G27"/>
    <mergeCell ref="H22:L22"/>
    <mergeCell ref="H23:L23"/>
    <mergeCell ref="H25:L25"/>
    <mergeCell ref="M25:Q25"/>
    <mergeCell ref="H26:L26"/>
    <mergeCell ref="M26:Q26"/>
    <mergeCell ref="H27:L27"/>
    <mergeCell ref="M27:Q27"/>
    <mergeCell ref="D1:G1"/>
    <mergeCell ref="I1:J1"/>
    <mergeCell ref="L1:M1"/>
    <mergeCell ref="D2:G2"/>
    <mergeCell ref="I2:J2"/>
    <mergeCell ref="L2:M2"/>
    <mergeCell ref="D106:Q106"/>
    <mergeCell ref="A9:B15"/>
    <mergeCell ref="C9:C15"/>
    <mergeCell ref="D12:G12"/>
    <mergeCell ref="D13:G13"/>
    <mergeCell ref="D14:G14"/>
    <mergeCell ref="D15:G15"/>
    <mergeCell ref="D10:G10"/>
    <mergeCell ref="D11:G11"/>
    <mergeCell ref="D9:G9"/>
    <mergeCell ref="A17:B23"/>
    <mergeCell ref="D17:G17"/>
    <mergeCell ref="D18:G18"/>
    <mergeCell ref="D19:G19"/>
    <mergeCell ref="D20:G20"/>
    <mergeCell ref="D21:G21"/>
    <mergeCell ref="D22:G22"/>
    <mergeCell ref="D23:G23"/>
    <mergeCell ref="A5:B5"/>
    <mergeCell ref="C5:Q5"/>
    <mergeCell ref="H4:Q4"/>
    <mergeCell ref="A4:G4"/>
    <mergeCell ref="D105:Q105"/>
    <mergeCell ref="D6:Q6"/>
    <mergeCell ref="M114:O117"/>
    <mergeCell ref="M107:O107"/>
    <mergeCell ref="M108:O111"/>
    <mergeCell ref="M113:O113"/>
    <mergeCell ref="A6:B6"/>
    <mergeCell ref="A8:B8"/>
    <mergeCell ref="D31:G31"/>
    <mergeCell ref="A25:B31"/>
    <mergeCell ref="C25:C31"/>
    <mergeCell ref="A33:B39"/>
    <mergeCell ref="C33:C39"/>
    <mergeCell ref="D33:G33"/>
    <mergeCell ref="D8:G8"/>
    <mergeCell ref="C17:C23"/>
    <mergeCell ref="D28:G28"/>
    <mergeCell ref="D29:G29"/>
    <mergeCell ref="D30:G30"/>
    <mergeCell ref="D25:G25"/>
    <mergeCell ref="H58:L58"/>
    <mergeCell ref="M58:Q58"/>
    <mergeCell ref="H15:L15"/>
    <mergeCell ref="M15:Q15"/>
    <mergeCell ref="H17:L17"/>
    <mergeCell ref="M17:Q17"/>
    <mergeCell ref="H18:L18"/>
    <mergeCell ref="M18:Q18"/>
    <mergeCell ref="H19:L19"/>
    <mergeCell ref="M19:Q19"/>
    <mergeCell ref="H20:L20"/>
    <mergeCell ref="M20:Q20"/>
    <mergeCell ref="H28:L28"/>
    <mergeCell ref="M28:Q28"/>
    <mergeCell ref="H29:L29"/>
    <mergeCell ref="M29:Q29"/>
    <mergeCell ref="H30:L30"/>
    <mergeCell ref="M30:Q30"/>
    <mergeCell ref="H31:L31"/>
    <mergeCell ref="M31:Q31"/>
    <mergeCell ref="M49:Q49"/>
    <mergeCell ref="H50:L50"/>
    <mergeCell ref="M50:Q50"/>
    <mergeCell ref="H51:L51"/>
    <mergeCell ref="H77:L77"/>
    <mergeCell ref="M77:Q77"/>
    <mergeCell ref="H78:L78"/>
    <mergeCell ref="M78:Q78"/>
    <mergeCell ref="H79:L79"/>
    <mergeCell ref="M79:Q79"/>
    <mergeCell ref="M69:Q69"/>
    <mergeCell ref="M70:Q70"/>
    <mergeCell ref="M71:Q71"/>
    <mergeCell ref="H70:L70"/>
    <mergeCell ref="H71:L71"/>
    <mergeCell ref="M75:Q75"/>
    <mergeCell ref="H76:L76"/>
    <mergeCell ref="M76:Q76"/>
    <mergeCell ref="M89:Q89"/>
    <mergeCell ref="M93:Q93"/>
    <mergeCell ref="M94:Q94"/>
    <mergeCell ref="M95:Q95"/>
    <mergeCell ref="H90:L90"/>
    <mergeCell ref="M90:Q90"/>
    <mergeCell ref="H91:L91"/>
    <mergeCell ref="M91:Q91"/>
    <mergeCell ref="H92:L92"/>
    <mergeCell ref="M92:Q92"/>
    <mergeCell ref="H93:L93"/>
    <mergeCell ref="M101:Q101"/>
    <mergeCell ref="H94:L94"/>
    <mergeCell ref="M9:Q9"/>
    <mergeCell ref="M21:Q21"/>
    <mergeCell ref="M22:Q22"/>
    <mergeCell ref="M23:Q23"/>
    <mergeCell ref="H41:L41"/>
    <mergeCell ref="M41:Q41"/>
    <mergeCell ref="H42:L42"/>
    <mergeCell ref="M42:Q42"/>
    <mergeCell ref="H43:L43"/>
    <mergeCell ref="M43:Q43"/>
    <mergeCell ref="H13:L13"/>
    <mergeCell ref="M13:Q13"/>
    <mergeCell ref="H95:L95"/>
    <mergeCell ref="H84:L84"/>
    <mergeCell ref="M84:Q84"/>
    <mergeCell ref="H85:L85"/>
    <mergeCell ref="M85:Q85"/>
    <mergeCell ref="H86:L86"/>
    <mergeCell ref="M86:Q86"/>
    <mergeCell ref="H87:L87"/>
    <mergeCell ref="M87:Q87"/>
    <mergeCell ref="H89:L89"/>
    <mergeCell ref="H14:L14"/>
    <mergeCell ref="M14:Q14"/>
    <mergeCell ref="H102:L102"/>
    <mergeCell ref="M102:Q102"/>
    <mergeCell ref="H103:L103"/>
    <mergeCell ref="M103:Q103"/>
    <mergeCell ref="H59:L59"/>
    <mergeCell ref="M59:Q59"/>
    <mergeCell ref="H21:L21"/>
    <mergeCell ref="H44:L44"/>
    <mergeCell ref="M44:Q44"/>
    <mergeCell ref="M45:Q45"/>
    <mergeCell ref="M46:Q46"/>
    <mergeCell ref="M47:Q47"/>
    <mergeCell ref="H49:L49"/>
    <mergeCell ref="H97:L97"/>
    <mergeCell ref="M97:Q97"/>
    <mergeCell ref="H98:L98"/>
    <mergeCell ref="M98:Q98"/>
    <mergeCell ref="H99:L99"/>
    <mergeCell ref="M99:Q99"/>
    <mergeCell ref="H100:L100"/>
    <mergeCell ref="M100:Q100"/>
    <mergeCell ref="H101:L101"/>
    <mergeCell ref="H7:L7"/>
    <mergeCell ref="M7:Q7"/>
    <mergeCell ref="A108:K111"/>
    <mergeCell ref="A114:K117"/>
    <mergeCell ref="H8:L8"/>
    <mergeCell ref="M8:Q8"/>
    <mergeCell ref="M53:Q53"/>
    <mergeCell ref="H54:L54"/>
    <mergeCell ref="M54:Q54"/>
    <mergeCell ref="H55:L55"/>
    <mergeCell ref="M55:Q55"/>
    <mergeCell ref="H57:L57"/>
    <mergeCell ref="M57:Q57"/>
    <mergeCell ref="H33:L33"/>
    <mergeCell ref="M33:Q33"/>
    <mergeCell ref="H34:L34"/>
    <mergeCell ref="M34:Q34"/>
    <mergeCell ref="H9:L9"/>
    <mergeCell ref="H10:L10"/>
    <mergeCell ref="M10:Q10"/>
    <mergeCell ref="H11:L11"/>
    <mergeCell ref="M11:Q11"/>
    <mergeCell ref="H12:L12"/>
    <mergeCell ref="M12:Q12"/>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1F00-000000000000}">
      <formula1>AvancementTheme</formula1>
    </dataValidation>
  </dataValidations>
  <hyperlinks>
    <hyperlink ref="P1" location="DPDV_06PP1" display="PdV" xr:uid="{00000000-0004-0000-1F00-000000000000}"/>
    <hyperlink ref="Q1" location="DKPI_06PP1" display="KPI's" xr:uid="{00000000-0004-0000-1F00-000001000000}"/>
  </hyperlinks>
  <pageMargins left="0.70866141732283472" right="0.70866141732283472" top="0.74803149606299213" bottom="0.74803149606299213" header="0.31496062992125984" footer="0.31496062992125984"/>
  <pageSetup paperSize="9" scale="14" orientation="portrait" r:id="rId1"/>
  <headerFooter>
    <oddHeader>&amp;LPAD Methodology (c) 2013-2014&amp;RStrategic Management Workshop</oddHeader>
    <oddFooter>&amp;L&amp;F&amp;C&amp;A&amp;RSituation au : &amp;D - page : &amp;P/&amp;N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64">
    <tabColor theme="8" tint="0.59999389629810485"/>
    <pageSetUpPr fitToPage="1"/>
  </sheetPr>
  <dimension ref="A1:CB78"/>
  <sheetViews>
    <sheetView showGridLines="0" showRowColHeaders="0" zoomScaleNormal="100" workbookViewId="0">
      <selection activeCell="H7" sqref="H7"/>
    </sheetView>
  </sheetViews>
  <sheetFormatPr baseColWidth="10" defaultColWidth="11.453125" defaultRowHeight="14.5" x14ac:dyDescent="0.35"/>
  <cols>
    <col min="1" max="1" width="8.54296875" style="60" customWidth="1"/>
    <col min="2" max="2" width="14.1796875" style="60" customWidth="1"/>
    <col min="3" max="4" width="11.453125" style="60"/>
    <col min="5" max="5" width="13.26953125" style="60" customWidth="1"/>
    <col min="6" max="6" width="11.453125" style="60"/>
    <col min="7" max="7" width="12.54296875" style="60" customWidth="1"/>
    <col min="8" max="8" width="9.7265625" style="60" customWidth="1"/>
    <col min="9" max="9" width="11.7265625" style="60" customWidth="1"/>
    <col min="10" max="11" width="11.453125" style="60"/>
    <col min="12" max="16" width="12.81640625" style="60" customWidth="1"/>
    <col min="17" max="18" width="11.453125" style="60"/>
    <col min="19" max="19" width="11.453125" style="60" customWidth="1"/>
    <col min="20" max="20" width="11.453125" style="60"/>
    <col min="21" max="21" width="8.1796875" style="60" customWidth="1"/>
    <col min="22" max="16384" width="11.453125" style="60"/>
  </cols>
  <sheetData>
    <row r="1" spans="1:22" s="54" customFormat="1" ht="15" customHeight="1" x14ac:dyDescent="0.35">
      <c r="A1" s="240"/>
      <c r="B1" s="240"/>
      <c r="C1" s="240"/>
      <c r="D1" s="3262" t="s">
        <v>5</v>
      </c>
      <c r="E1" s="3262"/>
      <c r="F1" s="3262"/>
      <c r="G1" s="3262"/>
      <c r="H1" s="53"/>
      <c r="I1" s="3262" t="s">
        <v>6</v>
      </c>
      <c r="J1" s="3262"/>
      <c r="K1" s="240"/>
      <c r="L1" s="3262" t="s">
        <v>9</v>
      </c>
      <c r="M1" s="3262"/>
      <c r="N1" s="3262"/>
      <c r="O1" s="3262"/>
      <c r="P1" s="3262"/>
      <c r="Q1" s="3262"/>
      <c r="R1" s="240"/>
      <c r="S1" s="10" t="s">
        <v>2</v>
      </c>
      <c r="T1" s="10" t="s">
        <v>3</v>
      </c>
      <c r="U1" s="69"/>
    </row>
    <row r="2" spans="1:22" s="58" customFormat="1" ht="18" customHeight="1" x14ac:dyDescent="0.35">
      <c r="A2" s="55"/>
      <c r="B2" s="55"/>
      <c r="C2" s="55"/>
      <c r="D2" s="3263" t="str">
        <f>NomClient</f>
        <v xml:space="preserve">EQUINIX </v>
      </c>
      <c r="E2" s="3264"/>
      <c r="F2" s="3264"/>
      <c r="G2" s="3265"/>
      <c r="H2" s="55"/>
      <c r="I2" s="3345" t="s">
        <v>409</v>
      </c>
      <c r="J2" s="3346"/>
      <c r="K2" s="55"/>
      <c r="L2" s="4859">
        <v>42420.745844907404</v>
      </c>
      <c r="M2" s="4860"/>
      <c r="N2" s="4860"/>
      <c r="O2" s="4860"/>
      <c r="P2" s="4860"/>
      <c r="Q2" s="4861"/>
      <c r="R2" s="56"/>
      <c r="S2" s="57">
        <f>IF(LEN(DPDV_10BP2)&gt;0,LEN(DPDV_10BP2),0-PDV_NBmini)</f>
        <v>132</v>
      </c>
      <c r="T2" s="57">
        <f>IF(LEN(DKPI_10BP2)&gt;0,LEN(DKPI_10BP2),0-KPI_NBmini)</f>
        <v>61</v>
      </c>
      <c r="U2" s="70"/>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831"/>
      <c r="S3" s="831"/>
      <c r="T3" s="831"/>
      <c r="U3" s="831"/>
      <c r="V3" s="64"/>
    </row>
    <row r="4" spans="1:22" s="1" customFormat="1" ht="24.75" customHeight="1" thickBot="1" x14ac:dyDescent="0.4">
      <c r="A4" s="198"/>
      <c r="B4" s="4862" t="str">
        <f>Parametre!B32 &amp; "   : "</f>
        <v xml:space="preserve">Programmes partenaires   : </v>
      </c>
      <c r="C4" s="4862"/>
      <c r="D4" s="4862"/>
      <c r="E4" s="4862"/>
      <c r="F4" s="4862"/>
      <c r="G4" s="4862"/>
      <c r="H4" s="4863" t="str">
        <f>"Budget du programme pour " &amp; NomProd2</f>
        <v>Budget du programme pour ASEMA</v>
      </c>
      <c r="I4" s="4863"/>
      <c r="J4" s="4863"/>
      <c r="K4" s="4863"/>
      <c r="L4" s="4863"/>
      <c r="M4" s="4863"/>
      <c r="N4" s="4863"/>
      <c r="O4" s="4863"/>
      <c r="P4" s="4863"/>
      <c r="Q4" s="4863"/>
      <c r="R4" s="4863"/>
      <c r="S4" s="4863"/>
      <c r="T4" s="4863"/>
      <c r="U4" s="4864"/>
    </row>
    <row r="5" spans="1:22" s="193" customFormat="1" ht="38.25" customHeight="1" thickBot="1" x14ac:dyDescent="0.4">
      <c r="A5" s="4865" t="s">
        <v>14</v>
      </c>
      <c r="B5" s="4865"/>
      <c r="C5" s="4875" t="s">
        <v>968</v>
      </c>
      <c r="D5" s="4875"/>
      <c r="E5" s="4875"/>
      <c r="F5" s="4875"/>
      <c r="G5" s="4875"/>
      <c r="H5" s="4875"/>
      <c r="I5" s="4875"/>
      <c r="J5" s="4875"/>
      <c r="K5" s="4875"/>
      <c r="L5" s="4875"/>
      <c r="M5" s="4875"/>
      <c r="N5" s="4875"/>
      <c r="O5" s="4875"/>
      <c r="P5" s="4875"/>
      <c r="Q5" s="4875"/>
      <c r="R5" s="4875"/>
      <c r="S5" s="4875"/>
      <c r="T5" s="4875"/>
      <c r="U5" s="4875"/>
    </row>
    <row r="6" spans="1:22" s="22" customFormat="1" ht="27.75" customHeight="1" x14ac:dyDescent="0.35">
      <c r="A6" s="4876" t="s">
        <v>1668</v>
      </c>
      <c r="B6" s="4877"/>
      <c r="C6" s="4877"/>
      <c r="D6" s="4877"/>
      <c r="E6" s="4877"/>
      <c r="F6" s="4877"/>
      <c r="G6" s="265"/>
      <c r="H6" s="283"/>
      <c r="I6" s="4856" t="s">
        <v>1125</v>
      </c>
      <c r="J6" s="4857"/>
      <c r="K6" s="4857"/>
      <c r="L6" s="4857"/>
      <c r="M6" s="4857"/>
      <c r="N6" s="4857"/>
      <c r="O6" s="4857"/>
      <c r="P6" s="4858"/>
      <c r="Q6" s="4847" t="s">
        <v>18</v>
      </c>
      <c r="R6" s="4847"/>
      <c r="S6" s="4847"/>
      <c r="T6" s="4847"/>
      <c r="U6" s="4848"/>
    </row>
    <row r="7" spans="1:22" s="50" customFormat="1" ht="15" customHeight="1" x14ac:dyDescent="0.25">
      <c r="A7" s="274"/>
      <c r="B7" s="275"/>
      <c r="C7" s="275"/>
      <c r="D7" s="275"/>
      <c r="E7" s="275"/>
      <c r="F7" s="275"/>
      <c r="G7" s="275"/>
      <c r="H7" s="266">
        <v>2014</v>
      </c>
      <c r="I7" s="1521">
        <f>AnReference</f>
        <v>2018</v>
      </c>
      <c r="J7" s="1519"/>
      <c r="K7" s="1520">
        <f>IF(NbAnVision&gt;=1,AnReference+1,"NA")</f>
        <v>2019</v>
      </c>
      <c r="L7" s="1519"/>
      <c r="M7" s="1519">
        <f>IF(NbAnVision&gt;=2,AnReference+2,"NA")</f>
        <v>2020</v>
      </c>
      <c r="N7" s="1519"/>
      <c r="O7" s="1519">
        <f>IF(NbAnVision&gt;=3,AnReference+3,"NA")</f>
        <v>2021</v>
      </c>
      <c r="P7" s="1519" t="str">
        <f>IF(NbAnVision&gt;=4,AnReference+4,"NA")</f>
        <v>NA</v>
      </c>
      <c r="Q7" s="4849"/>
      <c r="R7" s="4849"/>
      <c r="S7" s="4849"/>
      <c r="T7" s="4849"/>
      <c r="U7" s="4850"/>
    </row>
    <row r="8" spans="1:22" s="50" customFormat="1" ht="15" customHeight="1" x14ac:dyDescent="0.25">
      <c r="A8" s="4786" t="s">
        <v>1659</v>
      </c>
      <c r="B8" s="4787"/>
      <c r="C8" s="4787"/>
      <c r="D8" s="4787"/>
      <c r="E8" s="4787"/>
      <c r="F8" s="4787"/>
      <c r="G8" s="266"/>
      <c r="H8" s="1898" t="e">
        <f>SUM(H9:H13)</f>
        <v>#REF!</v>
      </c>
      <c r="I8" s="1898" t="e">
        <f>SUM(I9:I13)</f>
        <v>#REF!</v>
      </c>
      <c r="J8" s="1899"/>
      <c r="K8" s="1900" t="e">
        <f>SUM(K9:K13)</f>
        <v>#REF!</v>
      </c>
      <c r="L8" s="1899"/>
      <c r="M8" s="1899" t="e">
        <f>SUM(M9:M13)</f>
        <v>#REF!</v>
      </c>
      <c r="N8" s="1899"/>
      <c r="O8" s="1899" t="e">
        <f>SUM(O9:O13)</f>
        <v>#REF!</v>
      </c>
      <c r="P8" s="1899" t="e">
        <f>SUM(P9:P13)</f>
        <v>#REF!</v>
      </c>
      <c r="Q8" s="4851"/>
      <c r="R8" s="4851"/>
      <c r="S8" s="4851"/>
      <c r="T8" s="4851"/>
      <c r="U8" s="4852"/>
    </row>
    <row r="9" spans="1:22" s="50" customFormat="1" ht="13" hidden="1" x14ac:dyDescent="0.25">
      <c r="A9" s="4784" t="s">
        <v>1519</v>
      </c>
      <c r="B9" s="4785"/>
      <c r="C9" s="4785"/>
      <c r="D9" s="4785"/>
      <c r="E9" s="4785"/>
      <c r="F9" s="4785"/>
      <c r="G9" s="284"/>
      <c r="H9" s="1901">
        <f>'SALESPLAN 3Y'!G21</f>
        <v>0</v>
      </c>
      <c r="I9" s="1901">
        <f>'SALESPLAN 3Y'!H21</f>
        <v>0</v>
      </c>
      <c r="J9" s="1901"/>
      <c r="K9" s="1901">
        <f>'SALESPLAN 3Y'!I21</f>
        <v>0</v>
      </c>
      <c r="L9" s="1901"/>
      <c r="M9" s="1901">
        <f>'SALESPLAN 3Y'!J21</f>
        <v>0</v>
      </c>
      <c r="N9" s="1901"/>
      <c r="O9" s="1901">
        <f>'SALESPLAN 3Y'!K21</f>
        <v>0</v>
      </c>
      <c r="P9" s="1901">
        <f>'SALESPLAN 3Y'!L21</f>
        <v>0</v>
      </c>
      <c r="Q9" s="4782"/>
      <c r="R9" s="4782"/>
      <c r="S9" s="4782"/>
      <c r="T9" s="4782"/>
      <c r="U9" s="4783"/>
    </row>
    <row r="10" spans="1:22" s="50" customFormat="1" ht="13" hidden="1" x14ac:dyDescent="0.25">
      <c r="A10" s="4844" t="s">
        <v>1826</v>
      </c>
      <c r="B10" s="4845"/>
      <c r="C10" s="4845"/>
      <c r="D10" s="4845"/>
      <c r="E10" s="4845"/>
      <c r="F10" s="4846"/>
      <c r="G10" s="284"/>
      <c r="H10" s="1901">
        <f>'SALESPLAN 3Y'!G32</f>
        <v>0</v>
      </c>
      <c r="I10" s="1901">
        <f>'SALESPLAN 3Y'!H32</f>
        <v>0</v>
      </c>
      <c r="J10" s="1902"/>
      <c r="K10" s="1901">
        <f>'SALESPLAN 3Y'!I32</f>
        <v>0</v>
      </c>
      <c r="L10" s="1901"/>
      <c r="M10" s="1901">
        <f>'SALESPLAN 3Y'!J32</f>
        <v>0</v>
      </c>
      <c r="N10" s="1901"/>
      <c r="O10" s="1901">
        <f>'SALESPLAN 3Y'!K32</f>
        <v>0</v>
      </c>
      <c r="P10" s="1901">
        <f>'SALESPLAN 3Y'!L32</f>
        <v>0</v>
      </c>
      <c r="Q10" s="4853"/>
      <c r="R10" s="4854"/>
      <c r="S10" s="4854"/>
      <c r="T10" s="4854"/>
      <c r="U10" s="4855"/>
    </row>
    <row r="11" spans="1:22" s="50" customFormat="1" ht="6" hidden="1" customHeight="1" x14ac:dyDescent="0.25">
      <c r="A11" s="1852"/>
      <c r="B11" s="1853"/>
      <c r="C11" s="1853"/>
      <c r="D11" s="1853"/>
      <c r="E11" s="1853"/>
      <c r="F11" s="1854"/>
      <c r="G11" s="284"/>
      <c r="H11" s="272"/>
      <c r="I11" s="1901"/>
      <c r="J11" s="1896"/>
      <c r="K11" s="1903"/>
      <c r="L11" s="1896"/>
      <c r="M11" s="1901"/>
      <c r="N11" s="1901"/>
      <c r="O11" s="1901"/>
      <c r="P11" s="1901"/>
      <c r="Q11" s="1849"/>
      <c r="R11" s="1850"/>
      <c r="S11" s="1850"/>
      <c r="T11" s="1850"/>
      <c r="U11" s="1851"/>
    </row>
    <row r="12" spans="1:22" s="50" customFormat="1" ht="13" x14ac:dyDescent="0.25">
      <c r="A12" s="4784" t="s">
        <v>1671</v>
      </c>
      <c r="B12" s="4785"/>
      <c r="C12" s="4785"/>
      <c r="D12" s="4785"/>
      <c r="E12" s="4785"/>
      <c r="F12" s="4785"/>
      <c r="G12" s="266"/>
      <c r="H12" s="1901" t="e">
        <f>'SALESPLAN 3Y'!#REF!</f>
        <v>#REF!</v>
      </c>
      <c r="I12" s="1901" t="e">
        <f>'SALESPLAN 3Y'!#REF!</f>
        <v>#REF!</v>
      </c>
      <c r="J12" s="1904"/>
      <c r="K12" s="1905" t="e">
        <f>'SALESPLAN 3Y'!#REF!</f>
        <v>#REF!</v>
      </c>
      <c r="L12" s="1904"/>
      <c r="M12" s="1904" t="e">
        <f>'SALESPLAN 3Y'!#REF!</f>
        <v>#REF!</v>
      </c>
      <c r="N12" s="1904"/>
      <c r="O12" s="1904" t="e">
        <f>'SALESPLAN 3Y'!#REF!</f>
        <v>#REF!</v>
      </c>
      <c r="P12" s="1904" t="e">
        <f>'SALESPLAN 3Y'!#REF!</f>
        <v>#REF!</v>
      </c>
      <c r="Q12" s="4782"/>
      <c r="R12" s="4782"/>
      <c r="S12" s="4782"/>
      <c r="T12" s="4782"/>
      <c r="U12" s="4783"/>
    </row>
    <row r="13" spans="1:22" s="50" customFormat="1" ht="13" x14ac:dyDescent="0.25">
      <c r="A13" s="4844" t="s">
        <v>1066</v>
      </c>
      <c r="B13" s="4845"/>
      <c r="C13" s="4845"/>
      <c r="D13" s="4845"/>
      <c r="E13" s="4845"/>
      <c r="F13" s="4846"/>
      <c r="G13" s="284"/>
      <c r="H13" s="272"/>
      <c r="I13" s="272"/>
      <c r="J13" s="1896"/>
      <c r="K13" s="1901"/>
      <c r="L13" s="1896"/>
      <c r="M13" s="1901"/>
      <c r="N13" s="1901"/>
      <c r="O13" s="1901"/>
      <c r="P13" s="272"/>
      <c r="Q13" s="4853"/>
      <c r="R13" s="4854"/>
      <c r="S13" s="4854"/>
      <c r="T13" s="4854"/>
      <c r="U13" s="4855"/>
    </row>
    <row r="14" spans="1:22" s="50" customFormat="1" ht="13" x14ac:dyDescent="0.25">
      <c r="A14" s="4784"/>
      <c r="B14" s="4785"/>
      <c r="C14" s="4785"/>
      <c r="D14" s="4785"/>
      <c r="E14" s="4785"/>
      <c r="F14" s="4785"/>
      <c r="G14" s="284"/>
      <c r="H14" s="272"/>
      <c r="I14" s="1901"/>
      <c r="J14" s="1904"/>
      <c r="K14" s="1905"/>
      <c r="L14" s="1904"/>
      <c r="M14" s="1904"/>
      <c r="N14" s="1904"/>
      <c r="O14" s="1904"/>
      <c r="P14" s="272"/>
      <c r="Q14" s="4782"/>
      <c r="R14" s="4782"/>
      <c r="S14" s="4782"/>
      <c r="T14" s="4782"/>
      <c r="U14" s="4783"/>
    </row>
    <row r="15" spans="1:22" s="50" customFormat="1" ht="13.5" customHeight="1" x14ac:dyDescent="0.25">
      <c r="A15" s="4786"/>
      <c r="B15" s="4787"/>
      <c r="C15" s="4787"/>
      <c r="D15" s="4787"/>
      <c r="E15" s="4787"/>
      <c r="F15" s="4787"/>
      <c r="G15" s="284"/>
      <c r="H15" s="273"/>
      <c r="I15" s="1901"/>
      <c r="J15" s="1906"/>
      <c r="K15" s="1905"/>
      <c r="L15" s="1906"/>
      <c r="M15" s="1904"/>
      <c r="N15" s="1906"/>
      <c r="O15" s="1906"/>
      <c r="P15" s="273"/>
      <c r="Q15" s="4782"/>
      <c r="R15" s="4782"/>
      <c r="S15" s="4782"/>
      <c r="T15" s="4782"/>
      <c r="U15" s="4783"/>
    </row>
    <row r="16" spans="1:22" s="50" customFormat="1" ht="13.5" customHeight="1" x14ac:dyDescent="0.25">
      <c r="A16" s="4786" t="s">
        <v>773</v>
      </c>
      <c r="B16" s="4787"/>
      <c r="C16" s="4787"/>
      <c r="D16" s="4787"/>
      <c r="E16" s="4787"/>
      <c r="F16" s="4787"/>
      <c r="G16" s="282" t="s">
        <v>917</v>
      </c>
      <c r="H16" s="1898" t="e">
        <f>SUM(H17:H24)</f>
        <v>#REF!</v>
      </c>
      <c r="I16" s="1898" t="e">
        <f>SUM(I17:I24)</f>
        <v>#REF!</v>
      </c>
      <c r="J16" s="1898"/>
      <c r="K16" s="1898" t="e">
        <f>SUM(K17:K24)</f>
        <v>#REF!</v>
      </c>
      <c r="L16" s="1898"/>
      <c r="M16" s="1898" t="e">
        <f>SUM(M17:M24)</f>
        <v>#REF!</v>
      </c>
      <c r="N16" s="1898"/>
      <c r="O16" s="1898" t="e">
        <f>SUM(O17:O24)</f>
        <v>#REF!</v>
      </c>
      <c r="P16" s="1898">
        <f>SUM(P17:P24)</f>
        <v>0</v>
      </c>
      <c r="Q16" s="4782"/>
      <c r="R16" s="4782"/>
      <c r="S16" s="4782"/>
      <c r="T16" s="4782"/>
      <c r="U16" s="4783"/>
    </row>
    <row r="17" spans="1:21" s="50" customFormat="1" ht="13.5" hidden="1" customHeight="1" x14ac:dyDescent="0.25">
      <c r="A17" s="4788" t="s">
        <v>1065</v>
      </c>
      <c r="B17" s="4789"/>
      <c r="C17" s="4789"/>
      <c r="D17" s="4789"/>
      <c r="E17" s="4789"/>
      <c r="F17" s="4790"/>
      <c r="G17" s="319">
        <v>0</v>
      </c>
      <c r="H17" s="272"/>
      <c r="I17" s="1901">
        <f>G17*I9</f>
        <v>0</v>
      </c>
      <c r="J17" s="1904"/>
      <c r="K17" s="1905">
        <f>G17*K9</f>
        <v>0</v>
      </c>
      <c r="L17" s="1904"/>
      <c r="M17" s="1904">
        <f>G17*M9</f>
        <v>0</v>
      </c>
      <c r="N17" s="1904"/>
      <c r="O17" s="1904">
        <f>G17*O9</f>
        <v>0</v>
      </c>
      <c r="P17" s="272"/>
      <c r="Q17" s="4782"/>
      <c r="R17" s="4782"/>
      <c r="S17" s="4782"/>
      <c r="T17" s="4782"/>
      <c r="U17" s="4783"/>
    </row>
    <row r="18" spans="1:21" s="50" customFormat="1" ht="13.5" hidden="1" customHeight="1" x14ac:dyDescent="0.25">
      <c r="A18" s="4788" t="s">
        <v>1520</v>
      </c>
      <c r="B18" s="4789"/>
      <c r="C18" s="4789"/>
      <c r="D18" s="4789"/>
      <c r="E18" s="4789"/>
      <c r="F18" s="4790"/>
      <c r="G18" s="319">
        <v>0</v>
      </c>
      <c r="H18" s="272"/>
      <c r="I18" s="1901">
        <f>G18*I10</f>
        <v>0</v>
      </c>
      <c r="J18" s="1901"/>
      <c r="K18" s="1901">
        <f>G18*K10</f>
        <v>0</v>
      </c>
      <c r="L18" s="1901"/>
      <c r="M18" s="1901">
        <f>G18*M10</f>
        <v>0</v>
      </c>
      <c r="N18" s="1904"/>
      <c r="O18" s="1904">
        <f>G18*O10</f>
        <v>0</v>
      </c>
      <c r="P18" s="272"/>
      <c r="Q18" s="4782"/>
      <c r="R18" s="4782"/>
      <c r="S18" s="4782"/>
      <c r="T18" s="4782"/>
      <c r="U18" s="4783"/>
    </row>
    <row r="19" spans="1:21" s="50" customFormat="1" ht="6.75" customHeight="1" x14ac:dyDescent="0.25">
      <c r="A19" s="1855"/>
      <c r="B19" s="1856"/>
      <c r="C19" s="1856"/>
      <c r="D19" s="1856"/>
      <c r="E19" s="1856"/>
      <c r="F19" s="1857"/>
      <c r="G19" s="319"/>
      <c r="H19" s="272"/>
      <c r="I19" s="1901"/>
      <c r="J19" s="1907"/>
      <c r="K19" s="1901"/>
      <c r="L19" s="1907"/>
      <c r="M19" s="1901"/>
      <c r="N19" s="1907"/>
      <c r="O19" s="1901"/>
      <c r="P19" s="272"/>
      <c r="Q19" s="1847"/>
      <c r="R19" s="1847"/>
      <c r="S19" s="1847"/>
      <c r="T19" s="1847"/>
      <c r="U19" s="1848"/>
    </row>
    <row r="20" spans="1:21" s="50" customFormat="1" ht="13.5" customHeight="1" x14ac:dyDescent="0.25">
      <c r="A20" s="4791" t="s">
        <v>914</v>
      </c>
      <c r="B20" s="4792"/>
      <c r="C20" s="4792"/>
      <c r="D20" s="4792"/>
      <c r="E20" s="4792"/>
      <c r="F20" s="4792"/>
      <c r="G20" s="319">
        <v>0.25</v>
      </c>
      <c r="H20" s="1906" t="e">
        <f>'02-CHANNELCAPACITY-SAAS-OFR1'!F23*'10-BUDGETPROGRAM-OFR2'!$G$20</f>
        <v>#REF!</v>
      </c>
      <c r="I20" s="1906" t="e">
        <f>'02-CHANNELCAPACITY-SAAS-OFR1'!G23*'10-BUDGETPROGRAM-OFR2'!$G$20</f>
        <v>#REF!</v>
      </c>
      <c r="J20" s="1901"/>
      <c r="K20" s="1901" t="e">
        <f>'02-CHANNELCAPACITY-SAAS-OFR1'!H23*'10-BUDGETPROGRAM-OFR2'!$G$20</f>
        <v>#REF!</v>
      </c>
      <c r="L20" s="1901"/>
      <c r="M20" s="1901" t="e">
        <f>'02-CHANNELCAPACITY-SAAS-OFR1'!I23*'10-BUDGETPROGRAM-OFR2'!$G$20</f>
        <v>#REF!</v>
      </c>
      <c r="N20" s="1901"/>
      <c r="O20" s="1901" t="e">
        <f>'02-CHANNELCAPACITY-SAAS-OFR1'!J23*'10-BUDGETPROGRAM-OFR2'!$G$20</f>
        <v>#REF!</v>
      </c>
      <c r="P20" s="1901">
        <f>'02-CHANNELCAPACITY-SAAS-OFR1'!K23*'10-BUDGETPROGRAM-OFR2'!$G$20</f>
        <v>0</v>
      </c>
      <c r="Q20" s="4866" t="s">
        <v>1915</v>
      </c>
      <c r="R20" s="4866"/>
      <c r="S20" s="4866"/>
      <c r="T20" s="4866"/>
      <c r="U20" s="4867"/>
    </row>
    <row r="21" spans="1:21" s="50" customFormat="1" ht="13.5" customHeight="1" x14ac:dyDescent="0.25">
      <c r="A21" s="4791" t="s">
        <v>915</v>
      </c>
      <c r="B21" s="4792"/>
      <c r="C21" s="4792"/>
      <c r="D21" s="4792"/>
      <c r="E21" s="4792"/>
      <c r="F21" s="4792"/>
      <c r="G21" s="319">
        <v>0</v>
      </c>
      <c r="H21" s="273"/>
      <c r="I21" s="1901" t="e">
        <f>H20*(G21/G20)</f>
        <v>#REF!</v>
      </c>
      <c r="J21" s="1906"/>
      <c r="K21" s="1905" t="e">
        <f>I20*(G21/G20)</f>
        <v>#REF!</v>
      </c>
      <c r="L21" s="1906"/>
      <c r="M21" s="1904" t="e">
        <f>K20*(G21/G20)</f>
        <v>#REF!</v>
      </c>
      <c r="N21" s="1906"/>
      <c r="O21" s="1906" t="e">
        <f>M20*(G21/G20)</f>
        <v>#REF!</v>
      </c>
      <c r="P21" s="273"/>
      <c r="Q21" s="4782"/>
      <c r="R21" s="4782"/>
      <c r="S21" s="4782"/>
      <c r="T21" s="4782"/>
      <c r="U21" s="4783"/>
    </row>
    <row r="22" spans="1:21" s="50" customFormat="1" ht="13" x14ac:dyDescent="0.25">
      <c r="A22" s="4791" t="s">
        <v>916</v>
      </c>
      <c r="B22" s="4792"/>
      <c r="C22" s="4792"/>
      <c r="D22" s="4792"/>
      <c r="E22" s="4792"/>
      <c r="F22" s="4792"/>
      <c r="G22" s="319">
        <v>0</v>
      </c>
      <c r="H22" s="273"/>
      <c r="I22" s="1901"/>
      <c r="J22" s="1906"/>
      <c r="K22" s="1906">
        <f>IFERROR(I21*(G22/G21),0)</f>
        <v>0</v>
      </c>
      <c r="L22" s="1906"/>
      <c r="M22" s="1904">
        <f>IFERROR(K21*(G22/G21),0)</f>
        <v>0</v>
      </c>
      <c r="N22" s="1906"/>
      <c r="O22" s="1906">
        <f>IFERROR(M21*(G22/G21),0)</f>
        <v>0</v>
      </c>
      <c r="P22" s="273"/>
      <c r="Q22" s="4782"/>
      <c r="R22" s="4782"/>
      <c r="S22" s="4782"/>
      <c r="T22" s="4782"/>
      <c r="U22" s="4783"/>
    </row>
    <row r="23" spans="1:21" s="50" customFormat="1" ht="13" x14ac:dyDescent="0.25">
      <c r="A23" s="4791" t="s">
        <v>1669</v>
      </c>
      <c r="B23" s="4792"/>
      <c r="C23" s="4792"/>
      <c r="D23" s="4792"/>
      <c r="E23" s="4792"/>
      <c r="F23" s="4792"/>
      <c r="G23" s="319"/>
      <c r="H23" s="273"/>
      <c r="I23" s="1901"/>
      <c r="K23" s="1906"/>
      <c r="L23" s="1906"/>
      <c r="M23" s="1904">
        <f>IFERROR(K22*(G23/G22),0)</f>
        <v>0</v>
      </c>
      <c r="N23" s="1906"/>
      <c r="O23" s="1906">
        <f>IFERROR(M22*(G23/G22),0)</f>
        <v>0</v>
      </c>
      <c r="P23" s="273"/>
      <c r="Q23" s="1922"/>
      <c r="R23" s="1922"/>
      <c r="S23" s="1922"/>
      <c r="T23" s="1922"/>
      <c r="U23" s="1923"/>
    </row>
    <row r="24" spans="1:21" s="50" customFormat="1" ht="13" x14ac:dyDescent="0.25">
      <c r="A24" s="4791" t="s">
        <v>1670</v>
      </c>
      <c r="B24" s="4792"/>
      <c r="C24" s="4792"/>
      <c r="D24" s="4792"/>
      <c r="E24" s="4792"/>
      <c r="F24" s="4792"/>
      <c r="G24" s="275"/>
      <c r="H24" s="280"/>
      <c r="I24" s="1894"/>
      <c r="J24" s="1895"/>
      <c r="K24" s="1894"/>
      <c r="L24" s="1895"/>
      <c r="M24" s="1894"/>
      <c r="N24" s="1895"/>
      <c r="O24" s="1906"/>
      <c r="P24" s="280"/>
      <c r="Q24" s="275"/>
      <c r="R24" s="275"/>
      <c r="S24" s="275"/>
      <c r="T24" s="275"/>
      <c r="U24" s="276"/>
    </row>
    <row r="25" spans="1:21" s="50" customFormat="1" ht="13" x14ac:dyDescent="0.25">
      <c r="A25" s="274"/>
      <c r="B25" s="275"/>
      <c r="C25" s="275"/>
      <c r="D25" s="275"/>
      <c r="E25" s="275"/>
      <c r="F25" s="275"/>
      <c r="G25" s="275"/>
      <c r="H25" s="280"/>
      <c r="I25" s="1894"/>
      <c r="J25" s="1895"/>
      <c r="K25" s="1894"/>
      <c r="L25" s="1895"/>
      <c r="M25" s="1894"/>
      <c r="N25" s="1895"/>
      <c r="O25" s="1906"/>
      <c r="P25" s="280"/>
      <c r="Q25" s="275"/>
      <c r="R25" s="275"/>
      <c r="S25" s="275"/>
      <c r="T25" s="275"/>
      <c r="U25" s="276"/>
    </row>
    <row r="26" spans="1:21" s="50" customFormat="1" ht="26.25" customHeight="1" x14ac:dyDescent="0.25">
      <c r="A26" s="4799" t="s">
        <v>1020</v>
      </c>
      <c r="B26" s="4800"/>
      <c r="C26" s="4800"/>
      <c r="D26" s="4800"/>
      <c r="E26" s="4800"/>
      <c r="F26" s="4800"/>
      <c r="G26" s="281"/>
      <c r="H26" s="1897" t="e">
        <f>H8-H16</f>
        <v>#REF!</v>
      </c>
      <c r="I26" s="1897" t="e">
        <f>I8-I16</f>
        <v>#REF!</v>
      </c>
      <c r="J26" s="1897"/>
      <c r="K26" s="1897" t="e">
        <f>K8-K16</f>
        <v>#REF!</v>
      </c>
      <c r="L26" s="1897"/>
      <c r="M26" s="1897" t="e">
        <f>M8-M16</f>
        <v>#REF!</v>
      </c>
      <c r="N26" s="1897"/>
      <c r="O26" s="1897" t="e">
        <f>O8-O16</f>
        <v>#REF!</v>
      </c>
      <c r="P26" s="1897" t="e">
        <f>P8-P16</f>
        <v>#REF!</v>
      </c>
      <c r="Q26" s="4869"/>
      <c r="R26" s="4869"/>
      <c r="S26" s="4869"/>
      <c r="T26" s="4869"/>
      <c r="U26" s="4870"/>
    </row>
    <row r="27" spans="1:21" s="279" customFormat="1" ht="13.5" thickBot="1" x14ac:dyDescent="0.3">
      <c r="A27" s="2206"/>
      <c r="B27" s="2207"/>
      <c r="C27" s="2207"/>
      <c r="D27" s="2207"/>
      <c r="E27" s="2207"/>
      <c r="F27" s="2207"/>
      <c r="G27" s="2208"/>
      <c r="H27" s="2209"/>
      <c r="I27" s="2210"/>
      <c r="J27" s="2210"/>
      <c r="K27" s="2210"/>
      <c r="L27" s="2210"/>
      <c r="M27" s="2210"/>
      <c r="N27" s="2210"/>
      <c r="O27" s="2210"/>
      <c r="P27" s="2210"/>
      <c r="Q27" s="2211"/>
      <c r="R27" s="2211"/>
      <c r="S27" s="277"/>
      <c r="T27" s="277"/>
      <c r="U27" s="278"/>
    </row>
    <row r="28" spans="1:21" s="279" customFormat="1" ht="24" customHeight="1" thickTop="1" x14ac:dyDescent="0.25">
      <c r="A28" s="2212"/>
      <c r="B28" s="2213"/>
      <c r="C28" s="2213"/>
      <c r="D28" s="2213"/>
      <c r="E28" s="2213"/>
      <c r="F28" s="2213"/>
      <c r="G28" s="4803" t="s">
        <v>1126</v>
      </c>
      <c r="H28" s="4804"/>
      <c r="I28" s="4804"/>
      <c r="J28" s="4804"/>
      <c r="K28" s="4804"/>
      <c r="L28" s="4804"/>
      <c r="M28" s="4804"/>
      <c r="N28" s="4804"/>
      <c r="O28" s="4804"/>
      <c r="P28" s="4804"/>
      <c r="Q28" s="4804"/>
      <c r="R28" s="4805"/>
      <c r="S28" s="277"/>
      <c r="T28" s="277"/>
      <c r="U28" s="278"/>
    </row>
    <row r="29" spans="1:21" s="50" customFormat="1" ht="26" x14ac:dyDescent="0.25">
      <c r="A29" s="4796" t="s">
        <v>928</v>
      </c>
      <c r="B29" s="4797"/>
      <c r="C29" s="4797"/>
      <c r="D29" s="4797"/>
      <c r="E29" s="4797"/>
      <c r="F29" s="4798"/>
      <c r="G29" s="1256" t="s">
        <v>919</v>
      </c>
      <c r="H29" s="2180"/>
      <c r="I29" s="4871">
        <f>I7</f>
        <v>2018</v>
      </c>
      <c r="J29" s="4872"/>
      <c r="K29" s="4873">
        <f>K7</f>
        <v>2019</v>
      </c>
      <c r="L29" s="4874"/>
      <c r="M29" s="4801">
        <f>M7</f>
        <v>2020</v>
      </c>
      <c r="N29" s="4872"/>
      <c r="O29" s="4873">
        <f>O7</f>
        <v>2021</v>
      </c>
      <c r="P29" s="4874"/>
      <c r="Q29" s="4801" t="str">
        <f>P7</f>
        <v>NA</v>
      </c>
      <c r="R29" s="4802"/>
      <c r="S29" s="275"/>
      <c r="T29" s="275"/>
      <c r="U29" s="276"/>
    </row>
    <row r="30" spans="1:21" s="22" customFormat="1" ht="13" x14ac:dyDescent="0.35">
      <c r="A30" s="4793"/>
      <c r="B30" s="4787"/>
      <c r="C30" s="4787"/>
      <c r="D30" s="4787"/>
      <c r="E30" s="4787"/>
      <c r="F30" s="4787"/>
      <c r="G30" s="266"/>
      <c r="H30" s="285"/>
      <c r="I30" s="288" t="s">
        <v>507</v>
      </c>
      <c r="J30" s="2179" t="s">
        <v>918</v>
      </c>
      <c r="K30" s="2240" t="s">
        <v>507</v>
      </c>
      <c r="L30" s="2214" t="s">
        <v>918</v>
      </c>
      <c r="M30" s="286" t="s">
        <v>507</v>
      </c>
      <c r="N30" s="2179" t="s">
        <v>918</v>
      </c>
      <c r="O30" s="2240" t="s">
        <v>507</v>
      </c>
      <c r="P30" s="2214" t="s">
        <v>918</v>
      </c>
      <c r="Q30" s="286" t="s">
        <v>507</v>
      </c>
      <c r="R30" s="2214" t="s">
        <v>918</v>
      </c>
      <c r="S30" s="2205"/>
      <c r="T30" s="2203"/>
      <c r="U30" s="2204"/>
    </row>
    <row r="31" spans="1:21" s="51" customFormat="1" ht="51" customHeight="1" x14ac:dyDescent="0.35">
      <c r="A31" s="4794" t="s">
        <v>920</v>
      </c>
      <c r="B31" s="4795"/>
      <c r="C31" s="4795"/>
      <c r="D31" s="4795"/>
      <c r="E31" s="4795"/>
      <c r="F31" s="4795"/>
      <c r="G31" s="2178">
        <v>60</v>
      </c>
      <c r="H31" s="2215"/>
      <c r="I31" s="289">
        <v>1</v>
      </c>
      <c r="J31" s="290">
        <f t="shared" ref="J31:J41" si="0">I31*G31</f>
        <v>60</v>
      </c>
      <c r="K31" s="2241">
        <v>2</v>
      </c>
      <c r="L31" s="2201">
        <f t="shared" ref="L31:L41" si="1">K31*G31</f>
        <v>120</v>
      </c>
      <c r="M31" s="287">
        <v>1</v>
      </c>
      <c r="N31" s="290">
        <f t="shared" ref="N31:N41" si="2">M31*G31</f>
        <v>60</v>
      </c>
      <c r="O31" s="2241">
        <v>1</v>
      </c>
      <c r="P31" s="2201">
        <f t="shared" ref="P31:P41" si="3">O31*G31</f>
        <v>60</v>
      </c>
      <c r="Q31" s="287">
        <v>1</v>
      </c>
      <c r="R31" s="2201">
        <f>Q31*G31</f>
        <v>60</v>
      </c>
      <c r="S31" s="2191"/>
      <c r="T31" s="2189"/>
      <c r="U31" s="2190"/>
    </row>
    <row r="32" spans="1:21" s="51" customFormat="1" ht="39.75" customHeight="1" x14ac:dyDescent="0.35">
      <c r="A32" s="4794" t="s">
        <v>922</v>
      </c>
      <c r="B32" s="4795"/>
      <c r="C32" s="4795"/>
      <c r="D32" s="4795"/>
      <c r="E32" s="4795"/>
      <c r="F32" s="4795"/>
      <c r="G32" s="2178">
        <v>160</v>
      </c>
      <c r="H32" s="1541"/>
      <c r="I32" s="289">
        <v>1</v>
      </c>
      <c r="J32" s="290">
        <f t="shared" si="0"/>
        <v>160</v>
      </c>
      <c r="K32" s="2241">
        <v>1</v>
      </c>
      <c r="L32" s="2201">
        <f t="shared" si="1"/>
        <v>160</v>
      </c>
      <c r="M32" s="287">
        <v>1.5</v>
      </c>
      <c r="N32" s="290">
        <f t="shared" si="2"/>
        <v>240</v>
      </c>
      <c r="O32" s="2241">
        <v>2</v>
      </c>
      <c r="P32" s="2201">
        <f t="shared" si="3"/>
        <v>320</v>
      </c>
      <c r="Q32" s="287">
        <v>2</v>
      </c>
      <c r="R32" s="2201">
        <f t="shared" ref="R32:R41" si="4">Q32*G32</f>
        <v>320</v>
      </c>
      <c r="S32" s="2191"/>
      <c r="T32" s="2189"/>
      <c r="U32" s="2190"/>
    </row>
    <row r="33" spans="1:21" s="51" customFormat="1" ht="39.75" customHeight="1" x14ac:dyDescent="0.35">
      <c r="A33" s="4794" t="s">
        <v>1002</v>
      </c>
      <c r="B33" s="4795"/>
      <c r="C33" s="4795"/>
      <c r="D33" s="4795"/>
      <c r="E33" s="4795"/>
      <c r="F33" s="4795"/>
      <c r="G33" s="2178">
        <v>70</v>
      </c>
      <c r="H33" s="1541"/>
      <c r="I33" s="289">
        <v>0.5</v>
      </c>
      <c r="J33" s="290">
        <f t="shared" si="0"/>
        <v>35</v>
      </c>
      <c r="K33" s="2241">
        <v>0.5</v>
      </c>
      <c r="L33" s="2201">
        <f t="shared" si="1"/>
        <v>35</v>
      </c>
      <c r="M33" s="287">
        <v>1</v>
      </c>
      <c r="N33" s="290">
        <f t="shared" si="2"/>
        <v>70</v>
      </c>
      <c r="O33" s="2241">
        <v>1</v>
      </c>
      <c r="P33" s="2201">
        <f t="shared" si="3"/>
        <v>70</v>
      </c>
      <c r="Q33" s="287">
        <v>2</v>
      </c>
      <c r="R33" s="2201">
        <f t="shared" si="4"/>
        <v>140</v>
      </c>
      <c r="S33" s="2191"/>
      <c r="T33" s="2189"/>
      <c r="U33" s="2190"/>
    </row>
    <row r="34" spans="1:21" s="51" customFormat="1" ht="39.75" customHeight="1" x14ac:dyDescent="0.35">
      <c r="A34" s="4794" t="s">
        <v>1905</v>
      </c>
      <c r="B34" s="4795"/>
      <c r="C34" s="4795"/>
      <c r="D34" s="4795"/>
      <c r="E34" s="4795"/>
      <c r="F34" s="4795"/>
      <c r="G34" s="2178">
        <v>60</v>
      </c>
      <c r="H34" s="1541"/>
      <c r="I34" s="289">
        <v>0.5</v>
      </c>
      <c r="J34" s="290">
        <f t="shared" si="0"/>
        <v>30</v>
      </c>
      <c r="K34" s="2241">
        <v>0.5</v>
      </c>
      <c r="L34" s="2201">
        <f t="shared" si="1"/>
        <v>30</v>
      </c>
      <c r="M34" s="287">
        <v>2</v>
      </c>
      <c r="N34" s="290">
        <f t="shared" si="2"/>
        <v>120</v>
      </c>
      <c r="O34" s="2241">
        <v>2</v>
      </c>
      <c r="P34" s="2201">
        <f t="shared" si="3"/>
        <v>120</v>
      </c>
      <c r="Q34" s="287">
        <v>2</v>
      </c>
      <c r="R34" s="2201">
        <f t="shared" si="4"/>
        <v>120</v>
      </c>
      <c r="S34" s="2191"/>
      <c r="T34" s="2189"/>
      <c r="U34" s="2190"/>
    </row>
    <row r="35" spans="1:21" s="51" customFormat="1" ht="39.75" customHeight="1" x14ac:dyDescent="0.35">
      <c r="A35" s="4794" t="s">
        <v>506</v>
      </c>
      <c r="B35" s="4795"/>
      <c r="C35" s="4795"/>
      <c r="D35" s="4795"/>
      <c r="E35" s="4795"/>
      <c r="F35" s="4795"/>
      <c r="G35" s="2178">
        <v>50</v>
      </c>
      <c r="H35" s="1541"/>
      <c r="I35" s="289"/>
      <c r="J35" s="290">
        <f t="shared" si="0"/>
        <v>0</v>
      </c>
      <c r="K35" s="2241">
        <v>0.5</v>
      </c>
      <c r="L35" s="2201">
        <f t="shared" si="1"/>
        <v>25</v>
      </c>
      <c r="M35" s="287">
        <v>0.5</v>
      </c>
      <c r="N35" s="290">
        <f t="shared" si="2"/>
        <v>25</v>
      </c>
      <c r="O35" s="2241">
        <v>0.5</v>
      </c>
      <c r="P35" s="2201">
        <f t="shared" si="3"/>
        <v>25</v>
      </c>
      <c r="Q35" s="287">
        <v>1</v>
      </c>
      <c r="R35" s="2201">
        <f t="shared" si="4"/>
        <v>50</v>
      </c>
      <c r="S35" s="2191"/>
      <c r="T35" s="2189"/>
      <c r="U35" s="2190"/>
    </row>
    <row r="36" spans="1:21" s="51" customFormat="1" ht="39.75" customHeight="1" x14ac:dyDescent="0.35">
      <c r="A36" s="4807" t="s">
        <v>921</v>
      </c>
      <c r="B36" s="4808"/>
      <c r="C36" s="4808"/>
      <c r="D36" s="4808"/>
      <c r="E36" s="4808"/>
      <c r="F36" s="4808"/>
      <c r="G36" s="2178">
        <v>100</v>
      </c>
      <c r="H36" s="1541"/>
      <c r="I36" s="289">
        <v>0.5</v>
      </c>
      <c r="J36" s="290">
        <f t="shared" si="0"/>
        <v>50</v>
      </c>
      <c r="K36" s="2241">
        <v>0.5</v>
      </c>
      <c r="L36" s="2201">
        <f t="shared" si="1"/>
        <v>50</v>
      </c>
      <c r="M36" s="287">
        <v>0.5</v>
      </c>
      <c r="N36" s="290">
        <f t="shared" si="2"/>
        <v>50</v>
      </c>
      <c r="O36" s="2241">
        <v>0.5</v>
      </c>
      <c r="P36" s="2201">
        <f t="shared" si="3"/>
        <v>50</v>
      </c>
      <c r="Q36" s="287">
        <v>0.5</v>
      </c>
      <c r="R36" s="2201">
        <f t="shared" si="4"/>
        <v>50</v>
      </c>
      <c r="S36" s="2191"/>
      <c r="T36" s="2189"/>
      <c r="U36" s="2190"/>
    </row>
    <row r="37" spans="1:21" s="51" customFormat="1" ht="39.75" customHeight="1" x14ac:dyDescent="0.35">
      <c r="A37" s="4807" t="s">
        <v>924</v>
      </c>
      <c r="B37" s="4808"/>
      <c r="C37" s="4808"/>
      <c r="D37" s="4808"/>
      <c r="E37" s="4808"/>
      <c r="F37" s="4808"/>
      <c r="G37" s="2178">
        <v>100</v>
      </c>
      <c r="H37" s="1541"/>
      <c r="I37" s="289">
        <v>0.25</v>
      </c>
      <c r="J37" s="290">
        <f t="shared" si="0"/>
        <v>25</v>
      </c>
      <c r="K37" s="2241">
        <v>0.5</v>
      </c>
      <c r="L37" s="2201">
        <f t="shared" si="1"/>
        <v>50</v>
      </c>
      <c r="M37" s="287">
        <v>0.5</v>
      </c>
      <c r="N37" s="290">
        <f t="shared" si="2"/>
        <v>50</v>
      </c>
      <c r="O37" s="2241">
        <v>0.5</v>
      </c>
      <c r="P37" s="2201">
        <f t="shared" si="3"/>
        <v>50</v>
      </c>
      <c r="Q37" s="287">
        <v>0.5</v>
      </c>
      <c r="R37" s="2201">
        <f t="shared" si="4"/>
        <v>50</v>
      </c>
      <c r="S37" s="2191"/>
      <c r="T37" s="2189"/>
      <c r="U37" s="2190"/>
    </row>
    <row r="38" spans="1:21" s="51" customFormat="1" ht="39.75" customHeight="1" x14ac:dyDescent="0.35">
      <c r="A38" s="4807" t="s">
        <v>505</v>
      </c>
      <c r="B38" s="4808"/>
      <c r="C38" s="4808"/>
      <c r="D38" s="4808"/>
      <c r="E38" s="4808"/>
      <c r="F38" s="4808"/>
      <c r="G38" s="2178">
        <v>100</v>
      </c>
      <c r="H38" s="1541"/>
      <c r="I38" s="289">
        <v>0</v>
      </c>
      <c r="J38" s="290">
        <f t="shared" si="0"/>
        <v>0</v>
      </c>
      <c r="K38" s="2241"/>
      <c r="L38" s="2201">
        <f t="shared" si="1"/>
        <v>0</v>
      </c>
      <c r="M38" s="287"/>
      <c r="N38" s="290">
        <f t="shared" si="2"/>
        <v>0</v>
      </c>
      <c r="O38" s="2241"/>
      <c r="P38" s="2201">
        <f t="shared" si="3"/>
        <v>0</v>
      </c>
      <c r="Q38" s="287"/>
      <c r="R38" s="2201">
        <f t="shared" si="4"/>
        <v>0</v>
      </c>
      <c r="S38" s="2191"/>
      <c r="T38" s="2189"/>
      <c r="U38" s="2190"/>
    </row>
    <row r="39" spans="1:21" s="51" customFormat="1" ht="39.75" customHeight="1" x14ac:dyDescent="0.35">
      <c r="A39" s="4807" t="s">
        <v>1521</v>
      </c>
      <c r="B39" s="4808"/>
      <c r="C39" s="4808"/>
      <c r="D39" s="4808"/>
      <c r="E39" s="4808"/>
      <c r="F39" s="4808"/>
      <c r="G39" s="2178">
        <v>100</v>
      </c>
      <c r="H39" s="1541"/>
      <c r="I39" s="289">
        <v>0.3</v>
      </c>
      <c r="J39" s="290">
        <f t="shared" si="0"/>
        <v>30</v>
      </c>
      <c r="K39" s="2241">
        <v>0.3</v>
      </c>
      <c r="L39" s="2201">
        <f t="shared" si="1"/>
        <v>30</v>
      </c>
      <c r="M39" s="287">
        <v>0.3</v>
      </c>
      <c r="N39" s="290">
        <f t="shared" si="2"/>
        <v>30</v>
      </c>
      <c r="O39" s="2241">
        <v>0.3</v>
      </c>
      <c r="P39" s="2201">
        <f t="shared" si="3"/>
        <v>30</v>
      </c>
      <c r="Q39" s="287">
        <v>0.3</v>
      </c>
      <c r="R39" s="2201">
        <f t="shared" si="4"/>
        <v>30</v>
      </c>
      <c r="S39" s="2191"/>
      <c r="T39" s="2189"/>
      <c r="U39" s="2190"/>
    </row>
    <row r="40" spans="1:21" s="50" customFormat="1" ht="39.75" customHeight="1" x14ac:dyDescent="0.25">
      <c r="A40" s="4807" t="s">
        <v>923</v>
      </c>
      <c r="B40" s="4808"/>
      <c r="C40" s="4808"/>
      <c r="D40" s="4808"/>
      <c r="E40" s="4808"/>
      <c r="F40" s="4808"/>
      <c r="G40" s="2178">
        <v>100</v>
      </c>
      <c r="H40" s="1541"/>
      <c r="I40" s="289">
        <v>0.3</v>
      </c>
      <c r="J40" s="290">
        <f t="shared" si="0"/>
        <v>30</v>
      </c>
      <c r="K40" s="2241">
        <v>0.6</v>
      </c>
      <c r="L40" s="2201">
        <f t="shared" si="1"/>
        <v>60</v>
      </c>
      <c r="M40" s="287">
        <v>1</v>
      </c>
      <c r="N40" s="290">
        <f t="shared" si="2"/>
        <v>100</v>
      </c>
      <c r="O40" s="2241">
        <v>1.5</v>
      </c>
      <c r="P40" s="2201">
        <f t="shared" si="3"/>
        <v>150</v>
      </c>
      <c r="Q40" s="287">
        <v>1.5</v>
      </c>
      <c r="R40" s="2201">
        <f t="shared" si="4"/>
        <v>150</v>
      </c>
      <c r="S40" s="2191"/>
      <c r="T40" s="2189"/>
      <c r="U40" s="2190"/>
    </row>
    <row r="41" spans="1:21" s="50" customFormat="1" ht="27.75" customHeight="1" thickBot="1" x14ac:dyDescent="0.3">
      <c r="A41" s="4807" t="s">
        <v>128</v>
      </c>
      <c r="B41" s="4808"/>
      <c r="C41" s="4808"/>
      <c r="D41" s="4808"/>
      <c r="E41" s="4808"/>
      <c r="F41" s="4808"/>
      <c r="G41" s="2178">
        <v>100</v>
      </c>
      <c r="H41" s="1542"/>
      <c r="I41" s="291"/>
      <c r="J41" s="292">
        <f t="shared" si="0"/>
        <v>0</v>
      </c>
      <c r="K41" s="2242"/>
      <c r="L41" s="2202">
        <f t="shared" si="1"/>
        <v>0</v>
      </c>
      <c r="M41" s="2231"/>
      <c r="N41" s="292">
        <f t="shared" si="2"/>
        <v>0</v>
      </c>
      <c r="O41" s="2242"/>
      <c r="P41" s="2202">
        <f t="shared" si="3"/>
        <v>0</v>
      </c>
      <c r="Q41" s="2231"/>
      <c r="R41" s="2201">
        <f t="shared" si="4"/>
        <v>0</v>
      </c>
      <c r="S41" s="2192"/>
      <c r="T41" s="2193"/>
      <c r="U41" s="2194"/>
    </row>
    <row r="42" spans="1:21" s="40" customFormat="1" ht="33.75" customHeight="1" thickTop="1" thickBot="1" x14ac:dyDescent="0.3">
      <c r="A42" s="4812"/>
      <c r="B42" s="4813"/>
      <c r="C42" s="4813"/>
      <c r="D42" s="4813"/>
      <c r="E42" s="4813"/>
      <c r="F42" s="4814"/>
      <c r="G42" s="1545" t="s">
        <v>1274</v>
      </c>
      <c r="H42" s="1542"/>
      <c r="I42" s="1546">
        <f t="shared" ref="I42:R42" si="5">SUM(I31:I35)</f>
        <v>3</v>
      </c>
      <c r="J42" s="2197">
        <f t="shared" si="5"/>
        <v>285</v>
      </c>
      <c r="K42" s="2243">
        <f>SUM(K31:K35)</f>
        <v>4.5</v>
      </c>
      <c r="L42" s="1547">
        <f t="shared" si="5"/>
        <v>370</v>
      </c>
      <c r="M42" s="2232">
        <f>SUM(M31:M35)</f>
        <v>6</v>
      </c>
      <c r="N42" s="2197">
        <f t="shared" si="5"/>
        <v>515</v>
      </c>
      <c r="O42" s="2243">
        <f>SUM(O31:O35)</f>
        <v>6.5</v>
      </c>
      <c r="P42" s="1547">
        <f t="shared" si="5"/>
        <v>595</v>
      </c>
      <c r="Q42" s="2232">
        <f>SUM(Q31:Q35)</f>
        <v>8</v>
      </c>
      <c r="R42" s="1547">
        <f t="shared" si="5"/>
        <v>690</v>
      </c>
      <c r="S42" s="2200"/>
      <c r="T42" s="2195"/>
      <c r="U42" s="2196"/>
    </row>
    <row r="43" spans="1:21" s="40" customFormat="1" ht="33.75" customHeight="1" thickBot="1" x14ac:dyDescent="0.3">
      <c r="A43" s="2216"/>
      <c r="B43" s="1225"/>
      <c r="C43" s="1225"/>
      <c r="D43" s="1225"/>
      <c r="E43" s="1225"/>
      <c r="F43" s="1226"/>
      <c r="G43" s="1543" t="s">
        <v>1323</v>
      </c>
      <c r="H43" s="1542"/>
      <c r="I43" s="1544"/>
      <c r="J43" s="2198">
        <f>SUM(J36:J41)</f>
        <v>135</v>
      </c>
      <c r="K43" s="2244"/>
      <c r="L43" s="1908">
        <f>SUM(L36:L41)</f>
        <v>190</v>
      </c>
      <c r="M43" s="2233"/>
      <c r="N43" s="2198">
        <f>SUM(N36:N41)</f>
        <v>230</v>
      </c>
      <c r="O43" s="2244"/>
      <c r="P43" s="1908">
        <f>SUM(P36:P41)</f>
        <v>280</v>
      </c>
      <c r="Q43" s="2253"/>
      <c r="R43" s="1908">
        <f>SUM(R36:R41)</f>
        <v>280</v>
      </c>
      <c r="S43" s="1227"/>
      <c r="T43" s="1227"/>
      <c r="U43" s="1228"/>
    </row>
    <row r="44" spans="1:21" s="40" customFormat="1" ht="33.75" customHeight="1" thickBot="1" x14ac:dyDescent="0.3">
      <c r="A44" s="2216"/>
      <c r="B44" s="1225"/>
      <c r="C44" s="1225"/>
      <c r="D44" s="1225"/>
      <c r="E44" s="1225"/>
      <c r="F44" s="1226" t="s">
        <v>1325</v>
      </c>
      <c r="G44" s="1548" t="s">
        <v>1275</v>
      </c>
      <c r="H44" s="1542"/>
      <c r="I44" s="1549"/>
      <c r="J44" s="2199">
        <f>J43+J42</f>
        <v>420</v>
      </c>
      <c r="K44" s="2245"/>
      <c r="L44" s="1909">
        <f>L43+L42</f>
        <v>560</v>
      </c>
      <c r="M44" s="2234"/>
      <c r="N44" s="2199">
        <f>N43+N42</f>
        <v>745</v>
      </c>
      <c r="O44" s="2245"/>
      <c r="P44" s="1909">
        <f>P43+P42</f>
        <v>875</v>
      </c>
      <c r="Q44" s="2254"/>
      <c r="R44" s="1909">
        <f>R43+R42</f>
        <v>970</v>
      </c>
      <c r="S44" s="1550"/>
      <c r="T44" s="1550"/>
      <c r="U44" s="1551"/>
    </row>
    <row r="45" spans="1:21" s="40" customFormat="1" ht="21" customHeight="1" thickBot="1" x14ac:dyDescent="0.3">
      <c r="A45" s="2216"/>
      <c r="B45" s="1225"/>
      <c r="C45" s="1225"/>
      <c r="D45" s="1225"/>
      <c r="E45" s="1225"/>
      <c r="F45" s="1226"/>
      <c r="G45" s="1257"/>
      <c r="H45" s="1542"/>
      <c r="I45" s="1258"/>
      <c r="J45" s="2226"/>
      <c r="K45" s="2246"/>
      <c r="L45" s="1910"/>
      <c r="M45" s="2235"/>
      <c r="N45" s="2226"/>
      <c r="O45" s="2246"/>
      <c r="P45" s="1910"/>
      <c r="Q45" s="1259"/>
      <c r="R45" s="1260"/>
      <c r="S45" s="1259"/>
      <c r="T45" s="1259"/>
      <c r="U45" s="1260"/>
    </row>
    <row r="46" spans="1:21" s="23" customFormat="1" ht="27.75" customHeight="1" thickBot="1" x14ac:dyDescent="0.4">
      <c r="A46" s="2216"/>
      <c r="B46" s="1225"/>
      <c r="C46" s="1225"/>
      <c r="D46" s="1225"/>
      <c r="E46" s="1225"/>
      <c r="F46" s="1270" t="s">
        <v>1326</v>
      </c>
      <c r="G46" s="1261" t="s">
        <v>925</v>
      </c>
      <c r="H46" s="1542"/>
      <c r="I46" s="1222"/>
      <c r="J46" s="2227" t="e">
        <f>I26</f>
        <v>#REF!</v>
      </c>
      <c r="K46" s="2247"/>
      <c r="L46" s="2248" t="e">
        <f>K26</f>
        <v>#REF!</v>
      </c>
      <c r="M46" s="2236"/>
      <c r="N46" s="2227" t="e">
        <f>M26</f>
        <v>#REF!</v>
      </c>
      <c r="O46" s="2247"/>
      <c r="P46" s="2248" t="e">
        <f>O26</f>
        <v>#REF!</v>
      </c>
      <c r="Q46" s="1227"/>
      <c r="R46" s="2248" t="e">
        <f>P26</f>
        <v>#REF!</v>
      </c>
      <c r="S46" s="1227"/>
      <c r="T46" s="1227"/>
      <c r="U46" s="1228"/>
    </row>
    <row r="47" spans="1:21" s="23" customFormat="1" ht="27.75" customHeight="1" thickTop="1" thickBot="1" x14ac:dyDescent="0.4">
      <c r="A47" s="2217"/>
      <c r="B47" s="2218"/>
      <c r="C47" s="2218"/>
      <c r="D47" s="2218"/>
      <c r="E47" s="2218"/>
      <c r="F47" s="2219" t="s">
        <v>1327</v>
      </c>
      <c r="G47" s="1266" t="s">
        <v>1324</v>
      </c>
      <c r="H47" s="1542"/>
      <c r="I47" s="1267"/>
      <c r="J47" s="2228" t="e">
        <f>J46-J44</f>
        <v>#REF!</v>
      </c>
      <c r="K47" s="2249"/>
      <c r="L47" s="1911" t="e">
        <f>L46-L44</f>
        <v>#REF!</v>
      </c>
      <c r="M47" s="2237"/>
      <c r="N47" s="2228" t="e">
        <f>N46-N44</f>
        <v>#REF!</v>
      </c>
      <c r="O47" s="2249"/>
      <c r="P47" s="1911" t="e">
        <f>P46-P44</f>
        <v>#REF!</v>
      </c>
      <c r="Q47" s="1268"/>
      <c r="R47" s="1911" t="e">
        <f>R46-R44</f>
        <v>#REF!</v>
      </c>
      <c r="S47" s="1268"/>
      <c r="T47" s="1268"/>
      <c r="U47" s="1269"/>
    </row>
    <row r="48" spans="1:21" s="1221" customFormat="1" ht="11.25" customHeight="1" thickTop="1" thickBot="1" x14ac:dyDescent="0.4">
      <c r="A48" s="2220"/>
      <c r="B48" s="2221"/>
      <c r="C48" s="2221"/>
      <c r="D48" s="2221"/>
      <c r="E48" s="2221"/>
      <c r="F48" s="2221"/>
      <c r="G48" s="1223"/>
      <c r="H48" s="1542"/>
      <c r="I48" s="1222"/>
      <c r="J48" s="2229"/>
      <c r="K48" s="2250"/>
      <c r="L48" s="1224"/>
      <c r="M48" s="2238"/>
      <c r="N48" s="2229"/>
      <c r="O48" s="2250"/>
      <c r="P48" s="1224"/>
      <c r="Q48" s="1227"/>
      <c r="R48" s="1228"/>
      <c r="S48" s="1227"/>
      <c r="T48" s="1227"/>
      <c r="U48" s="1228"/>
    </row>
    <row r="49" spans="1:80" ht="32" thickTop="1" thickBot="1" x14ac:dyDescent="0.4">
      <c r="A49" s="2222"/>
      <c r="B49" s="2223"/>
      <c r="C49" s="2224"/>
      <c r="D49" s="2224"/>
      <c r="E49" s="2224"/>
      <c r="F49" s="2224"/>
      <c r="G49" s="1262" t="s">
        <v>1021</v>
      </c>
      <c r="H49" s="2225"/>
      <c r="I49" s="1912" t="str">
        <f>IFERROR(J46/I42,"0")</f>
        <v>0</v>
      </c>
      <c r="J49" s="2230"/>
      <c r="K49" s="2251" t="e">
        <f>L46/K42</f>
        <v>#REF!</v>
      </c>
      <c r="L49" s="2252"/>
      <c r="M49" s="2239" t="e">
        <f>N46/M42</f>
        <v>#REF!</v>
      </c>
      <c r="N49" s="2230"/>
      <c r="O49" s="2251" t="e">
        <f>P46/O42</f>
        <v>#REF!</v>
      </c>
      <c r="P49" s="1263"/>
      <c r="Q49" s="2251" t="e">
        <f>R46/Q42</f>
        <v>#REF!</v>
      </c>
      <c r="R49" s="1265"/>
      <c r="S49" s="1264"/>
      <c r="T49" s="1264"/>
      <c r="U49" s="1265"/>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row>
    <row r="50" spans="1:80" ht="15" thickTop="1" x14ac:dyDescent="0.35">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row>
    <row r="51" spans="1:80" s="40" customFormat="1" ht="15" thickBot="1" x14ac:dyDescent="0.4">
      <c r="A51" s="60"/>
      <c r="B51" s="60"/>
      <c r="C51" s="60"/>
      <c r="D51" s="60"/>
      <c r="E51" s="60"/>
      <c r="F51" s="60"/>
      <c r="G51" s="60"/>
      <c r="H51" s="60"/>
      <c r="I51" s="60"/>
      <c r="J51" s="60"/>
      <c r="K51" s="60"/>
      <c r="L51" s="60"/>
      <c r="M51" s="60"/>
      <c r="N51" s="60"/>
      <c r="O51" s="60"/>
      <c r="P51" s="60"/>
      <c r="Q51" s="60"/>
      <c r="R51" s="60"/>
      <c r="S51" s="60"/>
      <c r="T51" s="60"/>
      <c r="U51" s="60"/>
    </row>
    <row r="52" spans="1:80" s="23" customFormat="1" ht="22.5" customHeight="1" thickBot="1" x14ac:dyDescent="0.4">
      <c r="A52" s="60"/>
      <c r="B52" s="4809" t="s">
        <v>906</v>
      </c>
      <c r="C52" s="4810"/>
      <c r="D52" s="4810"/>
      <c r="E52" s="4811"/>
      <c r="F52" s="42"/>
      <c r="G52" s="42"/>
      <c r="H52" s="49"/>
      <c r="I52" s="40"/>
      <c r="J52" s="40"/>
      <c r="K52" s="42"/>
      <c r="L52" s="40"/>
      <c r="M52" s="40"/>
      <c r="N52" s="40"/>
      <c r="O52" s="40"/>
      <c r="P52" s="40"/>
      <c r="Q52" s="40"/>
      <c r="R52" s="40"/>
      <c r="S52" s="40"/>
      <c r="T52" s="40"/>
      <c r="U52" s="40"/>
    </row>
    <row r="53" spans="1:80" s="40" customFormat="1" ht="38" thickBot="1" x14ac:dyDescent="0.3">
      <c r="B53" s="359"/>
      <c r="C53" s="1271" t="s">
        <v>1660</v>
      </c>
      <c r="D53" s="1272" t="s">
        <v>1276</v>
      </c>
      <c r="E53" s="1273" t="s">
        <v>1661</v>
      </c>
      <c r="F53" s="23"/>
      <c r="G53" s="23"/>
      <c r="H53" s="23"/>
      <c r="I53" s="23"/>
      <c r="J53" s="23"/>
      <c r="K53" s="41"/>
      <c r="L53" s="23"/>
      <c r="M53" s="23"/>
      <c r="N53" s="23"/>
      <c r="O53" s="23"/>
      <c r="P53" s="23"/>
      <c r="Q53" s="23"/>
      <c r="R53" s="23"/>
      <c r="S53" s="23"/>
      <c r="T53" s="23"/>
      <c r="U53" s="23"/>
    </row>
    <row r="54" spans="1:80" s="40" customFormat="1" ht="13" thickBot="1" x14ac:dyDescent="0.3">
      <c r="B54" s="364" t="s">
        <v>173</v>
      </c>
      <c r="C54" s="1913">
        <v>80</v>
      </c>
      <c r="D54" s="365">
        <v>1</v>
      </c>
      <c r="E54" s="1915">
        <f>C54*D54</f>
        <v>80</v>
      </c>
    </row>
    <row r="55" spans="1:80" s="40" customFormat="1" ht="33.75" customHeight="1" thickBot="1" x14ac:dyDescent="0.3">
      <c r="B55" s="364" t="s">
        <v>969</v>
      </c>
      <c r="C55" s="1913">
        <v>34</v>
      </c>
      <c r="D55" s="365">
        <v>3</v>
      </c>
      <c r="E55" s="1915">
        <f>C55*D55</f>
        <v>102</v>
      </c>
    </row>
    <row r="56" spans="1:80" s="40" customFormat="1" ht="34.5" customHeight="1" thickBot="1" x14ac:dyDescent="0.3">
      <c r="B56" s="364" t="s">
        <v>970</v>
      </c>
      <c r="C56" s="1913">
        <v>30</v>
      </c>
      <c r="D56" s="365">
        <v>1</v>
      </c>
      <c r="E56" s="1915">
        <f>C56*D56</f>
        <v>30</v>
      </c>
      <c r="F56" s="4837" t="s">
        <v>926</v>
      </c>
      <c r="G56" s="4838"/>
      <c r="H56" s="4839"/>
      <c r="I56" s="4868"/>
      <c r="J56" s="4868"/>
      <c r="K56" s="4868"/>
      <c r="L56" s="4868"/>
      <c r="M56" s="4868"/>
      <c r="N56" s="4868"/>
      <c r="O56" s="4868"/>
      <c r="P56" s="4868"/>
      <c r="Q56" s="4868"/>
    </row>
    <row r="57" spans="1:80" s="40" customFormat="1" ht="30" customHeight="1" x14ac:dyDescent="0.25">
      <c r="B57" s="360"/>
      <c r="C57" s="362" t="s">
        <v>127</v>
      </c>
      <c r="D57" s="363">
        <f>SUM(D54:D56)</f>
        <v>5</v>
      </c>
      <c r="E57" s="1916">
        <f>SUM(E54:E56)</f>
        <v>212</v>
      </c>
      <c r="F57" s="4842" t="s">
        <v>1328</v>
      </c>
      <c r="G57" s="4843"/>
      <c r="H57" s="1914">
        <f>E58</f>
        <v>42.4</v>
      </c>
      <c r="I57" s="4806"/>
      <c r="J57" s="4806"/>
      <c r="K57" s="4806"/>
      <c r="L57" s="4806"/>
      <c r="M57" s="4806"/>
      <c r="N57" s="4806"/>
      <c r="O57" s="4806"/>
      <c r="P57" s="4806"/>
      <c r="Q57" s="4806"/>
    </row>
    <row r="58" spans="1:80" s="40" customFormat="1" ht="31.5" customHeight="1" thickBot="1" x14ac:dyDescent="0.3">
      <c r="B58" s="361"/>
      <c r="C58" s="293" t="s">
        <v>1910</v>
      </c>
      <c r="D58" s="294"/>
      <c r="E58" s="1917">
        <f>E57/D57</f>
        <v>42.4</v>
      </c>
      <c r="F58" s="4840" t="s">
        <v>1329</v>
      </c>
      <c r="G58" s="4841"/>
      <c r="H58" s="1231">
        <v>2</v>
      </c>
      <c r="I58" s="4806" t="s">
        <v>1330</v>
      </c>
      <c r="J58" s="4806"/>
      <c r="K58" s="4806"/>
      <c r="L58" s="4806"/>
      <c r="M58" s="4806"/>
      <c r="N58" s="4806"/>
      <c r="O58" s="4806"/>
      <c r="P58" s="4806"/>
      <c r="Q58" s="4806"/>
    </row>
    <row r="59" spans="1:80" s="40" customFormat="1" ht="12.5" x14ac:dyDescent="0.25">
      <c r="E59" s="42"/>
      <c r="K59" s="42"/>
    </row>
    <row r="60" spans="1:80" s="40" customFormat="1" ht="13" thickBot="1" x14ac:dyDescent="0.3">
      <c r="E60" s="42"/>
      <c r="F60" s="42"/>
      <c r="G60" s="42"/>
      <c r="H60" s="49"/>
      <c r="I60" s="42"/>
      <c r="J60" s="42"/>
      <c r="K60" s="42"/>
    </row>
    <row r="61" spans="1:80" s="40" customFormat="1" ht="14" x14ac:dyDescent="0.3">
      <c r="B61" s="4835" t="s">
        <v>504</v>
      </c>
      <c r="C61" s="4836"/>
      <c r="D61" s="1522">
        <f>I7</f>
        <v>2018</v>
      </c>
      <c r="E61" s="1522">
        <f>K7</f>
        <v>2019</v>
      </c>
      <c r="F61" s="1522">
        <f>M7</f>
        <v>2020</v>
      </c>
      <c r="G61" s="1522">
        <f>O7</f>
        <v>2021</v>
      </c>
    </row>
    <row r="62" spans="1:80" s="40" customFormat="1" ht="20.25" customHeight="1" x14ac:dyDescent="0.25">
      <c r="B62" s="4829" t="s">
        <v>503</v>
      </c>
      <c r="C62" s="4830"/>
      <c r="D62" s="320">
        <f>J44</f>
        <v>420</v>
      </c>
      <c r="E62" s="320">
        <f>L44</f>
        <v>560</v>
      </c>
      <c r="F62" s="320">
        <f>N44</f>
        <v>745</v>
      </c>
      <c r="G62" s="320">
        <f>P44</f>
        <v>875</v>
      </c>
    </row>
    <row r="63" spans="1:80" s="40" customFormat="1" ht="30" customHeight="1" x14ac:dyDescent="0.25">
      <c r="B63" s="4831" t="s">
        <v>927</v>
      </c>
      <c r="C63" s="4832"/>
      <c r="D63" s="1229">
        <f>D62/$H57</f>
        <v>9.9056603773584904</v>
      </c>
      <c r="E63" s="1229">
        <f>E62/$H57</f>
        <v>13.20754716981132</v>
      </c>
      <c r="F63" s="1229">
        <f>F62/$H57</f>
        <v>17.570754716981131</v>
      </c>
      <c r="G63" s="1229">
        <f>G62/$H57</f>
        <v>20.636792452830189</v>
      </c>
    </row>
    <row r="64" spans="1:80" s="40" customFormat="1" ht="24" customHeight="1" thickBot="1" x14ac:dyDescent="0.3">
      <c r="B64" s="4833" t="s">
        <v>502</v>
      </c>
      <c r="C64" s="4834"/>
      <c r="D64" s="1230">
        <f>D63/H58</f>
        <v>4.9528301886792452</v>
      </c>
      <c r="E64" s="1230">
        <f>E63/H58</f>
        <v>6.6037735849056602</v>
      </c>
      <c r="F64" s="1230">
        <f>F63/H58</f>
        <v>8.7853773584905657</v>
      </c>
      <c r="G64" s="1230">
        <f>G63/H58</f>
        <v>10.318396226415095</v>
      </c>
    </row>
    <row r="65" spans="1:80" x14ac:dyDescent="0.35">
      <c r="A65" s="40"/>
      <c r="B65" s="40"/>
      <c r="C65" s="40"/>
      <c r="D65" s="40"/>
      <c r="E65" s="40"/>
      <c r="F65" s="40"/>
      <c r="G65" s="40"/>
      <c r="H65" s="40"/>
      <c r="I65" s="40"/>
      <c r="J65" s="40"/>
      <c r="K65" s="40"/>
      <c r="L65" s="40"/>
      <c r="M65" s="40"/>
      <c r="N65" s="40"/>
      <c r="O65" s="40"/>
      <c r="P65" s="40"/>
      <c r="Q65" s="40"/>
      <c r="R65" s="40"/>
      <c r="S65" s="40"/>
      <c r="T65" s="40"/>
      <c r="U65" s="40"/>
    </row>
    <row r="66" spans="1:80" ht="15" thickBot="1" x14ac:dyDescent="0.4"/>
    <row r="67" spans="1:80" ht="20.25" customHeight="1" thickTop="1" thickBot="1" x14ac:dyDescent="0.4">
      <c r="A67" s="4821" t="s">
        <v>10</v>
      </c>
      <c r="B67" s="4822"/>
      <c r="C67" s="4822"/>
      <c r="D67" s="4822"/>
      <c r="E67" s="4822"/>
      <c r="F67" s="4822"/>
      <c r="G67" s="4822"/>
      <c r="H67" s="4822"/>
      <c r="I67" s="4822"/>
      <c r="J67" s="4822"/>
      <c r="K67" s="4822"/>
      <c r="L67" s="161"/>
      <c r="M67" s="31"/>
      <c r="N67" s="31"/>
      <c r="O67" s="31"/>
      <c r="P67" s="31"/>
      <c r="Q67" s="4823" t="s">
        <v>748</v>
      </c>
      <c r="R67" s="4824"/>
      <c r="S67" s="4825"/>
      <c r="T67" s="31"/>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row>
    <row r="68" spans="1:80" ht="20.25" customHeight="1" x14ac:dyDescent="0.35">
      <c r="A68" s="4815" t="s">
        <v>1278</v>
      </c>
      <c r="B68" s="4826"/>
      <c r="C68" s="4826"/>
      <c r="D68" s="4826"/>
      <c r="E68" s="4826"/>
      <c r="F68" s="4826"/>
      <c r="G68" s="4826"/>
      <c r="H68" s="4826"/>
      <c r="I68" s="4826"/>
      <c r="J68" s="4826"/>
      <c r="K68" s="4826"/>
      <c r="L68" s="39"/>
      <c r="M68" s="33"/>
      <c r="N68" s="33"/>
      <c r="O68" s="33"/>
      <c r="P68" s="33"/>
      <c r="Q68" s="3750" t="s">
        <v>1279</v>
      </c>
      <c r="R68" s="3751"/>
      <c r="S68" s="3752"/>
      <c r="T68" s="33"/>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row>
    <row r="69" spans="1:80" ht="20.25" customHeight="1" x14ac:dyDescent="0.35">
      <c r="A69" s="4815"/>
      <c r="B69" s="4826"/>
      <c r="C69" s="4826"/>
      <c r="D69" s="4826"/>
      <c r="E69" s="4826"/>
      <c r="F69" s="4826"/>
      <c r="G69" s="4826"/>
      <c r="H69" s="4826"/>
      <c r="I69" s="4826"/>
      <c r="J69" s="4826"/>
      <c r="K69" s="4826"/>
      <c r="L69" s="39"/>
      <c r="M69" s="33"/>
      <c r="N69" s="33"/>
      <c r="O69" s="33"/>
      <c r="P69" s="33"/>
      <c r="Q69" s="3753"/>
      <c r="R69" s="3754"/>
      <c r="S69" s="3755"/>
      <c r="T69" s="33"/>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row>
    <row r="70" spans="1:80" ht="20.25" customHeight="1" x14ac:dyDescent="0.35">
      <c r="A70" s="4815"/>
      <c r="B70" s="4826"/>
      <c r="C70" s="4826"/>
      <c r="D70" s="4826"/>
      <c r="E70" s="4826"/>
      <c r="F70" s="4826"/>
      <c r="G70" s="4826"/>
      <c r="H70" s="4826"/>
      <c r="I70" s="4826"/>
      <c r="J70" s="4826"/>
      <c r="K70" s="4826"/>
      <c r="L70" s="39"/>
      <c r="M70" s="33"/>
      <c r="N70" s="33"/>
      <c r="O70" s="33"/>
      <c r="P70" s="33"/>
      <c r="Q70" s="3753"/>
      <c r="R70" s="3754"/>
      <c r="S70" s="3755"/>
      <c r="T70" s="33"/>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row>
    <row r="71" spans="1:80" ht="15" thickBot="1" x14ac:dyDescent="0.4">
      <c r="A71" s="4827"/>
      <c r="B71" s="4828"/>
      <c r="C71" s="4828"/>
      <c r="D71" s="4828"/>
      <c r="E71" s="4828"/>
      <c r="F71" s="4828"/>
      <c r="G71" s="4828"/>
      <c r="H71" s="4828"/>
      <c r="I71" s="4828"/>
      <c r="J71" s="4828"/>
      <c r="K71" s="4828"/>
      <c r="L71" s="39"/>
      <c r="M71" s="33"/>
      <c r="N71" s="33"/>
      <c r="O71" s="33"/>
      <c r="P71" s="33"/>
      <c r="Q71" s="3756"/>
      <c r="R71" s="3757"/>
      <c r="S71" s="3758"/>
      <c r="T71" s="33"/>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row>
    <row r="72" spans="1:80" ht="15.5" thickTop="1" thickBot="1" x14ac:dyDescent="0.4">
      <c r="Q72" s="31"/>
      <c r="R72" s="31"/>
      <c r="S72" s="31"/>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row>
    <row r="73" spans="1:80" ht="20.25" customHeight="1" thickTop="1" thickBot="1" x14ac:dyDescent="0.4">
      <c r="A73" s="4821" t="s">
        <v>11</v>
      </c>
      <c r="B73" s="4822"/>
      <c r="C73" s="4822"/>
      <c r="D73" s="4822"/>
      <c r="E73" s="4822"/>
      <c r="F73" s="4822"/>
      <c r="G73" s="4822"/>
      <c r="H73" s="4822"/>
      <c r="I73" s="4822"/>
      <c r="J73" s="4822"/>
      <c r="K73" s="4822"/>
      <c r="L73" s="161"/>
      <c r="M73" s="31"/>
      <c r="N73" s="31"/>
      <c r="O73" s="31"/>
      <c r="P73" s="31"/>
      <c r="Q73" s="4823" t="s">
        <v>748</v>
      </c>
      <c r="R73" s="4824"/>
      <c r="S73" s="4825"/>
      <c r="T73" s="31"/>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row>
    <row r="74" spans="1:80" ht="20.25" customHeight="1" x14ac:dyDescent="0.35">
      <c r="A74" s="4815" t="s">
        <v>1277</v>
      </c>
      <c r="B74" s="4816"/>
      <c r="C74" s="4816"/>
      <c r="D74" s="4816"/>
      <c r="E74" s="4816"/>
      <c r="F74" s="4816"/>
      <c r="G74" s="4816"/>
      <c r="H74" s="4816"/>
      <c r="I74" s="4816"/>
      <c r="J74" s="4816"/>
      <c r="K74" s="4817"/>
      <c r="L74" s="39"/>
      <c r="M74" s="33"/>
      <c r="N74" s="33"/>
      <c r="O74" s="33"/>
      <c r="P74" s="33"/>
      <c r="Q74" s="3750" t="s">
        <v>1280</v>
      </c>
      <c r="R74" s="3751"/>
      <c r="S74" s="3752"/>
      <c r="T74" s="33"/>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row>
    <row r="75" spans="1:80" ht="20.25" customHeight="1" x14ac:dyDescent="0.35">
      <c r="A75" s="4818"/>
      <c r="B75" s="4816"/>
      <c r="C75" s="4816"/>
      <c r="D75" s="4816"/>
      <c r="E75" s="4816"/>
      <c r="F75" s="4816"/>
      <c r="G75" s="4816"/>
      <c r="H75" s="4816"/>
      <c r="I75" s="4816"/>
      <c r="J75" s="4816"/>
      <c r="K75" s="4817"/>
      <c r="L75" s="39"/>
      <c r="M75" s="33"/>
      <c r="N75" s="33"/>
      <c r="O75" s="33"/>
      <c r="P75" s="33"/>
      <c r="Q75" s="3753"/>
      <c r="R75" s="3754"/>
      <c r="S75" s="3755"/>
      <c r="T75" s="33"/>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row>
    <row r="76" spans="1:80" ht="20.25" customHeight="1" x14ac:dyDescent="0.35">
      <c r="A76" s="4818"/>
      <c r="B76" s="4816"/>
      <c r="C76" s="4816"/>
      <c r="D76" s="4816"/>
      <c r="E76" s="4816"/>
      <c r="F76" s="4816"/>
      <c r="G76" s="4816"/>
      <c r="H76" s="4816"/>
      <c r="I76" s="4816"/>
      <c r="J76" s="4816"/>
      <c r="K76" s="4817"/>
      <c r="L76" s="39"/>
      <c r="M76" s="33"/>
      <c r="N76" s="33"/>
      <c r="O76" s="33"/>
      <c r="P76" s="33"/>
      <c r="Q76" s="3753"/>
      <c r="R76" s="3754"/>
      <c r="S76" s="3755"/>
      <c r="T76" s="33"/>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row>
    <row r="77" spans="1:80" ht="15" thickBot="1" x14ac:dyDescent="0.4">
      <c r="A77" s="4819"/>
      <c r="B77" s="4820"/>
      <c r="C77" s="4820"/>
      <c r="D77" s="4820"/>
      <c r="E77" s="4820"/>
      <c r="F77" s="4820"/>
      <c r="G77" s="4820"/>
      <c r="H77" s="4820"/>
      <c r="I77" s="4820"/>
      <c r="J77" s="4820"/>
      <c r="K77" s="4820"/>
      <c r="L77" s="39"/>
      <c r="M77" s="33"/>
      <c r="N77" s="33"/>
      <c r="O77" s="33"/>
      <c r="P77" s="33"/>
      <c r="Q77" s="3756"/>
      <c r="R77" s="3757"/>
      <c r="S77" s="3758"/>
      <c r="T77" s="33"/>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row>
    <row r="78" spans="1:80" ht="15" thickTop="1" x14ac:dyDescent="0.35"/>
  </sheetData>
  <mergeCells count="84">
    <mergeCell ref="D3:G3"/>
    <mergeCell ref="Q13:U13"/>
    <mergeCell ref="A13:F13"/>
    <mergeCell ref="A36:F36"/>
    <mergeCell ref="Q26:U26"/>
    <mergeCell ref="I29:J29"/>
    <mergeCell ref="K29:L29"/>
    <mergeCell ref="M29:N29"/>
    <mergeCell ref="O29:P29"/>
    <mergeCell ref="Q18:U18"/>
    <mergeCell ref="Q21:U21"/>
    <mergeCell ref="Q12:U12"/>
    <mergeCell ref="C5:U5"/>
    <mergeCell ref="A6:F6"/>
    <mergeCell ref="A8:F8"/>
    <mergeCell ref="A9:F9"/>
    <mergeCell ref="I58:Q58"/>
    <mergeCell ref="D1:G1"/>
    <mergeCell ref="I1:J1"/>
    <mergeCell ref="A38:F38"/>
    <mergeCell ref="A31:F31"/>
    <mergeCell ref="A32:F32"/>
    <mergeCell ref="L1:Q1"/>
    <mergeCell ref="D2:G2"/>
    <mergeCell ref="I2:J2"/>
    <mergeCell ref="L2:Q2"/>
    <mergeCell ref="B4:G4"/>
    <mergeCell ref="H4:U4"/>
    <mergeCell ref="A5:B5"/>
    <mergeCell ref="Q20:U20"/>
    <mergeCell ref="I56:Q56"/>
    <mergeCell ref="A37:F37"/>
    <mergeCell ref="A10:F10"/>
    <mergeCell ref="Q6:U6"/>
    <mergeCell ref="Q7:U7"/>
    <mergeCell ref="Q8:U8"/>
    <mergeCell ref="Q9:U9"/>
    <mergeCell ref="Q10:U10"/>
    <mergeCell ref="I6:P6"/>
    <mergeCell ref="A12:F12"/>
    <mergeCell ref="B62:C62"/>
    <mergeCell ref="B63:C63"/>
    <mergeCell ref="B64:C64"/>
    <mergeCell ref="B61:C61"/>
    <mergeCell ref="F56:H56"/>
    <mergeCell ref="F58:G58"/>
    <mergeCell ref="F57:G57"/>
    <mergeCell ref="A34:F34"/>
    <mergeCell ref="A18:F18"/>
    <mergeCell ref="A21:F21"/>
    <mergeCell ref="A20:F20"/>
    <mergeCell ref="A74:K77"/>
    <mergeCell ref="Q74:S77"/>
    <mergeCell ref="A67:K67"/>
    <mergeCell ref="Q67:S67"/>
    <mergeCell ref="A68:K71"/>
    <mergeCell ref="Q68:S71"/>
    <mergeCell ref="A73:K73"/>
    <mergeCell ref="Q73:S73"/>
    <mergeCell ref="I57:Q57"/>
    <mergeCell ref="A41:F41"/>
    <mergeCell ref="A40:F40"/>
    <mergeCell ref="A35:F35"/>
    <mergeCell ref="B52:E52"/>
    <mergeCell ref="A39:F39"/>
    <mergeCell ref="A42:F42"/>
    <mergeCell ref="Q22:U22"/>
    <mergeCell ref="A23:F23"/>
    <mergeCell ref="A30:F30"/>
    <mergeCell ref="A22:F22"/>
    <mergeCell ref="A33:F33"/>
    <mergeCell ref="A29:F29"/>
    <mergeCell ref="A26:F26"/>
    <mergeCell ref="A24:F24"/>
    <mergeCell ref="Q29:R29"/>
    <mergeCell ref="G28:R28"/>
    <mergeCell ref="Q16:U16"/>
    <mergeCell ref="Q17:U17"/>
    <mergeCell ref="A14:F14"/>
    <mergeCell ref="Q14:U14"/>
    <mergeCell ref="A15:F15"/>
    <mergeCell ref="Q15:U15"/>
    <mergeCell ref="A16:F16"/>
    <mergeCell ref="A17:F17"/>
  </mergeCells>
  <conditionalFormatting sqref="S2">
    <cfRule type="iconSet" priority="2">
      <iconSet iconSet="3Symbols2" showValue="0">
        <cfvo type="percent" val="0"/>
        <cfvo type="num" val="0"/>
        <cfvo type="num" val="10"/>
      </iconSet>
    </cfRule>
  </conditionalFormatting>
  <conditionalFormatting sqref="T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300-000000000000}">
      <formula1>AvancementTheme</formula1>
    </dataValidation>
  </dataValidations>
  <hyperlinks>
    <hyperlink ref="S1" location="DPDV_10BP2" display="PdV" xr:uid="{00000000-0004-0000-2300-000000000000}"/>
    <hyperlink ref="T1" location="DKPI_10BP2" display="KPI's" xr:uid="{00000000-0004-0000-2300-000001000000}"/>
  </hyperlinks>
  <pageMargins left="0.70866141732283472" right="0.70866141732283472" top="0.74803149606299213" bottom="0.74803149606299213" header="0.31496062992125984" footer="0.31496062992125984"/>
  <pageSetup paperSize="9" scale="35" orientation="portrait" r:id="rId1"/>
  <headerFooter>
    <oddHeader>&amp;LPAD Methodology (c) 2013-2014&amp;RStrategic Management Workshop</oddHeader>
    <oddFooter>&amp;L&amp;F&amp;C&amp;A&amp;RSituation au : &amp;D - page : &amp;P/&amp;N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4">
    <pageSetUpPr fitToPage="1"/>
  </sheetPr>
  <dimension ref="A1:K32"/>
  <sheetViews>
    <sheetView showGridLines="0" zoomScale="140" zoomScaleNormal="140" workbookViewId="0">
      <pane ySplit="9" topLeftCell="A19" activePane="bottomLeft" state="frozen"/>
      <selection activeCell="H7" sqref="H7"/>
      <selection pane="bottomLeft"/>
    </sheetView>
  </sheetViews>
  <sheetFormatPr baseColWidth="10" defaultColWidth="11.453125" defaultRowHeight="14.5" x14ac:dyDescent="0.35"/>
  <cols>
    <col min="1" max="1" width="14.81640625" style="306" customWidth="1"/>
    <col min="2" max="2" width="5.453125" style="305" customWidth="1"/>
    <col min="3" max="3" width="23.7265625" style="306" customWidth="1"/>
    <col min="4" max="4" width="5.453125" style="307" customWidth="1"/>
    <col min="5" max="7" width="8.26953125" style="307" customWidth="1"/>
    <col min="8" max="8" width="57.54296875" style="306" customWidth="1"/>
    <col min="9" max="9" width="8.26953125" style="306" customWidth="1"/>
    <col min="10" max="10" width="6.7265625" style="306" customWidth="1"/>
    <col min="11" max="16384" width="11.453125" style="306"/>
  </cols>
  <sheetData>
    <row r="1" spans="1:11" s="54" customFormat="1" ht="15" customHeight="1" x14ac:dyDescent="0.35">
      <c r="A1" s="368"/>
      <c r="B1" s="368"/>
      <c r="C1" s="368"/>
      <c r="D1" s="3304" t="s">
        <v>5</v>
      </c>
      <c r="E1" s="3304"/>
      <c r="F1" s="3304"/>
      <c r="G1" s="3304"/>
      <c r="H1" s="53"/>
      <c r="I1" s="3262"/>
      <c r="J1" s="3262"/>
    </row>
    <row r="2" spans="1:11" s="58" customFormat="1" ht="18" customHeight="1" x14ac:dyDescent="0.35">
      <c r="A2" s="55"/>
      <c r="B2" s="55"/>
      <c r="C2" s="55"/>
      <c r="D2" s="3263" t="str">
        <f>NomClient</f>
        <v xml:space="preserve">EQUINIX </v>
      </c>
      <c r="E2" s="3264"/>
      <c r="F2" s="3264"/>
      <c r="G2" s="3265"/>
      <c r="H2" s="3307"/>
      <c r="I2" s="3307"/>
      <c r="J2" s="3307"/>
    </row>
    <row r="3" spans="1:11" s="60" customFormat="1" ht="10.5" customHeight="1" thickBot="1" x14ac:dyDescent="0.4">
      <c r="A3" s="59"/>
      <c r="B3" s="59"/>
      <c r="C3" s="59"/>
      <c r="D3" s="3308" t="s">
        <v>1792</v>
      </c>
      <c r="E3" s="3308"/>
      <c r="F3" s="3308"/>
      <c r="G3" s="3308"/>
      <c r="H3" s="59"/>
      <c r="I3" s="59"/>
      <c r="J3" s="59"/>
    </row>
    <row r="4" spans="1:11" s="1" customFormat="1" ht="24.75" customHeight="1" thickBot="1" x14ac:dyDescent="0.4">
      <c r="A4" s="3305" t="str">
        <f>Parametre!B22 &amp; "  : "</f>
        <v xml:space="preserve">Logistique du WorkShop  : </v>
      </c>
      <c r="B4" s="3306"/>
      <c r="C4" s="3306"/>
      <c r="D4" s="3306"/>
      <c r="E4" s="3306"/>
      <c r="F4" s="3306"/>
      <c r="G4" s="379" t="s">
        <v>2467</v>
      </c>
      <c r="H4" s="369"/>
      <c r="I4" s="377"/>
      <c r="J4" s="378"/>
    </row>
    <row r="5" spans="1:11" s="65" customFormat="1" ht="21.75" customHeight="1" x14ac:dyDescent="0.35">
      <c r="A5" s="3302" t="s">
        <v>14</v>
      </c>
      <c r="B5" s="3302"/>
      <c r="C5" s="3303" t="s">
        <v>1859</v>
      </c>
      <c r="D5" s="3303"/>
      <c r="E5" s="3303"/>
      <c r="F5" s="3303"/>
      <c r="G5" s="3303"/>
      <c r="H5" s="3303"/>
      <c r="I5" s="3303"/>
      <c r="J5" s="3303"/>
    </row>
    <row r="6" spans="1:11" ht="7.5" customHeight="1" x14ac:dyDescent="0.35"/>
    <row r="7" spans="1:11" ht="0.75" customHeight="1" thickBot="1" x14ac:dyDescent="0.4"/>
    <row r="8" spans="1:11" ht="15" hidden="1" thickBot="1" x14ac:dyDescent="0.4"/>
    <row r="9" spans="1:11" s="308" customFormat="1" ht="24" customHeight="1" thickTop="1" x14ac:dyDescent="0.35">
      <c r="B9" s="1021" t="s">
        <v>960</v>
      </c>
      <c r="C9" s="1022" t="s">
        <v>2457</v>
      </c>
      <c r="D9" s="1276" t="s">
        <v>2798</v>
      </c>
      <c r="E9" s="3309" t="s">
        <v>961</v>
      </c>
      <c r="F9" s="3310"/>
      <c r="G9" s="3310"/>
      <c r="H9" s="3310"/>
      <c r="I9" s="2445"/>
      <c r="J9" s="2446"/>
      <c r="K9" s="2447"/>
    </row>
    <row r="10" spans="1:11" ht="15" thickBot="1" x14ac:dyDescent="0.4">
      <c r="A10" s="308"/>
      <c r="B10" s="1360"/>
      <c r="C10" s="2871" t="s">
        <v>2688</v>
      </c>
      <c r="D10" s="2945">
        <v>15</v>
      </c>
      <c r="E10" s="3281" t="s">
        <v>2689</v>
      </c>
      <c r="F10" s="3281"/>
      <c r="G10" s="3281"/>
      <c r="H10" s="3311"/>
      <c r="I10" s="3284"/>
      <c r="J10" s="3289"/>
      <c r="K10" s="2448"/>
    </row>
    <row r="11" spans="1:11" x14ac:dyDescent="0.35">
      <c r="A11" s="3312" t="s">
        <v>2672</v>
      </c>
      <c r="B11" s="1360">
        <v>1</v>
      </c>
      <c r="C11" s="2993" t="s">
        <v>2835</v>
      </c>
      <c r="D11" s="2945"/>
      <c r="E11" s="3281" t="s">
        <v>2673</v>
      </c>
      <c r="F11" s="3281"/>
      <c r="G11" s="3281"/>
      <c r="H11" s="3311"/>
      <c r="I11" s="3284"/>
      <c r="J11" s="3289"/>
      <c r="K11" s="2448"/>
    </row>
    <row r="12" spans="1:11" ht="15" thickBot="1" x14ac:dyDescent="0.4">
      <c r="A12" s="3313"/>
      <c r="B12" s="1360">
        <v>2</v>
      </c>
      <c r="C12" s="2993" t="s">
        <v>2674</v>
      </c>
      <c r="D12" s="2945">
        <v>15</v>
      </c>
      <c r="E12" s="3300" t="s">
        <v>2675</v>
      </c>
      <c r="F12" s="3300"/>
      <c r="G12" s="3300"/>
      <c r="H12" s="3286"/>
      <c r="I12" s="3290"/>
      <c r="J12" s="3285"/>
      <c r="K12" s="2449"/>
    </row>
    <row r="13" spans="1:11" ht="27" customHeight="1" thickBot="1" x14ac:dyDescent="0.4">
      <c r="A13" s="2931" t="s">
        <v>2836</v>
      </c>
      <c r="B13" s="1360">
        <v>3</v>
      </c>
      <c r="C13" s="1122" t="s">
        <v>2834</v>
      </c>
      <c r="D13" s="2945">
        <v>30</v>
      </c>
      <c r="E13" s="3300" t="s">
        <v>2837</v>
      </c>
      <c r="F13" s="3300"/>
      <c r="G13" s="3300"/>
      <c r="H13" s="3286"/>
      <c r="I13" s="3290"/>
      <c r="J13" s="3285"/>
      <c r="K13" s="2449"/>
    </row>
    <row r="14" spans="1:11" ht="19.5" customHeight="1" x14ac:dyDescent="0.35">
      <c r="A14" s="3312" t="s">
        <v>2458</v>
      </c>
      <c r="B14" s="1360">
        <v>4</v>
      </c>
      <c r="C14" s="2870" t="s">
        <v>1623</v>
      </c>
      <c r="D14" s="2945">
        <v>30</v>
      </c>
      <c r="E14" s="3281" t="s">
        <v>2872</v>
      </c>
      <c r="F14" s="3281"/>
      <c r="G14" s="3281"/>
      <c r="H14" s="3311"/>
      <c r="I14" s="3284"/>
      <c r="J14" s="3285"/>
      <c r="K14" s="2448"/>
    </row>
    <row r="15" spans="1:11" ht="18" customHeight="1" x14ac:dyDescent="0.35">
      <c r="A15" s="3314"/>
      <c r="B15" s="1360">
        <v>5</v>
      </c>
      <c r="C15" s="2870" t="s">
        <v>2198</v>
      </c>
      <c r="D15" s="2945">
        <v>45</v>
      </c>
      <c r="E15" s="3281" t="s">
        <v>2456</v>
      </c>
      <c r="F15" s="3315"/>
      <c r="G15" s="3315"/>
      <c r="H15" s="3316"/>
      <c r="I15" s="3290"/>
      <c r="J15" s="3285"/>
      <c r="K15" s="2449"/>
    </row>
    <row r="16" spans="1:11" ht="18.75" customHeight="1" thickBot="1" x14ac:dyDescent="0.4">
      <c r="A16" s="3313"/>
      <c r="B16" s="1360">
        <v>6</v>
      </c>
      <c r="C16" s="2870" t="s">
        <v>2678</v>
      </c>
      <c r="D16" s="2946">
        <v>10</v>
      </c>
      <c r="E16" s="3286" t="s">
        <v>2679</v>
      </c>
      <c r="F16" s="3287"/>
      <c r="G16" s="3287"/>
      <c r="H16" s="3287"/>
      <c r="I16" s="3284"/>
      <c r="J16" s="3285"/>
      <c r="K16" s="2448"/>
    </row>
    <row r="17" spans="1:11" x14ac:dyDescent="0.35">
      <c r="A17" s="3314" t="s">
        <v>1367</v>
      </c>
      <c r="B17" s="1360">
        <v>7</v>
      </c>
      <c r="C17" s="2921" t="s">
        <v>1628</v>
      </c>
      <c r="D17" s="2946">
        <v>15</v>
      </c>
      <c r="E17" s="3300" t="s">
        <v>2677</v>
      </c>
      <c r="F17" s="3300"/>
      <c r="G17" s="3300"/>
      <c r="H17" s="3286"/>
      <c r="I17" s="3284"/>
      <c r="J17" s="3285"/>
      <c r="K17" s="2448"/>
    </row>
    <row r="18" spans="1:11" ht="15" thickBot="1" x14ac:dyDescent="0.4">
      <c r="A18" s="3314"/>
      <c r="B18" s="1360">
        <v>8</v>
      </c>
      <c r="C18" s="2921" t="s">
        <v>1625</v>
      </c>
      <c r="D18" s="2946">
        <v>5</v>
      </c>
      <c r="E18" s="3300" t="s">
        <v>963</v>
      </c>
      <c r="F18" s="3300"/>
      <c r="G18" s="3300"/>
      <c r="H18" s="3286"/>
      <c r="I18" s="3284"/>
      <c r="J18" s="3285"/>
      <c r="K18" s="2448"/>
    </row>
    <row r="19" spans="1:11" ht="15" customHeight="1" x14ac:dyDescent="0.35">
      <c r="A19" s="3312" t="s">
        <v>2459</v>
      </c>
      <c r="B19" s="1360">
        <v>9</v>
      </c>
      <c r="C19" s="2869" t="s">
        <v>19</v>
      </c>
      <c r="D19" s="2945">
        <v>30</v>
      </c>
      <c r="E19" s="3281" t="s">
        <v>1626</v>
      </c>
      <c r="F19" s="3282"/>
      <c r="G19" s="3282"/>
      <c r="H19" s="3283"/>
      <c r="I19" s="3284"/>
      <c r="J19" s="3285"/>
      <c r="K19" s="2448"/>
    </row>
    <row r="20" spans="1:11" ht="15" customHeight="1" x14ac:dyDescent="0.35">
      <c r="A20" s="3314"/>
      <c r="B20" s="1360">
        <v>10</v>
      </c>
      <c r="C20" s="2869" t="s">
        <v>2852</v>
      </c>
      <c r="D20" s="2946">
        <v>20</v>
      </c>
      <c r="E20" s="3300" t="s">
        <v>2853</v>
      </c>
      <c r="F20" s="3317"/>
      <c r="G20" s="3317"/>
      <c r="H20" s="3318"/>
      <c r="I20" s="2808"/>
      <c r="J20" s="2807"/>
      <c r="K20" s="2448"/>
    </row>
    <row r="21" spans="1:11" ht="15" thickBot="1" x14ac:dyDescent="0.4">
      <c r="A21" s="3313"/>
      <c r="B21" s="1360">
        <v>11</v>
      </c>
      <c r="C21" s="2869" t="s">
        <v>2970</v>
      </c>
      <c r="D21" s="2946">
        <v>30</v>
      </c>
      <c r="E21" s="3286" t="s">
        <v>2965</v>
      </c>
      <c r="F21" s="3301"/>
      <c r="G21" s="3301"/>
      <c r="H21" s="3301"/>
      <c r="I21" s="3284"/>
      <c r="J21" s="3285"/>
      <c r="K21" s="2448"/>
    </row>
    <row r="22" spans="1:11" x14ac:dyDescent="0.35">
      <c r="A22" s="3319" t="s">
        <v>2460</v>
      </c>
      <c r="B22" s="1360">
        <v>12</v>
      </c>
      <c r="C22" s="2869" t="s">
        <v>2963</v>
      </c>
      <c r="D22" s="2946">
        <v>30</v>
      </c>
      <c r="E22" s="3297" t="s">
        <v>2966</v>
      </c>
      <c r="F22" s="3298"/>
      <c r="G22" s="3298"/>
      <c r="H22" s="3299"/>
      <c r="I22" s="3284"/>
      <c r="J22" s="3285"/>
      <c r="K22" s="2448"/>
    </row>
    <row r="23" spans="1:11" ht="15" customHeight="1" thickBot="1" x14ac:dyDescent="0.4">
      <c r="A23" s="3320"/>
      <c r="B23" s="1360">
        <v>13</v>
      </c>
      <c r="C23" s="2869" t="s">
        <v>2962</v>
      </c>
      <c r="D23" s="2946">
        <v>30</v>
      </c>
      <c r="E23" s="3286" t="s">
        <v>2967</v>
      </c>
      <c r="F23" s="3301"/>
      <c r="G23" s="3301"/>
      <c r="H23" s="3301"/>
      <c r="I23" s="3284"/>
      <c r="J23" s="3285"/>
      <c r="K23" s="2448"/>
    </row>
    <row r="24" spans="1:11" x14ac:dyDescent="0.35">
      <c r="A24" s="3312" t="s">
        <v>2461</v>
      </c>
      <c r="B24" s="1360">
        <v>14</v>
      </c>
      <c r="C24" s="3012" t="s">
        <v>2731</v>
      </c>
      <c r="D24" s="2946">
        <v>15</v>
      </c>
      <c r="E24" s="3297" t="s">
        <v>2968</v>
      </c>
      <c r="F24" s="3298"/>
      <c r="G24" s="3298"/>
      <c r="H24" s="3299"/>
      <c r="I24" s="3284"/>
      <c r="J24" s="3285"/>
      <c r="K24" s="2448"/>
    </row>
    <row r="25" spans="1:11" x14ac:dyDescent="0.35">
      <c r="A25" s="3314"/>
      <c r="B25" s="1360">
        <v>15</v>
      </c>
      <c r="C25" s="3012" t="s">
        <v>1629</v>
      </c>
      <c r="D25" s="2946">
        <v>15</v>
      </c>
      <c r="E25" s="3297" t="s">
        <v>2969</v>
      </c>
      <c r="F25" s="3298"/>
      <c r="G25" s="3298"/>
      <c r="H25" s="3299"/>
      <c r="I25" s="3284"/>
      <c r="J25" s="3285"/>
      <c r="K25" s="2448"/>
    </row>
    <row r="26" spans="1:11" ht="15" thickBot="1" x14ac:dyDescent="0.4">
      <c r="A26" s="3314"/>
      <c r="B26" s="2922">
        <v>16</v>
      </c>
      <c r="C26" s="3012" t="s">
        <v>2729</v>
      </c>
      <c r="D26" s="2947"/>
      <c r="E26" s="3294" t="s">
        <v>2730</v>
      </c>
      <c r="F26" s="3295"/>
      <c r="G26" s="3295"/>
      <c r="H26" s="3296"/>
      <c r="I26" s="2808"/>
      <c r="J26" s="2807"/>
      <c r="K26" s="2448"/>
    </row>
    <row r="27" spans="1:11" ht="15" thickBot="1" x14ac:dyDescent="0.4">
      <c r="A27" s="3009" t="s">
        <v>2462</v>
      </c>
      <c r="B27" s="3010">
        <v>17</v>
      </c>
      <c r="C27" s="3011" t="s">
        <v>2690</v>
      </c>
      <c r="D27" s="2948">
        <v>15</v>
      </c>
      <c r="E27" s="3291" t="s">
        <v>2691</v>
      </c>
      <c r="F27" s="3292"/>
      <c r="G27" s="3292"/>
      <c r="H27" s="3293"/>
      <c r="I27" s="3284"/>
      <c r="J27" s="3285"/>
      <c r="K27" s="2448"/>
    </row>
    <row r="30" spans="1:11" ht="20.25" hidden="1" customHeight="1" x14ac:dyDescent="0.35">
      <c r="B30" s="1360">
        <v>4</v>
      </c>
      <c r="C30" s="2133" t="s">
        <v>1622</v>
      </c>
      <c r="D30" s="1023">
        <v>0</v>
      </c>
      <c r="E30" s="3281" t="s">
        <v>2455</v>
      </c>
      <c r="F30" s="3282"/>
      <c r="G30" s="3282"/>
      <c r="H30" s="3283"/>
      <c r="I30" s="3284"/>
      <c r="J30" s="3285"/>
      <c r="K30" s="2448"/>
    </row>
    <row r="31" spans="1:11" hidden="1" x14ac:dyDescent="0.35">
      <c r="B31" s="1360">
        <v>13</v>
      </c>
      <c r="C31" s="2921" t="s">
        <v>1627</v>
      </c>
      <c r="D31" s="2946"/>
      <c r="E31" s="3286" t="s">
        <v>1009</v>
      </c>
      <c r="F31" s="3287"/>
      <c r="G31" s="3287"/>
      <c r="H31" s="3288"/>
      <c r="I31" s="3284"/>
      <c r="J31" s="3289"/>
      <c r="K31" s="2448"/>
    </row>
    <row r="32" spans="1:11" ht="15" hidden="1" customHeight="1" x14ac:dyDescent="0.35">
      <c r="B32" s="1360">
        <v>8</v>
      </c>
      <c r="C32" s="2921" t="s">
        <v>1624</v>
      </c>
      <c r="D32" s="2946"/>
      <c r="E32" s="3286" t="s">
        <v>2676</v>
      </c>
      <c r="F32" s="3287"/>
      <c r="G32" s="3287"/>
      <c r="H32" s="3288"/>
      <c r="I32" s="3284"/>
      <c r="J32" s="3289"/>
      <c r="K32" s="2448"/>
    </row>
  </sheetData>
  <mergeCells count="55">
    <mergeCell ref="A24:A26"/>
    <mergeCell ref="I13:J13"/>
    <mergeCell ref="E25:H25"/>
    <mergeCell ref="E18:H18"/>
    <mergeCell ref="E21:H21"/>
    <mergeCell ref="E20:H20"/>
    <mergeCell ref="I14:J14"/>
    <mergeCell ref="I21:J21"/>
    <mergeCell ref="I19:J19"/>
    <mergeCell ref="E17:H17"/>
    <mergeCell ref="I18:J18"/>
    <mergeCell ref="I17:J17"/>
    <mergeCell ref="I23:J23"/>
    <mergeCell ref="A17:A18"/>
    <mergeCell ref="A19:A21"/>
    <mergeCell ref="A22:A23"/>
    <mergeCell ref="E9:H9"/>
    <mergeCell ref="E14:H14"/>
    <mergeCell ref="E13:H13"/>
    <mergeCell ref="A11:A12"/>
    <mergeCell ref="E11:H11"/>
    <mergeCell ref="E10:H10"/>
    <mergeCell ref="A14:A16"/>
    <mergeCell ref="E16:H16"/>
    <mergeCell ref="E15:H15"/>
    <mergeCell ref="I1:J1"/>
    <mergeCell ref="D2:G2"/>
    <mergeCell ref="A5:B5"/>
    <mergeCell ref="C5:J5"/>
    <mergeCell ref="D1:G1"/>
    <mergeCell ref="A4:F4"/>
    <mergeCell ref="H2:J2"/>
    <mergeCell ref="D3:G3"/>
    <mergeCell ref="I15:J15"/>
    <mergeCell ref="I10:J10"/>
    <mergeCell ref="I27:J27"/>
    <mergeCell ref="E27:H27"/>
    <mergeCell ref="E26:H26"/>
    <mergeCell ref="E24:H24"/>
    <mergeCell ref="I24:J24"/>
    <mergeCell ref="I11:J11"/>
    <mergeCell ref="E12:H12"/>
    <mergeCell ref="I12:J12"/>
    <mergeCell ref="E19:H19"/>
    <mergeCell ref="I25:J25"/>
    <mergeCell ref="E22:H22"/>
    <mergeCell ref="I22:J22"/>
    <mergeCell ref="I16:J16"/>
    <mergeCell ref="E23:H23"/>
    <mergeCell ref="E30:H30"/>
    <mergeCell ref="I30:J30"/>
    <mergeCell ref="E31:H31"/>
    <mergeCell ref="I31:J31"/>
    <mergeCell ref="E32:H32"/>
    <mergeCell ref="I32:J32"/>
  </mergeCells>
  <hyperlinks>
    <hyperlink ref="C14" location="'POSITIONING-OFR1'!A1" display="Positionning" xr:uid="{00000000-0004-0000-0200-000000000000}"/>
    <hyperlink ref="C20" location="'SALESPLAN 3Y'!A1" display="Sales plan 3 years" xr:uid="{00000000-0004-0000-0200-000001000000}"/>
    <hyperlink ref="C25" location="CRITICALFACTORS!A1" display="Critical factors" xr:uid="{00000000-0004-0000-0200-000002000000}"/>
    <hyperlink ref="C21" location="'BIZ PLAN 2018 ventes et formati'!A1" display="Biz plan annuel ventes &amp; formation" xr:uid="{00000000-0004-0000-0200-000003000000}"/>
    <hyperlink ref="C13" location="ASSESMENT!A1" display="Assesment" xr:uid="{00000000-0004-0000-0200-000004000000}"/>
    <hyperlink ref="C18" location="COMPETITION!A1" display="Competition" xr:uid="{00000000-0004-0000-0200-000005000000}"/>
    <hyperlink ref="C11" location="ACTORS!A1" display="L'équipe" xr:uid="{00000000-0004-0000-0200-000006000000}"/>
    <hyperlink ref="C12" location="'KEY FIGURES'!A1" display="Key Figures" xr:uid="{00000000-0004-0000-0200-000007000000}"/>
    <hyperlink ref="C15" location="BUSINESSCARD!A1" display="Business card" xr:uid="{00000000-0004-0000-0200-000008000000}"/>
    <hyperlink ref="C16" location="RESPONSABPARTNER!A1" display="ResponsabPartner" xr:uid="{00000000-0004-0000-0200-000009000000}"/>
    <hyperlink ref="C10" location="'01-SWOT'!A1" display="SWOT" xr:uid="{00000000-0004-0000-0200-00000A000000}"/>
    <hyperlink ref="C27" location="EVALUATION!A1" display="Evaluation de la session" xr:uid="{00000000-0004-0000-0200-00000B000000}"/>
    <hyperlink ref="C26" location="TODO!A1" display="Todo List" xr:uid="{00000000-0004-0000-0200-00000C000000}"/>
    <hyperlink ref="C24" location="CRITICALFACTORS!A1" display="Critical factors" xr:uid="{00000000-0004-0000-0200-00000D000000}"/>
    <hyperlink ref="C30" location="'02-EXPECTATIONS'!A1" display="Attentes " xr:uid="{00000000-0004-0000-0200-00000E000000}"/>
    <hyperlink ref="C31" location="MARKETSPECIFICITIES!A1" display="Marketspecifities" xr:uid="{00000000-0004-0000-0200-00000F000000}"/>
    <hyperlink ref="C32" location="CRITICITY!A1" display="Criticity" xr:uid="{00000000-0004-0000-0200-000010000000}"/>
    <hyperlink ref="C22" location="'BIZ PLAN 2018 Marktg'!A1" display="Biz plan annuel ventes &amp; formation" xr:uid="{00000000-0004-0000-0200-000011000000}"/>
    <hyperlink ref="C23" location="'BIZ PLAN 2018 Commercial'!A1" display="Action plan annuel Commercial" xr:uid="{00000000-0004-0000-0200-000012000000}"/>
    <hyperlink ref="C19" location="VISION!A1" display="Vision" xr:uid="{00000000-0004-0000-0200-000013000000}"/>
  </hyperlinks>
  <pageMargins left="0.70866141732283472" right="0.70866141732283472" top="0.74803149606299213" bottom="0.74803149606299213" header="0.31496062992125984" footer="0.31496062992125984"/>
  <pageSetup paperSize="9" scale="57" orientation="portrait" horizontalDpi="360" verticalDpi="360" r:id="rId1"/>
  <headerFooter>
    <oddHeader>&amp;LPAD Methodology (c) 2013-2014&amp;RStrategic Management Workshop</oddHeader>
    <oddFooter>&amp;L&amp;F&amp;C&amp;A&amp;RSituation au : &amp;D - page : &amp;P/&amp;N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95">
    <tabColor theme="8" tint="0.59999389629810485"/>
    <pageSetUpPr fitToPage="1"/>
  </sheetPr>
  <dimension ref="A1:CB78"/>
  <sheetViews>
    <sheetView showGridLines="0" showRowColHeaders="0" zoomScaleNormal="100" workbookViewId="0">
      <selection activeCell="H7" sqref="H7"/>
    </sheetView>
  </sheetViews>
  <sheetFormatPr baseColWidth="10" defaultColWidth="11.453125" defaultRowHeight="14.5" x14ac:dyDescent="0.35"/>
  <cols>
    <col min="1" max="1" width="8.54296875" style="60" customWidth="1"/>
    <col min="2" max="2" width="14.1796875" style="60" customWidth="1"/>
    <col min="3" max="4" width="11.453125" style="60"/>
    <col min="5" max="5" width="13.26953125" style="60" customWidth="1"/>
    <col min="6" max="6" width="11.453125" style="60"/>
    <col min="7" max="7" width="12.54296875" style="60" customWidth="1"/>
    <col min="8" max="8" width="9.7265625" style="60" customWidth="1"/>
    <col min="9" max="9" width="11.7265625" style="60" customWidth="1"/>
    <col min="10" max="11" width="11.453125" style="60"/>
    <col min="12" max="16" width="12.81640625" style="60" customWidth="1"/>
    <col min="17" max="18" width="11.453125" style="60"/>
    <col min="19" max="19" width="11.453125" style="60" customWidth="1"/>
    <col min="20" max="20" width="11.453125" style="60"/>
    <col min="21" max="21" width="8.1796875" style="60" customWidth="1"/>
    <col min="22" max="16384" width="11.453125" style="60"/>
  </cols>
  <sheetData>
    <row r="1" spans="1:22" s="54" customFormat="1" ht="15" customHeight="1" x14ac:dyDescent="0.35">
      <c r="A1" s="2267"/>
      <c r="B1" s="2267"/>
      <c r="C1" s="2267"/>
      <c r="D1" s="3262" t="s">
        <v>5</v>
      </c>
      <c r="E1" s="3262"/>
      <c r="F1" s="3262"/>
      <c r="G1" s="3262"/>
      <c r="H1" s="53"/>
      <c r="I1" s="3262" t="s">
        <v>6</v>
      </c>
      <c r="J1" s="3262"/>
      <c r="K1" s="2267"/>
      <c r="L1" s="3262" t="s">
        <v>9</v>
      </c>
      <c r="M1" s="3262"/>
      <c r="N1" s="3262"/>
      <c r="O1" s="3262"/>
      <c r="P1" s="3262"/>
      <c r="Q1" s="3262"/>
      <c r="R1" s="2267"/>
      <c r="S1" s="10" t="s">
        <v>2</v>
      </c>
      <c r="T1" s="10" t="s">
        <v>3</v>
      </c>
      <c r="U1" s="69"/>
    </row>
    <row r="2" spans="1:22" s="58" customFormat="1" ht="18" customHeight="1" x14ac:dyDescent="0.35">
      <c r="A2" s="55"/>
      <c r="B2" s="55"/>
      <c r="C2" s="55"/>
      <c r="D2" s="3263" t="str">
        <f>NomClient</f>
        <v xml:space="preserve">EQUINIX </v>
      </c>
      <c r="E2" s="3264"/>
      <c r="F2" s="3264"/>
      <c r="G2" s="3265"/>
      <c r="H2" s="55"/>
      <c r="I2" s="3345" t="s">
        <v>409</v>
      </c>
      <c r="J2" s="3346"/>
      <c r="K2" s="55"/>
      <c r="L2" s="4859">
        <v>42420.749895833331</v>
      </c>
      <c r="M2" s="4860"/>
      <c r="N2" s="4860"/>
      <c r="O2" s="4860"/>
      <c r="P2" s="4860"/>
      <c r="Q2" s="4861"/>
      <c r="R2" s="56"/>
      <c r="S2" s="57">
        <f>IF(LEN(DPDV_10BP3)&gt;0,LEN(DPDV_10BP3),0-PDV_NBmini)</f>
        <v>132</v>
      </c>
      <c r="T2" s="57">
        <f>IF(LEN(DKPI_10BP3)&gt;0,LEN(DKPI_10BP3),0-KPI_NBmini)</f>
        <v>61</v>
      </c>
      <c r="U2" s="70"/>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831"/>
      <c r="S3" s="831"/>
      <c r="T3" s="831"/>
      <c r="U3" s="831"/>
      <c r="V3" s="64"/>
    </row>
    <row r="4" spans="1:22" s="1" customFormat="1" ht="24.75" customHeight="1" thickBot="1" x14ac:dyDescent="0.4">
      <c r="A4" s="198"/>
      <c r="B4" s="4862" t="str">
        <f>Parametre!B32 &amp; "   : "</f>
        <v xml:space="preserve">Programmes partenaires   : </v>
      </c>
      <c r="C4" s="4862"/>
      <c r="D4" s="4862"/>
      <c r="E4" s="4862"/>
      <c r="F4" s="4862"/>
      <c r="G4" s="4862"/>
      <c r="H4" s="4863" t="str">
        <f>"Budget du programme pour " &amp; NomProd3</f>
        <v xml:space="preserve">Budget du programme pour </v>
      </c>
      <c r="I4" s="4863"/>
      <c r="J4" s="4863"/>
      <c r="K4" s="4863"/>
      <c r="L4" s="4863"/>
      <c r="M4" s="4863"/>
      <c r="N4" s="4863"/>
      <c r="O4" s="4863"/>
      <c r="P4" s="4863"/>
      <c r="Q4" s="4863"/>
      <c r="R4" s="4863"/>
      <c r="S4" s="4863"/>
      <c r="T4" s="4863"/>
      <c r="U4" s="4864"/>
    </row>
    <row r="5" spans="1:22" s="193" customFormat="1" ht="38.25" customHeight="1" thickBot="1" x14ac:dyDescent="0.4">
      <c r="A5" s="4865" t="s">
        <v>14</v>
      </c>
      <c r="B5" s="4865"/>
      <c r="C5" s="4875" t="s">
        <v>968</v>
      </c>
      <c r="D5" s="4875"/>
      <c r="E5" s="4875"/>
      <c r="F5" s="4875"/>
      <c r="G5" s="4875"/>
      <c r="H5" s="4875"/>
      <c r="I5" s="4875"/>
      <c r="J5" s="4875"/>
      <c r="K5" s="4875"/>
      <c r="L5" s="4875"/>
      <c r="M5" s="4875"/>
      <c r="N5" s="4875"/>
      <c r="O5" s="4875"/>
      <c r="P5" s="4875"/>
      <c r="Q5" s="4875"/>
      <c r="R5" s="4875"/>
      <c r="S5" s="4875"/>
      <c r="T5" s="4875"/>
      <c r="U5" s="4875"/>
    </row>
    <row r="6" spans="1:22" s="22" customFormat="1" ht="27.75" customHeight="1" x14ac:dyDescent="0.35">
      <c r="A6" s="4876" t="s">
        <v>1668</v>
      </c>
      <c r="B6" s="4877"/>
      <c r="C6" s="4877"/>
      <c r="D6" s="4877"/>
      <c r="E6" s="4877"/>
      <c r="F6" s="4877"/>
      <c r="G6" s="265"/>
      <c r="H6" s="283"/>
      <c r="I6" s="4856" t="s">
        <v>1125</v>
      </c>
      <c r="J6" s="4857"/>
      <c r="K6" s="4857"/>
      <c r="L6" s="4857"/>
      <c r="M6" s="4857"/>
      <c r="N6" s="4857"/>
      <c r="O6" s="4857"/>
      <c r="P6" s="4858"/>
      <c r="Q6" s="4847" t="s">
        <v>18</v>
      </c>
      <c r="R6" s="4847"/>
      <c r="S6" s="4847"/>
      <c r="T6" s="4847"/>
      <c r="U6" s="4848"/>
    </row>
    <row r="7" spans="1:22" s="50" customFormat="1" ht="15" customHeight="1" x14ac:dyDescent="0.25">
      <c r="A7" s="274"/>
      <c r="B7" s="275"/>
      <c r="C7" s="275"/>
      <c r="D7" s="275"/>
      <c r="E7" s="275"/>
      <c r="F7" s="275"/>
      <c r="G7" s="275"/>
      <c r="H7" s="266">
        <v>2014</v>
      </c>
      <c r="I7" s="2180">
        <f>AnReference</f>
        <v>2018</v>
      </c>
      <c r="J7" s="2286"/>
      <c r="K7" s="1520">
        <f>IF(NbAnVision&gt;=1,AnReference+1,"NA")</f>
        <v>2019</v>
      </c>
      <c r="L7" s="2286"/>
      <c r="M7" s="2286">
        <f>IF(NbAnVision&gt;=2,AnReference+2,"NA")</f>
        <v>2020</v>
      </c>
      <c r="N7" s="2286"/>
      <c r="O7" s="2286">
        <f>IF(NbAnVision&gt;=3,AnReference+3,"NA")</f>
        <v>2021</v>
      </c>
      <c r="P7" s="2286" t="str">
        <f>IF(NbAnVision&gt;=4,AnReference+4,"NA")</f>
        <v>NA</v>
      </c>
      <c r="Q7" s="4849"/>
      <c r="R7" s="4849"/>
      <c r="S7" s="4849"/>
      <c r="T7" s="4849"/>
      <c r="U7" s="4850"/>
    </row>
    <row r="8" spans="1:22" s="50" customFormat="1" ht="15" customHeight="1" x14ac:dyDescent="0.25">
      <c r="A8" s="4786" t="s">
        <v>1659</v>
      </c>
      <c r="B8" s="4787"/>
      <c r="C8" s="4787"/>
      <c r="D8" s="4787"/>
      <c r="E8" s="4787"/>
      <c r="F8" s="4787"/>
      <c r="G8" s="266"/>
      <c r="H8" s="1898" t="e">
        <f>SUM(H9:H13)</f>
        <v>#REF!</v>
      </c>
      <c r="I8" s="1898" t="e">
        <f>SUM(I9:I13)</f>
        <v>#REF!</v>
      </c>
      <c r="J8" s="1899"/>
      <c r="K8" s="1900" t="e">
        <f>SUM(K9:K13)</f>
        <v>#REF!</v>
      </c>
      <c r="L8" s="1899"/>
      <c r="M8" s="1899" t="e">
        <f>SUM(M9:M13)</f>
        <v>#REF!</v>
      </c>
      <c r="N8" s="1899"/>
      <c r="O8" s="1899" t="e">
        <f>SUM(O9:O13)</f>
        <v>#REF!</v>
      </c>
      <c r="P8" s="1899" t="e">
        <f>SUM(P9:P13)</f>
        <v>#REF!</v>
      </c>
      <c r="Q8" s="4851"/>
      <c r="R8" s="4851"/>
      <c r="S8" s="4851"/>
      <c r="T8" s="4851"/>
      <c r="U8" s="4852"/>
    </row>
    <row r="9" spans="1:22" s="50" customFormat="1" ht="13" hidden="1" x14ac:dyDescent="0.25">
      <c r="A9" s="4784" t="s">
        <v>1519</v>
      </c>
      <c r="B9" s="4785"/>
      <c r="C9" s="4785"/>
      <c r="D9" s="4785"/>
      <c r="E9" s="4785"/>
      <c r="F9" s="4785"/>
      <c r="G9" s="284"/>
      <c r="H9" s="1901">
        <f>'SALESPLAN 3Y'!G21</f>
        <v>0</v>
      </c>
      <c r="I9" s="1901">
        <f>'SALESPLAN 3Y'!H21</f>
        <v>0</v>
      </c>
      <c r="J9" s="1901"/>
      <c r="K9" s="1901">
        <f>'SALESPLAN 3Y'!I21</f>
        <v>0</v>
      </c>
      <c r="L9" s="1901"/>
      <c r="M9" s="1901">
        <f>'SALESPLAN 3Y'!J21</f>
        <v>0</v>
      </c>
      <c r="N9" s="1901"/>
      <c r="O9" s="1901">
        <f>'SALESPLAN 3Y'!K21</f>
        <v>0</v>
      </c>
      <c r="P9" s="1901">
        <f>'SALESPLAN 3Y'!L21</f>
        <v>0</v>
      </c>
      <c r="Q9" s="4782"/>
      <c r="R9" s="4782"/>
      <c r="S9" s="4782"/>
      <c r="T9" s="4782"/>
      <c r="U9" s="4783"/>
    </row>
    <row r="10" spans="1:22" s="50" customFormat="1" ht="13" hidden="1" x14ac:dyDescent="0.25">
      <c r="A10" s="4844" t="s">
        <v>1826</v>
      </c>
      <c r="B10" s="4845"/>
      <c r="C10" s="4845"/>
      <c r="D10" s="4845"/>
      <c r="E10" s="4845"/>
      <c r="F10" s="4846"/>
      <c r="G10" s="284"/>
      <c r="H10" s="1901">
        <f>'SALESPLAN 3Y'!G32</f>
        <v>0</v>
      </c>
      <c r="I10" s="1901">
        <f>'SALESPLAN 3Y'!H32</f>
        <v>0</v>
      </c>
      <c r="J10" s="1902"/>
      <c r="K10" s="1901">
        <f>'SALESPLAN 3Y'!I32</f>
        <v>0</v>
      </c>
      <c r="L10" s="1901"/>
      <c r="M10" s="1901">
        <f>'SALESPLAN 3Y'!J32</f>
        <v>0</v>
      </c>
      <c r="N10" s="1901"/>
      <c r="O10" s="1901">
        <f>'SALESPLAN 3Y'!K32</f>
        <v>0</v>
      </c>
      <c r="P10" s="1901">
        <f>'SALESPLAN 3Y'!L32</f>
        <v>0</v>
      </c>
      <c r="Q10" s="4853"/>
      <c r="R10" s="4854"/>
      <c r="S10" s="4854"/>
      <c r="T10" s="4854"/>
      <c r="U10" s="4855"/>
    </row>
    <row r="11" spans="1:22" s="50" customFormat="1" ht="6" hidden="1" customHeight="1" x14ac:dyDescent="0.25">
      <c r="A11" s="2283"/>
      <c r="B11" s="2284"/>
      <c r="C11" s="2284"/>
      <c r="D11" s="2284"/>
      <c r="E11" s="2284"/>
      <c r="F11" s="2285"/>
      <c r="G11" s="284"/>
      <c r="H11" s="272"/>
      <c r="I11" s="1901"/>
      <c r="J11" s="1896"/>
      <c r="K11" s="1903"/>
      <c r="L11" s="1896"/>
      <c r="M11" s="1901"/>
      <c r="N11" s="1901"/>
      <c r="O11" s="1901"/>
      <c r="P11" s="1901"/>
      <c r="Q11" s="2287"/>
      <c r="R11" s="2288"/>
      <c r="S11" s="2288"/>
      <c r="T11" s="2288"/>
      <c r="U11" s="2289"/>
    </row>
    <row r="12" spans="1:22" s="50" customFormat="1" ht="13" x14ac:dyDescent="0.25">
      <c r="A12" s="4784" t="s">
        <v>1671</v>
      </c>
      <c r="B12" s="4785"/>
      <c r="C12" s="4785"/>
      <c r="D12" s="4785"/>
      <c r="E12" s="4785"/>
      <c r="F12" s="4785"/>
      <c r="G12" s="266"/>
      <c r="H12" s="1901" t="e">
        <f>'SALESPLAN 3Y'!#REF!</f>
        <v>#REF!</v>
      </c>
      <c r="I12" s="1901" t="e">
        <f>'SALESPLAN 3Y'!#REF!</f>
        <v>#REF!</v>
      </c>
      <c r="J12" s="1904"/>
      <c r="K12" s="1905" t="e">
        <f>'SALESPLAN 3Y'!#REF!</f>
        <v>#REF!</v>
      </c>
      <c r="L12" s="1904"/>
      <c r="M12" s="1904" t="e">
        <f>'SALESPLAN 3Y'!#REF!</f>
        <v>#REF!</v>
      </c>
      <c r="N12" s="1904"/>
      <c r="O12" s="1904" t="e">
        <f>'SALESPLAN 3Y'!#REF!</f>
        <v>#REF!</v>
      </c>
      <c r="P12" s="1904" t="e">
        <f>'SALESPLAN 3Y'!#REF!</f>
        <v>#REF!</v>
      </c>
      <c r="Q12" s="4782"/>
      <c r="R12" s="4782"/>
      <c r="S12" s="4782"/>
      <c r="T12" s="4782"/>
      <c r="U12" s="4783"/>
    </row>
    <row r="13" spans="1:22" s="50" customFormat="1" ht="13" x14ac:dyDescent="0.25">
      <c r="A13" s="4844" t="s">
        <v>1066</v>
      </c>
      <c r="B13" s="4845"/>
      <c r="C13" s="4845"/>
      <c r="D13" s="4845"/>
      <c r="E13" s="4845"/>
      <c r="F13" s="4846"/>
      <c r="G13" s="284"/>
      <c r="H13" s="272"/>
      <c r="I13" s="272"/>
      <c r="J13" s="1896"/>
      <c r="K13" s="1901"/>
      <c r="L13" s="1896"/>
      <c r="M13" s="1901"/>
      <c r="N13" s="1901"/>
      <c r="O13" s="1901"/>
      <c r="P13" s="272"/>
      <c r="Q13" s="4853"/>
      <c r="R13" s="4854"/>
      <c r="S13" s="4854"/>
      <c r="T13" s="4854"/>
      <c r="U13" s="4855"/>
    </row>
    <row r="14" spans="1:22" s="50" customFormat="1" ht="13" x14ac:dyDescent="0.25">
      <c r="A14" s="4784"/>
      <c r="B14" s="4785"/>
      <c r="C14" s="4785"/>
      <c r="D14" s="4785"/>
      <c r="E14" s="4785"/>
      <c r="F14" s="4785"/>
      <c r="G14" s="284"/>
      <c r="H14" s="272"/>
      <c r="I14" s="1901"/>
      <c r="J14" s="1904"/>
      <c r="K14" s="1905"/>
      <c r="L14" s="1904"/>
      <c r="M14" s="1904"/>
      <c r="N14" s="1904"/>
      <c r="O14" s="1904"/>
      <c r="P14" s="272"/>
      <c r="Q14" s="4782"/>
      <c r="R14" s="4782"/>
      <c r="S14" s="4782"/>
      <c r="T14" s="4782"/>
      <c r="U14" s="4783"/>
    </row>
    <row r="15" spans="1:22" s="50" customFormat="1" ht="13.5" customHeight="1" x14ac:dyDescent="0.25">
      <c r="A15" s="4786"/>
      <c r="B15" s="4787"/>
      <c r="C15" s="4787"/>
      <c r="D15" s="4787"/>
      <c r="E15" s="4787"/>
      <c r="F15" s="4787"/>
      <c r="G15" s="284"/>
      <c r="H15" s="273"/>
      <c r="I15" s="1901"/>
      <c r="J15" s="1906"/>
      <c r="K15" s="1905"/>
      <c r="L15" s="1906"/>
      <c r="M15" s="1904"/>
      <c r="N15" s="1906"/>
      <c r="O15" s="1906"/>
      <c r="P15" s="273"/>
      <c r="Q15" s="4782"/>
      <c r="R15" s="4782"/>
      <c r="S15" s="4782"/>
      <c r="T15" s="4782"/>
      <c r="U15" s="4783"/>
    </row>
    <row r="16" spans="1:22" s="50" customFormat="1" ht="13.5" customHeight="1" x14ac:dyDescent="0.25">
      <c r="A16" s="4786" t="s">
        <v>773</v>
      </c>
      <c r="B16" s="4787"/>
      <c r="C16" s="4787"/>
      <c r="D16" s="4787"/>
      <c r="E16" s="4787"/>
      <c r="F16" s="4787"/>
      <c r="G16" s="282" t="s">
        <v>917</v>
      </c>
      <c r="H16" s="1898" t="e">
        <f>SUM(H17:H24)</f>
        <v>#REF!</v>
      </c>
      <c r="I16" s="1898" t="e">
        <f>SUM(I17:I24)</f>
        <v>#REF!</v>
      </c>
      <c r="J16" s="1898"/>
      <c r="K16" s="1898" t="e">
        <f>SUM(K17:K24)</f>
        <v>#REF!</v>
      </c>
      <c r="L16" s="1898"/>
      <c r="M16" s="1898" t="e">
        <f>SUM(M17:M24)</f>
        <v>#REF!</v>
      </c>
      <c r="N16" s="1898"/>
      <c r="O16" s="1898" t="e">
        <f>SUM(O17:O24)</f>
        <v>#REF!</v>
      </c>
      <c r="P16" s="1898">
        <f>SUM(P17:P24)</f>
        <v>0</v>
      </c>
      <c r="Q16" s="4782"/>
      <c r="R16" s="4782"/>
      <c r="S16" s="4782"/>
      <c r="T16" s="4782"/>
      <c r="U16" s="4783"/>
    </row>
    <row r="17" spans="1:21" s="50" customFormat="1" ht="13.5" hidden="1" customHeight="1" x14ac:dyDescent="0.25">
      <c r="A17" s="4788" t="s">
        <v>1065</v>
      </c>
      <c r="B17" s="4789"/>
      <c r="C17" s="4789"/>
      <c r="D17" s="4789"/>
      <c r="E17" s="4789"/>
      <c r="F17" s="4790"/>
      <c r="G17" s="319">
        <v>0</v>
      </c>
      <c r="H17" s="272"/>
      <c r="I17" s="1901">
        <f>G17*I9</f>
        <v>0</v>
      </c>
      <c r="J17" s="1904"/>
      <c r="K17" s="1905">
        <f>G17*K9</f>
        <v>0</v>
      </c>
      <c r="L17" s="1904"/>
      <c r="M17" s="1904">
        <f>G17*M9</f>
        <v>0</v>
      </c>
      <c r="N17" s="1904"/>
      <c r="O17" s="1904">
        <f>G17*O9</f>
        <v>0</v>
      </c>
      <c r="P17" s="272"/>
      <c r="Q17" s="4782"/>
      <c r="R17" s="4782"/>
      <c r="S17" s="4782"/>
      <c r="T17" s="4782"/>
      <c r="U17" s="4783"/>
    </row>
    <row r="18" spans="1:21" s="50" customFormat="1" ht="13.5" hidden="1" customHeight="1" x14ac:dyDescent="0.25">
      <c r="A18" s="4788" t="s">
        <v>1520</v>
      </c>
      <c r="B18" s="4789"/>
      <c r="C18" s="4789"/>
      <c r="D18" s="4789"/>
      <c r="E18" s="4789"/>
      <c r="F18" s="4790"/>
      <c r="G18" s="319">
        <v>0</v>
      </c>
      <c r="H18" s="272"/>
      <c r="I18" s="1901">
        <f>G18*I10</f>
        <v>0</v>
      </c>
      <c r="J18" s="1901"/>
      <c r="K18" s="1901">
        <f>G18*K10</f>
        <v>0</v>
      </c>
      <c r="L18" s="1901"/>
      <c r="M18" s="1901">
        <f>G18*M10</f>
        <v>0</v>
      </c>
      <c r="N18" s="1904"/>
      <c r="O18" s="1904">
        <f>G18*O10</f>
        <v>0</v>
      </c>
      <c r="P18" s="272"/>
      <c r="Q18" s="4782"/>
      <c r="R18" s="4782"/>
      <c r="S18" s="4782"/>
      <c r="T18" s="4782"/>
      <c r="U18" s="4783"/>
    </row>
    <row r="19" spans="1:21" s="50" customFormat="1" ht="6.75" customHeight="1" x14ac:dyDescent="0.25">
      <c r="A19" s="2279"/>
      <c r="B19" s="2280"/>
      <c r="C19" s="2280"/>
      <c r="D19" s="2280"/>
      <c r="E19" s="2280"/>
      <c r="F19" s="2281"/>
      <c r="G19" s="319"/>
      <c r="H19" s="272"/>
      <c r="I19" s="1901"/>
      <c r="J19" s="1907"/>
      <c r="K19" s="1901"/>
      <c r="L19" s="1907"/>
      <c r="M19" s="1901"/>
      <c r="N19" s="1907"/>
      <c r="O19" s="1901"/>
      <c r="P19" s="272"/>
      <c r="Q19" s="2277"/>
      <c r="R19" s="2277"/>
      <c r="S19" s="2277"/>
      <c r="T19" s="2277"/>
      <c r="U19" s="2278"/>
    </row>
    <row r="20" spans="1:21" s="50" customFormat="1" ht="13.5" customHeight="1" x14ac:dyDescent="0.25">
      <c r="A20" s="4791" t="s">
        <v>914</v>
      </c>
      <c r="B20" s="4792"/>
      <c r="C20" s="4792"/>
      <c r="D20" s="4792"/>
      <c r="E20" s="4792"/>
      <c r="F20" s="4792"/>
      <c r="G20" s="319">
        <v>0.25</v>
      </c>
      <c r="H20" s="1906" t="e">
        <f>'02-CHANNELCAPACITY-SAAS-OFR1'!F23*'10-BUDGETPROGRAM-OFR3'!$G$20</f>
        <v>#REF!</v>
      </c>
      <c r="I20" s="1906" t="e">
        <f>'02-CHANNELCAPACITY-SAAS-OFR1'!G23*'10-BUDGETPROGRAM-OFR3'!$G$20</f>
        <v>#REF!</v>
      </c>
      <c r="J20" s="1901"/>
      <c r="K20" s="1901" t="e">
        <f>'02-CHANNELCAPACITY-SAAS-OFR1'!H23*'10-BUDGETPROGRAM-OFR3'!$G$20</f>
        <v>#REF!</v>
      </c>
      <c r="L20" s="1901"/>
      <c r="M20" s="1901" t="e">
        <f>'02-CHANNELCAPACITY-SAAS-OFR1'!I23*'10-BUDGETPROGRAM-OFR3'!$G$20</f>
        <v>#REF!</v>
      </c>
      <c r="N20" s="1901"/>
      <c r="O20" s="1901" t="e">
        <f>'02-CHANNELCAPACITY-SAAS-OFR1'!J23*'10-BUDGETPROGRAM-OFR3'!$G$20</f>
        <v>#REF!</v>
      </c>
      <c r="P20" s="1901">
        <f>'02-CHANNELCAPACITY-SAAS-OFR1'!K23*'10-BUDGETPROGRAM-OFR3'!$G$20</f>
        <v>0</v>
      </c>
      <c r="Q20" s="4866" t="s">
        <v>1915</v>
      </c>
      <c r="R20" s="4866"/>
      <c r="S20" s="4866"/>
      <c r="T20" s="4866"/>
      <c r="U20" s="4867"/>
    </row>
    <row r="21" spans="1:21" s="50" customFormat="1" ht="13.5" customHeight="1" x14ac:dyDescent="0.25">
      <c r="A21" s="4791" t="s">
        <v>915</v>
      </c>
      <c r="B21" s="4792"/>
      <c r="C21" s="4792"/>
      <c r="D21" s="4792"/>
      <c r="E21" s="4792"/>
      <c r="F21" s="4792"/>
      <c r="G21" s="319">
        <v>0</v>
      </c>
      <c r="H21" s="273"/>
      <c r="I21" s="1901" t="e">
        <f>H20*(G21/G20)</f>
        <v>#REF!</v>
      </c>
      <c r="J21" s="1906"/>
      <c r="K21" s="1905" t="e">
        <f>I20*(G21/G20)</f>
        <v>#REF!</v>
      </c>
      <c r="L21" s="1906"/>
      <c r="M21" s="1904" t="e">
        <f>K20*(G21/G20)</f>
        <v>#REF!</v>
      </c>
      <c r="N21" s="1906"/>
      <c r="O21" s="1906" t="e">
        <f>M20*(G21/G20)</f>
        <v>#REF!</v>
      </c>
      <c r="P21" s="273"/>
      <c r="Q21" s="4782"/>
      <c r="R21" s="4782"/>
      <c r="S21" s="4782"/>
      <c r="T21" s="4782"/>
      <c r="U21" s="4783"/>
    </row>
    <row r="22" spans="1:21" s="50" customFormat="1" ht="13" x14ac:dyDescent="0.25">
      <c r="A22" s="4791" t="s">
        <v>916</v>
      </c>
      <c r="B22" s="4792"/>
      <c r="C22" s="4792"/>
      <c r="D22" s="4792"/>
      <c r="E22" s="4792"/>
      <c r="F22" s="4792"/>
      <c r="G22" s="319">
        <v>0</v>
      </c>
      <c r="H22" s="273"/>
      <c r="I22" s="1901"/>
      <c r="J22" s="1906"/>
      <c r="K22" s="1906">
        <f>IFERROR(I21*(G22/G21),0)</f>
        <v>0</v>
      </c>
      <c r="L22" s="1906"/>
      <c r="M22" s="1904">
        <f>IFERROR(K21*(G22/G21),0)</f>
        <v>0</v>
      </c>
      <c r="N22" s="1906"/>
      <c r="O22" s="1906">
        <f>IFERROR(M21*(G22/G21),0)</f>
        <v>0</v>
      </c>
      <c r="P22" s="273"/>
      <c r="Q22" s="4782"/>
      <c r="R22" s="4782"/>
      <c r="S22" s="4782"/>
      <c r="T22" s="4782"/>
      <c r="U22" s="4783"/>
    </row>
    <row r="23" spans="1:21" s="50" customFormat="1" ht="13" x14ac:dyDescent="0.25">
      <c r="A23" s="4791" t="s">
        <v>1669</v>
      </c>
      <c r="B23" s="4792"/>
      <c r="C23" s="4792"/>
      <c r="D23" s="4792"/>
      <c r="E23" s="4792"/>
      <c r="F23" s="4792"/>
      <c r="G23" s="319"/>
      <c r="H23" s="273"/>
      <c r="I23" s="1901"/>
      <c r="K23" s="1906"/>
      <c r="L23" s="1906"/>
      <c r="M23" s="1904">
        <f>IFERROR(K22*(G23/G22),0)</f>
        <v>0</v>
      </c>
      <c r="N23" s="1906"/>
      <c r="O23" s="1906">
        <f>IFERROR(M22*(G23/G22),0)</f>
        <v>0</v>
      </c>
      <c r="P23" s="273"/>
      <c r="Q23" s="2288"/>
      <c r="R23" s="2288"/>
      <c r="S23" s="2288"/>
      <c r="T23" s="2288"/>
      <c r="U23" s="2289"/>
    </row>
    <row r="24" spans="1:21" s="50" customFormat="1" ht="13" x14ac:dyDescent="0.25">
      <c r="A24" s="4791" t="s">
        <v>1670</v>
      </c>
      <c r="B24" s="4792"/>
      <c r="C24" s="4792"/>
      <c r="D24" s="4792"/>
      <c r="E24" s="4792"/>
      <c r="F24" s="4792"/>
      <c r="G24" s="275"/>
      <c r="H24" s="280"/>
      <c r="I24" s="1894"/>
      <c r="J24" s="1895"/>
      <c r="K24" s="1894"/>
      <c r="L24" s="1895"/>
      <c r="M24" s="1894"/>
      <c r="N24" s="1895"/>
      <c r="O24" s="1906"/>
      <c r="P24" s="280"/>
      <c r="Q24" s="275"/>
      <c r="R24" s="275"/>
      <c r="S24" s="275"/>
      <c r="T24" s="275"/>
      <c r="U24" s="276"/>
    </row>
    <row r="25" spans="1:21" s="50" customFormat="1" ht="13" x14ac:dyDescent="0.25">
      <c r="A25" s="274"/>
      <c r="B25" s="275"/>
      <c r="C25" s="275"/>
      <c r="D25" s="275"/>
      <c r="E25" s="275"/>
      <c r="F25" s="275"/>
      <c r="G25" s="275"/>
      <c r="H25" s="280"/>
      <c r="I25" s="1894"/>
      <c r="J25" s="1895"/>
      <c r="K25" s="1894"/>
      <c r="L25" s="1895"/>
      <c r="M25" s="1894"/>
      <c r="N25" s="1895"/>
      <c r="O25" s="1906"/>
      <c r="P25" s="280"/>
      <c r="Q25" s="275"/>
      <c r="R25" s="275"/>
      <c r="S25" s="275"/>
      <c r="T25" s="275"/>
      <c r="U25" s="276"/>
    </row>
    <row r="26" spans="1:21" s="50" customFormat="1" ht="26.25" customHeight="1" x14ac:dyDescent="0.25">
      <c r="A26" s="4799" t="s">
        <v>1020</v>
      </c>
      <c r="B26" s="4800"/>
      <c r="C26" s="4800"/>
      <c r="D26" s="4800"/>
      <c r="E26" s="4800"/>
      <c r="F26" s="4800"/>
      <c r="G26" s="281"/>
      <c r="H26" s="1897" t="e">
        <f>H8-H16</f>
        <v>#REF!</v>
      </c>
      <c r="I26" s="1897" t="e">
        <f>I8-I16</f>
        <v>#REF!</v>
      </c>
      <c r="J26" s="1897"/>
      <c r="K26" s="1897" t="e">
        <f>K8-K16</f>
        <v>#REF!</v>
      </c>
      <c r="L26" s="1897"/>
      <c r="M26" s="1897" t="e">
        <f>M8-M16</f>
        <v>#REF!</v>
      </c>
      <c r="N26" s="1897"/>
      <c r="O26" s="1897" t="e">
        <f>O8-O16</f>
        <v>#REF!</v>
      </c>
      <c r="P26" s="1897" t="e">
        <f>P8-P16</f>
        <v>#REF!</v>
      </c>
      <c r="Q26" s="4869"/>
      <c r="R26" s="4869"/>
      <c r="S26" s="4869"/>
      <c r="T26" s="4869"/>
      <c r="U26" s="4870"/>
    </row>
    <row r="27" spans="1:21" s="279" customFormat="1" ht="13.5" thickBot="1" x14ac:dyDescent="0.3">
      <c r="A27" s="2206"/>
      <c r="B27" s="2207"/>
      <c r="C27" s="2207"/>
      <c r="D27" s="2207"/>
      <c r="E27" s="2207"/>
      <c r="F27" s="2207"/>
      <c r="G27" s="2208"/>
      <c r="H27" s="2209"/>
      <c r="I27" s="2210"/>
      <c r="J27" s="2210"/>
      <c r="K27" s="2210"/>
      <c r="L27" s="2210"/>
      <c r="M27" s="2210"/>
      <c r="N27" s="2210"/>
      <c r="O27" s="2210"/>
      <c r="P27" s="2210"/>
      <c r="Q27" s="2211"/>
      <c r="R27" s="2211"/>
      <c r="S27" s="2288"/>
      <c r="T27" s="2288"/>
      <c r="U27" s="2289"/>
    </row>
    <row r="28" spans="1:21" s="279" customFormat="1" ht="24" customHeight="1" thickTop="1" x14ac:dyDescent="0.25">
      <c r="A28" s="2212"/>
      <c r="B28" s="2213"/>
      <c r="C28" s="2213"/>
      <c r="D28" s="2213"/>
      <c r="E28" s="2213"/>
      <c r="F28" s="2213"/>
      <c r="G28" s="4803" t="s">
        <v>1126</v>
      </c>
      <c r="H28" s="4804"/>
      <c r="I28" s="4804"/>
      <c r="J28" s="4804"/>
      <c r="K28" s="4804"/>
      <c r="L28" s="4804"/>
      <c r="M28" s="4804"/>
      <c r="N28" s="4804"/>
      <c r="O28" s="4804"/>
      <c r="P28" s="4804"/>
      <c r="Q28" s="4804"/>
      <c r="R28" s="4805"/>
      <c r="S28" s="2288"/>
      <c r="T28" s="2288"/>
      <c r="U28" s="2289"/>
    </row>
    <row r="29" spans="1:21" s="50" customFormat="1" ht="26" x14ac:dyDescent="0.25">
      <c r="A29" s="4796" t="s">
        <v>928</v>
      </c>
      <c r="B29" s="4797"/>
      <c r="C29" s="4797"/>
      <c r="D29" s="4797"/>
      <c r="E29" s="4797"/>
      <c r="F29" s="4798"/>
      <c r="G29" s="1256" t="s">
        <v>919</v>
      </c>
      <c r="H29" s="2180"/>
      <c r="I29" s="4871">
        <f>I7</f>
        <v>2018</v>
      </c>
      <c r="J29" s="4872"/>
      <c r="K29" s="4873">
        <f>K7</f>
        <v>2019</v>
      </c>
      <c r="L29" s="4874"/>
      <c r="M29" s="4801">
        <f>M7</f>
        <v>2020</v>
      </c>
      <c r="N29" s="4872"/>
      <c r="O29" s="4873">
        <f>O7</f>
        <v>2021</v>
      </c>
      <c r="P29" s="4874"/>
      <c r="Q29" s="4801" t="str">
        <f>P7</f>
        <v>NA</v>
      </c>
      <c r="R29" s="4802"/>
      <c r="S29" s="275"/>
      <c r="T29" s="275"/>
      <c r="U29" s="276"/>
    </row>
    <row r="30" spans="1:21" s="22" customFormat="1" ht="13" x14ac:dyDescent="0.35">
      <c r="A30" s="4793"/>
      <c r="B30" s="4787"/>
      <c r="C30" s="4787"/>
      <c r="D30" s="4787"/>
      <c r="E30" s="4787"/>
      <c r="F30" s="4787"/>
      <c r="G30" s="266"/>
      <c r="H30" s="2290"/>
      <c r="I30" s="288" t="s">
        <v>507</v>
      </c>
      <c r="J30" s="2287" t="s">
        <v>918</v>
      </c>
      <c r="K30" s="2240" t="s">
        <v>507</v>
      </c>
      <c r="L30" s="2214" t="s">
        <v>918</v>
      </c>
      <c r="M30" s="286" t="s">
        <v>507</v>
      </c>
      <c r="N30" s="2287" t="s">
        <v>918</v>
      </c>
      <c r="O30" s="2240" t="s">
        <v>507</v>
      </c>
      <c r="P30" s="2214" t="s">
        <v>918</v>
      </c>
      <c r="Q30" s="286" t="s">
        <v>507</v>
      </c>
      <c r="R30" s="2214" t="s">
        <v>918</v>
      </c>
      <c r="S30" s="2205"/>
      <c r="T30" s="2203"/>
      <c r="U30" s="2204"/>
    </row>
    <row r="31" spans="1:21" s="51" customFormat="1" ht="51" customHeight="1" x14ac:dyDescent="0.35">
      <c r="A31" s="4794" t="s">
        <v>920</v>
      </c>
      <c r="B31" s="4795"/>
      <c r="C31" s="4795"/>
      <c r="D31" s="4795"/>
      <c r="E31" s="4795"/>
      <c r="F31" s="4795"/>
      <c r="G31" s="2178">
        <v>60</v>
      </c>
      <c r="H31" s="2215"/>
      <c r="I31" s="289">
        <v>1</v>
      </c>
      <c r="J31" s="290">
        <f t="shared" ref="J31:J41" si="0">I31*G31</f>
        <v>60</v>
      </c>
      <c r="K31" s="2241">
        <v>2</v>
      </c>
      <c r="L31" s="2201">
        <f t="shared" ref="L31:L41" si="1">K31*G31</f>
        <v>120</v>
      </c>
      <c r="M31" s="287">
        <v>1</v>
      </c>
      <c r="N31" s="290">
        <f t="shared" ref="N31:N41" si="2">M31*G31</f>
        <v>60</v>
      </c>
      <c r="O31" s="2241">
        <v>1</v>
      </c>
      <c r="P31" s="2201">
        <f t="shared" ref="P31:P41" si="3">O31*G31</f>
        <v>60</v>
      </c>
      <c r="Q31" s="287">
        <v>1</v>
      </c>
      <c r="R31" s="2201">
        <f>Q31*G31</f>
        <v>60</v>
      </c>
      <c r="S31" s="2191"/>
      <c r="T31" s="2189"/>
      <c r="U31" s="2190"/>
    </row>
    <row r="32" spans="1:21" s="51" customFormat="1" ht="39.75" customHeight="1" x14ac:dyDescent="0.35">
      <c r="A32" s="4794" t="s">
        <v>922</v>
      </c>
      <c r="B32" s="4795"/>
      <c r="C32" s="4795"/>
      <c r="D32" s="4795"/>
      <c r="E32" s="4795"/>
      <c r="F32" s="4795"/>
      <c r="G32" s="2178">
        <v>160</v>
      </c>
      <c r="H32" s="1541"/>
      <c r="I32" s="289">
        <v>1</v>
      </c>
      <c r="J32" s="290">
        <f t="shared" si="0"/>
        <v>160</v>
      </c>
      <c r="K32" s="2241">
        <v>1</v>
      </c>
      <c r="L32" s="2201">
        <f t="shared" si="1"/>
        <v>160</v>
      </c>
      <c r="M32" s="287">
        <v>1.5</v>
      </c>
      <c r="N32" s="290">
        <f t="shared" si="2"/>
        <v>240</v>
      </c>
      <c r="O32" s="2241">
        <v>2</v>
      </c>
      <c r="P32" s="2201">
        <f t="shared" si="3"/>
        <v>320</v>
      </c>
      <c r="Q32" s="287">
        <v>2</v>
      </c>
      <c r="R32" s="2201">
        <f t="shared" ref="R32:R41" si="4">Q32*G32</f>
        <v>320</v>
      </c>
      <c r="S32" s="2191"/>
      <c r="T32" s="2189"/>
      <c r="U32" s="2190"/>
    </row>
    <row r="33" spans="1:21" s="51" customFormat="1" ht="39.75" customHeight="1" x14ac:dyDescent="0.35">
      <c r="A33" s="4794" t="s">
        <v>1002</v>
      </c>
      <c r="B33" s="4795"/>
      <c r="C33" s="4795"/>
      <c r="D33" s="4795"/>
      <c r="E33" s="4795"/>
      <c r="F33" s="4795"/>
      <c r="G33" s="2178">
        <v>70</v>
      </c>
      <c r="H33" s="1541"/>
      <c r="I33" s="289">
        <v>0.5</v>
      </c>
      <c r="J33" s="290">
        <f t="shared" si="0"/>
        <v>35</v>
      </c>
      <c r="K33" s="2241">
        <v>0.5</v>
      </c>
      <c r="L33" s="2201">
        <f t="shared" si="1"/>
        <v>35</v>
      </c>
      <c r="M33" s="287">
        <v>1</v>
      </c>
      <c r="N33" s="290">
        <f t="shared" si="2"/>
        <v>70</v>
      </c>
      <c r="O33" s="2241">
        <v>1</v>
      </c>
      <c r="P33" s="2201">
        <f t="shared" si="3"/>
        <v>70</v>
      </c>
      <c r="Q33" s="287">
        <v>2</v>
      </c>
      <c r="R33" s="2201">
        <f t="shared" si="4"/>
        <v>140</v>
      </c>
      <c r="S33" s="2191"/>
      <c r="T33" s="2189"/>
      <c r="U33" s="2190"/>
    </row>
    <row r="34" spans="1:21" s="51" customFormat="1" ht="39.75" customHeight="1" x14ac:dyDescent="0.35">
      <c r="A34" s="4794" t="s">
        <v>1905</v>
      </c>
      <c r="B34" s="4795"/>
      <c r="C34" s="4795"/>
      <c r="D34" s="4795"/>
      <c r="E34" s="4795"/>
      <c r="F34" s="4795"/>
      <c r="G34" s="2178">
        <v>60</v>
      </c>
      <c r="H34" s="1541"/>
      <c r="I34" s="289">
        <v>0.5</v>
      </c>
      <c r="J34" s="290">
        <f t="shared" si="0"/>
        <v>30</v>
      </c>
      <c r="K34" s="2241">
        <v>0.5</v>
      </c>
      <c r="L34" s="2201">
        <f t="shared" si="1"/>
        <v>30</v>
      </c>
      <c r="M34" s="287">
        <v>2</v>
      </c>
      <c r="N34" s="290">
        <f t="shared" si="2"/>
        <v>120</v>
      </c>
      <c r="O34" s="2241">
        <v>2</v>
      </c>
      <c r="P34" s="2201">
        <f t="shared" si="3"/>
        <v>120</v>
      </c>
      <c r="Q34" s="287">
        <v>2</v>
      </c>
      <c r="R34" s="2201">
        <f t="shared" si="4"/>
        <v>120</v>
      </c>
      <c r="S34" s="2191"/>
      <c r="T34" s="2189"/>
      <c r="U34" s="2190"/>
    </row>
    <row r="35" spans="1:21" s="51" customFormat="1" ht="39.75" customHeight="1" x14ac:dyDescent="0.35">
      <c r="A35" s="4794" t="s">
        <v>506</v>
      </c>
      <c r="B35" s="4795"/>
      <c r="C35" s="4795"/>
      <c r="D35" s="4795"/>
      <c r="E35" s="4795"/>
      <c r="F35" s="4795"/>
      <c r="G35" s="2178">
        <v>50</v>
      </c>
      <c r="H35" s="1541"/>
      <c r="I35" s="289"/>
      <c r="J35" s="290">
        <f t="shared" si="0"/>
        <v>0</v>
      </c>
      <c r="K35" s="2241">
        <v>0.5</v>
      </c>
      <c r="L35" s="2201">
        <f t="shared" si="1"/>
        <v>25</v>
      </c>
      <c r="M35" s="287">
        <v>0.5</v>
      </c>
      <c r="N35" s="290">
        <f t="shared" si="2"/>
        <v>25</v>
      </c>
      <c r="O35" s="2241">
        <v>0.5</v>
      </c>
      <c r="P35" s="2201">
        <f t="shared" si="3"/>
        <v>25</v>
      </c>
      <c r="Q35" s="287">
        <v>1</v>
      </c>
      <c r="R35" s="2201">
        <f t="shared" si="4"/>
        <v>50</v>
      </c>
      <c r="S35" s="2191"/>
      <c r="T35" s="2189"/>
      <c r="U35" s="2190"/>
    </row>
    <row r="36" spans="1:21" s="51" customFormat="1" ht="39.75" customHeight="1" x14ac:dyDescent="0.35">
      <c r="A36" s="4807" t="s">
        <v>921</v>
      </c>
      <c r="B36" s="4808"/>
      <c r="C36" s="4808"/>
      <c r="D36" s="4808"/>
      <c r="E36" s="4808"/>
      <c r="F36" s="4808"/>
      <c r="G36" s="2178">
        <v>100</v>
      </c>
      <c r="H36" s="1541"/>
      <c r="I36" s="289">
        <v>0.5</v>
      </c>
      <c r="J36" s="290">
        <f t="shared" si="0"/>
        <v>50</v>
      </c>
      <c r="K36" s="2241">
        <v>0.5</v>
      </c>
      <c r="L36" s="2201">
        <f t="shared" si="1"/>
        <v>50</v>
      </c>
      <c r="M36" s="287">
        <v>0.5</v>
      </c>
      <c r="N36" s="290">
        <f t="shared" si="2"/>
        <v>50</v>
      </c>
      <c r="O36" s="2241">
        <v>0.5</v>
      </c>
      <c r="P36" s="2201">
        <f t="shared" si="3"/>
        <v>50</v>
      </c>
      <c r="Q36" s="287">
        <v>0.5</v>
      </c>
      <c r="R36" s="2201">
        <f t="shared" si="4"/>
        <v>50</v>
      </c>
      <c r="S36" s="2191"/>
      <c r="T36" s="2189"/>
      <c r="U36" s="2190"/>
    </row>
    <row r="37" spans="1:21" s="51" customFormat="1" ht="39.75" customHeight="1" x14ac:dyDescent="0.35">
      <c r="A37" s="4807" t="s">
        <v>924</v>
      </c>
      <c r="B37" s="4808"/>
      <c r="C37" s="4808"/>
      <c r="D37" s="4808"/>
      <c r="E37" s="4808"/>
      <c r="F37" s="4808"/>
      <c r="G37" s="2178">
        <v>100</v>
      </c>
      <c r="H37" s="1541"/>
      <c r="I37" s="289">
        <v>0.25</v>
      </c>
      <c r="J37" s="290">
        <f t="shared" si="0"/>
        <v>25</v>
      </c>
      <c r="K37" s="2241">
        <v>0.5</v>
      </c>
      <c r="L37" s="2201">
        <f t="shared" si="1"/>
        <v>50</v>
      </c>
      <c r="M37" s="287">
        <v>0.5</v>
      </c>
      <c r="N37" s="290">
        <f t="shared" si="2"/>
        <v>50</v>
      </c>
      <c r="O37" s="2241">
        <v>0.5</v>
      </c>
      <c r="P37" s="2201">
        <f t="shared" si="3"/>
        <v>50</v>
      </c>
      <c r="Q37" s="287">
        <v>0.5</v>
      </c>
      <c r="R37" s="2201">
        <f t="shared" si="4"/>
        <v>50</v>
      </c>
      <c r="S37" s="2191"/>
      <c r="T37" s="2189"/>
      <c r="U37" s="2190"/>
    </row>
    <row r="38" spans="1:21" s="51" customFormat="1" ht="39.75" customHeight="1" x14ac:dyDescent="0.35">
      <c r="A38" s="4807" t="s">
        <v>505</v>
      </c>
      <c r="B38" s="4808"/>
      <c r="C38" s="4808"/>
      <c r="D38" s="4808"/>
      <c r="E38" s="4808"/>
      <c r="F38" s="4808"/>
      <c r="G38" s="2178">
        <v>100</v>
      </c>
      <c r="H38" s="1541"/>
      <c r="I38" s="289">
        <v>0</v>
      </c>
      <c r="J38" s="290">
        <f t="shared" si="0"/>
        <v>0</v>
      </c>
      <c r="K38" s="2241"/>
      <c r="L38" s="2201">
        <f t="shared" si="1"/>
        <v>0</v>
      </c>
      <c r="M38" s="287"/>
      <c r="N38" s="290">
        <f t="shared" si="2"/>
        <v>0</v>
      </c>
      <c r="O38" s="2241"/>
      <c r="P38" s="2201">
        <f t="shared" si="3"/>
        <v>0</v>
      </c>
      <c r="Q38" s="287"/>
      <c r="R38" s="2201">
        <f t="shared" si="4"/>
        <v>0</v>
      </c>
      <c r="S38" s="2191"/>
      <c r="T38" s="2189"/>
      <c r="U38" s="2190"/>
    </row>
    <row r="39" spans="1:21" s="51" customFormat="1" ht="39.75" customHeight="1" x14ac:dyDescent="0.35">
      <c r="A39" s="4807" t="s">
        <v>1521</v>
      </c>
      <c r="B39" s="4808"/>
      <c r="C39" s="4808"/>
      <c r="D39" s="4808"/>
      <c r="E39" s="4808"/>
      <c r="F39" s="4808"/>
      <c r="G39" s="2178">
        <v>100</v>
      </c>
      <c r="H39" s="1541"/>
      <c r="I39" s="289">
        <v>0.3</v>
      </c>
      <c r="J39" s="290">
        <f t="shared" si="0"/>
        <v>30</v>
      </c>
      <c r="K39" s="2241">
        <v>0.3</v>
      </c>
      <c r="L39" s="2201">
        <f t="shared" si="1"/>
        <v>30</v>
      </c>
      <c r="M39" s="287">
        <v>0.3</v>
      </c>
      <c r="N39" s="290">
        <f t="shared" si="2"/>
        <v>30</v>
      </c>
      <c r="O39" s="2241">
        <v>0.3</v>
      </c>
      <c r="P39" s="2201">
        <f t="shared" si="3"/>
        <v>30</v>
      </c>
      <c r="Q39" s="287">
        <v>0.3</v>
      </c>
      <c r="R39" s="2201">
        <f t="shared" si="4"/>
        <v>30</v>
      </c>
      <c r="S39" s="2191"/>
      <c r="T39" s="2189"/>
      <c r="U39" s="2190"/>
    </row>
    <row r="40" spans="1:21" s="50" customFormat="1" ht="39.75" customHeight="1" x14ac:dyDescent="0.25">
      <c r="A40" s="4807" t="s">
        <v>923</v>
      </c>
      <c r="B40" s="4808"/>
      <c r="C40" s="4808"/>
      <c r="D40" s="4808"/>
      <c r="E40" s="4808"/>
      <c r="F40" s="4808"/>
      <c r="G40" s="2178">
        <v>100</v>
      </c>
      <c r="H40" s="1541"/>
      <c r="I40" s="289">
        <v>0.3</v>
      </c>
      <c r="J40" s="290">
        <f t="shared" si="0"/>
        <v>30</v>
      </c>
      <c r="K40" s="2241">
        <v>0.6</v>
      </c>
      <c r="L40" s="2201">
        <f t="shared" si="1"/>
        <v>60</v>
      </c>
      <c r="M40" s="287">
        <v>1</v>
      </c>
      <c r="N40" s="290">
        <f t="shared" si="2"/>
        <v>100</v>
      </c>
      <c r="O40" s="2241">
        <v>1.5</v>
      </c>
      <c r="P40" s="2201">
        <f t="shared" si="3"/>
        <v>150</v>
      </c>
      <c r="Q40" s="287">
        <v>1.5</v>
      </c>
      <c r="R40" s="2201">
        <f t="shared" si="4"/>
        <v>150</v>
      </c>
      <c r="S40" s="2191"/>
      <c r="T40" s="2189"/>
      <c r="U40" s="2190"/>
    </row>
    <row r="41" spans="1:21" s="50" customFormat="1" ht="27.75" customHeight="1" thickBot="1" x14ac:dyDescent="0.3">
      <c r="A41" s="4807" t="s">
        <v>128</v>
      </c>
      <c r="B41" s="4808"/>
      <c r="C41" s="4808"/>
      <c r="D41" s="4808"/>
      <c r="E41" s="4808"/>
      <c r="F41" s="4808"/>
      <c r="G41" s="2178">
        <v>100</v>
      </c>
      <c r="H41" s="1542"/>
      <c r="I41" s="291"/>
      <c r="J41" s="292">
        <f t="shared" si="0"/>
        <v>0</v>
      </c>
      <c r="K41" s="2242"/>
      <c r="L41" s="2202">
        <f t="shared" si="1"/>
        <v>0</v>
      </c>
      <c r="M41" s="2231"/>
      <c r="N41" s="292">
        <f t="shared" si="2"/>
        <v>0</v>
      </c>
      <c r="O41" s="2242"/>
      <c r="P41" s="2202">
        <f t="shared" si="3"/>
        <v>0</v>
      </c>
      <c r="Q41" s="2231"/>
      <c r="R41" s="2201">
        <f t="shared" si="4"/>
        <v>0</v>
      </c>
      <c r="S41" s="2192"/>
      <c r="T41" s="2193"/>
      <c r="U41" s="2194"/>
    </row>
    <row r="42" spans="1:21" s="40" customFormat="1" ht="33.75" customHeight="1" thickTop="1" thickBot="1" x14ac:dyDescent="0.3">
      <c r="A42" s="4812"/>
      <c r="B42" s="4813"/>
      <c r="C42" s="4813"/>
      <c r="D42" s="4813"/>
      <c r="E42" s="4813"/>
      <c r="F42" s="4814"/>
      <c r="G42" s="1545" t="s">
        <v>1274</v>
      </c>
      <c r="H42" s="1542"/>
      <c r="I42" s="1546">
        <f t="shared" ref="I42:R42" si="5">SUM(I31:I35)</f>
        <v>3</v>
      </c>
      <c r="J42" s="2197">
        <f t="shared" si="5"/>
        <v>285</v>
      </c>
      <c r="K42" s="2243">
        <f>SUM(K31:K35)</f>
        <v>4.5</v>
      </c>
      <c r="L42" s="1547">
        <f t="shared" si="5"/>
        <v>370</v>
      </c>
      <c r="M42" s="2232">
        <f>SUM(M31:M35)</f>
        <v>6</v>
      </c>
      <c r="N42" s="2197">
        <f t="shared" si="5"/>
        <v>515</v>
      </c>
      <c r="O42" s="2243">
        <f>SUM(O31:O35)</f>
        <v>6.5</v>
      </c>
      <c r="P42" s="1547">
        <f t="shared" si="5"/>
        <v>595</v>
      </c>
      <c r="Q42" s="2232">
        <f>SUM(Q31:Q35)</f>
        <v>8</v>
      </c>
      <c r="R42" s="1547">
        <f t="shared" si="5"/>
        <v>690</v>
      </c>
      <c r="S42" s="2200"/>
      <c r="T42" s="2195"/>
      <c r="U42" s="2196"/>
    </row>
    <row r="43" spans="1:21" s="40" customFormat="1" ht="33.75" customHeight="1" thickBot="1" x14ac:dyDescent="0.3">
      <c r="A43" s="2216"/>
      <c r="B43" s="1225"/>
      <c r="C43" s="1225"/>
      <c r="D43" s="1225"/>
      <c r="E43" s="1225"/>
      <c r="F43" s="1226"/>
      <c r="G43" s="1543" t="s">
        <v>1323</v>
      </c>
      <c r="H43" s="1542"/>
      <c r="I43" s="1544"/>
      <c r="J43" s="2198">
        <f>SUM(J36:J41)</f>
        <v>135</v>
      </c>
      <c r="K43" s="2244"/>
      <c r="L43" s="1908">
        <f>SUM(L36:L41)</f>
        <v>190</v>
      </c>
      <c r="M43" s="2233"/>
      <c r="N43" s="2198">
        <f>SUM(N36:N41)</f>
        <v>230</v>
      </c>
      <c r="O43" s="2244"/>
      <c r="P43" s="1908">
        <f>SUM(P36:P41)</f>
        <v>280</v>
      </c>
      <c r="Q43" s="2253"/>
      <c r="R43" s="1908">
        <f>SUM(R36:R41)</f>
        <v>280</v>
      </c>
      <c r="S43" s="1227"/>
      <c r="T43" s="1227"/>
      <c r="U43" s="1228"/>
    </row>
    <row r="44" spans="1:21" s="40" customFormat="1" ht="33.75" customHeight="1" thickBot="1" x14ac:dyDescent="0.3">
      <c r="A44" s="2216"/>
      <c r="B44" s="1225"/>
      <c r="C44" s="1225"/>
      <c r="D44" s="1225"/>
      <c r="E44" s="1225"/>
      <c r="F44" s="1226" t="s">
        <v>1325</v>
      </c>
      <c r="G44" s="1548" t="s">
        <v>1275</v>
      </c>
      <c r="H44" s="1542"/>
      <c r="I44" s="1549"/>
      <c r="J44" s="2199">
        <f>J43+J42</f>
        <v>420</v>
      </c>
      <c r="K44" s="2245"/>
      <c r="L44" s="1909">
        <f>L43+L42</f>
        <v>560</v>
      </c>
      <c r="M44" s="2234"/>
      <c r="N44" s="2199">
        <f>N43+N42</f>
        <v>745</v>
      </c>
      <c r="O44" s="2245"/>
      <c r="P44" s="1909">
        <f>P43+P42</f>
        <v>875</v>
      </c>
      <c r="Q44" s="2254"/>
      <c r="R44" s="1909">
        <f>R43+R42</f>
        <v>970</v>
      </c>
      <c r="S44" s="1550"/>
      <c r="T44" s="1550"/>
      <c r="U44" s="1551"/>
    </row>
    <row r="45" spans="1:21" s="40" customFormat="1" ht="21" customHeight="1" thickBot="1" x14ac:dyDescent="0.3">
      <c r="A45" s="2216"/>
      <c r="B45" s="1225"/>
      <c r="C45" s="1225"/>
      <c r="D45" s="1225"/>
      <c r="E45" s="1225"/>
      <c r="F45" s="1226"/>
      <c r="G45" s="1257"/>
      <c r="H45" s="1542"/>
      <c r="I45" s="1258"/>
      <c r="J45" s="2226"/>
      <c r="K45" s="2246"/>
      <c r="L45" s="1910"/>
      <c r="M45" s="2235"/>
      <c r="N45" s="2226"/>
      <c r="O45" s="2246"/>
      <c r="P45" s="1910"/>
      <c r="Q45" s="1259"/>
      <c r="R45" s="1260"/>
      <c r="S45" s="1259"/>
      <c r="T45" s="1259"/>
      <c r="U45" s="1260"/>
    </row>
    <row r="46" spans="1:21" s="23" customFormat="1" ht="27.75" customHeight="1" thickBot="1" x14ac:dyDescent="0.4">
      <c r="A46" s="2216"/>
      <c r="B46" s="1225"/>
      <c r="C46" s="1225"/>
      <c r="D46" s="1225"/>
      <c r="E46" s="1225"/>
      <c r="F46" s="1270" t="s">
        <v>1326</v>
      </c>
      <c r="G46" s="1261" t="s">
        <v>925</v>
      </c>
      <c r="H46" s="1542"/>
      <c r="I46" s="1222"/>
      <c r="J46" s="2227" t="e">
        <f>I26</f>
        <v>#REF!</v>
      </c>
      <c r="K46" s="2247"/>
      <c r="L46" s="2248" t="e">
        <f>K26</f>
        <v>#REF!</v>
      </c>
      <c r="M46" s="2236"/>
      <c r="N46" s="2227" t="e">
        <f>M26</f>
        <v>#REF!</v>
      </c>
      <c r="O46" s="2247"/>
      <c r="P46" s="2248" t="e">
        <f>O26</f>
        <v>#REF!</v>
      </c>
      <c r="Q46" s="1227"/>
      <c r="R46" s="2248" t="e">
        <f>P26</f>
        <v>#REF!</v>
      </c>
      <c r="S46" s="1227"/>
      <c r="T46" s="1227"/>
      <c r="U46" s="1228"/>
    </row>
    <row r="47" spans="1:21" s="23" customFormat="1" ht="27.75" customHeight="1" thickTop="1" thickBot="1" x14ac:dyDescent="0.4">
      <c r="A47" s="2217"/>
      <c r="B47" s="2218"/>
      <c r="C47" s="2218"/>
      <c r="D47" s="2218"/>
      <c r="E47" s="2218"/>
      <c r="F47" s="2219" t="s">
        <v>1327</v>
      </c>
      <c r="G47" s="1266" t="s">
        <v>1324</v>
      </c>
      <c r="H47" s="1542"/>
      <c r="I47" s="1267"/>
      <c r="J47" s="2228" t="e">
        <f>J46-J44</f>
        <v>#REF!</v>
      </c>
      <c r="K47" s="2249"/>
      <c r="L47" s="1911" t="e">
        <f>L46-L44</f>
        <v>#REF!</v>
      </c>
      <c r="M47" s="2237"/>
      <c r="N47" s="2228" t="e">
        <f>N46-N44</f>
        <v>#REF!</v>
      </c>
      <c r="O47" s="2249"/>
      <c r="P47" s="1911" t="e">
        <f>P46-P44</f>
        <v>#REF!</v>
      </c>
      <c r="Q47" s="1268"/>
      <c r="R47" s="1911" t="e">
        <f>R46-R44</f>
        <v>#REF!</v>
      </c>
      <c r="S47" s="1268"/>
      <c r="T47" s="1268"/>
      <c r="U47" s="1269"/>
    </row>
    <row r="48" spans="1:21" s="1221" customFormat="1" ht="11.25" customHeight="1" thickTop="1" thickBot="1" x14ac:dyDescent="0.4">
      <c r="A48" s="2220"/>
      <c r="B48" s="2221"/>
      <c r="C48" s="2221"/>
      <c r="D48" s="2221"/>
      <c r="E48" s="2221"/>
      <c r="F48" s="2221"/>
      <c r="G48" s="1223"/>
      <c r="H48" s="1542"/>
      <c r="I48" s="1222"/>
      <c r="J48" s="2229"/>
      <c r="K48" s="2250"/>
      <c r="L48" s="1224"/>
      <c r="M48" s="2238"/>
      <c r="N48" s="2229"/>
      <c r="O48" s="2250"/>
      <c r="P48" s="1224"/>
      <c r="Q48" s="1227"/>
      <c r="R48" s="1228"/>
      <c r="S48" s="1227"/>
      <c r="T48" s="1227"/>
      <c r="U48" s="1228"/>
    </row>
    <row r="49" spans="1:80" ht="32" thickTop="1" thickBot="1" x14ac:dyDescent="0.4">
      <c r="A49" s="2222"/>
      <c r="B49" s="2223"/>
      <c r="C49" s="2224"/>
      <c r="D49" s="2224"/>
      <c r="E49" s="2224"/>
      <c r="F49" s="2224"/>
      <c r="G49" s="1262" t="s">
        <v>1021</v>
      </c>
      <c r="H49" s="2225"/>
      <c r="I49" s="1912" t="str">
        <f>IFERROR(J46/I42,"0")</f>
        <v>0</v>
      </c>
      <c r="J49" s="2230"/>
      <c r="K49" s="2251" t="e">
        <f>L46/K42</f>
        <v>#REF!</v>
      </c>
      <c r="L49" s="2252"/>
      <c r="M49" s="2239" t="e">
        <f>N46/M42</f>
        <v>#REF!</v>
      </c>
      <c r="N49" s="2230"/>
      <c r="O49" s="2251" t="e">
        <f>P46/O42</f>
        <v>#REF!</v>
      </c>
      <c r="P49" s="1263"/>
      <c r="Q49" s="2251" t="e">
        <f>R46/Q42</f>
        <v>#REF!</v>
      </c>
      <c r="R49" s="1265"/>
      <c r="S49" s="1264"/>
      <c r="T49" s="1264"/>
      <c r="U49" s="1265"/>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row>
    <row r="50" spans="1:80" ht="15" thickTop="1" x14ac:dyDescent="0.35">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row>
    <row r="51" spans="1:80" s="40" customFormat="1" ht="15" thickBot="1" x14ac:dyDescent="0.4">
      <c r="A51" s="60"/>
      <c r="B51" s="60"/>
      <c r="C51" s="60"/>
      <c r="D51" s="60"/>
      <c r="E51" s="60"/>
      <c r="F51" s="60"/>
      <c r="G51" s="60"/>
      <c r="H51" s="60"/>
      <c r="I51" s="60"/>
      <c r="J51" s="60"/>
      <c r="K51" s="60"/>
      <c r="L51" s="60"/>
      <c r="M51" s="60"/>
      <c r="N51" s="60"/>
      <c r="O51" s="60"/>
      <c r="P51" s="60"/>
      <c r="Q51" s="60"/>
      <c r="R51" s="60"/>
      <c r="S51" s="60"/>
      <c r="T51" s="60"/>
      <c r="U51" s="60"/>
    </row>
    <row r="52" spans="1:80" s="23" customFormat="1" ht="22.5" customHeight="1" thickBot="1" x14ac:dyDescent="0.4">
      <c r="A52" s="60"/>
      <c r="B52" s="4809" t="s">
        <v>906</v>
      </c>
      <c r="C52" s="4810"/>
      <c r="D52" s="4810"/>
      <c r="E52" s="4811"/>
      <c r="F52" s="42"/>
      <c r="G52" s="42"/>
      <c r="H52" s="49"/>
      <c r="I52" s="40"/>
      <c r="J52" s="40"/>
      <c r="K52" s="42"/>
      <c r="L52" s="40"/>
      <c r="M52" s="40"/>
      <c r="N52" s="40"/>
      <c r="O52" s="40"/>
      <c r="P52" s="40"/>
      <c r="Q52" s="40"/>
      <c r="R52" s="40"/>
      <c r="S52" s="40"/>
      <c r="T52" s="40"/>
      <c r="U52" s="40"/>
    </row>
    <row r="53" spans="1:80" s="40" customFormat="1" ht="38" thickBot="1" x14ac:dyDescent="0.3">
      <c r="B53" s="359"/>
      <c r="C53" s="1271" t="s">
        <v>1660</v>
      </c>
      <c r="D53" s="1272" t="s">
        <v>1276</v>
      </c>
      <c r="E53" s="1273" t="s">
        <v>1661</v>
      </c>
      <c r="F53" s="23"/>
      <c r="G53" s="23"/>
      <c r="H53" s="23"/>
      <c r="I53" s="23"/>
      <c r="J53" s="23"/>
      <c r="K53" s="41"/>
      <c r="L53" s="23"/>
      <c r="M53" s="23"/>
      <c r="N53" s="23"/>
      <c r="O53" s="23"/>
      <c r="P53" s="23"/>
      <c r="Q53" s="23"/>
      <c r="R53" s="23"/>
      <c r="S53" s="23"/>
      <c r="T53" s="23"/>
      <c r="U53" s="23"/>
    </row>
    <row r="54" spans="1:80" s="40" customFormat="1" ht="13" thickBot="1" x14ac:dyDescent="0.3">
      <c r="B54" s="364" t="s">
        <v>173</v>
      </c>
      <c r="C54" s="1913">
        <v>80</v>
      </c>
      <c r="D54" s="365">
        <v>1</v>
      </c>
      <c r="E54" s="1915">
        <f>C54*D54</f>
        <v>80</v>
      </c>
    </row>
    <row r="55" spans="1:80" s="40" customFormat="1" ht="33.75" customHeight="1" thickBot="1" x14ac:dyDescent="0.3">
      <c r="B55" s="364" t="s">
        <v>969</v>
      </c>
      <c r="C55" s="1913">
        <v>34</v>
      </c>
      <c r="D55" s="365">
        <v>3</v>
      </c>
      <c r="E55" s="1915">
        <f>C55*D55</f>
        <v>102</v>
      </c>
    </row>
    <row r="56" spans="1:80" s="40" customFormat="1" ht="34.5" customHeight="1" thickBot="1" x14ac:dyDescent="0.3">
      <c r="B56" s="364" t="s">
        <v>970</v>
      </c>
      <c r="C56" s="1913">
        <v>30</v>
      </c>
      <c r="D56" s="365">
        <v>1</v>
      </c>
      <c r="E56" s="1915">
        <f>C56*D56</f>
        <v>30</v>
      </c>
      <c r="F56" s="4837" t="s">
        <v>926</v>
      </c>
      <c r="G56" s="4838"/>
      <c r="H56" s="4839"/>
      <c r="I56" s="4868"/>
      <c r="J56" s="4868"/>
      <c r="K56" s="4868"/>
      <c r="L56" s="4868"/>
      <c r="M56" s="4868"/>
      <c r="N56" s="4868"/>
      <c r="O56" s="4868"/>
      <c r="P56" s="4868"/>
      <c r="Q56" s="4868"/>
    </row>
    <row r="57" spans="1:80" s="40" customFormat="1" ht="30" customHeight="1" x14ac:dyDescent="0.25">
      <c r="B57" s="360"/>
      <c r="C57" s="362" t="s">
        <v>127</v>
      </c>
      <c r="D57" s="363">
        <f>SUM(D54:D56)</f>
        <v>5</v>
      </c>
      <c r="E57" s="1916">
        <f>SUM(E54:E56)</f>
        <v>212</v>
      </c>
      <c r="F57" s="4842" t="s">
        <v>1328</v>
      </c>
      <c r="G57" s="4843"/>
      <c r="H57" s="1914">
        <f>E58</f>
        <v>42.4</v>
      </c>
      <c r="I57" s="4806"/>
      <c r="J57" s="4806"/>
      <c r="K57" s="4806"/>
      <c r="L57" s="4806"/>
      <c r="M57" s="4806"/>
      <c r="N57" s="4806"/>
      <c r="O57" s="4806"/>
      <c r="P57" s="4806"/>
      <c r="Q57" s="4806"/>
    </row>
    <row r="58" spans="1:80" s="40" customFormat="1" ht="31.5" customHeight="1" thickBot="1" x14ac:dyDescent="0.3">
      <c r="B58" s="361"/>
      <c r="C58" s="293" t="s">
        <v>1910</v>
      </c>
      <c r="D58" s="294"/>
      <c r="E58" s="1917">
        <f>E57/D57</f>
        <v>42.4</v>
      </c>
      <c r="F58" s="4840" t="s">
        <v>1329</v>
      </c>
      <c r="G58" s="4841"/>
      <c r="H58" s="1231">
        <v>2</v>
      </c>
      <c r="I58" s="4806" t="s">
        <v>1330</v>
      </c>
      <c r="J58" s="4806"/>
      <c r="K58" s="4806"/>
      <c r="L58" s="4806"/>
      <c r="M58" s="4806"/>
      <c r="N58" s="4806"/>
      <c r="O58" s="4806"/>
      <c r="P58" s="4806"/>
      <c r="Q58" s="4806"/>
    </row>
    <row r="59" spans="1:80" s="40" customFormat="1" ht="12.5" x14ac:dyDescent="0.25">
      <c r="E59" s="42"/>
      <c r="K59" s="42"/>
    </row>
    <row r="60" spans="1:80" s="40" customFormat="1" ht="13" thickBot="1" x14ac:dyDescent="0.3">
      <c r="E60" s="42"/>
      <c r="F60" s="42"/>
      <c r="G60" s="42"/>
      <c r="H60" s="49"/>
      <c r="I60" s="42"/>
      <c r="J60" s="42"/>
      <c r="K60" s="42"/>
    </row>
    <row r="61" spans="1:80" s="40" customFormat="1" ht="14" x14ac:dyDescent="0.3">
      <c r="B61" s="4835" t="s">
        <v>504</v>
      </c>
      <c r="C61" s="4836"/>
      <c r="D61" s="2282">
        <f>I7</f>
        <v>2018</v>
      </c>
      <c r="E61" s="2282">
        <f>K7</f>
        <v>2019</v>
      </c>
      <c r="F61" s="2282">
        <f>M7</f>
        <v>2020</v>
      </c>
      <c r="G61" s="2282">
        <f>O7</f>
        <v>2021</v>
      </c>
    </row>
    <row r="62" spans="1:80" s="40" customFormat="1" ht="20.25" customHeight="1" x14ac:dyDescent="0.25">
      <c r="B62" s="4829" t="s">
        <v>503</v>
      </c>
      <c r="C62" s="4830"/>
      <c r="D62" s="320">
        <f>J44</f>
        <v>420</v>
      </c>
      <c r="E62" s="320">
        <f>L44</f>
        <v>560</v>
      </c>
      <c r="F62" s="320">
        <f>N44</f>
        <v>745</v>
      </c>
      <c r="G62" s="320">
        <f>P44</f>
        <v>875</v>
      </c>
    </row>
    <row r="63" spans="1:80" s="40" customFormat="1" ht="30" customHeight="1" x14ac:dyDescent="0.25">
      <c r="B63" s="4831" t="s">
        <v>927</v>
      </c>
      <c r="C63" s="4832"/>
      <c r="D63" s="1229">
        <f>D62/$H57</f>
        <v>9.9056603773584904</v>
      </c>
      <c r="E63" s="1229">
        <f>E62/$H57</f>
        <v>13.20754716981132</v>
      </c>
      <c r="F63" s="1229">
        <f>F62/$H57</f>
        <v>17.570754716981131</v>
      </c>
      <c r="G63" s="1229">
        <f>G62/$H57</f>
        <v>20.636792452830189</v>
      </c>
    </row>
    <row r="64" spans="1:80" s="40" customFormat="1" ht="24" customHeight="1" thickBot="1" x14ac:dyDescent="0.3">
      <c r="B64" s="4833" t="s">
        <v>502</v>
      </c>
      <c r="C64" s="4834"/>
      <c r="D64" s="1230">
        <f>D63/H58</f>
        <v>4.9528301886792452</v>
      </c>
      <c r="E64" s="1230">
        <f>E63/H58</f>
        <v>6.6037735849056602</v>
      </c>
      <c r="F64" s="1230">
        <f>F63/H58</f>
        <v>8.7853773584905657</v>
      </c>
      <c r="G64" s="1230">
        <f>G63/H58</f>
        <v>10.318396226415095</v>
      </c>
    </row>
    <row r="65" spans="1:80" x14ac:dyDescent="0.35">
      <c r="A65" s="40"/>
      <c r="B65" s="40"/>
      <c r="C65" s="40"/>
      <c r="D65" s="40"/>
      <c r="E65" s="40"/>
      <c r="F65" s="40"/>
      <c r="G65" s="40"/>
      <c r="H65" s="40"/>
      <c r="I65" s="40"/>
      <c r="J65" s="40"/>
      <c r="K65" s="40"/>
      <c r="L65" s="40"/>
      <c r="M65" s="40"/>
      <c r="N65" s="40"/>
      <c r="O65" s="40"/>
      <c r="P65" s="40"/>
      <c r="Q65" s="40"/>
      <c r="R65" s="40"/>
      <c r="S65" s="40"/>
      <c r="T65" s="40"/>
      <c r="U65" s="40"/>
    </row>
    <row r="66" spans="1:80" ht="15" thickBot="1" x14ac:dyDescent="0.4"/>
    <row r="67" spans="1:80" ht="20.25" customHeight="1" thickTop="1" thickBot="1" x14ac:dyDescent="0.4">
      <c r="A67" s="4821" t="s">
        <v>10</v>
      </c>
      <c r="B67" s="4822"/>
      <c r="C67" s="4822"/>
      <c r="D67" s="4822"/>
      <c r="E67" s="4822"/>
      <c r="F67" s="4822"/>
      <c r="G67" s="4822"/>
      <c r="H67" s="4822"/>
      <c r="I67" s="4822"/>
      <c r="J67" s="4822"/>
      <c r="K67" s="4822"/>
      <c r="L67" s="161"/>
      <c r="M67" s="31"/>
      <c r="N67" s="31"/>
      <c r="O67" s="31"/>
      <c r="P67" s="31"/>
      <c r="Q67" s="4823" t="s">
        <v>748</v>
      </c>
      <c r="R67" s="4824"/>
      <c r="S67" s="4825"/>
      <c r="T67" s="31"/>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row>
    <row r="68" spans="1:80" ht="20.25" customHeight="1" x14ac:dyDescent="0.35">
      <c r="A68" s="4815" t="s">
        <v>1278</v>
      </c>
      <c r="B68" s="4826"/>
      <c r="C68" s="4826"/>
      <c r="D68" s="4826"/>
      <c r="E68" s="4826"/>
      <c r="F68" s="4826"/>
      <c r="G68" s="4826"/>
      <c r="H68" s="4826"/>
      <c r="I68" s="4826"/>
      <c r="J68" s="4826"/>
      <c r="K68" s="4826"/>
      <c r="L68" s="39"/>
      <c r="M68" s="33"/>
      <c r="N68" s="33"/>
      <c r="O68" s="33"/>
      <c r="P68" s="33"/>
      <c r="Q68" s="3750" t="s">
        <v>1279</v>
      </c>
      <c r="R68" s="3751"/>
      <c r="S68" s="3752"/>
      <c r="T68" s="33"/>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row>
    <row r="69" spans="1:80" ht="20.25" customHeight="1" x14ac:dyDescent="0.35">
      <c r="A69" s="4815"/>
      <c r="B69" s="4826"/>
      <c r="C69" s="4826"/>
      <c r="D69" s="4826"/>
      <c r="E69" s="4826"/>
      <c r="F69" s="4826"/>
      <c r="G69" s="4826"/>
      <c r="H69" s="4826"/>
      <c r="I69" s="4826"/>
      <c r="J69" s="4826"/>
      <c r="K69" s="4826"/>
      <c r="L69" s="39"/>
      <c r="M69" s="33"/>
      <c r="N69" s="33"/>
      <c r="O69" s="33"/>
      <c r="P69" s="33"/>
      <c r="Q69" s="3753"/>
      <c r="R69" s="3754"/>
      <c r="S69" s="3755"/>
      <c r="T69" s="33"/>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row>
    <row r="70" spans="1:80" ht="20.25" customHeight="1" x14ac:dyDescent="0.35">
      <c r="A70" s="4815"/>
      <c r="B70" s="4826"/>
      <c r="C70" s="4826"/>
      <c r="D70" s="4826"/>
      <c r="E70" s="4826"/>
      <c r="F70" s="4826"/>
      <c r="G70" s="4826"/>
      <c r="H70" s="4826"/>
      <c r="I70" s="4826"/>
      <c r="J70" s="4826"/>
      <c r="K70" s="4826"/>
      <c r="L70" s="39"/>
      <c r="M70" s="33"/>
      <c r="N70" s="33"/>
      <c r="O70" s="33"/>
      <c r="P70" s="33"/>
      <c r="Q70" s="3753"/>
      <c r="R70" s="3754"/>
      <c r="S70" s="3755"/>
      <c r="T70" s="33"/>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row>
    <row r="71" spans="1:80" ht="15" thickBot="1" x14ac:dyDescent="0.4">
      <c r="A71" s="4827"/>
      <c r="B71" s="4828"/>
      <c r="C71" s="4828"/>
      <c r="D71" s="4828"/>
      <c r="E71" s="4828"/>
      <c r="F71" s="4828"/>
      <c r="G71" s="4828"/>
      <c r="H71" s="4828"/>
      <c r="I71" s="4828"/>
      <c r="J71" s="4828"/>
      <c r="K71" s="4828"/>
      <c r="L71" s="39"/>
      <c r="M71" s="33"/>
      <c r="N71" s="33"/>
      <c r="O71" s="33"/>
      <c r="P71" s="33"/>
      <c r="Q71" s="3756"/>
      <c r="R71" s="3757"/>
      <c r="S71" s="3758"/>
      <c r="T71" s="33"/>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row>
    <row r="72" spans="1:80" ht="15.5" thickTop="1" thickBot="1" x14ac:dyDescent="0.4">
      <c r="Q72" s="31"/>
      <c r="R72" s="31"/>
      <c r="S72" s="31"/>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row>
    <row r="73" spans="1:80" ht="20.25" customHeight="1" thickTop="1" thickBot="1" x14ac:dyDescent="0.4">
      <c r="A73" s="4821" t="s">
        <v>11</v>
      </c>
      <c r="B73" s="4822"/>
      <c r="C73" s="4822"/>
      <c r="D73" s="4822"/>
      <c r="E73" s="4822"/>
      <c r="F73" s="4822"/>
      <c r="G73" s="4822"/>
      <c r="H73" s="4822"/>
      <c r="I73" s="4822"/>
      <c r="J73" s="4822"/>
      <c r="K73" s="4822"/>
      <c r="L73" s="161"/>
      <c r="M73" s="31"/>
      <c r="N73" s="31"/>
      <c r="O73" s="31"/>
      <c r="P73" s="31"/>
      <c r="Q73" s="4823" t="s">
        <v>748</v>
      </c>
      <c r="R73" s="4824"/>
      <c r="S73" s="4825"/>
      <c r="T73" s="31"/>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row>
    <row r="74" spans="1:80" ht="20.25" customHeight="1" x14ac:dyDescent="0.35">
      <c r="A74" s="4815" t="s">
        <v>1277</v>
      </c>
      <c r="B74" s="4816"/>
      <c r="C74" s="4816"/>
      <c r="D74" s="4816"/>
      <c r="E74" s="4816"/>
      <c r="F74" s="4816"/>
      <c r="G74" s="4816"/>
      <c r="H74" s="4816"/>
      <c r="I74" s="4816"/>
      <c r="J74" s="4816"/>
      <c r="K74" s="4817"/>
      <c r="L74" s="39"/>
      <c r="M74" s="33"/>
      <c r="N74" s="33"/>
      <c r="O74" s="33"/>
      <c r="P74" s="33"/>
      <c r="Q74" s="3750" t="s">
        <v>1280</v>
      </c>
      <c r="R74" s="3751"/>
      <c r="S74" s="3752"/>
      <c r="T74" s="33"/>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row>
    <row r="75" spans="1:80" ht="20.25" customHeight="1" x14ac:dyDescent="0.35">
      <c r="A75" s="4818"/>
      <c r="B75" s="4816"/>
      <c r="C75" s="4816"/>
      <c r="D75" s="4816"/>
      <c r="E75" s="4816"/>
      <c r="F75" s="4816"/>
      <c r="G75" s="4816"/>
      <c r="H75" s="4816"/>
      <c r="I75" s="4816"/>
      <c r="J75" s="4816"/>
      <c r="K75" s="4817"/>
      <c r="L75" s="39"/>
      <c r="M75" s="33"/>
      <c r="N75" s="33"/>
      <c r="O75" s="33"/>
      <c r="P75" s="33"/>
      <c r="Q75" s="3753"/>
      <c r="R75" s="3754"/>
      <c r="S75" s="3755"/>
      <c r="T75" s="33"/>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row>
    <row r="76" spans="1:80" ht="20.25" customHeight="1" x14ac:dyDescent="0.35">
      <c r="A76" s="4818"/>
      <c r="B76" s="4816"/>
      <c r="C76" s="4816"/>
      <c r="D76" s="4816"/>
      <c r="E76" s="4816"/>
      <c r="F76" s="4816"/>
      <c r="G76" s="4816"/>
      <c r="H76" s="4816"/>
      <c r="I76" s="4816"/>
      <c r="J76" s="4816"/>
      <c r="K76" s="4817"/>
      <c r="L76" s="39"/>
      <c r="M76" s="33"/>
      <c r="N76" s="33"/>
      <c r="O76" s="33"/>
      <c r="P76" s="33"/>
      <c r="Q76" s="3753"/>
      <c r="R76" s="3754"/>
      <c r="S76" s="3755"/>
      <c r="T76" s="33"/>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row>
    <row r="77" spans="1:80" ht="15" thickBot="1" x14ac:dyDescent="0.4">
      <c r="A77" s="4819"/>
      <c r="B77" s="4820"/>
      <c r="C77" s="4820"/>
      <c r="D77" s="4820"/>
      <c r="E77" s="4820"/>
      <c r="F77" s="4820"/>
      <c r="G77" s="4820"/>
      <c r="H77" s="4820"/>
      <c r="I77" s="4820"/>
      <c r="J77" s="4820"/>
      <c r="K77" s="4820"/>
      <c r="L77" s="39"/>
      <c r="M77" s="33"/>
      <c r="N77" s="33"/>
      <c r="O77" s="33"/>
      <c r="P77" s="33"/>
      <c r="Q77" s="3756"/>
      <c r="R77" s="3757"/>
      <c r="S77" s="3758"/>
      <c r="T77" s="33"/>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row>
    <row r="78" spans="1:80" ht="15" thickTop="1" x14ac:dyDescent="0.35"/>
  </sheetData>
  <mergeCells count="84">
    <mergeCell ref="D1:G1"/>
    <mergeCell ref="I1:J1"/>
    <mergeCell ref="L1:Q1"/>
    <mergeCell ref="D2:G2"/>
    <mergeCell ref="I2:J2"/>
    <mergeCell ref="L2:Q2"/>
    <mergeCell ref="A10:F10"/>
    <mergeCell ref="Q10:U10"/>
    <mergeCell ref="D3:G3"/>
    <mergeCell ref="B4:G4"/>
    <mergeCell ref="H4:U4"/>
    <mergeCell ref="A5:B5"/>
    <mergeCell ref="C5:U5"/>
    <mergeCell ref="A6:F6"/>
    <mergeCell ref="I6:P6"/>
    <mergeCell ref="Q6:U6"/>
    <mergeCell ref="Q7:U7"/>
    <mergeCell ref="A8:F8"/>
    <mergeCell ref="Q8:U8"/>
    <mergeCell ref="A9:F9"/>
    <mergeCell ref="Q9:U9"/>
    <mergeCell ref="A12:F12"/>
    <mergeCell ref="Q12:U12"/>
    <mergeCell ref="A13:F13"/>
    <mergeCell ref="Q13:U13"/>
    <mergeCell ref="A14:F14"/>
    <mergeCell ref="Q14:U14"/>
    <mergeCell ref="A15:F15"/>
    <mergeCell ref="Q15:U15"/>
    <mergeCell ref="A16:F16"/>
    <mergeCell ref="Q16:U16"/>
    <mergeCell ref="A17:F17"/>
    <mergeCell ref="Q17:U17"/>
    <mergeCell ref="A18:F18"/>
    <mergeCell ref="Q18:U18"/>
    <mergeCell ref="A20:F20"/>
    <mergeCell ref="Q20:U20"/>
    <mergeCell ref="A21:F21"/>
    <mergeCell ref="Q21:U21"/>
    <mergeCell ref="A22:F22"/>
    <mergeCell ref="Q22:U22"/>
    <mergeCell ref="A23:F23"/>
    <mergeCell ref="A24:F24"/>
    <mergeCell ref="A26:F26"/>
    <mergeCell ref="Q26:U26"/>
    <mergeCell ref="G28:R28"/>
    <mergeCell ref="A29:F29"/>
    <mergeCell ref="I29:J29"/>
    <mergeCell ref="K29:L29"/>
    <mergeCell ref="M29:N29"/>
    <mergeCell ref="O29:P29"/>
    <mergeCell ref="Q29:R29"/>
    <mergeCell ref="A41:F41"/>
    <mergeCell ref="A30:F30"/>
    <mergeCell ref="A31:F31"/>
    <mergeCell ref="A32:F32"/>
    <mergeCell ref="A33:F33"/>
    <mergeCell ref="A34:F34"/>
    <mergeCell ref="A35:F35"/>
    <mergeCell ref="A36:F36"/>
    <mergeCell ref="A37:F37"/>
    <mergeCell ref="A38:F38"/>
    <mergeCell ref="A39:F39"/>
    <mergeCell ref="A40:F40"/>
    <mergeCell ref="B64:C64"/>
    <mergeCell ref="A42:F42"/>
    <mergeCell ref="B52:E52"/>
    <mergeCell ref="F56:H56"/>
    <mergeCell ref="I56:Q56"/>
    <mergeCell ref="F57:G57"/>
    <mergeCell ref="I57:Q57"/>
    <mergeCell ref="F58:G58"/>
    <mergeCell ref="I58:Q58"/>
    <mergeCell ref="B61:C61"/>
    <mergeCell ref="B62:C62"/>
    <mergeCell ref="B63:C63"/>
    <mergeCell ref="A74:K77"/>
    <mergeCell ref="Q74:S77"/>
    <mergeCell ref="A67:K67"/>
    <mergeCell ref="Q67:S67"/>
    <mergeCell ref="A68:K71"/>
    <mergeCell ref="Q68:S71"/>
    <mergeCell ref="A73:K73"/>
    <mergeCell ref="Q73:S73"/>
  </mergeCells>
  <conditionalFormatting sqref="S2">
    <cfRule type="iconSet" priority="2">
      <iconSet iconSet="3Symbols2" showValue="0">
        <cfvo type="percent" val="0"/>
        <cfvo type="num" val="0"/>
        <cfvo type="num" val="10"/>
      </iconSet>
    </cfRule>
  </conditionalFormatting>
  <conditionalFormatting sqref="T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400-000000000000}">
      <formula1>AvancementTheme</formula1>
    </dataValidation>
  </dataValidations>
  <hyperlinks>
    <hyperlink ref="S1" location="DPDV_10BP3" display="PdV" xr:uid="{00000000-0004-0000-2400-000000000000}"/>
    <hyperlink ref="T1" location="DKPI_10BP3" display="KPI's" xr:uid="{00000000-0004-0000-2400-000001000000}"/>
  </hyperlinks>
  <pageMargins left="0.70866141732283472" right="0.70866141732283472" top="0.74803149606299213" bottom="0.74803149606299213" header="0.31496062992125984" footer="0.31496062992125984"/>
  <pageSetup paperSize="9" scale="35" orientation="portrait" r:id="rId1"/>
  <headerFooter>
    <oddHeader>&amp;LPAD Methodology (c) 2013-2014&amp;RStrategic Management Workshop</oddHeader>
    <oddFooter>&amp;L&amp;F&amp;C&amp;A&amp;RSituation au : &amp;D - page : &amp;P/&amp;N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5">
    <tabColor theme="0" tint="-0.14999847407452621"/>
    <pageSetUpPr fitToPage="1"/>
  </sheetPr>
  <dimension ref="A1:Q66"/>
  <sheetViews>
    <sheetView showGridLines="0" zoomScaleNormal="100" workbookViewId="0">
      <pane ySplit="5" topLeftCell="A6" activePane="bottomLeft" state="frozen"/>
      <selection activeCell="C5" sqref="C5:P5"/>
      <selection pane="bottomLeft" activeCell="E17" sqref="E17:H17"/>
    </sheetView>
  </sheetViews>
  <sheetFormatPr baseColWidth="10" defaultColWidth="11.453125" defaultRowHeight="14.5" x14ac:dyDescent="0.35"/>
  <cols>
    <col min="1" max="1" width="10.54296875" style="60" customWidth="1"/>
    <col min="2" max="2" width="11.453125" style="60"/>
    <col min="3" max="3" width="12.1796875" style="60" customWidth="1"/>
    <col min="4" max="4" width="18.7265625" style="60" customWidth="1"/>
    <col min="5" max="8" width="11.453125" style="60"/>
    <col min="9" max="9" width="10.81640625" style="60" customWidth="1"/>
    <col min="10" max="10" width="11.453125" style="60"/>
    <col min="11" max="11" width="10.26953125" style="60" customWidth="1"/>
    <col min="12" max="12" width="11.81640625" style="60" customWidth="1"/>
    <col min="13" max="14" width="10.54296875" style="60" customWidth="1"/>
    <col min="15" max="15" width="17.453125" style="60" customWidth="1"/>
    <col min="16" max="17" width="10.54296875" style="60" customWidth="1"/>
    <col min="18" max="16384" width="11.453125" style="60"/>
  </cols>
  <sheetData>
    <row r="1" spans="1:17" s="54" customFormat="1" ht="15" customHeight="1" x14ac:dyDescent="0.35">
      <c r="A1" s="389"/>
      <c r="B1" s="389"/>
      <c r="C1" s="389"/>
      <c r="D1" s="3341" t="s">
        <v>5</v>
      </c>
      <c r="E1" s="3341"/>
      <c r="F1" s="3341"/>
      <c r="G1" s="3341"/>
      <c r="H1" s="391"/>
      <c r="I1" s="3341" t="s">
        <v>6</v>
      </c>
      <c r="J1" s="3341"/>
      <c r="K1" s="389"/>
      <c r="L1" s="3341" t="s">
        <v>9</v>
      </c>
      <c r="M1" s="3341"/>
      <c r="N1" s="389"/>
      <c r="O1" s="392"/>
      <c r="P1" s="392"/>
      <c r="Q1" s="392"/>
    </row>
    <row r="2" spans="1:17" s="58" customFormat="1" ht="18" customHeight="1" x14ac:dyDescent="0.35">
      <c r="A2" s="393"/>
      <c r="B2" s="393"/>
      <c r="C2" s="393"/>
      <c r="D2" s="3342" t="str">
        <f>NomClient</f>
        <v xml:space="preserve">EQUINIX </v>
      </c>
      <c r="E2" s="3343"/>
      <c r="F2" s="3343"/>
      <c r="G2" s="3344"/>
      <c r="H2" s="393"/>
      <c r="I2" s="3345" t="s">
        <v>410</v>
      </c>
      <c r="J2" s="3346"/>
      <c r="K2" s="393"/>
      <c r="L2" s="3347">
        <v>41721.649074074077</v>
      </c>
      <c r="M2" s="3348"/>
      <c r="N2" s="394"/>
      <c r="O2" s="395"/>
      <c r="P2" s="395"/>
      <c r="Q2" s="395"/>
    </row>
    <row r="3" spans="1:17" ht="13.5" customHeight="1" thickBot="1" x14ac:dyDescent="0.4">
      <c r="A3" s="396"/>
      <c r="B3" s="396"/>
      <c r="C3" s="396"/>
      <c r="D3" s="3341" t="s">
        <v>1792</v>
      </c>
      <c r="E3" s="3341"/>
      <c r="F3" s="3341"/>
      <c r="G3" s="3341"/>
      <c r="H3" s="396"/>
      <c r="I3" s="396"/>
      <c r="J3" s="396"/>
      <c r="K3" s="396"/>
      <c r="L3" s="396"/>
      <c r="M3" s="396"/>
      <c r="N3" s="396"/>
      <c r="O3" s="396"/>
      <c r="P3" s="396"/>
      <c r="Q3" s="396"/>
    </row>
    <row r="4" spans="1:17" s="1" customFormat="1" ht="24.75" customHeight="1" thickBot="1" x14ac:dyDescent="0.4">
      <c r="A4" s="4914" t="str">
        <f>Parametre!B22 &amp; "  : "</f>
        <v xml:space="preserve">Logistique du WorkShop  : </v>
      </c>
      <c r="B4" s="4915"/>
      <c r="C4" s="4915"/>
      <c r="D4" s="4915"/>
      <c r="E4" s="4915"/>
      <c r="F4" s="4915"/>
      <c r="G4" s="4915"/>
      <c r="H4" s="4912" t="s">
        <v>1003</v>
      </c>
      <c r="I4" s="4912"/>
      <c r="J4" s="4912"/>
      <c r="K4" s="4912"/>
      <c r="L4" s="4912"/>
      <c r="M4" s="4912"/>
      <c r="N4" s="4912"/>
      <c r="O4" s="4912"/>
      <c r="P4" s="4912"/>
      <c r="Q4" s="4913"/>
    </row>
    <row r="5" spans="1:17" s="65" customFormat="1" ht="21.75" customHeight="1" thickBot="1" x14ac:dyDescent="0.4">
      <c r="A5" s="3336" t="s">
        <v>14</v>
      </c>
      <c r="B5" s="3336"/>
      <c r="C5" s="3337" t="s">
        <v>133</v>
      </c>
      <c r="D5" s="3337"/>
      <c r="E5" s="3337"/>
      <c r="F5" s="3337"/>
      <c r="G5" s="3337"/>
      <c r="H5" s="3337"/>
      <c r="I5" s="3337"/>
      <c r="J5" s="3337"/>
      <c r="K5" s="3337"/>
      <c r="L5" s="3337"/>
      <c r="M5" s="3337"/>
      <c r="N5" s="3337"/>
      <c r="O5" s="3337"/>
      <c r="P5" s="3337"/>
      <c r="Q5" s="380"/>
    </row>
    <row r="6" spans="1:17" ht="15" thickTop="1" x14ac:dyDescent="0.35">
      <c r="A6" s="381" t="s">
        <v>95</v>
      </c>
      <c r="B6" s="4925" t="s">
        <v>134</v>
      </c>
      <c r="C6" s="4925"/>
      <c r="D6" s="4925"/>
      <c r="E6" s="4925" t="s">
        <v>61</v>
      </c>
      <c r="F6" s="4925"/>
      <c r="G6" s="4925"/>
      <c r="H6" s="4926"/>
      <c r="I6" s="382"/>
      <c r="J6" s="385"/>
      <c r="K6" s="382"/>
      <c r="L6" s="382"/>
      <c r="M6" s="382"/>
      <c r="N6" s="382"/>
      <c r="O6" s="382"/>
      <c r="P6" s="382"/>
      <c r="Q6" s="382"/>
    </row>
    <row r="7" spans="1:17" s="21" customFormat="1" ht="15.5" x14ac:dyDescent="0.35">
      <c r="A7" s="4919" t="s">
        <v>135</v>
      </c>
      <c r="B7" s="4920"/>
      <c r="C7" s="4920"/>
      <c r="D7" s="4920"/>
      <c r="E7" s="4920"/>
      <c r="F7" s="4920"/>
      <c r="G7" s="4920"/>
      <c r="H7" s="4929"/>
      <c r="I7" s="383"/>
      <c r="J7" s="385"/>
      <c r="K7" s="382"/>
      <c r="L7" s="382"/>
      <c r="M7" s="382"/>
      <c r="N7" s="382"/>
      <c r="O7" s="382"/>
      <c r="P7" s="382"/>
      <c r="Q7" s="383"/>
    </row>
    <row r="8" spans="1:17" ht="15.5" x14ac:dyDescent="0.35">
      <c r="A8" s="4900"/>
      <c r="B8" s="4902" t="s">
        <v>136</v>
      </c>
      <c r="C8" s="4902"/>
      <c r="D8" s="4902"/>
      <c r="E8" s="4923">
        <v>2018</v>
      </c>
      <c r="F8" s="4923"/>
      <c r="G8" s="4923"/>
      <c r="H8" s="4924"/>
      <c r="I8" s="384"/>
      <c r="J8" s="385"/>
      <c r="K8" s="382"/>
      <c r="L8" s="382"/>
      <c r="M8" s="382"/>
      <c r="N8" s="382"/>
      <c r="O8" s="382"/>
      <c r="P8" s="382"/>
      <c r="Q8" s="382"/>
    </row>
    <row r="9" spans="1:17" ht="15.5" x14ac:dyDescent="0.35">
      <c r="A9" s="4901"/>
      <c r="B9" s="4902" t="s">
        <v>137</v>
      </c>
      <c r="C9" s="4902"/>
      <c r="D9" s="4902"/>
      <c r="E9" s="4927">
        <v>3</v>
      </c>
      <c r="F9" s="4927"/>
      <c r="G9" s="4927"/>
      <c r="H9" s="4928"/>
      <c r="I9" s="385"/>
      <c r="J9" s="385"/>
      <c r="K9" s="382"/>
      <c r="L9" s="382"/>
      <c r="M9" s="382"/>
      <c r="N9" s="382"/>
      <c r="O9" s="382"/>
      <c r="P9" s="382"/>
      <c r="Q9" s="382"/>
    </row>
    <row r="10" spans="1:17" s="21" customFormat="1" ht="15.5" x14ac:dyDescent="0.35">
      <c r="A10" s="4919" t="s">
        <v>53</v>
      </c>
      <c r="B10" s="4920"/>
      <c r="C10" s="4920"/>
      <c r="D10" s="4920"/>
      <c r="E10" s="4921"/>
      <c r="F10" s="4921"/>
      <c r="G10" s="4921"/>
      <c r="H10" s="4922"/>
      <c r="I10" s="386"/>
      <c r="J10" s="385"/>
      <c r="K10" s="382"/>
      <c r="L10" s="382"/>
      <c r="M10" s="382"/>
      <c r="N10" s="382"/>
      <c r="O10" s="382"/>
      <c r="P10" s="382"/>
      <c r="Q10" s="383"/>
    </row>
    <row r="11" spans="1:17" ht="15.75" customHeight="1" x14ac:dyDescent="0.35">
      <c r="A11" s="4940"/>
      <c r="B11" s="4902" t="s">
        <v>1156</v>
      </c>
      <c r="C11" s="4902"/>
      <c r="D11" s="4902"/>
      <c r="E11" s="4903">
        <v>1</v>
      </c>
      <c r="F11" s="4904"/>
      <c r="G11" s="4904"/>
      <c r="H11" s="4905"/>
      <c r="I11" s="1010"/>
      <c r="J11" s="385"/>
      <c r="K11" s="382"/>
      <c r="L11" s="382"/>
      <c r="M11" s="382"/>
      <c r="N11" s="382"/>
      <c r="O11" s="382"/>
      <c r="P11" s="382"/>
      <c r="Q11" s="382"/>
    </row>
    <row r="12" spans="1:17" ht="15.5" x14ac:dyDescent="0.35">
      <c r="A12" s="4941"/>
      <c r="B12" s="4902" t="s">
        <v>520</v>
      </c>
      <c r="C12" s="4902"/>
      <c r="D12" s="4902"/>
      <c r="E12" s="4923" t="s">
        <v>2324</v>
      </c>
      <c r="F12" s="4923"/>
      <c r="G12" s="4923"/>
      <c r="H12" s="4924"/>
      <c r="I12" s="385"/>
      <c r="J12" s="385"/>
      <c r="K12" s="382"/>
      <c r="L12" s="382"/>
      <c r="M12" s="382"/>
      <c r="N12" s="382"/>
      <c r="O12" s="382"/>
      <c r="P12" s="382"/>
      <c r="Q12" s="382"/>
    </row>
    <row r="13" spans="1:17" ht="15.5" x14ac:dyDescent="0.35">
      <c r="A13" s="4941"/>
      <c r="B13" s="4902" t="s">
        <v>522</v>
      </c>
      <c r="C13" s="4902"/>
      <c r="D13" s="4902"/>
      <c r="E13" s="4923" t="s">
        <v>2971</v>
      </c>
      <c r="F13" s="4923"/>
      <c r="G13" s="4923"/>
      <c r="H13" s="4924"/>
      <c r="I13" s="385"/>
      <c r="J13" s="385"/>
      <c r="K13" s="382"/>
      <c r="L13" s="382"/>
      <c r="M13" s="382"/>
      <c r="N13" s="382"/>
      <c r="O13" s="382"/>
      <c r="P13" s="382"/>
      <c r="Q13" s="382"/>
    </row>
    <row r="14" spans="1:17" ht="15.5" x14ac:dyDescent="0.35">
      <c r="A14" s="4942"/>
      <c r="B14" s="4902" t="s">
        <v>521</v>
      </c>
      <c r="C14" s="4902"/>
      <c r="D14" s="4902"/>
      <c r="E14" s="4923"/>
      <c r="F14" s="4923"/>
      <c r="G14" s="4923"/>
      <c r="H14" s="4924"/>
      <c r="I14" s="382"/>
      <c r="J14" s="382"/>
      <c r="K14" s="382"/>
      <c r="L14" s="382"/>
      <c r="M14" s="382"/>
      <c r="N14" s="382"/>
      <c r="O14" s="382"/>
      <c r="P14" s="382"/>
      <c r="Q14" s="382"/>
    </row>
    <row r="15" spans="1:17" s="102" customFormat="1" ht="15.5" x14ac:dyDescent="0.35">
      <c r="A15" s="4909" t="s">
        <v>318</v>
      </c>
      <c r="B15" s="4910"/>
      <c r="C15" s="4910"/>
      <c r="D15" s="4910"/>
      <c r="E15" s="4910"/>
      <c r="F15" s="4910"/>
      <c r="G15" s="4910"/>
      <c r="H15" s="4911"/>
      <c r="I15" s="387"/>
      <c r="J15" s="387"/>
      <c r="K15" s="387"/>
      <c r="L15" s="387"/>
      <c r="M15" s="387"/>
      <c r="N15" s="387"/>
      <c r="O15" s="387"/>
      <c r="P15" s="387"/>
      <c r="Q15" s="387"/>
    </row>
    <row r="16" spans="1:17" ht="15.5" x14ac:dyDescent="0.35">
      <c r="A16" s="4900"/>
      <c r="B16" s="4933" t="s">
        <v>320</v>
      </c>
      <c r="C16" s="4934"/>
      <c r="D16" s="4935"/>
      <c r="E16" s="4903" t="s">
        <v>2324</v>
      </c>
      <c r="F16" s="4904"/>
      <c r="G16" s="4904"/>
      <c r="H16" s="4905"/>
      <c r="I16" s="382"/>
      <c r="J16" s="382"/>
      <c r="K16" s="382"/>
      <c r="L16" s="382"/>
      <c r="M16" s="382"/>
      <c r="N16" s="382"/>
      <c r="O16" s="382"/>
      <c r="P16" s="382"/>
      <c r="Q16" s="382"/>
    </row>
    <row r="17" spans="1:17" ht="16" thickBot="1" x14ac:dyDescent="0.4">
      <c r="A17" s="4939"/>
      <c r="B17" s="4930" t="s">
        <v>319</v>
      </c>
      <c r="C17" s="4931"/>
      <c r="D17" s="4932"/>
      <c r="E17" s="4936" t="s">
        <v>2971</v>
      </c>
      <c r="F17" s="4937"/>
      <c r="G17" s="4937"/>
      <c r="H17" s="4938"/>
      <c r="I17" s="382"/>
      <c r="J17" s="382"/>
      <c r="K17" s="382"/>
      <c r="L17" s="382"/>
      <c r="M17" s="382"/>
      <c r="N17" s="382"/>
      <c r="O17" s="382"/>
      <c r="P17" s="382"/>
      <c r="Q17" s="382"/>
    </row>
    <row r="18" spans="1:17" ht="15" thickTop="1" x14ac:dyDescent="0.35">
      <c r="A18" s="388"/>
      <c r="B18" s="4276"/>
      <c r="C18" s="4276"/>
      <c r="D18" s="4276"/>
      <c r="E18" s="4276"/>
      <c r="F18" s="4276"/>
      <c r="G18" s="4276"/>
      <c r="H18" s="4276"/>
      <c r="I18" s="385"/>
      <c r="J18" s="385"/>
      <c r="K18" s="382"/>
      <c r="L18" s="382"/>
      <c r="M18" s="382"/>
      <c r="N18" s="382"/>
      <c r="O18" s="382"/>
      <c r="P18" s="382"/>
      <c r="Q18" s="382"/>
    </row>
    <row r="19" spans="1:17" ht="15" hidden="1" thickBot="1" x14ac:dyDescent="0.4">
      <c r="A19" s="388"/>
      <c r="B19" s="4276"/>
      <c r="C19" s="4276"/>
      <c r="D19" s="4276"/>
      <c r="E19" s="4276"/>
      <c r="F19" s="4276"/>
      <c r="G19" s="4276"/>
      <c r="H19" s="4276"/>
      <c r="I19" s="385"/>
      <c r="J19" s="385"/>
      <c r="K19" s="382"/>
      <c r="L19" s="382"/>
      <c r="M19" s="382"/>
      <c r="N19" s="382"/>
      <c r="O19" s="382"/>
      <c r="P19" s="382"/>
      <c r="Q19" s="382"/>
    </row>
    <row r="20" spans="1:17" ht="16" hidden="1" thickTop="1" x14ac:dyDescent="0.35">
      <c r="A20" s="4906" t="s">
        <v>2159</v>
      </c>
      <c r="B20" s="4907" t="s">
        <v>2160</v>
      </c>
      <c r="C20" s="4907"/>
      <c r="D20" s="4907"/>
      <c r="E20" s="4907" t="s">
        <v>2161</v>
      </c>
      <c r="F20" s="4907"/>
      <c r="G20" s="4907"/>
      <c r="H20" s="4908"/>
      <c r="I20" s="99"/>
      <c r="J20" s="99"/>
      <c r="K20" s="99"/>
      <c r="L20" s="99"/>
      <c r="M20" s="99"/>
      <c r="N20" s="99"/>
      <c r="O20" s="99"/>
      <c r="P20" s="99"/>
      <c r="Q20" s="99"/>
    </row>
    <row r="21" spans="1:17" s="65" customFormat="1" ht="30" hidden="1" customHeight="1" x14ac:dyDescent="0.35">
      <c r="A21" s="2505" t="s">
        <v>2162</v>
      </c>
      <c r="B21" s="4916">
        <v>1</v>
      </c>
      <c r="C21" s="4916"/>
      <c r="D21" s="4916"/>
      <c r="E21" s="4917" t="s">
        <v>2163</v>
      </c>
      <c r="F21" s="4917"/>
      <c r="G21" s="4917"/>
      <c r="H21" s="4918"/>
      <c r="I21" s="197"/>
      <c r="J21" s="197"/>
      <c r="K21" s="197"/>
      <c r="L21" s="197"/>
      <c r="M21" s="197"/>
      <c r="N21" s="197"/>
      <c r="O21" s="197"/>
      <c r="P21" s="197"/>
      <c r="Q21" s="197"/>
    </row>
    <row r="22" spans="1:17" hidden="1" x14ac:dyDescent="0.35">
      <c r="A22" s="2506"/>
      <c r="B22" s="2507"/>
      <c r="C22" s="2507"/>
      <c r="D22" s="2507"/>
      <c r="E22" s="2507"/>
      <c r="F22" s="2507"/>
      <c r="G22" s="2507"/>
      <c r="H22" s="2508"/>
      <c r="I22" s="99"/>
      <c r="J22" s="99"/>
      <c r="K22" s="99"/>
      <c r="L22" s="99"/>
      <c r="M22" s="99"/>
      <c r="N22" s="99"/>
      <c r="O22" s="99"/>
      <c r="P22" s="99"/>
      <c r="Q22" s="99"/>
    </row>
    <row r="23" spans="1:17" hidden="1" x14ac:dyDescent="0.35">
      <c r="A23" s="2509"/>
      <c r="B23" s="4896"/>
      <c r="C23" s="4896"/>
      <c r="D23" s="4896"/>
      <c r="E23" s="4896"/>
      <c r="F23" s="4896"/>
      <c r="G23" s="4896"/>
      <c r="H23" s="4897"/>
      <c r="I23" s="99"/>
      <c r="J23" s="99"/>
      <c r="K23" s="99"/>
      <c r="L23" s="99"/>
      <c r="M23" s="99"/>
      <c r="N23" s="99"/>
      <c r="O23" s="99"/>
      <c r="P23" s="99"/>
      <c r="Q23" s="99"/>
    </row>
    <row r="24" spans="1:17" ht="15.5" hidden="1" x14ac:dyDescent="0.35">
      <c r="A24" s="4909" t="s">
        <v>2164</v>
      </c>
      <c r="B24" s="4910"/>
      <c r="C24" s="4910"/>
      <c r="D24" s="4910"/>
      <c r="E24" s="4910"/>
      <c r="F24" s="4910"/>
      <c r="G24" s="4910"/>
      <c r="H24" s="4911"/>
      <c r="I24" s="385"/>
      <c r="J24" s="385"/>
      <c r="K24" s="382"/>
      <c r="L24" s="382"/>
      <c r="M24" s="382"/>
      <c r="N24" s="382"/>
      <c r="O24" s="382"/>
      <c r="P24" s="382"/>
      <c r="Q24" s="382"/>
    </row>
    <row r="25" spans="1:17" hidden="1" x14ac:dyDescent="0.35">
      <c r="A25" s="2510" t="s">
        <v>2165</v>
      </c>
      <c r="B25" s="2511"/>
      <c r="C25" s="2511"/>
      <c r="D25" s="2577" t="s">
        <v>1636</v>
      </c>
      <c r="E25" s="4898" t="s">
        <v>2166</v>
      </c>
      <c r="F25" s="4898"/>
      <c r="G25" s="4898"/>
      <c r="H25" s="4899"/>
      <c r="I25" s="385"/>
      <c r="J25" s="385"/>
      <c r="K25" s="382"/>
      <c r="L25" s="382"/>
      <c r="M25" s="382"/>
      <c r="N25" s="382"/>
      <c r="O25" s="382"/>
      <c r="P25" s="382"/>
      <c r="Q25" s="382"/>
    </row>
    <row r="26" spans="1:17" hidden="1" x14ac:dyDescent="0.35">
      <c r="A26" s="2510" t="s">
        <v>2167</v>
      </c>
      <c r="B26" s="2511"/>
      <c r="C26" s="2511"/>
      <c r="D26" s="2577" t="s">
        <v>1868</v>
      </c>
      <c r="E26" s="4898" t="s">
        <v>2252</v>
      </c>
      <c r="F26" s="4898"/>
      <c r="G26" s="4898"/>
      <c r="H26" s="4899"/>
      <c r="I26" s="385"/>
      <c r="J26" s="385"/>
      <c r="K26" s="382"/>
      <c r="L26" s="382"/>
      <c r="M26" s="382"/>
      <c r="N26" s="382"/>
      <c r="O26" s="382"/>
      <c r="P26" s="382"/>
      <c r="Q26" s="382"/>
    </row>
    <row r="27" spans="1:17" hidden="1" x14ac:dyDescent="0.35">
      <c r="A27" s="2506"/>
      <c r="B27" s="4896"/>
      <c r="C27" s="4896"/>
      <c r="D27" s="4896"/>
      <c r="E27" s="4896"/>
      <c r="F27" s="4896"/>
      <c r="G27" s="4896"/>
      <c r="H27" s="4897"/>
      <c r="I27" s="99"/>
      <c r="J27" s="99"/>
      <c r="K27" s="99"/>
      <c r="L27" s="99"/>
      <c r="M27" s="99"/>
      <c r="N27" s="99"/>
      <c r="O27" s="99"/>
      <c r="P27" s="99"/>
      <c r="Q27" s="99"/>
    </row>
    <row r="28" spans="1:17" ht="15.5" hidden="1" x14ac:dyDescent="0.35">
      <c r="A28" s="2512" t="s">
        <v>2168</v>
      </c>
      <c r="B28" s="2513"/>
      <c r="C28" s="2513"/>
      <c r="D28" s="2513"/>
      <c r="E28" s="4890" t="s">
        <v>2169</v>
      </c>
      <c r="F28" s="4890"/>
      <c r="G28" s="4890"/>
      <c r="H28" s="4891"/>
      <c r="I28" s="99"/>
      <c r="J28" s="99"/>
      <c r="K28" s="99"/>
      <c r="L28" s="99"/>
      <c r="M28" s="99"/>
      <c r="N28" s="99"/>
      <c r="O28" s="99"/>
      <c r="P28" s="99"/>
      <c r="Q28" s="99"/>
    </row>
    <row r="29" spans="1:17" hidden="1" x14ac:dyDescent="0.35">
      <c r="A29" s="2506" t="s">
        <v>2241</v>
      </c>
      <c r="B29" s="4892" t="s">
        <v>2170</v>
      </c>
      <c r="C29" s="4892"/>
      <c r="D29" s="4892"/>
      <c r="E29" s="4893" t="s">
        <v>2171</v>
      </c>
      <c r="F29" s="4893"/>
      <c r="G29" s="4893"/>
      <c r="H29" s="4894"/>
      <c r="I29" s="99"/>
      <c r="J29" s="99"/>
      <c r="K29" s="99"/>
      <c r="L29" s="99"/>
      <c r="M29" s="99"/>
      <c r="N29" s="99"/>
      <c r="O29" s="99"/>
      <c r="P29" s="99"/>
      <c r="Q29" s="99"/>
    </row>
    <row r="30" spans="1:17" hidden="1" x14ac:dyDescent="0.35">
      <c r="A30" s="2509" t="s">
        <v>2242</v>
      </c>
      <c r="B30" s="4895" t="s">
        <v>2172</v>
      </c>
      <c r="C30" s="4895"/>
      <c r="D30" s="4895"/>
      <c r="E30" s="4896" t="s">
        <v>2173</v>
      </c>
      <c r="F30" s="4896"/>
      <c r="G30" s="4896"/>
      <c r="H30" s="4897"/>
      <c r="I30" s="99"/>
      <c r="J30" s="99"/>
      <c r="K30" s="99"/>
      <c r="L30" s="99"/>
      <c r="M30" s="99"/>
      <c r="N30" s="99"/>
      <c r="O30" s="99"/>
      <c r="P30" s="99"/>
      <c r="Q30" s="99"/>
    </row>
    <row r="31" spans="1:17" hidden="1" x14ac:dyDescent="0.35">
      <c r="A31" s="2509"/>
      <c r="B31" s="100"/>
      <c r="C31" s="100"/>
      <c r="D31" s="100"/>
      <c r="E31" s="100"/>
      <c r="F31" s="100"/>
      <c r="G31" s="100"/>
      <c r="H31" s="2514"/>
      <c r="I31" s="99"/>
      <c r="J31" s="99"/>
      <c r="K31" s="99"/>
      <c r="L31" s="99"/>
      <c r="M31" s="99"/>
      <c r="N31" s="99"/>
      <c r="O31" s="99"/>
      <c r="P31" s="99"/>
      <c r="Q31" s="99"/>
    </row>
    <row r="32" spans="1:17" hidden="1" x14ac:dyDescent="0.35">
      <c r="A32" s="2509"/>
      <c r="B32" s="100"/>
      <c r="C32" s="100"/>
      <c r="D32" s="100"/>
      <c r="E32" s="100"/>
      <c r="F32" s="100"/>
      <c r="G32" s="100"/>
      <c r="H32" s="2514"/>
      <c r="I32" s="99"/>
      <c r="J32" s="99"/>
      <c r="K32" s="99"/>
      <c r="L32" s="99"/>
      <c r="M32" s="99"/>
      <c r="N32" s="99"/>
      <c r="O32" s="99"/>
      <c r="P32" s="99"/>
      <c r="Q32" s="99"/>
    </row>
    <row r="33" spans="1:9" ht="15.5" hidden="1" x14ac:dyDescent="0.35">
      <c r="A33" s="2512" t="s">
        <v>2174</v>
      </c>
      <c r="B33" s="2513"/>
      <c r="C33" s="2513"/>
      <c r="D33" s="2513" t="s">
        <v>2175</v>
      </c>
      <c r="E33" s="4890" t="s">
        <v>2169</v>
      </c>
      <c r="F33" s="4890"/>
      <c r="G33" s="4890"/>
      <c r="H33" s="4891"/>
    </row>
    <row r="34" spans="1:9" hidden="1" x14ac:dyDescent="0.35">
      <c r="A34" s="2515" t="s">
        <v>2176</v>
      </c>
      <c r="B34" s="2516" t="s">
        <v>2177</v>
      </c>
      <c r="C34" s="2516"/>
      <c r="D34" s="2578">
        <v>3</v>
      </c>
      <c r="E34" s="101"/>
      <c r="F34" s="101" t="s">
        <v>2178</v>
      </c>
      <c r="G34" s="101"/>
      <c r="H34" s="2517"/>
    </row>
    <row r="35" spans="1:9" hidden="1" x14ac:dyDescent="0.35">
      <c r="A35" s="2515" t="s">
        <v>2179</v>
      </c>
      <c r="B35" s="2518" t="s">
        <v>2180</v>
      </c>
      <c r="C35" s="101"/>
      <c r="D35" s="2579">
        <v>0.3</v>
      </c>
      <c r="E35" s="101"/>
      <c r="F35" s="103" t="s">
        <v>2181</v>
      </c>
      <c r="G35" s="101"/>
      <c r="H35" s="2517"/>
    </row>
    <row r="36" spans="1:9" hidden="1" x14ac:dyDescent="0.35">
      <c r="A36" s="2515"/>
      <c r="B36" s="2518" t="s">
        <v>2182</v>
      </c>
      <c r="C36" s="101"/>
      <c r="D36" s="2580">
        <v>0.3</v>
      </c>
      <c r="E36" s="101"/>
      <c r="F36" s="101" t="s">
        <v>1696</v>
      </c>
      <c r="G36" s="101"/>
      <c r="H36" s="2517"/>
    </row>
    <row r="37" spans="1:9" hidden="1" x14ac:dyDescent="0.35">
      <c r="A37" s="2515" t="s">
        <v>2183</v>
      </c>
      <c r="B37" s="2516" t="s">
        <v>1902</v>
      </c>
      <c r="C37" s="2516"/>
      <c r="D37" s="2581">
        <v>0.3</v>
      </c>
      <c r="E37" s="101"/>
      <c r="F37" s="101"/>
      <c r="G37" s="101"/>
      <c r="H37" s="2517"/>
    </row>
    <row r="38" spans="1:9" hidden="1" x14ac:dyDescent="0.35">
      <c r="A38" s="2515"/>
      <c r="B38" s="2516" t="s">
        <v>2184</v>
      </c>
      <c r="C38" s="2516"/>
      <c r="D38" s="2581">
        <v>0</v>
      </c>
      <c r="E38" s="101"/>
      <c r="F38" s="101"/>
      <c r="G38" s="101"/>
      <c r="H38" s="2517"/>
    </row>
    <row r="39" spans="1:9" hidden="1" x14ac:dyDescent="0.35">
      <c r="A39" s="2515"/>
      <c r="B39" s="2516" t="s">
        <v>2185</v>
      </c>
      <c r="C39" s="2516"/>
      <c r="D39" s="2581">
        <v>0</v>
      </c>
      <c r="E39" s="101"/>
      <c r="F39" s="101"/>
      <c r="G39" s="101"/>
      <c r="H39" s="2517"/>
    </row>
    <row r="40" spans="1:9" ht="15" hidden="1" thickBot="1" x14ac:dyDescent="0.4">
      <c r="A40" s="2519"/>
      <c r="B40" s="2520"/>
      <c r="C40" s="2521"/>
      <c r="D40" s="2521"/>
      <c r="E40" s="2521"/>
      <c r="F40" s="2521"/>
      <c r="G40" s="2521"/>
      <c r="H40" s="2522"/>
    </row>
    <row r="41" spans="1:9" ht="15" hidden="1" thickTop="1" x14ac:dyDescent="0.35"/>
    <row r="42" spans="1:9" ht="15" hidden="1" thickBot="1" x14ac:dyDescent="0.4"/>
    <row r="43" spans="1:9" customFormat="1" ht="30" hidden="1" customHeight="1" thickBot="1" x14ac:dyDescent="0.4">
      <c r="E43" s="4880" t="s">
        <v>2142</v>
      </c>
      <c r="F43" s="4881"/>
      <c r="G43" s="4881"/>
      <c r="H43" s="4881"/>
      <c r="I43" s="4882"/>
    </row>
    <row r="44" spans="1:9" customFormat="1" hidden="1" x14ac:dyDescent="0.35"/>
    <row r="45" spans="1:9" customFormat="1" ht="15" hidden="1" thickBot="1" x14ac:dyDescent="0.4"/>
    <row r="46" spans="1:9" customFormat="1" hidden="1" x14ac:dyDescent="0.35">
      <c r="F46" s="4883" t="s">
        <v>2143</v>
      </c>
      <c r="G46" s="4884"/>
      <c r="H46" s="4885"/>
    </row>
    <row r="47" spans="1:9" customFormat="1" ht="15" hidden="1" thickBot="1" x14ac:dyDescent="0.4">
      <c r="F47" s="4886"/>
      <c r="G47" s="4887"/>
      <c r="H47" s="4888"/>
    </row>
    <row r="48" spans="1:9" customFormat="1" hidden="1" x14ac:dyDescent="0.35">
      <c r="F48" s="344"/>
      <c r="G48" s="344"/>
      <c r="H48" s="344"/>
    </row>
    <row r="49" spans="3:10" customFormat="1" hidden="1" x14ac:dyDescent="0.35">
      <c r="E49" t="s">
        <v>2144</v>
      </c>
      <c r="I49" t="s">
        <v>2145</v>
      </c>
    </row>
    <row r="50" spans="3:10" customFormat="1" ht="15" hidden="1" thickBot="1" x14ac:dyDescent="0.4"/>
    <row r="51" spans="3:10" customFormat="1" ht="15" hidden="1" thickBot="1" x14ac:dyDescent="0.4">
      <c r="C51" s="4878" t="s">
        <v>2146</v>
      </c>
      <c r="D51" s="4889"/>
      <c r="E51" s="4879"/>
      <c r="I51" s="4878" t="s">
        <v>2147</v>
      </c>
      <c r="J51" s="4879"/>
    </row>
    <row r="52" spans="3:10" customFormat="1" hidden="1" x14ac:dyDescent="0.35"/>
    <row r="53" spans="3:10" customFormat="1" hidden="1" x14ac:dyDescent="0.35"/>
    <row r="54" spans="3:10" customFormat="1" hidden="1" x14ac:dyDescent="0.35">
      <c r="C54" s="2502" t="s">
        <v>2148</v>
      </c>
      <c r="E54" s="2503" t="s">
        <v>2149</v>
      </c>
      <c r="F54" s="2503"/>
    </row>
    <row r="55" spans="3:10" customFormat="1" ht="15" hidden="1" thickBot="1" x14ac:dyDescent="0.4">
      <c r="E55" s="2503" t="s">
        <v>2150</v>
      </c>
      <c r="F55" s="2503"/>
    </row>
    <row r="56" spans="3:10" customFormat="1" ht="15" hidden="1" thickBot="1" x14ac:dyDescent="0.4">
      <c r="C56" s="2504" t="s">
        <v>2151</v>
      </c>
      <c r="D56" t="s">
        <v>2152</v>
      </c>
      <c r="E56" s="4878" t="s">
        <v>2153</v>
      </c>
      <c r="F56" s="4879"/>
    </row>
    <row r="57" spans="3:10" customFormat="1" hidden="1" x14ac:dyDescent="0.35"/>
    <row r="58" spans="3:10" customFormat="1" hidden="1" x14ac:dyDescent="0.35"/>
    <row r="59" spans="3:10" customFormat="1" hidden="1" x14ac:dyDescent="0.35">
      <c r="C59" t="s">
        <v>2154</v>
      </c>
      <c r="E59" t="s">
        <v>2155</v>
      </c>
    </row>
    <row r="60" spans="3:10" customFormat="1" ht="15" hidden="1" thickBot="1" x14ac:dyDescent="0.4">
      <c r="E60" t="s">
        <v>2156</v>
      </c>
    </row>
    <row r="61" spans="3:10" customFormat="1" ht="15" hidden="1" thickBot="1" x14ac:dyDescent="0.4">
      <c r="C61" s="2504" t="s">
        <v>208</v>
      </c>
      <c r="E61" s="4878" t="s">
        <v>1722</v>
      </c>
      <c r="F61" s="4879"/>
    </row>
    <row r="62" spans="3:10" customFormat="1" hidden="1" x14ac:dyDescent="0.35"/>
    <row r="63" spans="3:10" customFormat="1" hidden="1" x14ac:dyDescent="0.35">
      <c r="C63" t="s">
        <v>2157</v>
      </c>
    </row>
    <row r="64" spans="3:10" customFormat="1" ht="15" hidden="1" thickBot="1" x14ac:dyDescent="0.4"/>
    <row r="65" spans="3:3" customFormat="1" ht="15" hidden="1" thickBot="1" x14ac:dyDescent="0.4">
      <c r="C65" s="2504" t="s">
        <v>2158</v>
      </c>
    </row>
    <row r="66" spans="3:3" customFormat="1" hidden="1" x14ac:dyDescent="0.35"/>
  </sheetData>
  <mergeCells count="61">
    <mergeCell ref="D3:G3"/>
    <mergeCell ref="B18:D18"/>
    <mergeCell ref="E18:H18"/>
    <mergeCell ref="B12:D12"/>
    <mergeCell ref="E12:H12"/>
    <mergeCell ref="B13:D13"/>
    <mergeCell ref="E13:H13"/>
    <mergeCell ref="A15:H15"/>
    <mergeCell ref="B17:D17"/>
    <mergeCell ref="B16:D16"/>
    <mergeCell ref="E16:H16"/>
    <mergeCell ref="E17:H17"/>
    <mergeCell ref="A16:A17"/>
    <mergeCell ref="A11:A14"/>
    <mergeCell ref="A5:B5"/>
    <mergeCell ref="C5:P5"/>
    <mergeCell ref="H4:Q4"/>
    <mergeCell ref="A4:G4"/>
    <mergeCell ref="B19:D19"/>
    <mergeCell ref="E19:H19"/>
    <mergeCell ref="B21:D21"/>
    <mergeCell ref="E21:H21"/>
    <mergeCell ref="A10:H10"/>
    <mergeCell ref="B14:D14"/>
    <mergeCell ref="E14:H14"/>
    <mergeCell ref="B6:D6"/>
    <mergeCell ref="E6:H6"/>
    <mergeCell ref="B8:D8"/>
    <mergeCell ref="E8:H8"/>
    <mergeCell ref="B9:D9"/>
    <mergeCell ref="E9:H9"/>
    <mergeCell ref="A7:H7"/>
    <mergeCell ref="D1:G1"/>
    <mergeCell ref="I1:J1"/>
    <mergeCell ref="L1:M1"/>
    <mergeCell ref="D2:G2"/>
    <mergeCell ref="I2:J2"/>
    <mergeCell ref="L2:M2"/>
    <mergeCell ref="A8:A9"/>
    <mergeCell ref="B11:D11"/>
    <mergeCell ref="E11:H11"/>
    <mergeCell ref="A20:H20"/>
    <mergeCell ref="A24:H24"/>
    <mergeCell ref="E25:H25"/>
    <mergeCell ref="E26:H26"/>
    <mergeCell ref="B27:D27"/>
    <mergeCell ref="E27:H27"/>
    <mergeCell ref="B23:D23"/>
    <mergeCell ref="E23:H23"/>
    <mergeCell ref="E33:H33"/>
    <mergeCell ref="E28:H28"/>
    <mergeCell ref="B29:D29"/>
    <mergeCell ref="E29:H29"/>
    <mergeCell ref="B30:D30"/>
    <mergeCell ref="E30:H30"/>
    <mergeCell ref="E56:F56"/>
    <mergeCell ref="E61:F61"/>
    <mergeCell ref="E43:I43"/>
    <mergeCell ref="F46:H47"/>
    <mergeCell ref="C51:E51"/>
    <mergeCell ref="I51:J51"/>
  </mergeCells>
  <conditionalFormatting sqref="O2">
    <cfRule type="iconSet" priority="3">
      <iconSet iconSet="3Symbols2" showValue="0">
        <cfvo type="percent" val="0"/>
        <cfvo type="num" val="0"/>
        <cfvo type="num" val="10"/>
      </iconSet>
    </cfRule>
  </conditionalFormatting>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2">
    <dataValidation type="list" allowBlank="1" showInputMessage="1" showErrorMessage="1" sqref="I2" xr:uid="{00000000-0002-0000-2500-000000000000}">
      <formula1>AvancementTheme</formula1>
    </dataValidation>
    <dataValidation type="whole" allowBlank="1" showInputMessage="1" showErrorMessage="1" sqref="E11:H11" xr:uid="{00000000-0002-0000-2500-000001000000}">
      <formula1>1</formula1>
      <formula2>3</formula2>
    </dataValidation>
  </dataValidation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4">
    <tabColor theme="1"/>
    <pageSetUpPr fitToPage="1"/>
  </sheetPr>
  <dimension ref="A1:O40"/>
  <sheetViews>
    <sheetView showGridLines="0" showRowColHeaders="0" zoomScaleNormal="100" workbookViewId="0">
      <selection activeCell="C7" sqref="C7"/>
    </sheetView>
  </sheetViews>
  <sheetFormatPr baseColWidth="10" defaultRowHeight="14.5" x14ac:dyDescent="0.35"/>
  <cols>
    <col min="1" max="1" width="15.453125" customWidth="1"/>
    <col min="2" max="2" width="35.1796875" customWidth="1"/>
    <col min="3" max="3" width="16.7265625" customWidth="1"/>
  </cols>
  <sheetData>
    <row r="1" spans="1:15" ht="96.75" customHeight="1" x14ac:dyDescent="0.35">
      <c r="C1" s="4943" t="s">
        <v>131</v>
      </c>
      <c r="D1" s="4943"/>
      <c r="E1" s="4943"/>
      <c r="F1" s="4943"/>
      <c r="G1" s="4943"/>
      <c r="H1" s="4943"/>
      <c r="I1" s="4943"/>
      <c r="J1" s="4943"/>
      <c r="K1" s="4943"/>
      <c r="L1" s="4943"/>
      <c r="M1" s="4943"/>
      <c r="N1" s="4943"/>
      <c r="O1" s="4943"/>
    </row>
    <row r="2" spans="1:15" x14ac:dyDescent="0.35">
      <c r="A2" t="s">
        <v>0</v>
      </c>
    </row>
    <row r="3" spans="1:15" x14ac:dyDescent="0.35">
      <c r="B3" t="s">
        <v>406</v>
      </c>
    </row>
    <row r="4" spans="1:15" x14ac:dyDescent="0.35">
      <c r="B4" t="s">
        <v>407</v>
      </c>
    </row>
    <row r="5" spans="1:15" x14ac:dyDescent="0.35">
      <c r="B5" t="s">
        <v>408</v>
      </c>
    </row>
    <row r="6" spans="1:15" x14ac:dyDescent="0.35">
      <c r="B6" t="s">
        <v>409</v>
      </c>
    </row>
    <row r="7" spans="1:15" x14ac:dyDescent="0.35">
      <c r="B7" t="s">
        <v>410</v>
      </c>
    </row>
    <row r="9" spans="1:15" x14ac:dyDescent="0.35">
      <c r="A9" t="s">
        <v>145</v>
      </c>
    </row>
    <row r="10" spans="1:15" x14ac:dyDescent="0.35">
      <c r="B10" t="s">
        <v>146</v>
      </c>
    </row>
    <row r="11" spans="1:15" x14ac:dyDescent="0.35">
      <c r="B11" t="s">
        <v>1</v>
      </c>
    </row>
    <row r="12" spans="1:15" x14ac:dyDescent="0.35">
      <c r="B12" t="s">
        <v>147</v>
      </c>
    </row>
    <row r="14" spans="1:15" x14ac:dyDescent="0.35">
      <c r="A14" t="s">
        <v>150</v>
      </c>
    </row>
    <row r="15" spans="1:15" x14ac:dyDescent="0.35">
      <c r="B15" t="s">
        <v>741</v>
      </c>
    </row>
    <row r="16" spans="1:15" x14ac:dyDescent="0.35">
      <c r="B16" t="s">
        <v>151</v>
      </c>
    </row>
    <row r="17" spans="1:4" x14ac:dyDescent="0.35">
      <c r="B17" t="s">
        <v>742</v>
      </c>
    </row>
    <row r="18" spans="1:4" x14ac:dyDescent="0.35">
      <c r="B18" t="s">
        <v>1922</v>
      </c>
      <c r="C18" t="s">
        <v>1923</v>
      </c>
    </row>
    <row r="19" spans="1:4" x14ac:dyDescent="0.35">
      <c r="A19" t="s">
        <v>4</v>
      </c>
      <c r="B19" s="2266" t="s">
        <v>2286</v>
      </c>
      <c r="C19" s="2265" t="s">
        <v>2972</v>
      </c>
    </row>
    <row r="21" spans="1:4" x14ac:dyDescent="0.35">
      <c r="A21" t="s">
        <v>49</v>
      </c>
    </row>
    <row r="22" spans="1:4" x14ac:dyDescent="0.35">
      <c r="A22" s="9" t="s">
        <v>80</v>
      </c>
      <c r="B22" t="s">
        <v>43</v>
      </c>
      <c r="C22" t="s">
        <v>50</v>
      </c>
      <c r="D22" t="s">
        <v>79</v>
      </c>
    </row>
    <row r="23" spans="1:4" x14ac:dyDescent="0.35">
      <c r="A23" s="9" t="s">
        <v>81</v>
      </c>
      <c r="B23" t="s">
        <v>971</v>
      </c>
      <c r="C23" t="s">
        <v>51</v>
      </c>
      <c r="D23" t="s">
        <v>66</v>
      </c>
    </row>
    <row r="24" spans="1:4" x14ac:dyDescent="0.35">
      <c r="A24" s="9" t="s">
        <v>82</v>
      </c>
      <c r="B24" t="s">
        <v>52</v>
      </c>
      <c r="C24" t="s">
        <v>19</v>
      </c>
      <c r="D24" t="s">
        <v>67</v>
      </c>
    </row>
    <row r="25" spans="1:4" x14ac:dyDescent="0.35">
      <c r="A25" s="9" t="s">
        <v>83</v>
      </c>
      <c r="B25" t="s">
        <v>69</v>
      </c>
      <c r="C25" t="s">
        <v>53</v>
      </c>
      <c r="D25" t="s">
        <v>68</v>
      </c>
    </row>
    <row r="26" spans="1:4" x14ac:dyDescent="0.35">
      <c r="A26" s="9" t="s">
        <v>84</v>
      </c>
      <c r="B26" t="s">
        <v>71</v>
      </c>
      <c r="C26" t="s">
        <v>54</v>
      </c>
      <c r="D26" t="s">
        <v>70</v>
      </c>
    </row>
    <row r="27" spans="1:4" x14ac:dyDescent="0.35">
      <c r="A27" s="9" t="s">
        <v>85</v>
      </c>
      <c r="B27" t="s">
        <v>55</v>
      </c>
      <c r="C27" t="s">
        <v>13</v>
      </c>
      <c r="D27" t="s">
        <v>72</v>
      </c>
    </row>
    <row r="28" spans="1:4" x14ac:dyDescent="0.35">
      <c r="A28" s="9" t="s">
        <v>86</v>
      </c>
      <c r="B28" t="s">
        <v>57</v>
      </c>
      <c r="C28" t="s">
        <v>58</v>
      </c>
      <c r="D28" t="s">
        <v>73</v>
      </c>
    </row>
    <row r="29" spans="1:4" x14ac:dyDescent="0.35">
      <c r="A29" s="9" t="s">
        <v>87</v>
      </c>
      <c r="B29" t="s">
        <v>59</v>
      </c>
      <c r="C29" t="s">
        <v>56</v>
      </c>
      <c r="D29" t="s">
        <v>74</v>
      </c>
    </row>
    <row r="30" spans="1:4" x14ac:dyDescent="0.35">
      <c r="A30" s="9" t="s">
        <v>88</v>
      </c>
      <c r="B30" t="s">
        <v>60</v>
      </c>
      <c r="C30" t="s">
        <v>61</v>
      </c>
      <c r="D30" t="s">
        <v>75</v>
      </c>
    </row>
    <row r="31" spans="1:4" x14ac:dyDescent="0.35">
      <c r="A31" s="9" t="s">
        <v>89</v>
      </c>
      <c r="B31" t="s">
        <v>63</v>
      </c>
      <c r="C31" t="s">
        <v>62</v>
      </c>
      <c r="D31" t="s">
        <v>76</v>
      </c>
    </row>
    <row r="32" spans="1:4" x14ac:dyDescent="0.35">
      <c r="A32" s="9" t="s">
        <v>90</v>
      </c>
      <c r="B32" t="s">
        <v>64</v>
      </c>
      <c r="C32" t="s">
        <v>65</v>
      </c>
      <c r="D32" t="s">
        <v>77</v>
      </c>
    </row>
    <row r="33" spans="1:9" x14ac:dyDescent="0.35">
      <c r="A33" s="9" t="s">
        <v>91</v>
      </c>
      <c r="B33" s="2263" t="s">
        <v>964</v>
      </c>
      <c r="C33" s="2263" t="s">
        <v>78</v>
      </c>
      <c r="D33" s="2263" t="s">
        <v>965</v>
      </c>
      <c r="E33" s="2263"/>
      <c r="F33" s="2263"/>
      <c r="G33" s="2263"/>
      <c r="H33" s="2263"/>
      <c r="I33" s="2263"/>
    </row>
    <row r="34" spans="1:9" x14ac:dyDescent="0.35">
      <c r="A34" s="1017">
        <v>12</v>
      </c>
      <c r="B34" t="s">
        <v>1174</v>
      </c>
      <c r="C34" t="s">
        <v>1175</v>
      </c>
      <c r="D34" t="s">
        <v>1176</v>
      </c>
    </row>
    <row r="36" spans="1:9" x14ac:dyDescent="0.35">
      <c r="A36" t="s">
        <v>92</v>
      </c>
    </row>
    <row r="37" spans="1:9" x14ac:dyDescent="0.35">
      <c r="A37" s="2264">
        <v>10</v>
      </c>
      <c r="B37" t="s">
        <v>93</v>
      </c>
    </row>
    <row r="39" spans="1:9" x14ac:dyDescent="0.35">
      <c r="A39" t="s">
        <v>94</v>
      </c>
    </row>
    <row r="40" spans="1:9" x14ac:dyDescent="0.35">
      <c r="A40" s="2264">
        <v>10</v>
      </c>
      <c r="B40" t="s">
        <v>93</v>
      </c>
    </row>
  </sheetData>
  <mergeCells count="1">
    <mergeCell ref="C1:O1"/>
  </mergeCells>
  <pageMargins left="0.70866141732283472" right="0.70866141732283472" top="0.74803149606299213" bottom="0.74803149606299213" header="0.31496062992125984" footer="0.31496062992125984"/>
  <pageSetup paperSize="9" scale="35" orientation="portrait" horizontalDpi="4294967293" verticalDpi="0" r:id="rId1"/>
  <headerFooter>
    <oddHeader>&amp;LPAD Methodology (c) 2013-2014&amp;RStrategic Management Workshop</oddHeader>
    <oddFooter>&amp;L&amp;F&amp;C&amp;A&amp;RSituation au : &amp;D - page : &amp;P/&amp;N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36">
    <tabColor theme="8" tint="0.59999389629810485"/>
    <pageSetUpPr fitToPage="1"/>
  </sheetPr>
  <dimension ref="A1:BX90"/>
  <sheetViews>
    <sheetView showGridLines="0" zoomScale="120" zoomScaleNormal="120" workbookViewId="0">
      <pane ySplit="6" topLeftCell="A19" activePane="bottomLeft" state="frozen"/>
      <selection activeCell="C5" sqref="C5:P5"/>
      <selection pane="bottomLeft" activeCell="H89" sqref="H89"/>
    </sheetView>
  </sheetViews>
  <sheetFormatPr baseColWidth="10" defaultColWidth="11.453125" defaultRowHeight="14.5" x14ac:dyDescent="0.35"/>
  <cols>
    <col min="1" max="1" width="6.453125" style="63" customWidth="1"/>
    <col min="2" max="2" width="14.1796875" style="60" customWidth="1"/>
    <col min="3" max="3" width="11.453125" style="60"/>
    <col min="4" max="4" width="17.7265625" style="60" customWidth="1"/>
    <col min="5" max="11" width="11.453125" style="60"/>
    <col min="12" max="12" width="12.81640625" style="60" customWidth="1"/>
    <col min="13" max="14" width="11.453125" style="60"/>
    <col min="15" max="15" width="11.453125" style="60" customWidth="1"/>
    <col min="16" max="16" width="11.453125" style="60"/>
    <col min="17" max="17" width="8.1796875" style="60" customWidth="1"/>
    <col min="18" max="16384" width="11.453125" style="60"/>
  </cols>
  <sheetData>
    <row r="1" spans="1:22" s="54" customFormat="1" ht="15" customHeight="1" x14ac:dyDescent="0.35">
      <c r="A1" s="391"/>
      <c r="B1" s="389"/>
      <c r="C1" s="389"/>
      <c r="D1" s="3341" t="s">
        <v>5</v>
      </c>
      <c r="E1" s="3341"/>
      <c r="F1" s="3341"/>
      <c r="G1" s="3341"/>
      <c r="H1" s="391"/>
      <c r="I1" s="3341" t="s">
        <v>6</v>
      </c>
      <c r="J1" s="3341"/>
      <c r="K1" s="389"/>
      <c r="L1" s="3341" t="s">
        <v>9</v>
      </c>
      <c r="M1" s="3341"/>
      <c r="N1" s="389"/>
      <c r="O1" s="479" t="s">
        <v>2</v>
      </c>
      <c r="P1" s="479" t="s">
        <v>3</v>
      </c>
      <c r="Q1" s="829"/>
      <c r="R1" s="458"/>
    </row>
    <row r="2" spans="1:22" s="58" customFormat="1" ht="18" customHeight="1" x14ac:dyDescent="0.35">
      <c r="A2" s="393"/>
      <c r="B2" s="393"/>
      <c r="C2" s="393"/>
      <c r="D2" s="3342" t="str">
        <f>NomClient</f>
        <v xml:space="preserve">EQUINIX </v>
      </c>
      <c r="E2" s="3343"/>
      <c r="F2" s="3343"/>
      <c r="G2" s="3344"/>
      <c r="H2" s="393"/>
      <c r="I2" s="3345" t="s">
        <v>407</v>
      </c>
      <c r="J2" s="3346"/>
      <c r="K2" s="393"/>
      <c r="L2" s="3347">
        <v>42534.88082175926</v>
      </c>
      <c r="M2" s="3348"/>
      <c r="N2" s="394"/>
      <c r="O2" s="451" t="e">
        <f>IF(LEN(DPDV_10SK1)&gt;0,LEN(DPDV_10SK1),0-PDV_NBmini)</f>
        <v>#REF!</v>
      </c>
      <c r="P2" s="451" t="e">
        <f>IF(LEN(DKPI_10SK1)&gt;0,LEN(DKPI_10SK1),0-KPI_NBmini)</f>
        <v>#REF!</v>
      </c>
      <c r="Q2" s="830"/>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907"/>
      <c r="B4" s="4203" t="str">
        <f>Parametre!B32 &amp; "   : "</f>
        <v xml:space="preserve">Programmes partenaires   : </v>
      </c>
      <c r="C4" s="4203"/>
      <c r="D4" s="4203"/>
      <c r="E4" s="4203"/>
      <c r="F4" s="4203"/>
      <c r="G4" s="4203"/>
      <c r="H4" s="4204" t="s">
        <v>2390</v>
      </c>
      <c r="I4" s="4204"/>
      <c r="J4" s="4204"/>
      <c r="K4" s="4204"/>
      <c r="L4" s="4204"/>
      <c r="M4" s="4204"/>
      <c r="N4" s="4204"/>
      <c r="O4" s="4204"/>
      <c r="P4" s="4204"/>
      <c r="Q4" s="4205"/>
      <c r="R4" s="444"/>
    </row>
    <row r="5" spans="1:22" s="193" customFormat="1" ht="36.75" customHeight="1" thickBot="1" x14ac:dyDescent="0.4">
      <c r="A5" s="3438" t="s">
        <v>14</v>
      </c>
      <c r="B5" s="3438"/>
      <c r="C5" s="3508" t="s">
        <v>2391</v>
      </c>
      <c r="D5" s="3508"/>
      <c r="E5" s="3508"/>
      <c r="F5" s="3508"/>
      <c r="G5" s="3508"/>
      <c r="H5" s="3508"/>
      <c r="I5" s="3508"/>
      <c r="J5" s="3508"/>
      <c r="K5" s="3508"/>
      <c r="L5" s="3508"/>
      <c r="M5" s="3508"/>
      <c r="N5" s="3508"/>
      <c r="O5" s="3508"/>
      <c r="P5" s="3508"/>
      <c r="Q5" s="3508"/>
      <c r="R5" s="460"/>
    </row>
    <row r="6" spans="1:22" s="324" customFormat="1" ht="38.25" customHeight="1" thickTop="1" x14ac:dyDescent="0.35">
      <c r="A6" s="4987" t="s">
        <v>1257</v>
      </c>
      <c r="B6" s="4988"/>
      <c r="C6" s="4988"/>
      <c r="D6" s="4989"/>
      <c r="E6" s="944" t="s">
        <v>977</v>
      </c>
      <c r="F6" s="1196" t="s">
        <v>978</v>
      </c>
      <c r="G6" s="941" t="s">
        <v>146</v>
      </c>
      <c r="H6" s="941" t="s">
        <v>1093</v>
      </c>
      <c r="I6" s="941" t="s">
        <v>1091</v>
      </c>
      <c r="J6" s="945" t="s">
        <v>1092</v>
      </c>
      <c r="K6" s="5000" t="s">
        <v>1163</v>
      </c>
      <c r="L6" s="5001"/>
      <c r="M6" s="945" t="s">
        <v>979</v>
      </c>
      <c r="N6" s="4994" t="s">
        <v>18</v>
      </c>
      <c r="O6" s="4995"/>
      <c r="P6" s="4996"/>
      <c r="Q6" s="937"/>
      <c r="R6" s="937"/>
    </row>
    <row r="7" spans="1:22" s="324" customFormat="1" ht="6.75" customHeight="1" x14ac:dyDescent="0.35">
      <c r="A7" s="4997"/>
      <c r="B7" s="4998"/>
      <c r="C7" s="4998"/>
      <c r="D7" s="4998"/>
      <c r="E7" s="4998"/>
      <c r="F7" s="4998"/>
      <c r="G7" s="4998"/>
      <c r="H7" s="4998"/>
      <c r="I7" s="4998"/>
      <c r="J7" s="4998"/>
      <c r="K7" s="4998"/>
      <c r="L7" s="4998"/>
      <c r="M7" s="4998"/>
      <c r="N7" s="4998"/>
      <c r="O7" s="4998"/>
      <c r="P7" s="4999"/>
      <c r="Q7" s="937"/>
      <c r="R7" s="937"/>
    </row>
    <row r="8" spans="1:22" s="324" customFormat="1" ht="15.5" x14ac:dyDescent="0.35">
      <c r="A8" s="2675" t="s">
        <v>2392</v>
      </c>
      <c r="B8" s="2676"/>
      <c r="C8" s="2676"/>
      <c r="D8" s="2676"/>
      <c r="E8" s="2676"/>
      <c r="F8" s="2676"/>
      <c r="G8" s="2676"/>
      <c r="H8" s="2676"/>
      <c r="I8" s="2676"/>
      <c r="J8" s="2676"/>
      <c r="K8" s="2678" t="s">
        <v>1159</v>
      </c>
      <c r="L8" s="2678" t="s">
        <v>2359</v>
      </c>
      <c r="M8" s="2676"/>
      <c r="N8" s="2676"/>
      <c r="O8" s="2676"/>
      <c r="P8" s="2677"/>
      <c r="Q8" s="937"/>
      <c r="R8" s="937"/>
    </row>
    <row r="9" spans="1:22" s="324" customFormat="1" x14ac:dyDescent="0.35">
      <c r="A9" s="4990"/>
      <c r="B9" s="4944" t="s">
        <v>1517</v>
      </c>
      <c r="C9" s="4944"/>
      <c r="D9" s="4945"/>
      <c r="E9" s="2537"/>
      <c r="F9" s="2538"/>
      <c r="G9" s="2539"/>
      <c r="H9" s="1703"/>
      <c r="I9" s="1682"/>
      <c r="J9" s="946"/>
      <c r="K9" s="2679"/>
      <c r="L9" s="2680"/>
      <c r="M9" s="949"/>
      <c r="N9" s="4961"/>
      <c r="O9" s="4962"/>
      <c r="P9" s="4963"/>
      <c r="Q9" s="938"/>
      <c r="R9" s="937"/>
    </row>
    <row r="10" spans="1:22" s="324" customFormat="1" x14ac:dyDescent="0.35">
      <c r="A10" s="4990"/>
      <c r="B10" s="4944" t="s">
        <v>980</v>
      </c>
      <c r="C10" s="4944"/>
      <c r="D10" s="4945"/>
      <c r="E10" s="2540"/>
      <c r="F10" s="2538"/>
      <c r="G10" s="2541"/>
      <c r="H10" s="1703"/>
      <c r="I10" s="1683"/>
      <c r="J10" s="946"/>
      <c r="K10" s="2679"/>
      <c r="L10" s="2680"/>
      <c r="M10" s="949"/>
      <c r="N10" s="4961"/>
      <c r="O10" s="4962"/>
      <c r="P10" s="4963"/>
      <c r="Q10" s="938"/>
      <c r="R10" s="937"/>
    </row>
    <row r="11" spans="1:22" s="324" customFormat="1" x14ac:dyDescent="0.35">
      <c r="A11" s="4990"/>
      <c r="B11" s="4944" t="s">
        <v>981</v>
      </c>
      <c r="C11" s="4944"/>
      <c r="D11" s="4945"/>
      <c r="E11" s="2540"/>
      <c r="F11" s="2538"/>
      <c r="G11" s="2541"/>
      <c r="H11" s="1703"/>
      <c r="I11" s="1683"/>
      <c r="J11" s="946"/>
      <c r="K11" s="2679"/>
      <c r="L11" s="2680"/>
      <c r="M11" s="949"/>
      <c r="N11" s="4961"/>
      <c r="O11" s="4962"/>
      <c r="P11" s="4963"/>
      <c r="Q11" s="938"/>
      <c r="R11" s="937"/>
    </row>
    <row r="12" spans="1:22" s="324" customFormat="1" x14ac:dyDescent="0.35">
      <c r="A12" s="4990"/>
      <c r="B12" s="4944" t="s">
        <v>1503</v>
      </c>
      <c r="C12" s="4944"/>
      <c r="D12" s="4945"/>
      <c r="E12" s="2542"/>
      <c r="F12" s="2538"/>
      <c r="G12" s="2539"/>
      <c r="H12" s="1703"/>
      <c r="I12" s="1682"/>
      <c r="J12" s="946"/>
      <c r="K12" s="2679"/>
      <c r="L12" s="2680"/>
      <c r="M12" s="949"/>
      <c r="N12" s="4961"/>
      <c r="O12" s="4962"/>
      <c r="P12" s="4963"/>
      <c r="Q12" s="937"/>
      <c r="R12" s="937"/>
    </row>
    <row r="13" spans="1:22" s="324" customFormat="1" x14ac:dyDescent="0.35">
      <c r="A13" s="4990"/>
      <c r="B13" s="4944" t="s">
        <v>1828</v>
      </c>
      <c r="C13" s="4944"/>
      <c r="D13" s="4945"/>
      <c r="E13" s="2542"/>
      <c r="F13" s="2538"/>
      <c r="G13" s="2539"/>
      <c r="H13" s="1703"/>
      <c r="I13" s="1682"/>
      <c r="J13" s="948"/>
      <c r="K13" s="2679"/>
      <c r="L13" s="2680"/>
      <c r="M13" s="950"/>
      <c r="N13" s="4984"/>
      <c r="O13" s="4985"/>
      <c r="P13" s="4986"/>
      <c r="Q13" s="937"/>
      <c r="R13" s="937"/>
    </row>
    <row r="14" spans="1:22" s="324" customFormat="1" x14ac:dyDescent="0.35">
      <c r="A14" s="4990"/>
      <c r="B14" s="4944"/>
      <c r="C14" s="4944"/>
      <c r="D14" s="4945"/>
      <c r="E14" s="2543"/>
      <c r="F14" s="2544"/>
      <c r="G14" s="2545"/>
      <c r="H14" s="1705"/>
      <c r="I14" s="1681"/>
      <c r="J14" s="948"/>
      <c r="K14" s="2679"/>
      <c r="L14" s="2680"/>
      <c r="M14" s="948"/>
      <c r="N14" s="4991"/>
      <c r="O14" s="4992"/>
      <c r="P14" s="4993"/>
      <c r="Q14" s="937"/>
      <c r="R14" s="937"/>
    </row>
    <row r="15" spans="1:22" s="324" customFormat="1" ht="6.75" customHeight="1" x14ac:dyDescent="0.35">
      <c r="A15" s="4997"/>
      <c r="B15" s="4998"/>
      <c r="C15" s="4998"/>
      <c r="D15" s="4998"/>
      <c r="E15" s="4998"/>
      <c r="F15" s="4998"/>
      <c r="G15" s="4998"/>
      <c r="H15" s="4998"/>
      <c r="I15" s="4998"/>
      <c r="J15" s="4998"/>
      <c r="K15" s="4998"/>
      <c r="L15" s="4998"/>
      <c r="M15" s="4998"/>
      <c r="N15" s="4998"/>
      <c r="O15" s="4998"/>
      <c r="P15" s="4999"/>
      <c r="Q15" s="937"/>
      <c r="R15" s="937"/>
    </row>
    <row r="16" spans="1:22" s="324" customFormat="1" ht="15.5" x14ac:dyDescent="0.35">
      <c r="A16" s="2675" t="s">
        <v>2393</v>
      </c>
      <c r="B16" s="2676"/>
      <c r="C16" s="2676"/>
      <c r="D16" s="2676"/>
      <c r="E16" s="2676"/>
      <c r="F16" s="2676"/>
      <c r="G16" s="2676"/>
      <c r="H16" s="2676"/>
      <c r="I16" s="2676"/>
      <c r="J16" s="2676"/>
      <c r="K16" s="2678" t="s">
        <v>1159</v>
      </c>
      <c r="L16" s="2678" t="s">
        <v>2359</v>
      </c>
      <c r="M16" s="2676"/>
      <c r="N16" s="2676"/>
      <c r="O16" s="2676"/>
      <c r="P16" s="2677"/>
      <c r="Q16" s="937"/>
      <c r="R16" s="937"/>
    </row>
    <row r="17" spans="1:18" s="324" customFormat="1" x14ac:dyDescent="0.35">
      <c r="A17" s="4990"/>
      <c r="B17" s="4944" t="s">
        <v>2416</v>
      </c>
      <c r="C17" s="4944"/>
      <c r="D17" s="4945"/>
      <c r="E17" s="2542"/>
      <c r="F17" s="2546"/>
      <c r="G17" s="2541"/>
      <c r="H17" s="1704"/>
      <c r="I17" s="1683"/>
      <c r="J17" s="946"/>
      <c r="K17" s="2679"/>
      <c r="L17" s="2680"/>
      <c r="M17" s="949"/>
      <c r="N17" s="4961"/>
      <c r="O17" s="4962"/>
      <c r="P17" s="4963"/>
      <c r="Q17" s="938"/>
      <c r="R17" s="937"/>
    </row>
    <row r="18" spans="1:18" s="324" customFormat="1" x14ac:dyDescent="0.35">
      <c r="A18" s="4990"/>
      <c r="B18" s="4944" t="s">
        <v>1829</v>
      </c>
      <c r="C18" s="4944"/>
      <c r="D18" s="4945"/>
      <c r="E18" s="2542"/>
      <c r="F18" s="2546"/>
      <c r="G18" s="2541"/>
      <c r="H18" s="1704"/>
      <c r="I18" s="1683"/>
      <c r="J18" s="946"/>
      <c r="K18" s="2679"/>
      <c r="L18" s="2680"/>
      <c r="M18" s="949"/>
      <c r="N18" s="4961"/>
      <c r="O18" s="4962"/>
      <c r="P18" s="4963"/>
      <c r="Q18" s="938"/>
      <c r="R18" s="937"/>
    </row>
    <row r="19" spans="1:18" s="324" customFormat="1" x14ac:dyDescent="0.35">
      <c r="A19" s="4990"/>
      <c r="B19" s="4944" t="s">
        <v>2394</v>
      </c>
      <c r="C19" s="4944"/>
      <c r="D19" s="4945"/>
      <c r="E19" s="2542"/>
      <c r="F19" s="2547"/>
      <c r="G19" s="2541"/>
      <c r="H19" s="1704"/>
      <c r="I19" s="1683"/>
      <c r="J19" s="946"/>
      <c r="K19" s="2679"/>
      <c r="L19" s="2680"/>
      <c r="M19" s="946"/>
      <c r="N19" s="4949"/>
      <c r="O19" s="4950"/>
      <c r="P19" s="4951"/>
      <c r="Q19" s="938"/>
      <c r="R19" s="937"/>
    </row>
    <row r="20" spans="1:18" s="324" customFormat="1" x14ac:dyDescent="0.35">
      <c r="A20" s="4990"/>
      <c r="B20" s="4947" t="s">
        <v>2395</v>
      </c>
      <c r="C20" s="4947"/>
      <c r="D20" s="4948"/>
      <c r="E20" s="2542"/>
      <c r="F20" s="2538"/>
      <c r="G20" s="2539"/>
      <c r="H20" s="1703"/>
      <c r="I20" s="1682"/>
      <c r="J20" s="946"/>
      <c r="K20" s="2679"/>
      <c r="L20" s="2680"/>
      <c r="M20" s="949"/>
      <c r="N20" s="4961"/>
      <c r="O20" s="4962"/>
      <c r="P20" s="4963"/>
      <c r="Q20" s="938"/>
      <c r="R20" s="937"/>
    </row>
    <row r="21" spans="1:18" s="324" customFormat="1" x14ac:dyDescent="0.35">
      <c r="A21" s="4990"/>
      <c r="B21" s="4944" t="s">
        <v>2398</v>
      </c>
      <c r="C21" s="4944"/>
      <c r="D21" s="4945"/>
      <c r="E21" s="2542"/>
      <c r="F21" s="2547"/>
      <c r="G21" s="2541"/>
      <c r="H21" s="1704"/>
      <c r="I21" s="1683"/>
      <c r="J21" s="946"/>
      <c r="K21" s="2679"/>
      <c r="L21" s="2680"/>
      <c r="M21" s="946"/>
      <c r="N21" s="4949"/>
      <c r="O21" s="4950"/>
      <c r="P21" s="4951"/>
      <c r="Q21" s="938"/>
      <c r="R21" s="937"/>
    </row>
    <row r="22" spans="1:18" s="324" customFormat="1" x14ac:dyDescent="0.35">
      <c r="A22" s="4990"/>
      <c r="B22" s="4947" t="s">
        <v>2397</v>
      </c>
      <c r="C22" s="4947"/>
      <c r="D22" s="4948"/>
      <c r="E22" s="2540"/>
      <c r="F22" s="2538"/>
      <c r="G22" s="2541"/>
      <c r="H22" s="1704"/>
      <c r="I22" s="1683"/>
      <c r="J22" s="946"/>
      <c r="K22" s="2679"/>
      <c r="L22" s="2680"/>
      <c r="M22" s="946"/>
      <c r="N22" s="4949"/>
      <c r="O22" s="4950"/>
      <c r="P22" s="4951"/>
      <c r="Q22" s="938"/>
      <c r="R22" s="937"/>
    </row>
    <row r="23" spans="1:18" s="324" customFormat="1" x14ac:dyDescent="0.35">
      <c r="A23" s="4990"/>
      <c r="B23" s="4947" t="s">
        <v>986</v>
      </c>
      <c r="C23" s="4947"/>
      <c r="D23" s="4948"/>
      <c r="E23" s="2537"/>
      <c r="F23" s="2546"/>
      <c r="G23" s="2539"/>
      <c r="H23" s="1703"/>
      <c r="I23" s="1682"/>
      <c r="J23" s="946"/>
      <c r="K23" s="2679"/>
      <c r="L23" s="2680"/>
      <c r="M23" s="946"/>
      <c r="N23" s="4949"/>
      <c r="O23" s="4950"/>
      <c r="P23" s="4951"/>
      <c r="Q23" s="938"/>
      <c r="R23" s="937"/>
    </row>
    <row r="24" spans="1:18" s="324" customFormat="1" x14ac:dyDescent="0.35">
      <c r="A24" s="4990"/>
      <c r="B24" s="4944" t="s">
        <v>987</v>
      </c>
      <c r="C24" s="4944"/>
      <c r="D24" s="4945"/>
      <c r="E24" s="2537"/>
      <c r="F24" s="2546"/>
      <c r="G24" s="2539"/>
      <c r="H24" s="1703"/>
      <c r="I24" s="1682"/>
      <c r="J24" s="946"/>
      <c r="K24" s="2679"/>
      <c r="L24" s="2680"/>
      <c r="M24" s="946"/>
      <c r="N24" s="4949"/>
      <c r="O24" s="4950"/>
      <c r="P24" s="4951"/>
      <c r="Q24" s="937"/>
      <c r="R24" s="937"/>
    </row>
    <row r="25" spans="1:18" s="324" customFormat="1" x14ac:dyDescent="0.35">
      <c r="A25" s="4990"/>
      <c r="B25" s="4944" t="s">
        <v>2396</v>
      </c>
      <c r="C25" s="4944"/>
      <c r="D25" s="4945"/>
      <c r="E25" s="2542"/>
      <c r="F25" s="2538"/>
      <c r="G25" s="2545"/>
      <c r="H25" s="1705"/>
      <c r="I25" s="2611"/>
      <c r="J25" s="948"/>
      <c r="K25" s="2679"/>
      <c r="L25" s="2680"/>
      <c r="M25" s="948"/>
      <c r="N25" s="4991"/>
      <c r="O25" s="4992"/>
      <c r="P25" s="4993"/>
      <c r="Q25" s="937"/>
      <c r="R25" s="937"/>
    </row>
    <row r="26" spans="1:18" s="324" customFormat="1" x14ac:dyDescent="0.35">
      <c r="A26" s="4990"/>
      <c r="B26" s="4944" t="s">
        <v>988</v>
      </c>
      <c r="C26" s="4944"/>
      <c r="D26" s="4945"/>
      <c r="E26" s="2537"/>
      <c r="F26" s="2546"/>
      <c r="G26" s="2539"/>
      <c r="H26" s="1703"/>
      <c r="I26" s="1682"/>
      <c r="J26" s="946"/>
      <c r="K26" s="2679"/>
      <c r="L26" s="2680"/>
      <c r="M26" s="946"/>
      <c r="N26" s="4949"/>
      <c r="O26" s="4950"/>
      <c r="P26" s="4951"/>
      <c r="Q26" s="937"/>
      <c r="R26" s="937"/>
    </row>
    <row r="27" spans="1:18" s="324" customFormat="1" x14ac:dyDescent="0.35">
      <c r="A27" s="4990"/>
      <c r="B27" s="4944" t="s">
        <v>2399</v>
      </c>
      <c r="C27" s="4944"/>
      <c r="D27" s="4945"/>
      <c r="E27" s="2542"/>
      <c r="F27" s="2538"/>
      <c r="G27" s="2545"/>
      <c r="H27" s="1705"/>
      <c r="I27" s="1681"/>
      <c r="J27" s="948"/>
      <c r="K27" s="2679"/>
      <c r="L27" s="2680"/>
      <c r="M27" s="948"/>
      <c r="N27" s="4991"/>
      <c r="O27" s="4992"/>
      <c r="P27" s="4993"/>
      <c r="Q27" s="937"/>
      <c r="R27" s="937"/>
    </row>
    <row r="28" spans="1:18" s="324" customFormat="1" ht="6.75" customHeight="1" x14ac:dyDescent="0.35">
      <c r="A28" s="4997"/>
      <c r="B28" s="4998"/>
      <c r="C28" s="4998"/>
      <c r="D28" s="4998"/>
      <c r="E28" s="4998"/>
      <c r="F28" s="4998"/>
      <c r="G28" s="4998"/>
      <c r="H28" s="4998"/>
      <c r="I28" s="4998"/>
      <c r="J28" s="4998"/>
      <c r="K28" s="4998"/>
      <c r="L28" s="4998"/>
      <c r="M28" s="4998"/>
      <c r="N28" s="4998"/>
      <c r="O28" s="4998"/>
      <c r="P28" s="4999"/>
      <c r="Q28" s="937"/>
      <c r="R28" s="937"/>
    </row>
    <row r="29" spans="1:18" s="324" customFormat="1" ht="15.5" x14ac:dyDescent="0.35">
      <c r="A29" s="2675" t="s">
        <v>1916</v>
      </c>
      <c r="B29" s="2676"/>
      <c r="C29" s="2676"/>
      <c r="D29" s="2676"/>
      <c r="E29" s="2676"/>
      <c r="F29" s="2676"/>
      <c r="G29" s="2676"/>
      <c r="H29" s="2676"/>
      <c r="I29" s="2676"/>
      <c r="J29" s="2676"/>
      <c r="K29" s="2678" t="s">
        <v>1159</v>
      </c>
      <c r="L29" s="2678" t="s">
        <v>2359</v>
      </c>
      <c r="M29" s="2676"/>
      <c r="N29" s="2676"/>
      <c r="O29" s="2676"/>
      <c r="P29" s="2677"/>
      <c r="Q29" s="937"/>
      <c r="R29" s="937"/>
    </row>
    <row r="30" spans="1:18" s="325" customFormat="1" ht="31.5" customHeight="1" x14ac:dyDescent="0.35">
      <c r="A30" s="4955"/>
      <c r="B30" s="4946" t="s">
        <v>2408</v>
      </c>
      <c r="C30" s="4947"/>
      <c r="D30" s="4948"/>
      <c r="E30" s="2542"/>
      <c r="F30" s="2546"/>
      <c r="G30" s="2541"/>
      <c r="H30" s="1704"/>
      <c r="I30" s="2608"/>
      <c r="J30" s="946"/>
      <c r="K30" s="2679"/>
      <c r="L30" s="2680"/>
      <c r="M30" s="946"/>
      <c r="N30" s="4949"/>
      <c r="O30" s="4950"/>
      <c r="P30" s="4951"/>
      <c r="Q30" s="939"/>
      <c r="R30" s="940"/>
    </row>
    <row r="31" spans="1:18" s="325" customFormat="1" ht="19.5" customHeight="1" x14ac:dyDescent="0.35">
      <c r="A31" s="4956"/>
      <c r="B31" s="4946" t="s">
        <v>2414</v>
      </c>
      <c r="C31" s="4947"/>
      <c r="D31" s="4948"/>
      <c r="E31" s="2542"/>
      <c r="F31" s="2546"/>
      <c r="G31" s="2541"/>
      <c r="H31" s="1704"/>
      <c r="I31" s="2608"/>
      <c r="J31" s="946"/>
      <c r="K31" s="2679"/>
      <c r="L31" s="2680"/>
      <c r="M31" s="946"/>
      <c r="N31" s="4949"/>
      <c r="O31" s="4950"/>
      <c r="P31" s="4951"/>
      <c r="Q31" s="939"/>
      <c r="R31" s="940"/>
    </row>
    <row r="32" spans="1:18" s="325" customFormat="1" ht="28.5" customHeight="1" x14ac:dyDescent="0.35">
      <c r="A32" s="4956"/>
      <c r="B32" s="4946" t="s">
        <v>2409</v>
      </c>
      <c r="C32" s="4947"/>
      <c r="D32" s="4948"/>
      <c r="E32" s="2542"/>
      <c r="F32" s="2546"/>
      <c r="G32" s="2541"/>
      <c r="H32" s="1704"/>
      <c r="I32" s="2608"/>
      <c r="J32" s="946"/>
      <c r="K32" s="2679"/>
      <c r="L32" s="2680"/>
      <c r="M32" s="946"/>
      <c r="N32" s="2613"/>
      <c r="O32" s="2608"/>
      <c r="P32" s="2614"/>
      <c r="Q32" s="939"/>
      <c r="R32" s="940"/>
    </row>
    <row r="33" spans="1:18" s="324" customFormat="1" ht="15" customHeight="1" x14ac:dyDescent="0.35">
      <c r="A33" s="4956"/>
      <c r="B33" s="4946" t="s">
        <v>2415</v>
      </c>
      <c r="C33" s="4947"/>
      <c r="D33" s="4948"/>
      <c r="E33" s="2542"/>
      <c r="F33" s="2546"/>
      <c r="G33" s="2541"/>
      <c r="H33" s="1704"/>
      <c r="I33" s="2608"/>
      <c r="J33" s="946"/>
      <c r="K33" s="2679"/>
      <c r="L33" s="2680"/>
      <c r="M33" s="946"/>
      <c r="N33" s="4949"/>
      <c r="O33" s="4950"/>
      <c r="P33" s="4951"/>
      <c r="Q33" s="938"/>
      <c r="R33" s="937"/>
    </row>
    <row r="34" spans="1:18" s="324" customFormat="1" ht="15" customHeight="1" x14ac:dyDescent="0.35">
      <c r="A34" s="4956"/>
      <c r="B34" s="4958" t="s">
        <v>1917</v>
      </c>
      <c r="C34" s="4959"/>
      <c r="D34" s="4960"/>
      <c r="E34" s="2542"/>
      <c r="F34" s="2546"/>
      <c r="G34" s="2541"/>
      <c r="H34" s="1704"/>
      <c r="I34" s="1683"/>
      <c r="J34" s="946"/>
      <c r="K34" s="2679"/>
      <c r="L34" s="2680"/>
      <c r="M34" s="946"/>
      <c r="N34" s="4949"/>
      <c r="O34" s="4950"/>
      <c r="P34" s="4951"/>
      <c r="Q34" s="938"/>
      <c r="R34" s="937"/>
    </row>
    <row r="35" spans="1:18" s="324" customFormat="1" ht="15" customHeight="1" x14ac:dyDescent="0.35">
      <c r="A35" s="4956"/>
      <c r="B35" s="4944" t="s">
        <v>1499</v>
      </c>
      <c r="C35" s="4944"/>
      <c r="D35" s="4945"/>
      <c r="E35" s="2542"/>
      <c r="F35" s="2546"/>
      <c r="G35" s="2539"/>
      <c r="H35" s="1703"/>
      <c r="I35" s="1682"/>
      <c r="J35" s="946"/>
      <c r="K35" s="2679"/>
      <c r="L35" s="2680"/>
      <c r="M35" s="946"/>
      <c r="N35" s="4949"/>
      <c r="O35" s="4950"/>
      <c r="P35" s="4951"/>
      <c r="Q35" s="938"/>
      <c r="R35" s="937"/>
    </row>
    <row r="36" spans="1:18" s="324" customFormat="1" ht="15" customHeight="1" x14ac:dyDescent="0.35">
      <c r="A36" s="4956"/>
      <c r="B36" s="4944" t="s">
        <v>2400</v>
      </c>
      <c r="C36" s="4944"/>
      <c r="D36" s="4945"/>
      <c r="E36" s="2542"/>
      <c r="F36" s="2546"/>
      <c r="G36" s="2539"/>
      <c r="H36" s="1703"/>
      <c r="I36" s="2255"/>
      <c r="J36" s="946"/>
      <c r="K36" s="2679"/>
      <c r="L36" s="2680"/>
      <c r="M36" s="946"/>
      <c r="N36" s="4952"/>
      <c r="O36" s="4953"/>
      <c r="P36" s="4954"/>
      <c r="Q36" s="938"/>
      <c r="R36" s="937"/>
    </row>
    <row r="37" spans="1:18" s="324" customFormat="1" ht="15" customHeight="1" x14ac:dyDescent="0.35">
      <c r="A37" s="4956"/>
      <c r="B37" s="4944" t="s">
        <v>2401</v>
      </c>
      <c r="C37" s="4944"/>
      <c r="D37" s="4945"/>
      <c r="E37" s="2542"/>
      <c r="F37" s="2546"/>
      <c r="G37" s="2548"/>
      <c r="H37" s="1703"/>
      <c r="I37" s="2074"/>
      <c r="J37" s="946"/>
      <c r="K37" s="2679"/>
      <c r="L37" s="2680"/>
      <c r="M37" s="946"/>
      <c r="N37" s="4952"/>
      <c r="O37" s="4953"/>
      <c r="P37" s="4954"/>
      <c r="Q37" s="938"/>
      <c r="R37" s="937"/>
    </row>
    <row r="38" spans="1:18" s="324" customFormat="1" ht="15" customHeight="1" x14ac:dyDescent="0.35">
      <c r="A38" s="4956"/>
      <c r="B38" s="4944" t="s">
        <v>1880</v>
      </c>
      <c r="C38" s="4944"/>
      <c r="D38" s="4945"/>
      <c r="E38" s="2537"/>
      <c r="F38" s="2546"/>
      <c r="G38" s="2539"/>
      <c r="H38" s="1703"/>
      <c r="I38" s="1682"/>
      <c r="J38" s="946"/>
      <c r="K38" s="2679"/>
      <c r="L38" s="2680"/>
      <c r="M38" s="946"/>
      <c r="N38" s="4949"/>
      <c r="O38" s="4950"/>
      <c r="P38" s="4951"/>
      <c r="Q38" s="938"/>
      <c r="R38" s="937"/>
    </row>
    <row r="39" spans="1:18" s="324" customFormat="1" ht="15" customHeight="1" x14ac:dyDescent="0.35">
      <c r="A39" s="4956"/>
      <c r="B39" s="4947" t="s">
        <v>1500</v>
      </c>
      <c r="C39" s="4947"/>
      <c r="D39" s="4948"/>
      <c r="E39" s="2542"/>
      <c r="F39" s="2538"/>
      <c r="G39" s="2541"/>
      <c r="H39" s="1704"/>
      <c r="I39" s="1683"/>
      <c r="J39" s="946"/>
      <c r="K39" s="2679"/>
      <c r="L39" s="2680"/>
      <c r="M39" s="949"/>
      <c r="N39" s="4961"/>
      <c r="O39" s="4962"/>
      <c r="P39" s="4963"/>
      <c r="Q39" s="938"/>
      <c r="R39" s="937"/>
    </row>
    <row r="40" spans="1:18" s="325" customFormat="1" ht="15" customHeight="1" x14ac:dyDescent="0.35">
      <c r="A40" s="4956"/>
      <c r="B40" s="4947" t="s">
        <v>2420</v>
      </c>
      <c r="C40" s="4947"/>
      <c r="D40" s="4948"/>
      <c r="E40" s="2537"/>
      <c r="F40" s="2538"/>
      <c r="G40" s="2539"/>
      <c r="H40" s="1703"/>
      <c r="I40" s="1682"/>
      <c r="J40" s="946"/>
      <c r="K40" s="2679"/>
      <c r="L40" s="2680"/>
      <c r="M40" s="946"/>
      <c r="N40" s="4949"/>
      <c r="O40" s="4950"/>
      <c r="P40" s="4951"/>
      <c r="Q40" s="939"/>
      <c r="R40" s="940"/>
    </row>
    <row r="41" spans="1:18" s="324" customFormat="1" ht="15" customHeight="1" x14ac:dyDescent="0.35">
      <c r="A41" s="4956"/>
      <c r="B41" s="4947" t="s">
        <v>1001</v>
      </c>
      <c r="C41" s="4947"/>
      <c r="D41" s="4948"/>
      <c r="E41" s="2542"/>
      <c r="F41" s="2546"/>
      <c r="G41" s="2539"/>
      <c r="H41" s="1703"/>
      <c r="I41" s="1682"/>
      <c r="J41" s="946"/>
      <c r="K41" s="2679"/>
      <c r="L41" s="2680"/>
      <c r="M41" s="946"/>
      <c r="N41" s="4949"/>
      <c r="O41" s="4950"/>
      <c r="P41" s="4951"/>
      <c r="Q41" s="938"/>
      <c r="R41" s="937"/>
    </row>
    <row r="42" spans="1:18" s="324" customFormat="1" ht="15" customHeight="1" x14ac:dyDescent="0.35">
      <c r="A42" s="4956"/>
      <c r="B42" s="4944" t="s">
        <v>1501</v>
      </c>
      <c r="C42" s="4944"/>
      <c r="D42" s="4945"/>
      <c r="E42" s="2542"/>
      <c r="F42" s="2538"/>
      <c r="G42" s="2541"/>
      <c r="H42" s="1704"/>
      <c r="I42" s="1683"/>
      <c r="J42" s="946"/>
      <c r="K42" s="2679"/>
      <c r="L42" s="2680"/>
      <c r="M42" s="946"/>
      <c r="N42" s="4949"/>
      <c r="O42" s="4950"/>
      <c r="P42" s="4951"/>
      <c r="Q42" s="938"/>
      <c r="R42" s="937"/>
    </row>
    <row r="43" spans="1:18" s="324" customFormat="1" ht="15" customHeight="1" x14ac:dyDescent="0.35">
      <c r="A43" s="4956"/>
      <c r="B43" s="4947" t="s">
        <v>2402</v>
      </c>
      <c r="C43" s="4947"/>
      <c r="D43" s="4948"/>
      <c r="E43" s="2542"/>
      <c r="F43" s="2538"/>
      <c r="G43" s="2541"/>
      <c r="H43" s="1704"/>
      <c r="I43" s="1683"/>
      <c r="J43" s="946"/>
      <c r="K43" s="2679"/>
      <c r="L43" s="2680"/>
      <c r="M43" s="946"/>
      <c r="N43" s="4949"/>
      <c r="O43" s="4950"/>
      <c r="P43" s="4951"/>
      <c r="Q43" s="938"/>
      <c r="R43" s="937"/>
    </row>
    <row r="44" spans="1:18" s="324" customFormat="1" ht="15" customHeight="1" x14ac:dyDescent="0.35">
      <c r="A44" s="4956"/>
      <c r="B44" s="4947" t="s">
        <v>2403</v>
      </c>
      <c r="C44" s="4947"/>
      <c r="D44" s="4948"/>
      <c r="E44" s="2540"/>
      <c r="F44" s="2547"/>
      <c r="G44" s="2541"/>
      <c r="H44" s="1704"/>
      <c r="I44" s="1683"/>
      <c r="J44" s="946"/>
      <c r="K44" s="2679"/>
      <c r="L44" s="2680"/>
      <c r="M44" s="946"/>
      <c r="N44" s="4949"/>
      <c r="O44" s="4950"/>
      <c r="P44" s="4951"/>
      <c r="Q44" s="938"/>
      <c r="R44" s="937"/>
    </row>
    <row r="45" spans="1:18" s="324" customFormat="1" ht="15" customHeight="1" x14ac:dyDescent="0.35">
      <c r="A45" s="4956"/>
      <c r="B45" s="4944" t="s">
        <v>1502</v>
      </c>
      <c r="C45" s="4944"/>
      <c r="D45" s="4945"/>
      <c r="E45" s="2542"/>
      <c r="F45" s="2546"/>
      <c r="G45" s="2541"/>
      <c r="H45" s="1704"/>
      <c r="I45" s="1683"/>
      <c r="J45" s="946"/>
      <c r="K45" s="2679"/>
      <c r="L45" s="2680"/>
      <c r="M45" s="946"/>
      <c r="N45" s="4949"/>
      <c r="O45" s="4950"/>
      <c r="P45" s="4951"/>
      <c r="Q45" s="938"/>
      <c r="R45" s="937"/>
    </row>
    <row r="46" spans="1:18" s="324" customFormat="1" ht="15" customHeight="1" x14ac:dyDescent="0.35">
      <c r="A46" s="4956"/>
      <c r="B46" s="4944" t="s">
        <v>2404</v>
      </c>
      <c r="C46" s="4944"/>
      <c r="D46" s="4945"/>
      <c r="E46" s="2537"/>
      <c r="F46" s="2544"/>
      <c r="G46" s="2539"/>
      <c r="H46" s="1703"/>
      <c r="I46" s="1682"/>
      <c r="J46" s="946"/>
      <c r="K46" s="2679"/>
      <c r="L46" s="2680"/>
      <c r="M46" s="946"/>
      <c r="N46" s="4949"/>
      <c r="O46" s="4950"/>
      <c r="P46" s="4951"/>
      <c r="Q46" s="938"/>
      <c r="R46" s="937"/>
    </row>
    <row r="47" spans="1:18" s="324" customFormat="1" ht="15" customHeight="1" x14ac:dyDescent="0.35">
      <c r="A47" s="4956"/>
      <c r="B47" s="4944" t="s">
        <v>236</v>
      </c>
      <c r="C47" s="4944"/>
      <c r="D47" s="4945"/>
      <c r="E47" s="2537"/>
      <c r="F47" s="2538"/>
      <c r="G47" s="2539"/>
      <c r="H47" s="1703"/>
      <c r="I47" s="2163"/>
      <c r="J47" s="946"/>
      <c r="K47" s="2679"/>
      <c r="L47" s="2680"/>
      <c r="M47" s="946"/>
      <c r="N47" s="4952"/>
      <c r="O47" s="4953"/>
      <c r="P47" s="4954"/>
      <c r="Q47" s="938"/>
      <c r="R47" s="937"/>
    </row>
    <row r="48" spans="1:18" s="324" customFormat="1" ht="15" customHeight="1" x14ac:dyDescent="0.35">
      <c r="A48" s="4956"/>
      <c r="B48" s="4944" t="s">
        <v>1919</v>
      </c>
      <c r="C48" s="4944"/>
      <c r="D48" s="4945"/>
      <c r="E48" s="2537"/>
      <c r="F48" s="2538"/>
      <c r="G48" s="2539"/>
      <c r="H48" s="1703"/>
      <c r="I48" s="2255"/>
      <c r="J48" s="946"/>
      <c r="K48" s="2679"/>
      <c r="L48" s="2680"/>
      <c r="M48" s="946"/>
      <c r="N48" s="4952"/>
      <c r="O48" s="4953"/>
      <c r="P48" s="4954"/>
      <c r="Q48" s="938"/>
      <c r="R48" s="937"/>
    </row>
    <row r="49" spans="1:18" s="324" customFormat="1" ht="15" customHeight="1" x14ac:dyDescent="0.35">
      <c r="A49" s="4956"/>
      <c r="B49" s="4944" t="s">
        <v>2405</v>
      </c>
      <c r="C49" s="4944"/>
      <c r="D49" s="4945"/>
      <c r="E49" s="2537"/>
      <c r="F49" s="2544"/>
      <c r="G49" s="2539"/>
      <c r="H49" s="1703"/>
      <c r="I49" s="1682"/>
      <c r="J49" s="946"/>
      <c r="K49" s="2679"/>
      <c r="L49" s="2680"/>
      <c r="M49" s="946"/>
      <c r="N49" s="4949"/>
      <c r="O49" s="4950"/>
      <c r="P49" s="4951"/>
      <c r="Q49" s="938"/>
      <c r="R49" s="937"/>
    </row>
    <row r="50" spans="1:18" s="324" customFormat="1" ht="15" customHeight="1" x14ac:dyDescent="0.35">
      <c r="A50" s="4956"/>
      <c r="B50" s="4944" t="s">
        <v>2407</v>
      </c>
      <c r="C50" s="4944"/>
      <c r="D50" s="4945"/>
      <c r="E50" s="2537"/>
      <c r="F50" s="2538"/>
      <c r="G50" s="2539"/>
      <c r="H50" s="1707"/>
      <c r="I50" s="2612"/>
      <c r="J50" s="946"/>
      <c r="K50" s="2679"/>
      <c r="L50" s="2680"/>
      <c r="M50" s="946"/>
      <c r="N50" s="4949"/>
      <c r="O50" s="4950"/>
      <c r="P50" s="4951"/>
      <c r="Q50" s="938"/>
      <c r="R50" s="937"/>
    </row>
    <row r="51" spans="1:18" s="324" customFormat="1" ht="18" customHeight="1" x14ac:dyDescent="0.35">
      <c r="A51" s="4957"/>
      <c r="B51" s="4944" t="s">
        <v>2406</v>
      </c>
      <c r="C51" s="4944"/>
      <c r="D51" s="4945"/>
      <c r="E51" s="2537"/>
      <c r="F51" s="2538"/>
      <c r="G51" s="2539"/>
      <c r="H51" s="1707"/>
      <c r="I51" s="1682"/>
      <c r="J51" s="946"/>
      <c r="K51" s="2679"/>
      <c r="L51" s="2680"/>
      <c r="M51" s="946"/>
      <c r="N51" s="4949"/>
      <c r="O51" s="4950"/>
      <c r="P51" s="4951"/>
      <c r="Q51" s="937"/>
      <c r="R51" s="937"/>
    </row>
    <row r="52" spans="1:18" s="324" customFormat="1" ht="9" customHeight="1" x14ac:dyDescent="0.35">
      <c r="B52" s="4944"/>
      <c r="C52" s="4944"/>
      <c r="D52" s="4945"/>
      <c r="E52" s="2609"/>
      <c r="F52" s="2609"/>
      <c r="G52" s="2609"/>
      <c r="H52" s="2609"/>
      <c r="I52" s="2609"/>
      <c r="J52" s="2609"/>
      <c r="K52" s="2609"/>
      <c r="L52" s="2609"/>
      <c r="M52" s="2609"/>
      <c r="N52" s="2609"/>
      <c r="O52" s="2609"/>
      <c r="P52" s="2610"/>
      <c r="Q52" s="938"/>
      <c r="R52" s="937"/>
    </row>
    <row r="53" spans="1:18" s="324" customFormat="1" ht="15.5" x14ac:dyDescent="0.35">
      <c r="A53" s="2675" t="s">
        <v>1833</v>
      </c>
      <c r="B53" s="2676"/>
      <c r="C53" s="2676"/>
      <c r="D53" s="2676"/>
      <c r="E53" s="2676"/>
      <c r="F53" s="2676"/>
      <c r="G53" s="2676"/>
      <c r="H53" s="2676"/>
      <c r="I53" s="2676"/>
      <c r="J53" s="2676"/>
      <c r="K53" s="2678" t="s">
        <v>1159</v>
      </c>
      <c r="L53" s="2678" t="s">
        <v>2359</v>
      </c>
      <c r="M53" s="2676"/>
      <c r="N53" s="2676"/>
      <c r="O53" s="2676"/>
      <c r="P53" s="2677"/>
      <c r="Q53" s="938"/>
      <c r="R53" s="937"/>
    </row>
    <row r="54" spans="1:18" s="325" customFormat="1" ht="31.5" customHeight="1" x14ac:dyDescent="0.35">
      <c r="A54" s="2682"/>
      <c r="B54" s="4946" t="s">
        <v>2410</v>
      </c>
      <c r="C54" s="4947"/>
      <c r="D54" s="4948"/>
      <c r="E54" s="2542"/>
      <c r="F54" s="2546"/>
      <c r="G54" s="2541"/>
      <c r="H54" s="1704"/>
      <c r="I54" s="2608"/>
      <c r="J54" s="946"/>
      <c r="K54" s="2679"/>
      <c r="L54" s="2680"/>
      <c r="M54" s="946"/>
      <c r="N54" s="4949"/>
      <c r="O54" s="4950"/>
      <c r="P54" s="4951"/>
      <c r="Q54" s="939"/>
      <c r="R54" s="940"/>
    </row>
    <row r="55" spans="1:18" s="324" customFormat="1" x14ac:dyDescent="0.35">
      <c r="A55" s="2681"/>
      <c r="B55" s="4944" t="s">
        <v>1511</v>
      </c>
      <c r="C55" s="4944"/>
      <c r="D55" s="4945"/>
      <c r="E55" s="2537"/>
      <c r="F55" s="2538"/>
      <c r="G55" s="2549"/>
      <c r="H55" s="1703"/>
      <c r="I55" s="943"/>
      <c r="J55" s="946"/>
      <c r="K55" s="2679"/>
      <c r="L55" s="2680"/>
      <c r="M55" s="946"/>
      <c r="N55" s="4949"/>
      <c r="O55" s="4950"/>
      <c r="P55" s="4951"/>
      <c r="Q55" s="938"/>
      <c r="R55" s="937"/>
    </row>
    <row r="56" spans="1:18" s="324" customFormat="1" x14ac:dyDescent="0.35">
      <c r="A56" s="2681"/>
      <c r="B56" s="4944" t="s">
        <v>2411</v>
      </c>
      <c r="C56" s="4944"/>
      <c r="D56" s="4945"/>
      <c r="E56" s="2537"/>
      <c r="F56" s="2538"/>
      <c r="G56" s="2539"/>
      <c r="H56" s="1703"/>
      <c r="I56" s="1682"/>
      <c r="J56" s="946"/>
      <c r="K56" s="2679"/>
      <c r="L56" s="2680"/>
      <c r="M56" s="946"/>
      <c r="N56" s="4949"/>
      <c r="O56" s="4950"/>
      <c r="P56" s="4951"/>
      <c r="Q56" s="938"/>
      <c r="R56" s="937"/>
    </row>
    <row r="57" spans="1:18" s="324" customFormat="1" x14ac:dyDescent="0.35">
      <c r="A57" s="2681"/>
      <c r="B57" s="4944" t="s">
        <v>2412</v>
      </c>
      <c r="C57" s="4944"/>
      <c r="D57" s="4945"/>
      <c r="E57" s="2537"/>
      <c r="F57" s="2538"/>
      <c r="G57" s="2539"/>
      <c r="H57" s="1703"/>
      <c r="I57" s="2163"/>
      <c r="J57" s="946"/>
      <c r="K57" s="2679"/>
      <c r="L57" s="2680"/>
      <c r="M57" s="946"/>
      <c r="N57" s="4952"/>
      <c r="O57" s="4953"/>
      <c r="P57" s="4954"/>
      <c r="Q57" s="938"/>
      <c r="R57" s="937"/>
    </row>
    <row r="58" spans="1:18" s="324" customFormat="1" x14ac:dyDescent="0.35">
      <c r="A58" s="2681"/>
      <c r="B58" s="4944" t="s">
        <v>2413</v>
      </c>
      <c r="C58" s="4944"/>
      <c r="D58" s="4945"/>
      <c r="E58" s="2537"/>
      <c r="F58" s="2538"/>
      <c r="G58" s="2539"/>
      <c r="H58" s="1703"/>
      <c r="I58" s="1682"/>
      <c r="J58" s="946"/>
      <c r="K58" s="2679"/>
      <c r="L58" s="2680"/>
      <c r="M58" s="946"/>
      <c r="N58" s="4949"/>
      <c r="O58" s="4950"/>
      <c r="P58" s="4951"/>
      <c r="Q58" s="938"/>
      <c r="R58" s="937"/>
    </row>
    <row r="59" spans="1:18" s="324" customFormat="1" x14ac:dyDescent="0.35">
      <c r="A59" s="2681"/>
      <c r="B59" s="4944" t="s">
        <v>1515</v>
      </c>
      <c r="C59" s="4944"/>
      <c r="D59" s="4945"/>
      <c r="E59" s="2537"/>
      <c r="F59" s="2538"/>
      <c r="G59" s="2539"/>
      <c r="H59" s="1703"/>
      <c r="I59" s="1682"/>
      <c r="J59" s="946"/>
      <c r="K59" s="2679"/>
      <c r="L59" s="2680"/>
      <c r="M59" s="946"/>
      <c r="N59" s="4952"/>
      <c r="O59" s="4953"/>
      <c r="P59" s="4954"/>
      <c r="Q59" s="938"/>
      <c r="R59" s="937"/>
    </row>
    <row r="60" spans="1:18" s="324" customFormat="1" x14ac:dyDescent="0.35">
      <c r="A60" s="2681"/>
      <c r="B60" s="4944" t="s">
        <v>995</v>
      </c>
      <c r="C60" s="4944"/>
      <c r="D60" s="4945"/>
      <c r="E60" s="2537"/>
      <c r="F60" s="2538"/>
      <c r="G60" s="2539"/>
      <c r="H60" s="1703"/>
      <c r="I60" s="1682"/>
      <c r="J60" s="946"/>
      <c r="K60" s="2679"/>
      <c r="L60" s="2680"/>
      <c r="M60" s="946"/>
      <c r="N60" s="4949"/>
      <c r="O60" s="4950"/>
      <c r="P60" s="4951"/>
      <c r="Q60" s="938"/>
      <c r="R60" s="937"/>
    </row>
    <row r="61" spans="1:18" s="324" customFormat="1" x14ac:dyDescent="0.35">
      <c r="A61" s="2681"/>
      <c r="B61" s="2535" t="s">
        <v>2093</v>
      </c>
      <c r="C61" s="2535"/>
      <c r="D61" s="2536"/>
      <c r="E61" s="2537"/>
      <c r="F61" s="2538"/>
      <c r="G61" s="2539"/>
      <c r="H61" s="1703"/>
      <c r="I61" s="1682"/>
      <c r="J61" s="946"/>
      <c r="K61" s="2679"/>
      <c r="L61" s="2680"/>
      <c r="M61" s="946"/>
      <c r="N61" s="4952"/>
      <c r="O61" s="4953"/>
      <c r="P61" s="4954"/>
      <c r="Q61" s="938"/>
      <c r="R61" s="937"/>
    </row>
    <row r="62" spans="1:18" s="324" customFormat="1" x14ac:dyDescent="0.35">
      <c r="A62" s="2681"/>
      <c r="B62" s="4944" t="s">
        <v>2094</v>
      </c>
      <c r="C62" s="4944"/>
      <c r="D62" s="4945"/>
      <c r="E62" s="2537"/>
      <c r="F62" s="2538"/>
      <c r="G62" s="2539"/>
      <c r="H62" s="1703"/>
      <c r="I62" s="1682"/>
      <c r="J62" s="946"/>
      <c r="K62" s="2679"/>
      <c r="L62" s="2680"/>
      <c r="M62" s="946"/>
      <c r="N62" s="4949"/>
      <c r="O62" s="4950"/>
      <c r="P62" s="4951"/>
      <c r="Q62" s="938"/>
      <c r="R62" s="937"/>
    </row>
    <row r="63" spans="1:18" s="324" customFormat="1" x14ac:dyDescent="0.35">
      <c r="A63" s="2681"/>
      <c r="B63" s="4944" t="s">
        <v>2095</v>
      </c>
      <c r="C63" s="4944"/>
      <c r="D63" s="4945"/>
      <c r="E63" s="2537"/>
      <c r="F63" s="2538"/>
      <c r="G63" s="2539"/>
      <c r="H63" s="1703"/>
      <c r="I63" s="2163"/>
      <c r="J63" s="946"/>
      <c r="K63" s="2679"/>
      <c r="L63" s="2680"/>
      <c r="M63" s="946"/>
      <c r="N63" s="4952"/>
      <c r="O63" s="4953"/>
      <c r="P63" s="4954"/>
      <c r="Q63" s="938"/>
      <c r="R63" s="937"/>
    </row>
    <row r="64" spans="1:18" s="324" customFormat="1" ht="15" customHeight="1" x14ac:dyDescent="0.35">
      <c r="A64" s="2616"/>
      <c r="B64" s="4944" t="s">
        <v>1834</v>
      </c>
      <c r="C64" s="4944"/>
      <c r="D64" s="4945"/>
      <c r="E64" s="2537"/>
      <c r="F64" s="2538"/>
      <c r="G64" s="2539"/>
      <c r="H64" s="1707"/>
      <c r="I64" s="1682"/>
      <c r="J64" s="946"/>
      <c r="K64" s="2679"/>
      <c r="L64" s="2680"/>
      <c r="M64" s="946"/>
      <c r="N64" s="4949"/>
      <c r="O64" s="4950"/>
      <c r="P64" s="4951"/>
      <c r="Q64" s="937"/>
      <c r="R64" s="937"/>
    </row>
    <row r="65" spans="1:18" s="324" customFormat="1" x14ac:dyDescent="0.35">
      <c r="B65" s="2617"/>
      <c r="C65" s="2617"/>
      <c r="D65" s="2617"/>
      <c r="E65" s="2617"/>
      <c r="F65" s="2617"/>
      <c r="G65" s="2617"/>
      <c r="H65" s="2617"/>
      <c r="I65" s="2617"/>
      <c r="J65" s="2617"/>
      <c r="K65" s="2617"/>
      <c r="L65" s="2617"/>
      <c r="M65" s="2617"/>
      <c r="N65" s="2617"/>
      <c r="O65" s="2617"/>
      <c r="P65" s="2618"/>
      <c r="Q65" s="937"/>
      <c r="R65" s="937"/>
    </row>
    <row r="66" spans="1:18" s="324" customFormat="1" ht="15.5" x14ac:dyDescent="0.35">
      <c r="A66" s="2675" t="s">
        <v>1835</v>
      </c>
      <c r="B66" s="2676"/>
      <c r="C66" s="2676"/>
      <c r="D66" s="2676"/>
      <c r="E66" s="2676"/>
      <c r="F66" s="2676"/>
      <c r="G66" s="2676"/>
      <c r="H66" s="2676"/>
      <c r="I66" s="2676"/>
      <c r="J66" s="2676"/>
      <c r="K66" s="2678" t="s">
        <v>1159</v>
      </c>
      <c r="L66" s="2678" t="s">
        <v>2359</v>
      </c>
      <c r="M66" s="2676"/>
      <c r="N66" s="2676"/>
      <c r="O66" s="2676"/>
      <c r="P66" s="2677"/>
      <c r="Q66" s="938"/>
      <c r="R66" s="937"/>
    </row>
    <row r="67" spans="1:18" s="324" customFormat="1" ht="30.75" customHeight="1" x14ac:dyDescent="0.35">
      <c r="A67" s="4981"/>
      <c r="B67" s="4946" t="s">
        <v>2417</v>
      </c>
      <c r="C67" s="4947"/>
      <c r="D67" s="4974"/>
      <c r="E67" s="2542"/>
      <c r="F67" s="2546"/>
      <c r="G67" s="2541"/>
      <c r="H67" s="1704"/>
      <c r="I67" s="2608"/>
      <c r="J67" s="946"/>
      <c r="K67" s="2679"/>
      <c r="L67" s="2680"/>
      <c r="M67" s="946"/>
      <c r="N67" s="4949"/>
      <c r="O67" s="4950"/>
      <c r="P67" s="4951"/>
      <c r="Q67" s="938"/>
      <c r="R67" s="937"/>
    </row>
    <row r="68" spans="1:18" s="324" customFormat="1" x14ac:dyDescent="0.35">
      <c r="A68" s="4982"/>
      <c r="B68" s="4945" t="s">
        <v>2418</v>
      </c>
      <c r="C68" s="4966"/>
      <c r="D68" s="4967"/>
      <c r="E68" s="2540"/>
      <c r="F68" s="2546"/>
      <c r="G68" s="2539"/>
      <c r="H68" s="1703"/>
      <c r="I68" s="1682"/>
      <c r="J68" s="948"/>
      <c r="K68" s="2679"/>
      <c r="L68" s="2680"/>
      <c r="M68" s="950"/>
      <c r="N68" s="4984"/>
      <c r="O68" s="4985"/>
      <c r="P68" s="4986"/>
      <c r="Q68" s="938"/>
      <c r="R68" s="937"/>
    </row>
    <row r="69" spans="1:18" s="324" customFormat="1" x14ac:dyDescent="0.35">
      <c r="A69" s="4982"/>
      <c r="B69" s="4945" t="s">
        <v>2419</v>
      </c>
      <c r="C69" s="4966"/>
      <c r="D69" s="4967"/>
      <c r="E69" s="2540"/>
      <c r="F69" s="2546"/>
      <c r="G69" s="2539"/>
      <c r="H69" s="1703"/>
      <c r="I69" s="2163"/>
      <c r="J69" s="948"/>
      <c r="K69" s="2679"/>
      <c r="L69" s="2680"/>
      <c r="M69" s="950"/>
      <c r="N69" s="4968"/>
      <c r="O69" s="4969"/>
      <c r="P69" s="4970"/>
      <c r="Q69" s="938"/>
      <c r="R69" s="937"/>
    </row>
    <row r="70" spans="1:18" s="324" customFormat="1" ht="30" customHeight="1" x14ac:dyDescent="0.35">
      <c r="A70" s="4982"/>
      <c r="B70" s="4971" t="s">
        <v>2428</v>
      </c>
      <c r="C70" s="4972"/>
      <c r="D70" s="4973"/>
      <c r="E70" s="2542"/>
      <c r="F70" s="2546"/>
      <c r="G70" s="2539"/>
      <c r="H70" s="1703"/>
      <c r="I70" s="2612"/>
      <c r="J70" s="948"/>
      <c r="K70" s="2679"/>
      <c r="L70" s="2680"/>
      <c r="M70" s="950"/>
      <c r="N70" s="4968"/>
      <c r="O70" s="4969"/>
      <c r="P70" s="4970"/>
      <c r="Q70" s="938"/>
      <c r="R70" s="937"/>
    </row>
    <row r="71" spans="1:18" s="324" customFormat="1" x14ac:dyDescent="0.35">
      <c r="A71" s="4982"/>
      <c r="B71" s="4945" t="s">
        <v>2421</v>
      </c>
      <c r="C71" s="4966"/>
      <c r="D71" s="4967"/>
      <c r="E71" s="2542"/>
      <c r="F71" s="2546"/>
      <c r="G71" s="2539"/>
      <c r="H71" s="1703"/>
      <c r="I71" s="1682"/>
      <c r="J71" s="948"/>
      <c r="K71" s="2679"/>
      <c r="L71" s="2680"/>
      <c r="M71" s="950"/>
      <c r="N71" s="4968"/>
      <c r="O71" s="4969"/>
      <c r="P71" s="4970"/>
      <c r="Q71" s="938"/>
      <c r="R71" s="937"/>
    </row>
    <row r="72" spans="1:18" s="324" customFormat="1" x14ac:dyDescent="0.35">
      <c r="A72" s="4982"/>
      <c r="B72" s="4945" t="s">
        <v>2422</v>
      </c>
      <c r="C72" s="4966"/>
      <c r="D72" s="4967"/>
      <c r="E72" s="2542"/>
      <c r="F72" s="2546"/>
      <c r="G72" s="2539"/>
      <c r="H72" s="1703"/>
      <c r="I72" s="1682"/>
      <c r="J72" s="948"/>
      <c r="K72" s="2679"/>
      <c r="L72" s="2680"/>
      <c r="M72" s="950"/>
      <c r="N72" s="4968"/>
      <c r="O72" s="4969"/>
      <c r="P72" s="4970"/>
      <c r="Q72" s="938"/>
      <c r="R72" s="937"/>
    </row>
    <row r="73" spans="1:18" s="324" customFormat="1" x14ac:dyDescent="0.35">
      <c r="A73" s="4982"/>
      <c r="B73" s="4945" t="s">
        <v>2423</v>
      </c>
      <c r="C73" s="4966"/>
      <c r="D73" s="4967"/>
      <c r="E73" s="2540"/>
      <c r="F73" s="2546"/>
      <c r="G73" s="2539"/>
      <c r="H73" s="1703"/>
      <c r="I73" s="1682"/>
      <c r="J73" s="948"/>
      <c r="K73" s="2679"/>
      <c r="L73" s="2680"/>
      <c r="M73" s="950"/>
      <c r="N73" s="4968"/>
      <c r="O73" s="4969"/>
      <c r="P73" s="4970"/>
      <c r="Q73" s="938"/>
      <c r="R73" s="937"/>
    </row>
    <row r="74" spans="1:18" s="324" customFormat="1" x14ac:dyDescent="0.35">
      <c r="A74" s="4982"/>
      <c r="B74" s="4945" t="s">
        <v>2429</v>
      </c>
      <c r="C74" s="4966"/>
      <c r="D74" s="4967"/>
      <c r="E74" s="2543"/>
      <c r="F74" s="2546"/>
      <c r="G74" s="2539"/>
      <c r="H74" s="1703"/>
      <c r="I74" s="1682"/>
      <c r="J74" s="948"/>
      <c r="K74" s="2679"/>
      <c r="L74" s="2680"/>
      <c r="M74" s="950"/>
      <c r="N74" s="4984"/>
      <c r="O74" s="4985"/>
      <c r="P74" s="4986"/>
      <c r="Q74" s="937"/>
      <c r="R74" s="937"/>
    </row>
    <row r="75" spans="1:18" s="324" customFormat="1" x14ac:dyDescent="0.35">
      <c r="A75" s="4982"/>
      <c r="B75" s="4945" t="s">
        <v>1506</v>
      </c>
      <c r="C75" s="4966"/>
      <c r="D75" s="4967"/>
      <c r="E75" s="2542"/>
      <c r="F75" s="2546"/>
      <c r="G75" s="2541"/>
      <c r="H75" s="1704"/>
      <c r="I75" s="1683"/>
      <c r="J75" s="946"/>
      <c r="K75" s="2679"/>
      <c r="L75" s="2680"/>
      <c r="M75" s="946"/>
      <c r="N75" s="4949"/>
      <c r="O75" s="4950"/>
      <c r="P75" s="4951"/>
      <c r="Q75" s="937"/>
      <c r="R75" s="937"/>
    </row>
    <row r="76" spans="1:18" s="324" customFormat="1" x14ac:dyDescent="0.35">
      <c r="A76" s="4982"/>
      <c r="B76" s="4945" t="s">
        <v>1507</v>
      </c>
      <c r="C76" s="4966"/>
      <c r="D76" s="4967"/>
      <c r="E76" s="2537"/>
      <c r="F76" s="2538"/>
      <c r="G76" s="2539"/>
      <c r="H76" s="1704"/>
      <c r="I76" s="1682"/>
      <c r="J76" s="946"/>
      <c r="K76" s="2679"/>
      <c r="L76" s="2680"/>
      <c r="M76" s="946"/>
      <c r="N76" s="4949"/>
      <c r="O76" s="4950"/>
      <c r="P76" s="4951"/>
      <c r="Q76" s="937"/>
      <c r="R76" s="937"/>
    </row>
    <row r="77" spans="1:18" s="324" customFormat="1" x14ac:dyDescent="0.35">
      <c r="A77" s="4982"/>
      <c r="B77" s="4945" t="s">
        <v>1508</v>
      </c>
      <c r="C77" s="4966"/>
      <c r="D77" s="4967"/>
      <c r="E77" s="2537"/>
      <c r="F77" s="2538"/>
      <c r="G77" s="2539"/>
      <c r="H77" s="1704"/>
      <c r="I77" s="1682"/>
      <c r="J77" s="946"/>
      <c r="K77" s="2679"/>
      <c r="L77" s="2680"/>
      <c r="M77" s="946"/>
      <c r="N77" s="4952"/>
      <c r="O77" s="4953"/>
      <c r="P77" s="4954"/>
      <c r="Q77" s="938"/>
      <c r="R77" s="937"/>
    </row>
    <row r="78" spans="1:18" s="324" customFormat="1" x14ac:dyDescent="0.35">
      <c r="A78" s="4982"/>
      <c r="B78" s="4945" t="s">
        <v>2424</v>
      </c>
      <c r="C78" s="4966"/>
      <c r="D78" s="4967"/>
      <c r="E78" s="2537"/>
      <c r="F78" s="2538"/>
      <c r="G78" s="2539"/>
      <c r="H78" s="1705"/>
      <c r="I78" s="1682"/>
      <c r="J78" s="946"/>
      <c r="K78" s="2679"/>
      <c r="L78" s="2680"/>
      <c r="M78" s="946"/>
      <c r="N78" s="4952"/>
      <c r="O78" s="4953"/>
      <c r="P78" s="4954"/>
      <c r="Q78" s="938"/>
      <c r="R78" s="937"/>
    </row>
    <row r="79" spans="1:18" s="324" customFormat="1" x14ac:dyDescent="0.35">
      <c r="A79" s="4982"/>
      <c r="B79" s="4945" t="s">
        <v>997</v>
      </c>
      <c r="C79" s="4966"/>
      <c r="D79" s="4967"/>
      <c r="E79" s="2540"/>
      <c r="F79" s="2547"/>
      <c r="G79" s="2541"/>
      <c r="H79" s="1704"/>
      <c r="I79" s="1683"/>
      <c r="J79" s="946"/>
      <c r="K79" s="2679"/>
      <c r="L79" s="2680"/>
      <c r="M79" s="946"/>
      <c r="N79" s="4949"/>
      <c r="O79" s="4950"/>
      <c r="P79" s="4951"/>
      <c r="Q79" s="938"/>
      <c r="R79" s="937"/>
    </row>
    <row r="80" spans="1:18" s="324" customFormat="1" x14ac:dyDescent="0.35">
      <c r="A80" s="4982"/>
      <c r="B80" s="4945" t="s">
        <v>2425</v>
      </c>
      <c r="C80" s="4966"/>
      <c r="D80" s="4967"/>
      <c r="E80" s="2542"/>
      <c r="F80" s="2538"/>
      <c r="G80" s="2541"/>
      <c r="H80" s="1704"/>
      <c r="I80" s="1683"/>
      <c r="J80" s="946"/>
      <c r="K80" s="2679"/>
      <c r="L80" s="2680"/>
      <c r="M80" s="946"/>
      <c r="N80" s="4952"/>
      <c r="O80" s="4953"/>
      <c r="P80" s="4954"/>
      <c r="Q80" s="938"/>
      <c r="R80" s="937"/>
    </row>
    <row r="81" spans="1:76" s="324" customFormat="1" x14ac:dyDescent="0.35">
      <c r="A81" s="4982"/>
      <c r="B81" s="4948" t="s">
        <v>2426</v>
      </c>
      <c r="C81" s="4964"/>
      <c r="D81" s="4965"/>
      <c r="E81" s="2540"/>
      <c r="F81" s="2547"/>
      <c r="G81" s="2541"/>
      <c r="H81" s="1704"/>
      <c r="I81" s="1683"/>
      <c r="J81" s="946"/>
      <c r="K81" s="2679"/>
      <c r="L81" s="2680"/>
      <c r="M81" s="946"/>
      <c r="N81" s="4949"/>
      <c r="O81" s="4950"/>
      <c r="P81" s="4951"/>
      <c r="Q81" s="938"/>
      <c r="R81" s="937"/>
    </row>
    <row r="82" spans="1:76" s="324" customFormat="1" x14ac:dyDescent="0.35">
      <c r="A82" s="4982"/>
      <c r="B82" s="4948" t="s">
        <v>2427</v>
      </c>
      <c r="C82" s="4964"/>
      <c r="D82" s="4965"/>
      <c r="E82" s="2542"/>
      <c r="F82" s="2538"/>
      <c r="G82" s="2541"/>
      <c r="H82" s="1704"/>
      <c r="I82" s="1683"/>
      <c r="J82" s="946"/>
      <c r="K82" s="2679"/>
      <c r="L82" s="2680"/>
      <c r="M82" s="946"/>
      <c r="N82" s="4949"/>
      <c r="O82" s="4950"/>
      <c r="P82" s="4951"/>
      <c r="Q82" s="938"/>
      <c r="R82" s="937"/>
    </row>
    <row r="83" spans="1:76" s="324" customFormat="1" x14ac:dyDescent="0.35">
      <c r="A83" s="4982"/>
      <c r="B83" s="4948" t="s">
        <v>999</v>
      </c>
      <c r="C83" s="4964"/>
      <c r="D83" s="4965"/>
      <c r="E83" s="2543"/>
      <c r="F83" s="2538"/>
      <c r="G83" s="2541"/>
      <c r="H83" s="1704"/>
      <c r="I83" s="1683"/>
      <c r="J83" s="946"/>
      <c r="K83" s="2679"/>
      <c r="L83" s="2680"/>
      <c r="M83" s="946"/>
      <c r="N83" s="4949"/>
      <c r="O83" s="4950"/>
      <c r="P83" s="4951"/>
      <c r="Q83" s="938"/>
      <c r="R83" s="937"/>
    </row>
    <row r="84" spans="1:76" s="324" customFormat="1" x14ac:dyDescent="0.35">
      <c r="A84" s="4982"/>
      <c r="B84" s="2615" t="s">
        <v>1883</v>
      </c>
      <c r="C84" s="2615"/>
      <c r="D84" s="2683"/>
      <c r="E84" s="2543"/>
      <c r="F84" s="2538"/>
      <c r="G84" s="2541"/>
      <c r="H84" s="1704"/>
      <c r="I84" s="2162"/>
      <c r="J84" s="946"/>
      <c r="K84" s="2679"/>
      <c r="L84" s="2680"/>
      <c r="M84" s="946"/>
      <c r="N84" s="4952"/>
      <c r="O84" s="4953"/>
      <c r="P84" s="4954"/>
      <c r="Q84" s="937"/>
      <c r="R84" s="937"/>
    </row>
    <row r="85" spans="1:76" s="324" customFormat="1" x14ac:dyDescent="0.35">
      <c r="A85" s="4982"/>
      <c r="B85" s="4948" t="s">
        <v>1000</v>
      </c>
      <c r="C85" s="4964"/>
      <c r="D85" s="4965"/>
      <c r="E85" s="2542"/>
      <c r="F85" s="2538"/>
      <c r="G85" s="2541"/>
      <c r="H85" s="1704"/>
      <c r="I85" s="1683"/>
      <c r="J85" s="946"/>
      <c r="K85" s="2679"/>
      <c r="L85" s="2680"/>
      <c r="M85" s="946"/>
      <c r="N85" s="4949"/>
      <c r="O85" s="4950"/>
      <c r="P85" s="4951"/>
      <c r="Q85" s="937"/>
      <c r="R85" s="937"/>
    </row>
    <row r="86" spans="1:76" s="324" customFormat="1" ht="15" thickBot="1" x14ac:dyDescent="0.4">
      <c r="A86" s="4983"/>
      <c r="B86" s="4978" t="s">
        <v>1510</v>
      </c>
      <c r="C86" s="4979"/>
      <c r="D86" s="4980"/>
      <c r="E86" s="2550"/>
      <c r="F86" s="2551"/>
      <c r="G86" s="2552"/>
      <c r="H86" s="1710"/>
      <c r="I86" s="2094"/>
      <c r="J86" s="951"/>
      <c r="K86" s="2679"/>
      <c r="L86" s="2680"/>
      <c r="M86" s="951"/>
      <c r="N86" s="4975"/>
      <c r="O86" s="4976"/>
      <c r="P86" s="4977"/>
      <c r="Q86" s="937"/>
      <c r="R86" s="937"/>
    </row>
    <row r="87" spans="1:76" s="324" customFormat="1" ht="15.5" thickTop="1" thickBot="1" x14ac:dyDescent="0.4">
      <c r="A87" s="1214"/>
      <c r="B87" s="1214"/>
      <c r="C87" s="1214"/>
      <c r="D87" s="1214"/>
      <c r="E87" s="1213"/>
      <c r="F87" s="1213"/>
      <c r="G87" s="1213"/>
      <c r="H87" s="1213"/>
      <c r="I87" s="1213"/>
      <c r="J87" s="1213"/>
      <c r="K87" s="1213"/>
      <c r="L87" s="1213"/>
      <c r="M87" s="1213"/>
      <c r="N87" s="1213"/>
      <c r="O87" s="1213"/>
      <c r="P87" s="1213"/>
      <c r="Q87" s="937"/>
      <c r="R87" s="937"/>
    </row>
    <row r="88" spans="1:76" ht="20.25" customHeight="1" thickTop="1" x14ac:dyDescent="0.35">
      <c r="A88" s="1214"/>
      <c r="B88" s="1214"/>
      <c r="C88" s="1214"/>
      <c r="D88" s="1216" t="s">
        <v>1268</v>
      </c>
      <c r="E88" s="1217"/>
      <c r="F88" s="1567"/>
      <c r="G88" s="1711"/>
      <c r="H88" s="1713">
        <f>SUM(H9:H14,H17:H27,H34:H51,H55:H64,H68:H86)</f>
        <v>0</v>
      </c>
      <c r="I88" s="1622">
        <f>SUM(I9:I14,I17:I27,I34:I51,I55:I64,I68:I86)</f>
        <v>0</v>
      </c>
      <c r="J88" s="1715">
        <f>SUM(J9:J14,J17:J27,J34:J51,J55:J64,J68:J86)</f>
        <v>0</v>
      </c>
      <c r="K88" s="2465">
        <f>SUM(H88:J88)</f>
        <v>0</v>
      </c>
      <c r="L88" s="1214"/>
      <c r="M88" s="1214"/>
      <c r="N88" s="1214"/>
      <c r="O88" s="1214"/>
      <c r="P88" s="1214"/>
      <c r="Q88" s="743"/>
      <c r="R88" s="382"/>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row>
    <row r="89" spans="1:76" ht="15" thickBot="1" x14ac:dyDescent="0.4">
      <c r="D89" s="1215" t="s">
        <v>1269</v>
      </c>
      <c r="E89" s="1218"/>
      <c r="F89" s="1568"/>
      <c r="G89" s="1712"/>
      <c r="H89" s="1714"/>
      <c r="I89" s="1623"/>
      <c r="J89" s="1624"/>
      <c r="K89" s="2464"/>
      <c r="L89" s="1214"/>
      <c r="M89" s="1214"/>
      <c r="N89" s="1214"/>
      <c r="O89" s="1214"/>
      <c r="P89" s="1214"/>
      <c r="Q89" s="64"/>
      <c r="R89" s="382"/>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row>
    <row r="90" spans="1:76" ht="15" thickTop="1" x14ac:dyDescent="0.35"/>
  </sheetData>
  <mergeCells count="159">
    <mergeCell ref="A28:P28"/>
    <mergeCell ref="B25:D25"/>
    <mergeCell ref="B23:D23"/>
    <mergeCell ref="B24:D24"/>
    <mergeCell ref="B26:D26"/>
    <mergeCell ref="B27:D27"/>
    <mergeCell ref="B18:D18"/>
    <mergeCell ref="B19:D19"/>
    <mergeCell ref="B20:D20"/>
    <mergeCell ref="B21:D21"/>
    <mergeCell ref="B22:D22"/>
    <mergeCell ref="N25:P25"/>
    <mergeCell ref="N18:P18"/>
    <mergeCell ref="B17:D17"/>
    <mergeCell ref="B9:D9"/>
    <mergeCell ref="N9:P9"/>
    <mergeCell ref="N6:P6"/>
    <mergeCell ref="A7:P7"/>
    <mergeCell ref="K6:L6"/>
    <mergeCell ref="B12:D12"/>
    <mergeCell ref="B13:D13"/>
    <mergeCell ref="N11:P11"/>
    <mergeCell ref="N10:P10"/>
    <mergeCell ref="A15:P15"/>
    <mergeCell ref="N17:P17"/>
    <mergeCell ref="A17:A27"/>
    <mergeCell ref="N24:P24"/>
    <mergeCell ref="N23:P23"/>
    <mergeCell ref="N22:P22"/>
    <mergeCell ref="N21:P21"/>
    <mergeCell ref="N20:P20"/>
    <mergeCell ref="N19:P19"/>
    <mergeCell ref="N26:P26"/>
    <mergeCell ref="N27:P27"/>
    <mergeCell ref="D1:G1"/>
    <mergeCell ref="I1:J1"/>
    <mergeCell ref="L1:M1"/>
    <mergeCell ref="D2:G2"/>
    <mergeCell ref="I2:J2"/>
    <mergeCell ref="L2:M2"/>
    <mergeCell ref="D3:G3"/>
    <mergeCell ref="B10:D10"/>
    <mergeCell ref="B11:D11"/>
    <mergeCell ref="B4:G4"/>
    <mergeCell ref="H4:Q4"/>
    <mergeCell ref="A5:B5"/>
    <mergeCell ref="C5:Q5"/>
    <mergeCell ref="A6:D6"/>
    <mergeCell ref="A9:A14"/>
    <mergeCell ref="N14:P14"/>
    <mergeCell ref="N13:P13"/>
    <mergeCell ref="N12:P12"/>
    <mergeCell ref="B14:D14"/>
    <mergeCell ref="N86:P86"/>
    <mergeCell ref="B86:D86"/>
    <mergeCell ref="A67:A86"/>
    <mergeCell ref="N83:P83"/>
    <mergeCell ref="B77:D77"/>
    <mergeCell ref="N81:P81"/>
    <mergeCell ref="N79:P79"/>
    <mergeCell ref="B45:D45"/>
    <mergeCell ref="B46:D46"/>
    <mergeCell ref="B55:D55"/>
    <mergeCell ref="N76:P76"/>
    <mergeCell ref="N75:P75"/>
    <mergeCell ref="N74:P74"/>
    <mergeCell ref="B76:D76"/>
    <mergeCell ref="B79:D79"/>
    <mergeCell ref="N61:P61"/>
    <mergeCell ref="N59:P59"/>
    <mergeCell ref="B59:D59"/>
    <mergeCell ref="B63:D63"/>
    <mergeCell ref="N68:P68"/>
    <mergeCell ref="B80:D80"/>
    <mergeCell ref="N85:P85"/>
    <mergeCell ref="N55:P55"/>
    <mergeCell ref="N64:P64"/>
    <mergeCell ref="N41:P41"/>
    <mergeCell ref="B49:D49"/>
    <mergeCell ref="B51:D51"/>
    <mergeCell ref="N45:P45"/>
    <mergeCell ref="B47:D47"/>
    <mergeCell ref="B48:D48"/>
    <mergeCell ref="N46:P46"/>
    <mergeCell ref="N43:P43"/>
    <mergeCell ref="N42:P42"/>
    <mergeCell ref="B41:D41"/>
    <mergeCell ref="B42:D42"/>
    <mergeCell ref="B43:D43"/>
    <mergeCell ref="B44:D44"/>
    <mergeCell ref="N51:P51"/>
    <mergeCell ref="N49:P49"/>
    <mergeCell ref="N44:P44"/>
    <mergeCell ref="N48:P48"/>
    <mergeCell ref="N47:P47"/>
    <mergeCell ref="N60:P60"/>
    <mergeCell ref="N58:P58"/>
    <mergeCell ref="N63:P63"/>
    <mergeCell ref="N56:P56"/>
    <mergeCell ref="N82:P82"/>
    <mergeCell ref="B57:D57"/>
    <mergeCell ref="B60:D60"/>
    <mergeCell ref="B62:D62"/>
    <mergeCell ref="B64:D64"/>
    <mergeCell ref="B81:D81"/>
    <mergeCell ref="B82:D82"/>
    <mergeCell ref="B56:D56"/>
    <mergeCell ref="B58:D58"/>
    <mergeCell ref="N57:P57"/>
    <mergeCell ref="B67:D67"/>
    <mergeCell ref="N67:P67"/>
    <mergeCell ref="N38:P38"/>
    <mergeCell ref="N35:P35"/>
    <mergeCell ref="N34:P34"/>
    <mergeCell ref="B83:D83"/>
    <mergeCell ref="B85:D85"/>
    <mergeCell ref="B78:D78"/>
    <mergeCell ref="B68:D68"/>
    <mergeCell ref="B74:D74"/>
    <mergeCell ref="B75:D75"/>
    <mergeCell ref="N84:P84"/>
    <mergeCell ref="N80:P80"/>
    <mergeCell ref="N77:P77"/>
    <mergeCell ref="N78:P78"/>
    <mergeCell ref="N69:P69"/>
    <mergeCell ref="N71:P71"/>
    <mergeCell ref="N72:P72"/>
    <mergeCell ref="N73:P73"/>
    <mergeCell ref="B73:D73"/>
    <mergeCell ref="B72:D72"/>
    <mergeCell ref="B71:D71"/>
    <mergeCell ref="B69:D69"/>
    <mergeCell ref="B70:D70"/>
    <mergeCell ref="N70:P70"/>
    <mergeCell ref="N62:P62"/>
    <mergeCell ref="B52:D52"/>
    <mergeCell ref="B54:D54"/>
    <mergeCell ref="N54:P54"/>
    <mergeCell ref="N37:P37"/>
    <mergeCell ref="B30:D30"/>
    <mergeCell ref="N30:P30"/>
    <mergeCell ref="A30:A51"/>
    <mergeCell ref="B33:D33"/>
    <mergeCell ref="N33:P33"/>
    <mergeCell ref="B50:D50"/>
    <mergeCell ref="N50:P50"/>
    <mergeCell ref="B31:D31"/>
    <mergeCell ref="N31:P31"/>
    <mergeCell ref="B32:D32"/>
    <mergeCell ref="N36:P36"/>
    <mergeCell ref="N40:P40"/>
    <mergeCell ref="B34:D34"/>
    <mergeCell ref="B35:D35"/>
    <mergeCell ref="B38:D38"/>
    <mergeCell ref="B39:D39"/>
    <mergeCell ref="B40:D40"/>
    <mergeCell ref="B36:D36"/>
    <mergeCell ref="B37:D37"/>
    <mergeCell ref="N39:P39"/>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700-000000000000}">
      <formula1>AvancementTheme</formula1>
    </dataValidation>
  </dataValidations>
  <hyperlinks>
    <hyperlink ref="O1" location="DPDV_10SK1" display="PdV" xr:uid="{00000000-0004-0000-2700-000000000000}"/>
    <hyperlink ref="P1" location="DKPI_10SK1" display="KPI's" xr:uid="{00000000-0004-0000-27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92">
    <tabColor theme="4" tint="0.39997558519241921"/>
    <pageSetUpPr fitToPage="1"/>
  </sheetPr>
  <dimension ref="A1:V27"/>
  <sheetViews>
    <sheetView showGridLines="0" showRowColHeaders="0" zoomScale="110" zoomScaleNormal="110" workbookViewId="0">
      <pane ySplit="4" topLeftCell="A5" activePane="bottomLeft" state="frozen"/>
      <selection activeCell="H7" sqref="H7"/>
      <selection pane="bottomLeft" activeCell="A7" sqref="A7:Q7"/>
    </sheetView>
  </sheetViews>
  <sheetFormatPr baseColWidth="10" defaultColWidth="11.453125" defaultRowHeight="14.5" x14ac:dyDescent="0.35"/>
  <cols>
    <col min="1" max="3" width="11.453125" style="60"/>
    <col min="4" max="17" width="10.7265625" style="60" customWidth="1"/>
    <col min="18" max="16384" width="11.453125" style="60"/>
  </cols>
  <sheetData>
    <row r="1" spans="1:22" s="54" customFormat="1" ht="15" customHeight="1" x14ac:dyDescent="0.35">
      <c r="A1" s="2268"/>
      <c r="B1" s="2268"/>
      <c r="C1" s="2268"/>
      <c r="D1" s="3341" t="s">
        <v>5</v>
      </c>
      <c r="E1" s="3341"/>
      <c r="F1" s="3341"/>
      <c r="G1" s="3341"/>
      <c r="H1" s="391"/>
      <c r="I1" s="3341" t="s">
        <v>6</v>
      </c>
      <c r="J1" s="3341"/>
      <c r="K1" s="2268"/>
      <c r="L1" s="3341" t="s">
        <v>9</v>
      </c>
      <c r="M1" s="3341"/>
      <c r="N1" s="2268"/>
      <c r="O1" s="479" t="s">
        <v>2</v>
      </c>
      <c r="P1" s="479" t="s">
        <v>3</v>
      </c>
      <c r="Q1" s="829"/>
      <c r="R1" s="458"/>
    </row>
    <row r="2" spans="1:22" s="58" customFormat="1" ht="18" customHeight="1" x14ac:dyDescent="0.35">
      <c r="A2" s="393"/>
      <c r="B2" s="393"/>
      <c r="C2" s="393"/>
      <c r="D2" s="3342" t="str">
        <f>NomClient</f>
        <v xml:space="preserve">EQUINIX </v>
      </c>
      <c r="E2" s="3343"/>
      <c r="F2" s="3343"/>
      <c r="G2" s="3344"/>
      <c r="H2" s="393"/>
      <c r="I2" s="3345" t="s">
        <v>409</v>
      </c>
      <c r="J2" s="3346"/>
      <c r="K2" s="393"/>
      <c r="L2" s="3347">
        <v>42420.704363425924</v>
      </c>
      <c r="M2" s="3348"/>
      <c r="N2" s="394"/>
      <c r="O2" s="451">
        <f>IF(LEN(DPDV_05CT2)&gt;0,LEN(DPDV_05CT2),0-PDV_NBmini)</f>
        <v>97</v>
      </c>
      <c r="P2" s="451">
        <f>IF(LEN(DKPI_05CT2)&gt;0,LEN(DKPI_05CT2),0-KPI_NBmini)</f>
        <v>33</v>
      </c>
      <c r="Q2" s="830"/>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5049" t="str">
        <f>Parametre!B27 &amp; "   : "</f>
        <v xml:space="preserve">Organisation commerciale   : </v>
      </c>
      <c r="B4" s="5049"/>
      <c r="C4" s="5049"/>
      <c r="D4" s="5049"/>
      <c r="E4" s="5049"/>
      <c r="F4" s="5049"/>
      <c r="G4" s="5049"/>
      <c r="H4" s="5050" t="str">
        <f>"Organisation et dimensionnement de l'équipe indirecte pour " &amp; NomProd2</f>
        <v>Organisation et dimensionnement de l'équipe indirecte pour ASEMA</v>
      </c>
      <c r="I4" s="5050"/>
      <c r="J4" s="5050"/>
      <c r="K4" s="5050"/>
      <c r="L4" s="5050"/>
      <c r="M4" s="5050"/>
      <c r="N4" s="5050"/>
      <c r="O4" s="5050"/>
      <c r="P4" s="5050"/>
      <c r="Q4" s="5051"/>
      <c r="R4" s="444"/>
    </row>
    <row r="5" spans="1:22" s="193" customFormat="1" ht="26.25" customHeight="1" thickBot="1" x14ac:dyDescent="0.4">
      <c r="A5" s="5052" t="s">
        <v>14</v>
      </c>
      <c r="B5" s="5052"/>
      <c r="C5" s="5053" t="s">
        <v>838</v>
      </c>
      <c r="D5" s="5054"/>
      <c r="E5" s="5054"/>
      <c r="F5" s="5054"/>
      <c r="G5" s="5054"/>
      <c r="H5" s="5054"/>
      <c r="I5" s="5054"/>
      <c r="J5" s="5054"/>
      <c r="K5" s="5054"/>
      <c r="L5" s="5054"/>
      <c r="M5" s="5054"/>
      <c r="N5" s="5054"/>
      <c r="O5" s="5054"/>
      <c r="P5" s="5054"/>
      <c r="Q5" s="5054"/>
      <c r="R5" s="460"/>
    </row>
    <row r="6" spans="1:22" s="25" customFormat="1" ht="31.5" customHeight="1" thickTop="1" thickBot="1" x14ac:dyDescent="0.4">
      <c r="A6" s="5047" t="s">
        <v>176</v>
      </c>
      <c r="B6" s="5048"/>
      <c r="C6" s="5041"/>
      <c r="D6" s="5040" t="s">
        <v>177</v>
      </c>
      <c r="E6" s="5041"/>
      <c r="F6" s="5040" t="s">
        <v>178</v>
      </c>
      <c r="G6" s="5041"/>
      <c r="H6" s="5040" t="s">
        <v>179</v>
      </c>
      <c r="I6" s="5041"/>
      <c r="J6" s="5040" t="s">
        <v>180</v>
      </c>
      <c r="K6" s="5041"/>
      <c r="L6" s="5040" t="s">
        <v>181</v>
      </c>
      <c r="M6" s="5041"/>
      <c r="N6" s="5040" t="s">
        <v>182</v>
      </c>
      <c r="O6" s="5041"/>
      <c r="P6" s="5040" t="s">
        <v>183</v>
      </c>
      <c r="Q6" s="5042"/>
      <c r="R6" s="767"/>
    </row>
    <row r="7" spans="1:22" s="263" customFormat="1" ht="6.75" customHeight="1" thickTop="1" x14ac:dyDescent="0.35">
      <c r="A7" s="5043"/>
      <c r="B7" s="5044"/>
      <c r="C7" s="5044"/>
      <c r="D7" s="5044"/>
      <c r="E7" s="5044"/>
      <c r="F7" s="5044"/>
      <c r="G7" s="5044"/>
      <c r="H7" s="5044"/>
      <c r="I7" s="5044"/>
      <c r="J7" s="5044"/>
      <c r="K7" s="5044"/>
      <c r="L7" s="5044"/>
      <c r="M7" s="5044"/>
      <c r="N7" s="5044"/>
      <c r="O7" s="5044"/>
      <c r="P7" s="5044"/>
      <c r="Q7" s="5044"/>
      <c r="R7" s="832"/>
    </row>
    <row r="8" spans="1:22" ht="19.5" customHeight="1" x14ac:dyDescent="0.35">
      <c r="A8" s="5035" t="s">
        <v>598</v>
      </c>
      <c r="B8" s="5036"/>
      <c r="C8" s="5036"/>
      <c r="D8" s="5045"/>
      <c r="E8" s="5045"/>
      <c r="F8" s="5046">
        <f>'02-CHANNELCAPACITY-SAAS-OFR1'!L55</f>
        <v>0</v>
      </c>
      <c r="G8" s="5046"/>
      <c r="H8" s="5046">
        <f>'02-CHANNELCAPACITY-SAAS-OFR1'!K61</f>
        <v>0</v>
      </c>
      <c r="I8" s="5046"/>
      <c r="J8" s="5046">
        <f>'02-CHANNELCAPACITY-SAAS-OFR1'!K66</f>
        <v>0</v>
      </c>
      <c r="K8" s="5046"/>
      <c r="L8" s="5046">
        <f>'02-CHANNELCAPACITY-SAAS-OFR1'!K95</f>
        <v>0</v>
      </c>
      <c r="M8" s="5046"/>
      <c r="N8" s="5046">
        <f>'02-CHANNELCAPACITY-SAAS-OFR1'!U55</f>
        <v>0</v>
      </c>
      <c r="O8" s="5046"/>
      <c r="P8" s="5033">
        <f>SUM(D8:O8)</f>
        <v>0</v>
      </c>
      <c r="Q8" s="5034"/>
      <c r="R8" s="64"/>
    </row>
    <row r="9" spans="1:22" ht="37.5" customHeight="1" x14ac:dyDescent="0.35">
      <c r="A9" s="5035" t="s">
        <v>599</v>
      </c>
      <c r="B9" s="5036"/>
      <c r="C9" s="5036"/>
      <c r="D9" s="5037"/>
      <c r="E9" s="5037"/>
      <c r="F9" s="5037">
        <v>5</v>
      </c>
      <c r="G9" s="5037"/>
      <c r="H9" s="5037">
        <v>15</v>
      </c>
      <c r="I9" s="5037"/>
      <c r="J9" s="5037">
        <v>15</v>
      </c>
      <c r="K9" s="5037"/>
      <c r="L9" s="5038">
        <v>10</v>
      </c>
      <c r="M9" s="5038"/>
      <c r="N9" s="5038"/>
      <c r="O9" s="5039"/>
      <c r="P9" s="5033"/>
      <c r="Q9" s="5034"/>
      <c r="R9" s="64"/>
    </row>
    <row r="10" spans="1:22" ht="19.5" customHeight="1" x14ac:dyDescent="0.35">
      <c r="A10" s="5030" t="s">
        <v>596</v>
      </c>
      <c r="B10" s="5031"/>
      <c r="C10" s="5031"/>
      <c r="D10" s="5032">
        <f>IF(D9&gt;0,D8/D9,0)</f>
        <v>0</v>
      </c>
      <c r="E10" s="5032"/>
      <c r="F10" s="5019">
        <f>IF(F9&gt;0,F8/F9,0)</f>
        <v>0</v>
      </c>
      <c r="G10" s="5019"/>
      <c r="H10" s="5019">
        <f>IF(H9&gt;0,H8/H9,0)</f>
        <v>0</v>
      </c>
      <c r="I10" s="5019"/>
      <c r="J10" s="5019">
        <f>IF(J9&gt;0,J8/J9,0)</f>
        <v>0</v>
      </c>
      <c r="K10" s="5019"/>
      <c r="L10" s="5019">
        <f>IF(L9&gt;0,L8/L9,0)</f>
        <v>0</v>
      </c>
      <c r="M10" s="5019"/>
      <c r="N10" s="5019">
        <f>IF(N9&gt;0,N8/N9,0)</f>
        <v>0</v>
      </c>
      <c r="O10" s="5019"/>
      <c r="P10" s="5020">
        <f>SUM(D10:O10)</f>
        <v>0</v>
      </c>
      <c r="Q10" s="5021"/>
      <c r="R10" s="64"/>
    </row>
    <row r="11" spans="1:22" ht="19.5" customHeight="1" thickBot="1" x14ac:dyDescent="0.4">
      <c r="A11" s="5022" t="s">
        <v>597</v>
      </c>
      <c r="B11" s="5023"/>
      <c r="C11" s="5023"/>
      <c r="D11" s="5024"/>
      <c r="E11" s="5024"/>
      <c r="F11" s="5025">
        <v>1.5</v>
      </c>
      <c r="G11" s="5025"/>
      <c r="H11" s="5025">
        <v>0.75</v>
      </c>
      <c r="I11" s="5025"/>
      <c r="J11" s="5026">
        <v>0.75</v>
      </c>
      <c r="K11" s="5026"/>
      <c r="L11" s="5026">
        <v>0.2</v>
      </c>
      <c r="M11" s="5026"/>
      <c r="N11" s="5024"/>
      <c r="O11" s="5027"/>
      <c r="P11" s="5028">
        <f>SUM(D11:O11)</f>
        <v>3.2</v>
      </c>
      <c r="Q11" s="5029"/>
      <c r="R11" s="64"/>
    </row>
    <row r="12" spans="1:22" ht="19.5" customHeight="1" thickTop="1" thickBot="1" x14ac:dyDescent="0.4">
      <c r="A12" s="5016" t="s">
        <v>616</v>
      </c>
      <c r="B12" s="5017"/>
      <c r="C12" s="5017"/>
      <c r="D12" s="5018">
        <f>SUM(D10:E11)</f>
        <v>0</v>
      </c>
      <c r="E12" s="5018"/>
      <c r="F12" s="5009">
        <f>SUM(F10:G11)</f>
        <v>1.5</v>
      </c>
      <c r="G12" s="5009"/>
      <c r="H12" s="5009">
        <f>SUM(H10:I11)</f>
        <v>0.75</v>
      </c>
      <c r="I12" s="5009"/>
      <c r="J12" s="5009">
        <f>SUM(J10:K11)</f>
        <v>0.75</v>
      </c>
      <c r="K12" s="5009"/>
      <c r="L12" s="5009">
        <f>SUM(L10:M11)</f>
        <v>0.2</v>
      </c>
      <c r="M12" s="5009"/>
      <c r="N12" s="5009">
        <f>SUM(N10:O11)</f>
        <v>0</v>
      </c>
      <c r="O12" s="5009"/>
      <c r="P12" s="5010">
        <f>SUM(P10:Q11)</f>
        <v>3.2</v>
      </c>
      <c r="Q12" s="5011"/>
      <c r="R12" s="64"/>
    </row>
    <row r="13" spans="1:22" ht="21" customHeight="1" thickTop="1" x14ac:dyDescent="0.35">
      <c r="A13" s="2271"/>
      <c r="B13" s="2271"/>
      <c r="C13" s="2269"/>
      <c r="D13" s="2269"/>
      <c r="E13" s="2269"/>
      <c r="F13" s="2269"/>
      <c r="G13" s="2269"/>
      <c r="H13" s="2269"/>
      <c r="I13" s="2269"/>
      <c r="J13" s="2269"/>
      <c r="K13" s="2269"/>
      <c r="L13" s="833"/>
      <c r="M13" s="833"/>
      <c r="N13" s="833"/>
      <c r="O13" s="833"/>
      <c r="P13" s="834"/>
      <c r="Q13" s="833"/>
      <c r="R13" s="64"/>
    </row>
    <row r="14" spans="1:22" ht="15" thickBot="1" x14ac:dyDescent="0.4">
      <c r="A14" s="64"/>
      <c r="B14" s="64"/>
      <c r="C14" s="64"/>
      <c r="D14" s="64"/>
      <c r="E14" s="64"/>
      <c r="F14" s="64"/>
      <c r="G14" s="64"/>
      <c r="H14" s="64"/>
      <c r="I14" s="64"/>
      <c r="J14" s="64"/>
      <c r="K14" s="64"/>
      <c r="L14" s="64"/>
      <c r="M14" s="64"/>
      <c r="N14" s="64"/>
      <c r="O14" s="64"/>
      <c r="P14" s="64"/>
      <c r="Q14" s="64"/>
      <c r="R14" s="64"/>
    </row>
    <row r="15" spans="1:22" ht="19.5" thickTop="1" thickBot="1" x14ac:dyDescent="0.4">
      <c r="A15" s="5002" t="s">
        <v>10</v>
      </c>
      <c r="B15" s="5003"/>
      <c r="C15" s="5003"/>
      <c r="D15" s="5003"/>
      <c r="E15" s="5003"/>
      <c r="F15" s="5003"/>
      <c r="G15" s="5003"/>
      <c r="H15" s="5003"/>
      <c r="I15" s="5003"/>
      <c r="J15" s="5003"/>
      <c r="K15" s="5003"/>
      <c r="L15" s="119"/>
      <c r="M15" s="3725" t="s">
        <v>748</v>
      </c>
      <c r="N15" s="3726"/>
      <c r="O15" s="3727"/>
      <c r="P15" s="31"/>
      <c r="Q15" s="64"/>
      <c r="R15" s="64"/>
    </row>
    <row r="16" spans="1:22" ht="20.25" customHeight="1" x14ac:dyDescent="0.35">
      <c r="A16" s="5004" t="s">
        <v>1262</v>
      </c>
      <c r="B16" s="5012"/>
      <c r="C16" s="5012"/>
      <c r="D16" s="5012"/>
      <c r="E16" s="5012"/>
      <c r="F16" s="5012"/>
      <c r="G16" s="5012"/>
      <c r="H16" s="5012"/>
      <c r="I16" s="5012"/>
      <c r="J16" s="5012"/>
      <c r="K16" s="5012"/>
      <c r="L16" s="37"/>
      <c r="M16" s="4593" t="s">
        <v>806</v>
      </c>
      <c r="N16" s="4594"/>
      <c r="O16" s="4595"/>
      <c r="P16" s="33"/>
      <c r="Q16" s="64"/>
      <c r="R16" s="64"/>
    </row>
    <row r="17" spans="1:18" ht="20.25" customHeight="1" x14ac:dyDescent="0.35">
      <c r="A17" s="5013"/>
      <c r="B17" s="4578"/>
      <c r="C17" s="4578"/>
      <c r="D17" s="4578"/>
      <c r="E17" s="4578"/>
      <c r="F17" s="4578"/>
      <c r="G17" s="4578"/>
      <c r="H17" s="4578"/>
      <c r="I17" s="4578"/>
      <c r="J17" s="4578"/>
      <c r="K17" s="4578"/>
      <c r="L17" s="37"/>
      <c r="M17" s="4596"/>
      <c r="N17" s="4597"/>
      <c r="O17" s="4598"/>
      <c r="P17" s="33"/>
      <c r="Q17" s="64"/>
      <c r="R17" s="64"/>
    </row>
    <row r="18" spans="1:18" ht="20.25" customHeight="1" x14ac:dyDescent="0.35">
      <c r="A18" s="5013"/>
      <c r="B18" s="4578"/>
      <c r="C18" s="4578"/>
      <c r="D18" s="4578"/>
      <c r="E18" s="4578"/>
      <c r="F18" s="4578"/>
      <c r="G18" s="4578"/>
      <c r="H18" s="4578"/>
      <c r="I18" s="4578"/>
      <c r="J18" s="4578"/>
      <c r="K18" s="4578"/>
      <c r="L18" s="37"/>
      <c r="M18" s="4596"/>
      <c r="N18" s="4597"/>
      <c r="O18" s="4598"/>
      <c r="P18" s="33"/>
      <c r="Q18" s="64"/>
      <c r="R18" s="64"/>
    </row>
    <row r="19" spans="1:18" ht="20.25" customHeight="1" thickBot="1" x14ac:dyDescent="0.4">
      <c r="A19" s="5014"/>
      <c r="B19" s="5015"/>
      <c r="C19" s="5015"/>
      <c r="D19" s="5015"/>
      <c r="E19" s="5015"/>
      <c r="F19" s="5015"/>
      <c r="G19" s="5015"/>
      <c r="H19" s="5015"/>
      <c r="I19" s="5015"/>
      <c r="J19" s="5015"/>
      <c r="K19" s="5015"/>
      <c r="L19" s="37"/>
      <c r="M19" s="4599"/>
      <c r="N19" s="4600"/>
      <c r="O19" s="4601"/>
      <c r="P19" s="33"/>
      <c r="Q19" s="64"/>
      <c r="R19" s="64"/>
    </row>
    <row r="20" spans="1:18" ht="15.5" thickTop="1" thickBot="1" x14ac:dyDescent="0.4">
      <c r="A20" s="64"/>
      <c r="B20" s="64"/>
      <c r="C20" s="64"/>
      <c r="D20" s="64"/>
      <c r="E20" s="64"/>
      <c r="F20" s="64"/>
      <c r="G20" s="64"/>
      <c r="H20" s="64"/>
      <c r="I20" s="64"/>
      <c r="J20" s="64"/>
      <c r="K20" s="64"/>
      <c r="L20" s="64"/>
      <c r="M20" s="31"/>
      <c r="N20" s="31"/>
      <c r="O20" s="31"/>
      <c r="P20" s="64"/>
      <c r="Q20" s="64"/>
      <c r="R20" s="64"/>
    </row>
    <row r="21" spans="1:18" ht="19.5" thickTop="1" thickBot="1" x14ac:dyDescent="0.4">
      <c r="A21" s="5002" t="s">
        <v>11</v>
      </c>
      <c r="B21" s="5003"/>
      <c r="C21" s="5003"/>
      <c r="D21" s="5003"/>
      <c r="E21" s="5003"/>
      <c r="F21" s="5003"/>
      <c r="G21" s="5003"/>
      <c r="H21" s="5003"/>
      <c r="I21" s="5003"/>
      <c r="J21" s="5003"/>
      <c r="K21" s="5003"/>
      <c r="L21" s="119"/>
      <c r="M21" s="3725" t="s">
        <v>748</v>
      </c>
      <c r="N21" s="3726"/>
      <c r="O21" s="3727"/>
      <c r="P21" s="31"/>
      <c r="Q21" s="64"/>
      <c r="R21" s="64"/>
    </row>
    <row r="22" spans="1:18" ht="20.25" customHeight="1" x14ac:dyDescent="0.35">
      <c r="A22" s="5004" t="s">
        <v>1261</v>
      </c>
      <c r="B22" s="5005"/>
      <c r="C22" s="5005"/>
      <c r="D22" s="5005"/>
      <c r="E22" s="5005"/>
      <c r="F22" s="5005"/>
      <c r="G22" s="5005"/>
      <c r="H22" s="5005"/>
      <c r="I22" s="5005"/>
      <c r="J22" s="5005"/>
      <c r="K22" s="5005"/>
      <c r="L22" s="37"/>
      <c r="M22" s="4593" t="s">
        <v>807</v>
      </c>
      <c r="N22" s="4594"/>
      <c r="O22" s="4595"/>
      <c r="P22" s="33"/>
      <c r="Q22" s="64"/>
      <c r="R22" s="64"/>
    </row>
    <row r="23" spans="1:18" ht="20.25" customHeight="1" x14ac:dyDescent="0.35">
      <c r="A23" s="5006"/>
      <c r="B23" s="3882"/>
      <c r="C23" s="3882"/>
      <c r="D23" s="3882"/>
      <c r="E23" s="3882"/>
      <c r="F23" s="3882"/>
      <c r="G23" s="3882"/>
      <c r="H23" s="3882"/>
      <c r="I23" s="3882"/>
      <c r="J23" s="3882"/>
      <c r="K23" s="3879"/>
      <c r="L23" s="37"/>
      <c r="M23" s="4596"/>
      <c r="N23" s="4597"/>
      <c r="O23" s="4598"/>
      <c r="P23" s="33"/>
      <c r="Q23" s="64"/>
      <c r="R23" s="64"/>
    </row>
    <row r="24" spans="1:18" ht="20.25" customHeight="1" x14ac:dyDescent="0.35">
      <c r="A24" s="5006"/>
      <c r="B24" s="3882"/>
      <c r="C24" s="3882"/>
      <c r="D24" s="3882"/>
      <c r="E24" s="3882"/>
      <c r="F24" s="3882"/>
      <c r="G24" s="3882"/>
      <c r="H24" s="3882"/>
      <c r="I24" s="3882"/>
      <c r="J24" s="3882"/>
      <c r="K24" s="3879"/>
      <c r="L24" s="37"/>
      <c r="M24" s="4596"/>
      <c r="N24" s="4597"/>
      <c r="O24" s="4598"/>
      <c r="P24" s="33"/>
      <c r="Q24" s="64"/>
      <c r="R24" s="64"/>
    </row>
    <row r="25" spans="1:18" ht="20.25" customHeight="1" thickBot="1" x14ac:dyDescent="0.4">
      <c r="A25" s="5007"/>
      <c r="B25" s="5008"/>
      <c r="C25" s="5008"/>
      <c r="D25" s="5008"/>
      <c r="E25" s="5008"/>
      <c r="F25" s="5008"/>
      <c r="G25" s="5008"/>
      <c r="H25" s="5008"/>
      <c r="I25" s="5008"/>
      <c r="J25" s="5008"/>
      <c r="K25" s="5008"/>
      <c r="L25" s="37"/>
      <c r="M25" s="4599"/>
      <c r="N25" s="4600"/>
      <c r="O25" s="4601"/>
      <c r="P25" s="33"/>
      <c r="Q25" s="64"/>
      <c r="R25" s="64"/>
    </row>
    <row r="26" spans="1:18" ht="15" thickTop="1" x14ac:dyDescent="0.35">
      <c r="A26" s="64"/>
      <c r="B26" s="64"/>
      <c r="C26" s="64"/>
      <c r="D26" s="64"/>
      <c r="E26" s="64"/>
      <c r="F26" s="64"/>
      <c r="G26" s="64"/>
      <c r="H26" s="64"/>
      <c r="I26" s="64"/>
      <c r="J26" s="64"/>
      <c r="K26" s="64"/>
      <c r="L26" s="64"/>
      <c r="M26" s="64"/>
      <c r="N26" s="64"/>
      <c r="O26" s="64"/>
      <c r="P26" s="64"/>
      <c r="Q26" s="64"/>
      <c r="R26" s="64"/>
    </row>
    <row r="27" spans="1:18" x14ac:dyDescent="0.35">
      <c r="A27" s="64"/>
      <c r="B27" s="64"/>
      <c r="C27" s="64"/>
      <c r="D27" s="64"/>
      <c r="E27" s="64"/>
      <c r="F27" s="64"/>
      <c r="G27" s="64"/>
      <c r="H27" s="64"/>
      <c r="I27" s="64"/>
      <c r="J27" s="64"/>
      <c r="K27" s="64"/>
      <c r="L27" s="64"/>
      <c r="M27" s="64"/>
      <c r="N27" s="64"/>
      <c r="O27" s="64"/>
      <c r="P27" s="64"/>
      <c r="Q27" s="64"/>
      <c r="R27" s="64"/>
    </row>
  </sheetData>
  <mergeCells count="68">
    <mergeCell ref="D1:G1"/>
    <mergeCell ref="I1:J1"/>
    <mergeCell ref="L1:M1"/>
    <mergeCell ref="D2:G2"/>
    <mergeCell ref="I2:J2"/>
    <mergeCell ref="L2:M2"/>
    <mergeCell ref="D3:G3"/>
    <mergeCell ref="A4:G4"/>
    <mergeCell ref="H4:Q4"/>
    <mergeCell ref="A5:B5"/>
    <mergeCell ref="C5:Q5"/>
    <mergeCell ref="L6:M6"/>
    <mergeCell ref="N6:O6"/>
    <mergeCell ref="P6:Q6"/>
    <mergeCell ref="A7:Q7"/>
    <mergeCell ref="A8:C8"/>
    <mergeCell ref="D8:E8"/>
    <mergeCell ref="F8:G8"/>
    <mergeCell ref="H8:I8"/>
    <mergeCell ref="J8:K8"/>
    <mergeCell ref="L8:M8"/>
    <mergeCell ref="A6:C6"/>
    <mergeCell ref="D6:E6"/>
    <mergeCell ref="F6:G6"/>
    <mergeCell ref="H6:I6"/>
    <mergeCell ref="J6:K6"/>
    <mergeCell ref="N8:O8"/>
    <mergeCell ref="P8:Q8"/>
    <mergeCell ref="A9:C9"/>
    <mergeCell ref="D9:E9"/>
    <mergeCell ref="F9:G9"/>
    <mergeCell ref="H9:I9"/>
    <mergeCell ref="J9:K9"/>
    <mergeCell ref="L9:M9"/>
    <mergeCell ref="N9:O9"/>
    <mergeCell ref="P9:Q9"/>
    <mergeCell ref="N10:O10"/>
    <mergeCell ref="P10:Q10"/>
    <mergeCell ref="A11:C11"/>
    <mergeCell ref="D11:E11"/>
    <mergeCell ref="F11:G11"/>
    <mergeCell ref="H11:I11"/>
    <mergeCell ref="J11:K11"/>
    <mergeCell ref="L11:M11"/>
    <mergeCell ref="N11:O11"/>
    <mergeCell ref="P11:Q11"/>
    <mergeCell ref="A10:C10"/>
    <mergeCell ref="D10:E10"/>
    <mergeCell ref="F10:G10"/>
    <mergeCell ref="H10:I10"/>
    <mergeCell ref="J10:K10"/>
    <mergeCell ref="L10:M10"/>
    <mergeCell ref="P12:Q12"/>
    <mergeCell ref="A15:K15"/>
    <mergeCell ref="M15:O15"/>
    <mergeCell ref="A16:K19"/>
    <mergeCell ref="M16:O19"/>
    <mergeCell ref="A12:C12"/>
    <mergeCell ref="D12:E12"/>
    <mergeCell ref="F12:G12"/>
    <mergeCell ref="H12:I12"/>
    <mergeCell ref="J12:K12"/>
    <mergeCell ref="L12:M12"/>
    <mergeCell ref="A21:K21"/>
    <mergeCell ref="M21:O21"/>
    <mergeCell ref="A22:K25"/>
    <mergeCell ref="M22:O25"/>
    <mergeCell ref="N12:O1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disablePrompts="1" count="1">
    <dataValidation type="list" allowBlank="1" showInputMessage="1" showErrorMessage="1" sqref="I2" xr:uid="{00000000-0002-0000-2800-000000000000}">
      <formula1>AvancementTheme</formula1>
    </dataValidation>
  </dataValidations>
  <hyperlinks>
    <hyperlink ref="O1" location="DPDV_05CT2" display="PdV" xr:uid="{00000000-0004-0000-2800-000000000000}"/>
    <hyperlink ref="P1" location="DKPI_05CT2" display="KPI's" xr:uid="{00000000-0004-0000-28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93">
    <tabColor theme="4" tint="0.39997558519241921"/>
    <pageSetUpPr fitToPage="1"/>
  </sheetPr>
  <dimension ref="A1:V27"/>
  <sheetViews>
    <sheetView showGridLines="0" showRowColHeaders="0" zoomScale="110" zoomScaleNormal="110" workbookViewId="0">
      <pane ySplit="4" topLeftCell="A5" activePane="bottomLeft" state="frozen"/>
      <selection activeCell="H7" sqref="H7"/>
      <selection pane="bottomLeft" activeCell="A7" sqref="A7:Q7"/>
    </sheetView>
  </sheetViews>
  <sheetFormatPr baseColWidth="10" defaultColWidth="11.453125" defaultRowHeight="14.5" x14ac:dyDescent="0.35"/>
  <cols>
    <col min="1" max="3" width="11.453125" style="60"/>
    <col min="4" max="17" width="10.7265625" style="60" customWidth="1"/>
    <col min="18" max="16384" width="11.453125" style="60"/>
  </cols>
  <sheetData>
    <row r="1" spans="1:22" s="54" customFormat="1" ht="15" customHeight="1" x14ac:dyDescent="0.35">
      <c r="A1" s="2268"/>
      <c r="B1" s="2268"/>
      <c r="C1" s="2268"/>
      <c r="D1" s="3341" t="s">
        <v>5</v>
      </c>
      <c r="E1" s="3341"/>
      <c r="F1" s="3341"/>
      <c r="G1" s="3341"/>
      <c r="H1" s="391"/>
      <c r="I1" s="3341" t="s">
        <v>6</v>
      </c>
      <c r="J1" s="3341"/>
      <c r="K1" s="2268"/>
      <c r="L1" s="3341" t="s">
        <v>9</v>
      </c>
      <c r="M1" s="3341"/>
      <c r="N1" s="2268"/>
      <c r="O1" s="479" t="s">
        <v>2</v>
      </c>
      <c r="P1" s="479" t="s">
        <v>3</v>
      </c>
      <c r="Q1" s="829"/>
      <c r="R1" s="458"/>
    </row>
    <row r="2" spans="1:22" s="58" customFormat="1" ht="18" customHeight="1" x14ac:dyDescent="0.35">
      <c r="A2" s="393"/>
      <c r="B2" s="393"/>
      <c r="C2" s="393"/>
      <c r="D2" s="3342" t="str">
        <f>NomClient</f>
        <v xml:space="preserve">EQUINIX </v>
      </c>
      <c r="E2" s="3343"/>
      <c r="F2" s="3343"/>
      <c r="G2" s="3344"/>
      <c r="H2" s="393"/>
      <c r="I2" s="3345" t="s">
        <v>409</v>
      </c>
      <c r="J2" s="3346"/>
      <c r="K2" s="393"/>
      <c r="L2" s="3347">
        <v>42420.710868055554</v>
      </c>
      <c r="M2" s="3348"/>
      <c r="N2" s="394"/>
      <c r="O2" s="451">
        <f>IF(LEN(DPDV_05CT3)&gt;0,LEN(DPDV_05CT3),0-PDV_NBmini)</f>
        <v>97</v>
      </c>
      <c r="P2" s="451">
        <f>IF(LEN(DKPI_05CT3)&gt;0,LEN(DKPI_05CT3),0-KPI_NBmini)</f>
        <v>33</v>
      </c>
      <c r="Q2" s="830"/>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5049" t="str">
        <f>Parametre!B27 &amp; "   : "</f>
        <v xml:space="preserve">Organisation commerciale   : </v>
      </c>
      <c r="B4" s="5049"/>
      <c r="C4" s="5049"/>
      <c r="D4" s="5049"/>
      <c r="E4" s="5049"/>
      <c r="F4" s="5049"/>
      <c r="G4" s="5049"/>
      <c r="H4" s="5050" t="str">
        <f>"Organisation et dimensionnement de l'équipe indirecte pour " &amp; NomProd3</f>
        <v xml:space="preserve">Organisation et dimensionnement de l'équipe indirecte pour </v>
      </c>
      <c r="I4" s="5050"/>
      <c r="J4" s="5050"/>
      <c r="K4" s="5050"/>
      <c r="L4" s="5050"/>
      <c r="M4" s="5050"/>
      <c r="N4" s="5050"/>
      <c r="O4" s="5050"/>
      <c r="P4" s="5050"/>
      <c r="Q4" s="5051"/>
      <c r="R4" s="444"/>
    </row>
    <row r="5" spans="1:22" s="193" customFormat="1" ht="26.25" customHeight="1" thickBot="1" x14ac:dyDescent="0.4">
      <c r="A5" s="5052" t="s">
        <v>14</v>
      </c>
      <c r="B5" s="5052"/>
      <c r="C5" s="5053" t="s">
        <v>838</v>
      </c>
      <c r="D5" s="5054"/>
      <c r="E5" s="5054"/>
      <c r="F5" s="5054"/>
      <c r="G5" s="5054"/>
      <c r="H5" s="5054"/>
      <c r="I5" s="5054"/>
      <c r="J5" s="5054"/>
      <c r="K5" s="5054"/>
      <c r="L5" s="5054"/>
      <c r="M5" s="5054"/>
      <c r="N5" s="5054"/>
      <c r="O5" s="5054"/>
      <c r="P5" s="5054"/>
      <c r="Q5" s="5054"/>
      <c r="R5" s="460"/>
    </row>
    <row r="6" spans="1:22" s="25" customFormat="1" ht="31.5" customHeight="1" thickTop="1" thickBot="1" x14ac:dyDescent="0.4">
      <c r="A6" s="5047" t="s">
        <v>176</v>
      </c>
      <c r="B6" s="5048"/>
      <c r="C6" s="5041"/>
      <c r="D6" s="5040" t="s">
        <v>177</v>
      </c>
      <c r="E6" s="5041"/>
      <c r="F6" s="5040" t="s">
        <v>178</v>
      </c>
      <c r="G6" s="5041"/>
      <c r="H6" s="5040" t="s">
        <v>179</v>
      </c>
      <c r="I6" s="5041"/>
      <c r="J6" s="5040" t="s">
        <v>180</v>
      </c>
      <c r="K6" s="5041"/>
      <c r="L6" s="5040" t="s">
        <v>181</v>
      </c>
      <c r="M6" s="5041"/>
      <c r="N6" s="5040" t="s">
        <v>182</v>
      </c>
      <c r="O6" s="5041"/>
      <c r="P6" s="5040" t="s">
        <v>183</v>
      </c>
      <c r="Q6" s="5042"/>
      <c r="R6" s="767"/>
    </row>
    <row r="7" spans="1:22" s="263" customFormat="1" ht="6.75" customHeight="1" thickTop="1" x14ac:dyDescent="0.35">
      <c r="A7" s="5043"/>
      <c r="B7" s="5044"/>
      <c r="C7" s="5044"/>
      <c r="D7" s="5044"/>
      <c r="E7" s="5044"/>
      <c r="F7" s="5044"/>
      <c r="G7" s="5044"/>
      <c r="H7" s="5044"/>
      <c r="I7" s="5044"/>
      <c r="J7" s="5044"/>
      <c r="K7" s="5044"/>
      <c r="L7" s="5044"/>
      <c r="M7" s="5044"/>
      <c r="N7" s="5044"/>
      <c r="O7" s="5044"/>
      <c r="P7" s="5044"/>
      <c r="Q7" s="5044"/>
      <c r="R7" s="832"/>
    </row>
    <row r="8" spans="1:22" ht="19.5" customHeight="1" x14ac:dyDescent="0.35">
      <c r="A8" s="5035" t="s">
        <v>598</v>
      </c>
      <c r="B8" s="5036"/>
      <c r="C8" s="5036"/>
      <c r="D8" s="5045"/>
      <c r="E8" s="5045"/>
      <c r="F8" s="5046">
        <f>'02-CHANNELCAPACITY-SAAS-OFR1'!L55</f>
        <v>0</v>
      </c>
      <c r="G8" s="5046"/>
      <c r="H8" s="5046">
        <f>'02-CHANNELCAPACITY-SAAS-OFR1'!K61</f>
        <v>0</v>
      </c>
      <c r="I8" s="5046"/>
      <c r="J8" s="5046">
        <f>'02-CHANNELCAPACITY-SAAS-OFR1'!K66</f>
        <v>0</v>
      </c>
      <c r="K8" s="5046"/>
      <c r="L8" s="5046">
        <f>'02-CHANNELCAPACITY-SAAS-OFR1'!K95</f>
        <v>0</v>
      </c>
      <c r="M8" s="5046"/>
      <c r="N8" s="5046">
        <f>'02-CHANNELCAPACITY-SAAS-OFR1'!U55</f>
        <v>0</v>
      </c>
      <c r="O8" s="5046"/>
      <c r="P8" s="5033">
        <f>SUM(D8:O8)</f>
        <v>0</v>
      </c>
      <c r="Q8" s="5034"/>
      <c r="R8" s="64"/>
    </row>
    <row r="9" spans="1:22" ht="37.5" customHeight="1" x14ac:dyDescent="0.35">
      <c r="A9" s="5035" t="s">
        <v>599</v>
      </c>
      <c r="B9" s="5036"/>
      <c r="C9" s="5036"/>
      <c r="D9" s="5037"/>
      <c r="E9" s="5037"/>
      <c r="F9" s="5037">
        <v>5</v>
      </c>
      <c r="G9" s="5037"/>
      <c r="H9" s="5037">
        <v>15</v>
      </c>
      <c r="I9" s="5037"/>
      <c r="J9" s="5037">
        <v>15</v>
      </c>
      <c r="K9" s="5037"/>
      <c r="L9" s="5038">
        <v>10</v>
      </c>
      <c r="M9" s="5038"/>
      <c r="N9" s="5038"/>
      <c r="O9" s="5039"/>
      <c r="P9" s="5033"/>
      <c r="Q9" s="5034"/>
      <c r="R9" s="64"/>
    </row>
    <row r="10" spans="1:22" ht="19.5" customHeight="1" x14ac:dyDescent="0.35">
      <c r="A10" s="5030" t="s">
        <v>596</v>
      </c>
      <c r="B10" s="5031"/>
      <c r="C10" s="5031"/>
      <c r="D10" s="5032">
        <f>IF(D9&gt;0,D8/D9,0)</f>
        <v>0</v>
      </c>
      <c r="E10" s="5032"/>
      <c r="F10" s="5019">
        <f>IF(F9&gt;0,F8/F9,0)</f>
        <v>0</v>
      </c>
      <c r="G10" s="5019"/>
      <c r="H10" s="5019">
        <f>IF(H9&gt;0,H8/H9,0)</f>
        <v>0</v>
      </c>
      <c r="I10" s="5019"/>
      <c r="J10" s="5019">
        <f>IF(J9&gt;0,J8/J9,0)</f>
        <v>0</v>
      </c>
      <c r="K10" s="5019"/>
      <c r="L10" s="5019">
        <f>IF(L9&gt;0,L8/L9,0)</f>
        <v>0</v>
      </c>
      <c r="M10" s="5019"/>
      <c r="N10" s="5019">
        <f>IF(N9&gt;0,N8/N9,0)</f>
        <v>0</v>
      </c>
      <c r="O10" s="5019"/>
      <c r="P10" s="5020">
        <f>SUM(D10:O10)</f>
        <v>0</v>
      </c>
      <c r="Q10" s="5021"/>
      <c r="R10" s="64"/>
    </row>
    <row r="11" spans="1:22" ht="19.5" customHeight="1" thickBot="1" x14ac:dyDescent="0.4">
      <c r="A11" s="5022" t="s">
        <v>597</v>
      </c>
      <c r="B11" s="5023"/>
      <c r="C11" s="5023"/>
      <c r="D11" s="5024"/>
      <c r="E11" s="5024"/>
      <c r="F11" s="5025">
        <v>1.5</v>
      </c>
      <c r="G11" s="5025"/>
      <c r="H11" s="5025">
        <v>0.75</v>
      </c>
      <c r="I11" s="5025"/>
      <c r="J11" s="5026">
        <v>0.75</v>
      </c>
      <c r="K11" s="5026"/>
      <c r="L11" s="5026">
        <v>0.2</v>
      </c>
      <c r="M11" s="5026"/>
      <c r="N11" s="5024"/>
      <c r="O11" s="5027"/>
      <c r="P11" s="5028">
        <f>SUM(D11:O11)</f>
        <v>3.2</v>
      </c>
      <c r="Q11" s="5029"/>
      <c r="R11" s="64"/>
    </row>
    <row r="12" spans="1:22" ht="19.5" customHeight="1" thickTop="1" thickBot="1" x14ac:dyDescent="0.4">
      <c r="A12" s="5016" t="s">
        <v>616</v>
      </c>
      <c r="B12" s="5017"/>
      <c r="C12" s="5017"/>
      <c r="D12" s="5018">
        <f>SUM(D10:E11)</f>
        <v>0</v>
      </c>
      <c r="E12" s="5018"/>
      <c r="F12" s="5009">
        <f>SUM(F10:G11)</f>
        <v>1.5</v>
      </c>
      <c r="G12" s="5009"/>
      <c r="H12" s="5009">
        <f>SUM(H10:I11)</f>
        <v>0.75</v>
      </c>
      <c r="I12" s="5009"/>
      <c r="J12" s="5009">
        <f>SUM(J10:K11)</f>
        <v>0.75</v>
      </c>
      <c r="K12" s="5009"/>
      <c r="L12" s="5009">
        <f>SUM(L10:M11)</f>
        <v>0.2</v>
      </c>
      <c r="M12" s="5009"/>
      <c r="N12" s="5009">
        <f>SUM(N10:O11)</f>
        <v>0</v>
      </c>
      <c r="O12" s="5009"/>
      <c r="P12" s="5010">
        <f>SUM(P10:Q11)</f>
        <v>3.2</v>
      </c>
      <c r="Q12" s="5011"/>
      <c r="R12" s="64"/>
    </row>
    <row r="13" spans="1:22" ht="21" customHeight="1" thickTop="1" x14ac:dyDescent="0.35">
      <c r="A13" s="2271"/>
      <c r="B13" s="2271"/>
      <c r="C13" s="2269"/>
      <c r="D13" s="2269"/>
      <c r="E13" s="2269"/>
      <c r="F13" s="2269"/>
      <c r="G13" s="2269"/>
      <c r="H13" s="2269"/>
      <c r="I13" s="2269"/>
      <c r="J13" s="2269"/>
      <c r="K13" s="2269"/>
      <c r="L13" s="833"/>
      <c r="M13" s="833"/>
      <c r="N13" s="833"/>
      <c r="O13" s="833"/>
      <c r="P13" s="834"/>
      <c r="Q13" s="833"/>
      <c r="R13" s="64"/>
    </row>
    <row r="14" spans="1:22" ht="15" thickBot="1" x14ac:dyDescent="0.4">
      <c r="A14" s="64"/>
      <c r="B14" s="64"/>
      <c r="C14" s="64"/>
      <c r="D14" s="64"/>
      <c r="E14" s="64"/>
      <c r="F14" s="64"/>
      <c r="G14" s="64"/>
      <c r="H14" s="64"/>
      <c r="I14" s="64"/>
      <c r="J14" s="64"/>
      <c r="K14" s="64"/>
      <c r="L14" s="64"/>
      <c r="M14" s="64"/>
      <c r="N14" s="64"/>
      <c r="O14" s="64"/>
      <c r="P14" s="64"/>
      <c r="Q14" s="64"/>
      <c r="R14" s="64"/>
    </row>
    <row r="15" spans="1:22" ht="19.5" thickTop="1" thickBot="1" x14ac:dyDescent="0.4">
      <c r="A15" s="5002" t="s">
        <v>10</v>
      </c>
      <c r="B15" s="5003"/>
      <c r="C15" s="5003"/>
      <c r="D15" s="5003"/>
      <c r="E15" s="5003"/>
      <c r="F15" s="5003"/>
      <c r="G15" s="5003"/>
      <c r="H15" s="5003"/>
      <c r="I15" s="5003"/>
      <c r="J15" s="5003"/>
      <c r="K15" s="5003"/>
      <c r="L15" s="119"/>
      <c r="M15" s="3725" t="s">
        <v>748</v>
      </c>
      <c r="N15" s="3726"/>
      <c r="O15" s="3727"/>
      <c r="P15" s="31"/>
      <c r="Q15" s="64"/>
      <c r="R15" s="64"/>
    </row>
    <row r="16" spans="1:22" ht="20.25" customHeight="1" x14ac:dyDescent="0.35">
      <c r="A16" s="5004" t="s">
        <v>1262</v>
      </c>
      <c r="B16" s="5012"/>
      <c r="C16" s="5012"/>
      <c r="D16" s="5012"/>
      <c r="E16" s="5012"/>
      <c r="F16" s="5012"/>
      <c r="G16" s="5012"/>
      <c r="H16" s="5012"/>
      <c r="I16" s="5012"/>
      <c r="J16" s="5012"/>
      <c r="K16" s="5012"/>
      <c r="L16" s="37"/>
      <c r="M16" s="4593" t="s">
        <v>806</v>
      </c>
      <c r="N16" s="4594"/>
      <c r="O16" s="4595"/>
      <c r="P16" s="33"/>
      <c r="Q16" s="64"/>
      <c r="R16" s="64"/>
    </row>
    <row r="17" spans="1:18" ht="20.25" customHeight="1" x14ac:dyDescent="0.35">
      <c r="A17" s="5013"/>
      <c r="B17" s="4578"/>
      <c r="C17" s="4578"/>
      <c r="D17" s="4578"/>
      <c r="E17" s="4578"/>
      <c r="F17" s="4578"/>
      <c r="G17" s="4578"/>
      <c r="H17" s="4578"/>
      <c r="I17" s="4578"/>
      <c r="J17" s="4578"/>
      <c r="K17" s="4578"/>
      <c r="L17" s="37"/>
      <c r="M17" s="4596"/>
      <c r="N17" s="4597"/>
      <c r="O17" s="4598"/>
      <c r="P17" s="33"/>
      <c r="Q17" s="64"/>
      <c r="R17" s="64"/>
    </row>
    <row r="18" spans="1:18" ht="20.25" customHeight="1" x14ac:dyDescent="0.35">
      <c r="A18" s="5013"/>
      <c r="B18" s="4578"/>
      <c r="C18" s="4578"/>
      <c r="D18" s="4578"/>
      <c r="E18" s="4578"/>
      <c r="F18" s="4578"/>
      <c r="G18" s="4578"/>
      <c r="H18" s="4578"/>
      <c r="I18" s="4578"/>
      <c r="J18" s="4578"/>
      <c r="K18" s="4578"/>
      <c r="L18" s="37"/>
      <c r="M18" s="4596"/>
      <c r="N18" s="4597"/>
      <c r="O18" s="4598"/>
      <c r="P18" s="33"/>
      <c r="Q18" s="64"/>
      <c r="R18" s="64"/>
    </row>
    <row r="19" spans="1:18" ht="20.25" customHeight="1" thickBot="1" x14ac:dyDescent="0.4">
      <c r="A19" s="5014"/>
      <c r="B19" s="5015"/>
      <c r="C19" s="5015"/>
      <c r="D19" s="5015"/>
      <c r="E19" s="5015"/>
      <c r="F19" s="5015"/>
      <c r="G19" s="5015"/>
      <c r="H19" s="5015"/>
      <c r="I19" s="5015"/>
      <c r="J19" s="5015"/>
      <c r="K19" s="5015"/>
      <c r="L19" s="37"/>
      <c r="M19" s="4599"/>
      <c r="N19" s="4600"/>
      <c r="O19" s="4601"/>
      <c r="P19" s="33"/>
      <c r="Q19" s="64"/>
      <c r="R19" s="64"/>
    </row>
    <row r="20" spans="1:18" ht="15.5" thickTop="1" thickBot="1" x14ac:dyDescent="0.4">
      <c r="A20" s="64"/>
      <c r="B20" s="64"/>
      <c r="C20" s="64"/>
      <c r="D20" s="64"/>
      <c r="E20" s="64"/>
      <c r="F20" s="64"/>
      <c r="G20" s="64"/>
      <c r="H20" s="64"/>
      <c r="I20" s="64"/>
      <c r="J20" s="64"/>
      <c r="K20" s="64"/>
      <c r="L20" s="64"/>
      <c r="M20" s="31"/>
      <c r="N20" s="31"/>
      <c r="O20" s="31"/>
      <c r="P20" s="64"/>
      <c r="Q20" s="64"/>
      <c r="R20" s="64"/>
    </row>
    <row r="21" spans="1:18" ht="19.5" thickTop="1" thickBot="1" x14ac:dyDescent="0.4">
      <c r="A21" s="5002" t="s">
        <v>11</v>
      </c>
      <c r="B21" s="5003"/>
      <c r="C21" s="5003"/>
      <c r="D21" s="5003"/>
      <c r="E21" s="5003"/>
      <c r="F21" s="5003"/>
      <c r="G21" s="5003"/>
      <c r="H21" s="5003"/>
      <c r="I21" s="5003"/>
      <c r="J21" s="5003"/>
      <c r="K21" s="5003"/>
      <c r="L21" s="119"/>
      <c r="M21" s="3725" t="s">
        <v>748</v>
      </c>
      <c r="N21" s="3726"/>
      <c r="O21" s="3727"/>
      <c r="P21" s="31"/>
      <c r="Q21" s="64"/>
      <c r="R21" s="64"/>
    </row>
    <row r="22" spans="1:18" ht="20.25" customHeight="1" x14ac:dyDescent="0.35">
      <c r="A22" s="5004" t="s">
        <v>1261</v>
      </c>
      <c r="B22" s="5005"/>
      <c r="C22" s="5005"/>
      <c r="D22" s="5005"/>
      <c r="E22" s="5005"/>
      <c r="F22" s="5005"/>
      <c r="G22" s="5005"/>
      <c r="H22" s="5005"/>
      <c r="I22" s="5005"/>
      <c r="J22" s="5005"/>
      <c r="K22" s="5005"/>
      <c r="L22" s="37"/>
      <c r="M22" s="4593" t="s">
        <v>807</v>
      </c>
      <c r="N22" s="4594"/>
      <c r="O22" s="4595"/>
      <c r="P22" s="33"/>
      <c r="Q22" s="64"/>
      <c r="R22" s="64"/>
    </row>
    <row r="23" spans="1:18" ht="20.25" customHeight="1" x14ac:dyDescent="0.35">
      <c r="A23" s="5006"/>
      <c r="B23" s="3882"/>
      <c r="C23" s="3882"/>
      <c r="D23" s="3882"/>
      <c r="E23" s="3882"/>
      <c r="F23" s="3882"/>
      <c r="G23" s="3882"/>
      <c r="H23" s="3882"/>
      <c r="I23" s="3882"/>
      <c r="J23" s="3882"/>
      <c r="K23" s="3879"/>
      <c r="L23" s="37"/>
      <c r="M23" s="4596"/>
      <c r="N23" s="4597"/>
      <c r="O23" s="4598"/>
      <c r="P23" s="33"/>
      <c r="Q23" s="64"/>
      <c r="R23" s="64"/>
    </row>
    <row r="24" spans="1:18" ht="20.25" customHeight="1" x14ac:dyDescent="0.35">
      <c r="A24" s="5006"/>
      <c r="B24" s="3882"/>
      <c r="C24" s="3882"/>
      <c r="D24" s="3882"/>
      <c r="E24" s="3882"/>
      <c r="F24" s="3882"/>
      <c r="G24" s="3882"/>
      <c r="H24" s="3882"/>
      <c r="I24" s="3882"/>
      <c r="J24" s="3882"/>
      <c r="K24" s="3879"/>
      <c r="L24" s="37"/>
      <c r="M24" s="4596"/>
      <c r="N24" s="4597"/>
      <c r="O24" s="4598"/>
      <c r="P24" s="33"/>
      <c r="Q24" s="64"/>
      <c r="R24" s="64"/>
    </row>
    <row r="25" spans="1:18" ht="20.25" customHeight="1" thickBot="1" x14ac:dyDescent="0.4">
      <c r="A25" s="5007"/>
      <c r="B25" s="5008"/>
      <c r="C25" s="5008"/>
      <c r="D25" s="5008"/>
      <c r="E25" s="5008"/>
      <c r="F25" s="5008"/>
      <c r="G25" s="5008"/>
      <c r="H25" s="5008"/>
      <c r="I25" s="5008"/>
      <c r="J25" s="5008"/>
      <c r="K25" s="5008"/>
      <c r="L25" s="37"/>
      <c r="M25" s="4599"/>
      <c r="N25" s="4600"/>
      <c r="O25" s="4601"/>
      <c r="P25" s="33"/>
      <c r="Q25" s="64"/>
      <c r="R25" s="64"/>
    </row>
    <row r="26" spans="1:18" ht="15" thickTop="1" x14ac:dyDescent="0.35">
      <c r="A26" s="64"/>
      <c r="B26" s="64"/>
      <c r="C26" s="64"/>
      <c r="D26" s="64"/>
      <c r="E26" s="64"/>
      <c r="F26" s="64"/>
      <c r="G26" s="64"/>
      <c r="H26" s="64"/>
      <c r="I26" s="64"/>
      <c r="J26" s="64"/>
      <c r="K26" s="64"/>
      <c r="L26" s="64"/>
      <c r="M26" s="64"/>
      <c r="N26" s="64"/>
      <c r="O26" s="64"/>
      <c r="P26" s="64"/>
      <c r="Q26" s="64"/>
      <c r="R26" s="64"/>
    </row>
    <row r="27" spans="1:18" x14ac:dyDescent="0.35">
      <c r="A27" s="64"/>
      <c r="B27" s="64"/>
      <c r="C27" s="64"/>
      <c r="D27" s="64"/>
      <c r="E27" s="64"/>
      <c r="F27" s="64"/>
      <c r="G27" s="64"/>
      <c r="H27" s="64"/>
      <c r="I27" s="64"/>
      <c r="J27" s="64"/>
      <c r="K27" s="64"/>
      <c r="L27" s="64"/>
      <c r="M27" s="64"/>
      <c r="N27" s="64"/>
      <c r="O27" s="64"/>
      <c r="P27" s="64"/>
      <c r="Q27" s="64"/>
      <c r="R27" s="64"/>
    </row>
  </sheetData>
  <mergeCells count="68">
    <mergeCell ref="D1:G1"/>
    <mergeCell ref="I1:J1"/>
    <mergeCell ref="L1:M1"/>
    <mergeCell ref="D2:G2"/>
    <mergeCell ref="I2:J2"/>
    <mergeCell ref="L2:M2"/>
    <mergeCell ref="D3:G3"/>
    <mergeCell ref="A4:G4"/>
    <mergeCell ref="H4:Q4"/>
    <mergeCell ref="A5:B5"/>
    <mergeCell ref="C5:Q5"/>
    <mergeCell ref="L6:M6"/>
    <mergeCell ref="N6:O6"/>
    <mergeCell ref="P6:Q6"/>
    <mergeCell ref="A7:Q7"/>
    <mergeCell ref="A8:C8"/>
    <mergeCell ref="D8:E8"/>
    <mergeCell ref="F8:G8"/>
    <mergeCell ref="H8:I8"/>
    <mergeCell ref="J8:K8"/>
    <mergeCell ref="L8:M8"/>
    <mergeCell ref="A6:C6"/>
    <mergeCell ref="D6:E6"/>
    <mergeCell ref="F6:G6"/>
    <mergeCell ref="H6:I6"/>
    <mergeCell ref="J6:K6"/>
    <mergeCell ref="N8:O8"/>
    <mergeCell ref="P8:Q8"/>
    <mergeCell ref="A9:C9"/>
    <mergeCell ref="D9:E9"/>
    <mergeCell ref="F9:G9"/>
    <mergeCell ref="H9:I9"/>
    <mergeCell ref="J9:K9"/>
    <mergeCell ref="L9:M9"/>
    <mergeCell ref="N9:O9"/>
    <mergeCell ref="P9:Q9"/>
    <mergeCell ref="N10:O10"/>
    <mergeCell ref="P10:Q10"/>
    <mergeCell ref="A11:C11"/>
    <mergeCell ref="D11:E11"/>
    <mergeCell ref="F11:G11"/>
    <mergeCell ref="H11:I11"/>
    <mergeCell ref="J11:K11"/>
    <mergeCell ref="L11:M11"/>
    <mergeCell ref="N11:O11"/>
    <mergeCell ref="P11:Q11"/>
    <mergeCell ref="A10:C10"/>
    <mergeCell ref="D10:E10"/>
    <mergeCell ref="F10:G10"/>
    <mergeCell ref="H10:I10"/>
    <mergeCell ref="J10:K10"/>
    <mergeCell ref="L10:M10"/>
    <mergeCell ref="P12:Q12"/>
    <mergeCell ref="A15:K15"/>
    <mergeCell ref="M15:O15"/>
    <mergeCell ref="A16:K19"/>
    <mergeCell ref="M16:O19"/>
    <mergeCell ref="A12:C12"/>
    <mergeCell ref="D12:E12"/>
    <mergeCell ref="F12:G12"/>
    <mergeCell ref="H12:I12"/>
    <mergeCell ref="J12:K12"/>
    <mergeCell ref="L12:M12"/>
    <mergeCell ref="A21:K21"/>
    <mergeCell ref="M21:O21"/>
    <mergeCell ref="A22:K25"/>
    <mergeCell ref="M22:O25"/>
    <mergeCell ref="N12:O1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900-000000000000}">
      <formula1>AvancementTheme</formula1>
    </dataValidation>
  </dataValidations>
  <hyperlinks>
    <hyperlink ref="O1" location="DPDV_05CT3" display="PdV" xr:uid="{00000000-0004-0000-2900-000000000000}"/>
    <hyperlink ref="P1" location="DKPI_05CT3" display="KPI's" xr:uid="{00000000-0004-0000-29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87">
    <tabColor rgb="FF92D050"/>
    <pageSetUpPr fitToPage="1"/>
  </sheetPr>
  <dimension ref="A1:V104"/>
  <sheetViews>
    <sheetView showGridLines="0" showRowColHeaders="0" showZeros="0" zoomScale="110" zoomScaleNormal="110" workbookViewId="0">
      <pane ySplit="5" topLeftCell="A36" activePane="bottomLeft" state="frozen"/>
      <selection activeCell="H7" sqref="H7"/>
      <selection pane="bottomLeft" activeCell="H7" sqref="H7"/>
    </sheetView>
  </sheetViews>
  <sheetFormatPr baseColWidth="10" defaultColWidth="11.453125" defaultRowHeight="13" x14ac:dyDescent="0.3"/>
  <cols>
    <col min="1" max="2" width="11.453125" style="116"/>
    <col min="3" max="3" width="13.453125" style="116" customWidth="1"/>
    <col min="4" max="4" width="12.54296875" style="116" customWidth="1"/>
    <col min="5" max="5" width="9.453125" style="116" customWidth="1"/>
    <col min="6" max="16384" width="11.453125" style="116"/>
  </cols>
  <sheetData>
    <row r="1" spans="1:22" s="54" customFormat="1" ht="15" customHeight="1" x14ac:dyDescent="0.35">
      <c r="A1" s="1569"/>
      <c r="B1" s="1569"/>
      <c r="C1" s="1569"/>
      <c r="D1" s="3262" t="s">
        <v>5</v>
      </c>
      <c r="E1" s="3262"/>
      <c r="F1" s="3262"/>
      <c r="G1" s="3262"/>
      <c r="H1" s="53"/>
      <c r="I1" s="3262" t="s">
        <v>6</v>
      </c>
      <c r="J1" s="3262"/>
      <c r="K1" s="1569"/>
      <c r="L1" s="3262" t="s">
        <v>9</v>
      </c>
      <c r="M1" s="3262"/>
      <c r="N1" s="1569"/>
      <c r="O1" s="10" t="s">
        <v>2</v>
      </c>
      <c r="P1" s="10" t="s">
        <v>3</v>
      </c>
    </row>
    <row r="2" spans="1:22" s="58" customFormat="1" ht="18" customHeight="1" x14ac:dyDescent="0.35">
      <c r="A2" s="55"/>
      <c r="B2" s="55"/>
      <c r="C2" s="55"/>
      <c r="D2" s="3263" t="str">
        <f>NomClient</f>
        <v xml:space="preserve">EQUINIX </v>
      </c>
      <c r="E2" s="3264"/>
      <c r="F2" s="3264"/>
      <c r="G2" s="3265"/>
      <c r="H2" s="55"/>
      <c r="I2" s="4102" t="s">
        <v>407</v>
      </c>
      <c r="J2" s="4103"/>
      <c r="K2" s="55"/>
      <c r="L2" s="3347">
        <v>42419.879444444443</v>
      </c>
      <c r="M2" s="3348"/>
      <c r="N2" s="56"/>
      <c r="O2" s="57">
        <f>IF(LEN(DPDV_02DL1)&gt;0,LEN(DPDV_02DL1),0-PDV_NBmini)</f>
        <v>10</v>
      </c>
      <c r="P2" s="57">
        <f>IF(LEN(DKPI_02DL1)&gt;0,LEN(DKPI_02DL1),0-KPI_NBmini)</f>
        <v>21</v>
      </c>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101" t="str">
        <f>Parametre!B24  &amp; "  : "</f>
        <v xml:space="preserve">Vision, Attente &amp; Stratégie  : </v>
      </c>
      <c r="B4" s="5101"/>
      <c r="C4" s="5101"/>
      <c r="D4" s="5101"/>
      <c r="E4" s="5101"/>
      <c r="F4" s="5101"/>
      <c r="G4" s="5101"/>
      <c r="H4" s="5102" t="str">
        <f xml:space="preserve"> "Licences -  Estimation du nombre de clients et de partenaires pour " &amp; NomProd1</f>
        <v>Licences -  Estimation du nombre de clients et de partenaires pour EQUINIX</v>
      </c>
      <c r="I4" s="5102"/>
      <c r="J4" s="5102"/>
      <c r="K4" s="5102"/>
      <c r="L4" s="5102"/>
      <c r="M4" s="5102"/>
      <c r="N4" s="5102"/>
      <c r="O4" s="5102"/>
      <c r="P4" s="5103"/>
    </row>
    <row r="5" spans="1:22" s="193" customFormat="1" ht="19.5" customHeight="1" thickBot="1" x14ac:dyDescent="0.4">
      <c r="A5" s="4865" t="s">
        <v>14</v>
      </c>
      <c r="B5" s="4865"/>
      <c r="C5" s="4875" t="s">
        <v>1008</v>
      </c>
      <c r="D5" s="4875"/>
      <c r="E5" s="4875"/>
      <c r="F5" s="4875"/>
      <c r="G5" s="4875"/>
      <c r="H5" s="4875"/>
      <c r="I5" s="4875"/>
      <c r="J5" s="4875"/>
      <c r="K5" s="4875"/>
      <c r="L5" s="4875"/>
      <c r="M5" s="4875"/>
      <c r="N5" s="4875"/>
      <c r="O5" s="4875"/>
      <c r="P5" s="4875"/>
    </row>
    <row r="6" spans="1:22" s="159" customFormat="1" ht="30" customHeight="1" thickTop="1" x14ac:dyDescent="0.35">
      <c r="A6" s="5085" t="s">
        <v>1820</v>
      </c>
      <c r="B6" s="5086"/>
      <c r="C6" s="5086"/>
      <c r="D6" s="5104" t="s">
        <v>18</v>
      </c>
      <c r="E6" s="5104"/>
      <c r="F6" s="506">
        <f>AnReference-1</f>
        <v>2017</v>
      </c>
      <c r="G6" s="506">
        <f>AnReference</f>
        <v>2018</v>
      </c>
      <c r="H6" s="506">
        <f>IF(NbAnVision&gt;=1,AnReference+1,"NA")</f>
        <v>2019</v>
      </c>
      <c r="I6" s="506">
        <f>IF(NbAnVision&gt;=2,AnReference+2,"NA")</f>
        <v>2020</v>
      </c>
      <c r="J6" s="1093">
        <f>IF(NbAnVision&gt;=3,AnReference+3,"NA")</f>
        <v>2021</v>
      </c>
      <c r="K6" s="1045" t="s">
        <v>822</v>
      </c>
      <c r="L6" s="211"/>
      <c r="M6" s="1043">
        <f t="shared" ref="M6:R6" si="0">F6</f>
        <v>2017</v>
      </c>
      <c r="N6" s="256">
        <f t="shared" si="0"/>
        <v>2018</v>
      </c>
      <c r="O6" s="256">
        <f t="shared" si="0"/>
        <v>2019</v>
      </c>
      <c r="P6" s="257">
        <f t="shared" si="0"/>
        <v>2020</v>
      </c>
      <c r="Q6" s="257">
        <f t="shared" si="0"/>
        <v>2021</v>
      </c>
      <c r="R6" s="1051" t="str">
        <f t="shared" si="0"/>
        <v xml:space="preserve">Total </v>
      </c>
    </row>
    <row r="7" spans="1:22" ht="15.5" x14ac:dyDescent="0.35">
      <c r="A7" s="5076" t="str">
        <f>'SALESPLAN 3Y'!A10:F10</f>
        <v xml:space="preserve">Ventes directes </v>
      </c>
      <c r="B7" s="5077"/>
      <c r="C7" s="5077"/>
      <c r="D7" s="5097"/>
      <c r="E7" s="5097"/>
      <c r="F7" s="2009">
        <f>'SALESPLAN 3Y'!G10</f>
        <v>0</v>
      </c>
      <c r="G7" s="2009">
        <f>'SALESPLAN 3Y'!H10</f>
        <v>0</v>
      </c>
      <c r="H7" s="2009">
        <f>'SALESPLAN 3Y'!I10</f>
        <v>0</v>
      </c>
      <c r="I7" s="2009">
        <f>'SALESPLAN 3Y'!J10</f>
        <v>0</v>
      </c>
      <c r="J7" s="2009">
        <f>'SALESPLAN 3Y'!K10</f>
        <v>0</v>
      </c>
      <c r="K7" s="2010">
        <f>SUM(F7:J7)</f>
        <v>0</v>
      </c>
      <c r="L7" s="169"/>
      <c r="M7" s="239" t="e">
        <f t="shared" ref="M7:M14" si="1">IF($F$16=0,0,F7/$F$16)</f>
        <v>#REF!</v>
      </c>
      <c r="N7" s="242" t="e">
        <f t="shared" ref="N7:N14" si="2">IF($G$16=0,0,G7/$G$16)</f>
        <v>#REF!</v>
      </c>
      <c r="O7" s="242" t="e">
        <f t="shared" ref="O7:O14" si="3">IF($H$16=0,0,H7/$H$16)</f>
        <v>#REF!</v>
      </c>
      <c r="P7" s="242" t="e">
        <f t="shared" ref="P7:P14" si="4">IF($I$16=0,0,I7/$I$16)</f>
        <v>#REF!</v>
      </c>
      <c r="Q7" s="243" t="e">
        <f t="shared" ref="Q7:Q14" si="5">IF($J$16=0,0,J7/$J$16)</f>
        <v>#REF!</v>
      </c>
      <c r="R7" s="1052" t="e">
        <f>IF(M7+N7+O7+P7+Q7,0,M7+N7+O7+P7+Q7)</f>
        <v>#REF!</v>
      </c>
    </row>
    <row r="8" spans="1:22" ht="15.5" x14ac:dyDescent="0.35">
      <c r="A8" s="5076" t="str">
        <f>'SALESPLAN 3Y'!A11:F11</f>
        <v xml:space="preserve">VARs / SS2I locales </v>
      </c>
      <c r="B8" s="5077"/>
      <c r="C8" s="5077"/>
      <c r="D8" s="5097"/>
      <c r="E8" s="5097"/>
      <c r="F8" s="2009">
        <f>'SALESPLAN 3Y'!G11</f>
        <v>0</v>
      </c>
      <c r="G8" s="2009">
        <f>'SALESPLAN 3Y'!H11</f>
        <v>0</v>
      </c>
      <c r="H8" s="2009">
        <f>'SALESPLAN 3Y'!I11</f>
        <v>0</v>
      </c>
      <c r="I8" s="2009">
        <f>'SALESPLAN 3Y'!J11</f>
        <v>0</v>
      </c>
      <c r="J8" s="2009">
        <f>'SALESPLAN 3Y'!K11</f>
        <v>0</v>
      </c>
      <c r="K8" s="2010">
        <f t="shared" ref="K8:K14" si="6">SUM(F8:J8)</f>
        <v>0</v>
      </c>
      <c r="L8" s="169"/>
      <c r="M8" s="239" t="e">
        <f t="shared" si="1"/>
        <v>#REF!</v>
      </c>
      <c r="N8" s="242" t="e">
        <f t="shared" si="2"/>
        <v>#REF!</v>
      </c>
      <c r="O8" s="242" t="e">
        <f t="shared" si="3"/>
        <v>#REF!</v>
      </c>
      <c r="P8" s="242" t="e">
        <f t="shared" si="4"/>
        <v>#REF!</v>
      </c>
      <c r="Q8" s="243" t="e">
        <f t="shared" si="5"/>
        <v>#REF!</v>
      </c>
      <c r="R8" s="1052" t="e">
        <f t="shared" ref="R8:R14" si="7">IF(M8+N8+O8+P8+Q8,0,M8+N8+O8+P8+Q8)</f>
        <v>#REF!</v>
      </c>
    </row>
    <row r="9" spans="1:22" ht="15.5" x14ac:dyDescent="0.35">
      <c r="A9" s="5076" t="str">
        <f>'SALESPLAN 3Y'!A12:F12</f>
        <v>ESN ( SS2I )</v>
      </c>
      <c r="B9" s="5077"/>
      <c r="C9" s="5077"/>
      <c r="D9" s="5097"/>
      <c r="E9" s="5097"/>
      <c r="F9" s="2009">
        <f>'SALESPLAN 3Y'!G12</f>
        <v>0</v>
      </c>
      <c r="G9" s="2009">
        <f>'SALESPLAN 3Y'!H12</f>
        <v>0</v>
      </c>
      <c r="H9" s="2009">
        <f>'SALESPLAN 3Y'!I12</f>
        <v>0</v>
      </c>
      <c r="I9" s="2009">
        <f>'SALESPLAN 3Y'!J12</f>
        <v>0</v>
      </c>
      <c r="J9" s="2009">
        <f>'SALESPLAN 3Y'!K12</f>
        <v>0</v>
      </c>
      <c r="K9" s="2010">
        <f t="shared" si="6"/>
        <v>0</v>
      </c>
      <c r="L9" s="169"/>
      <c r="M9" s="239" t="e">
        <f t="shared" si="1"/>
        <v>#REF!</v>
      </c>
      <c r="N9" s="242" t="e">
        <f t="shared" si="2"/>
        <v>#REF!</v>
      </c>
      <c r="O9" s="242" t="e">
        <f t="shared" si="3"/>
        <v>#REF!</v>
      </c>
      <c r="P9" s="242" t="e">
        <f t="shared" si="4"/>
        <v>#REF!</v>
      </c>
      <c r="Q9" s="243" t="e">
        <f t="shared" si="5"/>
        <v>#REF!</v>
      </c>
      <c r="R9" s="1052" t="e">
        <f t="shared" si="7"/>
        <v>#REF!</v>
      </c>
    </row>
    <row r="10" spans="1:22" ht="15.5" x14ac:dyDescent="0.35">
      <c r="A10" s="5076" t="str">
        <f>'SALESPLAN 3Y'!A13:F13</f>
        <v>Constructeurs Matériel</v>
      </c>
      <c r="B10" s="5077"/>
      <c r="C10" s="5077"/>
      <c r="D10" s="5097"/>
      <c r="E10" s="5097"/>
      <c r="F10" s="2009">
        <f>'SALESPLAN 3Y'!G13</f>
        <v>0</v>
      </c>
      <c r="G10" s="2009">
        <f>'SALESPLAN 3Y'!H13</f>
        <v>0</v>
      </c>
      <c r="H10" s="2009">
        <f>'SALESPLAN 3Y'!I13</f>
        <v>0</v>
      </c>
      <c r="I10" s="2009">
        <f>'SALESPLAN 3Y'!J13</f>
        <v>0</v>
      </c>
      <c r="J10" s="2009">
        <f>'SALESPLAN 3Y'!K13</f>
        <v>0</v>
      </c>
      <c r="K10" s="2010">
        <f t="shared" si="6"/>
        <v>0</v>
      </c>
      <c r="L10" s="169"/>
      <c r="M10" s="239" t="e">
        <f t="shared" si="1"/>
        <v>#REF!</v>
      </c>
      <c r="N10" s="242" t="e">
        <f t="shared" si="2"/>
        <v>#REF!</v>
      </c>
      <c r="O10" s="242" t="e">
        <f t="shared" si="3"/>
        <v>#REF!</v>
      </c>
      <c r="P10" s="242" t="e">
        <f t="shared" si="4"/>
        <v>#REF!</v>
      </c>
      <c r="Q10" s="243" t="e">
        <f t="shared" si="5"/>
        <v>#REF!</v>
      </c>
      <c r="R10" s="1052" t="e">
        <f t="shared" si="7"/>
        <v>#REF!</v>
      </c>
    </row>
    <row r="11" spans="1:22" ht="15.5" x14ac:dyDescent="0.35">
      <c r="A11" s="5076" t="str">
        <f>'SALESPLAN 3Y'!A14:F14</f>
        <v>Editeurs de solutions complémentaires</v>
      </c>
      <c r="B11" s="5077"/>
      <c r="C11" s="5077"/>
      <c r="D11" s="5097"/>
      <c r="E11" s="5097"/>
      <c r="F11" s="2009">
        <f>'SALESPLAN 3Y'!G14</f>
        <v>0</v>
      </c>
      <c r="G11" s="2009">
        <f>'SALESPLAN 3Y'!H14</f>
        <v>0</v>
      </c>
      <c r="H11" s="2009">
        <f>'SALESPLAN 3Y'!I14</f>
        <v>0</v>
      </c>
      <c r="I11" s="2009">
        <f>'SALESPLAN 3Y'!J14</f>
        <v>0</v>
      </c>
      <c r="J11" s="2009">
        <f>'SALESPLAN 3Y'!K14</f>
        <v>0</v>
      </c>
      <c r="K11" s="2010">
        <f t="shared" si="6"/>
        <v>0</v>
      </c>
      <c r="L11" s="166"/>
      <c r="M11" s="239" t="e">
        <f t="shared" si="1"/>
        <v>#REF!</v>
      </c>
      <c r="N11" s="242" t="e">
        <f t="shared" si="2"/>
        <v>#REF!</v>
      </c>
      <c r="O11" s="242" t="e">
        <f t="shared" si="3"/>
        <v>#REF!</v>
      </c>
      <c r="P11" s="242" t="e">
        <f t="shared" si="4"/>
        <v>#REF!</v>
      </c>
      <c r="Q11" s="243" t="e">
        <f t="shared" si="5"/>
        <v>#REF!</v>
      </c>
      <c r="R11" s="1052" t="e">
        <f t="shared" si="7"/>
        <v>#REF!</v>
      </c>
    </row>
    <row r="12" spans="1:22" ht="15.5" x14ac:dyDescent="0.35">
      <c r="A12" s="5076" t="str">
        <f>'SALESPLAN 3Y'!A15:F15</f>
        <v>Cabinets de conseil / Consultants</v>
      </c>
      <c r="B12" s="5077"/>
      <c r="C12" s="5077"/>
      <c r="D12" s="5097"/>
      <c r="E12" s="5097"/>
      <c r="F12" s="2009">
        <f>'SALESPLAN 3Y'!G15</f>
        <v>0</v>
      </c>
      <c r="G12" s="2009">
        <f>'SALESPLAN 3Y'!H15</f>
        <v>0</v>
      </c>
      <c r="H12" s="2009">
        <f>'SALESPLAN 3Y'!I15</f>
        <v>0</v>
      </c>
      <c r="I12" s="2009">
        <f>'SALESPLAN 3Y'!J15</f>
        <v>0</v>
      </c>
      <c r="J12" s="2009">
        <f>'SALESPLAN 3Y'!K15</f>
        <v>0</v>
      </c>
      <c r="K12" s="2010">
        <f t="shared" si="6"/>
        <v>0</v>
      </c>
      <c r="L12" s="166"/>
      <c r="M12" s="239" t="e">
        <f t="shared" si="1"/>
        <v>#REF!</v>
      </c>
      <c r="N12" s="242" t="e">
        <f t="shared" si="2"/>
        <v>#REF!</v>
      </c>
      <c r="O12" s="242" t="e">
        <f t="shared" si="3"/>
        <v>#REF!</v>
      </c>
      <c r="P12" s="242" t="e">
        <f t="shared" si="4"/>
        <v>#REF!</v>
      </c>
      <c r="Q12" s="243" t="e">
        <f t="shared" si="5"/>
        <v>#REF!</v>
      </c>
      <c r="R12" s="1052" t="e">
        <f t="shared" si="7"/>
        <v>#REF!</v>
      </c>
    </row>
    <row r="13" spans="1:22" ht="15.5" x14ac:dyDescent="0.35">
      <c r="A13" s="5076" t="str">
        <f>'SALESPLAN 3Y'!A16:F16</f>
        <v xml:space="preserve">Hébergeurs </v>
      </c>
      <c r="B13" s="5077"/>
      <c r="C13" s="5077"/>
      <c r="D13" s="5097"/>
      <c r="E13" s="5097"/>
      <c r="F13" s="2009">
        <f>'SALESPLAN 3Y'!G16</f>
        <v>0</v>
      </c>
      <c r="G13" s="2009">
        <f>'SALESPLAN 3Y'!H16</f>
        <v>0</v>
      </c>
      <c r="H13" s="2009">
        <f>'SALESPLAN 3Y'!I16</f>
        <v>0</v>
      </c>
      <c r="I13" s="2009">
        <f>'SALESPLAN 3Y'!J16</f>
        <v>0</v>
      </c>
      <c r="J13" s="2009">
        <f>'SALESPLAN 3Y'!K16</f>
        <v>0</v>
      </c>
      <c r="K13" s="2010">
        <f t="shared" si="6"/>
        <v>0</v>
      </c>
      <c r="L13" s="166"/>
      <c r="M13" s="239" t="e">
        <f t="shared" si="1"/>
        <v>#REF!</v>
      </c>
      <c r="N13" s="242" t="e">
        <f t="shared" si="2"/>
        <v>#REF!</v>
      </c>
      <c r="O13" s="242" t="e">
        <f t="shared" si="3"/>
        <v>#REF!</v>
      </c>
      <c r="P13" s="242" t="e">
        <f t="shared" si="4"/>
        <v>#REF!</v>
      </c>
      <c r="Q13" s="243" t="e">
        <f t="shared" si="5"/>
        <v>#REF!</v>
      </c>
      <c r="R13" s="1052" t="e">
        <f t="shared" si="7"/>
        <v>#REF!</v>
      </c>
    </row>
    <row r="14" spans="1:22" ht="15.5" x14ac:dyDescent="0.35">
      <c r="A14" s="5076" t="e">
        <f>'SALESPLAN 3Y'!#REF!</f>
        <v>#REF!</v>
      </c>
      <c r="B14" s="5077"/>
      <c r="C14" s="5077"/>
      <c r="D14" s="5097"/>
      <c r="E14" s="5097"/>
      <c r="F14" s="1180" t="e">
        <f>'SALESPLAN 3Y'!#REF!</f>
        <v>#REF!</v>
      </c>
      <c r="G14" s="1180" t="e">
        <f>'SALESPLAN 3Y'!#REF!</f>
        <v>#REF!</v>
      </c>
      <c r="H14" s="1180" t="e">
        <f>'SALESPLAN 3Y'!#REF!</f>
        <v>#REF!</v>
      </c>
      <c r="I14" s="1180" t="e">
        <f>'SALESPLAN 3Y'!#REF!</f>
        <v>#REF!</v>
      </c>
      <c r="J14" s="1180" t="e">
        <f>'SALESPLAN 3Y'!#REF!</f>
        <v>#REF!</v>
      </c>
      <c r="K14" s="1050" t="e">
        <f t="shared" si="6"/>
        <v>#REF!</v>
      </c>
      <c r="L14" s="166"/>
      <c r="M14" s="239" t="e">
        <f t="shared" si="1"/>
        <v>#REF!</v>
      </c>
      <c r="N14" s="242" t="e">
        <f t="shared" si="2"/>
        <v>#REF!</v>
      </c>
      <c r="O14" s="242" t="e">
        <f t="shared" si="3"/>
        <v>#REF!</v>
      </c>
      <c r="P14" s="242" t="e">
        <f t="shared" si="4"/>
        <v>#REF!</v>
      </c>
      <c r="Q14" s="243" t="e">
        <f t="shared" si="5"/>
        <v>#REF!</v>
      </c>
      <c r="R14" s="1052" t="e">
        <f t="shared" si="7"/>
        <v>#REF!</v>
      </c>
    </row>
    <row r="15" spans="1:22" ht="7.5" customHeight="1" thickBot="1" x14ac:dyDescent="0.4">
      <c r="A15" s="5098"/>
      <c r="B15" s="5099"/>
      <c r="C15" s="5099"/>
      <c r="D15" s="5099"/>
      <c r="E15" s="5099"/>
      <c r="F15" s="5099"/>
      <c r="G15" s="5099"/>
      <c r="H15" s="5099"/>
      <c r="I15" s="5099"/>
      <c r="J15" s="5099"/>
      <c r="K15" s="5100"/>
      <c r="L15" s="166"/>
      <c r="M15" s="5094"/>
      <c r="N15" s="5095"/>
      <c r="O15" s="5095"/>
      <c r="P15" s="5095"/>
      <c r="Q15" s="5095"/>
      <c r="R15" s="5096"/>
    </row>
    <row r="16" spans="1:22" ht="15.5" thickTop="1" thickBot="1" x14ac:dyDescent="0.4">
      <c r="C16" s="5088" t="s">
        <v>436</v>
      </c>
      <c r="D16" s="5089"/>
      <c r="E16" s="5090"/>
      <c r="F16" s="2011" t="e">
        <f>SUM(F7:F15)</f>
        <v>#REF!</v>
      </c>
      <c r="G16" s="2012" t="e">
        <f>SUM(G7:G15)</f>
        <v>#REF!</v>
      </c>
      <c r="H16" s="2012" t="e">
        <f>SUM(H7:H15)</f>
        <v>#REF!</v>
      </c>
      <c r="I16" s="2012" t="e">
        <f>SUM(I7:I15)</f>
        <v>#REF!</v>
      </c>
      <c r="J16" s="2013" t="e">
        <f>SUM(J7:J15)</f>
        <v>#REF!</v>
      </c>
      <c r="K16" s="2014" t="e">
        <f>SUM(F16:J16)</f>
        <v>#REF!</v>
      </c>
      <c r="L16" s="168"/>
      <c r="M16" s="253" t="e">
        <f t="shared" ref="M16:R16" si="8">SUM(M7:M15)</f>
        <v>#REF!</v>
      </c>
      <c r="N16" s="254" t="e">
        <f t="shared" si="8"/>
        <v>#REF!</v>
      </c>
      <c r="O16" s="254" t="e">
        <f t="shared" si="8"/>
        <v>#REF!</v>
      </c>
      <c r="P16" s="254" t="e">
        <f t="shared" si="8"/>
        <v>#REF!</v>
      </c>
      <c r="Q16" s="255" t="e">
        <f t="shared" si="8"/>
        <v>#REF!</v>
      </c>
      <c r="R16" s="1053" t="e">
        <f t="shared" si="8"/>
        <v>#REF!</v>
      </c>
    </row>
    <row r="17" spans="1:18" ht="15.5" thickTop="1" thickBot="1" x14ac:dyDescent="0.4">
      <c r="C17" s="5091" t="s">
        <v>761</v>
      </c>
      <c r="D17" s="5092"/>
      <c r="E17" s="5093"/>
      <c r="F17" s="224"/>
      <c r="G17" s="215" t="e">
        <f>IF((G16-F16)/F16=0,"",(G16-F16)/F16)</f>
        <v>#REF!</v>
      </c>
      <c r="H17" s="215" t="e">
        <f>IF(G16=0,"",H16/G16)</f>
        <v>#REF!</v>
      </c>
      <c r="I17" s="215" t="e">
        <f>IF(H16=0,"",I16/H16)</f>
        <v>#REF!</v>
      </c>
      <c r="J17" s="215" t="e">
        <f>IF(I16=0,"",J16/I16)</f>
        <v>#REF!</v>
      </c>
      <c r="K17" s="1059"/>
      <c r="L17" s="167"/>
      <c r="M17" s="166"/>
      <c r="N17" s="166"/>
      <c r="O17" s="166"/>
      <c r="P17" s="166"/>
      <c r="Q17" s="166"/>
      <c r="R17" s="205"/>
    </row>
    <row r="18" spans="1:18" ht="13.5" thickTop="1" x14ac:dyDescent="0.3"/>
    <row r="20" spans="1:18" ht="13.5" thickBot="1" x14ac:dyDescent="0.35"/>
    <row r="21" spans="1:18" s="210" customFormat="1" ht="30.75" customHeight="1" thickTop="1" x14ac:dyDescent="0.35">
      <c r="A21" s="5085" t="s">
        <v>853</v>
      </c>
      <c r="B21" s="5086"/>
      <c r="C21" s="5086"/>
      <c r="D21" s="5086" t="s">
        <v>1798</v>
      </c>
      <c r="E21" s="5086"/>
      <c r="F21" s="225">
        <f t="shared" ref="F21:K21" si="9">F6</f>
        <v>2017</v>
      </c>
      <c r="G21" s="225">
        <f t="shared" si="9"/>
        <v>2018</v>
      </c>
      <c r="H21" s="225">
        <f t="shared" si="9"/>
        <v>2019</v>
      </c>
      <c r="I21" s="225">
        <f t="shared" si="9"/>
        <v>2020</v>
      </c>
      <c r="J21" s="244">
        <f t="shared" si="9"/>
        <v>2021</v>
      </c>
      <c r="K21" s="1045" t="str">
        <f t="shared" si="9"/>
        <v xml:space="preserve">Total </v>
      </c>
    </row>
    <row r="22" spans="1:18" ht="15.5" x14ac:dyDescent="0.35">
      <c r="A22" s="5076" t="str">
        <f t="shared" ref="A22:A29" si="10">A7</f>
        <v xml:space="preserve">Ventes directes </v>
      </c>
      <c r="B22" s="5077"/>
      <c r="C22" s="5077"/>
      <c r="D22" s="4623"/>
      <c r="E22" s="4623"/>
      <c r="F22" s="1174">
        <f t="shared" ref="F22:J29" si="11">IF($D22=0,0,F7/$D22)</f>
        <v>0</v>
      </c>
      <c r="G22" s="1174">
        <f t="shared" si="11"/>
        <v>0</v>
      </c>
      <c r="H22" s="1174">
        <f t="shared" si="11"/>
        <v>0</v>
      </c>
      <c r="I22" s="1174">
        <f t="shared" si="11"/>
        <v>0</v>
      </c>
      <c r="J22" s="1175">
        <f t="shared" si="11"/>
        <v>0</v>
      </c>
      <c r="K22" s="1574">
        <f t="shared" ref="K22:K29" si="12">SUM(G22:J22)</f>
        <v>0</v>
      </c>
    </row>
    <row r="23" spans="1:18" ht="15.5" x14ac:dyDescent="0.35">
      <c r="A23" s="5076" t="str">
        <f t="shared" si="10"/>
        <v xml:space="preserve">VARs / SS2I locales </v>
      </c>
      <c r="B23" s="5077"/>
      <c r="C23" s="5077"/>
      <c r="D23" s="5087">
        <v>1</v>
      </c>
      <c r="E23" s="5087"/>
      <c r="F23" s="1182">
        <f t="shared" si="11"/>
        <v>0</v>
      </c>
      <c r="G23" s="2076">
        <f t="shared" si="11"/>
        <v>0</v>
      </c>
      <c r="H23" s="2076">
        <f t="shared" si="11"/>
        <v>0</v>
      </c>
      <c r="I23" s="2076">
        <f t="shared" si="11"/>
        <v>0</v>
      </c>
      <c r="J23" s="2077">
        <f t="shared" si="11"/>
        <v>0</v>
      </c>
      <c r="K23" s="2010">
        <f t="shared" si="12"/>
        <v>0</v>
      </c>
    </row>
    <row r="24" spans="1:18" ht="15.5" x14ac:dyDescent="0.35">
      <c r="A24" s="5076" t="str">
        <f t="shared" si="10"/>
        <v>ESN ( SS2I )</v>
      </c>
      <c r="B24" s="5077"/>
      <c r="C24" s="5077"/>
      <c r="D24" s="5087">
        <v>2</v>
      </c>
      <c r="E24" s="5087"/>
      <c r="F24" s="1182">
        <f t="shared" si="11"/>
        <v>0</v>
      </c>
      <c r="G24" s="2076">
        <f t="shared" si="11"/>
        <v>0</v>
      </c>
      <c r="H24" s="2076">
        <f t="shared" si="11"/>
        <v>0</v>
      </c>
      <c r="I24" s="2076">
        <f t="shared" si="11"/>
        <v>0</v>
      </c>
      <c r="J24" s="2077">
        <f t="shared" si="11"/>
        <v>0</v>
      </c>
      <c r="K24" s="2078">
        <f t="shared" si="12"/>
        <v>0</v>
      </c>
    </row>
    <row r="25" spans="1:18" ht="15.5" x14ac:dyDescent="0.35">
      <c r="A25" s="5076" t="str">
        <f t="shared" si="10"/>
        <v>Constructeurs Matériel</v>
      </c>
      <c r="B25" s="5077"/>
      <c r="C25" s="5077"/>
      <c r="D25" s="5087">
        <v>3</v>
      </c>
      <c r="E25" s="5087"/>
      <c r="F25" s="1182">
        <f t="shared" si="11"/>
        <v>0</v>
      </c>
      <c r="G25" s="2076">
        <f t="shared" si="11"/>
        <v>0</v>
      </c>
      <c r="H25" s="2076">
        <f t="shared" si="11"/>
        <v>0</v>
      </c>
      <c r="I25" s="2076">
        <f t="shared" si="11"/>
        <v>0</v>
      </c>
      <c r="J25" s="2077">
        <f t="shared" si="11"/>
        <v>0</v>
      </c>
      <c r="K25" s="2010">
        <f t="shared" si="12"/>
        <v>0</v>
      </c>
    </row>
    <row r="26" spans="1:18" ht="15.5" x14ac:dyDescent="0.35">
      <c r="A26" s="5076" t="str">
        <f t="shared" si="10"/>
        <v>Editeurs de solutions complémentaires</v>
      </c>
      <c r="B26" s="5077"/>
      <c r="C26" s="5077"/>
      <c r="D26" s="5087">
        <v>4</v>
      </c>
      <c r="E26" s="5087"/>
      <c r="F26" s="1182">
        <f t="shared" si="11"/>
        <v>0</v>
      </c>
      <c r="G26" s="295">
        <f t="shared" si="11"/>
        <v>0</v>
      </c>
      <c r="H26" s="295">
        <f t="shared" si="11"/>
        <v>0</v>
      </c>
      <c r="I26" s="295">
        <f t="shared" si="11"/>
        <v>0</v>
      </c>
      <c r="J26" s="1044">
        <f t="shared" si="11"/>
        <v>0</v>
      </c>
      <c r="K26" s="1046">
        <f t="shared" si="12"/>
        <v>0</v>
      </c>
    </row>
    <row r="27" spans="1:18" ht="15.5" x14ac:dyDescent="0.35">
      <c r="A27" s="5076" t="str">
        <f t="shared" si="10"/>
        <v>Cabinets de conseil / Consultants</v>
      </c>
      <c r="B27" s="5077"/>
      <c r="C27" s="5077"/>
      <c r="D27" s="5087">
        <v>5</v>
      </c>
      <c r="E27" s="5087"/>
      <c r="F27" s="1182">
        <f t="shared" si="11"/>
        <v>0</v>
      </c>
      <c r="G27" s="295">
        <f t="shared" si="11"/>
        <v>0</v>
      </c>
      <c r="H27" s="295">
        <f t="shared" si="11"/>
        <v>0</v>
      </c>
      <c r="I27" s="295">
        <f t="shared" si="11"/>
        <v>0</v>
      </c>
      <c r="J27" s="1044">
        <f t="shared" si="11"/>
        <v>0</v>
      </c>
      <c r="K27" s="1046">
        <f t="shared" si="12"/>
        <v>0</v>
      </c>
    </row>
    <row r="28" spans="1:18" ht="15.5" x14ac:dyDescent="0.35">
      <c r="A28" s="5076" t="str">
        <f t="shared" si="10"/>
        <v xml:space="preserve">Hébergeurs </v>
      </c>
      <c r="B28" s="5077"/>
      <c r="C28" s="5077"/>
      <c r="D28" s="5087">
        <v>6</v>
      </c>
      <c r="E28" s="5087"/>
      <c r="F28" s="1182">
        <f t="shared" si="11"/>
        <v>0</v>
      </c>
      <c r="G28" s="295">
        <f t="shared" si="11"/>
        <v>0</v>
      </c>
      <c r="H28" s="295">
        <f t="shared" si="11"/>
        <v>0</v>
      </c>
      <c r="I28" s="295">
        <f t="shared" si="11"/>
        <v>0</v>
      </c>
      <c r="J28" s="1044">
        <f t="shared" si="11"/>
        <v>0</v>
      </c>
      <c r="K28" s="1046">
        <f t="shared" si="12"/>
        <v>0</v>
      </c>
    </row>
    <row r="29" spans="1:18" ht="15.5" x14ac:dyDescent="0.35">
      <c r="A29" s="5076" t="e">
        <f t="shared" si="10"/>
        <v>#REF!</v>
      </c>
      <c r="B29" s="5077"/>
      <c r="C29" s="5077"/>
      <c r="D29" s="5082"/>
      <c r="E29" s="5082"/>
      <c r="F29" s="1182">
        <f t="shared" si="11"/>
        <v>0</v>
      </c>
      <c r="G29" s="295">
        <f t="shared" si="11"/>
        <v>0</v>
      </c>
      <c r="H29" s="295">
        <f t="shared" si="11"/>
        <v>0</v>
      </c>
      <c r="I29" s="295">
        <f t="shared" si="11"/>
        <v>0</v>
      </c>
      <c r="J29" s="1044">
        <f t="shared" si="11"/>
        <v>0</v>
      </c>
      <c r="K29" s="1046">
        <f t="shared" si="12"/>
        <v>0</v>
      </c>
    </row>
    <row r="30" spans="1:18" ht="7.5" customHeight="1" thickBot="1" x14ac:dyDescent="0.35">
      <c r="A30" s="5079"/>
      <c r="B30" s="5080"/>
      <c r="C30" s="5080"/>
      <c r="D30" s="5080"/>
      <c r="E30" s="5080"/>
      <c r="F30" s="5080"/>
      <c r="G30" s="5080"/>
      <c r="H30" s="5080"/>
      <c r="I30" s="5080"/>
      <c r="J30" s="5080"/>
      <c r="K30" s="5081"/>
    </row>
    <row r="31" spans="1:18" ht="16.5" thickTop="1" thickBot="1" x14ac:dyDescent="0.4">
      <c r="D31" s="5083" t="s">
        <v>127</v>
      </c>
      <c r="E31" s="5084"/>
      <c r="F31" s="1183">
        <f>SUM(F22:F30)</f>
        <v>0</v>
      </c>
      <c r="G31" s="2079">
        <f>SUM(G22:G30)</f>
        <v>0</v>
      </c>
      <c r="H31" s="2079">
        <f>SUM(H22:H30)</f>
        <v>0</v>
      </c>
      <c r="I31" s="2079">
        <f>SUM(I22:I30)</f>
        <v>0</v>
      </c>
      <c r="J31" s="2080">
        <f>SUM(J22:J30)</f>
        <v>0</v>
      </c>
      <c r="K31" s="1055">
        <f>SUM(G31:J31)</f>
        <v>0</v>
      </c>
    </row>
    <row r="32" spans="1:18" ht="13.5" thickTop="1" x14ac:dyDescent="0.3"/>
    <row r="33" spans="1:18" ht="13.5" thickBot="1" x14ac:dyDescent="0.35"/>
    <row r="34" spans="1:18" s="210" customFormat="1" ht="46.5" customHeight="1" thickTop="1" x14ac:dyDescent="0.35">
      <c r="A34" s="5085" t="s">
        <v>854</v>
      </c>
      <c r="B34" s="5086"/>
      <c r="C34" s="5086"/>
      <c r="D34" s="5086" t="s">
        <v>1523</v>
      </c>
      <c r="E34" s="5086"/>
      <c r="F34" s="225">
        <f t="shared" ref="F34:K34" si="13">F6</f>
        <v>2017</v>
      </c>
      <c r="G34" s="225">
        <f t="shared" si="13"/>
        <v>2018</v>
      </c>
      <c r="H34" s="225">
        <f t="shared" si="13"/>
        <v>2019</v>
      </c>
      <c r="I34" s="244">
        <f t="shared" si="13"/>
        <v>2020</v>
      </c>
      <c r="J34" s="244">
        <f t="shared" si="13"/>
        <v>2021</v>
      </c>
      <c r="K34" s="1045" t="str">
        <f t="shared" si="13"/>
        <v xml:space="preserve">Total </v>
      </c>
    </row>
    <row r="35" spans="1:18" ht="15.75" customHeight="1" x14ac:dyDescent="0.35">
      <c r="A35" s="5076" t="str">
        <f t="shared" ref="A35:A42" si="14">A7</f>
        <v xml:space="preserve">Ventes directes </v>
      </c>
      <c r="B35" s="5077"/>
      <c r="C35" s="5077"/>
      <c r="D35" s="4623"/>
      <c r="E35" s="4623"/>
      <c r="F35" s="1174">
        <f>IF($D35=0,0,F20/$D35)</f>
        <v>0</v>
      </c>
      <c r="G35" s="1174">
        <f>IF($D35=0,0,G20/$D35)</f>
        <v>0</v>
      </c>
      <c r="H35" s="1174">
        <f>IF($D35=0,0,H20/$D35)</f>
        <v>0</v>
      </c>
      <c r="I35" s="1174">
        <f>IF($D35=0,0,I20/$D35)</f>
        <v>0</v>
      </c>
      <c r="J35" s="1175">
        <f>IF($D35=0,0,J20/$D35)</f>
        <v>0</v>
      </c>
      <c r="K35" s="1574">
        <f>SUM(G35:J35)</f>
        <v>0</v>
      </c>
    </row>
    <row r="36" spans="1:18" ht="15" customHeight="1" x14ac:dyDescent="0.35">
      <c r="A36" s="5076" t="str">
        <f t="shared" si="14"/>
        <v xml:space="preserve">VARs / SS2I locales </v>
      </c>
      <c r="B36" s="5077"/>
      <c r="C36" s="5077"/>
      <c r="D36" s="5078">
        <v>1</v>
      </c>
      <c r="E36" s="5078"/>
      <c r="F36" s="1184">
        <f t="shared" ref="F36:J42" si="15">IF($D36=0,0,F23/$D36)</f>
        <v>0</v>
      </c>
      <c r="G36" s="214">
        <f t="shared" si="15"/>
        <v>0</v>
      </c>
      <c r="H36" s="214">
        <f t="shared" si="15"/>
        <v>0</v>
      </c>
      <c r="I36" s="214">
        <f t="shared" si="15"/>
        <v>0</v>
      </c>
      <c r="J36" s="247">
        <f t="shared" si="15"/>
        <v>0</v>
      </c>
      <c r="K36" s="1048"/>
    </row>
    <row r="37" spans="1:18" ht="15" customHeight="1" x14ac:dyDescent="0.35">
      <c r="A37" s="5076" t="str">
        <f t="shared" si="14"/>
        <v>ESN ( SS2I )</v>
      </c>
      <c r="B37" s="5077"/>
      <c r="C37" s="5077"/>
      <c r="D37" s="5078">
        <v>2</v>
      </c>
      <c r="E37" s="5078"/>
      <c r="F37" s="1184">
        <f t="shared" si="15"/>
        <v>0</v>
      </c>
      <c r="G37" s="214">
        <f t="shared" si="15"/>
        <v>0</v>
      </c>
      <c r="H37" s="214">
        <f t="shared" si="15"/>
        <v>0</v>
      </c>
      <c r="I37" s="214">
        <f t="shared" si="15"/>
        <v>0</v>
      </c>
      <c r="J37" s="247">
        <f t="shared" si="15"/>
        <v>0</v>
      </c>
      <c r="K37" s="1049"/>
    </row>
    <row r="38" spans="1:18" ht="15" customHeight="1" x14ac:dyDescent="0.35">
      <c r="A38" s="5076" t="str">
        <f t="shared" si="14"/>
        <v>Constructeurs Matériel</v>
      </c>
      <c r="B38" s="5077"/>
      <c r="C38" s="5077"/>
      <c r="D38" s="5078">
        <v>3</v>
      </c>
      <c r="E38" s="5078"/>
      <c r="F38" s="1184">
        <f t="shared" si="15"/>
        <v>0</v>
      </c>
      <c r="G38" s="214">
        <f t="shared" si="15"/>
        <v>0</v>
      </c>
      <c r="H38" s="214">
        <f t="shared" si="15"/>
        <v>0</v>
      </c>
      <c r="I38" s="214">
        <f t="shared" si="15"/>
        <v>0</v>
      </c>
      <c r="J38" s="247">
        <f t="shared" si="15"/>
        <v>0</v>
      </c>
      <c r="K38" s="1048"/>
    </row>
    <row r="39" spans="1:18" ht="15" customHeight="1" x14ac:dyDescent="0.35">
      <c r="A39" s="5076" t="str">
        <f t="shared" si="14"/>
        <v>Editeurs de solutions complémentaires</v>
      </c>
      <c r="B39" s="5077"/>
      <c r="C39" s="5077"/>
      <c r="D39" s="5078">
        <v>4</v>
      </c>
      <c r="E39" s="5078"/>
      <c r="F39" s="1184">
        <f t="shared" si="15"/>
        <v>0</v>
      </c>
      <c r="G39" s="214">
        <f t="shared" si="15"/>
        <v>0</v>
      </c>
      <c r="H39" s="214">
        <f t="shared" si="15"/>
        <v>0</v>
      </c>
      <c r="I39" s="214">
        <f t="shared" si="15"/>
        <v>0</v>
      </c>
      <c r="J39" s="247">
        <f t="shared" si="15"/>
        <v>0</v>
      </c>
      <c r="K39" s="1048"/>
    </row>
    <row r="40" spans="1:18" ht="15" customHeight="1" x14ac:dyDescent="0.35">
      <c r="A40" s="5076" t="str">
        <f t="shared" si="14"/>
        <v>Cabinets de conseil / Consultants</v>
      </c>
      <c r="B40" s="5077"/>
      <c r="C40" s="5077"/>
      <c r="D40" s="5078">
        <v>5</v>
      </c>
      <c r="E40" s="5078"/>
      <c r="F40" s="1184">
        <f t="shared" si="15"/>
        <v>0</v>
      </c>
      <c r="G40" s="214">
        <f t="shared" si="15"/>
        <v>0</v>
      </c>
      <c r="H40" s="214">
        <f t="shared" si="15"/>
        <v>0</v>
      </c>
      <c r="I40" s="214">
        <f t="shared" si="15"/>
        <v>0</v>
      </c>
      <c r="J40" s="247">
        <f t="shared" si="15"/>
        <v>0</v>
      </c>
      <c r="K40" s="1048"/>
    </row>
    <row r="41" spans="1:18" ht="15" customHeight="1" x14ac:dyDescent="0.35">
      <c r="A41" s="5076" t="str">
        <f t="shared" si="14"/>
        <v xml:space="preserve">Hébergeurs </v>
      </c>
      <c r="B41" s="5077"/>
      <c r="C41" s="5077"/>
      <c r="D41" s="5078">
        <v>6</v>
      </c>
      <c r="E41" s="5078"/>
      <c r="F41" s="1184">
        <f t="shared" si="15"/>
        <v>0</v>
      </c>
      <c r="G41" s="214">
        <f t="shared" si="15"/>
        <v>0</v>
      </c>
      <c r="H41" s="214">
        <f t="shared" si="15"/>
        <v>0</v>
      </c>
      <c r="I41" s="214">
        <f t="shared" si="15"/>
        <v>0</v>
      </c>
      <c r="J41" s="247">
        <f t="shared" si="15"/>
        <v>0</v>
      </c>
      <c r="K41" s="1048"/>
    </row>
    <row r="42" spans="1:18" ht="15" customHeight="1" x14ac:dyDescent="0.35">
      <c r="A42" s="5076" t="e">
        <f t="shared" si="14"/>
        <v>#REF!</v>
      </c>
      <c r="B42" s="5077"/>
      <c r="C42" s="5077"/>
      <c r="D42" s="5078"/>
      <c r="E42" s="5078"/>
      <c r="F42" s="1184">
        <f t="shared" si="15"/>
        <v>0</v>
      </c>
      <c r="G42" s="214">
        <f t="shared" si="15"/>
        <v>0</v>
      </c>
      <c r="H42" s="214">
        <f t="shared" si="15"/>
        <v>0</v>
      </c>
      <c r="I42" s="214">
        <f t="shared" si="15"/>
        <v>0</v>
      </c>
      <c r="J42" s="247">
        <f t="shared" si="15"/>
        <v>0</v>
      </c>
      <c r="K42" s="1048"/>
    </row>
    <row r="43" spans="1:18" ht="15.75" customHeight="1" thickBot="1" x14ac:dyDescent="0.35">
      <c r="A43" s="5079"/>
      <c r="B43" s="5080"/>
      <c r="C43" s="5080"/>
      <c r="D43" s="5080"/>
      <c r="E43" s="5080"/>
      <c r="F43" s="5080"/>
      <c r="G43" s="5080"/>
      <c r="H43" s="5080"/>
      <c r="I43" s="5080"/>
      <c r="J43" s="5080"/>
      <c r="K43" s="5081"/>
    </row>
    <row r="44" spans="1:18" ht="15.5" thickTop="1" thickBot="1" x14ac:dyDescent="0.4">
      <c r="B44" s="5073" t="s">
        <v>1456</v>
      </c>
      <c r="C44" s="5074"/>
      <c r="D44" s="5074"/>
      <c r="E44" s="5075"/>
      <c r="F44" s="1185">
        <f t="shared" ref="F44:K44" si="16">SUM(F35:F43)</f>
        <v>0</v>
      </c>
      <c r="G44" s="222">
        <f t="shared" si="16"/>
        <v>0</v>
      </c>
      <c r="H44" s="222">
        <f t="shared" si="16"/>
        <v>0</v>
      </c>
      <c r="I44" s="222">
        <f t="shared" si="16"/>
        <v>0</v>
      </c>
      <c r="J44" s="248">
        <f t="shared" si="16"/>
        <v>0</v>
      </c>
      <c r="K44" s="1056">
        <f t="shared" si="16"/>
        <v>0</v>
      </c>
    </row>
    <row r="45" spans="1:18" ht="13.5" thickTop="1" x14ac:dyDescent="0.3">
      <c r="K45" s="1057"/>
    </row>
    <row r="47" spans="1:18" s="205" customFormat="1" ht="14.5" x14ac:dyDescent="0.35">
      <c r="F47" s="207"/>
      <c r="G47" s="206"/>
      <c r="H47" s="208"/>
      <c r="I47" s="209"/>
      <c r="J47" s="209"/>
      <c r="K47" s="209"/>
      <c r="L47" s="209"/>
      <c r="M47" s="167"/>
      <c r="N47" s="167"/>
    </row>
    <row r="48" spans="1:18" s="210" customFormat="1" ht="14.5" x14ac:dyDescent="0.35">
      <c r="R48" s="166"/>
    </row>
    <row r="49" spans="1:21" s="166" customFormat="1" ht="15" thickBot="1" x14ac:dyDescent="0.4"/>
    <row r="50" spans="1:21" s="60" customFormat="1" ht="20.25" customHeight="1" thickTop="1" thickBot="1" x14ac:dyDescent="0.4">
      <c r="A50" s="5057" t="s">
        <v>10</v>
      </c>
      <c r="B50" s="5058"/>
      <c r="C50" s="5058"/>
      <c r="D50" s="5058"/>
      <c r="E50" s="5058"/>
      <c r="F50" s="5058"/>
      <c r="G50" s="5058"/>
      <c r="H50" s="5058"/>
      <c r="I50" s="5058"/>
      <c r="J50" s="5058"/>
      <c r="K50" s="5059"/>
      <c r="L50" s="34"/>
      <c r="M50" s="4823" t="s">
        <v>748</v>
      </c>
      <c r="N50" s="4824"/>
      <c r="O50" s="4825"/>
      <c r="P50" s="34"/>
      <c r="Q50" s="64"/>
      <c r="R50" s="64"/>
      <c r="S50" s="64"/>
      <c r="T50" s="64"/>
      <c r="U50" s="64"/>
    </row>
    <row r="51" spans="1:21" s="60" customFormat="1" ht="20.25" customHeight="1" x14ac:dyDescent="0.35">
      <c r="A51" s="5060" t="s">
        <v>1463</v>
      </c>
      <c r="B51" s="5061"/>
      <c r="C51" s="5061"/>
      <c r="D51" s="5061"/>
      <c r="E51" s="5061"/>
      <c r="F51" s="5061"/>
      <c r="G51" s="5061"/>
      <c r="H51" s="5061"/>
      <c r="I51" s="5061"/>
      <c r="J51" s="5061"/>
      <c r="K51" s="5062"/>
      <c r="L51" s="35"/>
      <c r="M51" s="3750" t="s">
        <v>1457</v>
      </c>
      <c r="N51" s="5066"/>
      <c r="O51" s="3752"/>
      <c r="P51" s="35"/>
      <c r="Q51" s="64"/>
      <c r="R51" s="64"/>
      <c r="S51" s="64"/>
      <c r="T51" s="64"/>
      <c r="U51" s="64"/>
    </row>
    <row r="52" spans="1:21" s="60" customFormat="1" ht="20.25" customHeight="1" x14ac:dyDescent="0.35">
      <c r="A52" s="5060"/>
      <c r="B52" s="5061"/>
      <c r="C52" s="5061"/>
      <c r="D52" s="5061"/>
      <c r="E52" s="5061"/>
      <c r="F52" s="5061"/>
      <c r="G52" s="5061"/>
      <c r="H52" s="5061"/>
      <c r="I52" s="5061"/>
      <c r="J52" s="5061"/>
      <c r="K52" s="5062"/>
      <c r="L52" s="35"/>
      <c r="M52" s="3753"/>
      <c r="N52" s="3754"/>
      <c r="O52" s="5067"/>
      <c r="P52" s="35"/>
      <c r="Q52" s="64"/>
      <c r="R52" s="64"/>
      <c r="S52" s="64"/>
      <c r="T52" s="64"/>
      <c r="U52" s="64"/>
    </row>
    <row r="53" spans="1:21" s="60" customFormat="1" ht="20.25" customHeight="1" x14ac:dyDescent="0.35">
      <c r="A53" s="5060"/>
      <c r="B53" s="5061"/>
      <c r="C53" s="5061"/>
      <c r="D53" s="5061"/>
      <c r="E53" s="5061"/>
      <c r="F53" s="5061"/>
      <c r="G53" s="5061"/>
      <c r="H53" s="5061"/>
      <c r="I53" s="5061"/>
      <c r="J53" s="5061"/>
      <c r="K53" s="5062"/>
      <c r="L53" s="35"/>
      <c r="M53" s="3753"/>
      <c r="N53" s="3754"/>
      <c r="O53" s="5067"/>
      <c r="P53" s="35"/>
      <c r="Q53" s="64"/>
      <c r="R53" s="64"/>
      <c r="S53" s="64"/>
      <c r="T53" s="64"/>
      <c r="U53" s="64"/>
    </row>
    <row r="54" spans="1:21" s="60" customFormat="1" ht="20.25" customHeight="1" x14ac:dyDescent="0.35">
      <c r="A54" s="5060"/>
      <c r="B54" s="5061"/>
      <c r="C54" s="5061"/>
      <c r="D54" s="5061"/>
      <c r="E54" s="5061"/>
      <c r="F54" s="5061"/>
      <c r="G54" s="5061"/>
      <c r="H54" s="5061"/>
      <c r="I54" s="5061"/>
      <c r="J54" s="5061"/>
      <c r="K54" s="5062"/>
      <c r="L54" s="35"/>
      <c r="M54" s="3753"/>
      <c r="N54" s="3754"/>
      <c r="O54" s="5067"/>
      <c r="P54" s="35"/>
      <c r="Q54" s="64"/>
      <c r="R54" s="64"/>
      <c r="S54" s="64"/>
      <c r="T54" s="64"/>
      <c r="U54" s="64"/>
    </row>
    <row r="55" spans="1:21" s="60" customFormat="1" ht="20.25" customHeight="1" thickBot="1" x14ac:dyDescent="0.4">
      <c r="A55" s="5063"/>
      <c r="B55" s="5064"/>
      <c r="C55" s="5064"/>
      <c r="D55" s="5064"/>
      <c r="E55" s="5064"/>
      <c r="F55" s="5064"/>
      <c r="G55" s="5064"/>
      <c r="H55" s="5064"/>
      <c r="I55" s="5064"/>
      <c r="J55" s="5064"/>
      <c r="K55" s="5065"/>
      <c r="L55" s="35"/>
      <c r="M55" s="3756"/>
      <c r="N55" s="3757"/>
      <c r="O55" s="3758"/>
      <c r="P55" s="35"/>
      <c r="Q55" s="64"/>
      <c r="R55" s="64"/>
      <c r="S55" s="64"/>
      <c r="T55" s="64"/>
      <c r="U55" s="64"/>
    </row>
    <row r="56" spans="1:21" s="60" customFormat="1" ht="20.25" customHeight="1" thickTop="1" thickBot="1" x14ac:dyDescent="0.4">
      <c r="L56" s="64"/>
      <c r="M56" s="162"/>
      <c r="N56" s="162"/>
      <c r="O56" s="162"/>
      <c r="P56" s="64"/>
      <c r="Q56" s="64"/>
      <c r="R56" s="64"/>
      <c r="S56" s="64"/>
      <c r="T56" s="64"/>
      <c r="U56" s="64"/>
    </row>
    <row r="57" spans="1:21" s="60" customFormat="1" ht="20.25" customHeight="1" thickTop="1" thickBot="1" x14ac:dyDescent="0.4">
      <c r="A57" s="5057" t="s">
        <v>11</v>
      </c>
      <c r="B57" s="5068"/>
      <c r="C57" s="5068"/>
      <c r="D57" s="5068"/>
      <c r="E57" s="5068"/>
      <c r="F57" s="5068"/>
      <c r="G57" s="5068"/>
      <c r="H57" s="5068"/>
      <c r="I57" s="5068"/>
      <c r="J57" s="5068"/>
      <c r="K57" s="5069"/>
      <c r="L57" s="34"/>
      <c r="M57" s="163"/>
      <c r="N57" s="163"/>
      <c r="O57" s="163"/>
      <c r="P57" s="34"/>
      <c r="Q57" s="64"/>
      <c r="R57" s="64"/>
      <c r="S57" s="64"/>
      <c r="T57" s="64"/>
      <c r="U57" s="64"/>
    </row>
    <row r="58" spans="1:21" s="60" customFormat="1" ht="20.25" customHeight="1" thickBot="1" x14ac:dyDescent="0.4">
      <c r="A58" s="5060" t="s">
        <v>1258</v>
      </c>
      <c r="B58" s="5061"/>
      <c r="C58" s="5061"/>
      <c r="D58" s="5061"/>
      <c r="E58" s="5061"/>
      <c r="F58" s="5061"/>
      <c r="G58" s="5061"/>
      <c r="H58" s="5061"/>
      <c r="I58" s="5061"/>
      <c r="J58" s="5061"/>
      <c r="K58" s="5062"/>
      <c r="L58" s="35"/>
      <c r="M58" s="4823" t="s">
        <v>748</v>
      </c>
      <c r="N58" s="4824"/>
      <c r="O58" s="4825"/>
      <c r="P58" s="35"/>
      <c r="Q58" s="64"/>
      <c r="R58" s="64"/>
      <c r="S58" s="64"/>
      <c r="T58" s="64"/>
      <c r="U58" s="64"/>
    </row>
    <row r="59" spans="1:21" s="60" customFormat="1" ht="20.25" customHeight="1" x14ac:dyDescent="0.35">
      <c r="A59" s="5060"/>
      <c r="B59" s="5061"/>
      <c r="C59" s="5061"/>
      <c r="D59" s="5061"/>
      <c r="E59" s="5061"/>
      <c r="F59" s="5061"/>
      <c r="G59" s="5061"/>
      <c r="H59" s="5061"/>
      <c r="I59" s="5061"/>
      <c r="J59" s="5061"/>
      <c r="K59" s="5062"/>
      <c r="L59" s="35"/>
      <c r="M59" s="3750" t="s">
        <v>1260</v>
      </c>
      <c r="N59" s="5066"/>
      <c r="O59" s="3752"/>
      <c r="P59" s="35"/>
      <c r="Q59" s="64"/>
      <c r="R59" s="64"/>
      <c r="S59" s="64"/>
      <c r="T59" s="64"/>
      <c r="U59" s="64"/>
    </row>
    <row r="60" spans="1:21" s="60" customFormat="1" ht="20.25" customHeight="1" x14ac:dyDescent="0.35">
      <c r="A60" s="5060"/>
      <c r="B60" s="5061"/>
      <c r="C60" s="5061"/>
      <c r="D60" s="5061"/>
      <c r="E60" s="5061"/>
      <c r="F60" s="5061"/>
      <c r="G60" s="5061"/>
      <c r="H60" s="5061"/>
      <c r="I60" s="5061"/>
      <c r="J60" s="5061"/>
      <c r="K60" s="5062"/>
      <c r="L60" s="35"/>
      <c r="M60" s="3753"/>
      <c r="N60" s="3754"/>
      <c r="O60" s="5067"/>
      <c r="P60" s="35"/>
      <c r="Q60" s="64"/>
      <c r="R60" s="64"/>
      <c r="S60" s="64"/>
      <c r="T60" s="64"/>
      <c r="U60" s="64"/>
    </row>
    <row r="61" spans="1:21" s="60" customFormat="1" ht="20.25" customHeight="1" x14ac:dyDescent="0.35">
      <c r="A61" s="5060"/>
      <c r="B61" s="5061"/>
      <c r="C61" s="5061"/>
      <c r="D61" s="5061"/>
      <c r="E61" s="5061"/>
      <c r="F61" s="5061"/>
      <c r="G61" s="5061"/>
      <c r="H61" s="5061"/>
      <c r="I61" s="5061"/>
      <c r="J61" s="5061"/>
      <c r="K61" s="5062"/>
      <c r="L61" s="35"/>
      <c r="M61" s="3753"/>
      <c r="N61" s="3754"/>
      <c r="O61" s="5067"/>
      <c r="P61" s="35"/>
      <c r="Q61" s="64"/>
      <c r="R61" s="64"/>
      <c r="S61" s="64"/>
      <c r="T61" s="64"/>
      <c r="U61" s="64"/>
    </row>
    <row r="62" spans="1:21" s="60" customFormat="1" ht="14.5" x14ac:dyDescent="0.35">
      <c r="A62" s="5060"/>
      <c r="B62" s="5061"/>
      <c r="C62" s="5061"/>
      <c r="D62" s="5061"/>
      <c r="E62" s="5061"/>
      <c r="F62" s="5061"/>
      <c r="G62" s="5061"/>
      <c r="H62" s="5061"/>
      <c r="I62" s="5061"/>
      <c r="J62" s="5061"/>
      <c r="K62" s="5062"/>
      <c r="L62" s="35"/>
      <c r="M62" s="3753"/>
      <c r="N62" s="3754"/>
      <c r="O62" s="5067"/>
      <c r="P62" s="35"/>
      <c r="Q62" s="64"/>
      <c r="R62" s="64"/>
      <c r="S62" s="64"/>
      <c r="T62" s="64"/>
      <c r="U62" s="64"/>
    </row>
    <row r="63" spans="1:21" s="60" customFormat="1" ht="15" thickBot="1" x14ac:dyDescent="0.4">
      <c r="A63" s="5063"/>
      <c r="B63" s="5064"/>
      <c r="C63" s="5064"/>
      <c r="D63" s="5064"/>
      <c r="E63" s="5064"/>
      <c r="F63" s="5064"/>
      <c r="G63" s="5064"/>
      <c r="H63" s="5064"/>
      <c r="I63" s="5064"/>
      <c r="J63" s="5064"/>
      <c r="K63" s="5065"/>
      <c r="L63" s="64"/>
      <c r="M63" s="3756"/>
      <c r="N63" s="3757"/>
      <c r="O63" s="3758"/>
      <c r="P63" s="64"/>
      <c r="Q63" s="64"/>
      <c r="R63" s="64"/>
      <c r="S63" s="64"/>
      <c r="T63" s="64"/>
      <c r="U63" s="64"/>
    </row>
    <row r="64" spans="1:21" s="60" customFormat="1" ht="15" thickTop="1" x14ac:dyDescent="0.35"/>
    <row r="71" spans="1:14" x14ac:dyDescent="0.3">
      <c r="A71" s="45"/>
    </row>
    <row r="72" spans="1:14" ht="13.5" thickBot="1" x14ac:dyDescent="0.35">
      <c r="A72" s="50"/>
    </row>
    <row r="73" spans="1:14" ht="18.5" thickBot="1" x14ac:dyDescent="0.45">
      <c r="A73" s="50"/>
      <c r="G73" s="40"/>
      <c r="H73" s="40"/>
      <c r="I73" s="40"/>
      <c r="J73" s="5070" t="s">
        <v>771</v>
      </c>
      <c r="K73" s="5071"/>
      <c r="L73" s="5072"/>
      <c r="M73" s="40"/>
      <c r="N73" s="40"/>
    </row>
    <row r="74" spans="1:14" ht="13.5" thickBot="1" x14ac:dyDescent="0.35">
      <c r="A74" s="176"/>
      <c r="G74" s="184"/>
      <c r="H74" s="185"/>
      <c r="I74" s="185"/>
      <c r="J74" s="185"/>
      <c r="K74" s="185"/>
      <c r="L74" s="185"/>
      <c r="M74" s="185"/>
      <c r="N74" s="186"/>
    </row>
    <row r="75" spans="1:14" ht="13.5" thickBot="1" x14ac:dyDescent="0.35">
      <c r="G75" s="171" t="s">
        <v>779</v>
      </c>
      <c r="H75" s="172"/>
      <c r="I75" s="43"/>
      <c r="J75" s="43"/>
      <c r="K75" s="173">
        <f>F6</f>
        <v>2017</v>
      </c>
      <c r="L75" s="173">
        <f>G6</f>
        <v>2018</v>
      </c>
      <c r="M75" s="173">
        <f>H6</f>
        <v>2019</v>
      </c>
      <c r="N75" s="173">
        <f>I6</f>
        <v>2020</v>
      </c>
    </row>
    <row r="76" spans="1:14" ht="15" thickBot="1" x14ac:dyDescent="0.4">
      <c r="G76" s="44"/>
      <c r="H76" s="43"/>
      <c r="I76" s="43"/>
      <c r="J76" s="43"/>
      <c r="K76" s="249" t="e">
        <f>G16</f>
        <v>#REF!</v>
      </c>
      <c r="L76" s="249" t="e">
        <f>H16</f>
        <v>#REF!</v>
      </c>
      <c r="M76" s="249" t="e">
        <f>I16</f>
        <v>#REF!</v>
      </c>
      <c r="N76" s="249" t="e">
        <f>J16</f>
        <v>#REF!</v>
      </c>
    </row>
    <row r="77" spans="1:14" x14ac:dyDescent="0.3">
      <c r="G77" s="44"/>
      <c r="H77" s="43"/>
      <c r="I77" s="43"/>
      <c r="J77" s="43"/>
      <c r="K77" s="174"/>
      <c r="L77" s="174"/>
      <c r="M77" s="174"/>
      <c r="N77" s="175"/>
    </row>
    <row r="78" spans="1:14" x14ac:dyDescent="0.3">
      <c r="G78" s="171" t="s">
        <v>780</v>
      </c>
      <c r="H78" s="172"/>
      <c r="I78" s="43"/>
      <c r="J78" s="43"/>
      <c r="K78" s="43"/>
      <c r="L78" s="43"/>
      <c r="M78" s="43"/>
      <c r="N78" s="46"/>
    </row>
    <row r="79" spans="1:14" x14ac:dyDescent="0.3">
      <c r="G79" s="5055" t="str">
        <f t="shared" ref="G79:G84" si="17">A35</f>
        <v xml:space="preserve">Ventes directes </v>
      </c>
      <c r="H79" s="5056"/>
      <c r="I79" s="43">
        <f t="shared" ref="I79:I84" si="18">C35</f>
        <v>0</v>
      </c>
      <c r="J79" s="250">
        <f t="shared" ref="J79:J84" si="19">D22</f>
        <v>0</v>
      </c>
      <c r="K79" s="43"/>
      <c r="L79" s="43"/>
      <c r="M79" s="43"/>
      <c r="N79" s="46"/>
    </row>
    <row r="80" spans="1:14" x14ac:dyDescent="0.3">
      <c r="G80" s="5055" t="str">
        <f t="shared" si="17"/>
        <v xml:space="preserve">VARs / SS2I locales </v>
      </c>
      <c r="H80" s="5056">
        <f>B36</f>
        <v>0</v>
      </c>
      <c r="I80" s="43">
        <f t="shared" si="18"/>
        <v>0</v>
      </c>
      <c r="J80" s="250">
        <f t="shared" si="19"/>
        <v>1</v>
      </c>
      <c r="K80" s="43"/>
      <c r="L80" s="43"/>
      <c r="M80" s="43"/>
      <c r="N80" s="46"/>
    </row>
    <row r="81" spans="7:14" x14ac:dyDescent="0.3">
      <c r="G81" s="5055" t="str">
        <f t="shared" si="17"/>
        <v>ESN ( SS2I )</v>
      </c>
      <c r="H81" s="5056">
        <f>B37</f>
        <v>0</v>
      </c>
      <c r="I81" s="43">
        <f t="shared" si="18"/>
        <v>0</v>
      </c>
      <c r="J81" s="250">
        <f t="shared" si="19"/>
        <v>2</v>
      </c>
      <c r="K81" s="43"/>
      <c r="L81" s="43"/>
      <c r="M81" s="43"/>
      <c r="N81" s="46"/>
    </row>
    <row r="82" spans="7:14" x14ac:dyDescent="0.3">
      <c r="G82" s="5055" t="str">
        <f t="shared" si="17"/>
        <v>Constructeurs Matériel</v>
      </c>
      <c r="H82" s="5056">
        <f>B38</f>
        <v>0</v>
      </c>
      <c r="I82" s="43">
        <f t="shared" si="18"/>
        <v>0</v>
      </c>
      <c r="J82" s="250">
        <f t="shared" si="19"/>
        <v>3</v>
      </c>
      <c r="K82" s="178"/>
      <c r="L82" s="43"/>
      <c r="M82" s="43"/>
      <c r="N82" s="46"/>
    </row>
    <row r="83" spans="7:14" x14ac:dyDescent="0.3">
      <c r="G83" s="5055" t="str">
        <f t="shared" si="17"/>
        <v>Editeurs de solutions complémentaires</v>
      </c>
      <c r="H83" s="5056">
        <f>B39</f>
        <v>0</v>
      </c>
      <c r="I83" s="43">
        <f t="shared" si="18"/>
        <v>0</v>
      </c>
      <c r="J83" s="250">
        <f t="shared" si="19"/>
        <v>4</v>
      </c>
      <c r="K83" s="178"/>
      <c r="L83" s="43"/>
      <c r="M83" s="43"/>
      <c r="N83" s="46"/>
    </row>
    <row r="84" spans="7:14" x14ac:dyDescent="0.3">
      <c r="G84" s="5055" t="str">
        <f t="shared" si="17"/>
        <v>Cabinets de conseil / Consultants</v>
      </c>
      <c r="H84" s="5056">
        <f>B40</f>
        <v>0</v>
      </c>
      <c r="I84" s="43">
        <f t="shared" si="18"/>
        <v>0</v>
      </c>
      <c r="J84" s="250">
        <f t="shared" si="19"/>
        <v>5</v>
      </c>
      <c r="K84" s="43"/>
      <c r="L84" s="43"/>
      <c r="M84" s="43"/>
      <c r="N84" s="46"/>
    </row>
    <row r="85" spans="7:14" x14ac:dyDescent="0.3">
      <c r="G85" s="44"/>
      <c r="H85" s="43"/>
      <c r="I85" s="43"/>
      <c r="J85" s="43"/>
      <c r="K85" s="174"/>
      <c r="L85" s="174"/>
      <c r="M85" s="174"/>
      <c r="N85" s="175"/>
    </row>
    <row r="86" spans="7:14" x14ac:dyDescent="0.3">
      <c r="G86" s="171" t="s">
        <v>855</v>
      </c>
      <c r="H86" s="172"/>
      <c r="I86" s="43"/>
      <c r="J86" s="43"/>
      <c r="K86" s="43"/>
      <c r="L86" s="43"/>
      <c r="M86" s="43"/>
      <c r="N86" s="46"/>
    </row>
    <row r="87" spans="7:14" x14ac:dyDescent="0.3">
      <c r="G87" s="5055" t="str">
        <f t="shared" ref="G87:G92" si="20">A35</f>
        <v xml:space="preserve">Ventes directes </v>
      </c>
      <c r="H87" s="5056" t="e">
        <f>#REF!</f>
        <v>#REF!</v>
      </c>
      <c r="I87" s="43"/>
      <c r="J87" s="251">
        <f t="shared" ref="J87:K91" si="21">D35</f>
        <v>0</v>
      </c>
      <c r="K87" s="43">
        <f t="shared" si="21"/>
        <v>0</v>
      </c>
      <c r="L87" s="43"/>
      <c r="M87" s="43"/>
      <c r="N87" s="46"/>
    </row>
    <row r="88" spans="7:14" x14ac:dyDescent="0.3">
      <c r="G88" s="5055" t="str">
        <f t="shared" si="20"/>
        <v xml:space="preserve">VARs / SS2I locales </v>
      </c>
      <c r="H88" s="5056" t="e">
        <f>#REF!</f>
        <v>#REF!</v>
      </c>
      <c r="I88" s="43"/>
      <c r="J88" s="251">
        <f t="shared" si="21"/>
        <v>1</v>
      </c>
      <c r="K88" s="43">
        <f t="shared" si="21"/>
        <v>0</v>
      </c>
      <c r="L88" s="43"/>
      <c r="M88" s="43"/>
      <c r="N88" s="46"/>
    </row>
    <row r="89" spans="7:14" x14ac:dyDescent="0.3">
      <c r="G89" s="5055" t="str">
        <f t="shared" si="20"/>
        <v>ESN ( SS2I )</v>
      </c>
      <c r="H89" s="5056">
        <f>B43</f>
        <v>0</v>
      </c>
      <c r="I89" s="43">
        <f>C43</f>
        <v>0</v>
      </c>
      <c r="J89" s="251">
        <f t="shared" si="21"/>
        <v>2</v>
      </c>
      <c r="K89" s="43">
        <f t="shared" si="21"/>
        <v>0</v>
      </c>
      <c r="L89" s="43"/>
      <c r="M89" s="43"/>
      <c r="N89" s="46"/>
    </row>
    <row r="90" spans="7:14" x14ac:dyDescent="0.3">
      <c r="G90" s="5055" t="str">
        <f t="shared" si="20"/>
        <v>Constructeurs Matériel</v>
      </c>
      <c r="H90" s="5056"/>
      <c r="I90" s="43">
        <f>C44</f>
        <v>0</v>
      </c>
      <c r="J90" s="251">
        <f t="shared" si="21"/>
        <v>3</v>
      </c>
      <c r="K90" s="178">
        <f t="shared" si="21"/>
        <v>0</v>
      </c>
      <c r="L90" s="43"/>
      <c r="M90" s="43"/>
      <c r="N90" s="46"/>
    </row>
    <row r="91" spans="7:14" x14ac:dyDescent="0.3">
      <c r="G91" s="5055" t="str">
        <f t="shared" si="20"/>
        <v>Editeurs de solutions complémentaires</v>
      </c>
      <c r="H91" s="5056">
        <f>B45</f>
        <v>0</v>
      </c>
      <c r="I91" s="43">
        <f>C45</f>
        <v>0</v>
      </c>
      <c r="J91" s="251">
        <f t="shared" si="21"/>
        <v>4</v>
      </c>
      <c r="K91" s="178">
        <f t="shared" si="21"/>
        <v>0</v>
      </c>
      <c r="L91" s="43"/>
      <c r="M91" s="43"/>
      <c r="N91" s="46"/>
    </row>
    <row r="92" spans="7:14" x14ac:dyDescent="0.3">
      <c r="G92" s="5055" t="str">
        <f t="shared" si="20"/>
        <v>Cabinets de conseil / Consultants</v>
      </c>
      <c r="H92" s="5056">
        <f>B46</f>
        <v>0</v>
      </c>
      <c r="I92" s="43">
        <f>C46</f>
        <v>0</v>
      </c>
      <c r="J92" s="251">
        <f>D40</f>
        <v>5</v>
      </c>
      <c r="K92" s="178"/>
      <c r="L92" s="43"/>
      <c r="M92" s="43"/>
      <c r="N92" s="46"/>
    </row>
    <row r="93" spans="7:14" x14ac:dyDescent="0.3">
      <c r="G93" s="1583"/>
      <c r="H93" s="1584"/>
      <c r="I93" s="43"/>
      <c r="J93" s="251"/>
      <c r="K93" s="178"/>
      <c r="L93" s="43"/>
      <c r="M93" s="43"/>
      <c r="N93" s="46"/>
    </row>
    <row r="94" spans="7:14" ht="13.5" thickBot="1" x14ac:dyDescent="0.35">
      <c r="G94" s="171" t="s">
        <v>781</v>
      </c>
      <c r="H94" s="172"/>
      <c r="I94" s="43"/>
      <c r="J94" s="43"/>
      <c r="K94" s="43"/>
      <c r="L94" s="43"/>
      <c r="M94" s="43"/>
      <c r="N94" s="46"/>
    </row>
    <row r="95" spans="7:14" ht="13.5" thickBot="1" x14ac:dyDescent="0.35">
      <c r="G95" s="44"/>
      <c r="H95" s="43"/>
      <c r="I95" s="43"/>
      <c r="J95" s="43"/>
      <c r="K95" s="173">
        <f>K75</f>
        <v>2017</v>
      </c>
      <c r="L95" s="173">
        <f>L75</f>
        <v>2018</v>
      </c>
      <c r="M95" s="173">
        <f>M75</f>
        <v>2019</v>
      </c>
      <c r="N95" s="173">
        <f>N75</f>
        <v>2020</v>
      </c>
    </row>
    <row r="96" spans="7:14" ht="15" thickTop="1" x14ac:dyDescent="0.35">
      <c r="G96" s="177" t="s">
        <v>782</v>
      </c>
      <c r="H96" s="43"/>
      <c r="I96" s="43"/>
      <c r="J96" s="43"/>
      <c r="K96" s="187">
        <f>G44</f>
        <v>0</v>
      </c>
      <c r="L96" s="187">
        <f>H44</f>
        <v>0</v>
      </c>
      <c r="M96" s="187">
        <f>I44</f>
        <v>0</v>
      </c>
      <c r="N96" s="187">
        <f>J44</f>
        <v>0</v>
      </c>
    </row>
    <row r="97" spans="7:14" x14ac:dyDescent="0.3">
      <c r="G97" s="179" t="s">
        <v>856</v>
      </c>
      <c r="H97" s="43"/>
      <c r="I97" s="43"/>
      <c r="J97" s="43"/>
      <c r="K97" s="252">
        <v>0.5</v>
      </c>
      <c r="L97" s="252">
        <v>0.4</v>
      </c>
      <c r="M97" s="252">
        <v>0.3</v>
      </c>
      <c r="N97" s="252">
        <v>0.2</v>
      </c>
    </row>
    <row r="98" spans="7:14" x14ac:dyDescent="0.3">
      <c r="G98" s="177" t="s">
        <v>1524</v>
      </c>
      <c r="H98" s="43"/>
      <c r="I98" s="43"/>
      <c r="J98" s="43"/>
      <c r="K98" s="1186">
        <f>K96/(100%-K97)</f>
        <v>0</v>
      </c>
      <c r="L98" s="1186">
        <f>L96/(100%-L97)</f>
        <v>0</v>
      </c>
      <c r="M98" s="1186">
        <f>M96/(100%-M97)</f>
        <v>0</v>
      </c>
      <c r="N98" s="1186">
        <f>N96/(100%-N97)</f>
        <v>0</v>
      </c>
    </row>
    <row r="99" spans="7:14" ht="13.5" thickBot="1" x14ac:dyDescent="0.35">
      <c r="G99" s="44"/>
      <c r="H99" s="43"/>
      <c r="I99" s="43"/>
      <c r="J99" s="43"/>
      <c r="K99" s="180"/>
      <c r="L99" s="180"/>
      <c r="M99" s="180"/>
      <c r="N99" s="188"/>
    </row>
    <row r="100" spans="7:14" x14ac:dyDescent="0.3">
      <c r="G100" s="44"/>
      <c r="H100" s="43"/>
      <c r="I100" s="43"/>
      <c r="J100" s="43"/>
      <c r="K100" s="43"/>
      <c r="L100" s="43"/>
      <c r="M100" s="43"/>
      <c r="N100" s="46"/>
    </row>
    <row r="101" spans="7:14" x14ac:dyDescent="0.3">
      <c r="G101" s="44"/>
      <c r="H101" s="43"/>
      <c r="I101" s="43"/>
      <c r="J101" s="43"/>
      <c r="K101" s="43"/>
      <c r="L101" s="43"/>
      <c r="M101" s="43"/>
      <c r="N101" s="46"/>
    </row>
    <row r="102" spans="7:14" x14ac:dyDescent="0.3">
      <c r="G102" s="44"/>
      <c r="H102" s="43"/>
      <c r="I102" s="43"/>
      <c r="J102" s="43"/>
      <c r="K102" s="43"/>
      <c r="L102" s="43"/>
      <c r="M102" s="43"/>
      <c r="N102" s="46"/>
    </row>
    <row r="103" spans="7:14" ht="13.5" thickBot="1" x14ac:dyDescent="0.35">
      <c r="G103" s="181"/>
      <c r="H103" s="182"/>
      <c r="I103" s="182"/>
      <c r="J103" s="182"/>
      <c r="K103" s="182"/>
      <c r="L103" s="182"/>
      <c r="M103" s="182"/>
      <c r="N103" s="183"/>
    </row>
    <row r="104" spans="7:14" x14ac:dyDescent="0.3">
      <c r="G104" s="40"/>
      <c r="H104" s="40"/>
      <c r="I104" s="40"/>
      <c r="J104" s="40"/>
      <c r="K104" s="40"/>
      <c r="L104" s="40"/>
      <c r="M104" s="40"/>
      <c r="N104" s="40"/>
    </row>
  </sheetData>
  <mergeCells count="94">
    <mergeCell ref="D3:G3"/>
    <mergeCell ref="D1:G1"/>
    <mergeCell ref="I1:J1"/>
    <mergeCell ref="L1:M1"/>
    <mergeCell ref="D2:G2"/>
    <mergeCell ref="I2:J2"/>
    <mergeCell ref="L2:M2"/>
    <mergeCell ref="A4:G4"/>
    <mergeCell ref="H4:P4"/>
    <mergeCell ref="A5:B5"/>
    <mergeCell ref="C5:P5"/>
    <mergeCell ref="A6:C6"/>
    <mergeCell ref="D6:E6"/>
    <mergeCell ref="A7:C7"/>
    <mergeCell ref="D7:E7"/>
    <mergeCell ref="A8:C8"/>
    <mergeCell ref="D8:E8"/>
    <mergeCell ref="A9:C9"/>
    <mergeCell ref="D9:E9"/>
    <mergeCell ref="M15:R15"/>
    <mergeCell ref="A10:C10"/>
    <mergeCell ref="D10:E10"/>
    <mergeCell ref="A11:C11"/>
    <mergeCell ref="D11:E11"/>
    <mergeCell ref="A12:C12"/>
    <mergeCell ref="D12:E12"/>
    <mergeCell ref="A13:C13"/>
    <mergeCell ref="D13:E13"/>
    <mergeCell ref="A14:C14"/>
    <mergeCell ref="D14:E14"/>
    <mergeCell ref="A15:K15"/>
    <mergeCell ref="C16:E16"/>
    <mergeCell ref="C17:E17"/>
    <mergeCell ref="A21:C21"/>
    <mergeCell ref="D21:E21"/>
    <mergeCell ref="A22:C22"/>
    <mergeCell ref="D22:E22"/>
    <mergeCell ref="A23:C23"/>
    <mergeCell ref="D23:E23"/>
    <mergeCell ref="A24:C24"/>
    <mergeCell ref="D24:E24"/>
    <mergeCell ref="A25:C25"/>
    <mergeCell ref="D25:E25"/>
    <mergeCell ref="A26:C26"/>
    <mergeCell ref="D26:E26"/>
    <mergeCell ref="A27:C27"/>
    <mergeCell ref="D27:E27"/>
    <mergeCell ref="A28:C28"/>
    <mergeCell ref="D28:E28"/>
    <mergeCell ref="A29:C29"/>
    <mergeCell ref="D29:E29"/>
    <mergeCell ref="A30:K30"/>
    <mergeCell ref="D31:E31"/>
    <mergeCell ref="A34:C34"/>
    <mergeCell ref="D34:E34"/>
    <mergeCell ref="A35:C35"/>
    <mergeCell ref="D35:E35"/>
    <mergeCell ref="A36:C36"/>
    <mergeCell ref="D36:E36"/>
    <mergeCell ref="A37:C37"/>
    <mergeCell ref="D37:E37"/>
    <mergeCell ref="B44:E44"/>
    <mergeCell ref="A38:C38"/>
    <mergeCell ref="D38:E38"/>
    <mergeCell ref="A39:C39"/>
    <mergeCell ref="D39:E39"/>
    <mergeCell ref="A40:C40"/>
    <mergeCell ref="D40:E40"/>
    <mergeCell ref="A41:C41"/>
    <mergeCell ref="D41:E41"/>
    <mergeCell ref="A42:C42"/>
    <mergeCell ref="D42:E42"/>
    <mergeCell ref="A43:K43"/>
    <mergeCell ref="G83:H83"/>
    <mergeCell ref="A50:K50"/>
    <mergeCell ref="M50:O50"/>
    <mergeCell ref="A51:K55"/>
    <mergeCell ref="M51:O55"/>
    <mergeCell ref="A57:K57"/>
    <mergeCell ref="A58:K63"/>
    <mergeCell ref="M58:O58"/>
    <mergeCell ref="M59:O63"/>
    <mergeCell ref="J73:L73"/>
    <mergeCell ref="G79:H79"/>
    <mergeCell ref="G80:H80"/>
    <mergeCell ref="G81:H81"/>
    <mergeCell ref="G82:H82"/>
    <mergeCell ref="G92:H92"/>
    <mergeCell ref="G84:H84"/>
    <mergeCell ref="G87:H87"/>
    <mergeCell ref="G88:H88"/>
    <mergeCell ref="G89:H89"/>
    <mergeCell ref="G90:H90"/>
    <mergeCell ref="G91:H9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A00-000000000000}">
      <formula1>AvancementTheme</formula1>
    </dataValidation>
  </dataValidations>
  <hyperlinks>
    <hyperlink ref="O1" location="DPDV_02DL1" display="PdV" xr:uid="{00000000-0004-0000-2A00-000000000000}"/>
    <hyperlink ref="P1" location="DKPI_02DL1" display="KPI's" xr:uid="{00000000-0004-0000-2A00-000001000000}"/>
  </hyperlinks>
  <pageMargins left="0.70866141732283472" right="0.70866141732283472" top="0.74803149606299213" bottom="0.74803149606299213" header="0.31496062992125984" footer="0.31496062992125984"/>
  <pageSetup paperSize="9" scale="42" orientation="portrait" r:id="rId1"/>
  <headerFooter>
    <oddHeader>&amp;LPAD Methodology (c) 2013-2014&amp;RStrategic Management Workshop</oddHeader>
    <oddFooter>&amp;L&amp;F&amp;C&amp;A&amp;RSituation au : &amp;D - page : &amp;P/&amp;N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30">
    <tabColor theme="2" tint="-0.249977111117893"/>
    <pageSetUpPr fitToPage="1"/>
  </sheetPr>
  <dimension ref="A1:V72"/>
  <sheetViews>
    <sheetView showGridLines="0" showRowColHeaders="0" zoomScaleNormal="100" workbookViewId="0">
      <pane ySplit="7" topLeftCell="A23" activePane="bottomLeft" state="frozen"/>
      <selection activeCell="C5" sqref="C5:P5"/>
      <selection pane="bottomLeft" activeCell="C5" sqref="C5:P5"/>
    </sheetView>
  </sheetViews>
  <sheetFormatPr baseColWidth="10" defaultColWidth="11.453125" defaultRowHeight="14.5" x14ac:dyDescent="0.35"/>
  <cols>
    <col min="1" max="3" width="11.453125" style="60"/>
    <col min="4" max="16" width="10.7265625" style="60" customWidth="1"/>
    <col min="17"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450" t="s">
        <v>2</v>
      </c>
      <c r="P1" s="450" t="s">
        <v>3</v>
      </c>
      <c r="Q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42428.93990740741</v>
      </c>
      <c r="M2" s="3348"/>
      <c r="N2" s="394"/>
      <c r="O2" s="451">
        <f>IF(LEN(DPDV_08SP)&gt;0,LEN(DPDV_08SP),0-PDV_NBmini)</f>
        <v>109</v>
      </c>
      <c r="P2" s="451">
        <f>IF(LEN(DKPI_08SP)&gt;0,LEN(DKPI_08SP),0-KPI_NBmini)</f>
        <v>63</v>
      </c>
      <c r="Q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112" t="str">
        <f>Parametre!B30 &amp; "   : "</f>
        <v xml:space="preserve">Proposition de valeur   : </v>
      </c>
      <c r="B4" s="5112"/>
      <c r="C4" s="5112"/>
      <c r="D4" s="5112"/>
      <c r="E4" s="5112"/>
      <c r="F4" s="5112"/>
      <c r="G4" s="5112"/>
      <c r="H4" s="5144" t="s">
        <v>312</v>
      </c>
      <c r="I4" s="5144"/>
      <c r="J4" s="5144"/>
      <c r="K4" s="5144"/>
      <c r="L4" s="5144"/>
      <c r="M4" s="5144"/>
      <c r="N4" s="5144"/>
      <c r="O4" s="5144"/>
      <c r="P4" s="5145"/>
      <c r="Q4" s="444"/>
    </row>
    <row r="5" spans="1:22" s="193" customFormat="1" ht="16" thickBot="1" x14ac:dyDescent="0.4">
      <c r="A5" s="5146" t="s">
        <v>14</v>
      </c>
      <c r="B5" s="5146"/>
      <c r="C5" s="4318" t="s">
        <v>2259</v>
      </c>
      <c r="D5" s="4318"/>
      <c r="E5" s="4318"/>
      <c r="F5" s="4318"/>
      <c r="G5" s="4318"/>
      <c r="H5" s="4318"/>
      <c r="I5" s="4318"/>
      <c r="J5" s="4318"/>
      <c r="K5" s="4318"/>
      <c r="L5" s="4318"/>
      <c r="M5" s="4318"/>
      <c r="N5" s="4318"/>
      <c r="O5" s="4318"/>
      <c r="P5" s="4318"/>
      <c r="Q5" s="460"/>
    </row>
    <row r="6" spans="1:22" s="106" customFormat="1" ht="15.75" customHeight="1" thickTop="1" x14ac:dyDescent="0.35">
      <c r="A6" s="5136" t="s">
        <v>629</v>
      </c>
      <c r="B6" s="5137"/>
      <c r="C6" s="5137"/>
      <c r="D6" s="5137"/>
      <c r="E6" s="5137"/>
      <c r="F6" s="5140" t="str">
        <f>NomProd1</f>
        <v>EQUINIX</v>
      </c>
      <c r="G6" s="5140"/>
      <c r="H6" s="5140" t="str">
        <f>NomProd2</f>
        <v>ASEMA</v>
      </c>
      <c r="I6" s="5140"/>
      <c r="J6" s="5140">
        <f>NomProd3</f>
        <v>0</v>
      </c>
      <c r="K6" s="5140"/>
      <c r="L6" s="5140" t="s">
        <v>18</v>
      </c>
      <c r="M6" s="5140"/>
      <c r="N6" s="5140"/>
      <c r="O6" s="5140"/>
      <c r="P6" s="5141"/>
      <c r="Q6" s="758"/>
    </row>
    <row r="7" spans="1:22" s="106" customFormat="1" ht="21.75" customHeight="1" x14ac:dyDescent="0.35">
      <c r="A7" s="5138"/>
      <c r="B7" s="5139"/>
      <c r="C7" s="5139"/>
      <c r="D7" s="5139"/>
      <c r="E7" s="5139"/>
      <c r="F7" s="5142" t="s">
        <v>16</v>
      </c>
      <c r="G7" s="5142"/>
      <c r="H7" s="5142" t="s">
        <v>16</v>
      </c>
      <c r="I7" s="5142"/>
      <c r="J7" s="5142" t="s">
        <v>16</v>
      </c>
      <c r="K7" s="5142"/>
      <c r="L7" s="5142"/>
      <c r="M7" s="5142"/>
      <c r="N7" s="5142"/>
      <c r="O7" s="5142"/>
      <c r="P7" s="5143"/>
      <c r="Q7" s="758"/>
    </row>
    <row r="8" spans="1:22" s="106" customFormat="1" ht="7.5" customHeight="1" x14ac:dyDescent="0.35">
      <c r="A8" s="5161"/>
      <c r="B8" s="5162"/>
      <c r="C8" s="5162"/>
      <c r="D8" s="5162"/>
      <c r="E8" s="5162"/>
      <c r="F8" s="5162"/>
      <c r="G8" s="5162"/>
      <c r="H8" s="5162"/>
      <c r="I8" s="5162"/>
      <c r="J8" s="5162"/>
      <c r="K8" s="5162"/>
      <c r="L8" s="5162"/>
      <c r="M8" s="5162"/>
      <c r="N8" s="5162"/>
      <c r="O8" s="5162"/>
      <c r="P8" s="5163"/>
      <c r="Q8" s="758"/>
    </row>
    <row r="9" spans="1:22" s="21" customFormat="1" ht="27.75" customHeight="1" x14ac:dyDescent="0.35">
      <c r="A9" s="5127" t="s">
        <v>893</v>
      </c>
      <c r="B9" s="5134"/>
      <c r="C9" s="5134"/>
      <c r="D9" s="5134"/>
      <c r="E9" s="5134"/>
      <c r="F9" s="5134"/>
      <c r="G9" s="5134"/>
      <c r="H9" s="5134"/>
      <c r="I9" s="5134"/>
      <c r="J9" s="5134"/>
      <c r="K9" s="5134"/>
      <c r="L9" s="5134"/>
      <c r="M9" s="5134"/>
      <c r="N9" s="5134"/>
      <c r="O9" s="5134"/>
      <c r="P9" s="5135"/>
      <c r="Q9" s="901"/>
    </row>
    <row r="10" spans="1:22" ht="46.5" customHeight="1" x14ac:dyDescent="0.35">
      <c r="A10" s="5110" t="s">
        <v>283</v>
      </c>
      <c r="B10" s="5111"/>
      <c r="C10" s="5111"/>
      <c r="D10" s="5111"/>
      <c r="E10" s="5111"/>
      <c r="F10" s="5105"/>
      <c r="G10" s="5105"/>
      <c r="H10" s="5105"/>
      <c r="I10" s="5105"/>
      <c r="J10" s="5105"/>
      <c r="K10" s="5105"/>
      <c r="L10" s="5106"/>
      <c r="M10" s="5106"/>
      <c r="N10" s="5106"/>
      <c r="O10" s="5106"/>
      <c r="P10" s="5107"/>
      <c r="Q10" s="64"/>
    </row>
    <row r="11" spans="1:22" ht="44.25" customHeight="1" x14ac:dyDescent="0.35">
      <c r="A11" s="5110" t="s">
        <v>284</v>
      </c>
      <c r="B11" s="5111"/>
      <c r="C11" s="5111"/>
      <c r="D11" s="5111"/>
      <c r="E11" s="5111"/>
      <c r="F11" s="5105"/>
      <c r="G11" s="5105"/>
      <c r="H11" s="5105"/>
      <c r="I11" s="5105"/>
      <c r="J11" s="5105"/>
      <c r="K11" s="5105"/>
      <c r="L11" s="5106"/>
      <c r="M11" s="5106"/>
      <c r="N11" s="5106"/>
      <c r="O11" s="5106"/>
      <c r="P11" s="5107"/>
      <c r="Q11" s="64"/>
    </row>
    <row r="12" spans="1:22" ht="32.15" customHeight="1" x14ac:dyDescent="0.35">
      <c r="A12" s="5110" t="s">
        <v>894</v>
      </c>
      <c r="B12" s="5111"/>
      <c r="C12" s="5111"/>
      <c r="D12" s="5111"/>
      <c r="E12" s="5111"/>
      <c r="F12" s="5105"/>
      <c r="G12" s="5105"/>
      <c r="H12" s="5105"/>
      <c r="I12" s="5105"/>
      <c r="J12" s="5105"/>
      <c r="K12" s="5105"/>
      <c r="L12" s="5106"/>
      <c r="M12" s="5106"/>
      <c r="N12" s="5106"/>
      <c r="O12" s="5106"/>
      <c r="P12" s="5107"/>
      <c r="Q12" s="64"/>
    </row>
    <row r="13" spans="1:22" ht="32.15" customHeight="1" x14ac:dyDescent="0.35">
      <c r="A13" s="5110" t="s">
        <v>895</v>
      </c>
      <c r="B13" s="5111"/>
      <c r="C13" s="5111"/>
      <c r="D13" s="5111"/>
      <c r="E13" s="5111"/>
      <c r="F13" s="5105"/>
      <c r="G13" s="5105"/>
      <c r="H13" s="5105"/>
      <c r="I13" s="5105"/>
      <c r="J13" s="5105"/>
      <c r="K13" s="5105"/>
      <c r="L13" s="5106"/>
      <c r="M13" s="5106"/>
      <c r="N13" s="5106"/>
      <c r="O13" s="5106"/>
      <c r="P13" s="5107"/>
      <c r="Q13" s="64"/>
    </row>
    <row r="14" spans="1:22" ht="32.15" customHeight="1" x14ac:dyDescent="0.35">
      <c r="A14" s="5110" t="s">
        <v>285</v>
      </c>
      <c r="B14" s="5111"/>
      <c r="C14" s="5111"/>
      <c r="D14" s="5111"/>
      <c r="E14" s="5111"/>
      <c r="F14" s="5105"/>
      <c r="G14" s="5105"/>
      <c r="H14" s="5105"/>
      <c r="I14" s="5105"/>
      <c r="J14" s="5105"/>
      <c r="K14" s="5105"/>
      <c r="L14" s="5106"/>
      <c r="M14" s="5106"/>
      <c r="N14" s="5106"/>
      <c r="O14" s="5106"/>
      <c r="P14" s="5107"/>
      <c r="Q14" s="64"/>
    </row>
    <row r="15" spans="1:22" ht="41.25" customHeight="1" x14ac:dyDescent="0.35">
      <c r="A15" s="5110" t="s">
        <v>286</v>
      </c>
      <c r="B15" s="5111"/>
      <c r="C15" s="5111"/>
      <c r="D15" s="5111"/>
      <c r="E15" s="5111"/>
      <c r="F15" s="5105"/>
      <c r="G15" s="5105"/>
      <c r="H15" s="5105"/>
      <c r="I15" s="5105"/>
      <c r="J15" s="5105"/>
      <c r="K15" s="5105"/>
      <c r="L15" s="5106"/>
      <c r="M15" s="5106"/>
      <c r="N15" s="5106"/>
      <c r="O15" s="5106"/>
      <c r="P15" s="5107"/>
      <c r="Q15" s="64"/>
    </row>
    <row r="16" spans="1:22" ht="32.15" customHeight="1" x14ac:dyDescent="0.35">
      <c r="A16" s="5110" t="s">
        <v>287</v>
      </c>
      <c r="B16" s="5111"/>
      <c r="C16" s="5111"/>
      <c r="D16" s="5111"/>
      <c r="E16" s="5111"/>
      <c r="F16" s="5105"/>
      <c r="G16" s="5105"/>
      <c r="H16" s="5105"/>
      <c r="I16" s="5105"/>
      <c r="J16" s="5105"/>
      <c r="K16" s="5105"/>
      <c r="L16" s="5106"/>
      <c r="M16" s="5106"/>
      <c r="N16" s="5106"/>
      <c r="O16" s="5106"/>
      <c r="P16" s="5107"/>
      <c r="Q16" s="64"/>
    </row>
    <row r="17" spans="1:17" ht="32.15" customHeight="1" x14ac:dyDescent="0.35">
      <c r="A17" s="5110" t="s">
        <v>288</v>
      </c>
      <c r="B17" s="5111"/>
      <c r="C17" s="5111"/>
      <c r="D17" s="5111"/>
      <c r="E17" s="5111"/>
      <c r="F17" s="5105"/>
      <c r="G17" s="5105"/>
      <c r="H17" s="5105"/>
      <c r="I17" s="5105"/>
      <c r="J17" s="5105"/>
      <c r="K17" s="5105"/>
      <c r="L17" s="5106"/>
      <c r="M17" s="5106"/>
      <c r="N17" s="5106"/>
      <c r="O17" s="5106"/>
      <c r="P17" s="5107"/>
      <c r="Q17" s="64"/>
    </row>
    <row r="18" spans="1:17" ht="35.25" customHeight="1" x14ac:dyDescent="0.35">
      <c r="A18" s="5110" t="s">
        <v>289</v>
      </c>
      <c r="B18" s="5111"/>
      <c r="C18" s="5111"/>
      <c r="D18" s="5111"/>
      <c r="E18" s="5111"/>
      <c r="F18" s="5105"/>
      <c r="G18" s="5105"/>
      <c r="H18" s="5105"/>
      <c r="I18" s="5105"/>
      <c r="J18" s="5105"/>
      <c r="K18" s="5105"/>
      <c r="L18" s="5106"/>
      <c r="M18" s="5106"/>
      <c r="N18" s="5106"/>
      <c r="O18" s="5106"/>
      <c r="P18" s="5107"/>
      <c r="Q18" s="64"/>
    </row>
    <row r="19" spans="1:17" ht="15" customHeight="1" x14ac:dyDescent="0.35">
      <c r="A19" s="5132"/>
      <c r="B19" s="5133"/>
      <c r="C19" s="5133"/>
      <c r="D19" s="5133"/>
      <c r="E19" s="5133"/>
      <c r="F19" s="5113"/>
      <c r="G19" s="5113"/>
      <c r="H19" s="5113"/>
      <c r="I19" s="5113"/>
      <c r="J19" s="5113"/>
      <c r="K19" s="5113"/>
      <c r="L19" s="5114"/>
      <c r="M19" s="5114"/>
      <c r="N19" s="5114"/>
      <c r="O19" s="5114"/>
      <c r="P19" s="5115"/>
      <c r="Q19" s="64"/>
    </row>
    <row r="20" spans="1:17" s="21" customFormat="1" ht="32.15" customHeight="1" x14ac:dyDescent="0.35">
      <c r="A20" s="5127" t="s">
        <v>630</v>
      </c>
      <c r="B20" s="5119"/>
      <c r="C20" s="5119"/>
      <c r="D20" s="5119"/>
      <c r="E20" s="5119"/>
      <c r="F20" s="5119"/>
      <c r="G20" s="5119"/>
      <c r="H20" s="5119"/>
      <c r="I20" s="5119"/>
      <c r="J20" s="5119"/>
      <c r="K20" s="5119"/>
      <c r="L20" s="5119"/>
      <c r="M20" s="5119"/>
      <c r="N20" s="5119"/>
      <c r="O20" s="5119"/>
      <c r="P20" s="5120"/>
      <c r="Q20" s="901"/>
    </row>
    <row r="21" spans="1:17" ht="32.15" customHeight="1" x14ac:dyDescent="0.35">
      <c r="A21" s="5128" t="s">
        <v>290</v>
      </c>
      <c r="B21" s="5129"/>
      <c r="C21" s="5129"/>
      <c r="D21" s="5129"/>
      <c r="E21" s="5129"/>
      <c r="F21" s="5105"/>
      <c r="G21" s="5105"/>
      <c r="H21" s="5105"/>
      <c r="I21" s="5105"/>
      <c r="J21" s="5105"/>
      <c r="K21" s="5105"/>
      <c r="L21" s="5106"/>
      <c r="M21" s="5106"/>
      <c r="N21" s="5106"/>
      <c r="O21" s="5106"/>
      <c r="P21" s="5107"/>
      <c r="Q21" s="64"/>
    </row>
    <row r="22" spans="1:17" ht="32.15" customHeight="1" x14ac:dyDescent="0.35">
      <c r="A22" s="5128" t="s">
        <v>631</v>
      </c>
      <c r="B22" s="5129"/>
      <c r="C22" s="5129"/>
      <c r="D22" s="5129"/>
      <c r="E22" s="5129"/>
      <c r="F22" s="5105"/>
      <c r="G22" s="5105"/>
      <c r="H22" s="5105"/>
      <c r="I22" s="5105"/>
      <c r="J22" s="5105"/>
      <c r="K22" s="5105"/>
      <c r="L22" s="5106"/>
      <c r="M22" s="5106"/>
      <c r="N22" s="5106"/>
      <c r="O22" s="5106"/>
      <c r="P22" s="5107"/>
      <c r="Q22" s="64"/>
    </row>
    <row r="23" spans="1:17" ht="32.15" customHeight="1" x14ac:dyDescent="0.35">
      <c r="A23" s="5128" t="s">
        <v>291</v>
      </c>
      <c r="B23" s="5129"/>
      <c r="C23" s="5129"/>
      <c r="D23" s="5129"/>
      <c r="E23" s="5129"/>
      <c r="F23" s="5105"/>
      <c r="G23" s="5105"/>
      <c r="H23" s="5105"/>
      <c r="I23" s="5105"/>
      <c r="J23" s="5105"/>
      <c r="K23" s="5105"/>
      <c r="L23" s="5106"/>
      <c r="M23" s="5106"/>
      <c r="N23" s="5106"/>
      <c r="O23" s="5106"/>
      <c r="P23" s="5107"/>
      <c r="Q23" s="64"/>
    </row>
    <row r="24" spans="1:17" ht="32.15" customHeight="1" x14ac:dyDescent="0.35">
      <c r="A24" s="5128" t="s">
        <v>292</v>
      </c>
      <c r="B24" s="5129"/>
      <c r="C24" s="5129"/>
      <c r="D24" s="5129"/>
      <c r="E24" s="5129"/>
      <c r="F24" s="5105"/>
      <c r="G24" s="5105"/>
      <c r="H24" s="5105"/>
      <c r="I24" s="5105"/>
      <c r="J24" s="5105"/>
      <c r="K24" s="5105"/>
      <c r="L24" s="5106"/>
      <c r="M24" s="5106"/>
      <c r="N24" s="5106"/>
      <c r="O24" s="5106"/>
      <c r="P24" s="5107"/>
      <c r="Q24" s="64"/>
    </row>
    <row r="25" spans="1:17" ht="32.15" customHeight="1" x14ac:dyDescent="0.35">
      <c r="A25" s="5128" t="s">
        <v>293</v>
      </c>
      <c r="B25" s="5129"/>
      <c r="C25" s="5129"/>
      <c r="D25" s="5129"/>
      <c r="E25" s="5129"/>
      <c r="F25" s="5105"/>
      <c r="G25" s="5105"/>
      <c r="H25" s="5105"/>
      <c r="I25" s="5105"/>
      <c r="J25" s="5105"/>
      <c r="K25" s="5105"/>
      <c r="L25" s="5106"/>
      <c r="M25" s="5106"/>
      <c r="N25" s="5106"/>
      <c r="O25" s="5106"/>
      <c r="P25" s="5107"/>
      <c r="Q25" s="64"/>
    </row>
    <row r="26" spans="1:17" ht="32.15" customHeight="1" x14ac:dyDescent="0.35">
      <c r="A26" s="5128" t="s">
        <v>294</v>
      </c>
      <c r="B26" s="5129"/>
      <c r="C26" s="5129"/>
      <c r="D26" s="5129"/>
      <c r="E26" s="5129"/>
      <c r="F26" s="5105"/>
      <c r="G26" s="5105"/>
      <c r="H26" s="5105"/>
      <c r="I26" s="5105"/>
      <c r="J26" s="5105"/>
      <c r="K26" s="5105"/>
      <c r="L26" s="5106"/>
      <c r="M26" s="5106"/>
      <c r="N26" s="5106"/>
      <c r="O26" s="5106"/>
      <c r="P26" s="5107"/>
      <c r="Q26" s="64"/>
    </row>
    <row r="27" spans="1:17" ht="15" customHeight="1" x14ac:dyDescent="0.35">
      <c r="A27" s="5130"/>
      <c r="B27" s="5131"/>
      <c r="C27" s="5131"/>
      <c r="D27" s="5131"/>
      <c r="E27" s="5131"/>
      <c r="F27" s="5113"/>
      <c r="G27" s="5113"/>
      <c r="H27" s="5113"/>
      <c r="I27" s="5113"/>
      <c r="J27" s="5113"/>
      <c r="K27" s="5113"/>
      <c r="L27" s="5114"/>
      <c r="M27" s="5114"/>
      <c r="N27" s="5114"/>
      <c r="O27" s="5114"/>
      <c r="P27" s="5115"/>
      <c r="Q27" s="64"/>
    </row>
    <row r="28" spans="1:17" s="21" customFormat="1" ht="32.15" customHeight="1" x14ac:dyDescent="0.35">
      <c r="A28" s="5127" t="s">
        <v>302</v>
      </c>
      <c r="B28" s="5119"/>
      <c r="C28" s="5119"/>
      <c r="D28" s="5119"/>
      <c r="E28" s="5119"/>
      <c r="F28" s="5119"/>
      <c r="G28" s="5119"/>
      <c r="H28" s="5119"/>
      <c r="I28" s="5119"/>
      <c r="J28" s="5119"/>
      <c r="K28" s="5119"/>
      <c r="L28" s="5119"/>
      <c r="M28" s="5119"/>
      <c r="N28" s="5119"/>
      <c r="O28" s="5119"/>
      <c r="P28" s="5120"/>
      <c r="Q28" s="901"/>
    </row>
    <row r="29" spans="1:17" s="21" customFormat="1" ht="32.15" customHeight="1" x14ac:dyDescent="0.35">
      <c r="A29" s="5110" t="s">
        <v>634</v>
      </c>
      <c r="B29" s="5111"/>
      <c r="C29" s="5111"/>
      <c r="D29" s="5111"/>
      <c r="E29" s="5111"/>
      <c r="F29" s="5105"/>
      <c r="G29" s="5105"/>
      <c r="H29" s="5105"/>
      <c r="I29" s="5105"/>
      <c r="J29" s="5105"/>
      <c r="K29" s="5105"/>
      <c r="L29" s="5106"/>
      <c r="M29" s="5106"/>
      <c r="N29" s="5106"/>
      <c r="O29" s="5106"/>
      <c r="P29" s="5107"/>
      <c r="Q29" s="901"/>
    </row>
    <row r="30" spans="1:17" ht="32.15" customHeight="1" x14ac:dyDescent="0.35">
      <c r="A30" s="5110" t="s">
        <v>632</v>
      </c>
      <c r="B30" s="5111"/>
      <c r="C30" s="5111"/>
      <c r="D30" s="5111"/>
      <c r="E30" s="5111"/>
      <c r="F30" s="5105"/>
      <c r="G30" s="5105"/>
      <c r="H30" s="5105"/>
      <c r="I30" s="5105"/>
      <c r="J30" s="5105"/>
      <c r="K30" s="5105"/>
      <c r="L30" s="5106"/>
      <c r="M30" s="5106"/>
      <c r="N30" s="5106"/>
      <c r="O30" s="5106"/>
      <c r="P30" s="5107"/>
      <c r="Q30" s="64"/>
    </row>
    <row r="31" spans="1:17" ht="32.15" customHeight="1" x14ac:dyDescent="0.35">
      <c r="A31" s="5110" t="s">
        <v>1090</v>
      </c>
      <c r="B31" s="5111"/>
      <c r="C31" s="5111"/>
      <c r="D31" s="5111"/>
      <c r="E31" s="5111"/>
      <c r="F31" s="5105"/>
      <c r="G31" s="5105"/>
      <c r="H31" s="5105"/>
      <c r="I31" s="5105"/>
      <c r="J31" s="5105"/>
      <c r="K31" s="5105"/>
      <c r="L31" s="5106"/>
      <c r="M31" s="5106"/>
      <c r="N31" s="5106"/>
      <c r="O31" s="5106"/>
      <c r="P31" s="5107"/>
      <c r="Q31" s="64"/>
    </row>
    <row r="32" spans="1:17" ht="32.15" customHeight="1" x14ac:dyDescent="0.35">
      <c r="A32" s="5110" t="s">
        <v>295</v>
      </c>
      <c r="B32" s="5111"/>
      <c r="C32" s="5111"/>
      <c r="D32" s="5111"/>
      <c r="E32" s="5111"/>
      <c r="F32" s="5105"/>
      <c r="G32" s="5105"/>
      <c r="H32" s="5105"/>
      <c r="I32" s="5105"/>
      <c r="J32" s="5105"/>
      <c r="K32" s="5105"/>
      <c r="L32" s="5106"/>
      <c r="M32" s="5106"/>
      <c r="N32" s="5106"/>
      <c r="O32" s="5106"/>
      <c r="P32" s="5107"/>
      <c r="Q32" s="64"/>
    </row>
    <row r="33" spans="1:17" ht="32.15" customHeight="1" x14ac:dyDescent="0.35">
      <c r="A33" s="5110" t="s">
        <v>296</v>
      </c>
      <c r="B33" s="5111"/>
      <c r="C33" s="5111"/>
      <c r="D33" s="5111"/>
      <c r="E33" s="5111"/>
      <c r="F33" s="5105"/>
      <c r="G33" s="5105"/>
      <c r="H33" s="5105"/>
      <c r="I33" s="5105"/>
      <c r="J33" s="5105"/>
      <c r="K33" s="5105"/>
      <c r="L33" s="5106"/>
      <c r="M33" s="5106"/>
      <c r="N33" s="5106"/>
      <c r="O33" s="5106"/>
      <c r="P33" s="5107"/>
      <c r="Q33" s="64"/>
    </row>
    <row r="34" spans="1:17" ht="32.15" customHeight="1" x14ac:dyDescent="0.35">
      <c r="A34" s="5110" t="s">
        <v>297</v>
      </c>
      <c r="B34" s="5111"/>
      <c r="C34" s="5111"/>
      <c r="D34" s="5111"/>
      <c r="E34" s="5111"/>
      <c r="F34" s="5105"/>
      <c r="G34" s="5105"/>
      <c r="H34" s="5105"/>
      <c r="I34" s="5105"/>
      <c r="J34" s="5105"/>
      <c r="K34" s="5105"/>
      <c r="L34" s="5106"/>
      <c r="M34" s="5106"/>
      <c r="N34" s="5106"/>
      <c r="O34" s="5106"/>
      <c r="P34" s="5107"/>
      <c r="Q34" s="64"/>
    </row>
    <row r="35" spans="1:17" ht="32.15" customHeight="1" x14ac:dyDescent="0.35">
      <c r="A35" s="5110" t="s">
        <v>298</v>
      </c>
      <c r="B35" s="5111"/>
      <c r="C35" s="5111"/>
      <c r="D35" s="5111"/>
      <c r="E35" s="5111"/>
      <c r="F35" s="5105"/>
      <c r="G35" s="5105"/>
      <c r="H35" s="5105"/>
      <c r="I35" s="5105"/>
      <c r="J35" s="5105"/>
      <c r="K35" s="5105"/>
      <c r="L35" s="5106"/>
      <c r="M35" s="5106"/>
      <c r="N35" s="5106"/>
      <c r="O35" s="5106"/>
      <c r="P35" s="5107"/>
      <c r="Q35" s="64"/>
    </row>
    <row r="36" spans="1:17" ht="32.15" customHeight="1" x14ac:dyDescent="0.35">
      <c r="A36" s="5110" t="s">
        <v>299</v>
      </c>
      <c r="B36" s="5111"/>
      <c r="C36" s="5111"/>
      <c r="D36" s="5111"/>
      <c r="E36" s="5111"/>
      <c r="F36" s="5105"/>
      <c r="G36" s="5105"/>
      <c r="H36" s="5105"/>
      <c r="I36" s="5105"/>
      <c r="J36" s="5105"/>
      <c r="K36" s="5105"/>
      <c r="L36" s="5106"/>
      <c r="M36" s="5106"/>
      <c r="N36" s="5106"/>
      <c r="O36" s="5106"/>
      <c r="P36" s="5107"/>
      <c r="Q36" s="64"/>
    </row>
    <row r="37" spans="1:17" ht="32.15" customHeight="1" x14ac:dyDescent="0.35">
      <c r="A37" s="5110" t="s">
        <v>300</v>
      </c>
      <c r="B37" s="5111"/>
      <c r="C37" s="5111"/>
      <c r="D37" s="5111"/>
      <c r="E37" s="5111"/>
      <c r="F37" s="5105"/>
      <c r="G37" s="5105"/>
      <c r="H37" s="5105"/>
      <c r="I37" s="5105"/>
      <c r="J37" s="5105"/>
      <c r="K37" s="5105"/>
      <c r="L37" s="5106"/>
      <c r="M37" s="5106"/>
      <c r="N37" s="5106"/>
      <c r="O37" s="5106"/>
      <c r="P37" s="5107"/>
      <c r="Q37" s="64"/>
    </row>
    <row r="38" spans="1:17" ht="32.15" customHeight="1" x14ac:dyDescent="0.35">
      <c r="A38" s="5110" t="s">
        <v>301</v>
      </c>
      <c r="B38" s="5111"/>
      <c r="C38" s="5111"/>
      <c r="D38" s="5111"/>
      <c r="E38" s="5111"/>
      <c r="F38" s="5105"/>
      <c r="G38" s="5105"/>
      <c r="H38" s="5105"/>
      <c r="I38" s="5105"/>
      <c r="J38" s="5105"/>
      <c r="K38" s="5105"/>
      <c r="L38" s="5106"/>
      <c r="M38" s="5106"/>
      <c r="N38" s="5106"/>
      <c r="O38" s="5106"/>
      <c r="P38" s="5107"/>
      <c r="Q38" s="64"/>
    </row>
    <row r="39" spans="1:17" ht="15" customHeight="1" x14ac:dyDescent="0.35">
      <c r="A39" s="5121"/>
      <c r="B39" s="5122"/>
      <c r="C39" s="5122"/>
      <c r="D39" s="5122"/>
      <c r="E39" s="5122"/>
      <c r="F39" s="5113"/>
      <c r="G39" s="5113"/>
      <c r="H39" s="5113"/>
      <c r="I39" s="5113"/>
      <c r="J39" s="5113"/>
      <c r="K39" s="5113"/>
      <c r="L39" s="5114"/>
      <c r="M39" s="5114"/>
      <c r="N39" s="5114"/>
      <c r="O39" s="5114"/>
      <c r="P39" s="5115"/>
      <c r="Q39" s="64"/>
    </row>
    <row r="40" spans="1:17" s="21" customFormat="1" ht="32.15" customHeight="1" x14ac:dyDescent="0.35">
      <c r="A40" s="5127" t="s">
        <v>306</v>
      </c>
      <c r="B40" s="5119"/>
      <c r="C40" s="5119"/>
      <c r="D40" s="5119"/>
      <c r="E40" s="5119"/>
      <c r="F40" s="5119"/>
      <c r="G40" s="5119"/>
      <c r="H40" s="5119"/>
      <c r="I40" s="5119"/>
      <c r="J40" s="5119"/>
      <c r="K40" s="5119"/>
      <c r="L40" s="5119"/>
      <c r="M40" s="5119"/>
      <c r="N40" s="5119"/>
      <c r="O40" s="5119"/>
      <c r="P40" s="5120"/>
      <c r="Q40" s="901"/>
    </row>
    <row r="41" spans="1:17" ht="42" customHeight="1" x14ac:dyDescent="0.35">
      <c r="A41" s="5110" t="s">
        <v>633</v>
      </c>
      <c r="B41" s="5111"/>
      <c r="C41" s="5111"/>
      <c r="D41" s="5111"/>
      <c r="E41" s="5111"/>
      <c r="F41" s="5105"/>
      <c r="G41" s="5105"/>
      <c r="H41" s="5105"/>
      <c r="I41" s="5105"/>
      <c r="J41" s="5105"/>
      <c r="K41" s="5105"/>
      <c r="L41" s="5106"/>
      <c r="M41" s="5106"/>
      <c r="N41" s="5106"/>
      <c r="O41" s="5106"/>
      <c r="P41" s="5107"/>
      <c r="Q41" s="64"/>
    </row>
    <row r="42" spans="1:17" ht="32.15" customHeight="1" x14ac:dyDescent="0.35">
      <c r="A42" s="5110" t="s">
        <v>303</v>
      </c>
      <c r="B42" s="5111"/>
      <c r="C42" s="5111"/>
      <c r="D42" s="5111"/>
      <c r="E42" s="5111"/>
      <c r="F42" s="5105"/>
      <c r="G42" s="5105"/>
      <c r="H42" s="5105"/>
      <c r="I42" s="5105"/>
      <c r="J42" s="5105"/>
      <c r="K42" s="5105"/>
      <c r="L42" s="5106"/>
      <c r="M42" s="5106"/>
      <c r="N42" s="5106"/>
      <c r="O42" s="5106"/>
      <c r="P42" s="5107"/>
      <c r="Q42" s="64"/>
    </row>
    <row r="43" spans="1:17" ht="32.15" customHeight="1" x14ac:dyDescent="0.35">
      <c r="A43" s="5110" t="s">
        <v>304</v>
      </c>
      <c r="B43" s="5111"/>
      <c r="C43" s="5111"/>
      <c r="D43" s="5111"/>
      <c r="E43" s="5111"/>
      <c r="F43" s="5105"/>
      <c r="G43" s="5105"/>
      <c r="H43" s="5105"/>
      <c r="I43" s="5105"/>
      <c r="J43" s="5105"/>
      <c r="K43" s="5105"/>
      <c r="L43" s="5106"/>
      <c r="M43" s="5106"/>
      <c r="N43" s="5106"/>
      <c r="O43" s="5106"/>
      <c r="P43" s="5107"/>
      <c r="Q43" s="64"/>
    </row>
    <row r="44" spans="1:17" ht="32.15" customHeight="1" x14ac:dyDescent="0.35">
      <c r="A44" s="5110" t="s">
        <v>305</v>
      </c>
      <c r="B44" s="5111"/>
      <c r="C44" s="5111"/>
      <c r="D44" s="5111"/>
      <c r="E44" s="5111"/>
      <c r="F44" s="5105"/>
      <c r="G44" s="5105"/>
      <c r="H44" s="5105"/>
      <c r="I44" s="5105"/>
      <c r="J44" s="5105"/>
      <c r="K44" s="5105"/>
      <c r="L44" s="5106"/>
      <c r="M44" s="5106"/>
      <c r="N44" s="5106"/>
      <c r="O44" s="5106"/>
      <c r="P44" s="5107"/>
      <c r="Q44" s="64"/>
    </row>
    <row r="45" spans="1:17" ht="15" customHeight="1" x14ac:dyDescent="0.35">
      <c r="A45" s="5116"/>
      <c r="B45" s="5117"/>
      <c r="C45" s="5117"/>
      <c r="D45" s="5117"/>
      <c r="E45" s="5117"/>
      <c r="F45" s="5113"/>
      <c r="G45" s="5113"/>
      <c r="H45" s="5113"/>
      <c r="I45" s="5113"/>
      <c r="J45" s="5113"/>
      <c r="K45" s="5113"/>
      <c r="L45" s="5114"/>
      <c r="M45" s="5114"/>
      <c r="N45" s="5114"/>
      <c r="O45" s="5114"/>
      <c r="P45" s="5115"/>
      <c r="Q45" s="64"/>
    </row>
    <row r="46" spans="1:17" s="21" customFormat="1" ht="32.15" customHeight="1" x14ac:dyDescent="0.35">
      <c r="A46" s="5118" t="s">
        <v>307</v>
      </c>
      <c r="B46" s="5119"/>
      <c r="C46" s="5119"/>
      <c r="D46" s="5119"/>
      <c r="E46" s="5119"/>
      <c r="F46" s="5119"/>
      <c r="G46" s="5119"/>
      <c r="H46" s="5119"/>
      <c r="I46" s="5119"/>
      <c r="J46" s="5119"/>
      <c r="K46" s="5119"/>
      <c r="L46" s="5119"/>
      <c r="M46" s="5119"/>
      <c r="N46" s="5119"/>
      <c r="O46" s="5119"/>
      <c r="P46" s="5120"/>
      <c r="Q46" s="901"/>
    </row>
    <row r="47" spans="1:17" ht="42" customHeight="1" x14ac:dyDescent="0.35">
      <c r="A47" s="5110" t="s">
        <v>308</v>
      </c>
      <c r="B47" s="5111"/>
      <c r="C47" s="5111"/>
      <c r="D47" s="5111"/>
      <c r="E47" s="5111"/>
      <c r="F47" s="5105"/>
      <c r="G47" s="5105"/>
      <c r="H47" s="5105"/>
      <c r="I47" s="5105"/>
      <c r="J47" s="5105"/>
      <c r="K47" s="5105"/>
      <c r="L47" s="5106"/>
      <c r="M47" s="5106"/>
      <c r="N47" s="5106"/>
      <c r="O47" s="5106"/>
      <c r="P47" s="5107"/>
      <c r="Q47" s="64"/>
    </row>
    <row r="48" spans="1:17" ht="58.5" customHeight="1" x14ac:dyDescent="0.35">
      <c r="A48" s="5110" t="s">
        <v>309</v>
      </c>
      <c r="B48" s="5111"/>
      <c r="C48" s="5111"/>
      <c r="D48" s="5111"/>
      <c r="E48" s="5111"/>
      <c r="F48" s="5105"/>
      <c r="G48" s="5105"/>
      <c r="H48" s="5105"/>
      <c r="I48" s="5105"/>
      <c r="J48" s="5105"/>
      <c r="K48" s="5105"/>
      <c r="L48" s="5106"/>
      <c r="M48" s="5106"/>
      <c r="N48" s="5106"/>
      <c r="O48" s="5106"/>
      <c r="P48" s="5107"/>
      <c r="Q48" s="64"/>
    </row>
    <row r="49" spans="1:17" ht="42.75" customHeight="1" x14ac:dyDescent="0.35">
      <c r="A49" s="5110" t="s">
        <v>305</v>
      </c>
      <c r="B49" s="5111"/>
      <c r="C49" s="5111"/>
      <c r="D49" s="5111"/>
      <c r="E49" s="5111"/>
      <c r="F49" s="5105"/>
      <c r="G49" s="5105"/>
      <c r="H49" s="5105"/>
      <c r="I49" s="5105"/>
      <c r="J49" s="5105"/>
      <c r="K49" s="5105"/>
      <c r="L49" s="5106"/>
      <c r="M49" s="5106"/>
      <c r="N49" s="5106"/>
      <c r="O49" s="5106"/>
      <c r="P49" s="5107"/>
      <c r="Q49" s="64"/>
    </row>
    <row r="50" spans="1:17" ht="15" customHeight="1" x14ac:dyDescent="0.35">
      <c r="A50" s="5116"/>
      <c r="B50" s="5126"/>
      <c r="C50" s="5126"/>
      <c r="D50" s="5126"/>
      <c r="E50" s="5126"/>
      <c r="F50" s="5113"/>
      <c r="G50" s="5113"/>
      <c r="H50" s="5113"/>
      <c r="I50" s="5113"/>
      <c r="J50" s="5113"/>
      <c r="K50" s="5113"/>
      <c r="L50" s="5114"/>
      <c r="M50" s="5114"/>
      <c r="N50" s="5114"/>
      <c r="O50" s="5114"/>
      <c r="P50" s="5115"/>
      <c r="Q50" s="64"/>
    </row>
    <row r="51" spans="1:17" s="21" customFormat="1" ht="32.15" customHeight="1" x14ac:dyDescent="0.35">
      <c r="A51" s="5118" t="s">
        <v>130</v>
      </c>
      <c r="B51" s="5119"/>
      <c r="C51" s="5119"/>
      <c r="D51" s="5119"/>
      <c r="E51" s="5119"/>
      <c r="F51" s="5119"/>
      <c r="G51" s="5119"/>
      <c r="H51" s="5119"/>
      <c r="I51" s="5119"/>
      <c r="J51" s="5119"/>
      <c r="K51" s="5119"/>
      <c r="L51" s="5119"/>
      <c r="M51" s="5119"/>
      <c r="N51" s="5119"/>
      <c r="O51" s="5119"/>
      <c r="P51" s="5120"/>
      <c r="Q51" s="901"/>
    </row>
    <row r="52" spans="1:17" ht="32.15" customHeight="1" x14ac:dyDescent="0.35">
      <c r="A52" s="5110" t="s">
        <v>310</v>
      </c>
      <c r="B52" s="5111"/>
      <c r="C52" s="5111"/>
      <c r="D52" s="5111"/>
      <c r="E52" s="5111"/>
      <c r="F52" s="5105"/>
      <c r="G52" s="5105"/>
      <c r="H52" s="5105"/>
      <c r="I52" s="5105"/>
      <c r="J52" s="5105"/>
      <c r="K52" s="5105"/>
      <c r="L52" s="5106"/>
      <c r="M52" s="5106"/>
      <c r="N52" s="5106"/>
      <c r="O52" s="5106"/>
      <c r="P52" s="5107"/>
      <c r="Q52" s="64"/>
    </row>
    <row r="53" spans="1:17" ht="32.15" customHeight="1" x14ac:dyDescent="0.35">
      <c r="A53" s="5110" t="s">
        <v>246</v>
      </c>
      <c r="B53" s="5111"/>
      <c r="C53" s="5111"/>
      <c r="D53" s="5111"/>
      <c r="E53" s="5111"/>
      <c r="F53" s="5105"/>
      <c r="G53" s="5105"/>
      <c r="H53" s="5105"/>
      <c r="I53" s="5105"/>
      <c r="J53" s="5105"/>
      <c r="K53" s="5105"/>
      <c r="L53" s="5106"/>
      <c r="M53" s="5106"/>
      <c r="N53" s="5106"/>
      <c r="O53" s="5106"/>
      <c r="P53" s="5107"/>
      <c r="Q53" s="64"/>
    </row>
    <row r="54" spans="1:17" ht="32.15" customHeight="1" x14ac:dyDescent="0.35">
      <c r="A54" s="5110" t="s">
        <v>311</v>
      </c>
      <c r="B54" s="5111"/>
      <c r="C54" s="5111"/>
      <c r="D54" s="5111"/>
      <c r="E54" s="5111"/>
      <c r="F54" s="5105"/>
      <c r="G54" s="5105"/>
      <c r="H54" s="5105"/>
      <c r="I54" s="5105"/>
      <c r="J54" s="5105"/>
      <c r="K54" s="5105"/>
      <c r="L54" s="5106"/>
      <c r="M54" s="5106"/>
      <c r="N54" s="5106"/>
      <c r="O54" s="5106"/>
      <c r="P54" s="5107"/>
      <c r="Q54" s="64"/>
    </row>
    <row r="55" spans="1:17" ht="15" customHeight="1" thickBot="1" x14ac:dyDescent="0.4">
      <c r="A55" s="5123"/>
      <c r="B55" s="5124"/>
      <c r="C55" s="5124"/>
      <c r="D55" s="5124"/>
      <c r="E55" s="5124"/>
      <c r="F55" s="5125"/>
      <c r="G55" s="5125"/>
      <c r="H55" s="5125"/>
      <c r="I55" s="5125"/>
      <c r="J55" s="5125"/>
      <c r="K55" s="5125"/>
      <c r="L55" s="5108"/>
      <c r="M55" s="5108"/>
      <c r="N55" s="5108"/>
      <c r="O55" s="5108"/>
      <c r="P55" s="5109"/>
      <c r="Q55" s="64"/>
    </row>
    <row r="56" spans="1:17" ht="13.5" customHeight="1" thickTop="1" x14ac:dyDescent="0.35">
      <c r="A56" s="902"/>
      <c r="B56" s="764"/>
      <c r="C56" s="764"/>
      <c r="D56" s="764"/>
      <c r="E56" s="764"/>
      <c r="F56" s="461"/>
      <c r="G56" s="461"/>
      <c r="H56" s="461"/>
      <c r="I56" s="461"/>
      <c r="J56" s="461"/>
      <c r="K56" s="461"/>
      <c r="L56" s="461"/>
      <c r="M56" s="461"/>
      <c r="N56" s="461"/>
      <c r="O56" s="461"/>
      <c r="P56" s="461"/>
      <c r="Q56" s="64"/>
    </row>
    <row r="57" spans="1:17" ht="15" thickBot="1" x14ac:dyDescent="0.4">
      <c r="A57" s="64"/>
      <c r="B57" s="64"/>
      <c r="C57" s="64"/>
      <c r="D57" s="64"/>
      <c r="E57" s="64"/>
      <c r="F57" s="64"/>
      <c r="G57" s="64"/>
      <c r="H57" s="64"/>
      <c r="I57" s="64"/>
      <c r="J57" s="64"/>
      <c r="K57" s="64"/>
      <c r="L57" s="64"/>
      <c r="M57" s="64"/>
      <c r="N57" s="64"/>
      <c r="O57" s="64"/>
      <c r="P57" s="64"/>
      <c r="Q57" s="64"/>
    </row>
    <row r="58" spans="1:17" ht="19.5" thickTop="1" thickBot="1" x14ac:dyDescent="0.4">
      <c r="A58" s="5147" t="s">
        <v>10</v>
      </c>
      <c r="B58" s="5148"/>
      <c r="C58" s="5148"/>
      <c r="D58" s="5148"/>
      <c r="E58" s="5148"/>
      <c r="F58" s="5148"/>
      <c r="G58" s="5148"/>
      <c r="H58" s="5148"/>
      <c r="I58" s="5148"/>
      <c r="J58" s="5148"/>
      <c r="K58" s="5149"/>
      <c r="L58" s="157"/>
      <c r="M58" s="3725" t="s">
        <v>748</v>
      </c>
      <c r="N58" s="3726"/>
      <c r="O58" s="3727"/>
      <c r="P58" s="31"/>
      <c r="Q58" s="64"/>
    </row>
    <row r="59" spans="1:17" ht="20.25" customHeight="1" x14ac:dyDescent="0.35">
      <c r="A59" s="5150" t="s">
        <v>832</v>
      </c>
      <c r="B59" s="5151"/>
      <c r="C59" s="5151"/>
      <c r="D59" s="5151"/>
      <c r="E59" s="5151"/>
      <c r="F59" s="5151"/>
      <c r="G59" s="5151"/>
      <c r="H59" s="5151"/>
      <c r="I59" s="5151"/>
      <c r="J59" s="5151"/>
      <c r="K59" s="5151"/>
      <c r="L59" s="38"/>
      <c r="M59" s="3750" t="s">
        <v>832</v>
      </c>
      <c r="N59" s="3751"/>
      <c r="O59" s="3752"/>
      <c r="P59" s="33"/>
      <c r="Q59" s="64"/>
    </row>
    <row r="60" spans="1:17" ht="20.25" customHeight="1" x14ac:dyDescent="0.35">
      <c r="A60" s="5152"/>
      <c r="B60" s="5153"/>
      <c r="C60" s="5153"/>
      <c r="D60" s="5153"/>
      <c r="E60" s="5153"/>
      <c r="F60" s="5153"/>
      <c r="G60" s="5153"/>
      <c r="H60" s="5153"/>
      <c r="I60" s="5153"/>
      <c r="J60" s="5153"/>
      <c r="K60" s="5153"/>
      <c r="L60" s="38"/>
      <c r="M60" s="3753"/>
      <c r="N60" s="3754"/>
      <c r="O60" s="3755"/>
      <c r="P60" s="33"/>
      <c r="Q60" s="64"/>
    </row>
    <row r="61" spans="1:17" ht="20.25" customHeight="1" x14ac:dyDescent="0.35">
      <c r="A61" s="5152"/>
      <c r="B61" s="5153"/>
      <c r="C61" s="5153"/>
      <c r="D61" s="5153"/>
      <c r="E61" s="5153"/>
      <c r="F61" s="5153"/>
      <c r="G61" s="5153"/>
      <c r="H61" s="5153"/>
      <c r="I61" s="5153"/>
      <c r="J61" s="5153"/>
      <c r="K61" s="5153"/>
      <c r="L61" s="38"/>
      <c r="M61" s="3753"/>
      <c r="N61" s="3754"/>
      <c r="O61" s="3755"/>
      <c r="P61" s="33"/>
      <c r="Q61" s="64"/>
    </row>
    <row r="62" spans="1:17" ht="20.25" customHeight="1" thickBot="1" x14ac:dyDescent="0.4">
      <c r="A62" s="5154"/>
      <c r="B62" s="5155"/>
      <c r="C62" s="5155"/>
      <c r="D62" s="5155"/>
      <c r="E62" s="5155"/>
      <c r="F62" s="5155"/>
      <c r="G62" s="5155"/>
      <c r="H62" s="5155"/>
      <c r="I62" s="5155"/>
      <c r="J62" s="5155"/>
      <c r="K62" s="5155"/>
      <c r="L62" s="38"/>
      <c r="M62" s="3756"/>
      <c r="N62" s="3757"/>
      <c r="O62" s="3758"/>
      <c r="P62" s="33"/>
      <c r="Q62" s="64"/>
    </row>
    <row r="63" spans="1:17" ht="15.5" thickTop="1" thickBot="1" x14ac:dyDescent="0.4">
      <c r="A63" s="64"/>
      <c r="B63" s="64"/>
      <c r="C63" s="64"/>
      <c r="D63" s="64"/>
      <c r="E63" s="64"/>
      <c r="F63" s="64"/>
      <c r="G63" s="64"/>
      <c r="H63" s="64"/>
      <c r="I63" s="64"/>
      <c r="J63" s="64"/>
      <c r="K63" s="64"/>
      <c r="L63" s="64"/>
      <c r="M63" s="31"/>
      <c r="N63" s="31"/>
      <c r="O63" s="31"/>
      <c r="P63" s="64"/>
      <c r="Q63" s="64"/>
    </row>
    <row r="64" spans="1:17" ht="19.5" thickTop="1" thickBot="1" x14ac:dyDescent="0.4">
      <c r="A64" s="5147" t="s">
        <v>11</v>
      </c>
      <c r="B64" s="5148"/>
      <c r="C64" s="5148"/>
      <c r="D64" s="5148"/>
      <c r="E64" s="5148"/>
      <c r="F64" s="5148"/>
      <c r="G64" s="5148"/>
      <c r="H64" s="5148"/>
      <c r="I64" s="5148"/>
      <c r="J64" s="5148"/>
      <c r="K64" s="5149"/>
      <c r="L64" s="157"/>
      <c r="M64" s="3725" t="s">
        <v>748</v>
      </c>
      <c r="N64" s="3726"/>
      <c r="O64" s="3727"/>
      <c r="P64" s="31"/>
      <c r="Q64" s="64"/>
    </row>
    <row r="65" spans="1:17" ht="20.25" customHeight="1" x14ac:dyDescent="0.35">
      <c r="A65" s="5150" t="s">
        <v>1263</v>
      </c>
      <c r="B65" s="5156"/>
      <c r="C65" s="5156"/>
      <c r="D65" s="5156"/>
      <c r="E65" s="5156"/>
      <c r="F65" s="5156"/>
      <c r="G65" s="5156"/>
      <c r="H65" s="5156"/>
      <c r="I65" s="5156"/>
      <c r="J65" s="5156"/>
      <c r="K65" s="5156"/>
      <c r="L65" s="38"/>
      <c r="M65" s="3750" t="s">
        <v>1264</v>
      </c>
      <c r="N65" s="3751"/>
      <c r="O65" s="3752"/>
      <c r="P65" s="33"/>
      <c r="Q65" s="64"/>
    </row>
    <row r="66" spans="1:17" ht="20.25" customHeight="1" x14ac:dyDescent="0.35">
      <c r="A66" s="5157"/>
      <c r="B66" s="5158"/>
      <c r="C66" s="5158"/>
      <c r="D66" s="5158"/>
      <c r="E66" s="5158"/>
      <c r="F66" s="5158"/>
      <c r="G66" s="5158"/>
      <c r="H66" s="5158"/>
      <c r="I66" s="5158"/>
      <c r="J66" s="5158"/>
      <c r="K66" s="4826"/>
      <c r="L66" s="38"/>
      <c r="M66" s="3753"/>
      <c r="N66" s="3754"/>
      <c r="O66" s="3755"/>
      <c r="P66" s="33"/>
      <c r="Q66" s="64"/>
    </row>
    <row r="67" spans="1:17" ht="20.25" customHeight="1" x14ac:dyDescent="0.35">
      <c r="A67" s="5157"/>
      <c r="B67" s="5158"/>
      <c r="C67" s="5158"/>
      <c r="D67" s="5158"/>
      <c r="E67" s="5158"/>
      <c r="F67" s="5158"/>
      <c r="G67" s="5158"/>
      <c r="H67" s="5158"/>
      <c r="I67" s="5158"/>
      <c r="J67" s="5158"/>
      <c r="K67" s="4826"/>
      <c r="L67" s="38"/>
      <c r="M67" s="3753"/>
      <c r="N67" s="3754"/>
      <c r="O67" s="3755"/>
      <c r="P67" s="33"/>
      <c r="Q67" s="64"/>
    </row>
    <row r="68" spans="1:17" ht="20.25" customHeight="1" thickBot="1" x14ac:dyDescent="0.4">
      <c r="A68" s="5159"/>
      <c r="B68" s="5160"/>
      <c r="C68" s="5160"/>
      <c r="D68" s="5160"/>
      <c r="E68" s="5160"/>
      <c r="F68" s="5160"/>
      <c r="G68" s="5160"/>
      <c r="H68" s="5160"/>
      <c r="I68" s="5160"/>
      <c r="J68" s="5160"/>
      <c r="K68" s="5160"/>
      <c r="L68" s="38"/>
      <c r="M68" s="3756"/>
      <c r="N68" s="3757"/>
      <c r="O68" s="3758"/>
      <c r="P68" s="33"/>
      <c r="Q68" s="64"/>
    </row>
    <row r="69" spans="1:17" ht="15" thickTop="1" x14ac:dyDescent="0.35">
      <c r="A69" s="64"/>
      <c r="B69" s="64"/>
      <c r="C69" s="64"/>
      <c r="D69" s="64"/>
      <c r="E69" s="64"/>
      <c r="F69" s="64"/>
      <c r="G69" s="64"/>
      <c r="H69" s="64"/>
      <c r="I69" s="64"/>
      <c r="J69" s="64"/>
      <c r="K69" s="64"/>
      <c r="L69" s="64"/>
      <c r="M69" s="64"/>
      <c r="N69" s="64"/>
      <c r="O69" s="64"/>
      <c r="P69" s="64"/>
      <c r="Q69" s="64"/>
    </row>
    <row r="70" spans="1:17" x14ac:dyDescent="0.35">
      <c r="A70" s="64"/>
      <c r="B70" s="64"/>
      <c r="C70" s="64"/>
      <c r="D70" s="64"/>
      <c r="E70" s="64"/>
      <c r="F70" s="64"/>
      <c r="G70" s="64"/>
      <c r="H70" s="64"/>
      <c r="I70" s="64"/>
      <c r="J70" s="64"/>
      <c r="K70" s="64"/>
      <c r="L70" s="64"/>
      <c r="M70" s="64"/>
      <c r="N70" s="64"/>
      <c r="O70" s="64"/>
      <c r="P70" s="64"/>
      <c r="Q70" s="64"/>
    </row>
    <row r="72" spans="1:17" x14ac:dyDescent="0.35">
      <c r="C72" s="343"/>
    </row>
  </sheetData>
  <mergeCells count="239">
    <mergeCell ref="D3:G3"/>
    <mergeCell ref="A58:K58"/>
    <mergeCell ref="A64:K64"/>
    <mergeCell ref="A59:K62"/>
    <mergeCell ref="A65:K68"/>
    <mergeCell ref="A11:E11"/>
    <mergeCell ref="F11:G11"/>
    <mergeCell ref="H11:I11"/>
    <mergeCell ref="J11:K11"/>
    <mergeCell ref="A14:E14"/>
    <mergeCell ref="F14:G14"/>
    <mergeCell ref="H14:I14"/>
    <mergeCell ref="J14:K14"/>
    <mergeCell ref="A8:P8"/>
    <mergeCell ref="A15:E15"/>
    <mergeCell ref="F15:G15"/>
    <mergeCell ref="H15:I15"/>
    <mergeCell ref="J15:K15"/>
    <mergeCell ref="L15:P15"/>
    <mergeCell ref="A16:E16"/>
    <mergeCell ref="F16:G16"/>
    <mergeCell ref="H16:I16"/>
    <mergeCell ref="J16:K16"/>
    <mergeCell ref="L16:P16"/>
    <mergeCell ref="L11:P11"/>
    <mergeCell ref="A12:E12"/>
    <mergeCell ref="F12:G12"/>
    <mergeCell ref="H12:I12"/>
    <mergeCell ref="J12:K12"/>
    <mergeCell ref="L12:P12"/>
    <mergeCell ref="A13:E13"/>
    <mergeCell ref="F13:G13"/>
    <mergeCell ref="H13:I13"/>
    <mergeCell ref="J13:K13"/>
    <mergeCell ref="L13:P13"/>
    <mergeCell ref="L14:P14"/>
    <mergeCell ref="D1:G1"/>
    <mergeCell ref="I1:J1"/>
    <mergeCell ref="L1:M1"/>
    <mergeCell ref="D2:G2"/>
    <mergeCell ref="I2:J2"/>
    <mergeCell ref="L2:M2"/>
    <mergeCell ref="A9:P9"/>
    <mergeCell ref="A10:E10"/>
    <mergeCell ref="F10:G10"/>
    <mergeCell ref="H10:I10"/>
    <mergeCell ref="J10:K10"/>
    <mergeCell ref="L10:P10"/>
    <mergeCell ref="A6:E7"/>
    <mergeCell ref="F6:G6"/>
    <mergeCell ref="H6:I6"/>
    <mergeCell ref="J6:K6"/>
    <mergeCell ref="L6:P7"/>
    <mergeCell ref="F7:G7"/>
    <mergeCell ref="H7:I7"/>
    <mergeCell ref="J7:K7"/>
    <mergeCell ref="H4:P4"/>
    <mergeCell ref="C5:P5"/>
    <mergeCell ref="A5:B5"/>
    <mergeCell ref="A19:E19"/>
    <mergeCell ref="F19:G19"/>
    <mergeCell ref="H19:I19"/>
    <mergeCell ref="J19:K19"/>
    <mergeCell ref="L19:P19"/>
    <mergeCell ref="A20:P20"/>
    <mergeCell ref="A17:E17"/>
    <mergeCell ref="F17:G17"/>
    <mergeCell ref="H17:I17"/>
    <mergeCell ref="J17:K17"/>
    <mergeCell ref="L17:P17"/>
    <mergeCell ref="A18:E18"/>
    <mergeCell ref="F18:G18"/>
    <mergeCell ref="H18:I18"/>
    <mergeCell ref="J18:K18"/>
    <mergeCell ref="L18:P18"/>
    <mergeCell ref="A21:E21"/>
    <mergeCell ref="F21:G21"/>
    <mergeCell ref="H21:I21"/>
    <mergeCell ref="J21:K21"/>
    <mergeCell ref="L21:P21"/>
    <mergeCell ref="A22:E22"/>
    <mergeCell ref="F22:G22"/>
    <mergeCell ref="H22:I22"/>
    <mergeCell ref="J22:K22"/>
    <mergeCell ref="L22:P22"/>
    <mergeCell ref="A23:E23"/>
    <mergeCell ref="F23:G23"/>
    <mergeCell ref="H23:I23"/>
    <mergeCell ref="J23:K23"/>
    <mergeCell ref="L23:P23"/>
    <mergeCell ref="A24:E24"/>
    <mergeCell ref="F24:G24"/>
    <mergeCell ref="H24:I24"/>
    <mergeCell ref="J24:K24"/>
    <mergeCell ref="L24:P24"/>
    <mergeCell ref="L48:P48"/>
    <mergeCell ref="F45:G45"/>
    <mergeCell ref="A31:E31"/>
    <mergeCell ref="A25:E25"/>
    <mergeCell ref="F25:G25"/>
    <mergeCell ref="H25:I25"/>
    <mergeCell ref="J25:K25"/>
    <mergeCell ref="L25:P25"/>
    <mergeCell ref="A26:E26"/>
    <mergeCell ref="F26:G26"/>
    <mergeCell ref="H26:I26"/>
    <mergeCell ref="J26:K26"/>
    <mergeCell ref="L26:P26"/>
    <mergeCell ref="A27:E27"/>
    <mergeCell ref="F27:G27"/>
    <mergeCell ref="H27:I27"/>
    <mergeCell ref="J27:K27"/>
    <mergeCell ref="L27:P27"/>
    <mergeCell ref="A30:E30"/>
    <mergeCell ref="F30:G30"/>
    <mergeCell ref="H30:I30"/>
    <mergeCell ref="J30:K30"/>
    <mergeCell ref="L30:P30"/>
    <mergeCell ref="A28:P28"/>
    <mergeCell ref="A29:E29"/>
    <mergeCell ref="F29:G29"/>
    <mergeCell ref="H29:I29"/>
    <mergeCell ref="J29:K29"/>
    <mergeCell ref="L29:P29"/>
    <mergeCell ref="A55:E55"/>
    <mergeCell ref="F55:G55"/>
    <mergeCell ref="H55:I55"/>
    <mergeCell ref="J55:K55"/>
    <mergeCell ref="A50:E50"/>
    <mergeCell ref="F50:G50"/>
    <mergeCell ref="H50:I50"/>
    <mergeCell ref="J50:K50"/>
    <mergeCell ref="F34:G34"/>
    <mergeCell ref="H34:I34"/>
    <mergeCell ref="J34:K34"/>
    <mergeCell ref="A40:P40"/>
    <mergeCell ref="A41:E41"/>
    <mergeCell ref="F41:G41"/>
    <mergeCell ref="H41:I41"/>
    <mergeCell ref="J41:K41"/>
    <mergeCell ref="L41:P41"/>
    <mergeCell ref="A38:E38"/>
    <mergeCell ref="F38:G38"/>
    <mergeCell ref="H38:I38"/>
    <mergeCell ref="J38:K38"/>
    <mergeCell ref="L38:P38"/>
    <mergeCell ref="A39:E39"/>
    <mergeCell ref="F39:G39"/>
    <mergeCell ref="A32:E32"/>
    <mergeCell ref="A33:E33"/>
    <mergeCell ref="A34:E34"/>
    <mergeCell ref="A35:E35"/>
    <mergeCell ref="J32:K32"/>
    <mergeCell ref="L32:P32"/>
    <mergeCell ref="H39:I39"/>
    <mergeCell ref="J39:K39"/>
    <mergeCell ref="L39:P39"/>
    <mergeCell ref="A36:E36"/>
    <mergeCell ref="F36:G36"/>
    <mergeCell ref="H36:I36"/>
    <mergeCell ref="J36:K36"/>
    <mergeCell ref="L36:P36"/>
    <mergeCell ref="A37:E37"/>
    <mergeCell ref="F37:G37"/>
    <mergeCell ref="H37:I37"/>
    <mergeCell ref="J37:K37"/>
    <mergeCell ref="L37:P37"/>
    <mergeCell ref="F42:G42"/>
    <mergeCell ref="H42:I42"/>
    <mergeCell ref="L53:P53"/>
    <mergeCell ref="A54:E54"/>
    <mergeCell ref="F54:G54"/>
    <mergeCell ref="H54:I54"/>
    <mergeCell ref="J54:K54"/>
    <mergeCell ref="L54:P54"/>
    <mergeCell ref="A51:P51"/>
    <mergeCell ref="A52:E52"/>
    <mergeCell ref="F52:G52"/>
    <mergeCell ref="H52:I52"/>
    <mergeCell ref="J52:K52"/>
    <mergeCell ref="L52:P52"/>
    <mergeCell ref="F43:G43"/>
    <mergeCell ref="H43:I43"/>
    <mergeCell ref="J43:K43"/>
    <mergeCell ref="J42:K42"/>
    <mergeCell ref="L42:P42"/>
    <mergeCell ref="L50:P50"/>
    <mergeCell ref="A48:E48"/>
    <mergeCell ref="F48:G48"/>
    <mergeCell ref="H48:I48"/>
    <mergeCell ref="J48:K48"/>
    <mergeCell ref="L55:P55"/>
    <mergeCell ref="A53:E53"/>
    <mergeCell ref="F53:G53"/>
    <mergeCell ref="H53:I53"/>
    <mergeCell ref="J53:K53"/>
    <mergeCell ref="A4:G4"/>
    <mergeCell ref="M59:O62"/>
    <mergeCell ref="A47:E47"/>
    <mergeCell ref="F47:G47"/>
    <mergeCell ref="H47:I47"/>
    <mergeCell ref="M58:O58"/>
    <mergeCell ref="H45:I45"/>
    <mergeCell ref="J45:K45"/>
    <mergeCell ref="L45:P45"/>
    <mergeCell ref="A49:E49"/>
    <mergeCell ref="F49:G49"/>
    <mergeCell ref="H49:I49"/>
    <mergeCell ref="J49:K49"/>
    <mergeCell ref="L49:P49"/>
    <mergeCell ref="A42:E42"/>
    <mergeCell ref="A43:E43"/>
    <mergeCell ref="A44:E44"/>
    <mergeCell ref="A45:E45"/>
    <mergeCell ref="A46:P46"/>
    <mergeCell ref="M64:O64"/>
    <mergeCell ref="M65:O68"/>
    <mergeCell ref="F33:G33"/>
    <mergeCell ref="H33:I33"/>
    <mergeCell ref="J33:K33"/>
    <mergeCell ref="L33:P33"/>
    <mergeCell ref="F31:G31"/>
    <mergeCell ref="H31:I31"/>
    <mergeCell ref="J31:K31"/>
    <mergeCell ref="L31:P31"/>
    <mergeCell ref="F32:G32"/>
    <mergeCell ref="H32:I32"/>
    <mergeCell ref="L34:P34"/>
    <mergeCell ref="F35:G35"/>
    <mergeCell ref="H35:I35"/>
    <mergeCell ref="J35:K35"/>
    <mergeCell ref="L35:P35"/>
    <mergeCell ref="J47:K47"/>
    <mergeCell ref="L47:P47"/>
    <mergeCell ref="F44:G44"/>
    <mergeCell ref="H44:I44"/>
    <mergeCell ref="J44:K44"/>
    <mergeCell ref="L44:P44"/>
    <mergeCell ref="L43:P43"/>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B00-000000000000}">
      <formula1>AvancementTheme</formula1>
    </dataValidation>
  </dataValidations>
  <hyperlinks>
    <hyperlink ref="O1" location="DPDV_08SP" display="PdV" xr:uid="{00000000-0004-0000-2B00-000000000000}"/>
    <hyperlink ref="P1" location="DKPI_08SP" display="KPI's" xr:uid="{00000000-0004-0000-2B00-000001000000}"/>
  </hyperlink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96">
    <tabColor theme="8" tint="0.59999389629810485"/>
    <pageSetUpPr fitToPage="1"/>
  </sheetPr>
  <dimension ref="A1:BX94"/>
  <sheetViews>
    <sheetView showGridLines="0" showRowColHeaders="0" zoomScaleNormal="100" workbookViewId="0">
      <pane ySplit="6" topLeftCell="A7" activePane="bottomLeft" state="frozen"/>
      <selection activeCell="H7" sqref="H7"/>
      <selection pane="bottomLeft" activeCell="A7" sqref="A7:P7"/>
    </sheetView>
  </sheetViews>
  <sheetFormatPr baseColWidth="10" defaultColWidth="11.453125" defaultRowHeight="14.5" x14ac:dyDescent="0.35"/>
  <cols>
    <col min="1" max="1" width="6.453125" style="63" customWidth="1"/>
    <col min="2" max="2" width="14.1796875" style="60" customWidth="1"/>
    <col min="3" max="3" width="11.453125" style="60"/>
    <col min="4" max="4" width="17.7265625" style="60" customWidth="1"/>
    <col min="5" max="11" width="11.453125" style="60"/>
    <col min="12" max="12" width="12.81640625" style="60" customWidth="1"/>
    <col min="13" max="14" width="11.453125" style="60"/>
    <col min="15" max="15" width="11.453125" style="60" customWidth="1"/>
    <col min="16" max="16" width="11.453125" style="60"/>
    <col min="17" max="17" width="8.1796875" style="60" customWidth="1"/>
    <col min="18" max="16384" width="11.453125" style="60"/>
  </cols>
  <sheetData>
    <row r="1" spans="1:22" s="54" customFormat="1" ht="15" customHeight="1" x14ac:dyDescent="0.35">
      <c r="A1" s="391"/>
      <c r="B1" s="2268"/>
      <c r="C1" s="2268"/>
      <c r="D1" s="3341" t="s">
        <v>5</v>
      </c>
      <c r="E1" s="3341"/>
      <c r="F1" s="3341"/>
      <c r="G1" s="3341"/>
      <c r="H1" s="391"/>
      <c r="I1" s="3341" t="s">
        <v>6</v>
      </c>
      <c r="J1" s="3341"/>
      <c r="K1" s="2268"/>
      <c r="L1" s="3341" t="s">
        <v>9</v>
      </c>
      <c r="M1" s="3341"/>
      <c r="N1" s="2268"/>
      <c r="O1" s="479" t="s">
        <v>2</v>
      </c>
      <c r="P1" s="479" t="s">
        <v>3</v>
      </c>
      <c r="Q1" s="829"/>
      <c r="R1" s="458"/>
    </row>
    <row r="2" spans="1:22" s="58" customFormat="1" ht="18" customHeight="1" x14ac:dyDescent="0.35">
      <c r="A2" s="393"/>
      <c r="B2" s="393"/>
      <c r="C2" s="393"/>
      <c r="D2" s="3342" t="str">
        <f>NomClient</f>
        <v xml:space="preserve">EQUINIX </v>
      </c>
      <c r="E2" s="3343"/>
      <c r="F2" s="3343"/>
      <c r="G2" s="3344"/>
      <c r="H2" s="393"/>
      <c r="I2" s="3345" t="s">
        <v>410</v>
      </c>
      <c r="J2" s="3346"/>
      <c r="K2" s="393"/>
      <c r="L2" s="3347">
        <v>42420.759965277779</v>
      </c>
      <c r="M2" s="3348"/>
      <c r="N2" s="394"/>
      <c r="O2" s="451">
        <f>IF(LEN(DPDV_10SK2)&gt;0,LEN(DPDV_10SK2),0-PDV_NBmini)</f>
        <v>245</v>
      </c>
      <c r="P2" s="451">
        <f>IF(LEN(DKPI_10SK2)&gt;0,LEN(DKPI_10SK2),0-KPI_NBmini)</f>
        <v>57</v>
      </c>
      <c r="Q2" s="830"/>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907"/>
      <c r="B4" s="4203" t="str">
        <f>Parametre!B32 &amp; "   : "</f>
        <v xml:space="preserve">Programmes partenaires   : </v>
      </c>
      <c r="C4" s="4203"/>
      <c r="D4" s="4203"/>
      <c r="E4" s="4203"/>
      <c r="F4" s="4203"/>
      <c r="G4" s="4203"/>
      <c r="H4" s="4204" t="str">
        <f>"Partner Sales Kit pour " &amp; NomProd2</f>
        <v>Partner Sales Kit pour ASEMA</v>
      </c>
      <c r="I4" s="4204"/>
      <c r="J4" s="4204"/>
      <c r="K4" s="4204"/>
      <c r="L4" s="4204"/>
      <c r="M4" s="4204"/>
      <c r="N4" s="4204"/>
      <c r="O4" s="4204"/>
      <c r="P4" s="4204"/>
      <c r="Q4" s="4205"/>
      <c r="R4" s="444"/>
    </row>
    <row r="5" spans="1:22" s="193" customFormat="1" ht="36.75" customHeight="1" thickBot="1" x14ac:dyDescent="0.4">
      <c r="A5" s="3438" t="s">
        <v>14</v>
      </c>
      <c r="B5" s="3438"/>
      <c r="C5" s="3508" t="s">
        <v>1331</v>
      </c>
      <c r="D5" s="3508"/>
      <c r="E5" s="3508"/>
      <c r="F5" s="3508"/>
      <c r="G5" s="3508"/>
      <c r="H5" s="3508"/>
      <c r="I5" s="3508"/>
      <c r="J5" s="3508"/>
      <c r="K5" s="3508"/>
      <c r="L5" s="3508"/>
      <c r="M5" s="3508"/>
      <c r="N5" s="3508"/>
      <c r="O5" s="3508"/>
      <c r="P5" s="3508"/>
      <c r="Q5" s="3508"/>
      <c r="R5" s="460"/>
    </row>
    <row r="6" spans="1:22" s="324" customFormat="1" ht="38.25" customHeight="1" thickTop="1" x14ac:dyDescent="0.35">
      <c r="A6" s="4987" t="s">
        <v>1257</v>
      </c>
      <c r="B6" s="4988"/>
      <c r="C6" s="4988"/>
      <c r="D6" s="4989"/>
      <c r="E6" s="2296" t="s">
        <v>977</v>
      </c>
      <c r="F6" s="1196" t="s">
        <v>978</v>
      </c>
      <c r="G6" s="2297" t="s">
        <v>146</v>
      </c>
      <c r="H6" s="2297" t="s">
        <v>1093</v>
      </c>
      <c r="I6" s="2297" t="s">
        <v>1091</v>
      </c>
      <c r="J6" s="945" t="s">
        <v>1092</v>
      </c>
      <c r="K6" s="5000" t="s">
        <v>1163</v>
      </c>
      <c r="L6" s="5001"/>
      <c r="M6" s="945" t="s">
        <v>979</v>
      </c>
      <c r="N6" s="4994" t="s">
        <v>18</v>
      </c>
      <c r="O6" s="4995"/>
      <c r="P6" s="4996"/>
      <c r="Q6" s="937"/>
      <c r="R6" s="937"/>
    </row>
    <row r="7" spans="1:22" s="324" customFormat="1" ht="6.75" customHeight="1" x14ac:dyDescent="0.35">
      <c r="A7" s="4997"/>
      <c r="B7" s="4998"/>
      <c r="C7" s="4998"/>
      <c r="D7" s="4998"/>
      <c r="E7" s="4998"/>
      <c r="F7" s="4998"/>
      <c r="G7" s="4998"/>
      <c r="H7" s="4998"/>
      <c r="I7" s="4998"/>
      <c r="J7" s="4998"/>
      <c r="K7" s="4998"/>
      <c r="L7" s="4998"/>
      <c r="M7" s="4998"/>
      <c r="N7" s="4998"/>
      <c r="O7" s="4998"/>
      <c r="P7" s="4999"/>
      <c r="Q7" s="937"/>
      <c r="R7" s="937"/>
    </row>
    <row r="8" spans="1:22" s="324" customFormat="1" ht="15.5" x14ac:dyDescent="0.35">
      <c r="A8" s="5182" t="s">
        <v>1162</v>
      </c>
      <c r="B8" s="5183"/>
      <c r="C8" s="5183"/>
      <c r="D8" s="5183"/>
      <c r="E8" s="5183"/>
      <c r="F8" s="5183"/>
      <c r="G8" s="5183"/>
      <c r="H8" s="5183"/>
      <c r="I8" s="5183"/>
      <c r="J8" s="5183"/>
      <c r="K8" s="5183"/>
      <c r="L8" s="5183"/>
      <c r="M8" s="5183"/>
      <c r="N8" s="5183"/>
      <c r="O8" s="5183"/>
      <c r="P8" s="5184"/>
      <c r="Q8" s="937"/>
      <c r="R8" s="937"/>
    </row>
    <row r="9" spans="1:22" s="324" customFormat="1" x14ac:dyDescent="0.35">
      <c r="A9" s="4990"/>
      <c r="B9" s="5175" t="s">
        <v>1517</v>
      </c>
      <c r="C9" s="5175"/>
      <c r="D9" s="5176"/>
      <c r="E9" s="2293"/>
      <c r="F9" s="2295" t="s">
        <v>850</v>
      </c>
      <c r="G9" s="1700"/>
      <c r="H9" s="1703">
        <v>1</v>
      </c>
      <c r="I9" s="2295"/>
      <c r="J9" s="946"/>
      <c r="K9" s="5171" t="s">
        <v>1885</v>
      </c>
      <c r="L9" s="4950"/>
      <c r="M9" s="949"/>
      <c r="N9" s="4961"/>
      <c r="O9" s="4962"/>
      <c r="P9" s="4963"/>
      <c r="Q9" s="938"/>
      <c r="R9" s="937"/>
    </row>
    <row r="10" spans="1:22" s="324" customFormat="1" x14ac:dyDescent="0.35">
      <c r="A10" s="4990"/>
      <c r="B10" s="5175" t="s">
        <v>980</v>
      </c>
      <c r="C10" s="5175"/>
      <c r="D10" s="5176"/>
      <c r="E10" s="947"/>
      <c r="F10" s="2295"/>
      <c r="G10" s="1701" t="s">
        <v>850</v>
      </c>
      <c r="H10" s="1703">
        <v>1</v>
      </c>
      <c r="I10" s="2294"/>
      <c r="J10" s="946"/>
      <c r="K10" s="5171" t="s">
        <v>1886</v>
      </c>
      <c r="L10" s="4950"/>
      <c r="M10" s="949"/>
      <c r="N10" s="4961"/>
      <c r="O10" s="4962"/>
      <c r="P10" s="4963"/>
      <c r="Q10" s="938"/>
      <c r="R10" s="937"/>
    </row>
    <row r="11" spans="1:22" s="324" customFormat="1" x14ac:dyDescent="0.35">
      <c r="A11" s="4990"/>
      <c r="B11" s="5175" t="s">
        <v>981</v>
      </c>
      <c r="C11" s="5175"/>
      <c r="D11" s="5176"/>
      <c r="E11" s="947"/>
      <c r="F11" s="2295"/>
      <c r="G11" s="1701" t="s">
        <v>850</v>
      </c>
      <c r="H11" s="1703"/>
      <c r="I11" s="2294"/>
      <c r="J11" s="946"/>
      <c r="K11" s="5171"/>
      <c r="L11" s="4950"/>
      <c r="M11" s="949"/>
      <c r="N11" s="4961"/>
      <c r="O11" s="4962"/>
      <c r="P11" s="4963"/>
      <c r="Q11" s="938"/>
      <c r="R11" s="937"/>
    </row>
    <row r="12" spans="1:22" s="324" customFormat="1" x14ac:dyDescent="0.35">
      <c r="A12" s="4990"/>
      <c r="B12" s="5175" t="s">
        <v>1503</v>
      </c>
      <c r="C12" s="5175"/>
      <c r="D12" s="5176"/>
      <c r="E12" s="2291" t="s">
        <v>850</v>
      </c>
      <c r="F12" s="2295"/>
      <c r="G12" s="1700"/>
      <c r="H12" s="1703"/>
      <c r="I12" s="2295"/>
      <c r="J12" s="946"/>
      <c r="K12" s="5171"/>
      <c r="L12" s="4950"/>
      <c r="M12" s="949"/>
      <c r="N12" s="4961"/>
      <c r="O12" s="4962"/>
      <c r="P12" s="4963"/>
      <c r="Q12" s="937"/>
      <c r="R12" s="937"/>
    </row>
    <row r="13" spans="1:22" s="324" customFormat="1" x14ac:dyDescent="0.35">
      <c r="A13" s="4990"/>
      <c r="B13" s="5175" t="s">
        <v>1828</v>
      </c>
      <c r="C13" s="5175"/>
      <c r="D13" s="5176"/>
      <c r="E13" s="2291"/>
      <c r="F13" s="2295"/>
      <c r="G13" s="1700" t="s">
        <v>850</v>
      </c>
      <c r="H13" s="1703"/>
      <c r="I13" s="2295">
        <v>2</v>
      </c>
      <c r="J13" s="948">
        <v>4</v>
      </c>
      <c r="K13" s="5171" t="s">
        <v>1885</v>
      </c>
      <c r="L13" s="4950"/>
      <c r="M13" s="950"/>
      <c r="N13" s="4984"/>
      <c r="O13" s="4985"/>
      <c r="P13" s="4986"/>
      <c r="Q13" s="937"/>
      <c r="R13" s="937"/>
    </row>
    <row r="14" spans="1:22" s="324" customFormat="1" x14ac:dyDescent="0.35">
      <c r="A14" s="4990"/>
      <c r="B14" s="5175"/>
      <c r="C14" s="5175"/>
      <c r="D14" s="5176"/>
      <c r="E14" s="2303"/>
      <c r="F14" s="2292"/>
      <c r="G14" s="1702"/>
      <c r="H14" s="1705"/>
      <c r="I14" s="2292"/>
      <c r="J14" s="948"/>
      <c r="K14" s="5188"/>
      <c r="L14" s="4992"/>
      <c r="M14" s="948"/>
      <c r="N14" s="4991"/>
      <c r="O14" s="4992"/>
      <c r="P14" s="4993"/>
      <c r="Q14" s="937"/>
      <c r="R14" s="937"/>
    </row>
    <row r="15" spans="1:22" s="324" customFormat="1" ht="6.75" customHeight="1" x14ac:dyDescent="0.35">
      <c r="A15" s="4997"/>
      <c r="B15" s="4998"/>
      <c r="C15" s="4998"/>
      <c r="D15" s="4998"/>
      <c r="E15" s="4998"/>
      <c r="F15" s="4998"/>
      <c r="G15" s="4998"/>
      <c r="H15" s="4998"/>
      <c r="I15" s="4998"/>
      <c r="J15" s="4998"/>
      <c r="K15" s="4998"/>
      <c r="L15" s="4998"/>
      <c r="M15" s="4998"/>
      <c r="N15" s="4998"/>
      <c r="O15" s="4998"/>
      <c r="P15" s="4999"/>
      <c r="Q15" s="937"/>
      <c r="R15" s="937"/>
    </row>
    <row r="16" spans="1:22" s="324" customFormat="1" ht="15.5" x14ac:dyDescent="0.35">
      <c r="A16" s="5182" t="s">
        <v>983</v>
      </c>
      <c r="B16" s="5183"/>
      <c r="C16" s="5183"/>
      <c r="D16" s="5183"/>
      <c r="E16" s="5183"/>
      <c r="F16" s="5183"/>
      <c r="G16" s="5183"/>
      <c r="H16" s="5183"/>
      <c r="I16" s="5183"/>
      <c r="J16" s="5183"/>
      <c r="K16" s="5183"/>
      <c r="L16" s="5183"/>
      <c r="M16" s="5183"/>
      <c r="N16" s="5183"/>
      <c r="O16" s="5183"/>
      <c r="P16" s="5184"/>
      <c r="Q16" s="937"/>
      <c r="R16" s="937"/>
    </row>
    <row r="17" spans="1:18" s="324" customFormat="1" x14ac:dyDescent="0.35">
      <c r="A17" s="4990"/>
      <c r="B17" s="5175" t="s">
        <v>984</v>
      </c>
      <c r="C17" s="5175"/>
      <c r="D17" s="5176"/>
      <c r="E17" s="2291" t="s">
        <v>850</v>
      </c>
      <c r="F17" s="2294"/>
      <c r="G17" s="1701"/>
      <c r="H17" s="1704"/>
      <c r="I17" s="2294"/>
      <c r="J17" s="946"/>
      <c r="K17" s="5171"/>
      <c r="L17" s="4950"/>
      <c r="M17" s="949"/>
      <c r="N17" s="4961"/>
      <c r="O17" s="4962"/>
      <c r="P17" s="4963"/>
      <c r="Q17" s="938"/>
      <c r="R17" s="937"/>
    </row>
    <row r="18" spans="1:18" s="324" customFormat="1" x14ac:dyDescent="0.35">
      <c r="A18" s="4990"/>
      <c r="B18" s="5175" t="s">
        <v>1829</v>
      </c>
      <c r="C18" s="5175"/>
      <c r="D18" s="5176"/>
      <c r="E18" s="2291"/>
      <c r="F18" s="2294"/>
      <c r="G18" s="1701" t="s">
        <v>850</v>
      </c>
      <c r="H18" s="1704">
        <v>2</v>
      </c>
      <c r="I18" s="2294"/>
      <c r="J18" s="946"/>
      <c r="K18" s="5171" t="s">
        <v>1888</v>
      </c>
      <c r="L18" s="4950"/>
      <c r="M18" s="949"/>
      <c r="N18" s="4961" t="s">
        <v>1887</v>
      </c>
      <c r="O18" s="4962"/>
      <c r="P18" s="4963"/>
      <c r="Q18" s="938"/>
      <c r="R18" s="937"/>
    </row>
    <row r="19" spans="1:18" s="324" customFormat="1" x14ac:dyDescent="0.35">
      <c r="A19" s="4990"/>
      <c r="B19" s="5175" t="s">
        <v>1641</v>
      </c>
      <c r="C19" s="5175"/>
      <c r="D19" s="5176"/>
      <c r="E19" s="2291" t="s">
        <v>850</v>
      </c>
      <c r="F19" s="942"/>
      <c r="G19" s="1701"/>
      <c r="H19" s="1704"/>
      <c r="I19" s="2294"/>
      <c r="J19" s="946"/>
      <c r="K19" s="5171"/>
      <c r="L19" s="4950"/>
      <c r="M19" s="946"/>
      <c r="N19" s="4949"/>
      <c r="O19" s="4950"/>
      <c r="P19" s="4951"/>
      <c r="Q19" s="938"/>
      <c r="R19" s="937"/>
    </row>
    <row r="20" spans="1:18" s="324" customFormat="1" x14ac:dyDescent="0.35">
      <c r="A20" s="4990"/>
      <c r="B20" s="5172" t="s">
        <v>1642</v>
      </c>
      <c r="C20" s="5172"/>
      <c r="D20" s="5173"/>
      <c r="E20" s="2291"/>
      <c r="F20" s="2295"/>
      <c r="G20" s="1700" t="s">
        <v>850</v>
      </c>
      <c r="H20" s="1703">
        <v>1</v>
      </c>
      <c r="I20" s="2295"/>
      <c r="J20" s="946"/>
      <c r="K20" s="5171" t="s">
        <v>1888</v>
      </c>
      <c r="L20" s="4950"/>
      <c r="M20" s="949"/>
      <c r="N20" s="4961"/>
      <c r="O20" s="4962"/>
      <c r="P20" s="4963"/>
      <c r="Q20" s="938"/>
      <c r="R20" s="937"/>
    </row>
    <row r="21" spans="1:18" s="324" customFormat="1" x14ac:dyDescent="0.35">
      <c r="A21" s="4990"/>
      <c r="B21" s="5175" t="s">
        <v>985</v>
      </c>
      <c r="C21" s="5175"/>
      <c r="D21" s="5176"/>
      <c r="E21" s="2291"/>
      <c r="F21" s="942"/>
      <c r="G21" s="1701" t="s">
        <v>850</v>
      </c>
      <c r="H21" s="1704"/>
      <c r="I21" s="2294"/>
      <c r="J21" s="946">
        <v>2</v>
      </c>
      <c r="K21" s="5171" t="s">
        <v>1889</v>
      </c>
      <c r="L21" s="4950"/>
      <c r="M21" s="946"/>
      <c r="N21" s="4949"/>
      <c r="O21" s="4950"/>
      <c r="P21" s="4951"/>
      <c r="Q21" s="938"/>
      <c r="R21" s="937"/>
    </row>
    <row r="22" spans="1:18" s="324" customFormat="1" x14ac:dyDescent="0.35">
      <c r="A22" s="4990"/>
      <c r="B22" s="5172" t="s">
        <v>1879</v>
      </c>
      <c r="C22" s="5172"/>
      <c r="D22" s="5173"/>
      <c r="E22" s="947"/>
      <c r="F22" s="2295" t="s">
        <v>850</v>
      </c>
      <c r="G22" s="1701"/>
      <c r="H22" s="1704"/>
      <c r="I22" s="2294">
        <v>8</v>
      </c>
      <c r="J22" s="946"/>
      <c r="K22" s="5171" t="s">
        <v>1885</v>
      </c>
      <c r="L22" s="4950"/>
      <c r="M22" s="946"/>
      <c r="N22" s="4949"/>
      <c r="O22" s="4950"/>
      <c r="P22" s="4951"/>
      <c r="Q22" s="938"/>
      <c r="R22" s="937"/>
    </row>
    <row r="23" spans="1:18" s="324" customFormat="1" x14ac:dyDescent="0.35">
      <c r="A23" s="4990"/>
      <c r="B23" s="5172" t="s">
        <v>986</v>
      </c>
      <c r="C23" s="5172"/>
      <c r="D23" s="5173"/>
      <c r="E23" s="2293"/>
      <c r="F23" s="2294" t="s">
        <v>850</v>
      </c>
      <c r="G23" s="1700"/>
      <c r="H23" s="1703"/>
      <c r="I23" s="2295">
        <v>3</v>
      </c>
      <c r="J23" s="946"/>
      <c r="K23" s="5171" t="s">
        <v>1885</v>
      </c>
      <c r="L23" s="4950"/>
      <c r="M23" s="946"/>
      <c r="N23" s="4949"/>
      <c r="O23" s="4950"/>
      <c r="P23" s="4951"/>
      <c r="Q23" s="938"/>
      <c r="R23" s="937"/>
    </row>
    <row r="24" spans="1:18" s="324" customFormat="1" x14ac:dyDescent="0.35">
      <c r="A24" s="4990"/>
      <c r="B24" s="5175" t="s">
        <v>987</v>
      </c>
      <c r="C24" s="5175"/>
      <c r="D24" s="5176"/>
      <c r="E24" s="2293"/>
      <c r="F24" s="2294"/>
      <c r="G24" s="1700" t="s">
        <v>850</v>
      </c>
      <c r="H24" s="1703"/>
      <c r="I24" s="2295">
        <v>3</v>
      </c>
      <c r="J24" s="946">
        <v>3</v>
      </c>
      <c r="K24" s="5171" t="s">
        <v>1885</v>
      </c>
      <c r="L24" s="4950"/>
      <c r="M24" s="946"/>
      <c r="N24" s="4949"/>
      <c r="O24" s="4950"/>
      <c r="P24" s="4951"/>
      <c r="Q24" s="937"/>
      <c r="R24" s="937"/>
    </row>
    <row r="25" spans="1:18" s="324" customFormat="1" x14ac:dyDescent="0.35">
      <c r="A25" s="4990"/>
      <c r="B25" s="5175" t="s">
        <v>988</v>
      </c>
      <c r="C25" s="5175"/>
      <c r="D25" s="5176"/>
      <c r="E25" s="2293"/>
      <c r="F25" s="2294"/>
      <c r="G25" s="1700" t="s">
        <v>850</v>
      </c>
      <c r="H25" s="1703"/>
      <c r="I25" s="2295"/>
      <c r="J25" s="946">
        <v>3</v>
      </c>
      <c r="K25" s="5171" t="s">
        <v>1885</v>
      </c>
      <c r="L25" s="4950"/>
      <c r="M25" s="946"/>
      <c r="N25" s="4949"/>
      <c r="O25" s="4950"/>
      <c r="P25" s="4951"/>
      <c r="Q25" s="937"/>
      <c r="R25" s="937"/>
    </row>
    <row r="26" spans="1:18" s="324" customFormat="1" x14ac:dyDescent="0.35">
      <c r="A26" s="4990"/>
      <c r="B26" s="5175" t="s">
        <v>1830</v>
      </c>
      <c r="C26" s="5175"/>
      <c r="D26" s="5176"/>
      <c r="E26" s="2291"/>
      <c r="F26" s="2295" t="s">
        <v>850</v>
      </c>
      <c r="G26" s="1702"/>
      <c r="H26" s="1705">
        <v>1</v>
      </c>
      <c r="I26" s="2292"/>
      <c r="J26" s="948"/>
      <c r="K26" s="5178" t="s">
        <v>1886</v>
      </c>
      <c r="L26" s="4992"/>
      <c r="M26" s="948"/>
      <c r="N26" s="4991"/>
      <c r="O26" s="4992"/>
      <c r="P26" s="4993"/>
      <c r="Q26" s="937"/>
      <c r="R26" s="937"/>
    </row>
    <row r="27" spans="1:18" s="324" customFormat="1" ht="6.75" customHeight="1" x14ac:dyDescent="0.35">
      <c r="A27" s="4997"/>
      <c r="B27" s="4998"/>
      <c r="C27" s="4998"/>
      <c r="D27" s="4998"/>
      <c r="E27" s="4998"/>
      <c r="F27" s="4998"/>
      <c r="G27" s="4998"/>
      <c r="H27" s="4998"/>
      <c r="I27" s="4998"/>
      <c r="J27" s="4998"/>
      <c r="K27" s="4998"/>
      <c r="L27" s="4998"/>
      <c r="M27" s="4998"/>
      <c r="N27" s="4998"/>
      <c r="O27" s="4998"/>
      <c r="P27" s="4999"/>
      <c r="Q27" s="937"/>
      <c r="R27" s="937"/>
    </row>
    <row r="28" spans="1:18" s="324" customFormat="1" ht="15.5" x14ac:dyDescent="0.35">
      <c r="A28" s="5182" t="s">
        <v>1916</v>
      </c>
      <c r="B28" s="5183"/>
      <c r="C28" s="5183"/>
      <c r="D28" s="5183"/>
      <c r="E28" s="5183"/>
      <c r="F28" s="5183"/>
      <c r="G28" s="5183"/>
      <c r="H28" s="5183"/>
      <c r="I28" s="5183"/>
      <c r="J28" s="5183"/>
      <c r="K28" s="5183"/>
      <c r="L28" s="5183"/>
      <c r="M28" s="5183"/>
      <c r="N28" s="5183"/>
      <c r="O28" s="5183"/>
      <c r="P28" s="5184"/>
      <c r="Q28" s="937"/>
      <c r="R28" s="937"/>
    </row>
    <row r="29" spans="1:18" s="325" customFormat="1" ht="20.25" customHeight="1" x14ac:dyDescent="0.35">
      <c r="A29" s="4990"/>
      <c r="B29" s="5185" t="s">
        <v>1917</v>
      </c>
      <c r="C29" s="5186"/>
      <c r="D29" s="5187"/>
      <c r="E29" s="2291"/>
      <c r="F29" s="2294"/>
      <c r="G29" s="1701" t="s">
        <v>850</v>
      </c>
      <c r="H29" s="1704">
        <v>1</v>
      </c>
      <c r="I29" s="2294"/>
      <c r="J29" s="946"/>
      <c r="K29" s="5171" t="s">
        <v>1888</v>
      </c>
      <c r="L29" s="4950"/>
      <c r="M29" s="946"/>
      <c r="N29" s="4949"/>
      <c r="O29" s="4950"/>
      <c r="P29" s="4951"/>
      <c r="Q29" s="939"/>
      <c r="R29" s="940"/>
    </row>
    <row r="30" spans="1:18" s="324" customFormat="1" x14ac:dyDescent="0.35">
      <c r="A30" s="4990"/>
      <c r="B30" s="5175" t="s">
        <v>1499</v>
      </c>
      <c r="C30" s="5175"/>
      <c r="D30" s="5176"/>
      <c r="E30" s="2291"/>
      <c r="F30" s="2294" t="s">
        <v>850</v>
      </c>
      <c r="G30" s="1700"/>
      <c r="H30" s="1703"/>
      <c r="I30" s="2295">
        <v>3</v>
      </c>
      <c r="J30" s="946"/>
      <c r="K30" s="5171" t="s">
        <v>1885</v>
      </c>
      <c r="L30" s="4950"/>
      <c r="M30" s="946"/>
      <c r="N30" s="4949"/>
      <c r="O30" s="4950"/>
      <c r="P30" s="4951"/>
      <c r="Q30" s="938"/>
      <c r="R30" s="937"/>
    </row>
    <row r="31" spans="1:18" s="324" customFormat="1" x14ac:dyDescent="0.35">
      <c r="A31" s="4990"/>
      <c r="B31" s="5175" t="s">
        <v>1918</v>
      </c>
      <c r="C31" s="5175"/>
      <c r="D31" s="5176"/>
      <c r="E31" s="2291" t="s">
        <v>850</v>
      </c>
      <c r="F31" s="2294"/>
      <c r="G31" s="1706"/>
      <c r="H31" s="1703"/>
      <c r="I31" s="2295"/>
      <c r="J31" s="946"/>
      <c r="K31" s="5171"/>
      <c r="L31" s="4950"/>
      <c r="M31" s="946"/>
      <c r="N31" s="4952"/>
      <c r="O31" s="4953"/>
      <c r="P31" s="4954"/>
      <c r="Q31" s="938"/>
      <c r="R31" s="937"/>
    </row>
    <row r="32" spans="1:18" s="324" customFormat="1" x14ac:dyDescent="0.35">
      <c r="A32" s="4990"/>
      <c r="B32" s="5175" t="s">
        <v>1831</v>
      </c>
      <c r="C32" s="5175"/>
      <c r="D32" s="5176"/>
      <c r="E32" s="2291" t="s">
        <v>850</v>
      </c>
      <c r="F32" s="2294"/>
      <c r="G32" s="1706"/>
      <c r="H32" s="1703"/>
      <c r="I32" s="2295"/>
      <c r="J32" s="946"/>
      <c r="K32" s="5171"/>
      <c r="L32" s="4950"/>
      <c r="M32" s="946"/>
      <c r="N32" s="4952"/>
      <c r="O32" s="4953"/>
      <c r="P32" s="4954"/>
      <c r="Q32" s="938"/>
      <c r="R32" s="937"/>
    </row>
    <row r="33" spans="1:18" s="324" customFormat="1" x14ac:dyDescent="0.35">
      <c r="A33" s="4990"/>
      <c r="B33" s="5175" t="s">
        <v>1880</v>
      </c>
      <c r="C33" s="5175"/>
      <c r="D33" s="5176"/>
      <c r="E33" s="2293" t="s">
        <v>850</v>
      </c>
      <c r="F33" s="2294"/>
      <c r="G33" s="1700"/>
      <c r="H33" s="1703"/>
      <c r="I33" s="2295"/>
      <c r="J33" s="946"/>
      <c r="K33" s="5171"/>
      <c r="L33" s="4950"/>
      <c r="M33" s="946"/>
      <c r="N33" s="4949" t="s">
        <v>1881</v>
      </c>
      <c r="O33" s="4950"/>
      <c r="P33" s="4951"/>
      <c r="Q33" s="938"/>
      <c r="R33" s="937"/>
    </row>
    <row r="34" spans="1:18" s="324" customFormat="1" x14ac:dyDescent="0.35">
      <c r="A34" s="4990"/>
      <c r="B34" s="5172" t="s">
        <v>1500</v>
      </c>
      <c r="C34" s="5172"/>
      <c r="D34" s="5173"/>
      <c r="E34" s="2291" t="s">
        <v>850</v>
      </c>
      <c r="F34" s="2295"/>
      <c r="G34" s="1701"/>
      <c r="H34" s="1704"/>
      <c r="I34" s="2294"/>
      <c r="J34" s="946"/>
      <c r="K34" s="5171"/>
      <c r="L34" s="4950"/>
      <c r="M34" s="949"/>
      <c r="N34" s="4961"/>
      <c r="O34" s="4962"/>
      <c r="P34" s="4963"/>
      <c r="Q34" s="938"/>
      <c r="R34" s="937"/>
    </row>
    <row r="35" spans="1:18" s="324" customFormat="1" x14ac:dyDescent="0.35">
      <c r="A35" s="4990"/>
      <c r="B35" s="5172" t="s">
        <v>989</v>
      </c>
      <c r="C35" s="5172"/>
      <c r="D35" s="5173"/>
      <c r="E35" s="2293" t="s">
        <v>850</v>
      </c>
      <c r="F35" s="2295"/>
      <c r="G35" s="1700"/>
      <c r="H35" s="1703"/>
      <c r="I35" s="2295"/>
      <c r="J35" s="946"/>
      <c r="K35" s="5171"/>
      <c r="L35" s="4950"/>
      <c r="M35" s="946"/>
      <c r="N35" s="4949"/>
      <c r="O35" s="4950"/>
      <c r="P35" s="4951"/>
      <c r="Q35" s="938"/>
      <c r="R35" s="937"/>
    </row>
    <row r="36" spans="1:18" s="325" customFormat="1" x14ac:dyDescent="0.35">
      <c r="A36" s="4990"/>
      <c r="B36" s="5172" t="s">
        <v>1001</v>
      </c>
      <c r="C36" s="5172"/>
      <c r="D36" s="5173"/>
      <c r="E36" s="2291"/>
      <c r="F36" s="2294" t="s">
        <v>850</v>
      </c>
      <c r="G36" s="1700"/>
      <c r="H36" s="1703">
        <v>2</v>
      </c>
      <c r="I36" s="2295"/>
      <c r="J36" s="946"/>
      <c r="K36" s="5171" t="s">
        <v>1889</v>
      </c>
      <c r="L36" s="4950"/>
      <c r="M36" s="946"/>
      <c r="N36" s="4949" t="s">
        <v>1882</v>
      </c>
      <c r="O36" s="4950"/>
      <c r="P36" s="4951"/>
      <c r="Q36" s="939"/>
      <c r="R36" s="940"/>
    </row>
    <row r="37" spans="1:18" s="324" customFormat="1" x14ac:dyDescent="0.35">
      <c r="A37" s="4990"/>
      <c r="B37" s="5175" t="s">
        <v>1501</v>
      </c>
      <c r="C37" s="5175"/>
      <c r="D37" s="5176"/>
      <c r="E37" s="2291" t="s">
        <v>850</v>
      </c>
      <c r="F37" s="2295"/>
      <c r="G37" s="1701"/>
      <c r="H37" s="1704"/>
      <c r="I37" s="2294"/>
      <c r="J37" s="946"/>
      <c r="K37" s="5171"/>
      <c r="L37" s="4950"/>
      <c r="M37" s="946"/>
      <c r="N37" s="4949"/>
      <c r="O37" s="4950"/>
      <c r="P37" s="4951"/>
      <c r="Q37" s="938"/>
      <c r="R37" s="937"/>
    </row>
    <row r="38" spans="1:18" s="324" customFormat="1" x14ac:dyDescent="0.35">
      <c r="A38" s="4990"/>
      <c r="B38" s="5172" t="s">
        <v>990</v>
      </c>
      <c r="C38" s="5172"/>
      <c r="D38" s="5173"/>
      <c r="E38" s="2291"/>
      <c r="F38" s="2295"/>
      <c r="G38" s="1701" t="s">
        <v>850</v>
      </c>
      <c r="H38" s="1704"/>
      <c r="I38" s="2294">
        <v>2</v>
      </c>
      <c r="J38" s="946"/>
      <c r="K38" s="5171" t="s">
        <v>1888</v>
      </c>
      <c r="L38" s="4950"/>
      <c r="M38" s="946"/>
      <c r="N38" s="4949"/>
      <c r="O38" s="4950"/>
      <c r="P38" s="4951"/>
      <c r="Q38" s="938"/>
      <c r="R38" s="937"/>
    </row>
    <row r="39" spans="1:18" s="324" customFormat="1" x14ac:dyDescent="0.35">
      <c r="A39" s="4990"/>
      <c r="B39" s="5172" t="s">
        <v>991</v>
      </c>
      <c r="C39" s="5172"/>
      <c r="D39" s="5173"/>
      <c r="E39" s="947"/>
      <c r="F39" s="942"/>
      <c r="G39" s="1701" t="s">
        <v>850</v>
      </c>
      <c r="H39" s="1704"/>
      <c r="I39" s="2294"/>
      <c r="J39" s="946"/>
      <c r="K39" s="5171"/>
      <c r="L39" s="4950"/>
      <c r="M39" s="946"/>
      <c r="N39" s="4949"/>
      <c r="O39" s="4950"/>
      <c r="P39" s="4951"/>
      <c r="Q39" s="938"/>
      <c r="R39" s="937"/>
    </row>
    <row r="40" spans="1:18" s="324" customFormat="1" x14ac:dyDescent="0.35">
      <c r="A40" s="4990"/>
      <c r="B40" s="5175" t="s">
        <v>1502</v>
      </c>
      <c r="C40" s="5175"/>
      <c r="D40" s="5176"/>
      <c r="E40" s="2291" t="s">
        <v>850</v>
      </c>
      <c r="F40" s="2294"/>
      <c r="G40" s="1701"/>
      <c r="H40" s="1704"/>
      <c r="I40" s="2294"/>
      <c r="J40" s="946"/>
      <c r="K40" s="5178"/>
      <c r="L40" s="4985"/>
      <c r="M40" s="946"/>
      <c r="N40" s="4949"/>
      <c r="O40" s="4950"/>
      <c r="P40" s="4951"/>
      <c r="Q40" s="938"/>
      <c r="R40" s="937"/>
    </row>
    <row r="41" spans="1:18" s="324" customFormat="1" x14ac:dyDescent="0.35">
      <c r="A41" s="4990"/>
      <c r="B41" s="5175" t="s">
        <v>992</v>
      </c>
      <c r="C41" s="5175"/>
      <c r="D41" s="5176"/>
      <c r="E41" s="2293"/>
      <c r="F41" s="2292"/>
      <c r="G41" s="1700" t="s">
        <v>850</v>
      </c>
      <c r="H41" s="1703"/>
      <c r="I41" s="2295">
        <v>2</v>
      </c>
      <c r="J41" s="946"/>
      <c r="K41" s="5171" t="s">
        <v>1885</v>
      </c>
      <c r="L41" s="4950"/>
      <c r="M41" s="946"/>
      <c r="N41" s="4949"/>
      <c r="O41" s="4950"/>
      <c r="P41" s="4951"/>
      <c r="Q41" s="938"/>
      <c r="R41" s="937"/>
    </row>
    <row r="42" spans="1:18" s="324" customFormat="1" x14ac:dyDescent="0.35">
      <c r="A42" s="4990"/>
      <c r="B42" s="5175" t="s">
        <v>236</v>
      </c>
      <c r="C42" s="5175"/>
      <c r="D42" s="5176"/>
      <c r="E42" s="2293"/>
      <c r="F42" s="2295" t="s">
        <v>850</v>
      </c>
      <c r="G42" s="1700"/>
      <c r="H42" s="1703"/>
      <c r="I42" s="2295"/>
      <c r="J42" s="946"/>
      <c r="K42" s="5171"/>
      <c r="L42" s="4950"/>
      <c r="M42" s="946"/>
      <c r="N42" s="4952"/>
      <c r="O42" s="4953"/>
      <c r="P42" s="4954"/>
      <c r="Q42" s="938"/>
      <c r="R42" s="937"/>
    </row>
    <row r="43" spans="1:18" s="324" customFormat="1" x14ac:dyDescent="0.35">
      <c r="A43" s="4990"/>
      <c r="B43" s="5175" t="s">
        <v>1919</v>
      </c>
      <c r="C43" s="5175"/>
      <c r="D43" s="5176"/>
      <c r="E43" s="2293"/>
      <c r="F43" s="2295" t="s">
        <v>850</v>
      </c>
      <c r="G43" s="1700"/>
      <c r="H43" s="1703"/>
      <c r="I43" s="2295"/>
      <c r="J43" s="946"/>
      <c r="K43" s="5171"/>
      <c r="L43" s="4950"/>
      <c r="M43" s="946"/>
      <c r="N43" s="4952"/>
      <c r="O43" s="4953"/>
      <c r="P43" s="4954"/>
      <c r="Q43" s="938"/>
      <c r="R43" s="937"/>
    </row>
    <row r="44" spans="1:18" s="324" customFormat="1" x14ac:dyDescent="0.35">
      <c r="A44" s="4990"/>
      <c r="B44" s="5175" t="s">
        <v>1832</v>
      </c>
      <c r="C44" s="5175"/>
      <c r="D44" s="5176"/>
      <c r="E44" s="2293"/>
      <c r="F44" s="2292"/>
      <c r="G44" s="1700" t="s">
        <v>850</v>
      </c>
      <c r="H44" s="1703">
        <v>1</v>
      </c>
      <c r="I44" s="2295"/>
      <c r="J44" s="946"/>
      <c r="K44" s="5171" t="s">
        <v>1889</v>
      </c>
      <c r="L44" s="4950"/>
      <c r="M44" s="946"/>
      <c r="N44" s="4949"/>
      <c r="O44" s="4950"/>
      <c r="P44" s="4951"/>
      <c r="Q44" s="938"/>
      <c r="R44" s="937"/>
    </row>
    <row r="45" spans="1:18" s="324" customFormat="1" x14ac:dyDescent="0.35">
      <c r="A45" s="4990"/>
      <c r="B45" s="5175" t="s">
        <v>1643</v>
      </c>
      <c r="C45" s="5175"/>
      <c r="D45" s="5176"/>
      <c r="E45" s="2293" t="s">
        <v>850</v>
      </c>
      <c r="F45" s="2295"/>
      <c r="G45" s="1700"/>
      <c r="H45" s="1707"/>
      <c r="I45" s="2295"/>
      <c r="J45" s="946"/>
      <c r="K45" s="5171"/>
      <c r="L45" s="4950"/>
      <c r="M45" s="946"/>
      <c r="N45" s="4949"/>
      <c r="O45" s="4950"/>
      <c r="P45" s="4951"/>
      <c r="Q45" s="938"/>
      <c r="R45" s="937"/>
    </row>
    <row r="46" spans="1:18" s="324" customFormat="1" ht="6.75" customHeight="1" x14ac:dyDescent="0.35">
      <c r="A46" s="4997"/>
      <c r="B46" s="4998"/>
      <c r="C46" s="4998"/>
      <c r="D46" s="4998"/>
      <c r="E46" s="4998"/>
      <c r="F46" s="4998"/>
      <c r="G46" s="4998"/>
      <c r="H46" s="4998"/>
      <c r="I46" s="4998"/>
      <c r="J46" s="4998"/>
      <c r="K46" s="4998"/>
      <c r="L46" s="4998"/>
      <c r="M46" s="4998"/>
      <c r="N46" s="4998"/>
      <c r="O46" s="4998"/>
      <c r="P46" s="4999"/>
      <c r="Q46" s="937"/>
      <c r="R46" s="937"/>
    </row>
    <row r="47" spans="1:18" s="324" customFormat="1" ht="15.5" x14ac:dyDescent="0.35">
      <c r="A47" s="5182" t="s">
        <v>1833</v>
      </c>
      <c r="B47" s="5183"/>
      <c r="C47" s="5183"/>
      <c r="D47" s="5183"/>
      <c r="E47" s="5183"/>
      <c r="F47" s="5183"/>
      <c r="G47" s="5183"/>
      <c r="H47" s="5183"/>
      <c r="I47" s="5183"/>
      <c r="J47" s="5183"/>
      <c r="K47" s="5183"/>
      <c r="L47" s="5183"/>
      <c r="M47" s="5183"/>
      <c r="N47" s="5183"/>
      <c r="O47" s="5183"/>
      <c r="P47" s="5184"/>
      <c r="Q47" s="938"/>
      <c r="R47" s="937"/>
    </row>
    <row r="48" spans="1:18" s="324" customFormat="1" x14ac:dyDescent="0.35">
      <c r="A48" s="4990"/>
      <c r="B48" s="5175" t="s">
        <v>1511</v>
      </c>
      <c r="C48" s="5175"/>
      <c r="D48" s="5176"/>
      <c r="E48" s="2293"/>
      <c r="F48" s="2295" t="s">
        <v>850</v>
      </c>
      <c r="G48" s="1708"/>
      <c r="H48" s="1703">
        <v>2</v>
      </c>
      <c r="I48" s="943"/>
      <c r="J48" s="946"/>
      <c r="K48" s="5171" t="s">
        <v>1886</v>
      </c>
      <c r="L48" s="4950"/>
      <c r="M48" s="946"/>
      <c r="N48" s="4949"/>
      <c r="O48" s="4950"/>
      <c r="P48" s="4951"/>
      <c r="Q48" s="938"/>
      <c r="R48" s="937"/>
    </row>
    <row r="49" spans="1:18" s="324" customFormat="1" x14ac:dyDescent="0.35">
      <c r="A49" s="4990"/>
      <c r="B49" s="5175" t="s">
        <v>993</v>
      </c>
      <c r="C49" s="5175"/>
      <c r="D49" s="5176"/>
      <c r="E49" s="2293"/>
      <c r="F49" s="2295"/>
      <c r="G49" s="1700" t="s">
        <v>850</v>
      </c>
      <c r="H49" s="1703">
        <v>2</v>
      </c>
      <c r="I49" s="2295"/>
      <c r="J49" s="946"/>
      <c r="K49" s="5171" t="s">
        <v>1886</v>
      </c>
      <c r="L49" s="4950"/>
      <c r="M49" s="946"/>
      <c r="N49" s="4949"/>
      <c r="O49" s="4950"/>
      <c r="P49" s="4951"/>
      <c r="Q49" s="938"/>
      <c r="R49" s="937"/>
    </row>
    <row r="50" spans="1:18" s="324" customFormat="1" x14ac:dyDescent="0.35">
      <c r="A50" s="4990"/>
      <c r="B50" s="5175" t="s">
        <v>1890</v>
      </c>
      <c r="C50" s="5175"/>
      <c r="D50" s="5176"/>
      <c r="E50" s="2293"/>
      <c r="F50" s="2295"/>
      <c r="G50" s="1700"/>
      <c r="H50" s="1703"/>
      <c r="I50" s="2295">
        <v>3</v>
      </c>
      <c r="J50" s="946"/>
      <c r="K50" s="5171" t="s">
        <v>1886</v>
      </c>
      <c r="L50" s="4950"/>
      <c r="M50" s="946"/>
      <c r="N50" s="4952"/>
      <c r="O50" s="4953"/>
      <c r="P50" s="4954"/>
      <c r="Q50" s="938"/>
      <c r="R50" s="937"/>
    </row>
    <row r="51" spans="1:18" s="324" customFormat="1" x14ac:dyDescent="0.35">
      <c r="A51" s="4990"/>
      <c r="B51" s="5175" t="s">
        <v>1512</v>
      </c>
      <c r="C51" s="5175"/>
      <c r="D51" s="5176"/>
      <c r="E51" s="2293"/>
      <c r="F51" s="2295"/>
      <c r="G51" s="1700" t="s">
        <v>850</v>
      </c>
      <c r="H51" s="1703"/>
      <c r="I51" s="2295"/>
      <c r="J51" s="946"/>
      <c r="K51" s="5171" t="s">
        <v>1886</v>
      </c>
      <c r="L51" s="4950"/>
      <c r="M51" s="946"/>
      <c r="N51" s="4949"/>
      <c r="O51" s="4950"/>
      <c r="P51" s="4951"/>
      <c r="Q51" s="938"/>
      <c r="R51" s="937"/>
    </row>
    <row r="52" spans="1:18" s="324" customFormat="1" x14ac:dyDescent="0.35">
      <c r="A52" s="4990"/>
      <c r="B52" s="5175" t="s">
        <v>994</v>
      </c>
      <c r="C52" s="5175"/>
      <c r="D52" s="5176"/>
      <c r="E52" s="2293"/>
      <c r="F52" s="2295" t="s">
        <v>850</v>
      </c>
      <c r="G52" s="1700"/>
      <c r="H52" s="1703">
        <v>1</v>
      </c>
      <c r="I52" s="2295"/>
      <c r="J52" s="946"/>
      <c r="K52" s="5171" t="s">
        <v>1886</v>
      </c>
      <c r="L52" s="4950"/>
      <c r="M52" s="946"/>
      <c r="N52" s="4949"/>
      <c r="O52" s="4950"/>
      <c r="P52" s="4951"/>
      <c r="Q52" s="938"/>
      <c r="R52" s="937"/>
    </row>
    <row r="53" spans="1:18" s="324" customFormat="1" x14ac:dyDescent="0.35">
      <c r="A53" s="4990"/>
      <c r="B53" s="5175" t="s">
        <v>1515</v>
      </c>
      <c r="C53" s="5175"/>
      <c r="D53" s="5176"/>
      <c r="E53" s="2293"/>
      <c r="F53" s="2295" t="s">
        <v>850</v>
      </c>
      <c r="G53" s="1700"/>
      <c r="H53" s="1703"/>
      <c r="I53" s="2295">
        <v>2</v>
      </c>
      <c r="J53" s="946"/>
      <c r="K53" s="5171" t="s">
        <v>1886</v>
      </c>
      <c r="L53" s="4950"/>
      <c r="M53" s="946"/>
      <c r="N53" s="4952"/>
      <c r="O53" s="4953"/>
      <c r="P53" s="4954"/>
      <c r="Q53" s="938"/>
      <c r="R53" s="937"/>
    </row>
    <row r="54" spans="1:18" s="324" customFormat="1" x14ac:dyDescent="0.35">
      <c r="A54" s="4990"/>
      <c r="B54" s="5175" t="s">
        <v>995</v>
      </c>
      <c r="C54" s="5175"/>
      <c r="D54" s="5176"/>
      <c r="E54" s="2293"/>
      <c r="F54" s="2295"/>
      <c r="G54" s="1700" t="s">
        <v>850</v>
      </c>
      <c r="H54" s="1703"/>
      <c r="I54" s="2295">
        <v>1</v>
      </c>
      <c r="J54" s="946"/>
      <c r="K54" s="5171" t="s">
        <v>1886</v>
      </c>
      <c r="L54" s="4950"/>
      <c r="M54" s="946"/>
      <c r="N54" s="4949"/>
      <c r="O54" s="4950"/>
      <c r="P54" s="4951"/>
      <c r="Q54" s="938"/>
      <c r="R54" s="937"/>
    </row>
    <row r="55" spans="1:18" s="324" customFormat="1" x14ac:dyDescent="0.35">
      <c r="A55" s="4990"/>
      <c r="B55" s="2298" t="s">
        <v>1884</v>
      </c>
      <c r="C55" s="2298"/>
      <c r="D55" s="2299"/>
      <c r="E55" s="2293"/>
      <c r="F55" s="2295"/>
      <c r="G55" s="1700" t="s">
        <v>850</v>
      </c>
      <c r="H55" s="1703">
        <v>2</v>
      </c>
      <c r="I55" s="2295">
        <v>4</v>
      </c>
      <c r="J55" s="946"/>
      <c r="K55" s="5171" t="s">
        <v>1886</v>
      </c>
      <c r="L55" s="4950"/>
      <c r="M55" s="946"/>
      <c r="N55" s="4952" t="s">
        <v>1891</v>
      </c>
      <c r="O55" s="4953"/>
      <c r="P55" s="4954"/>
      <c r="Q55" s="938"/>
      <c r="R55" s="937"/>
    </row>
    <row r="56" spans="1:18" s="324" customFormat="1" x14ac:dyDescent="0.35">
      <c r="A56" s="4990"/>
      <c r="B56" s="5175" t="s">
        <v>1513</v>
      </c>
      <c r="C56" s="5175"/>
      <c r="D56" s="5176"/>
      <c r="E56" s="2293"/>
      <c r="F56" s="2295" t="s">
        <v>850</v>
      </c>
      <c r="G56" s="1700"/>
      <c r="H56" s="1703">
        <v>2</v>
      </c>
      <c r="I56" s="2295">
        <v>6</v>
      </c>
      <c r="J56" s="946"/>
      <c r="K56" s="5171" t="s">
        <v>1886</v>
      </c>
      <c r="L56" s="4950"/>
      <c r="M56" s="946"/>
      <c r="N56" s="4949" t="s">
        <v>1891</v>
      </c>
      <c r="O56" s="4950"/>
      <c r="P56" s="4951"/>
      <c r="Q56" s="938"/>
      <c r="R56" s="937"/>
    </row>
    <row r="57" spans="1:18" s="324" customFormat="1" x14ac:dyDescent="0.35">
      <c r="A57" s="4990"/>
      <c r="B57" s="5175" t="s">
        <v>242</v>
      </c>
      <c r="C57" s="5175"/>
      <c r="D57" s="5176"/>
      <c r="E57" s="2293"/>
      <c r="F57" s="2295"/>
      <c r="G57" s="1700" t="s">
        <v>850</v>
      </c>
      <c r="H57" s="1703"/>
      <c r="I57" s="2295">
        <v>2</v>
      </c>
      <c r="J57" s="946"/>
      <c r="K57" s="2293"/>
      <c r="L57" s="2294"/>
      <c r="M57" s="946"/>
      <c r="N57" s="4952"/>
      <c r="O57" s="4953"/>
      <c r="P57" s="4954"/>
      <c r="Q57" s="938"/>
      <c r="R57" s="937"/>
    </row>
    <row r="58" spans="1:18" s="324" customFormat="1" x14ac:dyDescent="0.35">
      <c r="A58" s="4990"/>
      <c r="B58" s="5175" t="s">
        <v>1834</v>
      </c>
      <c r="C58" s="5175"/>
      <c r="D58" s="5176"/>
      <c r="E58" s="2293"/>
      <c r="F58" s="2295"/>
      <c r="G58" s="1700" t="s">
        <v>850</v>
      </c>
      <c r="H58" s="1707"/>
      <c r="I58" s="2295">
        <v>2</v>
      </c>
      <c r="J58" s="946"/>
      <c r="K58" s="5171" t="s">
        <v>1886</v>
      </c>
      <c r="L58" s="4950"/>
      <c r="M58" s="946"/>
      <c r="N58" s="4949"/>
      <c r="O58" s="4950"/>
      <c r="P58" s="4951"/>
      <c r="Q58" s="938"/>
      <c r="R58" s="937"/>
    </row>
    <row r="59" spans="1:18" s="324" customFormat="1" ht="6.75" customHeight="1" x14ac:dyDescent="0.35">
      <c r="A59" s="5179"/>
      <c r="B59" s="5180"/>
      <c r="C59" s="5180"/>
      <c r="D59" s="5180"/>
      <c r="E59" s="5180"/>
      <c r="F59" s="5180"/>
      <c r="G59" s="5180"/>
      <c r="H59" s="5180"/>
      <c r="I59" s="5180"/>
      <c r="J59" s="5180"/>
      <c r="K59" s="5180"/>
      <c r="L59" s="5180"/>
      <c r="M59" s="5180"/>
      <c r="N59" s="5180"/>
      <c r="O59" s="5180"/>
      <c r="P59" s="5181"/>
      <c r="Q59" s="937"/>
      <c r="R59" s="937"/>
    </row>
    <row r="60" spans="1:18" s="324" customFormat="1" ht="15.5" x14ac:dyDescent="0.35">
      <c r="A60" s="5182" t="s">
        <v>1835</v>
      </c>
      <c r="B60" s="5183"/>
      <c r="C60" s="5183"/>
      <c r="D60" s="5183"/>
      <c r="E60" s="5183"/>
      <c r="F60" s="5183"/>
      <c r="G60" s="5183"/>
      <c r="H60" s="5183"/>
      <c r="I60" s="5183"/>
      <c r="J60" s="5183"/>
      <c r="K60" s="5183"/>
      <c r="L60" s="5183"/>
      <c r="M60" s="5183"/>
      <c r="N60" s="5183"/>
      <c r="O60" s="5183"/>
      <c r="P60" s="5184"/>
      <c r="Q60" s="937"/>
      <c r="R60" s="937"/>
    </row>
    <row r="61" spans="1:18" s="324" customFormat="1" x14ac:dyDescent="0.35">
      <c r="A61" s="4990"/>
      <c r="B61" s="5175" t="s">
        <v>982</v>
      </c>
      <c r="C61" s="5175"/>
      <c r="D61" s="5176"/>
      <c r="E61" s="947"/>
      <c r="F61" s="2294"/>
      <c r="G61" s="1700" t="s">
        <v>850</v>
      </c>
      <c r="H61" s="1703">
        <v>4</v>
      </c>
      <c r="I61" s="2295"/>
      <c r="J61" s="948"/>
      <c r="K61" s="5178" t="s">
        <v>1889</v>
      </c>
      <c r="L61" s="4985"/>
      <c r="M61" s="950"/>
      <c r="N61" s="4984"/>
      <c r="O61" s="4985"/>
      <c r="P61" s="4986"/>
      <c r="Q61" s="938"/>
      <c r="R61" s="937"/>
    </row>
    <row r="62" spans="1:18" s="324" customFormat="1" x14ac:dyDescent="0.35">
      <c r="A62" s="4990"/>
      <c r="B62" s="5175" t="s">
        <v>1892</v>
      </c>
      <c r="C62" s="5175"/>
      <c r="D62" s="5176"/>
      <c r="E62" s="947"/>
      <c r="F62" s="2294"/>
      <c r="G62" s="1700" t="s">
        <v>850</v>
      </c>
      <c r="H62" s="1703">
        <v>1</v>
      </c>
      <c r="I62" s="2295"/>
      <c r="J62" s="948"/>
      <c r="K62" s="4968" t="s">
        <v>1885</v>
      </c>
      <c r="L62" s="4984"/>
      <c r="M62" s="950"/>
      <c r="N62" s="4968"/>
      <c r="O62" s="4969"/>
      <c r="P62" s="4970"/>
      <c r="Q62" s="938"/>
      <c r="R62" s="937"/>
    </row>
    <row r="63" spans="1:18" s="324" customFormat="1" x14ac:dyDescent="0.35">
      <c r="A63" s="4990"/>
      <c r="B63" s="5175" t="s">
        <v>996</v>
      </c>
      <c r="C63" s="5175"/>
      <c r="D63" s="5176"/>
      <c r="E63" s="2291"/>
      <c r="F63" s="2294"/>
      <c r="G63" s="1700" t="s">
        <v>850</v>
      </c>
      <c r="H63" s="1703">
        <v>4</v>
      </c>
      <c r="I63" s="2295"/>
      <c r="J63" s="948"/>
      <c r="K63" s="4968" t="s">
        <v>1889</v>
      </c>
      <c r="L63" s="4984"/>
      <c r="M63" s="950"/>
      <c r="N63" s="4968" t="s">
        <v>1893</v>
      </c>
      <c r="O63" s="4969"/>
      <c r="P63" s="4970"/>
      <c r="Q63" s="938"/>
      <c r="R63" s="937"/>
    </row>
    <row r="64" spans="1:18" s="324" customFormat="1" x14ac:dyDescent="0.35">
      <c r="A64" s="4990"/>
      <c r="B64" s="5175" t="s">
        <v>1516</v>
      </c>
      <c r="C64" s="5175"/>
      <c r="D64" s="5176"/>
      <c r="E64" s="2291"/>
      <c r="F64" s="2294" t="s">
        <v>850</v>
      </c>
      <c r="G64" s="1700"/>
      <c r="H64" s="1703">
        <v>1</v>
      </c>
      <c r="I64" s="2295"/>
      <c r="J64" s="948"/>
      <c r="K64" s="4968" t="s">
        <v>1888</v>
      </c>
      <c r="L64" s="4984"/>
      <c r="M64" s="950"/>
      <c r="N64" s="4968"/>
      <c r="O64" s="4969"/>
      <c r="P64" s="4970"/>
      <c r="Q64" s="938"/>
      <c r="R64" s="937"/>
    </row>
    <row r="65" spans="1:18" s="324" customFormat="1" x14ac:dyDescent="0.35">
      <c r="A65" s="4990"/>
      <c r="B65" s="5175" t="s">
        <v>1504</v>
      </c>
      <c r="C65" s="5175"/>
      <c r="D65" s="5176"/>
      <c r="E65" s="947"/>
      <c r="F65" s="2294"/>
      <c r="G65" s="1700" t="s">
        <v>850</v>
      </c>
      <c r="H65" s="1703">
        <v>1</v>
      </c>
      <c r="I65" s="2295"/>
      <c r="J65" s="948"/>
      <c r="K65" s="4968" t="s">
        <v>1888</v>
      </c>
      <c r="L65" s="4984"/>
      <c r="M65" s="950"/>
      <c r="N65" s="4968"/>
      <c r="O65" s="4969"/>
      <c r="P65" s="4970"/>
      <c r="Q65" s="938"/>
      <c r="R65" s="937"/>
    </row>
    <row r="66" spans="1:18" s="324" customFormat="1" x14ac:dyDescent="0.35">
      <c r="A66" s="4990"/>
      <c r="B66" s="5175" t="s">
        <v>1505</v>
      </c>
      <c r="C66" s="5175"/>
      <c r="D66" s="5176"/>
      <c r="E66" s="2303"/>
      <c r="F66" s="2294"/>
      <c r="G66" s="1700" t="s">
        <v>850</v>
      </c>
      <c r="H66" s="1703"/>
      <c r="I66" s="2295">
        <v>1</v>
      </c>
      <c r="J66" s="948"/>
      <c r="K66" s="4968" t="s">
        <v>1888</v>
      </c>
      <c r="L66" s="4984"/>
      <c r="M66" s="950"/>
      <c r="N66" s="4984"/>
      <c r="O66" s="4985"/>
      <c r="P66" s="4986"/>
      <c r="Q66" s="938"/>
      <c r="R66" s="937"/>
    </row>
    <row r="67" spans="1:18" s="324" customFormat="1" x14ac:dyDescent="0.35">
      <c r="A67" s="4990"/>
      <c r="B67" s="5172" t="s">
        <v>1506</v>
      </c>
      <c r="C67" s="5172"/>
      <c r="D67" s="5173"/>
      <c r="E67" s="2291"/>
      <c r="F67" s="2294"/>
      <c r="G67" s="1701" t="s">
        <v>850</v>
      </c>
      <c r="H67" s="1704"/>
      <c r="I67" s="2294">
        <v>1</v>
      </c>
      <c r="J67" s="946"/>
      <c r="K67" s="4968" t="s">
        <v>1888</v>
      </c>
      <c r="L67" s="4984"/>
      <c r="M67" s="946"/>
      <c r="N67" s="4949"/>
      <c r="O67" s="4950"/>
      <c r="P67" s="4951"/>
      <c r="Q67" s="938"/>
      <c r="R67" s="937"/>
    </row>
    <row r="68" spans="1:18" s="324" customFormat="1" x14ac:dyDescent="0.35">
      <c r="A68" s="4990"/>
      <c r="B68" s="5175" t="s">
        <v>1507</v>
      </c>
      <c r="C68" s="5175"/>
      <c r="D68" s="5176"/>
      <c r="E68" s="2293"/>
      <c r="F68" s="2295"/>
      <c r="G68" s="1700"/>
      <c r="H68" s="1704"/>
      <c r="I68" s="2295"/>
      <c r="J68" s="946"/>
      <c r="K68" s="5178"/>
      <c r="L68" s="4985"/>
      <c r="M68" s="946"/>
      <c r="N68" s="4949"/>
      <c r="O68" s="4950"/>
      <c r="P68" s="4951"/>
      <c r="Q68" s="937"/>
      <c r="R68" s="937"/>
    </row>
    <row r="69" spans="1:18" s="324" customFormat="1" x14ac:dyDescent="0.35">
      <c r="A69" s="4990"/>
      <c r="B69" s="5175" t="s">
        <v>1508</v>
      </c>
      <c r="C69" s="5175"/>
      <c r="D69" s="5176"/>
      <c r="E69" s="2293"/>
      <c r="F69" s="2295"/>
      <c r="G69" s="1700"/>
      <c r="H69" s="1704"/>
      <c r="I69" s="2295"/>
      <c r="J69" s="946"/>
      <c r="K69" s="4968"/>
      <c r="L69" s="4984"/>
      <c r="M69" s="946"/>
      <c r="N69" s="4952"/>
      <c r="O69" s="4953"/>
      <c r="P69" s="4954"/>
      <c r="Q69" s="937"/>
      <c r="R69" s="937"/>
    </row>
    <row r="70" spans="1:18" s="324" customFormat="1" x14ac:dyDescent="0.35">
      <c r="A70" s="4990"/>
      <c r="B70" s="5175" t="s">
        <v>1514</v>
      </c>
      <c r="C70" s="5175"/>
      <c r="D70" s="5176"/>
      <c r="E70" s="2293"/>
      <c r="F70" s="2295"/>
      <c r="G70" s="1700" t="s">
        <v>850</v>
      </c>
      <c r="H70" s="1705"/>
      <c r="I70" s="2295"/>
      <c r="J70" s="946">
        <v>1</v>
      </c>
      <c r="K70" s="4968" t="s">
        <v>1888</v>
      </c>
      <c r="L70" s="4984"/>
      <c r="M70" s="946"/>
      <c r="N70" s="4952"/>
      <c r="O70" s="4953"/>
      <c r="P70" s="4954"/>
      <c r="Q70" s="937"/>
      <c r="R70" s="937"/>
    </row>
    <row r="71" spans="1:18" s="324" customFormat="1" x14ac:dyDescent="0.35">
      <c r="A71" s="4990"/>
      <c r="B71" s="5175" t="s">
        <v>997</v>
      </c>
      <c r="C71" s="5175"/>
      <c r="D71" s="5176"/>
      <c r="E71" s="947"/>
      <c r="F71" s="942"/>
      <c r="G71" s="1701" t="s">
        <v>850</v>
      </c>
      <c r="H71" s="1704"/>
      <c r="I71" s="2294">
        <v>1</v>
      </c>
      <c r="J71" s="946"/>
      <c r="K71" s="5171" t="s">
        <v>1886</v>
      </c>
      <c r="L71" s="4950"/>
      <c r="M71" s="946"/>
      <c r="N71" s="4949"/>
      <c r="O71" s="4950"/>
      <c r="P71" s="4951"/>
      <c r="Q71" s="938"/>
      <c r="R71" s="937"/>
    </row>
    <row r="72" spans="1:18" s="324" customFormat="1" x14ac:dyDescent="0.35">
      <c r="A72" s="4990"/>
      <c r="B72" s="5175" t="s">
        <v>1836</v>
      </c>
      <c r="C72" s="5175"/>
      <c r="D72" s="5176"/>
      <c r="E72" s="2291"/>
      <c r="F72" s="2295"/>
      <c r="G72" s="1701" t="s">
        <v>850</v>
      </c>
      <c r="H72" s="1704"/>
      <c r="I72" s="2294">
        <v>1</v>
      </c>
      <c r="J72" s="946"/>
      <c r="K72" s="5171" t="s">
        <v>1885</v>
      </c>
      <c r="L72" s="4950"/>
      <c r="M72" s="946"/>
      <c r="N72" s="4952"/>
      <c r="O72" s="4953"/>
      <c r="P72" s="4954"/>
      <c r="Q72" s="938"/>
      <c r="R72" s="937"/>
    </row>
    <row r="73" spans="1:18" s="324" customFormat="1" x14ac:dyDescent="0.35">
      <c r="A73" s="4990"/>
      <c r="B73" s="5172" t="s">
        <v>1509</v>
      </c>
      <c r="C73" s="5172"/>
      <c r="D73" s="5173"/>
      <c r="E73" s="947"/>
      <c r="F73" s="942"/>
      <c r="G73" s="1701" t="s">
        <v>850</v>
      </c>
      <c r="H73" s="1704"/>
      <c r="I73" s="2294">
        <v>1</v>
      </c>
      <c r="J73" s="946"/>
      <c r="K73" s="5171" t="s">
        <v>1885</v>
      </c>
      <c r="L73" s="4950"/>
      <c r="M73" s="946"/>
      <c r="N73" s="4949"/>
      <c r="O73" s="4950"/>
      <c r="P73" s="4951"/>
      <c r="Q73" s="938"/>
      <c r="R73" s="937"/>
    </row>
    <row r="74" spans="1:18" s="324" customFormat="1" x14ac:dyDescent="0.35">
      <c r="A74" s="4990"/>
      <c r="B74" s="5172" t="s">
        <v>998</v>
      </c>
      <c r="C74" s="5172"/>
      <c r="D74" s="5173"/>
      <c r="E74" s="947"/>
      <c r="F74" s="2295"/>
      <c r="G74" s="1701" t="s">
        <v>850</v>
      </c>
      <c r="H74" s="1704"/>
      <c r="I74" s="2294">
        <v>2</v>
      </c>
      <c r="J74" s="946"/>
      <c r="K74" s="5171" t="s">
        <v>1885</v>
      </c>
      <c r="L74" s="4950"/>
      <c r="M74" s="946"/>
      <c r="N74" s="4949"/>
      <c r="O74" s="4950"/>
      <c r="P74" s="4951"/>
      <c r="Q74" s="938"/>
      <c r="R74" s="937"/>
    </row>
    <row r="75" spans="1:18" s="324" customFormat="1" x14ac:dyDescent="0.35">
      <c r="A75" s="4990"/>
      <c r="B75" s="5172" t="s">
        <v>999</v>
      </c>
      <c r="C75" s="5172"/>
      <c r="D75" s="5173"/>
      <c r="E75" s="2303"/>
      <c r="F75" s="2295"/>
      <c r="G75" s="1701" t="s">
        <v>850</v>
      </c>
      <c r="H75" s="1704">
        <v>1</v>
      </c>
      <c r="I75" s="2294"/>
      <c r="J75" s="946"/>
      <c r="K75" s="5171" t="s">
        <v>1885</v>
      </c>
      <c r="L75" s="4950"/>
      <c r="M75" s="946"/>
      <c r="N75" s="4949"/>
      <c r="O75" s="4950"/>
      <c r="P75" s="4951"/>
      <c r="Q75" s="938"/>
      <c r="R75" s="937"/>
    </row>
    <row r="76" spans="1:18" s="324" customFormat="1" x14ac:dyDescent="0.35">
      <c r="A76" s="4990"/>
      <c r="B76" s="2300" t="s">
        <v>1883</v>
      </c>
      <c r="C76" s="2300"/>
      <c r="D76" s="2301"/>
      <c r="E76" s="2303"/>
      <c r="F76" s="2295"/>
      <c r="G76" s="1701" t="s">
        <v>850</v>
      </c>
      <c r="H76" s="1704"/>
      <c r="I76" s="2294">
        <v>1</v>
      </c>
      <c r="J76" s="946"/>
      <c r="K76" s="5171" t="s">
        <v>1885</v>
      </c>
      <c r="L76" s="4950"/>
      <c r="M76" s="946"/>
      <c r="N76" s="4952"/>
      <c r="O76" s="4953"/>
      <c r="P76" s="4954"/>
      <c r="Q76" s="938"/>
      <c r="R76" s="937"/>
    </row>
    <row r="77" spans="1:18" s="324" customFormat="1" x14ac:dyDescent="0.35">
      <c r="A77" s="4990"/>
      <c r="B77" s="5172" t="s">
        <v>1000</v>
      </c>
      <c r="C77" s="5172"/>
      <c r="D77" s="5173"/>
      <c r="E77" s="2291"/>
      <c r="F77" s="2295" t="s">
        <v>850</v>
      </c>
      <c r="G77" s="1701"/>
      <c r="H77" s="1704"/>
      <c r="I77" s="2294">
        <v>1</v>
      </c>
      <c r="J77" s="946"/>
      <c r="K77" s="5171" t="s">
        <v>1885</v>
      </c>
      <c r="L77" s="4950"/>
      <c r="M77" s="946"/>
      <c r="N77" s="4949"/>
      <c r="O77" s="4950"/>
      <c r="P77" s="4951"/>
      <c r="Q77" s="938"/>
      <c r="R77" s="937"/>
    </row>
    <row r="78" spans="1:18" s="324" customFormat="1" ht="15" thickBot="1" x14ac:dyDescent="0.4">
      <c r="A78" s="5177"/>
      <c r="B78" s="5172" t="s">
        <v>1510</v>
      </c>
      <c r="C78" s="5172"/>
      <c r="D78" s="5173"/>
      <c r="E78" s="1921"/>
      <c r="F78" s="2302"/>
      <c r="G78" s="1709" t="s">
        <v>850</v>
      </c>
      <c r="H78" s="1710"/>
      <c r="I78" s="2094"/>
      <c r="J78" s="951">
        <v>2</v>
      </c>
      <c r="K78" s="5174" t="s">
        <v>1885</v>
      </c>
      <c r="L78" s="4976"/>
      <c r="M78" s="951"/>
      <c r="N78" s="4975"/>
      <c r="O78" s="4976"/>
      <c r="P78" s="4977"/>
      <c r="Q78" s="937"/>
      <c r="R78" s="937"/>
    </row>
    <row r="79" spans="1:18" s="324" customFormat="1" ht="15.5" thickTop="1" thickBot="1" x14ac:dyDescent="0.4">
      <c r="A79" s="1213"/>
      <c r="B79" s="1213"/>
      <c r="C79" s="1213"/>
      <c r="D79" s="1213"/>
      <c r="E79" s="1213"/>
      <c r="F79" s="1213"/>
      <c r="G79" s="1213"/>
      <c r="H79" s="1213"/>
      <c r="I79" s="1213"/>
      <c r="J79" s="1213"/>
      <c r="K79" s="1213"/>
      <c r="L79" s="1213"/>
      <c r="M79" s="1213"/>
      <c r="N79" s="1213"/>
      <c r="O79" s="1213"/>
      <c r="P79" s="1213"/>
      <c r="Q79" s="937"/>
      <c r="R79" s="937"/>
    </row>
    <row r="80" spans="1:18" s="324" customFormat="1" ht="15" thickTop="1" x14ac:dyDescent="0.35">
      <c r="A80" s="1214"/>
      <c r="B80" s="1214"/>
      <c r="C80" s="1214"/>
      <c r="D80" s="1216" t="s">
        <v>1268</v>
      </c>
      <c r="E80" s="1217"/>
      <c r="F80" s="1567"/>
      <c r="G80" s="1711"/>
      <c r="H80" s="1713">
        <f>SUM(H9:H14,H17:H26,H29:H45,H48:H58,H61:H78)</f>
        <v>31</v>
      </c>
      <c r="I80" s="1622">
        <f>SUM(I9:I14,I17:I26,I29:I45,I48:I58,I61:I78)</f>
        <v>52</v>
      </c>
      <c r="J80" s="1715">
        <f>SUM(J9:J14,J17:J26,J29:J45,J48:J58,J61:J78)</f>
        <v>15</v>
      </c>
      <c r="K80" s="2164" t="s">
        <v>1895</v>
      </c>
      <c r="L80" s="1214"/>
      <c r="M80" s="1214"/>
      <c r="N80" s="1214"/>
      <c r="O80" s="1214"/>
      <c r="P80" s="1214"/>
      <c r="Q80" s="937"/>
      <c r="R80" s="937"/>
    </row>
    <row r="81" spans="1:76" s="324" customFormat="1" ht="15" thickBot="1" x14ac:dyDescent="0.4">
      <c r="A81" s="1214"/>
      <c r="B81" s="1214"/>
      <c r="C81" s="1214"/>
      <c r="D81" s="1215" t="s">
        <v>1269</v>
      </c>
      <c r="E81" s="1218"/>
      <c r="F81" s="1568"/>
      <c r="G81" s="1712"/>
      <c r="H81" s="1714">
        <v>15</v>
      </c>
      <c r="I81" s="1623">
        <v>25</v>
      </c>
      <c r="J81" s="1624">
        <v>7.5</v>
      </c>
      <c r="K81" s="2164" t="s">
        <v>1894</v>
      </c>
      <c r="L81" s="1214"/>
      <c r="M81" s="1214"/>
      <c r="N81" s="1214"/>
      <c r="O81" s="1214"/>
      <c r="P81" s="1214"/>
      <c r="Q81" s="937"/>
      <c r="R81" s="937"/>
    </row>
    <row r="82" spans="1:76" ht="20.25" customHeight="1" thickTop="1" thickBot="1" x14ac:dyDescent="0.4">
      <c r="A82" s="1214"/>
      <c r="B82" s="1214"/>
      <c r="C82" s="1214"/>
      <c r="D82" s="1214"/>
      <c r="E82" s="1214"/>
      <c r="F82" s="1214"/>
      <c r="G82" s="1214"/>
      <c r="H82" s="1214"/>
      <c r="I82" s="1214"/>
      <c r="J82" s="1214"/>
      <c r="K82" s="1214"/>
      <c r="L82" s="1214"/>
      <c r="M82" s="1214"/>
      <c r="N82" s="1214"/>
      <c r="O82" s="1214"/>
      <c r="P82" s="1214"/>
      <c r="Q82" s="743"/>
      <c r="R82" s="382"/>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row>
    <row r="83" spans="1:76" ht="19.5" thickTop="1" thickBot="1" x14ac:dyDescent="0.4">
      <c r="A83" s="5169" t="s">
        <v>10</v>
      </c>
      <c r="B83" s="5170"/>
      <c r="C83" s="5170"/>
      <c r="D83" s="5170"/>
      <c r="E83" s="5170"/>
      <c r="F83" s="5170"/>
      <c r="G83" s="5170"/>
      <c r="H83" s="5170"/>
      <c r="I83" s="5170"/>
      <c r="J83" s="5170"/>
      <c r="K83" s="5170"/>
      <c r="L83" s="161"/>
      <c r="M83" s="3725" t="s">
        <v>748</v>
      </c>
      <c r="N83" s="3726"/>
      <c r="O83" s="3727"/>
      <c r="P83" s="31"/>
      <c r="Q83" s="64"/>
      <c r="R83" s="382"/>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row>
    <row r="84" spans="1:76" ht="20.25" customHeight="1" x14ac:dyDescent="0.35">
      <c r="A84" s="5164" t="s">
        <v>700</v>
      </c>
      <c r="B84" s="5166"/>
      <c r="C84" s="5166"/>
      <c r="D84" s="5166"/>
      <c r="E84" s="5166"/>
      <c r="F84" s="5166"/>
      <c r="G84" s="5166"/>
      <c r="H84" s="5166"/>
      <c r="I84" s="5166"/>
      <c r="J84" s="5166"/>
      <c r="K84" s="5166"/>
      <c r="L84" s="39"/>
      <c r="M84" s="3750" t="s">
        <v>1271</v>
      </c>
      <c r="N84" s="3751"/>
      <c r="O84" s="3752"/>
      <c r="P84" s="33"/>
      <c r="Q84" s="64"/>
      <c r="R84" s="382"/>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row>
    <row r="85" spans="1:76" ht="20.25" customHeight="1" x14ac:dyDescent="0.35">
      <c r="A85" s="5164"/>
      <c r="B85" s="5166"/>
      <c r="C85" s="5166"/>
      <c r="D85" s="5166"/>
      <c r="E85" s="5166"/>
      <c r="F85" s="5166"/>
      <c r="G85" s="5166"/>
      <c r="H85" s="5166"/>
      <c r="I85" s="5166"/>
      <c r="J85" s="5166"/>
      <c r="K85" s="5166"/>
      <c r="L85" s="39"/>
      <c r="M85" s="3753"/>
      <c r="N85" s="3754"/>
      <c r="O85" s="3755"/>
      <c r="P85" s="33"/>
      <c r="Q85" s="64"/>
      <c r="R85" s="382"/>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row>
    <row r="86" spans="1:76" ht="20.25" customHeight="1" x14ac:dyDescent="0.35">
      <c r="A86" s="5164"/>
      <c r="B86" s="5166"/>
      <c r="C86" s="5166"/>
      <c r="D86" s="5166"/>
      <c r="E86" s="5166"/>
      <c r="F86" s="5166"/>
      <c r="G86" s="5166"/>
      <c r="H86" s="5166"/>
      <c r="I86" s="5166"/>
      <c r="J86" s="5166"/>
      <c r="K86" s="5166"/>
      <c r="L86" s="39"/>
      <c r="M86" s="3753"/>
      <c r="N86" s="3754"/>
      <c r="O86" s="3755"/>
      <c r="P86" s="33"/>
      <c r="Q86" s="64"/>
      <c r="R86" s="382"/>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row>
    <row r="87" spans="1:76" ht="20.25" customHeight="1" thickBot="1" x14ac:dyDescent="0.4">
      <c r="A87" s="5167"/>
      <c r="B87" s="5168"/>
      <c r="C87" s="5168"/>
      <c r="D87" s="5168"/>
      <c r="E87" s="5168"/>
      <c r="F87" s="5168"/>
      <c r="G87" s="5168"/>
      <c r="H87" s="5168"/>
      <c r="I87" s="5168"/>
      <c r="J87" s="5168"/>
      <c r="K87" s="5168"/>
      <c r="L87" s="39"/>
      <c r="M87" s="3756"/>
      <c r="N87" s="3757"/>
      <c r="O87" s="3758"/>
      <c r="P87" s="33"/>
      <c r="Q87" s="64"/>
      <c r="R87" s="382"/>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row>
    <row r="88" spans="1:76" ht="15.5" thickTop="1" thickBot="1" x14ac:dyDescent="0.4">
      <c r="A88" s="463"/>
      <c r="B88" s="64"/>
      <c r="C88" s="64"/>
      <c r="D88" s="64"/>
      <c r="E88" s="64"/>
      <c r="F88" s="64"/>
      <c r="G88" s="64"/>
      <c r="H88" s="64"/>
      <c r="I88" s="64"/>
      <c r="J88" s="64"/>
      <c r="K88" s="64"/>
      <c r="L88" s="64"/>
      <c r="M88" s="31"/>
      <c r="N88" s="31"/>
      <c r="O88" s="31"/>
      <c r="P88" s="64"/>
      <c r="Q88" s="64"/>
      <c r="R88" s="382"/>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row>
    <row r="89" spans="1:76" ht="19.5" thickTop="1" thickBot="1" x14ac:dyDescent="0.4">
      <c r="A89" s="5169" t="s">
        <v>11</v>
      </c>
      <c r="B89" s="5170"/>
      <c r="C89" s="5170"/>
      <c r="D89" s="5170"/>
      <c r="E89" s="5170"/>
      <c r="F89" s="5170"/>
      <c r="G89" s="5170"/>
      <c r="H89" s="5170"/>
      <c r="I89" s="5170"/>
      <c r="J89" s="5170"/>
      <c r="K89" s="5170"/>
      <c r="L89" s="161"/>
      <c r="M89" s="3725" t="s">
        <v>748</v>
      </c>
      <c r="N89" s="3726"/>
      <c r="O89" s="3727"/>
      <c r="P89" s="31"/>
      <c r="Q89" s="64"/>
      <c r="R89" s="382"/>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row>
    <row r="90" spans="1:76" ht="20.25" customHeight="1" x14ac:dyDescent="0.35">
      <c r="A90" s="5164" t="s">
        <v>1267</v>
      </c>
      <c r="B90" s="5165"/>
      <c r="C90" s="5165"/>
      <c r="D90" s="5165"/>
      <c r="E90" s="5165"/>
      <c r="F90" s="5165"/>
      <c r="G90" s="5165"/>
      <c r="H90" s="5165"/>
      <c r="I90" s="5165"/>
      <c r="J90" s="5165"/>
      <c r="K90" s="5166"/>
      <c r="L90" s="39"/>
      <c r="M90" s="3750" t="s">
        <v>1270</v>
      </c>
      <c r="N90" s="3751"/>
      <c r="O90" s="3752"/>
      <c r="P90" s="33"/>
      <c r="Q90" s="64"/>
      <c r="R90" s="382"/>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row>
    <row r="91" spans="1:76" ht="20.25" customHeight="1" x14ac:dyDescent="0.35">
      <c r="A91" s="5164"/>
      <c r="B91" s="5165"/>
      <c r="C91" s="5165"/>
      <c r="D91" s="5165"/>
      <c r="E91" s="5165"/>
      <c r="F91" s="5165"/>
      <c r="G91" s="5165"/>
      <c r="H91" s="5165"/>
      <c r="I91" s="5165"/>
      <c r="J91" s="5165"/>
      <c r="K91" s="5166"/>
      <c r="L91" s="39"/>
      <c r="M91" s="3753"/>
      <c r="N91" s="3754"/>
      <c r="O91" s="3755"/>
      <c r="P91" s="33"/>
      <c r="Q91" s="64"/>
      <c r="R91" s="382"/>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row>
    <row r="92" spans="1:76" ht="20.25" customHeight="1" x14ac:dyDescent="0.35">
      <c r="A92" s="5164"/>
      <c r="B92" s="5165"/>
      <c r="C92" s="5165"/>
      <c r="D92" s="5165"/>
      <c r="E92" s="5165"/>
      <c r="F92" s="5165"/>
      <c r="G92" s="5165"/>
      <c r="H92" s="5165"/>
      <c r="I92" s="5165"/>
      <c r="J92" s="5165"/>
      <c r="K92" s="5166"/>
      <c r="L92" s="39"/>
      <c r="M92" s="3753"/>
      <c r="N92" s="3754"/>
      <c r="O92" s="3755"/>
      <c r="P92" s="33"/>
      <c r="Q92" s="64"/>
      <c r="R92" s="382"/>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row>
    <row r="93" spans="1:76" ht="20.25" customHeight="1" thickBot="1" x14ac:dyDescent="0.4">
      <c r="A93" s="5167"/>
      <c r="B93" s="5168"/>
      <c r="C93" s="5168"/>
      <c r="D93" s="5168"/>
      <c r="E93" s="5168"/>
      <c r="F93" s="5168"/>
      <c r="G93" s="5168"/>
      <c r="H93" s="5168"/>
      <c r="I93" s="5168"/>
      <c r="J93" s="5168"/>
      <c r="K93" s="5168"/>
      <c r="L93" s="39"/>
      <c r="M93" s="3756"/>
      <c r="N93" s="3757"/>
      <c r="O93" s="3758"/>
      <c r="P93" s="33"/>
      <c r="Q93" s="64"/>
      <c r="R93" s="382"/>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row>
    <row r="94" spans="1:76" ht="15" thickTop="1" x14ac:dyDescent="0.35">
      <c r="A94" s="463"/>
      <c r="B94" s="64"/>
      <c r="C94" s="64"/>
      <c r="D94" s="64"/>
      <c r="E94" s="64"/>
      <c r="F94" s="64"/>
      <c r="G94" s="64"/>
      <c r="H94" s="64"/>
      <c r="I94" s="64"/>
      <c r="J94" s="64"/>
      <c r="K94" s="64"/>
      <c r="L94" s="64"/>
      <c r="M94" s="64"/>
      <c r="N94" s="64"/>
      <c r="O94" s="64"/>
      <c r="P94" s="64"/>
      <c r="Q94" s="64"/>
      <c r="R94" s="382"/>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row>
  </sheetData>
  <mergeCells count="220">
    <mergeCell ref="D3:G3"/>
    <mergeCell ref="B4:G4"/>
    <mergeCell ref="H4:Q4"/>
    <mergeCell ref="A5:B5"/>
    <mergeCell ref="C5:Q5"/>
    <mergeCell ref="A6:D6"/>
    <mergeCell ref="K6:L6"/>
    <mergeCell ref="N6:P6"/>
    <mergeCell ref="D1:G1"/>
    <mergeCell ref="I1:J1"/>
    <mergeCell ref="L1:M1"/>
    <mergeCell ref="D2:G2"/>
    <mergeCell ref="I2:J2"/>
    <mergeCell ref="L2:M2"/>
    <mergeCell ref="K11:L11"/>
    <mergeCell ref="N11:P11"/>
    <mergeCell ref="B12:D12"/>
    <mergeCell ref="K12:L12"/>
    <mergeCell ref="N12:P12"/>
    <mergeCell ref="B13:D13"/>
    <mergeCell ref="K13:L13"/>
    <mergeCell ref="N13:P13"/>
    <mergeCell ref="A7:P7"/>
    <mergeCell ref="A8:P8"/>
    <mergeCell ref="A9:A14"/>
    <mergeCell ref="B9:D9"/>
    <mergeCell ref="K9:L9"/>
    <mergeCell ref="N9:P9"/>
    <mergeCell ref="B10:D10"/>
    <mergeCell ref="K10:L10"/>
    <mergeCell ref="N10:P10"/>
    <mergeCell ref="B11:D11"/>
    <mergeCell ref="B14:D14"/>
    <mergeCell ref="K14:L14"/>
    <mergeCell ref="N14:P14"/>
    <mergeCell ref="A15:P15"/>
    <mergeCell ref="A16:P16"/>
    <mergeCell ref="A17:A26"/>
    <mergeCell ref="B17:D17"/>
    <mergeCell ref="K17:L17"/>
    <mergeCell ref="N17:P17"/>
    <mergeCell ref="B18:D18"/>
    <mergeCell ref="B21:D21"/>
    <mergeCell ref="K21:L21"/>
    <mergeCell ref="N21:P21"/>
    <mergeCell ref="B22:D22"/>
    <mergeCell ref="K22:L22"/>
    <mergeCell ref="N22:P22"/>
    <mergeCell ref="K18:L18"/>
    <mergeCell ref="N18:P18"/>
    <mergeCell ref="B19:D19"/>
    <mergeCell ref="K19:L19"/>
    <mergeCell ref="N19:P19"/>
    <mergeCell ref="B20:D20"/>
    <mergeCell ref="K20:L20"/>
    <mergeCell ref="N20:P20"/>
    <mergeCell ref="B25:D25"/>
    <mergeCell ref="K25:L25"/>
    <mergeCell ref="N25:P25"/>
    <mergeCell ref="B26:D26"/>
    <mergeCell ref="K26:L26"/>
    <mergeCell ref="N26:P26"/>
    <mergeCell ref="B23:D23"/>
    <mergeCell ref="K23:L23"/>
    <mergeCell ref="N23:P23"/>
    <mergeCell ref="B24:D24"/>
    <mergeCell ref="K24:L24"/>
    <mergeCell ref="N24:P24"/>
    <mergeCell ref="K31:L31"/>
    <mergeCell ref="B32:D32"/>
    <mergeCell ref="K32:L32"/>
    <mergeCell ref="B33:D33"/>
    <mergeCell ref="K33:L33"/>
    <mergeCell ref="N33:P33"/>
    <mergeCell ref="A27:P27"/>
    <mergeCell ref="A28:P28"/>
    <mergeCell ref="A29:A45"/>
    <mergeCell ref="B29:D29"/>
    <mergeCell ref="K29:L29"/>
    <mergeCell ref="N29:P29"/>
    <mergeCell ref="B30:D30"/>
    <mergeCell ref="K30:L30"/>
    <mergeCell ref="N30:P30"/>
    <mergeCell ref="B31:D31"/>
    <mergeCell ref="B36:D36"/>
    <mergeCell ref="K36:L36"/>
    <mergeCell ref="N36:P36"/>
    <mergeCell ref="B37:D37"/>
    <mergeCell ref="K37:L37"/>
    <mergeCell ref="N37:P37"/>
    <mergeCell ref="B34:D34"/>
    <mergeCell ref="K34:L34"/>
    <mergeCell ref="N34:P34"/>
    <mergeCell ref="B35:D35"/>
    <mergeCell ref="K35:L35"/>
    <mergeCell ref="N35:P35"/>
    <mergeCell ref="B40:D40"/>
    <mergeCell ref="K40:L40"/>
    <mergeCell ref="N40:P40"/>
    <mergeCell ref="B41:D41"/>
    <mergeCell ref="K41:L41"/>
    <mergeCell ref="N41:P41"/>
    <mergeCell ref="B38:D38"/>
    <mergeCell ref="K38:L38"/>
    <mergeCell ref="N38:P38"/>
    <mergeCell ref="B39:D39"/>
    <mergeCell ref="K39:L39"/>
    <mergeCell ref="N39:P39"/>
    <mergeCell ref="N44:P44"/>
    <mergeCell ref="B45:D45"/>
    <mergeCell ref="K45:L45"/>
    <mergeCell ref="N45:P45"/>
    <mergeCell ref="A46:P46"/>
    <mergeCell ref="A47:P47"/>
    <mergeCell ref="B42:D42"/>
    <mergeCell ref="K42:L42"/>
    <mergeCell ref="B43:D43"/>
    <mergeCell ref="K43:L43"/>
    <mergeCell ref="B44:D44"/>
    <mergeCell ref="K44:L44"/>
    <mergeCell ref="K51:L51"/>
    <mergeCell ref="N51:P51"/>
    <mergeCell ref="B52:D52"/>
    <mergeCell ref="K52:L52"/>
    <mergeCell ref="N52:P52"/>
    <mergeCell ref="B53:D53"/>
    <mergeCell ref="K53:L53"/>
    <mergeCell ref="A48:A58"/>
    <mergeCell ref="B48:D48"/>
    <mergeCell ref="K48:L48"/>
    <mergeCell ref="N48:P48"/>
    <mergeCell ref="B49:D49"/>
    <mergeCell ref="K49:L49"/>
    <mergeCell ref="N49:P49"/>
    <mergeCell ref="B50:D50"/>
    <mergeCell ref="K50:L50"/>
    <mergeCell ref="B51:D51"/>
    <mergeCell ref="B57:D57"/>
    <mergeCell ref="B58:D58"/>
    <mergeCell ref="K58:L58"/>
    <mergeCell ref="N58:P58"/>
    <mergeCell ref="A59:P59"/>
    <mergeCell ref="A60:P60"/>
    <mergeCell ref="B54:D54"/>
    <mergeCell ref="K54:L54"/>
    <mergeCell ref="N54:P54"/>
    <mergeCell ref="K55:L55"/>
    <mergeCell ref="B56:D56"/>
    <mergeCell ref="K56:L56"/>
    <mergeCell ref="N56:P56"/>
    <mergeCell ref="A61:A78"/>
    <mergeCell ref="B61:D61"/>
    <mergeCell ref="K61:L61"/>
    <mergeCell ref="N61:P61"/>
    <mergeCell ref="B62:D62"/>
    <mergeCell ref="K62:L62"/>
    <mergeCell ref="B63:D63"/>
    <mergeCell ref="K63:L63"/>
    <mergeCell ref="B64:D64"/>
    <mergeCell ref="K64:L64"/>
    <mergeCell ref="B68:D68"/>
    <mergeCell ref="K68:L68"/>
    <mergeCell ref="N68:P68"/>
    <mergeCell ref="B69:D69"/>
    <mergeCell ref="K69:L69"/>
    <mergeCell ref="B70:D70"/>
    <mergeCell ref="K70:L70"/>
    <mergeCell ref="B65:D65"/>
    <mergeCell ref="K65:L65"/>
    <mergeCell ref="B66:D66"/>
    <mergeCell ref="K66:L66"/>
    <mergeCell ref="N66:P66"/>
    <mergeCell ref="B67:D67"/>
    <mergeCell ref="K67:L67"/>
    <mergeCell ref="N67:P67"/>
    <mergeCell ref="B71:D71"/>
    <mergeCell ref="K71:L71"/>
    <mergeCell ref="N71:P71"/>
    <mergeCell ref="B72:D72"/>
    <mergeCell ref="K72:L72"/>
    <mergeCell ref="B73:D73"/>
    <mergeCell ref="K73:L73"/>
    <mergeCell ref="N73:P73"/>
    <mergeCell ref="N72:P72"/>
    <mergeCell ref="K77:L77"/>
    <mergeCell ref="N77:P77"/>
    <mergeCell ref="B78:D78"/>
    <mergeCell ref="K78:L78"/>
    <mergeCell ref="N78:P78"/>
    <mergeCell ref="N76:P76"/>
    <mergeCell ref="B74:D74"/>
    <mergeCell ref="K74:L74"/>
    <mergeCell ref="N74:P74"/>
    <mergeCell ref="B75:D75"/>
    <mergeCell ref="K75:L75"/>
    <mergeCell ref="N75:P75"/>
    <mergeCell ref="N63:P63"/>
    <mergeCell ref="N62:P62"/>
    <mergeCell ref="N64:P64"/>
    <mergeCell ref="N65:P65"/>
    <mergeCell ref="N69:P69"/>
    <mergeCell ref="N70:P70"/>
    <mergeCell ref="A90:K93"/>
    <mergeCell ref="M90:O93"/>
    <mergeCell ref="N31:P31"/>
    <mergeCell ref="N32:P32"/>
    <mergeCell ref="N42:P42"/>
    <mergeCell ref="N43:P43"/>
    <mergeCell ref="N50:P50"/>
    <mergeCell ref="N53:P53"/>
    <mergeCell ref="N55:P55"/>
    <mergeCell ref="N57:P57"/>
    <mergeCell ref="A83:K83"/>
    <mergeCell ref="M83:O83"/>
    <mergeCell ref="A84:K87"/>
    <mergeCell ref="M84:O87"/>
    <mergeCell ref="A89:K89"/>
    <mergeCell ref="M89:O89"/>
    <mergeCell ref="K76:L76"/>
    <mergeCell ref="B77:D77"/>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C00-000000000000}">
      <formula1>AvancementTheme</formula1>
    </dataValidation>
  </dataValidations>
  <hyperlinks>
    <hyperlink ref="O1" location="DPDV_10SK2" display="PdV" xr:uid="{00000000-0004-0000-2C00-000000000000}"/>
    <hyperlink ref="P1" location="DKPI_10SK2" display="KPI's" xr:uid="{00000000-0004-0000-2C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97">
    <tabColor theme="8" tint="0.59999389629810485"/>
    <pageSetUpPr fitToPage="1"/>
  </sheetPr>
  <dimension ref="A1:BX94"/>
  <sheetViews>
    <sheetView showGridLines="0" showRowColHeaders="0" zoomScaleNormal="100" workbookViewId="0">
      <pane ySplit="6" topLeftCell="A7" activePane="bottomLeft" state="frozen"/>
      <selection activeCell="H7" sqref="H7"/>
      <selection pane="bottomLeft" activeCell="A7" sqref="A7:P7"/>
    </sheetView>
  </sheetViews>
  <sheetFormatPr baseColWidth="10" defaultColWidth="11.453125" defaultRowHeight="14.5" x14ac:dyDescent="0.35"/>
  <cols>
    <col min="1" max="1" width="6.453125" style="63" customWidth="1"/>
    <col min="2" max="2" width="14.1796875" style="60" customWidth="1"/>
    <col min="3" max="3" width="11.453125" style="60"/>
    <col min="4" max="4" width="17.7265625" style="60" customWidth="1"/>
    <col min="5" max="11" width="11.453125" style="60"/>
    <col min="12" max="12" width="12.81640625" style="60" customWidth="1"/>
    <col min="13" max="14" width="11.453125" style="60"/>
    <col min="15" max="15" width="11.453125" style="60" customWidth="1"/>
    <col min="16" max="16" width="11.453125" style="60"/>
    <col min="17" max="17" width="8.1796875" style="60" customWidth="1"/>
    <col min="18" max="16384" width="11.453125" style="60"/>
  </cols>
  <sheetData>
    <row r="1" spans="1:22" s="54" customFormat="1" ht="15" customHeight="1" x14ac:dyDescent="0.35">
      <c r="A1" s="391"/>
      <c r="B1" s="2268"/>
      <c r="C1" s="2268"/>
      <c r="D1" s="3341" t="s">
        <v>5</v>
      </c>
      <c r="E1" s="3341"/>
      <c r="F1" s="3341"/>
      <c r="G1" s="3341"/>
      <c r="H1" s="391"/>
      <c r="I1" s="3341" t="s">
        <v>6</v>
      </c>
      <c r="J1" s="3341"/>
      <c r="K1" s="2268"/>
      <c r="L1" s="3341" t="s">
        <v>9</v>
      </c>
      <c r="M1" s="3341"/>
      <c r="N1" s="2268"/>
      <c r="O1" s="479" t="s">
        <v>2</v>
      </c>
      <c r="P1" s="479" t="s">
        <v>3</v>
      </c>
      <c r="Q1" s="829"/>
      <c r="R1" s="458"/>
    </row>
    <row r="2" spans="1:22" s="58" customFormat="1" ht="18" customHeight="1" x14ac:dyDescent="0.35">
      <c r="A2" s="393"/>
      <c r="B2" s="393"/>
      <c r="C2" s="393"/>
      <c r="D2" s="3342" t="str">
        <f>NomClient</f>
        <v xml:space="preserve">EQUINIX </v>
      </c>
      <c r="E2" s="3343"/>
      <c r="F2" s="3343"/>
      <c r="G2" s="3344"/>
      <c r="H2" s="393"/>
      <c r="I2" s="3345" t="s">
        <v>410</v>
      </c>
      <c r="J2" s="3346"/>
      <c r="K2" s="393"/>
      <c r="L2" s="3347">
        <v>42420.762708333335</v>
      </c>
      <c r="M2" s="3348"/>
      <c r="N2" s="394"/>
      <c r="O2" s="451">
        <f>IF(LEN(DPDV_10SK3)&gt;0,LEN(DPDV_10SK3),0-PDV_NBmini)</f>
        <v>245</v>
      </c>
      <c r="P2" s="451">
        <f>IF(LEN(DKPI_10SK3)&gt;0,LEN(DKPI_10SK3),0-KPI_NBmini)</f>
        <v>57</v>
      </c>
      <c r="Q2" s="830"/>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907"/>
      <c r="B4" s="4203" t="str">
        <f>Parametre!B32 &amp; "   : "</f>
        <v xml:space="preserve">Programmes partenaires   : </v>
      </c>
      <c r="C4" s="4203"/>
      <c r="D4" s="4203"/>
      <c r="E4" s="4203"/>
      <c r="F4" s="4203"/>
      <c r="G4" s="4203"/>
      <c r="H4" s="4204" t="str">
        <f>"Partner Sales Kit pour " &amp; NomProd3</f>
        <v xml:space="preserve">Partner Sales Kit pour </v>
      </c>
      <c r="I4" s="4204"/>
      <c r="J4" s="4204"/>
      <c r="K4" s="4204"/>
      <c r="L4" s="4204"/>
      <c r="M4" s="4204"/>
      <c r="N4" s="4204"/>
      <c r="O4" s="4204"/>
      <c r="P4" s="4204"/>
      <c r="Q4" s="4205"/>
      <c r="R4" s="444"/>
    </row>
    <row r="5" spans="1:22" s="193" customFormat="1" ht="36.75" customHeight="1" thickBot="1" x14ac:dyDescent="0.4">
      <c r="A5" s="3438" t="s">
        <v>14</v>
      </c>
      <c r="B5" s="3438"/>
      <c r="C5" s="3508" t="s">
        <v>1331</v>
      </c>
      <c r="D5" s="3508"/>
      <c r="E5" s="3508"/>
      <c r="F5" s="3508"/>
      <c r="G5" s="3508"/>
      <c r="H5" s="3508"/>
      <c r="I5" s="3508"/>
      <c r="J5" s="3508"/>
      <c r="K5" s="3508"/>
      <c r="L5" s="3508"/>
      <c r="M5" s="3508"/>
      <c r="N5" s="3508"/>
      <c r="O5" s="3508"/>
      <c r="P5" s="3508"/>
      <c r="Q5" s="3508"/>
      <c r="R5" s="460"/>
    </row>
    <row r="6" spans="1:22" s="324" customFormat="1" ht="38.25" customHeight="1" thickTop="1" x14ac:dyDescent="0.35">
      <c r="A6" s="4987" t="s">
        <v>1257</v>
      </c>
      <c r="B6" s="4988"/>
      <c r="C6" s="4988"/>
      <c r="D6" s="4989"/>
      <c r="E6" s="2296" t="s">
        <v>977</v>
      </c>
      <c r="F6" s="1196" t="s">
        <v>978</v>
      </c>
      <c r="G6" s="2297" t="s">
        <v>146</v>
      </c>
      <c r="H6" s="2297" t="s">
        <v>1093</v>
      </c>
      <c r="I6" s="2297" t="s">
        <v>1091</v>
      </c>
      <c r="J6" s="945" t="s">
        <v>1092</v>
      </c>
      <c r="K6" s="5000" t="s">
        <v>1163</v>
      </c>
      <c r="L6" s="5001"/>
      <c r="M6" s="945" t="s">
        <v>979</v>
      </c>
      <c r="N6" s="4994" t="s">
        <v>18</v>
      </c>
      <c r="O6" s="4995"/>
      <c r="P6" s="4996"/>
      <c r="Q6" s="937"/>
      <c r="R6" s="937"/>
    </row>
    <row r="7" spans="1:22" s="324" customFormat="1" ht="6.75" customHeight="1" x14ac:dyDescent="0.35">
      <c r="A7" s="4997"/>
      <c r="B7" s="4998"/>
      <c r="C7" s="4998"/>
      <c r="D7" s="4998"/>
      <c r="E7" s="4998"/>
      <c r="F7" s="4998"/>
      <c r="G7" s="4998"/>
      <c r="H7" s="4998"/>
      <c r="I7" s="4998"/>
      <c r="J7" s="4998"/>
      <c r="K7" s="4998"/>
      <c r="L7" s="4998"/>
      <c r="M7" s="4998"/>
      <c r="N7" s="4998"/>
      <c r="O7" s="4998"/>
      <c r="P7" s="4999"/>
      <c r="Q7" s="937"/>
      <c r="R7" s="937"/>
    </row>
    <row r="8" spans="1:22" s="324" customFormat="1" ht="15.5" x14ac:dyDescent="0.35">
      <c r="A8" s="5182" t="s">
        <v>1162</v>
      </c>
      <c r="B8" s="5183"/>
      <c r="C8" s="5183"/>
      <c r="D8" s="5183"/>
      <c r="E8" s="5183"/>
      <c r="F8" s="5183"/>
      <c r="G8" s="5183"/>
      <c r="H8" s="5183"/>
      <c r="I8" s="5183"/>
      <c r="J8" s="5183"/>
      <c r="K8" s="5183"/>
      <c r="L8" s="5183"/>
      <c r="M8" s="5183"/>
      <c r="N8" s="5183"/>
      <c r="O8" s="5183"/>
      <c r="P8" s="5184"/>
      <c r="Q8" s="937"/>
      <c r="R8" s="937"/>
    </row>
    <row r="9" spans="1:22" s="324" customFormat="1" x14ac:dyDescent="0.35">
      <c r="A9" s="4990"/>
      <c r="B9" s="5175" t="s">
        <v>1517</v>
      </c>
      <c r="C9" s="5175"/>
      <c r="D9" s="5176"/>
      <c r="E9" s="2293"/>
      <c r="F9" s="2295" t="s">
        <v>850</v>
      </c>
      <c r="G9" s="1700"/>
      <c r="H9" s="1703">
        <v>1</v>
      </c>
      <c r="I9" s="2295"/>
      <c r="J9" s="946"/>
      <c r="K9" s="5171" t="s">
        <v>1885</v>
      </c>
      <c r="L9" s="4950"/>
      <c r="M9" s="949"/>
      <c r="N9" s="4961"/>
      <c r="O9" s="4962"/>
      <c r="P9" s="4963"/>
      <c r="Q9" s="938"/>
      <c r="R9" s="937"/>
    </row>
    <row r="10" spans="1:22" s="324" customFormat="1" x14ac:dyDescent="0.35">
      <c r="A10" s="4990"/>
      <c r="B10" s="5175" t="s">
        <v>980</v>
      </c>
      <c r="C10" s="5175"/>
      <c r="D10" s="5176"/>
      <c r="E10" s="947"/>
      <c r="F10" s="2295"/>
      <c r="G10" s="1701" t="s">
        <v>850</v>
      </c>
      <c r="H10" s="1703">
        <v>1</v>
      </c>
      <c r="I10" s="2294"/>
      <c r="J10" s="946"/>
      <c r="K10" s="5171" t="s">
        <v>1886</v>
      </c>
      <c r="L10" s="4950"/>
      <c r="M10" s="949"/>
      <c r="N10" s="4961"/>
      <c r="O10" s="4962"/>
      <c r="P10" s="4963"/>
      <c r="Q10" s="938"/>
      <c r="R10" s="937"/>
    </row>
    <row r="11" spans="1:22" s="324" customFormat="1" x14ac:dyDescent="0.35">
      <c r="A11" s="4990"/>
      <c r="B11" s="5175" t="s">
        <v>981</v>
      </c>
      <c r="C11" s="5175"/>
      <c r="D11" s="5176"/>
      <c r="E11" s="947"/>
      <c r="F11" s="2295"/>
      <c r="G11" s="1701" t="s">
        <v>850</v>
      </c>
      <c r="H11" s="1703"/>
      <c r="I11" s="2294"/>
      <c r="J11" s="946"/>
      <c r="K11" s="5171"/>
      <c r="L11" s="4950"/>
      <c r="M11" s="949"/>
      <c r="N11" s="4961"/>
      <c r="O11" s="4962"/>
      <c r="P11" s="4963"/>
      <c r="Q11" s="938"/>
      <c r="R11" s="937"/>
    </row>
    <row r="12" spans="1:22" s="324" customFormat="1" x14ac:dyDescent="0.35">
      <c r="A12" s="4990"/>
      <c r="B12" s="5175" t="s">
        <v>1503</v>
      </c>
      <c r="C12" s="5175"/>
      <c r="D12" s="5176"/>
      <c r="E12" s="2291" t="s">
        <v>850</v>
      </c>
      <c r="F12" s="2295"/>
      <c r="G12" s="1700"/>
      <c r="H12" s="1703"/>
      <c r="I12" s="2295"/>
      <c r="J12" s="946"/>
      <c r="K12" s="5171"/>
      <c r="L12" s="4950"/>
      <c r="M12" s="949"/>
      <c r="N12" s="4961"/>
      <c r="O12" s="4962"/>
      <c r="P12" s="4963"/>
      <c r="Q12" s="937"/>
      <c r="R12" s="937"/>
    </row>
    <row r="13" spans="1:22" s="324" customFormat="1" x14ac:dyDescent="0.35">
      <c r="A13" s="4990"/>
      <c r="B13" s="5175" t="s">
        <v>1828</v>
      </c>
      <c r="C13" s="5175"/>
      <c r="D13" s="5176"/>
      <c r="E13" s="2291"/>
      <c r="F13" s="2295"/>
      <c r="G13" s="1700" t="s">
        <v>850</v>
      </c>
      <c r="H13" s="1703"/>
      <c r="I13" s="2295">
        <v>2</v>
      </c>
      <c r="J13" s="948">
        <v>4</v>
      </c>
      <c r="K13" s="5171" t="s">
        <v>1885</v>
      </c>
      <c r="L13" s="4950"/>
      <c r="M13" s="950"/>
      <c r="N13" s="4984"/>
      <c r="O13" s="4985"/>
      <c r="P13" s="4986"/>
      <c r="Q13" s="937"/>
      <c r="R13" s="937"/>
    </row>
    <row r="14" spans="1:22" s="324" customFormat="1" x14ac:dyDescent="0.35">
      <c r="A14" s="4990"/>
      <c r="B14" s="5175"/>
      <c r="C14" s="5175"/>
      <c r="D14" s="5176"/>
      <c r="E14" s="2303"/>
      <c r="F14" s="2292"/>
      <c r="G14" s="1702"/>
      <c r="H14" s="1705"/>
      <c r="I14" s="2292"/>
      <c r="J14" s="948"/>
      <c r="K14" s="5188"/>
      <c r="L14" s="4992"/>
      <c r="M14" s="948"/>
      <c r="N14" s="4991"/>
      <c r="O14" s="4992"/>
      <c r="P14" s="4993"/>
      <c r="Q14" s="937"/>
      <c r="R14" s="937"/>
    </row>
    <row r="15" spans="1:22" s="324" customFormat="1" ht="6.75" customHeight="1" x14ac:dyDescent="0.35">
      <c r="A15" s="4997"/>
      <c r="B15" s="4998"/>
      <c r="C15" s="4998"/>
      <c r="D15" s="4998"/>
      <c r="E15" s="4998"/>
      <c r="F15" s="4998"/>
      <c r="G15" s="4998"/>
      <c r="H15" s="4998"/>
      <c r="I15" s="4998"/>
      <c r="J15" s="4998"/>
      <c r="K15" s="4998"/>
      <c r="L15" s="4998"/>
      <c r="M15" s="4998"/>
      <c r="N15" s="4998"/>
      <c r="O15" s="4998"/>
      <c r="P15" s="4999"/>
      <c r="Q15" s="937"/>
      <c r="R15" s="937"/>
    </row>
    <row r="16" spans="1:22" s="324" customFormat="1" ht="15.5" x14ac:dyDescent="0.35">
      <c r="A16" s="5182" t="s">
        <v>983</v>
      </c>
      <c r="B16" s="5183"/>
      <c r="C16" s="5183"/>
      <c r="D16" s="5183"/>
      <c r="E16" s="5183"/>
      <c r="F16" s="5183"/>
      <c r="G16" s="5183"/>
      <c r="H16" s="5183"/>
      <c r="I16" s="5183"/>
      <c r="J16" s="5183"/>
      <c r="K16" s="5183"/>
      <c r="L16" s="5183"/>
      <c r="M16" s="5183"/>
      <c r="N16" s="5183"/>
      <c r="O16" s="5183"/>
      <c r="P16" s="5184"/>
      <c r="Q16" s="937"/>
      <c r="R16" s="937"/>
    </row>
    <row r="17" spans="1:18" s="324" customFormat="1" x14ac:dyDescent="0.35">
      <c r="A17" s="4990"/>
      <c r="B17" s="5175" t="s">
        <v>984</v>
      </c>
      <c r="C17" s="5175"/>
      <c r="D17" s="5176"/>
      <c r="E17" s="2291" t="s">
        <v>850</v>
      </c>
      <c r="F17" s="2294"/>
      <c r="G17" s="1701"/>
      <c r="H17" s="1704"/>
      <c r="I17" s="2294"/>
      <c r="J17" s="946"/>
      <c r="K17" s="5171"/>
      <c r="L17" s="4950"/>
      <c r="M17" s="949"/>
      <c r="N17" s="4961"/>
      <c r="O17" s="4962"/>
      <c r="P17" s="4963"/>
      <c r="Q17" s="938"/>
      <c r="R17" s="937"/>
    </row>
    <row r="18" spans="1:18" s="324" customFormat="1" x14ac:dyDescent="0.35">
      <c r="A18" s="4990"/>
      <c r="B18" s="5175" t="s">
        <v>1829</v>
      </c>
      <c r="C18" s="5175"/>
      <c r="D18" s="5176"/>
      <c r="E18" s="2291"/>
      <c r="F18" s="2294"/>
      <c r="G18" s="1701" t="s">
        <v>850</v>
      </c>
      <c r="H18" s="1704">
        <v>2</v>
      </c>
      <c r="I18" s="2294"/>
      <c r="J18" s="946"/>
      <c r="K18" s="5171" t="s">
        <v>1888</v>
      </c>
      <c r="L18" s="4950"/>
      <c r="M18" s="949"/>
      <c r="N18" s="4961" t="s">
        <v>1887</v>
      </c>
      <c r="O18" s="4962"/>
      <c r="P18" s="4963"/>
      <c r="Q18" s="938"/>
      <c r="R18" s="937"/>
    </row>
    <row r="19" spans="1:18" s="324" customFormat="1" x14ac:dyDescent="0.35">
      <c r="A19" s="4990"/>
      <c r="B19" s="5175" t="s">
        <v>1641</v>
      </c>
      <c r="C19" s="5175"/>
      <c r="D19" s="5176"/>
      <c r="E19" s="2291" t="s">
        <v>850</v>
      </c>
      <c r="F19" s="942"/>
      <c r="G19" s="1701"/>
      <c r="H19" s="1704"/>
      <c r="I19" s="2294"/>
      <c r="J19" s="946"/>
      <c r="K19" s="5171"/>
      <c r="L19" s="4950"/>
      <c r="M19" s="946"/>
      <c r="N19" s="4949"/>
      <c r="O19" s="4950"/>
      <c r="P19" s="4951"/>
      <c r="Q19" s="938"/>
      <c r="R19" s="937"/>
    </row>
    <row r="20" spans="1:18" s="324" customFormat="1" x14ac:dyDescent="0.35">
      <c r="A20" s="4990"/>
      <c r="B20" s="5172" t="s">
        <v>1642</v>
      </c>
      <c r="C20" s="5172"/>
      <c r="D20" s="5173"/>
      <c r="E20" s="2291"/>
      <c r="F20" s="2295"/>
      <c r="G20" s="1700" t="s">
        <v>850</v>
      </c>
      <c r="H20" s="1703">
        <v>1</v>
      </c>
      <c r="I20" s="2295"/>
      <c r="J20" s="946"/>
      <c r="K20" s="5171" t="s">
        <v>1888</v>
      </c>
      <c r="L20" s="4950"/>
      <c r="M20" s="949"/>
      <c r="N20" s="4961"/>
      <c r="O20" s="4962"/>
      <c r="P20" s="4963"/>
      <c r="Q20" s="938"/>
      <c r="R20" s="937"/>
    </row>
    <row r="21" spans="1:18" s="324" customFormat="1" x14ac:dyDescent="0.35">
      <c r="A21" s="4990"/>
      <c r="B21" s="5175" t="s">
        <v>985</v>
      </c>
      <c r="C21" s="5175"/>
      <c r="D21" s="5176"/>
      <c r="E21" s="2291"/>
      <c r="F21" s="942"/>
      <c r="G21" s="1701" t="s">
        <v>850</v>
      </c>
      <c r="H21" s="1704"/>
      <c r="I21" s="2294"/>
      <c r="J21" s="946">
        <v>2</v>
      </c>
      <c r="K21" s="5171" t="s">
        <v>1889</v>
      </c>
      <c r="L21" s="4950"/>
      <c r="M21" s="946"/>
      <c r="N21" s="4949"/>
      <c r="O21" s="4950"/>
      <c r="P21" s="4951"/>
      <c r="Q21" s="938"/>
      <c r="R21" s="937"/>
    </row>
    <row r="22" spans="1:18" s="324" customFormat="1" x14ac:dyDescent="0.35">
      <c r="A22" s="4990"/>
      <c r="B22" s="5172" t="s">
        <v>1879</v>
      </c>
      <c r="C22" s="5172"/>
      <c r="D22" s="5173"/>
      <c r="E22" s="947"/>
      <c r="F22" s="2295" t="s">
        <v>850</v>
      </c>
      <c r="G22" s="1701"/>
      <c r="H22" s="1704"/>
      <c r="I22" s="2294">
        <v>8</v>
      </c>
      <c r="J22" s="946"/>
      <c r="K22" s="5171" t="s">
        <v>1885</v>
      </c>
      <c r="L22" s="4950"/>
      <c r="M22" s="946"/>
      <c r="N22" s="4949"/>
      <c r="O22" s="4950"/>
      <c r="P22" s="4951"/>
      <c r="Q22" s="938"/>
      <c r="R22" s="937"/>
    </row>
    <row r="23" spans="1:18" s="324" customFormat="1" x14ac:dyDescent="0.35">
      <c r="A23" s="4990"/>
      <c r="B23" s="5172" t="s">
        <v>986</v>
      </c>
      <c r="C23" s="5172"/>
      <c r="D23" s="5173"/>
      <c r="E23" s="2293"/>
      <c r="F23" s="2294" t="s">
        <v>850</v>
      </c>
      <c r="G23" s="1700"/>
      <c r="H23" s="1703"/>
      <c r="I23" s="2295">
        <v>3</v>
      </c>
      <c r="J23" s="946"/>
      <c r="K23" s="5171" t="s">
        <v>1885</v>
      </c>
      <c r="L23" s="4950"/>
      <c r="M23" s="946"/>
      <c r="N23" s="4949"/>
      <c r="O23" s="4950"/>
      <c r="P23" s="4951"/>
      <c r="Q23" s="938"/>
      <c r="R23" s="937"/>
    </row>
    <row r="24" spans="1:18" s="324" customFormat="1" x14ac:dyDescent="0.35">
      <c r="A24" s="4990"/>
      <c r="B24" s="5175" t="s">
        <v>987</v>
      </c>
      <c r="C24" s="5175"/>
      <c r="D24" s="5176"/>
      <c r="E24" s="2293"/>
      <c r="F24" s="2294"/>
      <c r="G24" s="1700" t="s">
        <v>850</v>
      </c>
      <c r="H24" s="1703"/>
      <c r="I24" s="2295">
        <v>3</v>
      </c>
      <c r="J24" s="946">
        <v>3</v>
      </c>
      <c r="K24" s="5171" t="s">
        <v>1885</v>
      </c>
      <c r="L24" s="4950"/>
      <c r="M24" s="946"/>
      <c r="N24" s="4949"/>
      <c r="O24" s="4950"/>
      <c r="P24" s="4951"/>
      <c r="Q24" s="937"/>
      <c r="R24" s="937"/>
    </row>
    <row r="25" spans="1:18" s="324" customFormat="1" x14ac:dyDescent="0.35">
      <c r="A25" s="4990"/>
      <c r="B25" s="5175" t="s">
        <v>988</v>
      </c>
      <c r="C25" s="5175"/>
      <c r="D25" s="5176"/>
      <c r="E25" s="2293"/>
      <c r="F25" s="2294"/>
      <c r="G25" s="1700" t="s">
        <v>850</v>
      </c>
      <c r="H25" s="1703"/>
      <c r="I25" s="2295"/>
      <c r="J25" s="946">
        <v>3</v>
      </c>
      <c r="K25" s="5171" t="s">
        <v>1885</v>
      </c>
      <c r="L25" s="4950"/>
      <c r="M25" s="946"/>
      <c r="N25" s="4949"/>
      <c r="O25" s="4950"/>
      <c r="P25" s="4951"/>
      <c r="Q25" s="937"/>
      <c r="R25" s="937"/>
    </row>
    <row r="26" spans="1:18" s="324" customFormat="1" x14ac:dyDescent="0.35">
      <c r="A26" s="4990"/>
      <c r="B26" s="5175" t="s">
        <v>1830</v>
      </c>
      <c r="C26" s="5175"/>
      <c r="D26" s="5176"/>
      <c r="E26" s="2291"/>
      <c r="F26" s="2295" t="s">
        <v>850</v>
      </c>
      <c r="G26" s="1702"/>
      <c r="H26" s="1705">
        <v>1</v>
      </c>
      <c r="I26" s="2292"/>
      <c r="J26" s="948"/>
      <c r="K26" s="5178" t="s">
        <v>1886</v>
      </c>
      <c r="L26" s="4992"/>
      <c r="M26" s="948"/>
      <c r="N26" s="4991"/>
      <c r="O26" s="4992"/>
      <c r="P26" s="4993"/>
      <c r="Q26" s="937"/>
      <c r="R26" s="937"/>
    </row>
    <row r="27" spans="1:18" s="324" customFormat="1" ht="6.75" customHeight="1" x14ac:dyDescent="0.35">
      <c r="A27" s="4997"/>
      <c r="B27" s="4998"/>
      <c r="C27" s="4998"/>
      <c r="D27" s="4998"/>
      <c r="E27" s="4998"/>
      <c r="F27" s="4998"/>
      <c r="G27" s="4998"/>
      <c r="H27" s="4998"/>
      <c r="I27" s="4998"/>
      <c r="J27" s="4998"/>
      <c r="K27" s="4998"/>
      <c r="L27" s="4998"/>
      <c r="M27" s="4998"/>
      <c r="N27" s="4998"/>
      <c r="O27" s="4998"/>
      <c r="P27" s="4999"/>
      <c r="Q27" s="937"/>
      <c r="R27" s="937"/>
    </row>
    <row r="28" spans="1:18" s="324" customFormat="1" ht="15.5" x14ac:dyDescent="0.35">
      <c r="A28" s="5182" t="s">
        <v>1916</v>
      </c>
      <c r="B28" s="5183"/>
      <c r="C28" s="5183"/>
      <c r="D28" s="5183"/>
      <c r="E28" s="5183"/>
      <c r="F28" s="5183"/>
      <c r="G28" s="5183"/>
      <c r="H28" s="5183"/>
      <c r="I28" s="5183"/>
      <c r="J28" s="5183"/>
      <c r="K28" s="5183"/>
      <c r="L28" s="5183"/>
      <c r="M28" s="5183"/>
      <c r="N28" s="5183"/>
      <c r="O28" s="5183"/>
      <c r="P28" s="5184"/>
      <c r="Q28" s="937"/>
      <c r="R28" s="937"/>
    </row>
    <row r="29" spans="1:18" s="325" customFormat="1" ht="20.25" customHeight="1" x14ac:dyDescent="0.35">
      <c r="A29" s="4990"/>
      <c r="B29" s="5185" t="s">
        <v>1917</v>
      </c>
      <c r="C29" s="5186"/>
      <c r="D29" s="5187"/>
      <c r="E29" s="2291"/>
      <c r="F29" s="2294"/>
      <c r="G29" s="1701" t="s">
        <v>850</v>
      </c>
      <c r="H29" s="1704">
        <v>1</v>
      </c>
      <c r="I29" s="2294"/>
      <c r="J29" s="946"/>
      <c r="K29" s="5171" t="s">
        <v>1888</v>
      </c>
      <c r="L29" s="4950"/>
      <c r="M29" s="946"/>
      <c r="N29" s="4949"/>
      <c r="O29" s="4950"/>
      <c r="P29" s="4951"/>
      <c r="Q29" s="939"/>
      <c r="R29" s="940"/>
    </row>
    <row r="30" spans="1:18" s="324" customFormat="1" x14ac:dyDescent="0.35">
      <c r="A30" s="4990"/>
      <c r="B30" s="5175" t="s">
        <v>1499</v>
      </c>
      <c r="C30" s="5175"/>
      <c r="D30" s="5176"/>
      <c r="E30" s="2291"/>
      <c r="F30" s="2294" t="s">
        <v>850</v>
      </c>
      <c r="G30" s="1700"/>
      <c r="H30" s="1703"/>
      <c r="I30" s="2295">
        <v>3</v>
      </c>
      <c r="J30" s="946"/>
      <c r="K30" s="5171" t="s">
        <v>1885</v>
      </c>
      <c r="L30" s="4950"/>
      <c r="M30" s="946"/>
      <c r="N30" s="4949"/>
      <c r="O30" s="4950"/>
      <c r="P30" s="4951"/>
      <c r="Q30" s="938"/>
      <c r="R30" s="937"/>
    </row>
    <row r="31" spans="1:18" s="324" customFormat="1" x14ac:dyDescent="0.35">
      <c r="A31" s="4990"/>
      <c r="B31" s="5175" t="s">
        <v>1918</v>
      </c>
      <c r="C31" s="5175"/>
      <c r="D31" s="5176"/>
      <c r="E31" s="2291" t="s">
        <v>850</v>
      </c>
      <c r="F31" s="2294"/>
      <c r="G31" s="1706"/>
      <c r="H31" s="1703"/>
      <c r="I31" s="2295"/>
      <c r="J31" s="946"/>
      <c r="K31" s="5171"/>
      <c r="L31" s="4950"/>
      <c r="M31" s="946"/>
      <c r="N31" s="4952"/>
      <c r="O31" s="4953"/>
      <c r="P31" s="4954"/>
      <c r="Q31" s="938"/>
      <c r="R31" s="937"/>
    </row>
    <row r="32" spans="1:18" s="324" customFormat="1" x14ac:dyDescent="0.35">
      <c r="A32" s="4990"/>
      <c r="B32" s="5175" t="s">
        <v>1831</v>
      </c>
      <c r="C32" s="5175"/>
      <c r="D32" s="5176"/>
      <c r="E32" s="2291" t="s">
        <v>850</v>
      </c>
      <c r="F32" s="2294"/>
      <c r="G32" s="1706"/>
      <c r="H32" s="1703"/>
      <c r="I32" s="2295"/>
      <c r="J32" s="946"/>
      <c r="K32" s="5171"/>
      <c r="L32" s="4950"/>
      <c r="M32" s="946"/>
      <c r="N32" s="4952"/>
      <c r="O32" s="4953"/>
      <c r="P32" s="4954"/>
      <c r="Q32" s="938"/>
      <c r="R32" s="937"/>
    </row>
    <row r="33" spans="1:18" s="324" customFormat="1" x14ac:dyDescent="0.35">
      <c r="A33" s="4990"/>
      <c r="B33" s="5175" t="s">
        <v>1880</v>
      </c>
      <c r="C33" s="5175"/>
      <c r="D33" s="5176"/>
      <c r="E33" s="2293" t="s">
        <v>850</v>
      </c>
      <c r="F33" s="2294"/>
      <c r="G33" s="1700"/>
      <c r="H33" s="1703"/>
      <c r="I33" s="2295"/>
      <c r="J33" s="946"/>
      <c r="K33" s="5171"/>
      <c r="L33" s="4950"/>
      <c r="M33" s="946"/>
      <c r="N33" s="4949" t="s">
        <v>1881</v>
      </c>
      <c r="O33" s="4950"/>
      <c r="P33" s="4951"/>
      <c r="Q33" s="938"/>
      <c r="R33" s="937"/>
    </row>
    <row r="34" spans="1:18" s="324" customFormat="1" x14ac:dyDescent="0.35">
      <c r="A34" s="4990"/>
      <c r="B34" s="5172" t="s">
        <v>1500</v>
      </c>
      <c r="C34" s="5172"/>
      <c r="D34" s="5173"/>
      <c r="E34" s="2291" t="s">
        <v>850</v>
      </c>
      <c r="F34" s="2295"/>
      <c r="G34" s="1701"/>
      <c r="H34" s="1704"/>
      <c r="I34" s="2294"/>
      <c r="J34" s="946"/>
      <c r="K34" s="5171"/>
      <c r="L34" s="4950"/>
      <c r="M34" s="949"/>
      <c r="N34" s="4961"/>
      <c r="O34" s="4962"/>
      <c r="P34" s="4963"/>
      <c r="Q34" s="938"/>
      <c r="R34" s="937"/>
    </row>
    <row r="35" spans="1:18" s="324" customFormat="1" x14ac:dyDescent="0.35">
      <c r="A35" s="4990"/>
      <c r="B35" s="5172" t="s">
        <v>989</v>
      </c>
      <c r="C35" s="5172"/>
      <c r="D35" s="5173"/>
      <c r="E35" s="2293" t="s">
        <v>850</v>
      </c>
      <c r="F35" s="2295"/>
      <c r="G35" s="1700"/>
      <c r="H35" s="1703"/>
      <c r="I35" s="2295"/>
      <c r="J35" s="946"/>
      <c r="K35" s="5171"/>
      <c r="L35" s="4950"/>
      <c r="M35" s="946"/>
      <c r="N35" s="4949"/>
      <c r="O35" s="4950"/>
      <c r="P35" s="4951"/>
      <c r="Q35" s="938"/>
      <c r="R35" s="937"/>
    </row>
    <row r="36" spans="1:18" s="325" customFormat="1" x14ac:dyDescent="0.35">
      <c r="A36" s="4990"/>
      <c r="B36" s="5172" t="s">
        <v>1001</v>
      </c>
      <c r="C36" s="5172"/>
      <c r="D36" s="5173"/>
      <c r="E36" s="2291"/>
      <c r="F36" s="2294" t="s">
        <v>850</v>
      </c>
      <c r="G36" s="1700"/>
      <c r="H36" s="1703">
        <v>2</v>
      </c>
      <c r="I36" s="2295"/>
      <c r="J36" s="946"/>
      <c r="K36" s="5171" t="s">
        <v>1889</v>
      </c>
      <c r="L36" s="4950"/>
      <c r="M36" s="946"/>
      <c r="N36" s="4949" t="s">
        <v>1882</v>
      </c>
      <c r="O36" s="4950"/>
      <c r="P36" s="4951"/>
      <c r="Q36" s="939"/>
      <c r="R36" s="940"/>
    </row>
    <row r="37" spans="1:18" s="324" customFormat="1" x14ac:dyDescent="0.35">
      <c r="A37" s="4990"/>
      <c r="B37" s="5175" t="s">
        <v>1501</v>
      </c>
      <c r="C37" s="5175"/>
      <c r="D37" s="5176"/>
      <c r="E37" s="2291" t="s">
        <v>850</v>
      </c>
      <c r="F37" s="2295"/>
      <c r="G37" s="1701"/>
      <c r="H37" s="1704"/>
      <c r="I37" s="2294"/>
      <c r="J37" s="946"/>
      <c r="K37" s="5171"/>
      <c r="L37" s="4950"/>
      <c r="M37" s="946"/>
      <c r="N37" s="4949"/>
      <c r="O37" s="4950"/>
      <c r="P37" s="4951"/>
      <c r="Q37" s="938"/>
      <c r="R37" s="937"/>
    </row>
    <row r="38" spans="1:18" s="324" customFormat="1" x14ac:dyDescent="0.35">
      <c r="A38" s="4990"/>
      <c r="B38" s="5172" t="s">
        <v>990</v>
      </c>
      <c r="C38" s="5172"/>
      <c r="D38" s="5173"/>
      <c r="E38" s="2291"/>
      <c r="F38" s="2295"/>
      <c r="G38" s="1701" t="s">
        <v>850</v>
      </c>
      <c r="H38" s="1704"/>
      <c r="I38" s="2294">
        <v>2</v>
      </c>
      <c r="J38" s="946"/>
      <c r="K38" s="5171" t="s">
        <v>1888</v>
      </c>
      <c r="L38" s="4950"/>
      <c r="M38" s="946"/>
      <c r="N38" s="4949"/>
      <c r="O38" s="4950"/>
      <c r="P38" s="4951"/>
      <c r="Q38" s="938"/>
      <c r="R38" s="937"/>
    </row>
    <row r="39" spans="1:18" s="324" customFormat="1" x14ac:dyDescent="0.35">
      <c r="A39" s="4990"/>
      <c r="B39" s="5172" t="s">
        <v>991</v>
      </c>
      <c r="C39" s="5172"/>
      <c r="D39" s="5173"/>
      <c r="E39" s="947"/>
      <c r="F39" s="942"/>
      <c r="G39" s="1701" t="s">
        <v>850</v>
      </c>
      <c r="H39" s="1704"/>
      <c r="I39" s="2294"/>
      <c r="J39" s="946"/>
      <c r="K39" s="5171"/>
      <c r="L39" s="4950"/>
      <c r="M39" s="946"/>
      <c r="N39" s="4949"/>
      <c r="O39" s="4950"/>
      <c r="P39" s="4951"/>
      <c r="Q39" s="938"/>
      <c r="R39" s="937"/>
    </row>
    <row r="40" spans="1:18" s="324" customFormat="1" x14ac:dyDescent="0.35">
      <c r="A40" s="4990"/>
      <c r="B40" s="5175" t="s">
        <v>1502</v>
      </c>
      <c r="C40" s="5175"/>
      <c r="D40" s="5176"/>
      <c r="E40" s="2291" t="s">
        <v>850</v>
      </c>
      <c r="F40" s="2294"/>
      <c r="G40" s="1701"/>
      <c r="H40" s="1704"/>
      <c r="I40" s="2294"/>
      <c r="J40" s="946"/>
      <c r="K40" s="5178"/>
      <c r="L40" s="4985"/>
      <c r="M40" s="946"/>
      <c r="N40" s="4949"/>
      <c r="O40" s="4950"/>
      <c r="P40" s="4951"/>
      <c r="Q40" s="938"/>
      <c r="R40" s="937"/>
    </row>
    <row r="41" spans="1:18" s="324" customFormat="1" x14ac:dyDescent="0.35">
      <c r="A41" s="4990"/>
      <c r="B41" s="5175" t="s">
        <v>992</v>
      </c>
      <c r="C41" s="5175"/>
      <c r="D41" s="5176"/>
      <c r="E41" s="2293"/>
      <c r="F41" s="2292"/>
      <c r="G41" s="1700" t="s">
        <v>850</v>
      </c>
      <c r="H41" s="1703"/>
      <c r="I41" s="2295">
        <v>2</v>
      </c>
      <c r="J41" s="946"/>
      <c r="K41" s="5171" t="s">
        <v>1885</v>
      </c>
      <c r="L41" s="4950"/>
      <c r="M41" s="946"/>
      <c r="N41" s="4949"/>
      <c r="O41" s="4950"/>
      <c r="P41" s="4951"/>
      <c r="Q41" s="938"/>
      <c r="R41" s="937"/>
    </row>
    <row r="42" spans="1:18" s="324" customFormat="1" x14ac:dyDescent="0.35">
      <c r="A42" s="4990"/>
      <c r="B42" s="5175" t="s">
        <v>236</v>
      </c>
      <c r="C42" s="5175"/>
      <c r="D42" s="5176"/>
      <c r="E42" s="2293"/>
      <c r="F42" s="2295" t="s">
        <v>850</v>
      </c>
      <c r="G42" s="1700"/>
      <c r="H42" s="1703"/>
      <c r="I42" s="2295"/>
      <c r="J42" s="946"/>
      <c r="K42" s="5171"/>
      <c r="L42" s="4950"/>
      <c r="M42" s="946"/>
      <c r="N42" s="4952"/>
      <c r="O42" s="4953"/>
      <c r="P42" s="4954"/>
      <c r="Q42" s="938"/>
      <c r="R42" s="937"/>
    </row>
    <row r="43" spans="1:18" s="324" customFormat="1" x14ac:dyDescent="0.35">
      <c r="A43" s="4990"/>
      <c r="B43" s="5175" t="s">
        <v>1919</v>
      </c>
      <c r="C43" s="5175"/>
      <c r="D43" s="5176"/>
      <c r="E43" s="2293"/>
      <c r="F43" s="2295" t="s">
        <v>850</v>
      </c>
      <c r="G43" s="1700"/>
      <c r="H43" s="1703"/>
      <c r="I43" s="2295"/>
      <c r="J43" s="946"/>
      <c r="K43" s="5171"/>
      <c r="L43" s="4950"/>
      <c r="M43" s="946"/>
      <c r="N43" s="4952"/>
      <c r="O43" s="4953"/>
      <c r="P43" s="4954"/>
      <c r="Q43" s="938"/>
      <c r="R43" s="937"/>
    </row>
    <row r="44" spans="1:18" s="324" customFormat="1" x14ac:dyDescent="0.35">
      <c r="A44" s="4990"/>
      <c r="B44" s="5175" t="s">
        <v>1832</v>
      </c>
      <c r="C44" s="5175"/>
      <c r="D44" s="5176"/>
      <c r="E44" s="2293"/>
      <c r="F44" s="2292"/>
      <c r="G44" s="1700" t="s">
        <v>850</v>
      </c>
      <c r="H44" s="1703">
        <v>1</v>
      </c>
      <c r="I44" s="2295"/>
      <c r="J44" s="946"/>
      <c r="K44" s="5171" t="s">
        <v>1889</v>
      </c>
      <c r="L44" s="4950"/>
      <c r="M44" s="946"/>
      <c r="N44" s="4949"/>
      <c r="O44" s="4950"/>
      <c r="P44" s="4951"/>
      <c r="Q44" s="938"/>
      <c r="R44" s="937"/>
    </row>
    <row r="45" spans="1:18" s="324" customFormat="1" x14ac:dyDescent="0.35">
      <c r="A45" s="4990"/>
      <c r="B45" s="5175" t="s">
        <v>1643</v>
      </c>
      <c r="C45" s="5175"/>
      <c r="D45" s="5176"/>
      <c r="E45" s="2293" t="s">
        <v>850</v>
      </c>
      <c r="F45" s="2295"/>
      <c r="G45" s="1700"/>
      <c r="H45" s="1707"/>
      <c r="I45" s="2295"/>
      <c r="J45" s="946"/>
      <c r="K45" s="5171"/>
      <c r="L45" s="4950"/>
      <c r="M45" s="946"/>
      <c r="N45" s="4949"/>
      <c r="O45" s="4950"/>
      <c r="P45" s="4951"/>
      <c r="Q45" s="938"/>
      <c r="R45" s="937"/>
    </row>
    <row r="46" spans="1:18" s="324" customFormat="1" ht="6.75" customHeight="1" x14ac:dyDescent="0.35">
      <c r="A46" s="4997"/>
      <c r="B46" s="4998"/>
      <c r="C46" s="4998"/>
      <c r="D46" s="4998"/>
      <c r="E46" s="4998"/>
      <c r="F46" s="4998"/>
      <c r="G46" s="4998"/>
      <c r="H46" s="4998"/>
      <c r="I46" s="4998"/>
      <c r="J46" s="4998"/>
      <c r="K46" s="4998"/>
      <c r="L46" s="4998"/>
      <c r="M46" s="4998"/>
      <c r="N46" s="4998"/>
      <c r="O46" s="4998"/>
      <c r="P46" s="4999"/>
      <c r="Q46" s="937"/>
      <c r="R46" s="937"/>
    </row>
    <row r="47" spans="1:18" s="324" customFormat="1" ht="15.5" x14ac:dyDescent="0.35">
      <c r="A47" s="5182" t="s">
        <v>1833</v>
      </c>
      <c r="B47" s="5183"/>
      <c r="C47" s="5183"/>
      <c r="D47" s="5183"/>
      <c r="E47" s="5183"/>
      <c r="F47" s="5183"/>
      <c r="G47" s="5183"/>
      <c r="H47" s="5183"/>
      <c r="I47" s="5183"/>
      <c r="J47" s="5183"/>
      <c r="K47" s="5183"/>
      <c r="L47" s="5183"/>
      <c r="M47" s="5183"/>
      <c r="N47" s="5183"/>
      <c r="O47" s="5183"/>
      <c r="P47" s="5184"/>
      <c r="Q47" s="938"/>
      <c r="R47" s="937"/>
    </row>
    <row r="48" spans="1:18" s="324" customFormat="1" x14ac:dyDescent="0.35">
      <c r="A48" s="4990"/>
      <c r="B48" s="5175" t="s">
        <v>1511</v>
      </c>
      <c r="C48" s="5175"/>
      <c r="D48" s="5176"/>
      <c r="E48" s="2293"/>
      <c r="F48" s="2295" t="s">
        <v>850</v>
      </c>
      <c r="G48" s="1708"/>
      <c r="H48" s="1703">
        <v>2</v>
      </c>
      <c r="I48" s="943"/>
      <c r="J48" s="946"/>
      <c r="K48" s="5171" t="s">
        <v>1886</v>
      </c>
      <c r="L48" s="4950"/>
      <c r="M48" s="946"/>
      <c r="N48" s="4949"/>
      <c r="O48" s="4950"/>
      <c r="P48" s="4951"/>
      <c r="Q48" s="938"/>
      <c r="R48" s="937"/>
    </row>
    <row r="49" spans="1:18" s="324" customFormat="1" x14ac:dyDescent="0.35">
      <c r="A49" s="4990"/>
      <c r="B49" s="5175" t="s">
        <v>993</v>
      </c>
      <c r="C49" s="5175"/>
      <c r="D49" s="5176"/>
      <c r="E49" s="2293"/>
      <c r="F49" s="2295"/>
      <c r="G49" s="1700" t="s">
        <v>850</v>
      </c>
      <c r="H49" s="1703">
        <v>2</v>
      </c>
      <c r="I49" s="2295"/>
      <c r="J49" s="946"/>
      <c r="K49" s="5171" t="s">
        <v>1886</v>
      </c>
      <c r="L49" s="4950"/>
      <c r="M49" s="946"/>
      <c r="N49" s="4949"/>
      <c r="O49" s="4950"/>
      <c r="P49" s="4951"/>
      <c r="Q49" s="938"/>
      <c r="R49" s="937"/>
    </row>
    <row r="50" spans="1:18" s="324" customFormat="1" x14ac:dyDescent="0.35">
      <c r="A50" s="4990"/>
      <c r="B50" s="5175" t="s">
        <v>1890</v>
      </c>
      <c r="C50" s="5175"/>
      <c r="D50" s="5176"/>
      <c r="E50" s="2293"/>
      <c r="F50" s="2295"/>
      <c r="G50" s="1700"/>
      <c r="H50" s="1703"/>
      <c r="I50" s="2295">
        <v>3</v>
      </c>
      <c r="J50" s="946"/>
      <c r="K50" s="5171" t="s">
        <v>1886</v>
      </c>
      <c r="L50" s="4950"/>
      <c r="M50" s="946"/>
      <c r="N50" s="4952"/>
      <c r="O50" s="4953"/>
      <c r="P50" s="4954"/>
      <c r="Q50" s="938"/>
      <c r="R50" s="937"/>
    </row>
    <row r="51" spans="1:18" s="324" customFormat="1" x14ac:dyDescent="0.35">
      <c r="A51" s="4990"/>
      <c r="B51" s="5175" t="s">
        <v>1512</v>
      </c>
      <c r="C51" s="5175"/>
      <c r="D51" s="5176"/>
      <c r="E51" s="2293"/>
      <c r="F51" s="2295"/>
      <c r="G51" s="1700" t="s">
        <v>850</v>
      </c>
      <c r="H51" s="1703"/>
      <c r="I51" s="2295"/>
      <c r="J51" s="946"/>
      <c r="K51" s="5171" t="s">
        <v>1886</v>
      </c>
      <c r="L51" s="4950"/>
      <c r="M51" s="946"/>
      <c r="N51" s="4949"/>
      <c r="O51" s="4950"/>
      <c r="P51" s="4951"/>
      <c r="Q51" s="938"/>
      <c r="R51" s="937"/>
    </row>
    <row r="52" spans="1:18" s="324" customFormat="1" x14ac:dyDescent="0.35">
      <c r="A52" s="4990"/>
      <c r="B52" s="5175" t="s">
        <v>994</v>
      </c>
      <c r="C52" s="5175"/>
      <c r="D52" s="5176"/>
      <c r="E52" s="2293"/>
      <c r="F52" s="2295" t="s">
        <v>850</v>
      </c>
      <c r="G52" s="1700"/>
      <c r="H52" s="1703">
        <v>1</v>
      </c>
      <c r="I52" s="2295"/>
      <c r="J52" s="946"/>
      <c r="K52" s="5171" t="s">
        <v>1886</v>
      </c>
      <c r="L52" s="4950"/>
      <c r="M52" s="946"/>
      <c r="N52" s="4949"/>
      <c r="O52" s="4950"/>
      <c r="P52" s="4951"/>
      <c r="Q52" s="938"/>
      <c r="R52" s="937"/>
    </row>
    <row r="53" spans="1:18" s="324" customFormat="1" x14ac:dyDescent="0.35">
      <c r="A53" s="4990"/>
      <c r="B53" s="5175" t="s">
        <v>1515</v>
      </c>
      <c r="C53" s="5175"/>
      <c r="D53" s="5176"/>
      <c r="E53" s="2293"/>
      <c r="F53" s="2295" t="s">
        <v>850</v>
      </c>
      <c r="G53" s="1700"/>
      <c r="H53" s="1703"/>
      <c r="I53" s="2295">
        <v>2</v>
      </c>
      <c r="J53" s="946"/>
      <c r="K53" s="5171" t="s">
        <v>1886</v>
      </c>
      <c r="L53" s="4950"/>
      <c r="M53" s="946"/>
      <c r="N53" s="4952"/>
      <c r="O53" s="4953"/>
      <c r="P53" s="4954"/>
      <c r="Q53" s="938"/>
      <c r="R53" s="937"/>
    </row>
    <row r="54" spans="1:18" s="324" customFormat="1" x14ac:dyDescent="0.35">
      <c r="A54" s="4990"/>
      <c r="B54" s="5175" t="s">
        <v>995</v>
      </c>
      <c r="C54" s="5175"/>
      <c r="D54" s="5176"/>
      <c r="E54" s="2293"/>
      <c r="F54" s="2295"/>
      <c r="G54" s="1700" t="s">
        <v>850</v>
      </c>
      <c r="H54" s="1703"/>
      <c r="I54" s="2295">
        <v>1</v>
      </c>
      <c r="J54" s="946"/>
      <c r="K54" s="5171" t="s">
        <v>1886</v>
      </c>
      <c r="L54" s="4950"/>
      <c r="M54" s="946"/>
      <c r="N54" s="4949"/>
      <c r="O54" s="4950"/>
      <c r="P54" s="4951"/>
      <c r="Q54" s="938"/>
      <c r="R54" s="937"/>
    </row>
    <row r="55" spans="1:18" s="324" customFormat="1" x14ac:dyDescent="0.35">
      <c r="A55" s="4990"/>
      <c r="B55" s="2298" t="s">
        <v>1884</v>
      </c>
      <c r="C55" s="2298"/>
      <c r="D55" s="2299"/>
      <c r="E55" s="2293"/>
      <c r="F55" s="2295"/>
      <c r="G55" s="1700" t="s">
        <v>850</v>
      </c>
      <c r="H55" s="1703">
        <v>2</v>
      </c>
      <c r="I55" s="2295">
        <v>4</v>
      </c>
      <c r="J55" s="946"/>
      <c r="K55" s="5171" t="s">
        <v>1886</v>
      </c>
      <c r="L55" s="4950"/>
      <c r="M55" s="946"/>
      <c r="N55" s="4952" t="s">
        <v>1891</v>
      </c>
      <c r="O55" s="4953"/>
      <c r="P55" s="4954"/>
      <c r="Q55" s="938"/>
      <c r="R55" s="937"/>
    </row>
    <row r="56" spans="1:18" s="324" customFormat="1" x14ac:dyDescent="0.35">
      <c r="A56" s="4990"/>
      <c r="B56" s="5175" t="s">
        <v>1513</v>
      </c>
      <c r="C56" s="5175"/>
      <c r="D56" s="5176"/>
      <c r="E56" s="2293"/>
      <c r="F56" s="2295" t="s">
        <v>850</v>
      </c>
      <c r="G56" s="1700"/>
      <c r="H56" s="1703">
        <v>2</v>
      </c>
      <c r="I56" s="2295">
        <v>6</v>
      </c>
      <c r="J56" s="946"/>
      <c r="K56" s="5171" t="s">
        <v>1886</v>
      </c>
      <c r="L56" s="4950"/>
      <c r="M56" s="946"/>
      <c r="N56" s="4949" t="s">
        <v>1891</v>
      </c>
      <c r="O56" s="4950"/>
      <c r="P56" s="4951"/>
      <c r="Q56" s="938"/>
      <c r="R56" s="937"/>
    </row>
    <row r="57" spans="1:18" s="324" customFormat="1" x14ac:dyDescent="0.35">
      <c r="A57" s="4990"/>
      <c r="B57" s="5175" t="s">
        <v>242</v>
      </c>
      <c r="C57" s="5175"/>
      <c r="D57" s="5176"/>
      <c r="E57" s="2293"/>
      <c r="F57" s="2295"/>
      <c r="G57" s="1700" t="s">
        <v>850</v>
      </c>
      <c r="H57" s="1703"/>
      <c r="I57" s="2295">
        <v>2</v>
      </c>
      <c r="J57" s="946"/>
      <c r="K57" s="2293"/>
      <c r="L57" s="2294"/>
      <c r="M57" s="946"/>
      <c r="N57" s="4952"/>
      <c r="O57" s="4953"/>
      <c r="P57" s="4954"/>
      <c r="Q57" s="938"/>
      <c r="R57" s="937"/>
    </row>
    <row r="58" spans="1:18" s="324" customFormat="1" x14ac:dyDescent="0.35">
      <c r="A58" s="4990"/>
      <c r="B58" s="5175" t="s">
        <v>1834</v>
      </c>
      <c r="C58" s="5175"/>
      <c r="D58" s="5176"/>
      <c r="E58" s="2293"/>
      <c r="F58" s="2295"/>
      <c r="G58" s="1700" t="s">
        <v>850</v>
      </c>
      <c r="H58" s="1707"/>
      <c r="I58" s="2295">
        <v>2</v>
      </c>
      <c r="J58" s="946"/>
      <c r="K58" s="5171" t="s">
        <v>1886</v>
      </c>
      <c r="L58" s="4950"/>
      <c r="M58" s="946"/>
      <c r="N58" s="4949"/>
      <c r="O58" s="4950"/>
      <c r="P58" s="4951"/>
      <c r="Q58" s="938"/>
      <c r="R58" s="937"/>
    </row>
    <row r="59" spans="1:18" s="324" customFormat="1" ht="6.75" customHeight="1" x14ac:dyDescent="0.35">
      <c r="A59" s="5179"/>
      <c r="B59" s="5180"/>
      <c r="C59" s="5180"/>
      <c r="D59" s="5180"/>
      <c r="E59" s="5180"/>
      <c r="F59" s="5180"/>
      <c r="G59" s="5180"/>
      <c r="H59" s="5180"/>
      <c r="I59" s="5180"/>
      <c r="J59" s="5180"/>
      <c r="K59" s="5180"/>
      <c r="L59" s="5180"/>
      <c r="M59" s="5180"/>
      <c r="N59" s="5180"/>
      <c r="O59" s="5180"/>
      <c r="P59" s="5181"/>
      <c r="Q59" s="937"/>
      <c r="R59" s="937"/>
    </row>
    <row r="60" spans="1:18" s="324" customFormat="1" ht="15.5" x14ac:dyDescent="0.35">
      <c r="A60" s="5182" t="s">
        <v>1835</v>
      </c>
      <c r="B60" s="5183"/>
      <c r="C60" s="5183"/>
      <c r="D60" s="5183"/>
      <c r="E60" s="5183"/>
      <c r="F60" s="5183"/>
      <c r="G60" s="5183"/>
      <c r="H60" s="5183"/>
      <c r="I60" s="5183"/>
      <c r="J60" s="5183"/>
      <c r="K60" s="5183"/>
      <c r="L60" s="5183"/>
      <c r="M60" s="5183"/>
      <c r="N60" s="5183"/>
      <c r="O60" s="5183"/>
      <c r="P60" s="5184"/>
      <c r="Q60" s="937"/>
      <c r="R60" s="937"/>
    </row>
    <row r="61" spans="1:18" s="324" customFormat="1" x14ac:dyDescent="0.35">
      <c r="A61" s="4990"/>
      <c r="B61" s="5175" t="s">
        <v>982</v>
      </c>
      <c r="C61" s="5175"/>
      <c r="D61" s="5176"/>
      <c r="E61" s="947"/>
      <c r="F61" s="2294"/>
      <c r="G61" s="1700" t="s">
        <v>850</v>
      </c>
      <c r="H61" s="1703">
        <v>4</v>
      </c>
      <c r="I61" s="2295"/>
      <c r="J61" s="948"/>
      <c r="K61" s="5178" t="s">
        <v>1889</v>
      </c>
      <c r="L61" s="4985"/>
      <c r="M61" s="950"/>
      <c r="N61" s="4984"/>
      <c r="O61" s="4985"/>
      <c r="P61" s="4986"/>
      <c r="Q61" s="938"/>
      <c r="R61" s="937"/>
    </row>
    <row r="62" spans="1:18" s="324" customFormat="1" x14ac:dyDescent="0.35">
      <c r="A62" s="4990"/>
      <c r="B62" s="5175" t="s">
        <v>1892</v>
      </c>
      <c r="C62" s="5175"/>
      <c r="D62" s="5176"/>
      <c r="E62" s="947"/>
      <c r="F62" s="2294"/>
      <c r="G62" s="1700" t="s">
        <v>850</v>
      </c>
      <c r="H62" s="1703">
        <v>1</v>
      </c>
      <c r="I62" s="2295"/>
      <c r="J62" s="948"/>
      <c r="K62" s="4968" t="s">
        <v>1885</v>
      </c>
      <c r="L62" s="4984"/>
      <c r="M62" s="950"/>
      <c r="N62" s="4968"/>
      <c r="O62" s="4969"/>
      <c r="P62" s="4970"/>
      <c r="Q62" s="938"/>
      <c r="R62" s="937"/>
    </row>
    <row r="63" spans="1:18" s="324" customFormat="1" x14ac:dyDescent="0.35">
      <c r="A63" s="4990"/>
      <c r="B63" s="5175" t="s">
        <v>996</v>
      </c>
      <c r="C63" s="5175"/>
      <c r="D63" s="5176"/>
      <c r="E63" s="2291"/>
      <c r="F63" s="2294"/>
      <c r="G63" s="1700" t="s">
        <v>850</v>
      </c>
      <c r="H63" s="1703">
        <v>4</v>
      </c>
      <c r="I63" s="2295"/>
      <c r="J63" s="948"/>
      <c r="K63" s="4968" t="s">
        <v>1889</v>
      </c>
      <c r="L63" s="4984"/>
      <c r="M63" s="950"/>
      <c r="N63" s="4968" t="s">
        <v>1893</v>
      </c>
      <c r="O63" s="4969"/>
      <c r="P63" s="4970"/>
      <c r="Q63" s="938"/>
      <c r="R63" s="937"/>
    </row>
    <row r="64" spans="1:18" s="324" customFormat="1" x14ac:dyDescent="0.35">
      <c r="A64" s="4990"/>
      <c r="B64" s="5175" t="s">
        <v>1516</v>
      </c>
      <c r="C64" s="5175"/>
      <c r="D64" s="5176"/>
      <c r="E64" s="2291"/>
      <c r="F64" s="2294" t="s">
        <v>850</v>
      </c>
      <c r="G64" s="1700"/>
      <c r="H64" s="1703">
        <v>1</v>
      </c>
      <c r="I64" s="2295"/>
      <c r="J64" s="948"/>
      <c r="K64" s="4968" t="s">
        <v>1888</v>
      </c>
      <c r="L64" s="4984"/>
      <c r="M64" s="950"/>
      <c r="N64" s="4968"/>
      <c r="O64" s="4969"/>
      <c r="P64" s="4970"/>
      <c r="Q64" s="938"/>
      <c r="R64" s="937"/>
    </row>
    <row r="65" spans="1:18" s="324" customFormat="1" x14ac:dyDescent="0.35">
      <c r="A65" s="4990"/>
      <c r="B65" s="5175" t="s">
        <v>1504</v>
      </c>
      <c r="C65" s="5175"/>
      <c r="D65" s="5176"/>
      <c r="E65" s="947"/>
      <c r="F65" s="2294"/>
      <c r="G65" s="1700" t="s">
        <v>850</v>
      </c>
      <c r="H65" s="1703">
        <v>1</v>
      </c>
      <c r="I65" s="2295"/>
      <c r="J65" s="948"/>
      <c r="K65" s="4968" t="s">
        <v>1888</v>
      </c>
      <c r="L65" s="4984"/>
      <c r="M65" s="950"/>
      <c r="N65" s="4968"/>
      <c r="O65" s="4969"/>
      <c r="P65" s="4970"/>
      <c r="Q65" s="938"/>
      <c r="R65" s="937"/>
    </row>
    <row r="66" spans="1:18" s="324" customFormat="1" x14ac:dyDescent="0.35">
      <c r="A66" s="4990"/>
      <c r="B66" s="5175" t="s">
        <v>1505</v>
      </c>
      <c r="C66" s="5175"/>
      <c r="D66" s="5176"/>
      <c r="E66" s="2303"/>
      <c r="F66" s="2294"/>
      <c r="G66" s="1700" t="s">
        <v>850</v>
      </c>
      <c r="H66" s="1703"/>
      <c r="I66" s="2295">
        <v>1</v>
      </c>
      <c r="J66" s="948"/>
      <c r="K66" s="4968" t="s">
        <v>1888</v>
      </c>
      <c r="L66" s="4984"/>
      <c r="M66" s="950"/>
      <c r="N66" s="4984"/>
      <c r="O66" s="4985"/>
      <c r="P66" s="4986"/>
      <c r="Q66" s="938"/>
      <c r="R66" s="937"/>
    </row>
    <row r="67" spans="1:18" s="324" customFormat="1" x14ac:dyDescent="0.35">
      <c r="A67" s="4990"/>
      <c r="B67" s="5172" t="s">
        <v>1506</v>
      </c>
      <c r="C67" s="5172"/>
      <c r="D67" s="5173"/>
      <c r="E67" s="2291"/>
      <c r="F67" s="2294"/>
      <c r="G67" s="1701" t="s">
        <v>850</v>
      </c>
      <c r="H67" s="1704"/>
      <c r="I67" s="2294">
        <v>1</v>
      </c>
      <c r="J67" s="946"/>
      <c r="K67" s="4968" t="s">
        <v>1888</v>
      </c>
      <c r="L67" s="4984"/>
      <c r="M67" s="946"/>
      <c r="N67" s="4949"/>
      <c r="O67" s="4950"/>
      <c r="P67" s="4951"/>
      <c r="Q67" s="938"/>
      <c r="R67" s="937"/>
    </row>
    <row r="68" spans="1:18" s="324" customFormat="1" x14ac:dyDescent="0.35">
      <c r="A68" s="4990"/>
      <c r="B68" s="5175" t="s">
        <v>1507</v>
      </c>
      <c r="C68" s="5175"/>
      <c r="D68" s="5176"/>
      <c r="E68" s="2293"/>
      <c r="F68" s="2295"/>
      <c r="G68" s="1700"/>
      <c r="H68" s="1704"/>
      <c r="I68" s="2295"/>
      <c r="J68" s="946"/>
      <c r="K68" s="5178"/>
      <c r="L68" s="4985"/>
      <c r="M68" s="946"/>
      <c r="N68" s="4949"/>
      <c r="O68" s="4950"/>
      <c r="P68" s="4951"/>
      <c r="Q68" s="937"/>
      <c r="R68" s="937"/>
    </row>
    <row r="69" spans="1:18" s="324" customFormat="1" x14ac:dyDescent="0.35">
      <c r="A69" s="4990"/>
      <c r="B69" s="5175" t="s">
        <v>1508</v>
      </c>
      <c r="C69" s="5175"/>
      <c r="D69" s="5176"/>
      <c r="E69" s="2293"/>
      <c r="F69" s="2295"/>
      <c r="G69" s="1700"/>
      <c r="H69" s="1704"/>
      <c r="I69" s="2295"/>
      <c r="J69" s="946"/>
      <c r="K69" s="4968"/>
      <c r="L69" s="4984"/>
      <c r="M69" s="946"/>
      <c r="N69" s="4952"/>
      <c r="O69" s="4953"/>
      <c r="P69" s="4954"/>
      <c r="Q69" s="937"/>
      <c r="R69" s="937"/>
    </row>
    <row r="70" spans="1:18" s="324" customFormat="1" x14ac:dyDescent="0.35">
      <c r="A70" s="4990"/>
      <c r="B70" s="5175" t="s">
        <v>1514</v>
      </c>
      <c r="C70" s="5175"/>
      <c r="D70" s="5176"/>
      <c r="E70" s="2293"/>
      <c r="F70" s="2295"/>
      <c r="G70" s="1700" t="s">
        <v>850</v>
      </c>
      <c r="H70" s="1705"/>
      <c r="I70" s="2295"/>
      <c r="J70" s="946">
        <v>1</v>
      </c>
      <c r="K70" s="4968" t="s">
        <v>1888</v>
      </c>
      <c r="L70" s="4984"/>
      <c r="M70" s="946"/>
      <c r="N70" s="4952"/>
      <c r="O70" s="4953"/>
      <c r="P70" s="4954"/>
      <c r="Q70" s="937"/>
      <c r="R70" s="937"/>
    </row>
    <row r="71" spans="1:18" s="324" customFormat="1" x14ac:dyDescent="0.35">
      <c r="A71" s="4990"/>
      <c r="B71" s="5175" t="s">
        <v>997</v>
      </c>
      <c r="C71" s="5175"/>
      <c r="D71" s="5176"/>
      <c r="E71" s="947"/>
      <c r="F71" s="942"/>
      <c r="G71" s="1701" t="s">
        <v>850</v>
      </c>
      <c r="H71" s="1704"/>
      <c r="I71" s="2294">
        <v>1</v>
      </c>
      <c r="J71" s="946"/>
      <c r="K71" s="5171" t="s">
        <v>1886</v>
      </c>
      <c r="L71" s="4950"/>
      <c r="M71" s="946"/>
      <c r="N71" s="4949"/>
      <c r="O71" s="4950"/>
      <c r="P71" s="4951"/>
      <c r="Q71" s="938"/>
      <c r="R71" s="937"/>
    </row>
    <row r="72" spans="1:18" s="324" customFormat="1" x14ac:dyDescent="0.35">
      <c r="A72" s="4990"/>
      <c r="B72" s="5175" t="s">
        <v>1836</v>
      </c>
      <c r="C72" s="5175"/>
      <c r="D72" s="5176"/>
      <c r="E72" s="2291"/>
      <c r="F72" s="2295"/>
      <c r="G72" s="1701" t="s">
        <v>850</v>
      </c>
      <c r="H72" s="1704"/>
      <c r="I72" s="2294">
        <v>1</v>
      </c>
      <c r="J72" s="946"/>
      <c r="K72" s="5171" t="s">
        <v>1885</v>
      </c>
      <c r="L72" s="4950"/>
      <c r="M72" s="946"/>
      <c r="N72" s="4952"/>
      <c r="O72" s="4953"/>
      <c r="P72" s="4954"/>
      <c r="Q72" s="938"/>
      <c r="R72" s="937"/>
    </row>
    <row r="73" spans="1:18" s="324" customFormat="1" x14ac:dyDescent="0.35">
      <c r="A73" s="4990"/>
      <c r="B73" s="5172" t="s">
        <v>1509</v>
      </c>
      <c r="C73" s="5172"/>
      <c r="D73" s="5173"/>
      <c r="E73" s="947"/>
      <c r="F73" s="942"/>
      <c r="G73" s="1701" t="s">
        <v>850</v>
      </c>
      <c r="H73" s="1704"/>
      <c r="I73" s="2294">
        <v>1</v>
      </c>
      <c r="J73" s="946"/>
      <c r="K73" s="5171" t="s">
        <v>1885</v>
      </c>
      <c r="L73" s="4950"/>
      <c r="M73" s="946"/>
      <c r="N73" s="4949"/>
      <c r="O73" s="4950"/>
      <c r="P73" s="4951"/>
      <c r="Q73" s="938"/>
      <c r="R73" s="937"/>
    </row>
    <row r="74" spans="1:18" s="324" customFormat="1" x14ac:dyDescent="0.35">
      <c r="A74" s="4990"/>
      <c r="B74" s="5172" t="s">
        <v>998</v>
      </c>
      <c r="C74" s="5172"/>
      <c r="D74" s="5173"/>
      <c r="E74" s="947"/>
      <c r="F74" s="2295"/>
      <c r="G74" s="1701" t="s">
        <v>850</v>
      </c>
      <c r="H74" s="1704"/>
      <c r="I74" s="2294">
        <v>2</v>
      </c>
      <c r="J74" s="946"/>
      <c r="K74" s="5171" t="s">
        <v>1885</v>
      </c>
      <c r="L74" s="4950"/>
      <c r="M74" s="946"/>
      <c r="N74" s="4949"/>
      <c r="O74" s="4950"/>
      <c r="P74" s="4951"/>
      <c r="Q74" s="938"/>
      <c r="R74" s="937"/>
    </row>
    <row r="75" spans="1:18" s="324" customFormat="1" x14ac:dyDescent="0.35">
      <c r="A75" s="4990"/>
      <c r="B75" s="5172" t="s">
        <v>999</v>
      </c>
      <c r="C75" s="5172"/>
      <c r="D75" s="5173"/>
      <c r="E75" s="2303"/>
      <c r="F75" s="2295"/>
      <c r="G75" s="1701" t="s">
        <v>850</v>
      </c>
      <c r="H75" s="1704">
        <v>1</v>
      </c>
      <c r="I75" s="2294"/>
      <c r="J75" s="946"/>
      <c r="K75" s="5171" t="s">
        <v>1885</v>
      </c>
      <c r="L75" s="4950"/>
      <c r="M75" s="946"/>
      <c r="N75" s="4949"/>
      <c r="O75" s="4950"/>
      <c r="P75" s="4951"/>
      <c r="Q75" s="938"/>
      <c r="R75" s="937"/>
    </row>
    <row r="76" spans="1:18" s="324" customFormat="1" x14ac:dyDescent="0.35">
      <c r="A76" s="4990"/>
      <c r="B76" s="2300" t="s">
        <v>1883</v>
      </c>
      <c r="C76" s="2300"/>
      <c r="D76" s="2301"/>
      <c r="E76" s="2303"/>
      <c r="F76" s="2295"/>
      <c r="G76" s="1701" t="s">
        <v>850</v>
      </c>
      <c r="H76" s="1704"/>
      <c r="I76" s="2294">
        <v>1</v>
      </c>
      <c r="J76" s="946"/>
      <c r="K76" s="5171" t="s">
        <v>1885</v>
      </c>
      <c r="L76" s="4950"/>
      <c r="M76" s="946"/>
      <c r="N76" s="4952"/>
      <c r="O76" s="4953"/>
      <c r="P76" s="4954"/>
      <c r="Q76" s="938"/>
      <c r="R76" s="937"/>
    </row>
    <row r="77" spans="1:18" s="324" customFormat="1" x14ac:dyDescent="0.35">
      <c r="A77" s="4990"/>
      <c r="B77" s="5172" t="s">
        <v>1000</v>
      </c>
      <c r="C77" s="5172"/>
      <c r="D77" s="5173"/>
      <c r="E77" s="2291"/>
      <c r="F77" s="2295" t="s">
        <v>850</v>
      </c>
      <c r="G77" s="1701"/>
      <c r="H77" s="1704"/>
      <c r="I77" s="2294">
        <v>1</v>
      </c>
      <c r="J77" s="946"/>
      <c r="K77" s="5171" t="s">
        <v>1885</v>
      </c>
      <c r="L77" s="4950"/>
      <c r="M77" s="946"/>
      <c r="N77" s="4949"/>
      <c r="O77" s="4950"/>
      <c r="P77" s="4951"/>
      <c r="Q77" s="938"/>
      <c r="R77" s="937"/>
    </row>
    <row r="78" spans="1:18" s="324" customFormat="1" ht="15" thickBot="1" x14ac:dyDescent="0.4">
      <c r="A78" s="5177"/>
      <c r="B78" s="5172" t="s">
        <v>1510</v>
      </c>
      <c r="C78" s="5172"/>
      <c r="D78" s="5173"/>
      <c r="E78" s="1921"/>
      <c r="F78" s="2302"/>
      <c r="G78" s="1709" t="s">
        <v>850</v>
      </c>
      <c r="H78" s="1710"/>
      <c r="I78" s="2094"/>
      <c r="J78" s="951">
        <v>2</v>
      </c>
      <c r="K78" s="5174" t="s">
        <v>1885</v>
      </c>
      <c r="L78" s="4976"/>
      <c r="M78" s="951"/>
      <c r="N78" s="4975"/>
      <c r="O78" s="4976"/>
      <c r="P78" s="4977"/>
      <c r="Q78" s="937"/>
      <c r="R78" s="937"/>
    </row>
    <row r="79" spans="1:18" s="324" customFormat="1" ht="15.5" thickTop="1" thickBot="1" x14ac:dyDescent="0.4">
      <c r="A79" s="1213"/>
      <c r="B79" s="1213"/>
      <c r="C79" s="1213"/>
      <c r="D79" s="1213"/>
      <c r="E79" s="1213"/>
      <c r="F79" s="1213"/>
      <c r="G79" s="1213"/>
      <c r="H79" s="1213"/>
      <c r="I79" s="1213"/>
      <c r="J79" s="1213"/>
      <c r="K79" s="1213"/>
      <c r="L79" s="1213"/>
      <c r="M79" s="1213"/>
      <c r="N79" s="1213"/>
      <c r="O79" s="1213"/>
      <c r="P79" s="1213"/>
      <c r="Q79" s="937"/>
      <c r="R79" s="937"/>
    </row>
    <row r="80" spans="1:18" s="324" customFormat="1" ht="15" thickTop="1" x14ac:dyDescent="0.35">
      <c r="A80" s="1214"/>
      <c r="B80" s="1214"/>
      <c r="C80" s="1214"/>
      <c r="D80" s="1216" t="s">
        <v>1268</v>
      </c>
      <c r="E80" s="1217"/>
      <c r="F80" s="1567"/>
      <c r="G80" s="1711"/>
      <c r="H80" s="1713">
        <f>SUM(H9:H14,H17:H26,H29:H45,H48:H58,H61:H78)</f>
        <v>31</v>
      </c>
      <c r="I80" s="1622">
        <f>SUM(I9:I14,I17:I26,I29:I45,I48:I58,I61:I78)</f>
        <v>52</v>
      </c>
      <c r="J80" s="1715">
        <f>SUM(J9:J14,J17:J26,J29:J45,J48:J58,J61:J78)</f>
        <v>15</v>
      </c>
      <c r="K80" s="2164" t="s">
        <v>1895</v>
      </c>
      <c r="L80" s="1214"/>
      <c r="M80" s="1214"/>
      <c r="N80" s="1214"/>
      <c r="O80" s="1214"/>
      <c r="P80" s="1214"/>
      <c r="Q80" s="937"/>
      <c r="R80" s="937"/>
    </row>
    <row r="81" spans="1:76" s="324" customFormat="1" ht="15" thickBot="1" x14ac:dyDescent="0.4">
      <c r="A81" s="1214"/>
      <c r="B81" s="1214"/>
      <c r="C81" s="1214"/>
      <c r="D81" s="1215" t="s">
        <v>1269</v>
      </c>
      <c r="E81" s="1218"/>
      <c r="F81" s="1568"/>
      <c r="G81" s="1712"/>
      <c r="H81" s="1714">
        <v>15</v>
      </c>
      <c r="I81" s="1623">
        <v>25</v>
      </c>
      <c r="J81" s="1624">
        <v>7.5</v>
      </c>
      <c r="K81" s="2164" t="s">
        <v>1894</v>
      </c>
      <c r="L81" s="1214"/>
      <c r="M81" s="1214"/>
      <c r="N81" s="1214"/>
      <c r="O81" s="1214"/>
      <c r="P81" s="1214"/>
      <c r="Q81" s="937"/>
      <c r="R81" s="937"/>
    </row>
    <row r="82" spans="1:76" ht="20.25" customHeight="1" thickTop="1" thickBot="1" x14ac:dyDescent="0.4">
      <c r="A82" s="1214"/>
      <c r="B82" s="1214"/>
      <c r="C82" s="1214"/>
      <c r="D82" s="1214"/>
      <c r="E82" s="1214"/>
      <c r="F82" s="1214"/>
      <c r="G82" s="1214"/>
      <c r="H82" s="1214"/>
      <c r="I82" s="1214"/>
      <c r="J82" s="1214"/>
      <c r="K82" s="1214"/>
      <c r="L82" s="1214"/>
      <c r="M82" s="1214"/>
      <c r="N82" s="1214"/>
      <c r="O82" s="1214"/>
      <c r="P82" s="1214"/>
      <c r="Q82" s="743"/>
      <c r="R82" s="382"/>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row>
    <row r="83" spans="1:76" ht="19.5" thickTop="1" thickBot="1" x14ac:dyDescent="0.4">
      <c r="A83" s="5169" t="s">
        <v>10</v>
      </c>
      <c r="B83" s="5170"/>
      <c r="C83" s="5170"/>
      <c r="D83" s="5170"/>
      <c r="E83" s="5170"/>
      <c r="F83" s="5170"/>
      <c r="G83" s="5170"/>
      <c r="H83" s="5170"/>
      <c r="I83" s="5170"/>
      <c r="J83" s="5170"/>
      <c r="K83" s="5170"/>
      <c r="L83" s="161"/>
      <c r="M83" s="3725" t="s">
        <v>748</v>
      </c>
      <c r="N83" s="3726"/>
      <c r="O83" s="3727"/>
      <c r="P83" s="31"/>
      <c r="Q83" s="64"/>
      <c r="R83" s="382"/>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row>
    <row r="84" spans="1:76" ht="20.25" customHeight="1" x14ac:dyDescent="0.35">
      <c r="A84" s="5164" t="s">
        <v>700</v>
      </c>
      <c r="B84" s="5166"/>
      <c r="C84" s="5166"/>
      <c r="D84" s="5166"/>
      <c r="E84" s="5166"/>
      <c r="F84" s="5166"/>
      <c r="G84" s="5166"/>
      <c r="H84" s="5166"/>
      <c r="I84" s="5166"/>
      <c r="J84" s="5166"/>
      <c r="K84" s="5166"/>
      <c r="L84" s="39"/>
      <c r="M84" s="3750" t="s">
        <v>1271</v>
      </c>
      <c r="N84" s="3751"/>
      <c r="O84" s="3752"/>
      <c r="P84" s="33"/>
      <c r="Q84" s="64"/>
      <c r="R84" s="382"/>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row>
    <row r="85" spans="1:76" ht="20.25" customHeight="1" x14ac:dyDescent="0.35">
      <c r="A85" s="5164"/>
      <c r="B85" s="5166"/>
      <c r="C85" s="5166"/>
      <c r="D85" s="5166"/>
      <c r="E85" s="5166"/>
      <c r="F85" s="5166"/>
      <c r="G85" s="5166"/>
      <c r="H85" s="5166"/>
      <c r="I85" s="5166"/>
      <c r="J85" s="5166"/>
      <c r="K85" s="5166"/>
      <c r="L85" s="39"/>
      <c r="M85" s="3753"/>
      <c r="N85" s="3754"/>
      <c r="O85" s="3755"/>
      <c r="P85" s="33"/>
      <c r="Q85" s="64"/>
      <c r="R85" s="382"/>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row>
    <row r="86" spans="1:76" ht="20.25" customHeight="1" x14ac:dyDescent="0.35">
      <c r="A86" s="5164"/>
      <c r="B86" s="5166"/>
      <c r="C86" s="5166"/>
      <c r="D86" s="5166"/>
      <c r="E86" s="5166"/>
      <c r="F86" s="5166"/>
      <c r="G86" s="5166"/>
      <c r="H86" s="5166"/>
      <c r="I86" s="5166"/>
      <c r="J86" s="5166"/>
      <c r="K86" s="5166"/>
      <c r="L86" s="39"/>
      <c r="M86" s="3753"/>
      <c r="N86" s="3754"/>
      <c r="O86" s="3755"/>
      <c r="P86" s="33"/>
      <c r="Q86" s="64"/>
      <c r="R86" s="382"/>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row>
    <row r="87" spans="1:76" ht="20.25" customHeight="1" thickBot="1" x14ac:dyDescent="0.4">
      <c r="A87" s="5167"/>
      <c r="B87" s="5168"/>
      <c r="C87" s="5168"/>
      <c r="D87" s="5168"/>
      <c r="E87" s="5168"/>
      <c r="F87" s="5168"/>
      <c r="G87" s="5168"/>
      <c r="H87" s="5168"/>
      <c r="I87" s="5168"/>
      <c r="J87" s="5168"/>
      <c r="K87" s="5168"/>
      <c r="L87" s="39"/>
      <c r="M87" s="3756"/>
      <c r="N87" s="3757"/>
      <c r="O87" s="3758"/>
      <c r="P87" s="33"/>
      <c r="Q87" s="64"/>
      <c r="R87" s="382"/>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row>
    <row r="88" spans="1:76" ht="15.5" thickTop="1" thickBot="1" x14ac:dyDescent="0.4">
      <c r="A88" s="463"/>
      <c r="B88" s="64"/>
      <c r="C88" s="64"/>
      <c r="D88" s="64"/>
      <c r="E88" s="64"/>
      <c r="F88" s="64"/>
      <c r="G88" s="64"/>
      <c r="H88" s="64"/>
      <c r="I88" s="64"/>
      <c r="J88" s="64"/>
      <c r="K88" s="64"/>
      <c r="L88" s="64"/>
      <c r="M88" s="31"/>
      <c r="N88" s="31"/>
      <c r="O88" s="31"/>
      <c r="P88" s="64"/>
      <c r="Q88" s="64"/>
      <c r="R88" s="382"/>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row>
    <row r="89" spans="1:76" ht="19.5" thickTop="1" thickBot="1" x14ac:dyDescent="0.4">
      <c r="A89" s="5169" t="s">
        <v>11</v>
      </c>
      <c r="B89" s="5170"/>
      <c r="C89" s="5170"/>
      <c r="D89" s="5170"/>
      <c r="E89" s="5170"/>
      <c r="F89" s="5170"/>
      <c r="G89" s="5170"/>
      <c r="H89" s="5170"/>
      <c r="I89" s="5170"/>
      <c r="J89" s="5170"/>
      <c r="K89" s="5170"/>
      <c r="L89" s="161"/>
      <c r="M89" s="3725" t="s">
        <v>748</v>
      </c>
      <c r="N89" s="3726"/>
      <c r="O89" s="3727"/>
      <c r="P89" s="31"/>
      <c r="Q89" s="64"/>
      <c r="R89" s="382"/>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row>
    <row r="90" spans="1:76" ht="20.25" customHeight="1" x14ac:dyDescent="0.35">
      <c r="A90" s="5164" t="s">
        <v>1267</v>
      </c>
      <c r="B90" s="5165"/>
      <c r="C90" s="5165"/>
      <c r="D90" s="5165"/>
      <c r="E90" s="5165"/>
      <c r="F90" s="5165"/>
      <c r="G90" s="5165"/>
      <c r="H90" s="5165"/>
      <c r="I90" s="5165"/>
      <c r="J90" s="5165"/>
      <c r="K90" s="5166"/>
      <c r="L90" s="39"/>
      <c r="M90" s="3750" t="s">
        <v>1270</v>
      </c>
      <c r="N90" s="3751"/>
      <c r="O90" s="3752"/>
      <c r="P90" s="33"/>
      <c r="Q90" s="64"/>
      <c r="R90" s="382"/>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row>
    <row r="91" spans="1:76" ht="20.25" customHeight="1" x14ac:dyDescent="0.35">
      <c r="A91" s="5164"/>
      <c r="B91" s="5165"/>
      <c r="C91" s="5165"/>
      <c r="D91" s="5165"/>
      <c r="E91" s="5165"/>
      <c r="F91" s="5165"/>
      <c r="G91" s="5165"/>
      <c r="H91" s="5165"/>
      <c r="I91" s="5165"/>
      <c r="J91" s="5165"/>
      <c r="K91" s="5166"/>
      <c r="L91" s="39"/>
      <c r="M91" s="3753"/>
      <c r="N91" s="3754"/>
      <c r="O91" s="3755"/>
      <c r="P91" s="33"/>
      <c r="Q91" s="64"/>
      <c r="R91" s="382"/>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row>
    <row r="92" spans="1:76" ht="20.25" customHeight="1" x14ac:dyDescent="0.35">
      <c r="A92" s="5164"/>
      <c r="B92" s="5165"/>
      <c r="C92" s="5165"/>
      <c r="D92" s="5165"/>
      <c r="E92" s="5165"/>
      <c r="F92" s="5165"/>
      <c r="G92" s="5165"/>
      <c r="H92" s="5165"/>
      <c r="I92" s="5165"/>
      <c r="J92" s="5165"/>
      <c r="K92" s="5166"/>
      <c r="L92" s="39"/>
      <c r="M92" s="3753"/>
      <c r="N92" s="3754"/>
      <c r="O92" s="3755"/>
      <c r="P92" s="33"/>
      <c r="Q92" s="64"/>
      <c r="R92" s="382"/>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row>
    <row r="93" spans="1:76" ht="20.25" customHeight="1" thickBot="1" x14ac:dyDescent="0.4">
      <c r="A93" s="5167"/>
      <c r="B93" s="5168"/>
      <c r="C93" s="5168"/>
      <c r="D93" s="5168"/>
      <c r="E93" s="5168"/>
      <c r="F93" s="5168"/>
      <c r="G93" s="5168"/>
      <c r="H93" s="5168"/>
      <c r="I93" s="5168"/>
      <c r="J93" s="5168"/>
      <c r="K93" s="5168"/>
      <c r="L93" s="39"/>
      <c r="M93" s="3756"/>
      <c r="N93" s="3757"/>
      <c r="O93" s="3758"/>
      <c r="P93" s="33"/>
      <c r="Q93" s="64"/>
      <c r="R93" s="382"/>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row>
    <row r="94" spans="1:76" ht="15" thickTop="1" x14ac:dyDescent="0.35">
      <c r="A94" s="463"/>
      <c r="B94" s="64"/>
      <c r="C94" s="64"/>
      <c r="D94" s="64"/>
      <c r="E94" s="64"/>
      <c r="F94" s="64"/>
      <c r="G94" s="64"/>
      <c r="H94" s="64"/>
      <c r="I94" s="64"/>
      <c r="J94" s="64"/>
      <c r="K94" s="64"/>
      <c r="L94" s="64"/>
      <c r="M94" s="64"/>
      <c r="N94" s="64"/>
      <c r="O94" s="64"/>
      <c r="P94" s="64"/>
      <c r="Q94" s="64"/>
      <c r="R94" s="382"/>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row>
  </sheetData>
  <mergeCells count="220">
    <mergeCell ref="D3:G3"/>
    <mergeCell ref="B4:G4"/>
    <mergeCell ref="H4:Q4"/>
    <mergeCell ref="A5:B5"/>
    <mergeCell ref="C5:Q5"/>
    <mergeCell ref="A6:D6"/>
    <mergeCell ref="K6:L6"/>
    <mergeCell ref="N6:P6"/>
    <mergeCell ref="D1:G1"/>
    <mergeCell ref="I1:J1"/>
    <mergeCell ref="L1:M1"/>
    <mergeCell ref="D2:G2"/>
    <mergeCell ref="I2:J2"/>
    <mergeCell ref="L2:M2"/>
    <mergeCell ref="K11:L11"/>
    <mergeCell ref="N11:P11"/>
    <mergeCell ref="B12:D12"/>
    <mergeCell ref="K12:L12"/>
    <mergeCell ref="N12:P12"/>
    <mergeCell ref="B13:D13"/>
    <mergeCell ref="K13:L13"/>
    <mergeCell ref="N13:P13"/>
    <mergeCell ref="A7:P7"/>
    <mergeCell ref="A8:P8"/>
    <mergeCell ref="A9:A14"/>
    <mergeCell ref="B9:D9"/>
    <mergeCell ref="K9:L9"/>
    <mergeCell ref="N9:P9"/>
    <mergeCell ref="B10:D10"/>
    <mergeCell ref="K10:L10"/>
    <mergeCell ref="N10:P10"/>
    <mergeCell ref="B11:D11"/>
    <mergeCell ref="B14:D14"/>
    <mergeCell ref="K14:L14"/>
    <mergeCell ref="N14:P14"/>
    <mergeCell ref="A15:P15"/>
    <mergeCell ref="A16:P16"/>
    <mergeCell ref="A17:A26"/>
    <mergeCell ref="B17:D17"/>
    <mergeCell ref="K17:L17"/>
    <mergeCell ref="N17:P17"/>
    <mergeCell ref="B18:D18"/>
    <mergeCell ref="B21:D21"/>
    <mergeCell ref="K21:L21"/>
    <mergeCell ref="N21:P21"/>
    <mergeCell ref="B22:D22"/>
    <mergeCell ref="K22:L22"/>
    <mergeCell ref="N22:P22"/>
    <mergeCell ref="K18:L18"/>
    <mergeCell ref="N18:P18"/>
    <mergeCell ref="B19:D19"/>
    <mergeCell ref="K19:L19"/>
    <mergeCell ref="N19:P19"/>
    <mergeCell ref="B20:D20"/>
    <mergeCell ref="K20:L20"/>
    <mergeCell ref="N20:P20"/>
    <mergeCell ref="B25:D25"/>
    <mergeCell ref="K25:L25"/>
    <mergeCell ref="N25:P25"/>
    <mergeCell ref="B26:D26"/>
    <mergeCell ref="K26:L26"/>
    <mergeCell ref="N26:P26"/>
    <mergeCell ref="B23:D23"/>
    <mergeCell ref="K23:L23"/>
    <mergeCell ref="N23:P23"/>
    <mergeCell ref="B24:D24"/>
    <mergeCell ref="K24:L24"/>
    <mergeCell ref="N24:P24"/>
    <mergeCell ref="K31:L31"/>
    <mergeCell ref="N31:P31"/>
    <mergeCell ref="B32:D32"/>
    <mergeCell ref="K32:L32"/>
    <mergeCell ref="N32:P32"/>
    <mergeCell ref="B33:D33"/>
    <mergeCell ref="K33:L33"/>
    <mergeCell ref="N33:P33"/>
    <mergeCell ref="A27:P27"/>
    <mergeCell ref="A28:P28"/>
    <mergeCell ref="A29:A45"/>
    <mergeCell ref="B29:D29"/>
    <mergeCell ref="K29:L29"/>
    <mergeCell ref="N29:P29"/>
    <mergeCell ref="B30:D30"/>
    <mergeCell ref="K30:L30"/>
    <mergeCell ref="N30:P30"/>
    <mergeCell ref="B31:D31"/>
    <mergeCell ref="B36:D36"/>
    <mergeCell ref="K36:L36"/>
    <mergeCell ref="N36:P36"/>
    <mergeCell ref="B37:D37"/>
    <mergeCell ref="K37:L37"/>
    <mergeCell ref="N37:P37"/>
    <mergeCell ref="B34:D34"/>
    <mergeCell ref="K34:L34"/>
    <mergeCell ref="N34:P34"/>
    <mergeCell ref="B35:D35"/>
    <mergeCell ref="K35:L35"/>
    <mergeCell ref="N35:P35"/>
    <mergeCell ref="B40:D40"/>
    <mergeCell ref="K40:L40"/>
    <mergeCell ref="N40:P40"/>
    <mergeCell ref="B41:D41"/>
    <mergeCell ref="K41:L41"/>
    <mergeCell ref="N41:P41"/>
    <mergeCell ref="B38:D38"/>
    <mergeCell ref="K38:L38"/>
    <mergeCell ref="N38:P38"/>
    <mergeCell ref="B39:D39"/>
    <mergeCell ref="K39:L39"/>
    <mergeCell ref="N39:P39"/>
    <mergeCell ref="B44:D44"/>
    <mergeCell ref="K44:L44"/>
    <mergeCell ref="N44:P44"/>
    <mergeCell ref="B45:D45"/>
    <mergeCell ref="K45:L45"/>
    <mergeCell ref="N45:P45"/>
    <mergeCell ref="B42:D42"/>
    <mergeCell ref="K42:L42"/>
    <mergeCell ref="N42:P42"/>
    <mergeCell ref="B43:D43"/>
    <mergeCell ref="K43:L43"/>
    <mergeCell ref="N43:P43"/>
    <mergeCell ref="K50:L50"/>
    <mergeCell ref="N50:P50"/>
    <mergeCell ref="B51:D51"/>
    <mergeCell ref="K51:L51"/>
    <mergeCell ref="N51:P51"/>
    <mergeCell ref="B52:D52"/>
    <mergeCell ref="K52:L52"/>
    <mergeCell ref="N52:P52"/>
    <mergeCell ref="A46:P46"/>
    <mergeCell ref="A47:P47"/>
    <mergeCell ref="A48:A58"/>
    <mergeCell ref="B48:D48"/>
    <mergeCell ref="K48:L48"/>
    <mergeCell ref="N48:P48"/>
    <mergeCell ref="B49:D49"/>
    <mergeCell ref="K49:L49"/>
    <mergeCell ref="N49:P49"/>
    <mergeCell ref="B50:D50"/>
    <mergeCell ref="K55:L55"/>
    <mergeCell ref="N55:P55"/>
    <mergeCell ref="B56:D56"/>
    <mergeCell ref="K56:L56"/>
    <mergeCell ref="N56:P56"/>
    <mergeCell ref="B57:D57"/>
    <mergeCell ref="N57:P57"/>
    <mergeCell ref="B53:D53"/>
    <mergeCell ref="K53:L53"/>
    <mergeCell ref="N53:P53"/>
    <mergeCell ref="B54:D54"/>
    <mergeCell ref="K54:L54"/>
    <mergeCell ref="N54:P54"/>
    <mergeCell ref="K62:L62"/>
    <mergeCell ref="N62:P62"/>
    <mergeCell ref="B63:D63"/>
    <mergeCell ref="K63:L63"/>
    <mergeCell ref="N63:P63"/>
    <mergeCell ref="B64:D64"/>
    <mergeCell ref="K64:L64"/>
    <mergeCell ref="N64:P64"/>
    <mergeCell ref="B58:D58"/>
    <mergeCell ref="K58:L58"/>
    <mergeCell ref="N58:P58"/>
    <mergeCell ref="A59:P59"/>
    <mergeCell ref="A60:P60"/>
    <mergeCell ref="A61:A78"/>
    <mergeCell ref="B61:D61"/>
    <mergeCell ref="K61:L61"/>
    <mergeCell ref="N61:P61"/>
    <mergeCell ref="B62:D62"/>
    <mergeCell ref="B67:D67"/>
    <mergeCell ref="K67:L67"/>
    <mergeCell ref="N67:P67"/>
    <mergeCell ref="B68:D68"/>
    <mergeCell ref="K68:L68"/>
    <mergeCell ref="N68:P68"/>
    <mergeCell ref="B65:D65"/>
    <mergeCell ref="K65:L65"/>
    <mergeCell ref="N65:P65"/>
    <mergeCell ref="B66:D66"/>
    <mergeCell ref="K66:L66"/>
    <mergeCell ref="N66:P66"/>
    <mergeCell ref="B71:D71"/>
    <mergeCell ref="K71:L71"/>
    <mergeCell ref="N71:P71"/>
    <mergeCell ref="B72:D72"/>
    <mergeCell ref="K72:L72"/>
    <mergeCell ref="N72:P72"/>
    <mergeCell ref="B69:D69"/>
    <mergeCell ref="K69:L69"/>
    <mergeCell ref="N69:P69"/>
    <mergeCell ref="B70:D70"/>
    <mergeCell ref="K70:L70"/>
    <mergeCell ref="N70:P70"/>
    <mergeCell ref="B75:D75"/>
    <mergeCell ref="K75:L75"/>
    <mergeCell ref="N75:P75"/>
    <mergeCell ref="K76:L76"/>
    <mergeCell ref="N76:P76"/>
    <mergeCell ref="B77:D77"/>
    <mergeCell ref="K77:L77"/>
    <mergeCell ref="N77:P77"/>
    <mergeCell ref="B73:D73"/>
    <mergeCell ref="K73:L73"/>
    <mergeCell ref="N73:P73"/>
    <mergeCell ref="B74:D74"/>
    <mergeCell ref="K74:L74"/>
    <mergeCell ref="N74:P74"/>
    <mergeCell ref="A89:K89"/>
    <mergeCell ref="M89:O89"/>
    <mergeCell ref="A90:K93"/>
    <mergeCell ref="M90:O93"/>
    <mergeCell ref="B78:D78"/>
    <mergeCell ref="K78:L78"/>
    <mergeCell ref="N78:P78"/>
    <mergeCell ref="A83:K83"/>
    <mergeCell ref="M83:O83"/>
    <mergeCell ref="A84:K87"/>
    <mergeCell ref="M84:O87"/>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D00-000000000000}">
      <formula1>AvancementTheme</formula1>
    </dataValidation>
  </dataValidations>
  <hyperlinks>
    <hyperlink ref="O1" location="DPDV_10SK3" display="PdV" xr:uid="{00000000-0004-0000-2D00-000000000000}"/>
    <hyperlink ref="P1" location="DKPI_10SK3" display="KPI's" xr:uid="{00000000-0004-0000-2D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2">
    <tabColor theme="0" tint="-0.14999847407452621"/>
    <pageSetUpPr fitToPage="1"/>
  </sheetPr>
  <dimension ref="A1:U41"/>
  <sheetViews>
    <sheetView showGridLines="0" zoomScaleNormal="100" workbookViewId="0">
      <pane ySplit="6" topLeftCell="A27" activePane="bottomLeft" state="frozen"/>
      <selection activeCell="H7" sqref="H7"/>
      <selection pane="bottomLeft" activeCell="J34" sqref="J34"/>
    </sheetView>
  </sheetViews>
  <sheetFormatPr baseColWidth="10" defaultColWidth="11.453125" defaultRowHeight="14.5" x14ac:dyDescent="0.35"/>
  <cols>
    <col min="1" max="1" width="9.81640625" style="60" customWidth="1"/>
    <col min="2" max="2" width="9.26953125" style="60" customWidth="1"/>
    <col min="3" max="3" width="13.26953125" style="60" customWidth="1"/>
    <col min="4" max="4" width="9.26953125" style="60" customWidth="1"/>
    <col min="5" max="5" width="21.54296875" style="60" customWidth="1"/>
    <col min="6" max="7" width="11.453125" style="60"/>
    <col min="8" max="8" width="15" style="60" customWidth="1"/>
    <col min="9" max="9" width="10.81640625" style="60" customWidth="1"/>
    <col min="10" max="10" width="11.453125" style="60"/>
    <col min="11" max="11" width="9.81640625" style="60" customWidth="1"/>
    <col min="12" max="12" width="11.81640625" style="60" customWidth="1"/>
    <col min="13" max="13" width="13" style="60" customWidth="1"/>
    <col min="14" max="14" width="13.54296875" style="60" customWidth="1"/>
    <col min="15" max="15" width="13" style="60" customWidth="1"/>
    <col min="16" max="16" width="12.453125" style="60" customWidth="1"/>
    <col min="17" max="17" width="14.26953125" style="60" customWidth="1"/>
    <col min="18" max="18" width="14.453125" style="60" customWidth="1"/>
    <col min="19" max="16384" width="11.453125" style="60"/>
  </cols>
  <sheetData>
    <row r="1" spans="1:21" s="54" customFormat="1" ht="15" customHeight="1" x14ac:dyDescent="0.35">
      <c r="A1" s="2688"/>
      <c r="B1" s="2688"/>
      <c r="C1" s="2688"/>
      <c r="D1" s="3341" t="s">
        <v>5</v>
      </c>
      <c r="E1" s="3341"/>
      <c r="F1" s="3341"/>
      <c r="G1" s="3341"/>
      <c r="H1" s="391"/>
      <c r="I1" s="3341" t="s">
        <v>6</v>
      </c>
      <c r="J1" s="3341"/>
      <c r="K1" s="2688"/>
      <c r="L1" s="3341" t="s">
        <v>9</v>
      </c>
      <c r="M1" s="3341"/>
      <c r="N1" s="2688"/>
      <c r="O1" s="392"/>
      <c r="P1" s="392"/>
      <c r="Q1" s="392"/>
      <c r="R1" s="445"/>
      <c r="S1" s="97"/>
      <c r="T1" s="97"/>
      <c r="U1" s="97"/>
    </row>
    <row r="2" spans="1:21" s="58" customFormat="1" ht="18" customHeight="1" x14ac:dyDescent="0.35">
      <c r="A2" s="393"/>
      <c r="B2" s="393"/>
      <c r="C2" s="393"/>
      <c r="D2" s="3342" t="str">
        <f>NomClient</f>
        <v xml:space="preserve">EQUINIX </v>
      </c>
      <c r="E2" s="3343"/>
      <c r="F2" s="3343"/>
      <c r="G2" s="3344"/>
      <c r="H2" s="393"/>
      <c r="I2" s="3345" t="s">
        <v>410</v>
      </c>
      <c r="J2" s="3346"/>
      <c r="K2" s="393"/>
      <c r="L2" s="3347">
        <v>42971.837384259263</v>
      </c>
      <c r="M2" s="3348"/>
      <c r="N2" s="394"/>
      <c r="O2" s="395"/>
      <c r="P2" s="395"/>
      <c r="Q2" s="395"/>
      <c r="R2" s="446"/>
      <c r="S2" s="98"/>
      <c r="T2" s="98"/>
      <c r="U2" s="98"/>
    </row>
    <row r="3" spans="1:21" ht="9" customHeight="1" thickBot="1" x14ac:dyDescent="0.4">
      <c r="A3" s="396"/>
      <c r="B3" s="396"/>
      <c r="C3" s="396"/>
      <c r="D3" s="3332" t="s">
        <v>1792</v>
      </c>
      <c r="E3" s="3332"/>
      <c r="F3" s="3332"/>
      <c r="G3" s="3332"/>
      <c r="H3" s="396"/>
      <c r="I3" s="396"/>
      <c r="J3" s="396"/>
      <c r="K3" s="396"/>
      <c r="L3" s="396"/>
      <c r="M3" s="396"/>
      <c r="N3" s="396"/>
      <c r="O3" s="396"/>
      <c r="P3" s="396"/>
      <c r="Q3" s="396"/>
      <c r="R3" s="382"/>
      <c r="S3" s="99"/>
      <c r="T3" s="99"/>
      <c r="U3" s="99"/>
    </row>
    <row r="4" spans="1:21" s="1" customFormat="1" ht="24.75" customHeight="1" thickBot="1" x14ac:dyDescent="0.4">
      <c r="A4" s="3333" t="s">
        <v>2495</v>
      </c>
      <c r="B4" s="3334"/>
      <c r="C4" s="3334"/>
      <c r="D4" s="3334"/>
      <c r="E4" s="3334"/>
      <c r="F4" s="3334"/>
      <c r="G4" s="3334"/>
      <c r="H4" s="3334"/>
      <c r="I4" s="3334"/>
      <c r="J4" s="3334"/>
      <c r="K4" s="3334"/>
      <c r="L4" s="3334"/>
      <c r="M4" s="3334"/>
      <c r="N4" s="3334"/>
      <c r="O4" s="3334"/>
      <c r="P4" s="3334"/>
      <c r="Q4" s="3335"/>
      <c r="R4" s="447"/>
      <c r="S4" s="27"/>
      <c r="T4" s="27"/>
      <c r="U4" s="27"/>
    </row>
    <row r="5" spans="1:21" s="65" customFormat="1" ht="20.25" customHeight="1" x14ac:dyDescent="0.35">
      <c r="A5" s="3336" t="s">
        <v>14</v>
      </c>
      <c r="B5" s="3336"/>
      <c r="C5" s="3337" t="s">
        <v>44</v>
      </c>
      <c r="D5" s="3337"/>
      <c r="E5" s="3337"/>
      <c r="F5" s="3337"/>
      <c r="G5" s="3337"/>
      <c r="H5" s="3337"/>
      <c r="I5" s="3337"/>
      <c r="J5" s="3337"/>
      <c r="K5" s="3337"/>
      <c r="L5" s="3337"/>
      <c r="M5" s="3337"/>
      <c r="N5" s="3337"/>
      <c r="O5" s="3337"/>
      <c r="P5" s="3337"/>
      <c r="Q5" s="380"/>
      <c r="R5" s="380"/>
      <c r="S5" s="197"/>
      <c r="T5" s="197"/>
      <c r="U5" s="197"/>
    </row>
    <row r="6" spans="1:21" ht="16" thickBot="1" x14ac:dyDescent="0.4">
      <c r="A6" s="3338"/>
      <c r="B6" s="3338"/>
      <c r="C6" s="3338"/>
      <c r="D6" s="3338"/>
      <c r="E6" s="3338"/>
      <c r="F6" s="3338"/>
      <c r="G6" s="3338"/>
      <c r="H6" s="3338"/>
      <c r="I6" s="3338"/>
      <c r="J6" s="3338"/>
      <c r="K6" s="3338"/>
      <c r="L6" s="3338"/>
      <c r="M6" s="3339" t="s">
        <v>519</v>
      </c>
      <c r="N6" s="3340"/>
      <c r="O6" s="3340"/>
      <c r="P6" s="3340"/>
      <c r="Q6" s="3340"/>
      <c r="R6" s="3340"/>
      <c r="S6" s="99"/>
      <c r="T6" s="99"/>
      <c r="U6" s="99"/>
    </row>
    <row r="7" spans="1:21" ht="19" thickTop="1" x14ac:dyDescent="0.45">
      <c r="A7" s="448" t="s">
        <v>743</v>
      </c>
      <c r="B7" s="3349" t="s">
        <v>744</v>
      </c>
      <c r="C7" s="3349"/>
      <c r="D7" s="3349" t="s">
        <v>45</v>
      </c>
      <c r="E7" s="3349"/>
      <c r="F7" s="3349" t="s">
        <v>46</v>
      </c>
      <c r="G7" s="3349"/>
      <c r="H7" s="3349" t="s">
        <v>47</v>
      </c>
      <c r="I7" s="3349"/>
      <c r="J7" s="3349"/>
      <c r="K7" s="3349" t="s">
        <v>48</v>
      </c>
      <c r="L7" s="3349"/>
      <c r="M7" s="1361">
        <v>42971</v>
      </c>
      <c r="N7" s="1361"/>
      <c r="O7" s="1361"/>
      <c r="P7" s="1361"/>
      <c r="Q7" s="1361"/>
      <c r="R7" s="1361" t="e">
        <f>#REF!</f>
        <v>#REF!</v>
      </c>
      <c r="S7" s="99"/>
      <c r="T7" s="99"/>
      <c r="U7" s="99"/>
    </row>
    <row r="8" spans="1:21" x14ac:dyDescent="0.35">
      <c r="A8" s="1362" t="s">
        <v>132</v>
      </c>
      <c r="B8" s="3350" t="s">
        <v>1921</v>
      </c>
      <c r="C8" s="3350"/>
      <c r="D8" s="3350" t="s">
        <v>1368</v>
      </c>
      <c r="E8" s="3350"/>
      <c r="F8" s="3350" t="s">
        <v>844</v>
      </c>
      <c r="G8" s="3350"/>
      <c r="H8" s="3351" t="s">
        <v>1369</v>
      </c>
      <c r="I8" s="3350"/>
      <c r="J8" s="3350"/>
      <c r="K8" s="3352">
        <v>620646787</v>
      </c>
      <c r="L8" s="3353"/>
      <c r="M8" s="2689" t="s">
        <v>2496</v>
      </c>
      <c r="N8" s="1363"/>
      <c r="O8" s="1363"/>
      <c r="P8" s="1363"/>
      <c r="Q8" s="1365"/>
      <c r="R8" s="1364" t="s">
        <v>1861</v>
      </c>
      <c r="S8" s="99"/>
      <c r="T8" s="99"/>
      <c r="U8" s="99"/>
    </row>
    <row r="9" spans="1:21" ht="15.5" x14ac:dyDescent="0.35">
      <c r="A9" s="1362" t="s">
        <v>2497</v>
      </c>
      <c r="B9" s="3354" t="s">
        <v>2498</v>
      </c>
      <c r="C9" s="3354"/>
      <c r="D9" s="3350" t="s">
        <v>1952</v>
      </c>
      <c r="E9" s="3350"/>
      <c r="F9" s="3350" t="s">
        <v>844</v>
      </c>
      <c r="G9" s="3350"/>
      <c r="H9" s="3351"/>
      <c r="I9" s="3350"/>
      <c r="J9" s="3350"/>
      <c r="K9" s="3352"/>
      <c r="L9" s="3353"/>
      <c r="M9" s="2689"/>
      <c r="N9" s="2689"/>
      <c r="O9" s="2689"/>
      <c r="P9" s="1365"/>
      <c r="Q9" s="1365"/>
      <c r="R9" s="1364"/>
      <c r="S9" s="99"/>
      <c r="T9" s="99"/>
      <c r="U9" s="99"/>
    </row>
    <row r="10" spans="1:21" ht="15.5" x14ac:dyDescent="0.35">
      <c r="A10" s="1362" t="s">
        <v>2499</v>
      </c>
      <c r="B10" s="3354" t="s">
        <v>2500</v>
      </c>
      <c r="C10" s="3354"/>
      <c r="D10" s="3350" t="s">
        <v>2501</v>
      </c>
      <c r="E10" s="3350"/>
      <c r="F10" s="3350" t="s">
        <v>2359</v>
      </c>
      <c r="G10" s="3350"/>
      <c r="H10" s="3351" t="s">
        <v>2506</v>
      </c>
      <c r="I10" s="3350"/>
      <c r="J10" s="3350"/>
      <c r="K10" s="3352"/>
      <c r="L10" s="3353"/>
      <c r="M10" s="2689"/>
      <c r="N10" s="2689"/>
      <c r="O10" s="2689"/>
      <c r="P10" s="1365"/>
      <c r="Q10" s="1365"/>
      <c r="R10" s="1364"/>
      <c r="S10" s="99"/>
      <c r="T10" s="99"/>
      <c r="U10" s="99"/>
    </row>
    <row r="11" spans="1:21" ht="15.5" x14ac:dyDescent="0.35">
      <c r="A11" s="1362" t="s">
        <v>2503</v>
      </c>
      <c r="B11" s="3354" t="s">
        <v>2504</v>
      </c>
      <c r="C11" s="3354"/>
      <c r="D11" s="3350" t="s">
        <v>2505</v>
      </c>
      <c r="E11" s="3350"/>
      <c r="F11" s="3350" t="s">
        <v>2359</v>
      </c>
      <c r="G11" s="3350"/>
      <c r="H11" s="3356" t="s">
        <v>2502</v>
      </c>
      <c r="I11" s="3350"/>
      <c r="J11" s="3350"/>
      <c r="K11" s="3352"/>
      <c r="L11" s="3353"/>
      <c r="M11" s="2834"/>
      <c r="N11" s="2834"/>
      <c r="O11" s="2834"/>
      <c r="P11" s="1365"/>
      <c r="Q11" s="1365"/>
      <c r="R11" s="1364"/>
      <c r="S11" s="99"/>
      <c r="T11" s="99"/>
      <c r="U11" s="99"/>
    </row>
    <row r="12" spans="1:21" ht="15.5" x14ac:dyDescent="0.35">
      <c r="A12" s="1362" t="s">
        <v>2243</v>
      </c>
      <c r="B12" s="3354" t="s">
        <v>2507</v>
      </c>
      <c r="C12" s="3354"/>
      <c r="D12" s="3350" t="s">
        <v>2505</v>
      </c>
      <c r="E12" s="3350"/>
      <c r="F12" s="3350" t="s">
        <v>2359</v>
      </c>
      <c r="G12" s="3350"/>
      <c r="H12" s="3356" t="s">
        <v>2508</v>
      </c>
      <c r="I12" s="3350"/>
      <c r="J12" s="3350"/>
      <c r="K12" s="3352"/>
      <c r="L12" s="3353"/>
      <c r="M12" s="2834"/>
      <c r="N12" s="2834"/>
      <c r="O12" s="2834"/>
      <c r="P12" s="1365"/>
      <c r="Q12" s="1365"/>
      <c r="R12" s="1364"/>
      <c r="S12" s="99"/>
      <c r="T12" s="99"/>
      <c r="U12" s="99"/>
    </row>
    <row r="13" spans="1:21" ht="15.5" x14ac:dyDescent="0.35">
      <c r="A13" s="1362" t="s">
        <v>2741</v>
      </c>
      <c r="B13" s="3357" t="s">
        <v>2739</v>
      </c>
      <c r="C13" s="3354"/>
      <c r="D13" s="3350" t="s">
        <v>2740</v>
      </c>
      <c r="E13" s="3350"/>
      <c r="F13" s="3350" t="s">
        <v>2359</v>
      </c>
      <c r="G13" s="3350"/>
      <c r="H13" s="3356" t="s">
        <v>2748</v>
      </c>
      <c r="I13" s="3350"/>
      <c r="J13" s="3350"/>
      <c r="K13" s="3352"/>
      <c r="L13" s="3353"/>
      <c r="M13" s="2834"/>
      <c r="N13" s="1365"/>
      <c r="O13" s="1365"/>
      <c r="P13" s="1365"/>
      <c r="Q13" s="1365"/>
      <c r="R13" s="1364"/>
      <c r="S13" s="99"/>
      <c r="T13" s="99"/>
      <c r="U13" s="99"/>
    </row>
    <row r="14" spans="1:21" ht="15.5" x14ac:dyDescent="0.35">
      <c r="A14" s="1362" t="s">
        <v>2746</v>
      </c>
      <c r="B14" s="3354" t="s">
        <v>2742</v>
      </c>
      <c r="C14" s="3354"/>
      <c r="D14" s="3355" t="s">
        <v>2743</v>
      </c>
      <c r="E14" s="3355"/>
      <c r="F14" s="3350" t="s">
        <v>2359</v>
      </c>
      <c r="G14" s="3350"/>
      <c r="H14" s="3356" t="s">
        <v>2750</v>
      </c>
      <c r="I14" s="3350"/>
      <c r="J14" s="3350"/>
      <c r="K14" s="3352"/>
      <c r="L14" s="3353"/>
      <c r="M14" s="2689"/>
      <c r="N14" s="2689"/>
      <c r="O14" s="2689"/>
      <c r="P14" s="1365"/>
      <c r="Q14" s="1365"/>
      <c r="R14" s="1364"/>
      <c r="S14" s="99"/>
      <c r="T14" s="99"/>
      <c r="U14" s="99"/>
    </row>
    <row r="15" spans="1:21" ht="15.5" x14ac:dyDescent="0.35">
      <c r="A15" s="1362" t="s">
        <v>2747</v>
      </c>
      <c r="B15" s="3354" t="s">
        <v>2744</v>
      </c>
      <c r="C15" s="3354"/>
      <c r="D15" s="3355" t="s">
        <v>2745</v>
      </c>
      <c r="E15" s="3355"/>
      <c r="F15" s="3350" t="s">
        <v>2359</v>
      </c>
      <c r="G15" s="3350"/>
      <c r="H15" s="3356" t="s">
        <v>2749</v>
      </c>
      <c r="I15" s="3350"/>
      <c r="J15" s="3350"/>
      <c r="K15" s="3352"/>
      <c r="L15" s="3353"/>
      <c r="M15" s="2689"/>
      <c r="N15" s="2689"/>
      <c r="O15" s="2689"/>
      <c r="P15" s="1365"/>
      <c r="Q15" s="1365"/>
      <c r="R15" s="1364"/>
      <c r="S15" s="99"/>
      <c r="T15" s="99"/>
      <c r="U15" s="99"/>
    </row>
    <row r="16" spans="1:21" ht="15.5" x14ac:dyDescent="0.35">
      <c r="A16" s="1362"/>
      <c r="B16" s="3357"/>
      <c r="C16" s="3354"/>
      <c r="D16" s="3350"/>
      <c r="E16" s="3350"/>
      <c r="F16" s="3350"/>
      <c r="G16" s="3350"/>
      <c r="H16" s="3351"/>
      <c r="I16" s="3350"/>
      <c r="J16" s="3350"/>
      <c r="K16" s="3352"/>
      <c r="L16" s="3353"/>
      <c r="M16" s="2689"/>
      <c r="N16" s="1365"/>
      <c r="O16" s="1365"/>
      <c r="P16" s="1365"/>
      <c r="Q16" s="1365"/>
      <c r="R16" s="1364"/>
      <c r="S16" s="99"/>
      <c r="T16" s="99"/>
      <c r="U16" s="99"/>
    </row>
    <row r="17" spans="1:21" ht="15.5" x14ac:dyDescent="0.35">
      <c r="A17" s="1362"/>
      <c r="B17" s="3354" t="s">
        <v>2973</v>
      </c>
      <c r="C17" s="3354"/>
      <c r="D17" s="3350" t="s">
        <v>2974</v>
      </c>
      <c r="E17" s="3350"/>
      <c r="F17" s="3350" t="s">
        <v>2971</v>
      </c>
      <c r="G17" s="3350"/>
      <c r="H17" s="3351"/>
      <c r="I17" s="3350"/>
      <c r="J17" s="3350"/>
      <c r="K17" s="3352"/>
      <c r="L17" s="3353"/>
      <c r="M17" s="2689"/>
      <c r="N17" s="2689"/>
      <c r="O17" s="2689"/>
      <c r="P17" s="1365"/>
      <c r="Q17" s="1365"/>
      <c r="R17" s="1364"/>
      <c r="S17" s="99"/>
      <c r="T17" s="99"/>
      <c r="U17" s="99"/>
    </row>
    <row r="18" spans="1:21" ht="15.5" x14ac:dyDescent="0.35">
      <c r="A18" s="1362"/>
      <c r="B18" s="3354" t="s">
        <v>2975</v>
      </c>
      <c r="C18" s="3354"/>
      <c r="D18" s="3350" t="s">
        <v>2976</v>
      </c>
      <c r="E18" s="3350"/>
      <c r="F18" s="3350" t="s">
        <v>2971</v>
      </c>
      <c r="G18" s="3350"/>
      <c r="H18" s="3351"/>
      <c r="I18" s="3350"/>
      <c r="J18" s="3350"/>
      <c r="K18" s="3352"/>
      <c r="L18" s="3353"/>
      <c r="M18" s="2689"/>
      <c r="N18" s="2689"/>
      <c r="O18" s="2689"/>
      <c r="P18" s="1365"/>
      <c r="Q18" s="1365"/>
      <c r="R18" s="1364"/>
      <c r="S18" s="99"/>
      <c r="T18" s="99"/>
      <c r="U18" s="99"/>
    </row>
    <row r="19" spans="1:21" ht="15.5" x14ac:dyDescent="0.35">
      <c r="A19" s="1362"/>
      <c r="B19" s="3354"/>
      <c r="C19" s="3354"/>
      <c r="D19" s="3350"/>
      <c r="E19" s="3350"/>
      <c r="F19" s="3350" t="s">
        <v>2971</v>
      </c>
      <c r="G19" s="3350"/>
      <c r="H19" s="3356"/>
      <c r="I19" s="3350"/>
      <c r="J19" s="3350"/>
      <c r="K19" s="3352"/>
      <c r="L19" s="3353"/>
      <c r="M19" s="2689"/>
      <c r="N19" s="2689"/>
      <c r="O19" s="2689"/>
      <c r="P19" s="1365"/>
      <c r="Q19" s="1365"/>
      <c r="R19" s="1364"/>
      <c r="S19" s="99"/>
      <c r="T19" s="99"/>
      <c r="U19" s="99"/>
    </row>
    <row r="20" spans="1:21" ht="15.5" x14ac:dyDescent="0.35">
      <c r="A20" s="1362"/>
      <c r="B20" s="3354"/>
      <c r="C20" s="3354"/>
      <c r="D20" s="3350"/>
      <c r="E20" s="3350"/>
      <c r="F20" s="3350" t="s">
        <v>2971</v>
      </c>
      <c r="G20" s="3350"/>
      <c r="H20" s="3356"/>
      <c r="I20" s="3350"/>
      <c r="J20" s="3350"/>
      <c r="K20" s="3352"/>
      <c r="L20" s="3353"/>
      <c r="M20" s="2689"/>
      <c r="N20" s="2689"/>
      <c r="O20" s="2689"/>
      <c r="P20" s="1365"/>
      <c r="Q20" s="1365"/>
      <c r="R20" s="1364"/>
      <c r="S20" s="99"/>
      <c r="T20" s="99"/>
      <c r="U20" s="99"/>
    </row>
    <row r="21" spans="1:21" ht="15.5" x14ac:dyDescent="0.35">
      <c r="A21" s="1362"/>
      <c r="B21" s="3357"/>
      <c r="C21" s="3354"/>
      <c r="D21" s="3350"/>
      <c r="E21" s="3350"/>
      <c r="F21" s="3350"/>
      <c r="G21" s="3350"/>
      <c r="H21" s="3351"/>
      <c r="I21" s="3350"/>
      <c r="J21" s="3350"/>
      <c r="K21" s="3352"/>
      <c r="L21" s="3353"/>
      <c r="M21" s="2689"/>
      <c r="N21" s="1365"/>
      <c r="O21" s="1365"/>
      <c r="P21" s="1365"/>
      <c r="Q21" s="1365"/>
      <c r="R21" s="1364"/>
      <c r="S21" s="99"/>
      <c r="T21" s="99"/>
      <c r="U21" s="99"/>
    </row>
    <row r="22" spans="1:21" ht="16" thickBot="1" x14ac:dyDescent="0.4">
      <c r="A22" s="332"/>
      <c r="B22" s="3358"/>
      <c r="C22" s="3359"/>
      <c r="D22" s="3359"/>
      <c r="E22" s="3359"/>
      <c r="F22" s="3350"/>
      <c r="G22" s="3350"/>
      <c r="H22" s="3359"/>
      <c r="I22" s="3359"/>
      <c r="J22" s="3359"/>
      <c r="K22" s="3360"/>
      <c r="L22" s="3361"/>
      <c r="M22" s="333"/>
      <c r="N22" s="333"/>
      <c r="O22" s="333"/>
      <c r="P22" s="2485"/>
      <c r="Q22" s="333"/>
      <c r="R22" s="334"/>
      <c r="S22" s="99"/>
      <c r="T22" s="99"/>
      <c r="U22" s="99"/>
    </row>
    <row r="23" spans="1:21" ht="15" thickTop="1" x14ac:dyDescent="0.35">
      <c r="A23" s="2690"/>
      <c r="B23" s="2690"/>
      <c r="C23" s="2690"/>
      <c r="D23" s="2690"/>
      <c r="E23" s="2690"/>
      <c r="F23" s="2690"/>
      <c r="G23" s="2690"/>
      <c r="H23" s="2690"/>
      <c r="I23" s="2690"/>
      <c r="J23" s="2690"/>
      <c r="K23" s="2690"/>
      <c r="L23" s="2690"/>
      <c r="M23" s="449"/>
      <c r="N23" s="449"/>
      <c r="O23" s="449"/>
      <c r="P23" s="449"/>
      <c r="Q23" s="449"/>
      <c r="R23" s="382"/>
      <c r="S23" s="99"/>
      <c r="T23" s="99"/>
      <c r="U23" s="99"/>
    </row>
    <row r="24" spans="1:21" x14ac:dyDescent="0.35">
      <c r="A24" s="29"/>
      <c r="B24" s="29"/>
      <c r="C24" s="29"/>
      <c r="D24" s="29"/>
      <c r="E24" s="29"/>
      <c r="F24" s="29"/>
      <c r="G24" s="29"/>
      <c r="H24" s="29"/>
      <c r="I24" s="29"/>
      <c r="J24" s="99"/>
      <c r="K24" s="99"/>
      <c r="L24" s="99"/>
      <c r="M24" s="99"/>
      <c r="N24" s="99"/>
      <c r="O24" s="99"/>
      <c r="P24" s="99"/>
      <c r="Q24" s="99"/>
      <c r="R24" s="99"/>
      <c r="S24" s="99"/>
      <c r="T24" s="99"/>
      <c r="U24" s="99"/>
    </row>
    <row r="25" spans="1:21" x14ac:dyDescent="0.35">
      <c r="A25" s="29"/>
      <c r="B25" s="29"/>
      <c r="C25" s="29"/>
      <c r="D25" s="29"/>
      <c r="E25" s="29"/>
      <c r="F25" s="29"/>
      <c r="G25" s="29"/>
      <c r="H25" s="29"/>
      <c r="I25" s="29"/>
      <c r="J25" s="99"/>
      <c r="K25" s="99"/>
      <c r="L25" s="99"/>
      <c r="M25" s="99"/>
      <c r="N25" s="99"/>
      <c r="O25" s="99"/>
      <c r="P25" s="99"/>
      <c r="Q25" s="99"/>
      <c r="R25" s="99"/>
      <c r="S25" s="99"/>
      <c r="T25" s="99"/>
      <c r="U25" s="99"/>
    </row>
    <row r="26" spans="1:21" ht="19" thickBot="1" x14ac:dyDescent="0.5">
      <c r="A26" s="29"/>
      <c r="B26"/>
      <c r="C26"/>
      <c r="D26" s="3326" t="s">
        <v>2878</v>
      </c>
      <c r="E26" s="3326"/>
      <c r="F26" s="3326"/>
      <c r="G26" s="3326"/>
      <c r="H26"/>
      <c r="I26"/>
      <c r="J26" s="99"/>
      <c r="K26" s="99"/>
      <c r="L26" s="99"/>
      <c r="M26" s="99"/>
      <c r="N26" s="99"/>
      <c r="O26" s="99"/>
      <c r="P26" s="99"/>
      <c r="Q26" s="99"/>
      <c r="R26" s="99"/>
      <c r="S26" s="99"/>
      <c r="T26" s="99"/>
      <c r="U26" s="99"/>
    </row>
    <row r="27" spans="1:21" ht="15" thickTop="1" x14ac:dyDescent="0.35">
      <c r="A27" s="29"/>
      <c r="B27" s="2872"/>
      <c r="C27" s="2873"/>
      <c r="D27" s="2874"/>
      <c r="E27" s="2873"/>
      <c r="F27" s="2873"/>
      <c r="G27" s="2872"/>
      <c r="H27" s="2873"/>
      <c r="I27" s="2874"/>
      <c r="J27" s="99"/>
      <c r="K27" s="99"/>
      <c r="L27" s="99"/>
      <c r="M27" s="99"/>
      <c r="N27" s="99"/>
      <c r="O27" s="99"/>
      <c r="P27" s="99"/>
      <c r="Q27" s="99"/>
      <c r="R27" s="99"/>
      <c r="S27" s="99"/>
      <c r="T27" s="99"/>
      <c r="U27" s="99"/>
    </row>
    <row r="28" spans="1:21" ht="15" thickBot="1" x14ac:dyDescent="0.4">
      <c r="A28" s="99"/>
      <c r="B28" s="3327" t="s">
        <v>2971</v>
      </c>
      <c r="C28" s="3328"/>
      <c r="D28" s="3329"/>
      <c r="E28" s="2875"/>
      <c r="F28" s="2875"/>
      <c r="G28" s="3327" t="s">
        <v>2324</v>
      </c>
      <c r="H28" s="3328"/>
      <c r="I28" s="3329"/>
      <c r="J28" s="99"/>
      <c r="K28" s="99"/>
      <c r="L28" s="99"/>
      <c r="M28" s="99"/>
      <c r="N28" s="99"/>
      <c r="O28" s="99"/>
      <c r="P28" s="99"/>
      <c r="Q28" s="99"/>
      <c r="R28" s="99"/>
      <c r="S28" s="99"/>
      <c r="T28" s="99"/>
      <c r="U28" s="99"/>
    </row>
    <row r="29" spans="1:21" ht="15" thickTop="1" x14ac:dyDescent="0.35">
      <c r="A29" s="28"/>
      <c r="B29" s="2876"/>
      <c r="C29" s="2582"/>
      <c r="D29" s="2877"/>
      <c r="E29" s="2582"/>
      <c r="F29" s="2582"/>
      <c r="G29" s="2876"/>
      <c r="H29" s="2582"/>
      <c r="I29" s="2877"/>
      <c r="J29" s="99"/>
      <c r="K29" s="99"/>
      <c r="L29" s="99"/>
      <c r="M29" s="99"/>
      <c r="N29" s="99"/>
      <c r="O29" s="99"/>
      <c r="P29" s="99"/>
      <c r="Q29" s="99"/>
    </row>
    <row r="30" spans="1:21" x14ac:dyDescent="0.35">
      <c r="A30" s="29"/>
      <c r="B30" s="2876"/>
      <c r="C30" s="2582"/>
      <c r="D30" s="2877"/>
      <c r="E30" s="3321" t="s">
        <v>2694</v>
      </c>
      <c r="F30" s="3321"/>
      <c r="G30" s="3322"/>
      <c r="H30" s="3323"/>
      <c r="I30" s="2877"/>
      <c r="J30" s="99"/>
      <c r="K30" s="99"/>
      <c r="L30" s="99"/>
      <c r="M30" s="99"/>
      <c r="N30" s="99"/>
      <c r="O30" s="99"/>
      <c r="P30" s="99"/>
      <c r="Q30" s="99"/>
    </row>
    <row r="31" spans="1:21" x14ac:dyDescent="0.35">
      <c r="A31" s="20"/>
      <c r="B31" s="2876"/>
      <c r="C31" s="2582"/>
      <c r="D31" s="2877"/>
      <c r="E31" s="3321" t="s">
        <v>2695</v>
      </c>
      <c r="F31" s="3321"/>
      <c r="G31" s="3330" t="s">
        <v>2739</v>
      </c>
      <c r="H31" s="3331"/>
      <c r="I31" s="2877"/>
    </row>
    <row r="32" spans="1:21" x14ac:dyDescent="0.35">
      <c r="A32" s="20"/>
      <c r="B32" s="2876"/>
      <c r="C32" s="2582"/>
      <c r="D32" s="2877"/>
      <c r="E32" s="3321" t="s">
        <v>2505</v>
      </c>
      <c r="F32" s="3321"/>
      <c r="G32" s="3322" t="s">
        <v>2504</v>
      </c>
      <c r="H32" s="3323"/>
      <c r="I32" s="2877"/>
    </row>
    <row r="33" spans="1:9" x14ac:dyDescent="0.35">
      <c r="A33" s="66"/>
      <c r="B33" s="2876"/>
      <c r="C33" s="2582"/>
      <c r="D33" s="2877"/>
      <c r="E33" s="3321" t="s">
        <v>1743</v>
      </c>
      <c r="F33" s="3321"/>
      <c r="G33" s="3322" t="s">
        <v>2696</v>
      </c>
      <c r="H33" s="3323"/>
      <c r="I33" s="2877"/>
    </row>
    <row r="34" spans="1:9" x14ac:dyDescent="0.35">
      <c r="B34" s="2876"/>
      <c r="C34" s="2582"/>
      <c r="D34" s="2877"/>
      <c r="E34" s="3324" t="s">
        <v>2697</v>
      </c>
      <c r="F34" s="3325"/>
      <c r="G34" s="3322" t="s">
        <v>2500</v>
      </c>
      <c r="H34" s="3323"/>
      <c r="I34" s="2877"/>
    </row>
    <row r="35" spans="1:9" x14ac:dyDescent="0.35">
      <c r="B35" s="2876"/>
      <c r="C35" s="2582"/>
      <c r="D35" s="2877"/>
      <c r="E35" s="3321" t="s">
        <v>2752</v>
      </c>
      <c r="F35" s="3321"/>
      <c r="G35" s="3322" t="s">
        <v>2742</v>
      </c>
      <c r="H35" s="3323"/>
      <c r="I35" s="2877"/>
    </row>
    <row r="36" spans="1:9" x14ac:dyDescent="0.35">
      <c r="B36" s="2876"/>
      <c r="C36" s="2582"/>
      <c r="D36" s="2877"/>
      <c r="E36" s="3321" t="s">
        <v>2751</v>
      </c>
      <c r="F36" s="3321"/>
      <c r="G36" s="3322" t="s">
        <v>2744</v>
      </c>
      <c r="H36" s="3323"/>
      <c r="I36" s="2877"/>
    </row>
    <row r="37" spans="1:9" x14ac:dyDescent="0.35">
      <c r="B37" s="2876"/>
      <c r="C37" s="2582"/>
      <c r="D37" s="2877"/>
      <c r="E37" s="3321"/>
      <c r="F37" s="3321"/>
      <c r="G37" s="2876"/>
      <c r="H37" s="2582"/>
      <c r="I37" s="2877"/>
    </row>
    <row r="38" spans="1:9" x14ac:dyDescent="0.35">
      <c r="B38" s="2876"/>
      <c r="C38" s="2582"/>
      <c r="D38" s="2877"/>
      <c r="E38" s="3321"/>
      <c r="F38" s="3321"/>
      <c r="G38" s="2876"/>
      <c r="H38" s="2582"/>
      <c r="I38" s="2877"/>
    </row>
    <row r="39" spans="1:9" x14ac:dyDescent="0.35">
      <c r="B39" s="2876"/>
      <c r="C39" s="2582"/>
      <c r="D39" s="2877"/>
      <c r="E39" s="3321"/>
      <c r="F39" s="3321"/>
      <c r="G39" s="2876"/>
      <c r="H39" s="2582"/>
      <c r="I39" s="2877"/>
    </row>
    <row r="40" spans="1:9" ht="15" thickBot="1" x14ac:dyDescent="0.4">
      <c r="B40" s="2878"/>
      <c r="C40" s="2879"/>
      <c r="D40" s="2880"/>
      <c r="E40" s="2879"/>
      <c r="F40" s="2879"/>
      <c r="G40" s="2878"/>
      <c r="H40" s="2879"/>
      <c r="I40" s="2880"/>
    </row>
    <row r="41" spans="1:9" ht="15" thickTop="1" x14ac:dyDescent="0.35"/>
  </sheetData>
  <mergeCells count="112">
    <mergeCell ref="B13:C13"/>
    <mergeCell ref="D13:E13"/>
    <mergeCell ref="F13:G13"/>
    <mergeCell ref="H13:J13"/>
    <mergeCell ref="K13:L13"/>
    <mergeCell ref="B12:C12"/>
    <mergeCell ref="D12:E12"/>
    <mergeCell ref="F12:G12"/>
    <mergeCell ref="H12:J12"/>
    <mergeCell ref="K12:L12"/>
    <mergeCell ref="B11:C11"/>
    <mergeCell ref="D11:E11"/>
    <mergeCell ref="F11:G11"/>
    <mergeCell ref="H11:J11"/>
    <mergeCell ref="K11:L11"/>
    <mergeCell ref="B22:C22"/>
    <mergeCell ref="D22:E22"/>
    <mergeCell ref="F22:G22"/>
    <mergeCell ref="H22:J22"/>
    <mergeCell ref="K22:L22"/>
    <mergeCell ref="B20:C20"/>
    <mergeCell ref="D20:E20"/>
    <mergeCell ref="F20:G20"/>
    <mergeCell ref="H20:J20"/>
    <mergeCell ref="K20:L20"/>
    <mergeCell ref="B21:C21"/>
    <mergeCell ref="D21:E21"/>
    <mergeCell ref="F21:G21"/>
    <mergeCell ref="H21:J21"/>
    <mergeCell ref="K21:L21"/>
    <mergeCell ref="B18:C18"/>
    <mergeCell ref="D18:E18"/>
    <mergeCell ref="F18:G18"/>
    <mergeCell ref="H18:J18"/>
    <mergeCell ref="K18:L18"/>
    <mergeCell ref="B19:C19"/>
    <mergeCell ref="D19:E19"/>
    <mergeCell ref="F19:G19"/>
    <mergeCell ref="H19:J19"/>
    <mergeCell ref="K19:L19"/>
    <mergeCell ref="B16:C16"/>
    <mergeCell ref="D16:E16"/>
    <mergeCell ref="F16:G16"/>
    <mergeCell ref="H16:J16"/>
    <mergeCell ref="K16:L16"/>
    <mergeCell ref="B17:C17"/>
    <mergeCell ref="D17:E17"/>
    <mergeCell ref="F17:G17"/>
    <mergeCell ref="H17:J17"/>
    <mergeCell ref="K17:L17"/>
    <mergeCell ref="B14:C14"/>
    <mergeCell ref="D14:E14"/>
    <mergeCell ref="F14:G14"/>
    <mergeCell ref="H14:J14"/>
    <mergeCell ref="K14:L14"/>
    <mergeCell ref="B15:C15"/>
    <mergeCell ref="D15:E15"/>
    <mergeCell ref="F15:G15"/>
    <mergeCell ref="H15:J15"/>
    <mergeCell ref="K15:L15"/>
    <mergeCell ref="B9:C9"/>
    <mergeCell ref="D9:E9"/>
    <mergeCell ref="F9:G9"/>
    <mergeCell ref="H9:J9"/>
    <mergeCell ref="K9:L9"/>
    <mergeCell ref="B10:C10"/>
    <mergeCell ref="D10:E10"/>
    <mergeCell ref="F10:G10"/>
    <mergeCell ref="H10:J10"/>
    <mergeCell ref="K10:L10"/>
    <mergeCell ref="B7:C7"/>
    <mergeCell ref="D7:E7"/>
    <mergeCell ref="F7:G7"/>
    <mergeCell ref="H7:J7"/>
    <mergeCell ref="K7:L7"/>
    <mergeCell ref="B8:C8"/>
    <mergeCell ref="D8:E8"/>
    <mergeCell ref="F8:G8"/>
    <mergeCell ref="H8:J8"/>
    <mergeCell ref="K8:L8"/>
    <mergeCell ref="D3:G3"/>
    <mergeCell ref="A4:Q4"/>
    <mergeCell ref="A5:B5"/>
    <mergeCell ref="C5:P5"/>
    <mergeCell ref="A6:L6"/>
    <mergeCell ref="M6:R6"/>
    <mergeCell ref="D1:G1"/>
    <mergeCell ref="I1:J1"/>
    <mergeCell ref="L1:M1"/>
    <mergeCell ref="D2:G2"/>
    <mergeCell ref="I2:J2"/>
    <mergeCell ref="L2:M2"/>
    <mergeCell ref="D26:G26"/>
    <mergeCell ref="B28:D28"/>
    <mergeCell ref="G28:I28"/>
    <mergeCell ref="E30:F30"/>
    <mergeCell ref="G30:H30"/>
    <mergeCell ref="E31:F31"/>
    <mergeCell ref="G31:H31"/>
    <mergeCell ref="E32:F32"/>
    <mergeCell ref="G32:H32"/>
    <mergeCell ref="E33:F33"/>
    <mergeCell ref="G33:H33"/>
    <mergeCell ref="E34:F34"/>
    <mergeCell ref="G34:H34"/>
    <mergeCell ref="E39:F39"/>
    <mergeCell ref="E35:F35"/>
    <mergeCell ref="G35:H35"/>
    <mergeCell ref="E36:F36"/>
    <mergeCell ref="E37:F37"/>
    <mergeCell ref="E38:F38"/>
    <mergeCell ref="G36:H36"/>
  </mergeCells>
  <conditionalFormatting sqref="O2">
    <cfRule type="iconSet" priority="3">
      <iconSet iconSet="3Symbols2" showValue="0">
        <cfvo type="percent" val="0"/>
        <cfvo type="num" val="0"/>
        <cfvo type="num" val="10"/>
      </iconSet>
    </cfRule>
  </conditionalFormatting>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300-000000000000}">
      <formula1>AvancementTheme</formula1>
    </dataValidation>
  </dataValidations>
  <hyperlinks>
    <hyperlink ref="H8" r:id="rId1" xr:uid="{00000000-0004-0000-0300-000000000000}"/>
    <hyperlink ref="H15" r:id="rId2" xr:uid="{00000000-0004-0000-0300-000001000000}"/>
    <hyperlink ref="H10" r:id="rId3" xr:uid="{00000000-0004-0000-0300-000002000000}"/>
    <hyperlink ref="H11" r:id="rId4" display="severine@alantaya.com" xr:uid="{00000000-0004-0000-0300-000003000000}"/>
    <hyperlink ref="H12" r:id="rId5" xr:uid="{00000000-0004-0000-0300-000004000000}"/>
    <hyperlink ref="H13" r:id="rId6" xr:uid="{00000000-0004-0000-0300-000005000000}"/>
    <hyperlink ref="H14" r:id="rId7" xr:uid="{00000000-0004-0000-0300-000006000000}"/>
  </hyperlinks>
  <pageMargins left="0.70866141732283472" right="0.70866141732283472" top="0.74803149606299213" bottom="0.74803149606299213" header="0.31496062992125984" footer="0.31496062992125984"/>
  <pageSetup paperSize="9" scale="44" orientation="portrait" r:id="rId8"/>
  <headerFooter>
    <oddHeader>&amp;LPAD Methodology (c) 2013-2014&amp;RStrategic Management Workshop</oddHeader>
    <oddFooter>&amp;L&amp;F&amp;C&amp;A&amp;RSituation au : &amp;D - page : &amp;P/&amp;N</oddFooter>
  </headerFooter>
  <drawing r:id="rId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24">
    <tabColor theme="8" tint="0.59999389629810485"/>
    <pageSetUpPr fitToPage="1"/>
  </sheetPr>
  <dimension ref="A1:BX111"/>
  <sheetViews>
    <sheetView showGridLines="0" zoomScale="110" zoomScaleNormal="110" workbookViewId="0">
      <pane ySplit="6" topLeftCell="A50" activePane="bottomLeft" state="frozen"/>
      <selection activeCell="C5" sqref="C5:P5"/>
      <selection pane="bottomLeft" activeCell="C146" sqref="C146"/>
    </sheetView>
  </sheetViews>
  <sheetFormatPr baseColWidth="10" defaultColWidth="11.453125" defaultRowHeight="14.5" x14ac:dyDescent="0.35"/>
  <cols>
    <col min="1" max="1" width="8.54296875" style="60" customWidth="1"/>
    <col min="2" max="2" width="14.1796875" style="60" customWidth="1"/>
    <col min="3" max="11" width="11.453125" style="60"/>
    <col min="12" max="12" width="12.81640625" style="60" customWidth="1"/>
    <col min="13" max="14" width="11.453125" style="60"/>
    <col min="15" max="15" width="11.453125" style="60" customWidth="1"/>
    <col min="16" max="16" width="11.453125" style="60"/>
    <col min="17" max="17" width="8.1796875" style="60" customWidth="1"/>
    <col min="18" max="16384" width="11.453125" style="60"/>
  </cols>
  <sheetData>
    <row r="1" spans="1:76"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829"/>
      <c r="R1" s="458"/>
    </row>
    <row r="2" spans="1:76" s="58" customFormat="1" ht="18" customHeight="1" x14ac:dyDescent="0.35">
      <c r="A2" s="393"/>
      <c r="B2" s="393"/>
      <c r="C2" s="393"/>
      <c r="D2" s="3342" t="str">
        <f>NomClient</f>
        <v xml:space="preserve">EQUINIX </v>
      </c>
      <c r="E2" s="3343"/>
      <c r="F2" s="3343"/>
      <c r="G2" s="3344"/>
      <c r="H2" s="393"/>
      <c r="I2" s="3345" t="s">
        <v>407</v>
      </c>
      <c r="J2" s="3346"/>
      <c r="K2" s="393"/>
      <c r="L2" s="3347">
        <v>42534.869479166664</v>
      </c>
      <c r="M2" s="3348"/>
      <c r="N2" s="394"/>
      <c r="O2" s="451" t="e">
        <f>IF(LEN(DPDV_10PP)&gt;0,LEN(DPDV_10PP),0-PDV_NBmini)</f>
        <v>#REF!</v>
      </c>
      <c r="P2" s="451" t="e">
        <f>IF(LEN(DKPI_10PP)&gt;0,LEN(DKPI_10PP),0-KPI_NBmini)</f>
        <v>#REF!</v>
      </c>
      <c r="Q2" s="830"/>
      <c r="R2" s="459"/>
    </row>
    <row r="3" spans="1:76" ht="17.25" customHeight="1" thickBot="1" x14ac:dyDescent="0.4">
      <c r="A3" s="396"/>
      <c r="B3" s="396"/>
      <c r="C3" s="396"/>
      <c r="D3" s="396"/>
      <c r="E3" s="396"/>
      <c r="F3" s="396"/>
      <c r="G3" s="396"/>
      <c r="H3" s="396"/>
      <c r="I3" s="396"/>
      <c r="J3" s="396"/>
      <c r="K3" s="396"/>
      <c r="L3" s="396"/>
      <c r="M3" s="396"/>
      <c r="N3" s="396"/>
      <c r="O3" s="396"/>
      <c r="P3" s="396"/>
      <c r="Q3" s="831"/>
      <c r="R3" s="64"/>
    </row>
    <row r="4" spans="1:76" s="1" customFormat="1" ht="18" customHeight="1" thickBot="1" x14ac:dyDescent="0.4">
      <c r="A4" s="907"/>
      <c r="B4" s="4203" t="str">
        <f>Parametre!B32 &amp; "   : "</f>
        <v xml:space="preserve">Programmes partenaires   : </v>
      </c>
      <c r="C4" s="4203"/>
      <c r="D4" s="4203"/>
      <c r="E4" s="4203"/>
      <c r="F4" s="4203"/>
      <c r="G4" s="4203"/>
      <c r="H4" s="4204" t="s">
        <v>224</v>
      </c>
      <c r="I4" s="4204"/>
      <c r="J4" s="4204"/>
      <c r="K4" s="4204"/>
      <c r="L4" s="4204"/>
      <c r="M4" s="4204"/>
      <c r="N4" s="4204"/>
      <c r="O4" s="4204"/>
      <c r="P4" s="4204"/>
      <c r="Q4" s="4205"/>
      <c r="R4" s="444"/>
    </row>
    <row r="5" spans="1:76" s="193" customFormat="1" ht="41.25" customHeight="1" thickBot="1" x14ac:dyDescent="0.4">
      <c r="A5" s="3438" t="s">
        <v>14</v>
      </c>
      <c r="B5" s="3438"/>
      <c r="C5" s="3508" t="s">
        <v>2261</v>
      </c>
      <c r="D5" s="3508"/>
      <c r="E5" s="3508"/>
      <c r="F5" s="3508"/>
      <c r="G5" s="3508"/>
      <c r="H5" s="3508"/>
      <c r="I5" s="3508"/>
      <c r="J5" s="3508"/>
      <c r="K5" s="3508"/>
      <c r="L5" s="3508"/>
      <c r="M5" s="3508"/>
      <c r="N5" s="3508"/>
      <c r="O5" s="3508"/>
      <c r="P5" s="3508"/>
      <c r="Q5" s="3508"/>
      <c r="R5" s="460"/>
    </row>
    <row r="6" spans="1:76" ht="21.75" customHeight="1" thickTop="1" thickBot="1" x14ac:dyDescent="0.4">
      <c r="A6" s="3773"/>
      <c r="B6" s="3773"/>
      <c r="C6" s="3773"/>
      <c r="D6" s="3773"/>
      <c r="E6" s="4452"/>
      <c r="F6" s="5240" t="s">
        <v>2324</v>
      </c>
      <c r="G6" s="5237"/>
      <c r="H6" s="5237"/>
      <c r="I6" s="5237" t="s">
        <v>1023</v>
      </c>
      <c r="J6" s="5237"/>
      <c r="K6" s="5237"/>
      <c r="L6" s="5237"/>
      <c r="M6" s="5237"/>
      <c r="N6" s="5237"/>
      <c r="O6" s="5241" t="s">
        <v>18</v>
      </c>
      <c r="P6" s="5241"/>
      <c r="Q6" s="5242"/>
      <c r="R6" s="64"/>
    </row>
    <row r="7" spans="1:76" ht="18.75" customHeight="1" thickBot="1" x14ac:dyDescent="0.4">
      <c r="A7" s="1560"/>
      <c r="B7" s="1560"/>
      <c r="C7" s="1560"/>
      <c r="D7" s="1560"/>
      <c r="E7" s="1560"/>
      <c r="F7" s="1566"/>
      <c r="G7" s="1566"/>
      <c r="H7" s="1566"/>
      <c r="I7" s="1566"/>
      <c r="J7" s="1566"/>
      <c r="K7" s="1566"/>
      <c r="L7" s="1566"/>
      <c r="M7" s="1566"/>
      <c r="N7" s="1566"/>
      <c r="O7" s="966"/>
      <c r="P7" s="966"/>
      <c r="Q7" s="966"/>
      <c r="R7" s="112"/>
    </row>
    <row r="8" spans="1:76" ht="25.5" customHeight="1" thickTop="1" thickBot="1" x14ac:dyDescent="0.4">
      <c r="A8" s="929"/>
      <c r="B8" s="5243" t="s">
        <v>1497</v>
      </c>
      <c r="C8" s="5244"/>
      <c r="D8" s="5244"/>
      <c r="E8" s="5244"/>
      <c r="F8" s="5244"/>
      <c r="G8" s="5244"/>
      <c r="H8" s="5244"/>
      <c r="I8" s="5244"/>
      <c r="J8" s="5244"/>
      <c r="K8" s="5244"/>
      <c r="L8" s="5244"/>
      <c r="M8" s="5244"/>
      <c r="N8" s="5244"/>
      <c r="O8" s="5244"/>
      <c r="P8" s="5244"/>
      <c r="Q8" s="5245"/>
      <c r="R8" s="382"/>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row>
    <row r="9" spans="1:76" ht="9" customHeight="1" thickTop="1" x14ac:dyDescent="0.35">
      <c r="A9" s="5228" t="s">
        <v>647</v>
      </c>
      <c r="B9" s="5238"/>
      <c r="C9" s="5238"/>
      <c r="D9" s="5238"/>
      <c r="E9" s="5238"/>
      <c r="F9" s="5238"/>
      <c r="G9" s="5238"/>
      <c r="H9" s="5238"/>
      <c r="I9" s="5238"/>
      <c r="J9" s="5238"/>
      <c r="K9" s="5238"/>
      <c r="L9" s="5238"/>
      <c r="M9" s="5238"/>
      <c r="N9" s="5238"/>
      <c r="O9" s="5238"/>
      <c r="P9" s="5238"/>
      <c r="Q9" s="5239"/>
      <c r="R9" s="382"/>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row>
    <row r="10" spans="1:76" ht="26.25" customHeight="1" x14ac:dyDescent="0.35">
      <c r="A10" s="5229"/>
      <c r="B10" s="5230" t="s">
        <v>644</v>
      </c>
      <c r="C10" s="5232"/>
      <c r="D10" s="5232"/>
      <c r="E10" s="5232"/>
      <c r="F10" s="5217"/>
      <c r="G10" s="5217"/>
      <c r="H10" s="5217"/>
      <c r="I10" s="5217"/>
      <c r="J10" s="5217"/>
      <c r="K10" s="5217"/>
      <c r="L10" s="5217"/>
      <c r="M10" s="5217"/>
      <c r="N10" s="5217"/>
      <c r="O10" s="5220"/>
      <c r="P10" s="5220"/>
      <c r="Q10" s="5221"/>
      <c r="R10" s="382"/>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row>
    <row r="11" spans="1:76" ht="30.75" customHeight="1" x14ac:dyDescent="0.35">
      <c r="A11" s="5229"/>
      <c r="B11" s="5230" t="s">
        <v>645</v>
      </c>
      <c r="C11" s="5232"/>
      <c r="D11" s="5232"/>
      <c r="E11" s="5232"/>
      <c r="F11" s="5217"/>
      <c r="G11" s="5217"/>
      <c r="H11" s="5217"/>
      <c r="I11" s="5217"/>
      <c r="J11" s="5217"/>
      <c r="K11" s="5217"/>
      <c r="L11" s="5217"/>
      <c r="M11" s="5217"/>
      <c r="N11" s="5217"/>
      <c r="O11" s="5220"/>
      <c r="P11" s="5220"/>
      <c r="Q11" s="5221"/>
      <c r="R11" s="382"/>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row>
    <row r="12" spans="1:76" ht="40.5" customHeight="1" x14ac:dyDescent="0.35">
      <c r="A12" s="5229"/>
      <c r="B12" s="5230" t="s">
        <v>664</v>
      </c>
      <c r="C12" s="5232"/>
      <c r="D12" s="5232"/>
      <c r="E12" s="5232"/>
      <c r="F12" s="5217"/>
      <c r="G12" s="5217"/>
      <c r="H12" s="5217"/>
      <c r="I12" s="5217"/>
      <c r="J12" s="5217"/>
      <c r="K12" s="5217"/>
      <c r="L12" s="5217"/>
      <c r="M12" s="5217"/>
      <c r="N12" s="5217"/>
      <c r="O12" s="5220"/>
      <c r="P12" s="5220"/>
      <c r="Q12" s="5221"/>
      <c r="R12" s="382"/>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row>
    <row r="13" spans="1:76" ht="30.75" customHeight="1" x14ac:dyDescent="0.35">
      <c r="A13" s="5229"/>
      <c r="B13" s="5230" t="s">
        <v>2430</v>
      </c>
      <c r="C13" s="5232"/>
      <c r="D13" s="5232"/>
      <c r="E13" s="5232"/>
      <c r="F13" s="5217"/>
      <c r="G13" s="5217"/>
      <c r="H13" s="5217"/>
      <c r="I13" s="5217"/>
      <c r="J13" s="5217"/>
      <c r="K13" s="5217"/>
      <c r="L13" s="5217"/>
      <c r="M13" s="5217"/>
      <c r="N13" s="5217"/>
      <c r="O13" s="5220"/>
      <c r="P13" s="5220"/>
      <c r="Q13" s="5221"/>
      <c r="R13" s="382"/>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row>
    <row r="14" spans="1:76" ht="30.75" customHeight="1" x14ac:dyDescent="0.35">
      <c r="A14" s="5229"/>
      <c r="B14" s="5230" t="s">
        <v>646</v>
      </c>
      <c r="C14" s="5232"/>
      <c r="D14" s="5232"/>
      <c r="E14" s="5232"/>
      <c r="F14" s="5217"/>
      <c r="G14" s="5217"/>
      <c r="H14" s="5217"/>
      <c r="I14" s="5217"/>
      <c r="J14" s="5217"/>
      <c r="K14" s="5217"/>
      <c r="L14" s="5217"/>
      <c r="M14" s="5217"/>
      <c r="N14" s="5217"/>
      <c r="O14" s="5220"/>
      <c r="P14" s="5220"/>
      <c r="Q14" s="5221"/>
      <c r="R14" s="382"/>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row>
    <row r="15" spans="1:76" ht="30.75" customHeight="1" x14ac:dyDescent="0.35">
      <c r="A15" s="5229"/>
      <c r="B15" s="5230" t="s">
        <v>665</v>
      </c>
      <c r="C15" s="5231"/>
      <c r="D15" s="5231"/>
      <c r="E15" s="5232"/>
      <c r="F15" s="5217"/>
      <c r="G15" s="5217"/>
      <c r="H15" s="5217"/>
      <c r="I15" s="5217"/>
      <c r="J15" s="5217"/>
      <c r="K15" s="5217"/>
      <c r="L15" s="5217"/>
      <c r="M15" s="5217"/>
      <c r="N15" s="5217"/>
      <c r="O15" s="5220"/>
      <c r="P15" s="5220"/>
      <c r="Q15" s="5221"/>
      <c r="R15" s="382"/>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row>
    <row r="16" spans="1:76" ht="30.75" customHeight="1" x14ac:dyDescent="0.35">
      <c r="A16" s="5229"/>
      <c r="B16" s="5230" t="s">
        <v>225</v>
      </c>
      <c r="C16" s="5231"/>
      <c r="D16" s="5231"/>
      <c r="E16" s="5232"/>
      <c r="F16" s="5217"/>
      <c r="G16" s="5217"/>
      <c r="H16" s="5217"/>
      <c r="I16" s="5217"/>
      <c r="J16" s="5217"/>
      <c r="K16" s="5217"/>
      <c r="L16" s="5217"/>
      <c r="M16" s="5217"/>
      <c r="N16" s="5217"/>
      <c r="O16" s="5220"/>
      <c r="P16" s="5220"/>
      <c r="Q16" s="5221"/>
      <c r="R16" s="382"/>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row>
    <row r="17" spans="1:76" s="101" customFormat="1" ht="22.5" customHeight="1" x14ac:dyDescent="0.35">
      <c r="A17" s="5229"/>
      <c r="B17" s="5230" t="s">
        <v>102</v>
      </c>
      <c r="C17" s="5231"/>
      <c r="D17" s="5231"/>
      <c r="E17" s="5232"/>
      <c r="F17" s="5217"/>
      <c r="G17" s="5217"/>
      <c r="H17" s="5217"/>
      <c r="I17" s="5217"/>
      <c r="J17" s="5217"/>
      <c r="K17" s="5217"/>
      <c r="L17" s="5217"/>
      <c r="M17" s="5217"/>
      <c r="N17" s="5217"/>
      <c r="O17" s="5220"/>
      <c r="P17" s="5220"/>
      <c r="Q17" s="5221"/>
      <c r="R17" s="449"/>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row>
    <row r="18" spans="1:76" s="101" customFormat="1" ht="22.5" customHeight="1" thickBot="1" x14ac:dyDescent="0.4">
      <c r="A18" s="5229"/>
      <c r="B18" s="5233"/>
      <c r="C18" s="5233"/>
      <c r="D18" s="5233"/>
      <c r="E18" s="5233"/>
      <c r="F18" s="5233"/>
      <c r="G18" s="5233"/>
      <c r="H18" s="5233"/>
      <c r="I18" s="5233"/>
      <c r="J18" s="5233"/>
      <c r="K18" s="5233"/>
      <c r="L18" s="5233"/>
      <c r="M18" s="5233"/>
      <c r="N18" s="5233"/>
      <c r="O18" s="5233"/>
      <c r="P18" s="5233"/>
      <c r="Q18" s="5234"/>
      <c r="R18" s="449"/>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row>
    <row r="19" spans="1:76" s="101" customFormat="1" ht="9" customHeight="1" thickTop="1" x14ac:dyDescent="0.35">
      <c r="A19" s="5229"/>
      <c r="B19" s="5235"/>
      <c r="C19" s="5235"/>
      <c r="D19" s="5235"/>
      <c r="E19" s="5235"/>
      <c r="F19" s="5235"/>
      <c r="G19" s="5235"/>
      <c r="H19" s="5235"/>
      <c r="I19" s="5235"/>
      <c r="J19" s="5235"/>
      <c r="K19" s="5235"/>
      <c r="L19" s="5235"/>
      <c r="M19" s="5235"/>
      <c r="N19" s="5235"/>
      <c r="O19" s="5235"/>
      <c r="P19" s="5235"/>
      <c r="Q19" s="5236"/>
      <c r="R19" s="449"/>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row>
    <row r="20" spans="1:76" ht="35.25" customHeight="1" x14ac:dyDescent="0.35">
      <c r="A20" s="5254" t="s">
        <v>654</v>
      </c>
      <c r="B20" s="5224" t="s">
        <v>648</v>
      </c>
      <c r="C20" s="5223"/>
      <c r="D20" s="5223"/>
      <c r="E20" s="5223"/>
      <c r="F20" s="5208"/>
      <c r="G20" s="5208"/>
      <c r="H20" s="5208"/>
      <c r="I20" s="5208"/>
      <c r="J20" s="5208"/>
      <c r="K20" s="5208"/>
      <c r="L20" s="5208"/>
      <c r="M20" s="5208"/>
      <c r="N20" s="5208"/>
      <c r="O20" s="5209"/>
      <c r="P20" s="5209"/>
      <c r="Q20" s="5210"/>
      <c r="R20" s="382"/>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row>
    <row r="21" spans="1:76" ht="42" customHeight="1" x14ac:dyDescent="0.35">
      <c r="A21" s="5254"/>
      <c r="B21" s="5224" t="s">
        <v>226</v>
      </c>
      <c r="C21" s="5223"/>
      <c r="D21" s="5223"/>
      <c r="E21" s="5223"/>
      <c r="F21" s="5208"/>
      <c r="G21" s="5208"/>
      <c r="H21" s="5208"/>
      <c r="I21" s="5208"/>
      <c r="J21" s="5208"/>
      <c r="K21" s="5208"/>
      <c r="L21" s="5208"/>
      <c r="M21" s="5208"/>
      <c r="N21" s="5208"/>
      <c r="O21" s="5209"/>
      <c r="P21" s="5209"/>
      <c r="Q21" s="5210"/>
      <c r="R21" s="382"/>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row>
    <row r="22" spans="1:76" ht="51" customHeight="1" x14ac:dyDescent="0.35">
      <c r="A22" s="5254"/>
      <c r="B22" s="5224" t="s">
        <v>2098</v>
      </c>
      <c r="C22" s="5223"/>
      <c r="D22" s="5223"/>
      <c r="E22" s="5223"/>
      <c r="F22" s="5247"/>
      <c r="G22" s="5208"/>
      <c r="H22" s="5208"/>
      <c r="I22" s="5208"/>
      <c r="J22" s="5208"/>
      <c r="K22" s="5208"/>
      <c r="L22" s="5208"/>
      <c r="M22" s="5208"/>
      <c r="N22" s="5208"/>
      <c r="O22" s="5209"/>
      <c r="P22" s="5209"/>
      <c r="Q22" s="5210"/>
      <c r="R22" s="382"/>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row>
    <row r="23" spans="1:76" ht="42" customHeight="1" x14ac:dyDescent="0.35">
      <c r="A23" s="5254"/>
      <c r="B23" s="5224" t="s">
        <v>649</v>
      </c>
      <c r="C23" s="5223"/>
      <c r="D23" s="5223"/>
      <c r="E23" s="5223"/>
      <c r="F23" s="5208"/>
      <c r="G23" s="5208"/>
      <c r="H23" s="5208"/>
      <c r="I23" s="5208"/>
      <c r="J23" s="5208"/>
      <c r="K23" s="5208"/>
      <c r="L23" s="5208"/>
      <c r="M23" s="5208"/>
      <c r="N23" s="5208"/>
      <c r="O23" s="5209"/>
      <c r="P23" s="5209"/>
      <c r="Q23" s="5210"/>
      <c r="R23" s="382"/>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row>
    <row r="24" spans="1:76" ht="30.75" customHeight="1" x14ac:dyDescent="0.35">
      <c r="A24" s="5254"/>
      <c r="B24" s="5224" t="s">
        <v>650</v>
      </c>
      <c r="C24" s="5223"/>
      <c r="D24" s="5223"/>
      <c r="E24" s="5223"/>
      <c r="F24" s="5208"/>
      <c r="G24" s="5208"/>
      <c r="H24" s="5208"/>
      <c r="I24" s="5208"/>
      <c r="J24" s="5208"/>
      <c r="K24" s="5208"/>
      <c r="L24" s="5208"/>
      <c r="M24" s="5208"/>
      <c r="N24" s="5208"/>
      <c r="O24" s="5209"/>
      <c r="P24" s="5209"/>
      <c r="Q24" s="5210"/>
      <c r="R24" s="382"/>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row>
    <row r="25" spans="1:76" ht="30.75" customHeight="1" x14ac:dyDescent="0.35">
      <c r="A25" s="5254"/>
      <c r="B25" s="5224" t="s">
        <v>651</v>
      </c>
      <c r="C25" s="5223"/>
      <c r="D25" s="5223"/>
      <c r="E25" s="5223"/>
      <c r="F25" s="5208"/>
      <c r="G25" s="5208"/>
      <c r="H25" s="5208"/>
      <c r="I25" s="5208"/>
      <c r="J25" s="5208"/>
      <c r="K25" s="5208"/>
      <c r="L25" s="5208"/>
      <c r="M25" s="5208"/>
      <c r="N25" s="5208"/>
      <c r="O25" s="5209"/>
      <c r="P25" s="5209"/>
      <c r="Q25" s="5210"/>
      <c r="R25" s="382"/>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row>
    <row r="26" spans="1:76" ht="30.75" customHeight="1" x14ac:dyDescent="0.35">
      <c r="A26" s="5254"/>
      <c r="B26" s="5224" t="s">
        <v>652</v>
      </c>
      <c r="C26" s="5223"/>
      <c r="D26" s="5223"/>
      <c r="E26" s="5223"/>
      <c r="F26" s="5208"/>
      <c r="G26" s="5208"/>
      <c r="H26" s="5208"/>
      <c r="I26" s="5208"/>
      <c r="J26" s="5208"/>
      <c r="K26" s="5208"/>
      <c r="L26" s="5208"/>
      <c r="M26" s="5208"/>
      <c r="N26" s="5208"/>
      <c r="O26" s="5209"/>
      <c r="P26" s="5209"/>
      <c r="Q26" s="5210"/>
      <c r="R26" s="382"/>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row>
    <row r="27" spans="1:76" ht="30.75" customHeight="1" x14ac:dyDescent="0.35">
      <c r="A27" s="5254"/>
      <c r="B27" s="5224" t="s">
        <v>102</v>
      </c>
      <c r="C27" s="5223"/>
      <c r="D27" s="5223"/>
      <c r="E27" s="5223"/>
      <c r="F27" s="5208"/>
      <c r="G27" s="5208"/>
      <c r="H27" s="5208"/>
      <c r="I27" s="5208"/>
      <c r="J27" s="5208"/>
      <c r="K27" s="5208"/>
      <c r="L27" s="5208"/>
      <c r="M27" s="5208"/>
      <c r="N27" s="5208"/>
      <c r="O27" s="5209"/>
      <c r="P27" s="5209"/>
      <c r="Q27" s="5210"/>
      <c r="R27" s="382"/>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row>
    <row r="28" spans="1:76" ht="30" customHeight="1" x14ac:dyDescent="0.35">
      <c r="A28" s="5254"/>
      <c r="B28" s="5224" t="s">
        <v>102</v>
      </c>
      <c r="C28" s="5223"/>
      <c r="D28" s="5223"/>
      <c r="E28" s="5223"/>
      <c r="F28" s="5208"/>
      <c r="G28" s="5208"/>
      <c r="H28" s="5208"/>
      <c r="I28" s="5208"/>
      <c r="J28" s="5208"/>
      <c r="K28" s="5208"/>
      <c r="L28" s="5208"/>
      <c r="M28" s="5208"/>
      <c r="N28" s="5208"/>
      <c r="O28" s="5209"/>
      <c r="P28" s="5209"/>
      <c r="Q28" s="5210"/>
      <c r="R28" s="382"/>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row>
    <row r="29" spans="1:76" ht="30" customHeight="1" thickBot="1" x14ac:dyDescent="0.4">
      <c r="A29" s="5254"/>
      <c r="B29" s="5200"/>
      <c r="C29" s="5200"/>
      <c r="D29" s="5200"/>
      <c r="E29" s="5200"/>
      <c r="F29" s="5200"/>
      <c r="G29" s="5200"/>
      <c r="H29" s="5200"/>
      <c r="I29" s="5200"/>
      <c r="J29" s="5200"/>
      <c r="K29" s="5200"/>
      <c r="L29" s="5200"/>
      <c r="M29" s="5200"/>
      <c r="N29" s="5200"/>
      <c r="O29" s="5200"/>
      <c r="P29" s="5200"/>
      <c r="Q29" s="5201"/>
      <c r="R29" s="382"/>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row>
    <row r="30" spans="1:76" ht="9" customHeight="1" thickBot="1" x14ac:dyDescent="0.4">
      <c r="A30" s="5255"/>
      <c r="B30" s="5194"/>
      <c r="C30" s="5194"/>
      <c r="D30" s="5194"/>
      <c r="E30" s="5194"/>
      <c r="F30" s="5194"/>
      <c r="G30" s="5194"/>
      <c r="H30" s="5194"/>
      <c r="I30" s="5194"/>
      <c r="J30" s="5194"/>
      <c r="K30" s="5194"/>
      <c r="L30" s="5194"/>
      <c r="M30" s="5194"/>
      <c r="N30" s="5194"/>
      <c r="O30" s="5194"/>
      <c r="P30" s="5194"/>
      <c r="Q30" s="5195"/>
      <c r="R30" s="382"/>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row>
    <row r="31" spans="1:76" ht="27" customHeight="1" x14ac:dyDescent="0.35">
      <c r="A31" s="5251" t="s">
        <v>653</v>
      </c>
      <c r="B31" s="5256" t="s">
        <v>655</v>
      </c>
      <c r="C31" s="5227"/>
      <c r="D31" s="5227"/>
      <c r="E31" s="5227"/>
      <c r="F31" s="5246"/>
      <c r="G31" s="5208"/>
      <c r="H31" s="5208"/>
      <c r="I31" s="5208"/>
      <c r="J31" s="5208"/>
      <c r="K31" s="5208"/>
      <c r="L31" s="5208"/>
      <c r="M31" s="5208"/>
      <c r="N31" s="5208"/>
      <c r="O31" s="5209"/>
      <c r="P31" s="5209"/>
      <c r="Q31" s="5210"/>
      <c r="R31" s="382"/>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row>
    <row r="32" spans="1:76" ht="30.75" customHeight="1" x14ac:dyDescent="0.35">
      <c r="A32" s="5252"/>
      <c r="B32" s="5256" t="s">
        <v>656</v>
      </c>
      <c r="C32" s="5227"/>
      <c r="D32" s="5227"/>
      <c r="E32" s="5227"/>
      <c r="F32" s="5208"/>
      <c r="G32" s="5208"/>
      <c r="H32" s="5208"/>
      <c r="I32" s="5208"/>
      <c r="J32" s="5208"/>
      <c r="K32" s="5208"/>
      <c r="L32" s="5208"/>
      <c r="M32" s="5208"/>
      <c r="N32" s="5208"/>
      <c r="O32" s="5209"/>
      <c r="P32" s="5209"/>
      <c r="Q32" s="5210"/>
      <c r="R32" s="382"/>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row>
    <row r="33" spans="1:76" ht="30.75" customHeight="1" x14ac:dyDescent="0.35">
      <c r="A33" s="5252"/>
      <c r="B33" s="5256" t="s">
        <v>657</v>
      </c>
      <c r="C33" s="5227"/>
      <c r="D33" s="5227"/>
      <c r="E33" s="5227"/>
      <c r="F33" s="5208"/>
      <c r="G33" s="5208"/>
      <c r="H33" s="5208"/>
      <c r="I33" s="5208"/>
      <c r="J33" s="5208"/>
      <c r="K33" s="5208"/>
      <c r="L33" s="5208"/>
      <c r="M33" s="5208"/>
      <c r="N33" s="5208"/>
      <c r="O33" s="5209"/>
      <c r="P33" s="5209"/>
      <c r="Q33" s="5210"/>
      <c r="R33" s="382"/>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row>
    <row r="34" spans="1:76" ht="54" customHeight="1" x14ac:dyDescent="0.35">
      <c r="A34" s="5252"/>
      <c r="B34" s="5206" t="s">
        <v>658</v>
      </c>
      <c r="C34" s="5227"/>
      <c r="D34" s="5227"/>
      <c r="E34" s="5227"/>
      <c r="F34" s="5208"/>
      <c r="G34" s="5208"/>
      <c r="H34" s="5208"/>
      <c r="I34" s="5208"/>
      <c r="J34" s="5208"/>
      <c r="K34" s="5208"/>
      <c r="L34" s="5208"/>
      <c r="M34" s="5208"/>
      <c r="N34" s="5208"/>
      <c r="O34" s="5209"/>
      <c r="P34" s="5209"/>
      <c r="Q34" s="5210"/>
      <c r="R34" s="382"/>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row>
    <row r="35" spans="1:76" ht="52.5" customHeight="1" x14ac:dyDescent="0.35">
      <c r="A35" s="5252"/>
      <c r="B35" s="5206" t="s">
        <v>227</v>
      </c>
      <c r="C35" s="5227"/>
      <c r="D35" s="5227"/>
      <c r="E35" s="5227"/>
      <c r="F35" s="5208"/>
      <c r="G35" s="5208"/>
      <c r="H35" s="5208"/>
      <c r="I35" s="5208"/>
      <c r="J35" s="5208"/>
      <c r="K35" s="5208"/>
      <c r="L35" s="5208"/>
      <c r="M35" s="5208"/>
      <c r="N35" s="5208"/>
      <c r="O35" s="5209"/>
      <c r="P35" s="5209"/>
      <c r="Q35" s="5210"/>
      <c r="R35" s="382"/>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row>
    <row r="36" spans="1:76" ht="51" customHeight="1" x14ac:dyDescent="0.35">
      <c r="A36" s="5252"/>
      <c r="B36" s="5206" t="s">
        <v>663</v>
      </c>
      <c r="C36" s="5227"/>
      <c r="D36" s="5227"/>
      <c r="E36" s="5227"/>
      <c r="F36" s="5208"/>
      <c r="G36" s="5208"/>
      <c r="H36" s="5208"/>
      <c r="I36" s="5208"/>
      <c r="J36" s="5208"/>
      <c r="K36" s="5208"/>
      <c r="L36" s="5208"/>
      <c r="M36" s="5208"/>
      <c r="N36" s="5208"/>
      <c r="O36" s="5209"/>
      <c r="P36" s="5209"/>
      <c r="Q36" s="5210"/>
      <c r="R36" s="382"/>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row>
    <row r="37" spans="1:76" ht="30.75" customHeight="1" x14ac:dyDescent="0.35">
      <c r="A37" s="5252"/>
      <c r="B37" s="5206" t="s">
        <v>659</v>
      </c>
      <c r="C37" s="5207"/>
      <c r="D37" s="5207"/>
      <c r="E37" s="5227"/>
      <c r="F37" s="5208"/>
      <c r="G37" s="5208"/>
      <c r="H37" s="5208"/>
      <c r="I37" s="5208"/>
      <c r="J37" s="5208"/>
      <c r="K37" s="5208"/>
      <c r="L37" s="5208"/>
      <c r="M37" s="5208"/>
      <c r="N37" s="5208"/>
      <c r="O37" s="5209"/>
      <c r="P37" s="5209"/>
      <c r="Q37" s="5210"/>
      <c r="R37" s="382"/>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row>
    <row r="38" spans="1:76" ht="30.75" customHeight="1" x14ac:dyDescent="0.35">
      <c r="A38" s="5252"/>
      <c r="B38" s="5206" t="s">
        <v>660</v>
      </c>
      <c r="C38" s="5207"/>
      <c r="D38" s="5207"/>
      <c r="E38" s="5227"/>
      <c r="F38" s="5208"/>
      <c r="G38" s="5208"/>
      <c r="H38" s="5208"/>
      <c r="I38" s="5208"/>
      <c r="J38" s="5208"/>
      <c r="K38" s="5208"/>
      <c r="L38" s="5208"/>
      <c r="M38" s="5208"/>
      <c r="N38" s="5208"/>
      <c r="O38" s="5209"/>
      <c r="P38" s="5209"/>
      <c r="Q38" s="5210"/>
      <c r="R38" s="382"/>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row>
    <row r="39" spans="1:76" ht="30.75" customHeight="1" x14ac:dyDescent="0.35">
      <c r="A39" s="5252"/>
      <c r="B39" s="5206" t="s">
        <v>1664</v>
      </c>
      <c r="C39" s="5207"/>
      <c r="D39" s="5207"/>
      <c r="E39" s="5227"/>
      <c r="F39" s="5208"/>
      <c r="G39" s="5208"/>
      <c r="H39" s="5208"/>
      <c r="I39" s="5208"/>
      <c r="J39" s="5208"/>
      <c r="K39" s="5208"/>
      <c r="L39" s="5208"/>
      <c r="M39" s="5208"/>
      <c r="N39" s="5208"/>
      <c r="O39" s="5209"/>
      <c r="P39" s="5209"/>
      <c r="Q39" s="5210"/>
      <c r="R39" s="382"/>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row>
    <row r="40" spans="1:76" ht="30.75" customHeight="1" x14ac:dyDescent="0.35">
      <c r="A40" s="5252"/>
      <c r="B40" s="5206" t="s">
        <v>1896</v>
      </c>
      <c r="C40" s="5207"/>
      <c r="D40" s="5207"/>
      <c r="E40" s="5227"/>
      <c r="F40" s="5208"/>
      <c r="G40" s="5208"/>
      <c r="H40" s="5208"/>
      <c r="I40" s="5208"/>
      <c r="J40" s="5208"/>
      <c r="K40" s="5208"/>
      <c r="L40" s="5208"/>
      <c r="M40" s="5208"/>
      <c r="N40" s="5208"/>
      <c r="O40" s="5209"/>
      <c r="P40" s="5209"/>
      <c r="Q40" s="5210"/>
      <c r="R40" s="382"/>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row>
    <row r="41" spans="1:76" ht="51.75" customHeight="1" x14ac:dyDescent="0.35">
      <c r="A41" s="5252"/>
      <c r="B41" s="5206" t="s">
        <v>661</v>
      </c>
      <c r="C41" s="5207"/>
      <c r="D41" s="5207"/>
      <c r="E41" s="5227"/>
      <c r="F41" s="5208"/>
      <c r="G41" s="5208"/>
      <c r="H41" s="5208"/>
      <c r="I41" s="5208"/>
      <c r="J41" s="5208"/>
      <c r="K41" s="5208"/>
      <c r="L41" s="5208"/>
      <c r="M41" s="5208"/>
      <c r="N41" s="5208"/>
      <c r="O41" s="5209"/>
      <c r="P41" s="5209"/>
      <c r="Q41" s="5210"/>
      <c r="R41" s="382"/>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row>
    <row r="42" spans="1:76" ht="45.75" customHeight="1" x14ac:dyDescent="0.35">
      <c r="A42" s="5252"/>
      <c r="B42" s="5206" t="s">
        <v>102</v>
      </c>
      <c r="C42" s="5207"/>
      <c r="D42" s="5207"/>
      <c r="E42" s="5227"/>
      <c r="F42" s="5208"/>
      <c r="G42" s="5208"/>
      <c r="H42" s="5208"/>
      <c r="I42" s="5208"/>
      <c r="J42" s="5208"/>
      <c r="K42" s="5208"/>
      <c r="L42" s="5208"/>
      <c r="M42" s="5208"/>
      <c r="N42" s="5208"/>
      <c r="O42" s="5209"/>
      <c r="P42" s="5209"/>
      <c r="Q42" s="5210"/>
      <c r="R42" s="382"/>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row>
    <row r="43" spans="1:76" ht="29.25" customHeight="1" x14ac:dyDescent="0.35">
      <c r="A43" s="5252"/>
      <c r="B43" s="5206" t="s">
        <v>102</v>
      </c>
      <c r="C43" s="5207"/>
      <c r="D43" s="5207"/>
      <c r="E43" s="5227"/>
      <c r="F43" s="5208"/>
      <c r="G43" s="5208"/>
      <c r="H43" s="5208"/>
      <c r="I43" s="5208"/>
      <c r="J43" s="5208"/>
      <c r="K43" s="5208"/>
      <c r="L43" s="5208"/>
      <c r="M43" s="5208"/>
      <c r="N43" s="5208"/>
      <c r="O43" s="5209"/>
      <c r="P43" s="5209"/>
      <c r="Q43" s="5210"/>
      <c r="R43" s="382"/>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row>
    <row r="44" spans="1:76" ht="29.25" customHeight="1" thickBot="1" x14ac:dyDescent="0.4">
      <c r="A44" s="5252"/>
      <c r="B44" s="5192"/>
      <c r="C44" s="5192"/>
      <c r="D44" s="5192"/>
      <c r="E44" s="5192"/>
      <c r="F44" s="5192"/>
      <c r="G44" s="5192"/>
      <c r="H44" s="5192"/>
      <c r="I44" s="5192"/>
      <c r="J44" s="5192"/>
      <c r="K44" s="5192"/>
      <c r="L44" s="5192"/>
      <c r="M44" s="5192"/>
      <c r="N44" s="5192"/>
      <c r="O44" s="5192"/>
      <c r="P44" s="5192"/>
      <c r="Q44" s="5193"/>
      <c r="R44" s="382"/>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row>
    <row r="45" spans="1:76" ht="9" customHeight="1" thickBot="1" x14ac:dyDescent="0.4">
      <c r="A45" s="5253"/>
      <c r="B45" s="5194"/>
      <c r="C45" s="5194"/>
      <c r="D45" s="5194"/>
      <c r="E45" s="5194"/>
      <c r="F45" s="5194"/>
      <c r="G45" s="5194"/>
      <c r="H45" s="5194"/>
      <c r="I45" s="5194"/>
      <c r="J45" s="5194"/>
      <c r="K45" s="5194"/>
      <c r="L45" s="5194"/>
      <c r="M45" s="5194"/>
      <c r="N45" s="5194"/>
      <c r="O45" s="5194"/>
      <c r="P45" s="5194"/>
      <c r="Q45" s="5195"/>
      <c r="R45" s="382"/>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row>
    <row r="46" spans="1:76" ht="41.25" customHeight="1" x14ac:dyDescent="0.35">
      <c r="A46" s="5248" t="s">
        <v>662</v>
      </c>
      <c r="B46" s="5257" t="s">
        <v>666</v>
      </c>
      <c r="C46" s="5258"/>
      <c r="D46" s="5258"/>
      <c r="E46" s="5258"/>
      <c r="F46" s="5208"/>
      <c r="G46" s="5208"/>
      <c r="H46" s="5208"/>
      <c r="I46" s="5208"/>
      <c r="J46" s="5208"/>
      <c r="K46" s="5208"/>
      <c r="L46" s="5208"/>
      <c r="M46" s="5208"/>
      <c r="N46" s="5208"/>
      <c r="O46" s="5209"/>
      <c r="P46" s="5209"/>
      <c r="Q46" s="5210"/>
      <c r="R46" s="382"/>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row>
    <row r="47" spans="1:76" ht="30.75" customHeight="1" x14ac:dyDescent="0.35">
      <c r="A47" s="5249"/>
      <c r="B47" s="5257" t="s">
        <v>669</v>
      </c>
      <c r="C47" s="5258"/>
      <c r="D47" s="5258"/>
      <c r="E47" s="5258"/>
      <c r="F47" s="5208"/>
      <c r="G47" s="5208"/>
      <c r="H47" s="5208"/>
      <c r="I47" s="5208"/>
      <c r="J47" s="5208"/>
      <c r="K47" s="5208"/>
      <c r="L47" s="5208"/>
      <c r="M47" s="5208"/>
      <c r="N47" s="5208"/>
      <c r="O47" s="5209"/>
      <c r="P47" s="5209"/>
      <c r="Q47" s="5210"/>
      <c r="R47" s="382"/>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row>
    <row r="48" spans="1:76" ht="51.75" customHeight="1" x14ac:dyDescent="0.35">
      <c r="A48" s="5249"/>
      <c r="B48" s="5257" t="s">
        <v>667</v>
      </c>
      <c r="C48" s="5258"/>
      <c r="D48" s="5258"/>
      <c r="E48" s="5258"/>
      <c r="F48" s="5208"/>
      <c r="G48" s="5208"/>
      <c r="H48" s="5208"/>
      <c r="I48" s="5208"/>
      <c r="J48" s="5208"/>
      <c r="K48" s="5208"/>
      <c r="L48" s="5208"/>
      <c r="M48" s="5208"/>
      <c r="N48" s="5208"/>
      <c r="O48" s="5209"/>
      <c r="P48" s="5209"/>
      <c r="Q48" s="5210"/>
      <c r="R48" s="382"/>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row>
    <row r="49" spans="1:76" ht="54" customHeight="1" x14ac:dyDescent="0.35">
      <c r="A49" s="5249"/>
      <c r="B49" s="5257" t="s">
        <v>668</v>
      </c>
      <c r="C49" s="5258"/>
      <c r="D49" s="5258"/>
      <c r="E49" s="5258"/>
      <c r="F49" s="5208"/>
      <c r="G49" s="5208"/>
      <c r="H49" s="5208"/>
      <c r="I49" s="5208"/>
      <c r="J49" s="5208"/>
      <c r="K49" s="5208"/>
      <c r="L49" s="5208"/>
      <c r="M49" s="5208"/>
      <c r="N49" s="5208"/>
      <c r="O49" s="5209"/>
      <c r="P49" s="5209"/>
      <c r="Q49" s="5210"/>
      <c r="R49" s="382"/>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row>
    <row r="50" spans="1:76" ht="46.5" customHeight="1" x14ac:dyDescent="0.35">
      <c r="A50" s="5249"/>
      <c r="B50" s="5261" t="s">
        <v>670</v>
      </c>
      <c r="C50" s="5258"/>
      <c r="D50" s="5258"/>
      <c r="E50" s="5258"/>
      <c r="F50" s="5208"/>
      <c r="G50" s="5208"/>
      <c r="H50" s="5208"/>
      <c r="I50" s="5208"/>
      <c r="J50" s="5208"/>
      <c r="K50" s="5208"/>
      <c r="L50" s="5208"/>
      <c r="M50" s="5208"/>
      <c r="N50" s="5208"/>
      <c r="O50" s="5209"/>
      <c r="P50" s="5209"/>
      <c r="Q50" s="5210"/>
      <c r="R50" s="382"/>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row>
    <row r="51" spans="1:76" ht="49.5" customHeight="1" x14ac:dyDescent="0.35">
      <c r="A51" s="5249"/>
      <c r="B51" s="5261" t="s">
        <v>1665</v>
      </c>
      <c r="C51" s="5258"/>
      <c r="D51" s="5258"/>
      <c r="E51" s="5258"/>
      <c r="F51" s="5208"/>
      <c r="G51" s="5208"/>
      <c r="H51" s="5208"/>
      <c r="I51" s="5208"/>
      <c r="J51" s="5208"/>
      <c r="K51" s="5208"/>
      <c r="L51" s="5208"/>
      <c r="M51" s="5208"/>
      <c r="N51" s="5208"/>
      <c r="O51" s="5209"/>
      <c r="P51" s="5209"/>
      <c r="Q51" s="5210"/>
      <c r="R51" s="382"/>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row>
    <row r="52" spans="1:76" ht="30.75" customHeight="1" x14ac:dyDescent="0.35">
      <c r="A52" s="5249"/>
      <c r="B52" s="5261" t="s">
        <v>1897</v>
      </c>
      <c r="C52" s="5258"/>
      <c r="D52" s="5258"/>
      <c r="E52" s="5258"/>
      <c r="F52" s="5208"/>
      <c r="G52" s="5208"/>
      <c r="H52" s="5208"/>
      <c r="I52" s="5208"/>
      <c r="J52" s="5208"/>
      <c r="K52" s="5208"/>
      <c r="L52" s="5208"/>
      <c r="M52" s="5208"/>
      <c r="N52" s="5208"/>
      <c r="O52" s="5209"/>
      <c r="P52" s="5209"/>
      <c r="Q52" s="5210"/>
      <c r="R52" s="382"/>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row>
    <row r="53" spans="1:76" ht="30.75" customHeight="1" thickBot="1" x14ac:dyDescent="0.4">
      <c r="A53" s="5249"/>
      <c r="B53" s="5196"/>
      <c r="C53" s="5196"/>
      <c r="D53" s="5196"/>
      <c r="E53" s="5196"/>
      <c r="F53" s="5196"/>
      <c r="G53" s="5196"/>
      <c r="H53" s="5196"/>
      <c r="I53" s="5196"/>
      <c r="J53" s="5196"/>
      <c r="K53" s="5196"/>
      <c r="L53" s="5196"/>
      <c r="M53" s="5196"/>
      <c r="N53" s="5196"/>
      <c r="O53" s="5196"/>
      <c r="P53" s="5196"/>
      <c r="Q53" s="5197"/>
      <c r="R53" s="382"/>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row>
    <row r="54" spans="1:76" ht="9" customHeight="1" thickTop="1" thickBot="1" x14ac:dyDescent="0.4">
      <c r="A54" s="5250"/>
      <c r="B54" s="931"/>
      <c r="C54" s="932"/>
      <c r="D54" s="932"/>
      <c r="E54" s="932"/>
      <c r="F54" s="932"/>
      <c r="G54" s="932"/>
      <c r="H54" s="932"/>
      <c r="I54" s="932"/>
      <c r="J54" s="932"/>
      <c r="K54" s="932"/>
      <c r="L54" s="932"/>
      <c r="M54" s="932"/>
      <c r="N54" s="932"/>
      <c r="O54" s="932"/>
      <c r="P54" s="932"/>
      <c r="Q54" s="931"/>
      <c r="R54" s="382"/>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row>
    <row r="55" spans="1:76" ht="20.25" customHeight="1" thickTop="1" thickBot="1" x14ac:dyDescent="0.4">
      <c r="A55" s="930"/>
      <c r="B55" s="5259" t="s">
        <v>1498</v>
      </c>
      <c r="C55" s="5259"/>
      <c r="D55" s="5259"/>
      <c r="E55" s="5259"/>
      <c r="F55" s="5259"/>
      <c r="G55" s="5259"/>
      <c r="H55" s="5259"/>
      <c r="I55" s="5259"/>
      <c r="J55" s="5259"/>
      <c r="K55" s="5259"/>
      <c r="L55" s="5259"/>
      <c r="M55" s="5259"/>
      <c r="N55" s="5259"/>
      <c r="O55" s="5259"/>
      <c r="P55" s="5259"/>
      <c r="Q55" s="5260"/>
      <c r="R55" s="382"/>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row>
    <row r="56" spans="1:76" ht="25.5" customHeight="1" thickTop="1" x14ac:dyDescent="0.35">
      <c r="A56" s="933"/>
      <c r="B56" s="5198"/>
      <c r="C56" s="5198"/>
      <c r="D56" s="5198"/>
      <c r="E56" s="5198"/>
      <c r="F56" s="5198"/>
      <c r="G56" s="5198"/>
      <c r="H56" s="5198"/>
      <c r="I56" s="5198"/>
      <c r="J56" s="5198"/>
      <c r="K56" s="5198"/>
      <c r="L56" s="5198"/>
      <c r="M56" s="5198"/>
      <c r="N56" s="5198"/>
      <c r="O56" s="5198"/>
      <c r="P56" s="5198"/>
      <c r="Q56" s="5199"/>
      <c r="R56" s="382"/>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row>
    <row r="57" spans="1:76" ht="30.75" customHeight="1" x14ac:dyDescent="0.35">
      <c r="A57" s="5229" t="s">
        <v>228</v>
      </c>
      <c r="B57" s="5262" t="s">
        <v>671</v>
      </c>
      <c r="C57" s="5263"/>
      <c r="D57" s="5263"/>
      <c r="E57" s="5263"/>
      <c r="F57" s="5208"/>
      <c r="G57" s="5208"/>
      <c r="H57" s="5208"/>
      <c r="I57" s="5208"/>
      <c r="J57" s="5208"/>
      <c r="K57" s="5208"/>
      <c r="L57" s="5208"/>
      <c r="M57" s="5208"/>
      <c r="N57" s="5208"/>
      <c r="O57" s="5209"/>
      <c r="P57" s="5209"/>
      <c r="Q57" s="5210"/>
      <c r="R57" s="382"/>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row>
    <row r="58" spans="1:76" ht="30.75" customHeight="1" x14ac:dyDescent="0.35">
      <c r="A58" s="5229"/>
      <c r="B58" s="5262" t="s">
        <v>677</v>
      </c>
      <c r="C58" s="5263"/>
      <c r="D58" s="5263"/>
      <c r="E58" s="5263"/>
      <c r="F58" s="5208"/>
      <c r="G58" s="5208"/>
      <c r="H58" s="5208"/>
      <c r="I58" s="5208"/>
      <c r="J58" s="5208"/>
      <c r="K58" s="5208"/>
      <c r="L58" s="5208"/>
      <c r="M58" s="5208"/>
      <c r="N58" s="5208"/>
      <c r="O58" s="5209"/>
      <c r="P58" s="5209"/>
      <c r="Q58" s="5210"/>
      <c r="R58" s="382"/>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row>
    <row r="59" spans="1:76" ht="35.25" customHeight="1" x14ac:dyDescent="0.35">
      <c r="A59" s="5229"/>
      <c r="B59" s="5262" t="s">
        <v>676</v>
      </c>
      <c r="C59" s="5263"/>
      <c r="D59" s="5263"/>
      <c r="E59" s="5263"/>
      <c r="F59" s="5208"/>
      <c r="G59" s="5208"/>
      <c r="H59" s="5208"/>
      <c r="I59" s="5208"/>
      <c r="J59" s="5208"/>
      <c r="K59" s="5208"/>
      <c r="L59" s="5208"/>
      <c r="M59" s="5208"/>
      <c r="N59" s="5208"/>
      <c r="O59" s="5209"/>
      <c r="P59" s="5209"/>
      <c r="Q59" s="5210"/>
      <c r="R59" s="382"/>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row>
    <row r="60" spans="1:76" ht="30" customHeight="1" x14ac:dyDescent="0.35">
      <c r="A60" s="5229"/>
      <c r="B60" s="5262" t="s">
        <v>675</v>
      </c>
      <c r="C60" s="5263"/>
      <c r="D60" s="5263"/>
      <c r="E60" s="5263"/>
      <c r="F60" s="5208"/>
      <c r="G60" s="5208"/>
      <c r="H60" s="5208"/>
      <c r="I60" s="5208"/>
      <c r="J60" s="5208"/>
      <c r="K60" s="5208"/>
      <c r="L60" s="5208"/>
      <c r="M60" s="5208"/>
      <c r="N60" s="5208"/>
      <c r="O60" s="5209"/>
      <c r="P60" s="5209"/>
      <c r="Q60" s="5210"/>
      <c r="R60" s="382"/>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row>
    <row r="61" spans="1:76" ht="34.5" customHeight="1" x14ac:dyDescent="0.35">
      <c r="A61" s="5229"/>
      <c r="B61" s="5262" t="s">
        <v>672</v>
      </c>
      <c r="C61" s="5263"/>
      <c r="D61" s="5263"/>
      <c r="E61" s="5263"/>
      <c r="F61" s="5208"/>
      <c r="G61" s="5208"/>
      <c r="H61" s="5208"/>
      <c r="I61" s="5208"/>
      <c r="J61" s="5208"/>
      <c r="K61" s="5208"/>
      <c r="L61" s="5208"/>
      <c r="M61" s="5208"/>
      <c r="N61" s="5208"/>
      <c r="O61" s="5209"/>
      <c r="P61" s="5209"/>
      <c r="Q61" s="5210"/>
      <c r="R61" s="382"/>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row>
    <row r="62" spans="1:76" ht="46.5" customHeight="1" x14ac:dyDescent="0.35">
      <c r="A62" s="5229"/>
      <c r="B62" s="5264" t="s">
        <v>673</v>
      </c>
      <c r="C62" s="5265"/>
      <c r="D62" s="5265"/>
      <c r="E62" s="5265"/>
      <c r="F62" s="5208"/>
      <c r="G62" s="5208"/>
      <c r="H62" s="5208"/>
      <c r="I62" s="5208"/>
      <c r="J62" s="5208"/>
      <c r="K62" s="5208"/>
      <c r="L62" s="5208"/>
      <c r="M62" s="5208"/>
      <c r="N62" s="5208"/>
      <c r="O62" s="5209"/>
      <c r="P62" s="5209"/>
      <c r="Q62" s="5210"/>
      <c r="R62" s="382"/>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row>
    <row r="63" spans="1:76" ht="30.75" customHeight="1" thickBot="1" x14ac:dyDescent="0.4">
      <c r="A63" s="5229"/>
      <c r="B63" s="5200"/>
      <c r="C63" s="5200"/>
      <c r="D63" s="5200"/>
      <c r="E63" s="5200"/>
      <c r="F63" s="5200"/>
      <c r="G63" s="5200"/>
      <c r="H63" s="5200"/>
      <c r="I63" s="5200"/>
      <c r="J63" s="5200"/>
      <c r="K63" s="5200"/>
      <c r="L63" s="5200"/>
      <c r="M63" s="5200"/>
      <c r="N63" s="5200"/>
      <c r="O63" s="5200"/>
      <c r="P63" s="5200"/>
      <c r="Q63" s="5201"/>
      <c r="R63" s="382"/>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row>
    <row r="64" spans="1:76" ht="15" customHeight="1" thickBot="1" x14ac:dyDescent="0.4">
      <c r="A64" s="5229"/>
      <c r="B64" s="5202"/>
      <c r="C64" s="5202"/>
      <c r="D64" s="5202"/>
      <c r="E64" s="5202"/>
      <c r="F64" s="5202"/>
      <c r="G64" s="5202"/>
      <c r="H64" s="5202"/>
      <c r="I64" s="5202"/>
      <c r="J64" s="5202"/>
      <c r="K64" s="5202"/>
      <c r="L64" s="5202"/>
      <c r="M64" s="5202"/>
      <c r="N64" s="5202"/>
      <c r="O64" s="5202"/>
      <c r="P64" s="5202"/>
      <c r="Q64" s="5203"/>
      <c r="R64" s="382"/>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row>
    <row r="65" spans="1:76" ht="15" customHeight="1" x14ac:dyDescent="0.35">
      <c r="A65" s="5267" t="s">
        <v>243</v>
      </c>
      <c r="B65" s="5224" t="s">
        <v>674</v>
      </c>
      <c r="C65" s="5225"/>
      <c r="D65" s="5225"/>
      <c r="E65" s="5225"/>
      <c r="F65" s="5208"/>
      <c r="G65" s="5208"/>
      <c r="H65" s="5208"/>
      <c r="I65" s="5208"/>
      <c r="J65" s="5208"/>
      <c r="K65" s="5208"/>
      <c r="L65" s="5208"/>
      <c r="M65" s="5208"/>
      <c r="N65" s="5208"/>
      <c r="O65" s="5209"/>
      <c r="P65" s="5209"/>
      <c r="Q65" s="5210"/>
      <c r="R65" s="382"/>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row>
    <row r="66" spans="1:76" ht="30.75" customHeight="1" x14ac:dyDescent="0.35">
      <c r="A66" s="5268"/>
      <c r="B66" s="5222" t="s">
        <v>239</v>
      </c>
      <c r="C66" s="5223"/>
      <c r="D66" s="5223"/>
      <c r="E66" s="5223"/>
      <c r="F66" s="5208"/>
      <c r="G66" s="5208"/>
      <c r="H66" s="5208"/>
      <c r="I66" s="5208"/>
      <c r="J66" s="5208"/>
      <c r="K66" s="5208"/>
      <c r="L66" s="5208"/>
      <c r="M66" s="5208"/>
      <c r="N66" s="5208"/>
      <c r="O66" s="5209"/>
      <c r="P66" s="5209"/>
      <c r="Q66" s="5210"/>
      <c r="R66" s="382"/>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row>
    <row r="67" spans="1:76" ht="30.75" customHeight="1" x14ac:dyDescent="0.35">
      <c r="A67" s="5268"/>
      <c r="B67" s="5224" t="s">
        <v>240</v>
      </c>
      <c r="C67" s="5225"/>
      <c r="D67" s="5225"/>
      <c r="E67" s="5225"/>
      <c r="F67" s="5208"/>
      <c r="G67" s="5208"/>
      <c r="H67" s="5208"/>
      <c r="I67" s="5208"/>
      <c r="J67" s="5208"/>
      <c r="K67" s="5208"/>
      <c r="L67" s="5208"/>
      <c r="M67" s="5208"/>
      <c r="N67" s="5208"/>
      <c r="O67" s="5209"/>
      <c r="P67" s="5209"/>
      <c r="Q67" s="5210"/>
      <c r="R67" s="382"/>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row>
    <row r="68" spans="1:76" ht="30.75" customHeight="1" x14ac:dyDescent="0.35">
      <c r="A68" s="5268"/>
      <c r="B68" s="5224" t="s">
        <v>682</v>
      </c>
      <c r="C68" s="5225"/>
      <c r="D68" s="5225"/>
      <c r="E68" s="5225"/>
      <c r="F68" s="5208"/>
      <c r="G68" s="5208"/>
      <c r="H68" s="5208"/>
      <c r="I68" s="5208"/>
      <c r="J68" s="5208"/>
      <c r="K68" s="5208"/>
      <c r="L68" s="5208"/>
      <c r="M68" s="5208"/>
      <c r="N68" s="5208"/>
      <c r="O68" s="5209"/>
      <c r="P68" s="5209"/>
      <c r="Q68" s="5210"/>
      <c r="R68" s="382"/>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row>
    <row r="69" spans="1:76" ht="30.75" customHeight="1" x14ac:dyDescent="0.35">
      <c r="A69" s="5268"/>
      <c r="B69" s="5224" t="s">
        <v>241</v>
      </c>
      <c r="C69" s="5225"/>
      <c r="D69" s="5225"/>
      <c r="E69" s="5225"/>
      <c r="F69" s="5208"/>
      <c r="G69" s="5208"/>
      <c r="H69" s="5208"/>
      <c r="I69" s="5208"/>
      <c r="J69" s="5208"/>
      <c r="K69" s="5208"/>
      <c r="L69" s="5208"/>
      <c r="M69" s="5208"/>
      <c r="N69" s="5208"/>
      <c r="O69" s="5209"/>
      <c r="P69" s="5209"/>
      <c r="Q69" s="5210"/>
      <c r="R69" s="382"/>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row>
    <row r="70" spans="1:76" ht="30.75" customHeight="1" x14ac:dyDescent="0.35">
      <c r="A70" s="5268"/>
      <c r="B70" s="5224" t="s">
        <v>678</v>
      </c>
      <c r="C70" s="5225"/>
      <c r="D70" s="5225"/>
      <c r="E70" s="5225"/>
      <c r="F70" s="5208"/>
      <c r="G70" s="5208"/>
      <c r="H70" s="5208"/>
      <c r="I70" s="5208"/>
      <c r="J70" s="5208"/>
      <c r="K70" s="5208"/>
      <c r="L70" s="5208"/>
      <c r="M70" s="5208"/>
      <c r="N70" s="5208"/>
      <c r="O70" s="5209"/>
      <c r="P70" s="5209"/>
      <c r="Q70" s="5210"/>
      <c r="R70" s="382"/>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row>
    <row r="71" spans="1:76" ht="30.75" customHeight="1" x14ac:dyDescent="0.35">
      <c r="A71" s="5268"/>
      <c r="B71" s="5224" t="s">
        <v>679</v>
      </c>
      <c r="C71" s="5225"/>
      <c r="D71" s="5225"/>
      <c r="E71" s="5225"/>
      <c r="F71" s="5208"/>
      <c r="G71" s="5208"/>
      <c r="H71" s="5208"/>
      <c r="I71" s="5208"/>
      <c r="J71" s="5208"/>
      <c r="K71" s="5208"/>
      <c r="L71" s="5208"/>
      <c r="M71" s="5208"/>
      <c r="N71" s="5208"/>
      <c r="O71" s="5209"/>
      <c r="P71" s="5209"/>
      <c r="Q71" s="5210"/>
      <c r="R71" s="382"/>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row>
    <row r="72" spans="1:76" ht="49.5" customHeight="1" x14ac:dyDescent="0.35">
      <c r="A72" s="5268"/>
      <c r="B72" s="5224" t="s">
        <v>680</v>
      </c>
      <c r="C72" s="5225"/>
      <c r="D72" s="5225"/>
      <c r="E72" s="5225"/>
      <c r="F72" s="5208"/>
      <c r="G72" s="5208"/>
      <c r="H72" s="5208"/>
      <c r="I72" s="5208"/>
      <c r="J72" s="5208"/>
      <c r="K72" s="5208"/>
      <c r="L72" s="5208"/>
      <c r="M72" s="5208"/>
      <c r="N72" s="5208"/>
      <c r="O72" s="5209"/>
      <c r="P72" s="5209"/>
      <c r="Q72" s="5210"/>
      <c r="R72" s="382"/>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row>
    <row r="73" spans="1:76" ht="48" customHeight="1" x14ac:dyDescent="0.35">
      <c r="A73" s="5268"/>
      <c r="B73" s="5224" t="s">
        <v>681</v>
      </c>
      <c r="C73" s="5225"/>
      <c r="D73" s="5225"/>
      <c r="E73" s="5225"/>
      <c r="F73" s="5208"/>
      <c r="G73" s="5208"/>
      <c r="H73" s="5208"/>
      <c r="I73" s="5208"/>
      <c r="J73" s="5208"/>
      <c r="K73" s="5208"/>
      <c r="L73" s="5208"/>
      <c r="M73" s="5208"/>
      <c r="N73" s="5208"/>
      <c r="O73" s="5209"/>
      <c r="P73" s="5209"/>
      <c r="Q73" s="5210"/>
      <c r="R73" s="382"/>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row>
    <row r="74" spans="1:76" ht="42" customHeight="1" x14ac:dyDescent="0.35">
      <c r="A74" s="5268"/>
      <c r="B74" s="5224" t="s">
        <v>683</v>
      </c>
      <c r="C74" s="5225"/>
      <c r="D74" s="5225"/>
      <c r="E74" s="5225"/>
      <c r="F74" s="5208"/>
      <c r="G74" s="5208"/>
      <c r="H74" s="5208"/>
      <c r="I74" s="5208"/>
      <c r="J74" s="5208"/>
      <c r="K74" s="5208"/>
      <c r="L74" s="5208"/>
      <c r="M74" s="5208"/>
      <c r="N74" s="5208"/>
      <c r="O74" s="5209"/>
      <c r="P74" s="5209"/>
      <c r="Q74" s="5210"/>
      <c r="R74" s="382"/>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row>
    <row r="75" spans="1:76" ht="39.75" customHeight="1" x14ac:dyDescent="0.35">
      <c r="A75" s="5268"/>
      <c r="B75" s="5224" t="s">
        <v>102</v>
      </c>
      <c r="C75" s="5225"/>
      <c r="D75" s="5225"/>
      <c r="E75" s="5225"/>
      <c r="F75" s="5208"/>
      <c r="G75" s="5208"/>
      <c r="H75" s="5208"/>
      <c r="I75" s="5208"/>
      <c r="J75" s="5208"/>
      <c r="K75" s="5208"/>
      <c r="L75" s="5208"/>
      <c r="M75" s="5208"/>
      <c r="N75" s="5208"/>
      <c r="O75" s="5209"/>
      <c r="P75" s="5209"/>
      <c r="Q75" s="5210"/>
      <c r="R75" s="382"/>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row>
    <row r="76" spans="1:76" ht="27.75" customHeight="1" thickBot="1" x14ac:dyDescent="0.4">
      <c r="A76" s="5268"/>
      <c r="B76" s="5200"/>
      <c r="C76" s="5200"/>
      <c r="D76" s="5200"/>
      <c r="E76" s="5200"/>
      <c r="F76" s="5200"/>
      <c r="G76" s="5200"/>
      <c r="H76" s="5200"/>
      <c r="I76" s="5200"/>
      <c r="J76" s="5200"/>
      <c r="K76" s="5200"/>
      <c r="L76" s="5200"/>
      <c r="M76" s="5200"/>
      <c r="N76" s="5200"/>
      <c r="O76" s="5200"/>
      <c r="P76" s="5200"/>
      <c r="Q76" s="5201"/>
      <c r="R76" s="382"/>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row>
    <row r="77" spans="1:76" ht="9" customHeight="1" thickBot="1" x14ac:dyDescent="0.4">
      <c r="A77" s="5269"/>
      <c r="B77" s="5202"/>
      <c r="C77" s="5202"/>
      <c r="D77" s="5202"/>
      <c r="E77" s="5202"/>
      <c r="F77" s="5202"/>
      <c r="G77" s="5202"/>
      <c r="H77" s="5202"/>
      <c r="I77" s="5202"/>
      <c r="J77" s="5202"/>
      <c r="K77" s="5202"/>
      <c r="L77" s="5202"/>
      <c r="M77" s="5202"/>
      <c r="N77" s="5202"/>
      <c r="O77" s="5202"/>
      <c r="P77" s="5202"/>
      <c r="Q77" s="5203"/>
      <c r="R77" s="382"/>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row>
    <row r="78" spans="1:76" ht="26.25" customHeight="1" x14ac:dyDescent="0.35">
      <c r="A78" s="5266" t="s">
        <v>238</v>
      </c>
      <c r="B78" s="5206" t="s">
        <v>219</v>
      </c>
      <c r="C78" s="5207"/>
      <c r="D78" s="5207"/>
      <c r="E78" s="5207"/>
      <c r="F78" s="5226"/>
      <c r="G78" s="5208"/>
      <c r="H78" s="5208"/>
      <c r="I78" s="5208"/>
      <c r="J78" s="5208"/>
      <c r="K78" s="5208"/>
      <c r="L78" s="5208"/>
      <c r="M78" s="5208"/>
      <c r="N78" s="5208"/>
      <c r="O78" s="5209"/>
      <c r="P78" s="5209"/>
      <c r="Q78" s="5210"/>
      <c r="R78" s="382"/>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row>
    <row r="79" spans="1:76" ht="30.75" customHeight="1" x14ac:dyDescent="0.35">
      <c r="A79" s="5229"/>
      <c r="B79" s="5206" t="s">
        <v>229</v>
      </c>
      <c r="C79" s="5207"/>
      <c r="D79" s="5207"/>
      <c r="E79" s="5207"/>
      <c r="F79" s="5208"/>
      <c r="G79" s="5208"/>
      <c r="H79" s="5208"/>
      <c r="I79" s="5208"/>
      <c r="J79" s="5208"/>
      <c r="K79" s="5208"/>
      <c r="L79" s="5208"/>
      <c r="M79" s="5208"/>
      <c r="N79" s="5208"/>
      <c r="O79" s="5209"/>
      <c r="P79" s="5209"/>
      <c r="Q79" s="5210"/>
      <c r="R79" s="382"/>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row>
    <row r="80" spans="1:76" ht="30.75" customHeight="1" x14ac:dyDescent="0.35">
      <c r="A80" s="5229"/>
      <c r="B80" s="5206" t="s">
        <v>1898</v>
      </c>
      <c r="C80" s="5207"/>
      <c r="D80" s="5207"/>
      <c r="E80" s="5207"/>
      <c r="F80" s="5208"/>
      <c r="G80" s="5208"/>
      <c r="H80" s="5208"/>
      <c r="I80" s="5208"/>
      <c r="J80" s="5208"/>
      <c r="K80" s="5208"/>
      <c r="L80" s="5208"/>
      <c r="M80" s="5208"/>
      <c r="N80" s="5208"/>
      <c r="O80" s="5209"/>
      <c r="P80" s="5209"/>
      <c r="Q80" s="5210"/>
      <c r="R80" s="382"/>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row>
    <row r="81" spans="1:76" ht="30.75" customHeight="1" x14ac:dyDescent="0.35">
      <c r="A81" s="5229"/>
      <c r="B81" s="5206" t="s">
        <v>230</v>
      </c>
      <c r="C81" s="5207"/>
      <c r="D81" s="5207"/>
      <c r="E81" s="5207"/>
      <c r="F81" s="5208"/>
      <c r="G81" s="5208"/>
      <c r="H81" s="5208"/>
      <c r="I81" s="5208"/>
      <c r="J81" s="5208"/>
      <c r="K81" s="5208"/>
      <c r="L81" s="5208"/>
      <c r="M81" s="5208"/>
      <c r="N81" s="5208"/>
      <c r="O81" s="5209"/>
      <c r="P81" s="5209"/>
      <c r="Q81" s="5210"/>
      <c r="R81" s="382"/>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row>
    <row r="82" spans="1:76" ht="30.75" customHeight="1" x14ac:dyDescent="0.35">
      <c r="A82" s="5229"/>
      <c r="B82" s="5206" t="s">
        <v>231</v>
      </c>
      <c r="C82" s="5207"/>
      <c r="D82" s="5207"/>
      <c r="E82" s="5207"/>
      <c r="F82" s="5208"/>
      <c r="G82" s="5208"/>
      <c r="H82" s="5208"/>
      <c r="I82" s="5208"/>
      <c r="J82" s="5208"/>
      <c r="K82" s="5208"/>
      <c r="L82" s="5208"/>
      <c r="M82" s="5208"/>
      <c r="N82" s="5208"/>
      <c r="O82" s="5209"/>
      <c r="P82" s="5209"/>
      <c r="Q82" s="5210"/>
      <c r="R82" s="382"/>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row>
    <row r="83" spans="1:76" ht="30.75" customHeight="1" x14ac:dyDescent="0.35">
      <c r="A83" s="5229"/>
      <c r="B83" s="5206" t="s">
        <v>232</v>
      </c>
      <c r="C83" s="5207"/>
      <c r="D83" s="5207"/>
      <c r="E83" s="5207"/>
      <c r="F83" s="5208"/>
      <c r="G83" s="5208"/>
      <c r="H83" s="5208"/>
      <c r="I83" s="5208"/>
      <c r="J83" s="5208"/>
      <c r="K83" s="5208"/>
      <c r="L83" s="5208"/>
      <c r="M83" s="5208"/>
      <c r="N83" s="5208"/>
      <c r="O83" s="5209"/>
      <c r="P83" s="5209"/>
      <c r="Q83" s="5210"/>
      <c r="R83" s="382"/>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row>
    <row r="84" spans="1:76" ht="30.75" customHeight="1" x14ac:dyDescent="0.35">
      <c r="A84" s="5229"/>
      <c r="B84" s="5206" t="s">
        <v>684</v>
      </c>
      <c r="C84" s="5207"/>
      <c r="D84" s="5207"/>
      <c r="E84" s="5207"/>
      <c r="F84" s="5208"/>
      <c r="G84" s="5208"/>
      <c r="H84" s="5208"/>
      <c r="I84" s="5208"/>
      <c r="J84" s="5208"/>
      <c r="K84" s="5208"/>
      <c r="L84" s="5208"/>
      <c r="M84" s="5208"/>
      <c r="N84" s="5208"/>
      <c r="O84" s="5209"/>
      <c r="P84" s="5209"/>
      <c r="Q84" s="5210"/>
      <c r="R84" s="382"/>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row>
    <row r="85" spans="1:76" ht="30.75" customHeight="1" x14ac:dyDescent="0.35">
      <c r="A85" s="5229"/>
      <c r="B85" s="5206" t="s">
        <v>685</v>
      </c>
      <c r="C85" s="5207"/>
      <c r="D85" s="5207"/>
      <c r="E85" s="5207"/>
      <c r="F85" s="5208"/>
      <c r="G85" s="5208"/>
      <c r="H85" s="5208"/>
      <c r="I85" s="5208"/>
      <c r="J85" s="5208"/>
      <c r="K85" s="5208"/>
      <c r="L85" s="5208"/>
      <c r="M85" s="5208"/>
      <c r="N85" s="5208"/>
      <c r="O85" s="5209"/>
      <c r="P85" s="5209"/>
      <c r="Q85" s="5210"/>
      <c r="R85" s="382"/>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row>
    <row r="86" spans="1:76" ht="30.75" customHeight="1" x14ac:dyDescent="0.35">
      <c r="A86" s="5229"/>
      <c r="B86" s="5206" t="s">
        <v>233</v>
      </c>
      <c r="C86" s="5207"/>
      <c r="D86" s="5207"/>
      <c r="E86" s="5207"/>
      <c r="F86" s="5208"/>
      <c r="G86" s="5208"/>
      <c r="H86" s="5208"/>
      <c r="I86" s="5208"/>
      <c r="J86" s="5208"/>
      <c r="K86" s="5208"/>
      <c r="L86" s="5208"/>
      <c r="M86" s="5208"/>
      <c r="N86" s="5208"/>
      <c r="O86" s="5209"/>
      <c r="P86" s="5209"/>
      <c r="Q86" s="5210"/>
      <c r="R86" s="382"/>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row>
    <row r="87" spans="1:76" ht="30.75" customHeight="1" x14ac:dyDescent="0.35">
      <c r="A87" s="5229"/>
      <c r="B87" s="5206" t="s">
        <v>686</v>
      </c>
      <c r="C87" s="5207"/>
      <c r="D87" s="5207"/>
      <c r="E87" s="5207"/>
      <c r="F87" s="5208"/>
      <c r="G87" s="5208"/>
      <c r="H87" s="5208"/>
      <c r="I87" s="5208"/>
      <c r="J87" s="5208"/>
      <c r="K87" s="5208"/>
      <c r="L87" s="5208"/>
      <c r="M87" s="5208"/>
      <c r="N87" s="5208"/>
      <c r="O87" s="5209"/>
      <c r="P87" s="5209"/>
      <c r="Q87" s="5210"/>
      <c r="R87" s="382"/>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row>
    <row r="88" spans="1:76" ht="30.75" customHeight="1" x14ac:dyDescent="0.35">
      <c r="A88" s="5229"/>
      <c r="B88" s="5256" t="s">
        <v>234</v>
      </c>
      <c r="C88" s="5227"/>
      <c r="D88" s="5227"/>
      <c r="E88" s="5227"/>
      <c r="F88" s="5208"/>
      <c r="G88" s="5208"/>
      <c r="H88" s="5208"/>
      <c r="I88" s="5208"/>
      <c r="J88" s="5208"/>
      <c r="K88" s="5208"/>
      <c r="L88" s="5208"/>
      <c r="M88" s="5208"/>
      <c r="N88" s="5208"/>
      <c r="O88" s="5209"/>
      <c r="P88" s="5209"/>
      <c r="Q88" s="5210"/>
      <c r="R88" s="382"/>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row>
    <row r="89" spans="1:76" ht="30.75" customHeight="1" x14ac:dyDescent="0.35">
      <c r="A89" s="5229"/>
      <c r="B89" s="5206" t="s">
        <v>693</v>
      </c>
      <c r="C89" s="5207"/>
      <c r="D89" s="5207"/>
      <c r="E89" s="5207"/>
      <c r="F89" s="5208"/>
      <c r="G89" s="5208"/>
      <c r="H89" s="5208"/>
      <c r="I89" s="5208"/>
      <c r="J89" s="5208"/>
      <c r="K89" s="5208"/>
      <c r="L89" s="5208"/>
      <c r="M89" s="5208"/>
      <c r="N89" s="5208"/>
      <c r="O89" s="5209"/>
      <c r="P89" s="5209"/>
      <c r="Q89" s="5210"/>
      <c r="R89" s="382"/>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row>
    <row r="90" spans="1:76" ht="30.75" customHeight="1" x14ac:dyDescent="0.35">
      <c r="A90" s="5229"/>
      <c r="B90" s="5206" t="s">
        <v>687</v>
      </c>
      <c r="C90" s="5207"/>
      <c r="D90" s="5207"/>
      <c r="E90" s="5207"/>
      <c r="F90" s="5208"/>
      <c r="G90" s="5208"/>
      <c r="H90" s="5208"/>
      <c r="I90" s="5208"/>
      <c r="J90" s="5208"/>
      <c r="K90" s="5208"/>
      <c r="L90" s="5208"/>
      <c r="M90" s="5208"/>
      <c r="N90" s="5208"/>
      <c r="O90" s="5209"/>
      <c r="P90" s="5209"/>
      <c r="Q90" s="5210"/>
      <c r="R90" s="382"/>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row>
    <row r="91" spans="1:76" ht="30.75" customHeight="1" x14ac:dyDescent="0.35">
      <c r="A91" s="5229"/>
      <c r="B91" s="5206" t="s">
        <v>688</v>
      </c>
      <c r="C91" s="5207"/>
      <c r="D91" s="5207"/>
      <c r="E91" s="5207"/>
      <c r="F91" s="5208"/>
      <c r="G91" s="5208"/>
      <c r="H91" s="5208"/>
      <c r="I91" s="5208"/>
      <c r="J91" s="5208"/>
      <c r="K91" s="5208"/>
      <c r="L91" s="5208"/>
      <c r="M91" s="5208"/>
      <c r="N91" s="5208"/>
      <c r="O91" s="5209"/>
      <c r="P91" s="5209"/>
      <c r="Q91" s="5210"/>
      <c r="R91" s="382"/>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row>
    <row r="92" spans="1:76" ht="30.75" customHeight="1" x14ac:dyDescent="0.35">
      <c r="A92" s="5229"/>
      <c r="B92" s="5206" t="s">
        <v>689</v>
      </c>
      <c r="C92" s="5207"/>
      <c r="D92" s="5207"/>
      <c r="E92" s="5207"/>
      <c r="F92" s="5208"/>
      <c r="G92" s="5208"/>
      <c r="H92" s="5208"/>
      <c r="I92" s="5208"/>
      <c r="J92" s="5208"/>
      <c r="K92" s="5208"/>
      <c r="L92" s="5208"/>
      <c r="M92" s="5208"/>
      <c r="N92" s="5208"/>
      <c r="O92" s="5209"/>
      <c r="P92" s="5209"/>
      <c r="Q92" s="5210"/>
      <c r="R92" s="382"/>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row>
    <row r="93" spans="1:76" ht="30.75" customHeight="1" x14ac:dyDescent="0.35">
      <c r="A93" s="5229"/>
      <c r="B93" s="5206" t="s">
        <v>690</v>
      </c>
      <c r="C93" s="5207"/>
      <c r="D93" s="5207"/>
      <c r="E93" s="5207"/>
      <c r="F93" s="5208"/>
      <c r="G93" s="5208"/>
      <c r="H93" s="5208"/>
      <c r="I93" s="5208"/>
      <c r="J93" s="5208"/>
      <c r="K93" s="5208"/>
      <c r="L93" s="5208"/>
      <c r="M93" s="5208"/>
      <c r="N93" s="5208"/>
      <c r="O93" s="5209"/>
      <c r="P93" s="5209"/>
      <c r="Q93" s="5210"/>
      <c r="R93" s="382"/>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row>
    <row r="94" spans="1:76" ht="30.75" customHeight="1" x14ac:dyDescent="0.35">
      <c r="A94" s="5229"/>
      <c r="B94" s="5206" t="s">
        <v>235</v>
      </c>
      <c r="C94" s="5207"/>
      <c r="D94" s="5207"/>
      <c r="E94" s="5207"/>
      <c r="F94" s="5208"/>
      <c r="G94" s="5208"/>
      <c r="H94" s="5208"/>
      <c r="I94" s="5208"/>
      <c r="J94" s="5208"/>
      <c r="K94" s="5208"/>
      <c r="L94" s="5208"/>
      <c r="M94" s="5208"/>
      <c r="N94" s="5208"/>
      <c r="O94" s="5209"/>
      <c r="P94" s="5209"/>
      <c r="Q94" s="5210"/>
      <c r="R94" s="382"/>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row>
    <row r="95" spans="1:76" ht="30.75" customHeight="1" x14ac:dyDescent="0.35">
      <c r="A95" s="5229"/>
      <c r="B95" s="5206" t="s">
        <v>236</v>
      </c>
      <c r="C95" s="5207"/>
      <c r="D95" s="5207"/>
      <c r="E95" s="5207"/>
      <c r="F95" s="5208"/>
      <c r="G95" s="5208"/>
      <c r="H95" s="5208"/>
      <c r="I95" s="5208"/>
      <c r="J95" s="5208"/>
      <c r="K95" s="5208"/>
      <c r="L95" s="5208"/>
      <c r="M95" s="5208"/>
      <c r="N95" s="5208"/>
      <c r="O95" s="5209"/>
      <c r="P95" s="5209"/>
      <c r="Q95" s="5210"/>
      <c r="R95" s="382"/>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row>
    <row r="96" spans="1:76" ht="30.75" customHeight="1" x14ac:dyDescent="0.35">
      <c r="A96" s="5229"/>
      <c r="B96" s="5206" t="s">
        <v>237</v>
      </c>
      <c r="C96" s="5207"/>
      <c r="D96" s="5207"/>
      <c r="E96" s="5207"/>
      <c r="F96" s="5208"/>
      <c r="G96" s="5208"/>
      <c r="H96" s="5208"/>
      <c r="I96" s="5208"/>
      <c r="J96" s="5208"/>
      <c r="K96" s="5208"/>
      <c r="L96" s="5208"/>
      <c r="M96" s="5208"/>
      <c r="N96" s="5208"/>
      <c r="O96" s="5209"/>
      <c r="P96" s="5209"/>
      <c r="Q96" s="5210"/>
      <c r="R96" s="382"/>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row>
    <row r="97" spans="1:76" ht="30.75" customHeight="1" x14ac:dyDescent="0.35">
      <c r="A97" s="5229"/>
      <c r="B97" s="5206" t="s">
        <v>692</v>
      </c>
      <c r="C97" s="5207"/>
      <c r="D97" s="5207"/>
      <c r="E97" s="5207"/>
      <c r="F97" s="5208"/>
      <c r="G97" s="5208"/>
      <c r="H97" s="5208"/>
      <c r="I97" s="5208"/>
      <c r="J97" s="5208"/>
      <c r="K97" s="5208"/>
      <c r="L97" s="5208"/>
      <c r="M97" s="5208"/>
      <c r="N97" s="5208"/>
      <c r="O97" s="5209"/>
      <c r="P97" s="5209"/>
      <c r="Q97" s="5210"/>
      <c r="R97" s="382"/>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row>
    <row r="98" spans="1:76" ht="30.75" customHeight="1" x14ac:dyDescent="0.35">
      <c r="A98" s="5229"/>
      <c r="B98" s="5206" t="s">
        <v>691</v>
      </c>
      <c r="C98" s="5207"/>
      <c r="D98" s="5207"/>
      <c r="E98" s="5207"/>
      <c r="F98" s="5208"/>
      <c r="G98" s="5208"/>
      <c r="H98" s="5208"/>
      <c r="I98" s="5208"/>
      <c r="J98" s="5208"/>
      <c r="K98" s="5208"/>
      <c r="L98" s="5208"/>
      <c r="M98" s="5208"/>
      <c r="N98" s="5208"/>
      <c r="O98" s="5209"/>
      <c r="P98" s="5209"/>
      <c r="Q98" s="5210"/>
      <c r="R98" s="382"/>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row>
    <row r="99" spans="1:76" ht="30.75" customHeight="1" x14ac:dyDescent="0.35">
      <c r="A99" s="5229"/>
      <c r="B99" s="5206" t="s">
        <v>694</v>
      </c>
      <c r="C99" s="5207"/>
      <c r="D99" s="5207"/>
      <c r="E99" s="5207"/>
      <c r="F99" s="5208"/>
      <c r="G99" s="5208"/>
      <c r="H99" s="5208"/>
      <c r="I99" s="5208"/>
      <c r="J99" s="5208"/>
      <c r="K99" s="5208"/>
      <c r="L99" s="5208"/>
      <c r="M99" s="5208"/>
      <c r="N99" s="5208"/>
      <c r="O99" s="5209"/>
      <c r="P99" s="5209"/>
      <c r="Q99" s="5210"/>
      <c r="R99" s="382"/>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row>
    <row r="100" spans="1:76" ht="30.75" customHeight="1" thickBot="1" x14ac:dyDescent="0.4">
      <c r="A100" s="5229"/>
      <c r="B100" s="5204"/>
      <c r="C100" s="5204"/>
      <c r="D100" s="5204"/>
      <c r="E100" s="5204"/>
      <c r="F100" s="5204"/>
      <c r="G100" s="5204"/>
      <c r="H100" s="5204"/>
      <c r="I100" s="5204"/>
      <c r="J100" s="5204"/>
      <c r="K100" s="5204"/>
      <c r="L100" s="5204"/>
      <c r="M100" s="5204"/>
      <c r="N100" s="5204"/>
      <c r="O100" s="5204"/>
      <c r="P100" s="5204"/>
      <c r="Q100" s="5205"/>
      <c r="R100" s="382"/>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row>
    <row r="101" spans="1:76" ht="9" customHeight="1" thickBot="1" x14ac:dyDescent="0.4">
      <c r="A101" s="5229"/>
      <c r="B101" s="5211"/>
      <c r="C101" s="5211"/>
      <c r="D101" s="5211"/>
      <c r="E101" s="5211"/>
      <c r="F101" s="5211"/>
      <c r="G101" s="5211"/>
      <c r="H101" s="5211"/>
      <c r="I101" s="5211"/>
      <c r="J101" s="5211"/>
      <c r="K101" s="5211"/>
      <c r="L101" s="5211"/>
      <c r="M101" s="5211"/>
      <c r="N101" s="5211"/>
      <c r="O101" s="5211"/>
      <c r="P101" s="5211"/>
      <c r="Q101" s="5212"/>
      <c r="R101" s="382"/>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row>
    <row r="102" spans="1:76" ht="33.75" customHeight="1" x14ac:dyDescent="0.35">
      <c r="A102" s="5189" t="s">
        <v>245</v>
      </c>
      <c r="B102" s="5215" t="s">
        <v>2200</v>
      </c>
      <c r="C102" s="5216"/>
      <c r="D102" s="5216"/>
      <c r="E102" s="5216"/>
      <c r="F102" s="5217"/>
      <c r="G102" s="5217"/>
      <c r="H102" s="5217"/>
      <c r="I102" s="5217"/>
      <c r="J102" s="5217"/>
      <c r="K102" s="5217"/>
      <c r="L102" s="5217"/>
      <c r="M102" s="5217"/>
      <c r="N102" s="5217"/>
      <c r="O102" s="5220"/>
      <c r="P102" s="5220"/>
      <c r="Q102" s="5221"/>
      <c r="R102" s="382"/>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row>
    <row r="103" spans="1:76" ht="30.75" customHeight="1" x14ac:dyDescent="0.35">
      <c r="A103" s="5190"/>
      <c r="B103" s="5215" t="s">
        <v>695</v>
      </c>
      <c r="C103" s="5216"/>
      <c r="D103" s="5216"/>
      <c r="E103" s="5216"/>
      <c r="F103" s="5217"/>
      <c r="G103" s="5217"/>
      <c r="H103" s="5217"/>
      <c r="I103" s="5217"/>
      <c r="J103" s="5217"/>
      <c r="K103" s="5217"/>
      <c r="L103" s="5217"/>
      <c r="M103" s="5217"/>
      <c r="N103" s="5217"/>
      <c r="O103" s="5220"/>
      <c r="P103" s="5220"/>
      <c r="Q103" s="5221"/>
      <c r="R103" s="382"/>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row>
    <row r="104" spans="1:76" ht="30.75" customHeight="1" x14ac:dyDescent="0.35">
      <c r="A104" s="5190"/>
      <c r="B104" s="5215" t="s">
        <v>696</v>
      </c>
      <c r="C104" s="5216"/>
      <c r="D104" s="5216"/>
      <c r="E104" s="5216"/>
      <c r="F104" s="5217"/>
      <c r="G104" s="5217"/>
      <c r="H104" s="5217"/>
      <c r="I104" s="5217"/>
      <c r="J104" s="5217"/>
      <c r="K104" s="5217"/>
      <c r="L104" s="5217"/>
      <c r="M104" s="5217"/>
      <c r="N104" s="5217"/>
      <c r="O104" s="5220"/>
      <c r="P104" s="5220"/>
      <c r="Q104" s="5221"/>
      <c r="R104" s="382"/>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row>
    <row r="105" spans="1:76" ht="30.75" customHeight="1" x14ac:dyDescent="0.35">
      <c r="A105" s="5190"/>
      <c r="B105" s="5215" t="s">
        <v>697</v>
      </c>
      <c r="C105" s="5216"/>
      <c r="D105" s="5216"/>
      <c r="E105" s="5216"/>
      <c r="F105" s="5217"/>
      <c r="G105" s="5217"/>
      <c r="H105" s="5217"/>
      <c r="I105" s="5217"/>
      <c r="J105" s="5217"/>
      <c r="K105" s="5217"/>
      <c r="L105" s="5217"/>
      <c r="M105" s="5217"/>
      <c r="N105" s="5217"/>
      <c r="O105" s="5220"/>
      <c r="P105" s="5220"/>
      <c r="Q105" s="5221"/>
      <c r="R105" s="382"/>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row>
    <row r="106" spans="1:76" ht="30.75" customHeight="1" x14ac:dyDescent="0.35">
      <c r="A106" s="5190"/>
      <c r="B106" s="5218" t="s">
        <v>2099</v>
      </c>
      <c r="C106" s="5219"/>
      <c r="D106" s="5219"/>
      <c r="E106" s="5219"/>
      <c r="F106" s="5217"/>
      <c r="G106" s="5217"/>
      <c r="H106" s="5217"/>
      <c r="I106" s="5217"/>
      <c r="J106" s="5217"/>
      <c r="K106" s="5217"/>
      <c r="L106" s="5217"/>
      <c r="M106" s="5217"/>
      <c r="N106" s="5217"/>
      <c r="O106" s="5220"/>
      <c r="P106" s="5220"/>
      <c r="Q106" s="5221"/>
      <c r="R106" s="382"/>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row>
    <row r="107" spans="1:76" ht="30.75" customHeight="1" x14ac:dyDescent="0.35">
      <c r="A107" s="5190"/>
      <c r="B107" s="5215" t="s">
        <v>244</v>
      </c>
      <c r="C107" s="5216"/>
      <c r="D107" s="5216"/>
      <c r="E107" s="5216"/>
      <c r="F107" s="5217"/>
      <c r="G107" s="5217"/>
      <c r="H107" s="5217"/>
      <c r="I107" s="5217"/>
      <c r="J107" s="5217"/>
      <c r="K107" s="5217"/>
      <c r="L107" s="5217"/>
      <c r="M107" s="5217"/>
      <c r="N107" s="5217"/>
      <c r="O107" s="5220"/>
      <c r="P107" s="5220"/>
      <c r="Q107" s="5221"/>
      <c r="R107" s="382"/>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row>
    <row r="108" spans="1:76" ht="30.75" customHeight="1" x14ac:dyDescent="0.35">
      <c r="A108" s="5190"/>
      <c r="B108" s="5218" t="s">
        <v>698</v>
      </c>
      <c r="C108" s="5219"/>
      <c r="D108" s="5219"/>
      <c r="E108" s="5219"/>
      <c r="F108" s="5217"/>
      <c r="G108" s="5217"/>
      <c r="H108" s="5217"/>
      <c r="I108" s="5217"/>
      <c r="J108" s="5217"/>
      <c r="K108" s="5217"/>
      <c r="L108" s="5217"/>
      <c r="M108" s="5217"/>
      <c r="N108" s="5217"/>
      <c r="O108" s="5220"/>
      <c r="P108" s="5220"/>
      <c r="Q108" s="5221"/>
      <c r="R108" s="382"/>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row>
    <row r="109" spans="1:76" ht="30.75" customHeight="1" x14ac:dyDescent="0.35">
      <c r="A109" s="5190"/>
      <c r="B109" s="5215" t="s">
        <v>699</v>
      </c>
      <c r="C109" s="5216"/>
      <c r="D109" s="5216"/>
      <c r="E109" s="5216"/>
      <c r="F109" s="5217"/>
      <c r="G109" s="5217"/>
      <c r="H109" s="5217"/>
      <c r="I109" s="5217"/>
      <c r="J109" s="5217"/>
      <c r="K109" s="5217"/>
      <c r="L109" s="5217"/>
      <c r="M109" s="5217"/>
      <c r="N109" s="5217"/>
      <c r="O109" s="5220"/>
      <c r="P109" s="5220"/>
      <c r="Q109" s="5221"/>
      <c r="R109" s="382"/>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row>
    <row r="110" spans="1:76" ht="30.75" customHeight="1" thickBot="1" x14ac:dyDescent="0.4">
      <c r="A110" s="5191"/>
      <c r="B110" s="5213"/>
      <c r="C110" s="5213"/>
      <c r="D110" s="5213"/>
      <c r="E110" s="5213"/>
      <c r="F110" s="5213"/>
      <c r="G110" s="5213"/>
      <c r="H110" s="5213"/>
      <c r="I110" s="5213"/>
      <c r="J110" s="5213"/>
      <c r="K110" s="5213"/>
      <c r="L110" s="5213"/>
      <c r="M110" s="5213"/>
      <c r="N110" s="5213"/>
      <c r="O110" s="5213"/>
      <c r="P110" s="5213"/>
      <c r="Q110" s="5214"/>
      <c r="R110" s="382"/>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row>
    <row r="111" spans="1:76" ht="9" customHeight="1" thickTop="1" x14ac:dyDescent="0.35">
      <c r="A111" s="934"/>
      <c r="B111" s="934"/>
      <c r="C111" s="935"/>
      <c r="D111" s="935"/>
      <c r="E111" s="935"/>
      <c r="F111" s="935"/>
      <c r="G111" s="935"/>
      <c r="H111" s="935"/>
      <c r="I111" s="935"/>
      <c r="J111" s="935"/>
      <c r="K111" s="935"/>
      <c r="L111" s="935"/>
      <c r="M111" s="935"/>
      <c r="N111" s="935"/>
      <c r="O111" s="935"/>
      <c r="P111" s="935"/>
      <c r="Q111" s="934"/>
      <c r="R111" s="382"/>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row>
  </sheetData>
  <mergeCells count="461">
    <mergeCell ref="B102:E102"/>
    <mergeCell ref="F102:H102"/>
    <mergeCell ref="I102:K102"/>
    <mergeCell ref="L102:N102"/>
    <mergeCell ref="O102:Q102"/>
    <mergeCell ref="F99:H99"/>
    <mergeCell ref="I99:K99"/>
    <mergeCell ref="L99:N99"/>
    <mergeCell ref="O99:Q99"/>
    <mergeCell ref="B99:E99"/>
    <mergeCell ref="B71:E71"/>
    <mergeCell ref="I70:K70"/>
    <mergeCell ref="L70:N70"/>
    <mergeCell ref="O70:Q70"/>
    <mergeCell ref="F95:H95"/>
    <mergeCell ref="I95:K95"/>
    <mergeCell ref="L95:N95"/>
    <mergeCell ref="O95:Q95"/>
    <mergeCell ref="F96:H96"/>
    <mergeCell ref="F94:H94"/>
    <mergeCell ref="I94:K94"/>
    <mergeCell ref="L94:N94"/>
    <mergeCell ref="O94:Q94"/>
    <mergeCell ref="B70:E70"/>
    <mergeCell ref="F70:H70"/>
    <mergeCell ref="F71:H71"/>
    <mergeCell ref="I71:K71"/>
    <mergeCell ref="L71:N71"/>
    <mergeCell ref="O71:Q71"/>
    <mergeCell ref="O84:Q84"/>
    <mergeCell ref="I92:K92"/>
    <mergeCell ref="L92:N92"/>
    <mergeCell ref="O92:Q92"/>
    <mergeCell ref="F88:H88"/>
    <mergeCell ref="I88:K88"/>
    <mergeCell ref="L88:N88"/>
    <mergeCell ref="O88:Q88"/>
    <mergeCell ref="F89:H89"/>
    <mergeCell ref="I89:K89"/>
    <mergeCell ref="L89:N89"/>
    <mergeCell ref="O89:Q89"/>
    <mergeCell ref="B97:E97"/>
    <mergeCell ref="F97:H97"/>
    <mergeCell ref="I97:K97"/>
    <mergeCell ref="L97:N97"/>
    <mergeCell ref="O97:Q97"/>
    <mergeCell ref="B95:E95"/>
    <mergeCell ref="B96:E96"/>
    <mergeCell ref="B88:E88"/>
    <mergeCell ref="B89:E89"/>
    <mergeCell ref="B90:E90"/>
    <mergeCell ref="B92:E92"/>
    <mergeCell ref="B93:E93"/>
    <mergeCell ref="B94:E94"/>
    <mergeCell ref="F90:H90"/>
    <mergeCell ref="I90:K90"/>
    <mergeCell ref="F92:H92"/>
    <mergeCell ref="I96:K96"/>
    <mergeCell ref="L96:N96"/>
    <mergeCell ref="O96:Q96"/>
    <mergeCell ref="F93:H93"/>
    <mergeCell ref="I93:K93"/>
    <mergeCell ref="L93:N93"/>
    <mergeCell ref="O93:Q93"/>
    <mergeCell ref="B109:E109"/>
    <mergeCell ref="F109:H109"/>
    <mergeCell ref="I109:K109"/>
    <mergeCell ref="L109:N109"/>
    <mergeCell ref="O109:Q109"/>
    <mergeCell ref="B104:E104"/>
    <mergeCell ref="F104:H104"/>
    <mergeCell ref="I104:K104"/>
    <mergeCell ref="L104:N104"/>
    <mergeCell ref="B106:E106"/>
    <mergeCell ref="F106:H106"/>
    <mergeCell ref="I106:K106"/>
    <mergeCell ref="L106:N106"/>
    <mergeCell ref="O106:Q106"/>
    <mergeCell ref="O107:Q107"/>
    <mergeCell ref="O104:Q104"/>
    <mergeCell ref="O105:Q105"/>
    <mergeCell ref="O103:Q103"/>
    <mergeCell ref="A78:A101"/>
    <mergeCell ref="A65:A77"/>
    <mergeCell ref="B80:E80"/>
    <mergeCell ref="F80:H80"/>
    <mergeCell ref="I80:K80"/>
    <mergeCell ref="L80:N80"/>
    <mergeCell ref="O80:Q80"/>
    <mergeCell ref="B79:E79"/>
    <mergeCell ref="F79:H79"/>
    <mergeCell ref="I79:K79"/>
    <mergeCell ref="L79:N79"/>
    <mergeCell ref="O79:Q79"/>
    <mergeCell ref="B87:E87"/>
    <mergeCell ref="L81:N81"/>
    <mergeCell ref="O81:Q81"/>
    <mergeCell ref="F82:H82"/>
    <mergeCell ref="I82:K82"/>
    <mergeCell ref="L82:N82"/>
    <mergeCell ref="O82:Q82"/>
    <mergeCell ref="B86:E86"/>
    <mergeCell ref="F81:H81"/>
    <mergeCell ref="I81:K81"/>
    <mergeCell ref="F83:H83"/>
    <mergeCell ref="I83:K83"/>
    <mergeCell ref="B72:E72"/>
    <mergeCell ref="F72:H72"/>
    <mergeCell ref="I72:K72"/>
    <mergeCell ref="L72:N72"/>
    <mergeCell ref="O72:Q72"/>
    <mergeCell ref="B73:E73"/>
    <mergeCell ref="F73:H73"/>
    <mergeCell ref="I73:K73"/>
    <mergeCell ref="L73:N73"/>
    <mergeCell ref="O73:Q73"/>
    <mergeCell ref="B69:E69"/>
    <mergeCell ref="F69:H69"/>
    <mergeCell ref="I69:K69"/>
    <mergeCell ref="L69:N69"/>
    <mergeCell ref="O69:Q69"/>
    <mergeCell ref="B68:E68"/>
    <mergeCell ref="F68:H68"/>
    <mergeCell ref="I68:K68"/>
    <mergeCell ref="L68:N68"/>
    <mergeCell ref="O68:Q68"/>
    <mergeCell ref="A57:A64"/>
    <mergeCell ref="B57:E57"/>
    <mergeCell ref="F57:H57"/>
    <mergeCell ref="I57:K57"/>
    <mergeCell ref="L57:N57"/>
    <mergeCell ref="B59:E59"/>
    <mergeCell ref="F59:H59"/>
    <mergeCell ref="I59:K59"/>
    <mergeCell ref="L59:N59"/>
    <mergeCell ref="B62:E62"/>
    <mergeCell ref="F62:H62"/>
    <mergeCell ref="I62:K62"/>
    <mergeCell ref="L62:N62"/>
    <mergeCell ref="B60:E60"/>
    <mergeCell ref="F60:H60"/>
    <mergeCell ref="I60:K60"/>
    <mergeCell ref="L60:N60"/>
    <mergeCell ref="B61:E61"/>
    <mergeCell ref="F61:H61"/>
    <mergeCell ref="I61:K61"/>
    <mergeCell ref="L61:N61"/>
    <mergeCell ref="B58:E58"/>
    <mergeCell ref="F58:H58"/>
    <mergeCell ref="I58:K58"/>
    <mergeCell ref="B55:Q55"/>
    <mergeCell ref="B50:E50"/>
    <mergeCell ref="B49:E49"/>
    <mergeCell ref="F49:H49"/>
    <mergeCell ref="I49:K49"/>
    <mergeCell ref="L49:N49"/>
    <mergeCell ref="O49:Q49"/>
    <mergeCell ref="B52:E52"/>
    <mergeCell ref="B51:E51"/>
    <mergeCell ref="F51:H51"/>
    <mergeCell ref="I51:K51"/>
    <mergeCell ref="L51:N51"/>
    <mergeCell ref="O51:Q51"/>
    <mergeCell ref="F52:H52"/>
    <mergeCell ref="I52:K52"/>
    <mergeCell ref="L52:N52"/>
    <mergeCell ref="O52:Q52"/>
    <mergeCell ref="F50:H50"/>
    <mergeCell ref="F46:H46"/>
    <mergeCell ref="F42:H42"/>
    <mergeCell ref="I42:K42"/>
    <mergeCell ref="L42:N42"/>
    <mergeCell ref="O42:Q42"/>
    <mergeCell ref="F43:H43"/>
    <mergeCell ref="I43:K43"/>
    <mergeCell ref="L43:N43"/>
    <mergeCell ref="O43:Q43"/>
    <mergeCell ref="I46:K46"/>
    <mergeCell ref="L46:N46"/>
    <mergeCell ref="O46:Q46"/>
    <mergeCell ref="O26:Q26"/>
    <mergeCell ref="A46:A54"/>
    <mergeCell ref="A31:A45"/>
    <mergeCell ref="A20:A30"/>
    <mergeCell ref="B20:E20"/>
    <mergeCell ref="B21:E21"/>
    <mergeCell ref="B36:E36"/>
    <mergeCell ref="B37:E37"/>
    <mergeCell ref="B38:E38"/>
    <mergeCell ref="B25:E25"/>
    <mergeCell ref="B26:E26"/>
    <mergeCell ref="B22:E22"/>
    <mergeCell ref="B23:E23"/>
    <mergeCell ref="B24:E24"/>
    <mergeCell ref="B31:E31"/>
    <mergeCell ref="B46:E46"/>
    <mergeCell ref="B47:E47"/>
    <mergeCell ref="B48:E48"/>
    <mergeCell ref="B32:E32"/>
    <mergeCell ref="B33:E33"/>
    <mergeCell ref="B34:E34"/>
    <mergeCell ref="B35:E35"/>
    <mergeCell ref="B42:E42"/>
    <mergeCell ref="B43:E43"/>
    <mergeCell ref="F10:H10"/>
    <mergeCell ref="I10:K10"/>
    <mergeCell ref="L10:N10"/>
    <mergeCell ref="O10:Q10"/>
    <mergeCell ref="B12:E12"/>
    <mergeCell ref="B11:E11"/>
    <mergeCell ref="B16:E16"/>
    <mergeCell ref="F31:H31"/>
    <mergeCell ref="I31:K31"/>
    <mergeCell ref="F23:H23"/>
    <mergeCell ref="I23:K23"/>
    <mergeCell ref="F11:H11"/>
    <mergeCell ref="I11:K11"/>
    <mergeCell ref="B29:Q29"/>
    <mergeCell ref="B30:Q30"/>
    <mergeCell ref="L23:N23"/>
    <mergeCell ref="F26:H26"/>
    <mergeCell ref="I26:K26"/>
    <mergeCell ref="L26:N26"/>
    <mergeCell ref="F20:H20"/>
    <mergeCell ref="I20:K20"/>
    <mergeCell ref="L20:N20"/>
    <mergeCell ref="O13:Q13"/>
    <mergeCell ref="F22:H22"/>
    <mergeCell ref="F12:H12"/>
    <mergeCell ref="I12:K12"/>
    <mergeCell ref="O12:Q12"/>
    <mergeCell ref="L12:N12"/>
    <mergeCell ref="F13:H13"/>
    <mergeCell ref="F14:H14"/>
    <mergeCell ref="D1:G1"/>
    <mergeCell ref="I1:J1"/>
    <mergeCell ref="L1:M1"/>
    <mergeCell ref="D2:G2"/>
    <mergeCell ref="I2:J2"/>
    <mergeCell ref="L2:M2"/>
    <mergeCell ref="L6:N6"/>
    <mergeCell ref="B10:E10"/>
    <mergeCell ref="H4:Q4"/>
    <mergeCell ref="B4:G4"/>
    <mergeCell ref="B9:Q9"/>
    <mergeCell ref="C5:Q5"/>
    <mergeCell ref="F6:H6"/>
    <mergeCell ref="I6:K6"/>
    <mergeCell ref="A5:B5"/>
    <mergeCell ref="O6:Q6"/>
    <mergeCell ref="B8:Q8"/>
    <mergeCell ref="A6:E6"/>
    <mergeCell ref="L24:N24"/>
    <mergeCell ref="O24:Q24"/>
    <mergeCell ref="L16:N16"/>
    <mergeCell ref="I22:K22"/>
    <mergeCell ref="L22:N22"/>
    <mergeCell ref="O22:Q22"/>
    <mergeCell ref="I13:K13"/>
    <mergeCell ref="L13:N13"/>
    <mergeCell ref="L14:N14"/>
    <mergeCell ref="O14:Q14"/>
    <mergeCell ref="F21:H21"/>
    <mergeCell ref="I21:K21"/>
    <mergeCell ref="L21:N21"/>
    <mergeCell ref="O21:Q21"/>
    <mergeCell ref="O16:Q16"/>
    <mergeCell ref="O23:Q23"/>
    <mergeCell ref="O20:Q20"/>
    <mergeCell ref="B18:Q18"/>
    <mergeCell ref="B19:Q19"/>
    <mergeCell ref="F25:H25"/>
    <mergeCell ref="I25:K25"/>
    <mergeCell ref="L25:N25"/>
    <mergeCell ref="O25:Q25"/>
    <mergeCell ref="F16:H16"/>
    <mergeCell ref="I16:K16"/>
    <mergeCell ref="A9:A19"/>
    <mergeCell ref="B15:E15"/>
    <mergeCell ref="F15:H15"/>
    <mergeCell ref="I15:K15"/>
    <mergeCell ref="L15:N15"/>
    <mergeCell ref="O15:Q15"/>
    <mergeCell ref="B17:E17"/>
    <mergeCell ref="F17:H17"/>
    <mergeCell ref="I17:K17"/>
    <mergeCell ref="L17:N17"/>
    <mergeCell ref="O17:Q17"/>
    <mergeCell ref="B14:E14"/>
    <mergeCell ref="I14:K14"/>
    <mergeCell ref="B13:E13"/>
    <mergeCell ref="L11:N11"/>
    <mergeCell ref="O11:Q11"/>
    <mergeCell ref="F24:H24"/>
    <mergeCell ref="I24:K24"/>
    <mergeCell ref="F28:H28"/>
    <mergeCell ref="I28:K28"/>
    <mergeCell ref="L28:N28"/>
    <mergeCell ref="O28:Q28"/>
    <mergeCell ref="B27:E27"/>
    <mergeCell ref="F27:H27"/>
    <mergeCell ref="I27:K27"/>
    <mergeCell ref="L27:N27"/>
    <mergeCell ref="O27:Q27"/>
    <mergeCell ref="B28:E28"/>
    <mergeCell ref="B40:E40"/>
    <mergeCell ref="F40:H40"/>
    <mergeCell ref="I40:K40"/>
    <mergeCell ref="L40:N40"/>
    <mergeCell ref="O40:Q40"/>
    <mergeCell ref="B39:E39"/>
    <mergeCell ref="F39:H39"/>
    <mergeCell ref="I39:K39"/>
    <mergeCell ref="L39:N39"/>
    <mergeCell ref="O39:Q39"/>
    <mergeCell ref="I36:K36"/>
    <mergeCell ref="L36:N36"/>
    <mergeCell ref="F38:H38"/>
    <mergeCell ref="I38:K38"/>
    <mergeCell ref="O36:Q36"/>
    <mergeCell ref="F37:H37"/>
    <mergeCell ref="O33:Q33"/>
    <mergeCell ref="O37:Q37"/>
    <mergeCell ref="F34:H34"/>
    <mergeCell ref="I34:K34"/>
    <mergeCell ref="I37:K37"/>
    <mergeCell ref="L37:N37"/>
    <mergeCell ref="L38:N38"/>
    <mergeCell ref="O38:Q38"/>
    <mergeCell ref="F33:H33"/>
    <mergeCell ref="I33:K33"/>
    <mergeCell ref="L33:N33"/>
    <mergeCell ref="O58:Q58"/>
    <mergeCell ref="B65:E65"/>
    <mergeCell ref="F65:H65"/>
    <mergeCell ref="I65:K65"/>
    <mergeCell ref="L65:N65"/>
    <mergeCell ref="O65:Q65"/>
    <mergeCell ref="O32:Q32"/>
    <mergeCell ref="L31:N31"/>
    <mergeCell ref="O31:Q31"/>
    <mergeCell ref="F32:H32"/>
    <mergeCell ref="I32:K32"/>
    <mergeCell ref="L32:N32"/>
    <mergeCell ref="B41:E41"/>
    <mergeCell ref="F41:H41"/>
    <mergeCell ref="I41:K41"/>
    <mergeCell ref="L41:N41"/>
    <mergeCell ref="O41:Q41"/>
    <mergeCell ref="L34:N34"/>
    <mergeCell ref="O34:Q34"/>
    <mergeCell ref="F35:H35"/>
    <mergeCell ref="I35:K35"/>
    <mergeCell ref="L35:N35"/>
    <mergeCell ref="O35:Q35"/>
    <mergeCell ref="F36:H36"/>
    <mergeCell ref="B74:E74"/>
    <mergeCell ref="F74:H74"/>
    <mergeCell ref="I74:K74"/>
    <mergeCell ref="L74:N74"/>
    <mergeCell ref="O74:Q74"/>
    <mergeCell ref="I50:K50"/>
    <mergeCell ref="L50:N50"/>
    <mergeCell ref="O50:Q50"/>
    <mergeCell ref="F47:H47"/>
    <mergeCell ref="I47:K47"/>
    <mergeCell ref="L47:N47"/>
    <mergeCell ref="O47:Q47"/>
    <mergeCell ref="O62:Q62"/>
    <mergeCell ref="I48:K48"/>
    <mergeCell ref="L48:N48"/>
    <mergeCell ref="O48:Q48"/>
    <mergeCell ref="F48:H48"/>
    <mergeCell ref="O57:Q57"/>
    <mergeCell ref="O59:Q59"/>
    <mergeCell ref="O60:Q60"/>
    <mergeCell ref="O61:Q61"/>
    <mergeCell ref="L67:N67"/>
    <mergeCell ref="O67:Q67"/>
    <mergeCell ref="L58:N58"/>
    <mergeCell ref="L84:N84"/>
    <mergeCell ref="B91:E91"/>
    <mergeCell ref="F91:H91"/>
    <mergeCell ref="I91:K91"/>
    <mergeCell ref="L91:N91"/>
    <mergeCell ref="O91:Q91"/>
    <mergeCell ref="B66:E66"/>
    <mergeCell ref="F66:H66"/>
    <mergeCell ref="I66:K66"/>
    <mergeCell ref="L66:N66"/>
    <mergeCell ref="O66:Q66"/>
    <mergeCell ref="B67:E67"/>
    <mergeCell ref="F67:H67"/>
    <mergeCell ref="I67:K67"/>
    <mergeCell ref="B78:E78"/>
    <mergeCell ref="F78:H78"/>
    <mergeCell ref="I78:K78"/>
    <mergeCell ref="L78:N78"/>
    <mergeCell ref="O78:Q78"/>
    <mergeCell ref="B75:E75"/>
    <mergeCell ref="F75:H75"/>
    <mergeCell ref="I75:K75"/>
    <mergeCell ref="L75:N75"/>
    <mergeCell ref="O75:Q75"/>
    <mergeCell ref="O108:Q108"/>
    <mergeCell ref="B81:E81"/>
    <mergeCell ref="B82:E82"/>
    <mergeCell ref="B83:E83"/>
    <mergeCell ref="B84:E84"/>
    <mergeCell ref="F86:H86"/>
    <mergeCell ref="I86:K86"/>
    <mergeCell ref="L86:N86"/>
    <mergeCell ref="O86:Q86"/>
    <mergeCell ref="L90:N90"/>
    <mergeCell ref="O90:Q90"/>
    <mergeCell ref="B85:E85"/>
    <mergeCell ref="F85:H85"/>
    <mergeCell ref="I85:K85"/>
    <mergeCell ref="L85:N85"/>
    <mergeCell ref="O85:Q85"/>
    <mergeCell ref="F87:H87"/>
    <mergeCell ref="I87:K87"/>
    <mergeCell ref="L87:N87"/>
    <mergeCell ref="O87:Q87"/>
    <mergeCell ref="L83:N83"/>
    <mergeCell ref="O83:Q83"/>
    <mergeCell ref="F84:H84"/>
    <mergeCell ref="I84:K84"/>
    <mergeCell ref="L105:N105"/>
    <mergeCell ref="B103:E103"/>
    <mergeCell ref="F103:H103"/>
    <mergeCell ref="I103:K103"/>
    <mergeCell ref="L103:N103"/>
    <mergeCell ref="B108:E108"/>
    <mergeCell ref="F108:H108"/>
    <mergeCell ref="I108:K108"/>
    <mergeCell ref="L108:N108"/>
    <mergeCell ref="A102:A110"/>
    <mergeCell ref="B44:Q44"/>
    <mergeCell ref="B45:Q45"/>
    <mergeCell ref="B53:Q53"/>
    <mergeCell ref="B56:Q56"/>
    <mergeCell ref="B63:Q63"/>
    <mergeCell ref="B64:Q64"/>
    <mergeCell ref="B76:Q76"/>
    <mergeCell ref="B77:Q77"/>
    <mergeCell ref="B100:Q100"/>
    <mergeCell ref="B98:E98"/>
    <mergeCell ref="F98:H98"/>
    <mergeCell ref="I98:K98"/>
    <mergeCell ref="L98:N98"/>
    <mergeCell ref="O98:Q98"/>
    <mergeCell ref="B101:Q101"/>
    <mergeCell ref="B110:Q110"/>
    <mergeCell ref="B107:E107"/>
    <mergeCell ref="F107:H107"/>
    <mergeCell ref="I107:K107"/>
    <mergeCell ref="L107:N107"/>
    <mergeCell ref="B105:E105"/>
    <mergeCell ref="F105:H105"/>
    <mergeCell ref="I105:K10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E00-000000000000}">
      <formula1>AvancementTheme</formula1>
    </dataValidation>
  </dataValidations>
  <hyperlinks>
    <hyperlink ref="O1" location="DPDV_10PP" display="PdV" xr:uid="{00000000-0004-0000-2E00-000000000000}"/>
    <hyperlink ref="P1" location="DKPI_10PP" display="KPI's" xr:uid="{00000000-0004-0000-2E00-000001000000}"/>
  </hyperlinks>
  <pageMargins left="0.70866141732283472" right="0.70866141732283472" top="0.74803149606299213" bottom="0.74803149606299213" header="0.31496062992125984" footer="0.31496062992125984"/>
  <pageSetup paperSize="9" scale="19" orientation="portrait" r:id="rId1"/>
  <headerFooter>
    <oddHeader>&amp;LPAD Methodology (c) 2013-2014&amp;RStrategic Management Workshop</oddHeader>
    <oddFooter>&amp;L&amp;F&amp;C&amp;A&amp;RSituation au : &amp;D - page : &amp;P/&amp;N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94">
    <tabColor theme="8" tint="0.59999389629810485"/>
    <pageSetUpPr fitToPage="1"/>
  </sheetPr>
  <dimension ref="A1:CB69"/>
  <sheetViews>
    <sheetView topLeftCell="D25" zoomScaleNormal="100" workbookViewId="0">
      <selection activeCell="K9" sqref="K9"/>
    </sheetView>
  </sheetViews>
  <sheetFormatPr baseColWidth="10" defaultColWidth="11.453125" defaultRowHeight="14.5" x14ac:dyDescent="0.35"/>
  <cols>
    <col min="1" max="1" width="8.54296875" style="60" customWidth="1"/>
    <col min="2" max="2" width="14.1796875" style="60" customWidth="1"/>
    <col min="3" max="4" width="11.453125" style="60"/>
    <col min="5" max="5" width="13.26953125" style="60" customWidth="1"/>
    <col min="6" max="6" width="11.453125" style="60"/>
    <col min="7" max="7" width="12.54296875" style="60" customWidth="1"/>
    <col min="8" max="8" width="9.7265625" style="60" customWidth="1"/>
    <col min="9" max="9" width="11.7265625" style="60" customWidth="1"/>
    <col min="10" max="11" width="11.453125" style="60"/>
    <col min="12" max="16" width="12.81640625" style="60" customWidth="1"/>
    <col min="17" max="18" width="11.453125" style="60"/>
    <col min="19" max="19" width="11.453125" style="60" customWidth="1"/>
    <col min="20" max="20" width="11.453125" style="60"/>
    <col min="21" max="21" width="8.1796875" style="60" customWidth="1"/>
    <col min="22" max="16384" width="11.453125" style="60"/>
  </cols>
  <sheetData>
    <row r="1" spans="1:22" s="54" customFormat="1" ht="15" customHeight="1" x14ac:dyDescent="0.35">
      <c r="A1" s="2267"/>
      <c r="B1" s="2267"/>
      <c r="C1" s="2267"/>
      <c r="D1" s="3262" t="s">
        <v>5</v>
      </c>
      <c r="E1" s="3262"/>
      <c r="F1" s="3262"/>
      <c r="G1" s="3262"/>
      <c r="H1" s="53"/>
      <c r="I1" s="3262" t="s">
        <v>6</v>
      </c>
      <c r="J1" s="3262"/>
      <c r="K1" s="2267"/>
      <c r="L1" s="3262" t="s">
        <v>9</v>
      </c>
      <c r="M1" s="3262"/>
      <c r="N1" s="3262"/>
      <c r="O1" s="3262"/>
      <c r="P1" s="3262"/>
      <c r="Q1" s="3262"/>
      <c r="R1" s="2267"/>
      <c r="S1" s="10" t="s">
        <v>2</v>
      </c>
      <c r="T1" s="10" t="s">
        <v>3</v>
      </c>
      <c r="U1" s="69"/>
    </row>
    <row r="2" spans="1:22" s="58" customFormat="1" ht="18" customHeight="1" x14ac:dyDescent="0.35">
      <c r="A2" s="55"/>
      <c r="B2" s="55"/>
      <c r="C2" s="55"/>
      <c r="D2" s="3263" t="str">
        <f>NomClient</f>
        <v xml:space="preserve">EQUINIX </v>
      </c>
      <c r="E2" s="3264"/>
      <c r="F2" s="3264"/>
      <c r="G2" s="3265"/>
      <c r="H2" s="55"/>
      <c r="I2" s="3345" t="s">
        <v>407</v>
      </c>
      <c r="J2" s="3346"/>
      <c r="K2" s="55"/>
      <c r="L2" s="4859">
        <v>42534.866863425923</v>
      </c>
      <c r="M2" s="4860"/>
      <c r="N2" s="4860"/>
      <c r="O2" s="4860"/>
      <c r="P2" s="4860"/>
      <c r="Q2" s="4861"/>
      <c r="R2" s="56"/>
      <c r="S2" s="57">
        <f>IF(LEN(DPDV_10BP1)&gt;0,LEN(DPDV_10BP1),0-PDV_NBmini)</f>
        <v>132</v>
      </c>
      <c r="T2" s="57">
        <f>IF(LEN(DKPI_10BP1)&gt;0,LEN(DKPI_10BP1),0-KPI_NBmini)</f>
        <v>61</v>
      </c>
      <c r="U2" s="70"/>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831"/>
      <c r="S3" s="831"/>
      <c r="T3" s="831"/>
      <c r="U3" s="831"/>
      <c r="V3" s="64"/>
    </row>
    <row r="4" spans="1:22" s="1" customFormat="1" ht="24.75" customHeight="1" thickBot="1" x14ac:dyDescent="0.4">
      <c r="A4" s="198"/>
      <c r="B4" s="4862" t="str">
        <f>Parametre!B32 &amp; "   : "</f>
        <v xml:space="preserve">Programmes partenaires   : </v>
      </c>
      <c r="C4" s="4862"/>
      <c r="D4" s="4862"/>
      <c r="E4" s="4862"/>
      <c r="F4" s="4862"/>
      <c r="G4" s="4862"/>
      <c r="H4" s="4863" t="str">
        <f>"Budget du programme  pour " &amp; NomProd1</f>
        <v>Budget du programme  pour EQUINIX</v>
      </c>
      <c r="I4" s="4863"/>
      <c r="J4" s="4863"/>
      <c r="K4" s="4863"/>
      <c r="L4" s="4863"/>
      <c r="M4" s="4863"/>
      <c r="N4" s="4863"/>
      <c r="O4" s="4863"/>
      <c r="P4" s="4863"/>
      <c r="Q4" s="4863"/>
      <c r="R4" s="4863"/>
      <c r="S4" s="4863"/>
      <c r="T4" s="4863"/>
      <c r="U4" s="4864"/>
    </row>
    <row r="5" spans="1:22" s="193" customFormat="1" ht="38.25" customHeight="1" thickBot="1" x14ac:dyDescent="0.4">
      <c r="A5" s="4865" t="s">
        <v>14</v>
      </c>
      <c r="B5" s="4865"/>
      <c r="C5" s="4875" t="s">
        <v>2254</v>
      </c>
      <c r="D5" s="4875"/>
      <c r="E5" s="4875"/>
      <c r="F5" s="4875"/>
      <c r="G5" s="4875"/>
      <c r="H5" s="4875"/>
      <c r="I5" s="4875"/>
      <c r="J5" s="4875"/>
      <c r="K5" s="4875"/>
      <c r="L5" s="4875"/>
      <c r="M5" s="4875"/>
      <c r="N5" s="4875"/>
      <c r="O5" s="4875"/>
      <c r="P5" s="4875"/>
      <c r="Q5" s="4875"/>
      <c r="R5" s="4875"/>
      <c r="S5" s="4875"/>
      <c r="T5" s="4875"/>
      <c r="U5" s="4875"/>
    </row>
    <row r="6" spans="1:22" s="22" customFormat="1" ht="27.75" customHeight="1" thickBot="1" x14ac:dyDescent="0.4">
      <c r="A6" s="5289" t="s">
        <v>1668</v>
      </c>
      <c r="B6" s="5290"/>
      <c r="C6" s="5290"/>
      <c r="D6" s="5290"/>
      <c r="E6" s="5290"/>
      <c r="F6" s="5290"/>
      <c r="G6" s="5291"/>
      <c r="H6" s="5306" t="s">
        <v>1125</v>
      </c>
      <c r="I6" s="5307"/>
      <c r="J6" s="5307"/>
      <c r="K6" s="5307"/>
      <c r="L6" s="5307"/>
      <c r="M6" s="5307"/>
      <c r="N6" s="5307"/>
      <c r="O6" s="5307"/>
      <c r="P6" s="5308"/>
      <c r="Q6" s="4847" t="s">
        <v>18</v>
      </c>
      <c r="R6" s="4847"/>
      <c r="S6" s="4847"/>
      <c r="T6" s="4847"/>
      <c r="U6" s="4848"/>
    </row>
    <row r="7" spans="1:22" s="50" customFormat="1" ht="15" customHeight="1" thickTop="1" x14ac:dyDescent="0.25">
      <c r="A7" s="5292"/>
      <c r="B7" s="5293"/>
      <c r="C7" s="5293"/>
      <c r="D7" s="5293"/>
      <c r="E7" s="5293"/>
      <c r="F7" s="5293"/>
      <c r="G7" s="5293"/>
      <c r="H7" s="2484">
        <f>AnReference-1</f>
        <v>2017</v>
      </c>
      <c r="I7" s="5309">
        <f>AnReference</f>
        <v>2018</v>
      </c>
      <c r="J7" s="5309"/>
      <c r="K7" s="5309">
        <f>IF(NbAnVision&gt;=1,AnReference+1,"NA")</f>
        <v>2019</v>
      </c>
      <c r="L7" s="5309"/>
      <c r="M7" s="5309">
        <f>IF(NbAnVision&gt;=2,AnReference+2,"NA")</f>
        <v>2020</v>
      </c>
      <c r="N7" s="5309"/>
      <c r="O7" s="5309">
        <f>IF(NbAnVision&gt;=3,AnReference+3,"NA")</f>
        <v>2021</v>
      </c>
      <c r="P7" s="5309"/>
      <c r="Q7" s="5296"/>
      <c r="R7" s="4849"/>
      <c r="S7" s="4849"/>
      <c r="T7" s="4849"/>
      <c r="U7" s="4850"/>
    </row>
    <row r="8" spans="1:22" s="50" customFormat="1" ht="7.5" customHeight="1" x14ac:dyDescent="0.25">
      <c r="A8" s="5297"/>
      <c r="B8" s="5298"/>
      <c r="C8" s="5298"/>
      <c r="D8" s="5298"/>
      <c r="E8" s="5298"/>
      <c r="F8" s="5298"/>
      <c r="G8" s="5298"/>
      <c r="H8" s="5298"/>
      <c r="I8" s="5298"/>
      <c r="J8" s="5298"/>
      <c r="K8" s="5298"/>
      <c r="L8" s="5298"/>
      <c r="M8" s="5298"/>
      <c r="N8" s="5298"/>
      <c r="O8" s="5298"/>
      <c r="P8" s="5298"/>
      <c r="Q8" s="5298"/>
      <c r="R8" s="5298"/>
      <c r="S8" s="5298"/>
      <c r="T8" s="5298"/>
      <c r="U8" s="5299"/>
    </row>
    <row r="9" spans="1:22" s="50" customFormat="1" ht="15" customHeight="1" x14ac:dyDescent="0.25">
      <c r="A9" s="4786" t="s">
        <v>2431</v>
      </c>
      <c r="B9" s="4787"/>
      <c r="C9" s="4787"/>
      <c r="D9" s="4787"/>
      <c r="E9" s="4787"/>
      <c r="F9" s="4787"/>
      <c r="G9" s="266"/>
      <c r="H9" s="1901">
        <f>'SALESPLAN 3Y'!G47</f>
        <v>300000</v>
      </c>
      <c r="I9" s="2470">
        <f>'SALESPLAN 3Y'!H47</f>
        <v>1419930</v>
      </c>
      <c r="J9" s="2471"/>
      <c r="K9" s="2470">
        <f>'SALESPLAN 3Y'!I47</f>
        <v>4068762</v>
      </c>
      <c r="L9" s="1901"/>
      <c r="M9" s="2470">
        <f>'SALESPLAN 3Y'!J47</f>
        <v>8028810</v>
      </c>
      <c r="N9" s="2471"/>
      <c r="O9" s="2470">
        <f>'SALESPLAN 3Y'!K47</f>
        <v>13845369</v>
      </c>
      <c r="P9" s="2480"/>
      <c r="Q9" s="5300"/>
      <c r="R9" s="5300"/>
      <c r="S9" s="5300"/>
      <c r="T9" s="5300"/>
      <c r="U9" s="5301"/>
    </row>
    <row r="10" spans="1:22" s="50" customFormat="1" ht="12.75" hidden="1" customHeight="1" x14ac:dyDescent="0.25">
      <c r="A10" s="4784" t="s">
        <v>1519</v>
      </c>
      <c r="B10" s="4785"/>
      <c r="C10" s="4785"/>
      <c r="D10" s="4785"/>
      <c r="E10" s="4785"/>
      <c r="F10" s="4785"/>
      <c r="G10" s="284"/>
      <c r="H10" s="1901">
        <f>'SALESPLAN 3Y'!G21</f>
        <v>0</v>
      </c>
      <c r="I10" s="2470">
        <f>'SALESPLAN 3Y'!H21</f>
        <v>0</v>
      </c>
      <c r="J10" s="2471"/>
      <c r="K10" s="1903">
        <f>'SALESPLAN 3Y'!I21</f>
        <v>0</v>
      </c>
      <c r="L10" s="1901"/>
      <c r="M10" s="2470">
        <f>'SALESPLAN 3Y'!J21</f>
        <v>0</v>
      </c>
      <c r="N10" s="2471"/>
      <c r="O10" s="2470">
        <f>'SALESPLAN 3Y'!K21</f>
        <v>0</v>
      </c>
      <c r="P10" s="2471">
        <f>'SALESPLAN 3Y'!L21</f>
        <v>0</v>
      </c>
      <c r="Q10" s="5302"/>
      <c r="R10" s="5302"/>
      <c r="S10" s="5302"/>
      <c r="T10" s="5302"/>
      <c r="U10" s="5303"/>
    </row>
    <row r="11" spans="1:22" s="50" customFormat="1" ht="12.75" hidden="1" customHeight="1" x14ac:dyDescent="0.25">
      <c r="A11" s="4844" t="s">
        <v>1826</v>
      </c>
      <c r="B11" s="4845"/>
      <c r="C11" s="4845"/>
      <c r="D11" s="4845"/>
      <c r="E11" s="4845"/>
      <c r="F11" s="4846"/>
      <c r="G11" s="284"/>
      <c r="H11" s="1901">
        <f>'SALESPLAN 3Y'!G32</f>
        <v>0</v>
      </c>
      <c r="I11" s="2470">
        <f>'SALESPLAN 3Y'!H32</f>
        <v>0</v>
      </c>
      <c r="J11" s="2472"/>
      <c r="K11" s="1903">
        <f>'SALESPLAN 3Y'!I32</f>
        <v>0</v>
      </c>
      <c r="L11" s="1901"/>
      <c r="M11" s="2470">
        <f>'SALESPLAN 3Y'!J32</f>
        <v>0</v>
      </c>
      <c r="N11" s="2471"/>
      <c r="O11" s="2470">
        <f>'SALESPLAN 3Y'!K32</f>
        <v>0</v>
      </c>
      <c r="P11" s="2471">
        <f>'SALESPLAN 3Y'!L32</f>
        <v>0</v>
      </c>
      <c r="Q11" s="5302"/>
      <c r="R11" s="5302"/>
      <c r="S11" s="5302"/>
      <c r="T11" s="5302"/>
      <c r="U11" s="5303"/>
    </row>
    <row r="12" spans="1:22" s="50" customFormat="1" ht="6" hidden="1" customHeight="1" x14ac:dyDescent="0.25">
      <c r="A12" s="2283"/>
      <c r="B12" s="2284"/>
      <c r="C12" s="2284"/>
      <c r="D12" s="2284"/>
      <c r="E12" s="2284"/>
      <c r="F12" s="2285"/>
      <c r="G12" s="284"/>
      <c r="H12" s="2466"/>
      <c r="I12" s="2470"/>
      <c r="J12" s="2473"/>
      <c r="K12" s="1903"/>
      <c r="L12" s="1896"/>
      <c r="M12" s="2470"/>
      <c r="N12" s="2471"/>
      <c r="O12" s="2470"/>
      <c r="P12" s="2471"/>
      <c r="Q12" s="5302"/>
      <c r="R12" s="5302"/>
      <c r="S12" s="5302"/>
      <c r="T12" s="5302"/>
      <c r="U12" s="5303"/>
    </row>
    <row r="13" spans="1:22" s="50" customFormat="1" ht="6.75" customHeight="1" x14ac:dyDescent="0.25">
      <c r="A13" s="4786"/>
      <c r="B13" s="4787"/>
      <c r="C13" s="4787"/>
      <c r="D13" s="4787"/>
      <c r="E13" s="4787"/>
      <c r="F13" s="4787"/>
      <c r="G13" s="284"/>
      <c r="H13" s="2467"/>
      <c r="I13" s="2470"/>
      <c r="J13" s="2474"/>
      <c r="K13" s="1905"/>
      <c r="L13" s="2478"/>
      <c r="M13" s="2479"/>
      <c r="N13" s="2474"/>
      <c r="O13" s="2481"/>
      <c r="P13" s="2482"/>
      <c r="Q13" s="5302"/>
      <c r="R13" s="5302"/>
      <c r="S13" s="5302"/>
      <c r="T13" s="5302"/>
      <c r="U13" s="5303"/>
    </row>
    <row r="14" spans="1:22" s="50" customFormat="1" ht="13.5" hidden="1" customHeight="1" x14ac:dyDescent="0.25">
      <c r="A14" s="4788" t="s">
        <v>1065</v>
      </c>
      <c r="B14" s="4789"/>
      <c r="C14" s="4789"/>
      <c r="D14" s="4789"/>
      <c r="E14" s="4789"/>
      <c r="F14" s="4790"/>
      <c r="G14" s="319">
        <v>0</v>
      </c>
      <c r="H14" s="2466"/>
      <c r="I14" s="2470">
        <f>G14*I10</f>
        <v>0</v>
      </c>
      <c r="J14" s="2471"/>
      <c r="K14" s="1905">
        <f>G14*K10</f>
        <v>0</v>
      </c>
      <c r="L14" s="1901"/>
      <c r="M14" s="2479">
        <f>G14*M10</f>
        <v>0</v>
      </c>
      <c r="N14" s="2471"/>
      <c r="O14" s="2479">
        <f>G14*O10</f>
        <v>0</v>
      </c>
      <c r="P14" s="2483"/>
      <c r="Q14" s="5302"/>
      <c r="R14" s="5302"/>
      <c r="S14" s="5302"/>
      <c r="T14" s="5302"/>
      <c r="U14" s="5303"/>
    </row>
    <row r="15" spans="1:22" s="50" customFormat="1" ht="13.5" hidden="1" customHeight="1" x14ac:dyDescent="0.25">
      <c r="A15" s="4788" t="s">
        <v>1520</v>
      </c>
      <c r="B15" s="4789"/>
      <c r="C15" s="4789"/>
      <c r="D15" s="4789"/>
      <c r="E15" s="4789"/>
      <c r="F15" s="4790"/>
      <c r="G15" s="319">
        <v>0</v>
      </c>
      <c r="H15" s="2466"/>
      <c r="I15" s="2470">
        <f>G15*I11</f>
        <v>0</v>
      </c>
      <c r="J15" s="2471"/>
      <c r="K15" s="1903">
        <f>G15*K11</f>
        <v>0</v>
      </c>
      <c r="L15" s="1901"/>
      <c r="M15" s="2470">
        <f>G15*M11</f>
        <v>0</v>
      </c>
      <c r="N15" s="2471"/>
      <c r="O15" s="2479">
        <f>G15*O11</f>
        <v>0</v>
      </c>
      <c r="P15" s="2483"/>
      <c r="Q15" s="5302"/>
      <c r="R15" s="5302"/>
      <c r="S15" s="5302"/>
      <c r="T15" s="5302"/>
      <c r="U15" s="5303"/>
    </row>
    <row r="16" spans="1:22" s="50" customFormat="1" ht="6.75" customHeight="1" x14ac:dyDescent="0.25">
      <c r="A16" s="2279"/>
      <c r="B16" s="2280"/>
      <c r="C16" s="2280"/>
      <c r="D16" s="2280"/>
      <c r="E16" s="2280"/>
      <c r="F16" s="2281"/>
      <c r="G16" s="284"/>
      <c r="H16" s="2466"/>
      <c r="I16" s="2470"/>
      <c r="J16" s="2475"/>
      <c r="K16" s="1903"/>
      <c r="L16" s="1907"/>
      <c r="M16" s="2470"/>
      <c r="N16" s="2475"/>
      <c r="O16" s="2470"/>
      <c r="P16" s="2483"/>
      <c r="Q16" s="5304"/>
      <c r="R16" s="5304"/>
      <c r="S16" s="5304"/>
      <c r="T16" s="5304"/>
      <c r="U16" s="5305"/>
    </row>
    <row r="17" spans="1:21" s="50" customFormat="1" ht="26.25" customHeight="1" x14ac:dyDescent="0.25">
      <c r="A17" s="4799" t="s">
        <v>1020</v>
      </c>
      <c r="B17" s="4800"/>
      <c r="C17" s="4800"/>
      <c r="D17" s="4800"/>
      <c r="E17" s="4800"/>
      <c r="F17" s="4800"/>
      <c r="G17" s="281"/>
      <c r="H17" s="2468">
        <f>H9</f>
        <v>300000</v>
      </c>
      <c r="I17" s="2468">
        <f>I9</f>
        <v>1419930</v>
      </c>
      <c r="J17" s="2477"/>
      <c r="K17" s="2469">
        <f>K9</f>
        <v>4068762</v>
      </c>
      <c r="L17" s="2468"/>
      <c r="M17" s="2476">
        <f>M9</f>
        <v>8028810</v>
      </c>
      <c r="N17" s="2477"/>
      <c r="O17" s="2476">
        <f>O9</f>
        <v>13845369</v>
      </c>
      <c r="P17" s="2477"/>
      <c r="Q17" s="5282"/>
      <c r="R17" s="4869"/>
      <c r="S17" s="4869"/>
      <c r="T17" s="4869"/>
      <c r="U17" s="4870"/>
    </row>
    <row r="18" spans="1:21" s="279" customFormat="1" ht="7.5" customHeight="1" thickBot="1" x14ac:dyDescent="0.3">
      <c r="A18" s="2206"/>
      <c r="B18" s="2207"/>
      <c r="C18" s="2207"/>
      <c r="D18" s="2207"/>
      <c r="E18" s="2207"/>
      <c r="F18" s="2207"/>
      <c r="G18" s="2208"/>
      <c r="H18" s="2209"/>
      <c r="I18" s="2210"/>
      <c r="J18" s="2210"/>
      <c r="K18" s="2210"/>
      <c r="L18" s="2210"/>
      <c r="M18" s="2210"/>
      <c r="N18" s="2210"/>
      <c r="O18" s="2210"/>
      <c r="P18" s="2210"/>
      <c r="Q18" s="2211"/>
      <c r="R18" s="2211"/>
      <c r="S18" s="2288"/>
      <c r="T18" s="2288"/>
      <c r="U18" s="2289"/>
    </row>
    <row r="19" spans="1:21" s="279" customFormat="1" ht="24" customHeight="1" thickTop="1" x14ac:dyDescent="0.25">
      <c r="A19" s="2212"/>
      <c r="B19" s="2213"/>
      <c r="C19" s="2213"/>
      <c r="D19" s="2213"/>
      <c r="E19" s="2213"/>
      <c r="F19" s="2213"/>
      <c r="G19" s="4803" t="s">
        <v>1126</v>
      </c>
      <c r="H19" s="4804"/>
      <c r="I19" s="4804"/>
      <c r="J19" s="4804"/>
      <c r="K19" s="4804"/>
      <c r="L19" s="4804"/>
      <c r="M19" s="4804"/>
      <c r="N19" s="4804"/>
      <c r="O19" s="4804"/>
      <c r="P19" s="4804"/>
      <c r="Q19" s="5283"/>
      <c r="R19" s="5284"/>
      <c r="S19" s="5285"/>
    </row>
    <row r="20" spans="1:21" s="50" customFormat="1" ht="26" x14ac:dyDescent="0.25">
      <c r="A20" s="4796" t="s">
        <v>928</v>
      </c>
      <c r="B20" s="4797"/>
      <c r="C20" s="4797"/>
      <c r="D20" s="4797"/>
      <c r="E20" s="4797"/>
      <c r="F20" s="4798"/>
      <c r="G20" s="1256" t="s">
        <v>919</v>
      </c>
      <c r="H20" s="2180"/>
      <c r="I20" s="4871">
        <f>I7</f>
        <v>2018</v>
      </c>
      <c r="J20" s="4872"/>
      <c r="K20" s="4873">
        <f>K7</f>
        <v>2019</v>
      </c>
      <c r="L20" s="4874"/>
      <c r="M20" s="4801">
        <f>M7</f>
        <v>2020</v>
      </c>
      <c r="N20" s="4872"/>
      <c r="O20" s="4873">
        <f>O7</f>
        <v>2021</v>
      </c>
      <c r="P20" s="4874"/>
      <c r="Q20" s="5286"/>
      <c r="R20" s="5287"/>
      <c r="S20" s="5288"/>
    </row>
    <row r="21" spans="1:21" s="22" customFormat="1" ht="13" x14ac:dyDescent="0.35">
      <c r="A21" s="5294" t="s">
        <v>2251</v>
      </c>
      <c r="B21" s="5295"/>
      <c r="C21" s="5295"/>
      <c r="D21" s="5295"/>
      <c r="E21" s="5295"/>
      <c r="F21" s="5295"/>
      <c r="G21" s="266"/>
      <c r="H21" s="2290"/>
      <c r="I21" s="288" t="s">
        <v>507</v>
      </c>
      <c r="J21" s="2287" t="s">
        <v>918</v>
      </c>
      <c r="K21" s="2240" t="s">
        <v>507</v>
      </c>
      <c r="L21" s="2214" t="s">
        <v>918</v>
      </c>
      <c r="M21" s="286" t="s">
        <v>507</v>
      </c>
      <c r="N21" s="2287" t="s">
        <v>918</v>
      </c>
      <c r="O21" s="2240" t="s">
        <v>507</v>
      </c>
      <c r="P21" s="2214" t="s">
        <v>918</v>
      </c>
      <c r="Q21" s="2205"/>
      <c r="R21" s="2203"/>
      <c r="S21" s="2204"/>
    </row>
    <row r="22" spans="1:21" s="51" customFormat="1" ht="51" customHeight="1" x14ac:dyDescent="0.35">
      <c r="A22" s="4794" t="s">
        <v>920</v>
      </c>
      <c r="B22" s="4795"/>
      <c r="C22" s="4795"/>
      <c r="D22" s="4795"/>
      <c r="E22" s="4795"/>
      <c r="F22" s="4795"/>
      <c r="G22" s="2178">
        <v>60</v>
      </c>
      <c r="H22" s="2215"/>
      <c r="I22" s="289">
        <v>1</v>
      </c>
      <c r="J22" s="290">
        <f t="shared" ref="J22:J32" si="0">I22*G22</f>
        <v>60</v>
      </c>
      <c r="K22" s="2241">
        <v>1</v>
      </c>
      <c r="L22" s="2201">
        <f t="shared" ref="L22:L32" si="1">K22*G22</f>
        <v>60</v>
      </c>
      <c r="M22" s="287">
        <v>1.5</v>
      </c>
      <c r="N22" s="290">
        <f t="shared" ref="N22:N32" si="2">M22*G22</f>
        <v>90</v>
      </c>
      <c r="O22" s="2241">
        <v>2</v>
      </c>
      <c r="P22" s="2201">
        <f t="shared" ref="P22:P32" si="3">O22*G22</f>
        <v>120</v>
      </c>
      <c r="Q22" s="5276"/>
      <c r="R22" s="5277"/>
      <c r="S22" s="5278"/>
    </row>
    <row r="23" spans="1:21" s="51" customFormat="1" ht="39.75" customHeight="1" x14ac:dyDescent="0.35">
      <c r="A23" s="4794" t="s">
        <v>922</v>
      </c>
      <c r="B23" s="4795"/>
      <c r="C23" s="4795"/>
      <c r="D23" s="4795"/>
      <c r="E23" s="4795"/>
      <c r="F23" s="4795"/>
      <c r="G23" s="2178">
        <v>90</v>
      </c>
      <c r="H23" s="1541"/>
      <c r="I23" s="289">
        <v>1</v>
      </c>
      <c r="J23" s="290">
        <f t="shared" si="0"/>
        <v>90</v>
      </c>
      <c r="K23" s="2241">
        <v>2</v>
      </c>
      <c r="L23" s="2201">
        <f t="shared" si="1"/>
        <v>180</v>
      </c>
      <c r="M23" s="287">
        <v>3</v>
      </c>
      <c r="N23" s="290">
        <f t="shared" si="2"/>
        <v>270</v>
      </c>
      <c r="O23" s="2241">
        <v>4</v>
      </c>
      <c r="P23" s="2201">
        <f t="shared" si="3"/>
        <v>360</v>
      </c>
      <c r="Q23" s="5276"/>
      <c r="R23" s="5277"/>
      <c r="S23" s="5278"/>
    </row>
    <row r="24" spans="1:21" s="51" customFormat="1" ht="39.75" customHeight="1" x14ac:dyDescent="0.35">
      <c r="A24" s="4794" t="s">
        <v>2186</v>
      </c>
      <c r="B24" s="4795"/>
      <c r="C24" s="4795"/>
      <c r="D24" s="4795"/>
      <c r="E24" s="4795"/>
      <c r="F24" s="4795"/>
      <c r="G24" s="2178">
        <v>70</v>
      </c>
      <c r="H24" s="1541"/>
      <c r="I24" s="289">
        <v>0.5</v>
      </c>
      <c r="J24" s="290">
        <f t="shared" si="0"/>
        <v>35</v>
      </c>
      <c r="K24" s="2241">
        <v>0.5</v>
      </c>
      <c r="L24" s="2201">
        <f t="shared" si="1"/>
        <v>35</v>
      </c>
      <c r="M24" s="287">
        <v>1</v>
      </c>
      <c r="N24" s="290">
        <f t="shared" si="2"/>
        <v>70</v>
      </c>
      <c r="O24" s="2241">
        <v>1.5</v>
      </c>
      <c r="P24" s="2201">
        <f t="shared" si="3"/>
        <v>105</v>
      </c>
      <c r="Q24" s="5276"/>
      <c r="R24" s="5277"/>
      <c r="S24" s="5278"/>
    </row>
    <row r="25" spans="1:21" s="51" customFormat="1" ht="39.75" customHeight="1" x14ac:dyDescent="0.35">
      <c r="A25" s="4794" t="s">
        <v>1905</v>
      </c>
      <c r="B25" s="4795"/>
      <c r="C25" s="4795"/>
      <c r="D25" s="4795"/>
      <c r="E25" s="4795"/>
      <c r="F25" s="4795"/>
      <c r="G25" s="2178">
        <v>60</v>
      </c>
      <c r="H25" s="1541"/>
      <c r="I25" s="289">
        <v>0.5</v>
      </c>
      <c r="J25" s="290">
        <f t="shared" si="0"/>
        <v>30</v>
      </c>
      <c r="K25" s="2241">
        <v>0.5</v>
      </c>
      <c r="L25" s="2201">
        <f t="shared" si="1"/>
        <v>30</v>
      </c>
      <c r="M25" s="287">
        <v>1</v>
      </c>
      <c r="N25" s="290">
        <f t="shared" si="2"/>
        <v>60</v>
      </c>
      <c r="O25" s="2241">
        <v>1.5</v>
      </c>
      <c r="P25" s="2201">
        <f t="shared" si="3"/>
        <v>90</v>
      </c>
      <c r="Q25" s="5276"/>
      <c r="R25" s="5277"/>
      <c r="S25" s="5278"/>
    </row>
    <row r="26" spans="1:21" s="51" customFormat="1" ht="39.75" customHeight="1" x14ac:dyDescent="0.35">
      <c r="A26" s="4794" t="s">
        <v>506</v>
      </c>
      <c r="B26" s="4795"/>
      <c r="C26" s="4795"/>
      <c r="D26" s="4795"/>
      <c r="E26" s="4795"/>
      <c r="F26" s="4795"/>
      <c r="G26" s="2178">
        <v>50</v>
      </c>
      <c r="H26" s="1541"/>
      <c r="I26" s="289"/>
      <c r="J26" s="290">
        <f t="shared" si="0"/>
        <v>0</v>
      </c>
      <c r="K26" s="2241">
        <v>0.2</v>
      </c>
      <c r="L26" s="2201">
        <f t="shared" si="1"/>
        <v>10</v>
      </c>
      <c r="M26" s="287">
        <v>0.5</v>
      </c>
      <c r="N26" s="290">
        <f t="shared" si="2"/>
        <v>25</v>
      </c>
      <c r="O26" s="2241">
        <v>0.5</v>
      </c>
      <c r="P26" s="2201">
        <f t="shared" si="3"/>
        <v>25</v>
      </c>
      <c r="Q26" s="5276"/>
      <c r="R26" s="5277"/>
      <c r="S26" s="5278"/>
    </row>
    <row r="27" spans="1:21" s="51" customFormat="1" ht="39.75" customHeight="1" x14ac:dyDescent="0.35">
      <c r="A27" s="4807" t="s">
        <v>921</v>
      </c>
      <c r="B27" s="4808"/>
      <c r="C27" s="4808"/>
      <c r="D27" s="4808"/>
      <c r="E27" s="4808"/>
      <c r="F27" s="4808"/>
      <c r="G27" s="2178">
        <v>100</v>
      </c>
      <c r="H27" s="1541"/>
      <c r="I27" s="289">
        <v>0.5</v>
      </c>
      <c r="J27" s="290">
        <f t="shared" si="0"/>
        <v>50</v>
      </c>
      <c r="K27" s="2241">
        <v>0.5</v>
      </c>
      <c r="L27" s="2201">
        <f t="shared" si="1"/>
        <v>50</v>
      </c>
      <c r="M27" s="287">
        <v>0.5</v>
      </c>
      <c r="N27" s="290">
        <f t="shared" si="2"/>
        <v>50</v>
      </c>
      <c r="O27" s="2241">
        <v>0.5</v>
      </c>
      <c r="P27" s="2201">
        <f t="shared" si="3"/>
        <v>50</v>
      </c>
      <c r="Q27" s="5276"/>
      <c r="R27" s="5277"/>
      <c r="S27" s="5278"/>
    </row>
    <row r="28" spans="1:21" s="51" customFormat="1" ht="39.75" customHeight="1" x14ac:dyDescent="0.35">
      <c r="A28" s="4807" t="s">
        <v>924</v>
      </c>
      <c r="B28" s="4808"/>
      <c r="C28" s="4808"/>
      <c r="D28" s="4808"/>
      <c r="E28" s="4808"/>
      <c r="F28" s="4808"/>
      <c r="G28" s="2178">
        <v>100</v>
      </c>
      <c r="H28" s="1541"/>
      <c r="I28" s="289">
        <v>0.25</v>
      </c>
      <c r="J28" s="290">
        <f t="shared" si="0"/>
        <v>25</v>
      </c>
      <c r="K28" s="2241">
        <v>0.5</v>
      </c>
      <c r="L28" s="2201">
        <f t="shared" si="1"/>
        <v>50</v>
      </c>
      <c r="M28" s="287">
        <v>0.75</v>
      </c>
      <c r="N28" s="290">
        <f t="shared" si="2"/>
        <v>75</v>
      </c>
      <c r="O28" s="2241">
        <v>1</v>
      </c>
      <c r="P28" s="2201">
        <f t="shared" si="3"/>
        <v>100</v>
      </c>
      <c r="Q28" s="5276"/>
      <c r="R28" s="5277"/>
      <c r="S28" s="5278"/>
    </row>
    <row r="29" spans="1:21" s="51" customFormat="1" ht="39.75" customHeight="1" x14ac:dyDescent="0.35">
      <c r="A29" s="4807" t="s">
        <v>505</v>
      </c>
      <c r="B29" s="4808"/>
      <c r="C29" s="4808"/>
      <c r="D29" s="4808"/>
      <c r="E29" s="4808"/>
      <c r="F29" s="4808"/>
      <c r="G29" s="2178">
        <v>100</v>
      </c>
      <c r="H29" s="1541"/>
      <c r="I29" s="289">
        <v>0.15</v>
      </c>
      <c r="J29" s="290">
        <f t="shared" si="0"/>
        <v>15</v>
      </c>
      <c r="K29" s="2241">
        <v>0.2</v>
      </c>
      <c r="L29" s="2201">
        <f t="shared" si="1"/>
        <v>20</v>
      </c>
      <c r="M29" s="287">
        <v>0.3</v>
      </c>
      <c r="N29" s="290">
        <f t="shared" si="2"/>
        <v>30</v>
      </c>
      <c r="O29" s="2241">
        <v>0.3</v>
      </c>
      <c r="P29" s="2201">
        <f t="shared" si="3"/>
        <v>30</v>
      </c>
      <c r="Q29" s="5276"/>
      <c r="R29" s="5277"/>
      <c r="S29" s="5278"/>
    </row>
    <row r="30" spans="1:21" s="51" customFormat="1" ht="39.75" customHeight="1" x14ac:dyDescent="0.35">
      <c r="A30" s="4807" t="s">
        <v>1521</v>
      </c>
      <c r="B30" s="4808"/>
      <c r="C30" s="4808"/>
      <c r="D30" s="4808"/>
      <c r="E30" s="4808"/>
      <c r="F30" s="4808"/>
      <c r="G30" s="2178">
        <v>100</v>
      </c>
      <c r="H30" s="1541"/>
      <c r="I30" s="289">
        <v>0.1</v>
      </c>
      <c r="J30" s="290">
        <f t="shared" si="0"/>
        <v>10</v>
      </c>
      <c r="K30" s="2241">
        <v>0.3</v>
      </c>
      <c r="L30" s="2201">
        <f t="shared" si="1"/>
        <v>30</v>
      </c>
      <c r="M30" s="287">
        <v>0.3</v>
      </c>
      <c r="N30" s="290">
        <f t="shared" si="2"/>
        <v>30</v>
      </c>
      <c r="O30" s="2241">
        <v>0.3</v>
      </c>
      <c r="P30" s="2201">
        <f t="shared" si="3"/>
        <v>30</v>
      </c>
      <c r="Q30" s="5276"/>
      <c r="R30" s="5277"/>
      <c r="S30" s="5278"/>
    </row>
    <row r="31" spans="1:21" s="50" customFormat="1" ht="39.75" customHeight="1" x14ac:dyDescent="0.25">
      <c r="A31" s="4807" t="s">
        <v>923</v>
      </c>
      <c r="B31" s="4808"/>
      <c r="C31" s="4808"/>
      <c r="D31" s="4808"/>
      <c r="E31" s="4808"/>
      <c r="F31" s="4808"/>
      <c r="G31" s="2178">
        <v>100</v>
      </c>
      <c r="H31" s="1541"/>
      <c r="I31" s="289">
        <v>0.15</v>
      </c>
      <c r="J31" s="290">
        <f t="shared" si="0"/>
        <v>15</v>
      </c>
      <c r="K31" s="2241">
        <v>0.3</v>
      </c>
      <c r="L31" s="2201">
        <f t="shared" si="1"/>
        <v>30</v>
      </c>
      <c r="M31" s="287">
        <v>0.5</v>
      </c>
      <c r="N31" s="290">
        <f t="shared" si="2"/>
        <v>50</v>
      </c>
      <c r="O31" s="2241">
        <v>1</v>
      </c>
      <c r="P31" s="2201">
        <f t="shared" si="3"/>
        <v>100</v>
      </c>
      <c r="Q31" s="5276"/>
      <c r="R31" s="5277"/>
      <c r="S31" s="5278"/>
    </row>
    <row r="32" spans="1:21" s="50" customFormat="1" ht="27.75" customHeight="1" thickBot="1" x14ac:dyDescent="0.3">
      <c r="A32" s="4807" t="s">
        <v>128</v>
      </c>
      <c r="B32" s="4808"/>
      <c r="C32" s="4808"/>
      <c r="D32" s="4808"/>
      <c r="E32" s="4808"/>
      <c r="F32" s="4808"/>
      <c r="G32" s="2178">
        <v>100</v>
      </c>
      <c r="H32" s="1542"/>
      <c r="I32" s="291"/>
      <c r="J32" s="292">
        <f t="shared" si="0"/>
        <v>0</v>
      </c>
      <c r="K32" s="2242"/>
      <c r="L32" s="2202">
        <f t="shared" si="1"/>
        <v>0</v>
      </c>
      <c r="M32" s="2231"/>
      <c r="N32" s="292">
        <f t="shared" si="2"/>
        <v>0</v>
      </c>
      <c r="O32" s="2242"/>
      <c r="P32" s="2202">
        <f t="shared" si="3"/>
        <v>0</v>
      </c>
      <c r="Q32" s="5276"/>
      <c r="R32" s="5277"/>
      <c r="S32" s="5278"/>
    </row>
    <row r="33" spans="1:80" s="40" customFormat="1" ht="33.75" customHeight="1" thickTop="1" thickBot="1" x14ac:dyDescent="0.3">
      <c r="A33" s="4812"/>
      <c r="B33" s="4813"/>
      <c r="C33" s="4813"/>
      <c r="D33" s="4813"/>
      <c r="E33" s="4813"/>
      <c r="F33" s="4814"/>
      <c r="G33" s="1545" t="s">
        <v>1274</v>
      </c>
      <c r="H33" s="1542"/>
      <c r="I33" s="1546">
        <f t="shared" ref="I33:P33" si="4">SUM(I22:I26)</f>
        <v>3</v>
      </c>
      <c r="J33" s="2197">
        <f t="shared" si="4"/>
        <v>215</v>
      </c>
      <c r="K33" s="2243">
        <f>SUM(K22:K26)</f>
        <v>4.2</v>
      </c>
      <c r="L33" s="1547">
        <f t="shared" si="4"/>
        <v>315</v>
      </c>
      <c r="M33" s="2232">
        <f>SUM(M22:M26)</f>
        <v>7</v>
      </c>
      <c r="N33" s="2197">
        <f t="shared" si="4"/>
        <v>515</v>
      </c>
      <c r="O33" s="2243">
        <f>SUM(O22:O26)</f>
        <v>9.5</v>
      </c>
      <c r="P33" s="1547">
        <f t="shared" si="4"/>
        <v>700</v>
      </c>
      <c r="Q33" s="5279"/>
      <c r="R33" s="5280"/>
      <c r="S33" s="5281"/>
    </row>
    <row r="34" spans="1:80" s="40" customFormat="1" ht="33.75" customHeight="1" thickBot="1" x14ac:dyDescent="0.3">
      <c r="A34" s="2216"/>
      <c r="B34" s="1225"/>
      <c r="C34" s="1225"/>
      <c r="D34" s="1225"/>
      <c r="E34" s="1225"/>
      <c r="F34" s="1226"/>
      <c r="G34" s="1543" t="s">
        <v>2187</v>
      </c>
      <c r="H34" s="1542"/>
      <c r="I34" s="1544"/>
      <c r="J34" s="2198">
        <f>SUM(J27:J32)</f>
        <v>115</v>
      </c>
      <c r="K34" s="2244"/>
      <c r="L34" s="1908">
        <f>SUM(L27:L32)</f>
        <v>180</v>
      </c>
      <c r="M34" s="2233"/>
      <c r="N34" s="2198">
        <f>SUM(N27:N32)</f>
        <v>235</v>
      </c>
      <c r="O34" s="2244"/>
      <c r="P34" s="1908">
        <f>SUM(P27:P32)</f>
        <v>310</v>
      </c>
      <c r="Q34" s="5273"/>
      <c r="R34" s="5274"/>
      <c r="S34" s="5275"/>
    </row>
    <row r="35" spans="1:80" s="40" customFormat="1" ht="33.75" customHeight="1" thickBot="1" x14ac:dyDescent="0.3">
      <c r="A35" s="2216"/>
      <c r="B35" s="1225"/>
      <c r="C35" s="1225"/>
      <c r="D35" s="1225"/>
      <c r="E35" s="1225"/>
      <c r="F35" s="1226" t="s">
        <v>1325</v>
      </c>
      <c r="G35" s="1548" t="s">
        <v>2110</v>
      </c>
      <c r="H35" s="1542"/>
      <c r="I35" s="1258"/>
      <c r="J35" s="2199">
        <f>J34+J33</f>
        <v>330</v>
      </c>
      <c r="K35" s="1258"/>
      <c r="L35" s="1909">
        <f>L34+L33</f>
        <v>495</v>
      </c>
      <c r="M35" s="1258"/>
      <c r="N35" s="2199">
        <f>N34+N33</f>
        <v>750</v>
      </c>
      <c r="O35" s="1258"/>
      <c r="P35" s="1909">
        <f>P34+P33</f>
        <v>1010</v>
      </c>
      <c r="Q35" s="5273"/>
      <c r="R35" s="5274"/>
      <c r="S35" s="5275"/>
    </row>
    <row r="36" spans="1:80" s="40" customFormat="1" ht="12" customHeight="1" thickBot="1" x14ac:dyDescent="0.3">
      <c r="A36" s="2216"/>
      <c r="B36" s="1225"/>
      <c r="C36" s="1225"/>
      <c r="D36" s="1225"/>
      <c r="E36" s="1225"/>
      <c r="F36" s="1226"/>
      <c r="G36" s="1257"/>
      <c r="H36" s="1542"/>
      <c r="I36" s="1258"/>
      <c r="J36" s="2226"/>
      <c r="K36" s="2246"/>
      <c r="L36" s="1910"/>
      <c r="M36" s="2235"/>
      <c r="N36" s="2226"/>
      <c r="O36" s="2246"/>
      <c r="P36" s="1910"/>
      <c r="Q36" s="5273"/>
      <c r="R36" s="5274"/>
      <c r="S36" s="5275"/>
    </row>
    <row r="37" spans="1:80" s="23" customFormat="1" ht="27.75" customHeight="1" thickBot="1" x14ac:dyDescent="0.4">
      <c r="A37" s="2216"/>
      <c r="B37" s="1225"/>
      <c r="C37" s="1225"/>
      <c r="D37" s="1225"/>
      <c r="E37" s="1225"/>
      <c r="F37" s="1270" t="s">
        <v>1326</v>
      </c>
      <c r="G37" s="1223" t="s">
        <v>925</v>
      </c>
      <c r="H37" s="1542"/>
      <c r="I37" s="1222"/>
      <c r="J37" s="2227">
        <f>I17</f>
        <v>1419930</v>
      </c>
      <c r="K37" s="2247"/>
      <c r="L37" s="2248">
        <f>K17</f>
        <v>4068762</v>
      </c>
      <c r="M37" s="2236"/>
      <c r="N37" s="2227">
        <f>M17</f>
        <v>8028810</v>
      </c>
      <c r="O37" s="2247"/>
      <c r="P37" s="2248">
        <f>O17</f>
        <v>13845369</v>
      </c>
      <c r="Q37" s="5273"/>
      <c r="R37" s="5274"/>
      <c r="S37" s="5275"/>
    </row>
    <row r="38" spans="1:80" s="23" customFormat="1" ht="27.75" customHeight="1" thickTop="1" thickBot="1" x14ac:dyDescent="0.4">
      <c r="A38" s="2217"/>
      <c r="B38" s="2218"/>
      <c r="C38" s="2218"/>
      <c r="D38" s="2218"/>
      <c r="E38" s="2218"/>
      <c r="F38" s="2219" t="s">
        <v>1327</v>
      </c>
      <c r="G38" s="1266" t="s">
        <v>1324</v>
      </c>
      <c r="H38" s="1542"/>
      <c r="I38" s="1258"/>
      <c r="J38" s="2228">
        <f>J37-J35</f>
        <v>1419600</v>
      </c>
      <c r="K38" s="1258"/>
      <c r="L38" s="1911">
        <f>L37-L35</f>
        <v>4068267</v>
      </c>
      <c r="M38" s="1258"/>
      <c r="N38" s="2228">
        <f>N37-N35</f>
        <v>8028060</v>
      </c>
      <c r="O38" s="1258"/>
      <c r="P38" s="1911">
        <f>P37-P35</f>
        <v>13844359</v>
      </c>
      <c r="Q38" s="5273"/>
      <c r="R38" s="5274"/>
      <c r="S38" s="5275"/>
    </row>
    <row r="39" spans="1:80" s="1221" customFormat="1" ht="11.25" customHeight="1" thickTop="1" thickBot="1" x14ac:dyDescent="0.4">
      <c r="A39" s="2220"/>
      <c r="B39" s="2221"/>
      <c r="C39" s="2221"/>
      <c r="D39" s="2221"/>
      <c r="E39" s="2221"/>
      <c r="F39" s="2221"/>
      <c r="G39" s="1223"/>
      <c r="H39" s="1542"/>
      <c r="I39" s="1222"/>
      <c r="J39" s="2229"/>
      <c r="K39" s="2250"/>
      <c r="L39" s="1224"/>
      <c r="M39" s="2238"/>
      <c r="N39" s="2229"/>
      <c r="O39" s="2250"/>
      <c r="P39" s="1224"/>
      <c r="Q39" s="5273"/>
      <c r="R39" s="5274"/>
      <c r="S39" s="5275"/>
    </row>
    <row r="40" spans="1:80" ht="32" thickTop="1" thickBot="1" x14ac:dyDescent="0.4">
      <c r="A40" s="2222"/>
      <c r="B40" s="2223"/>
      <c r="C40" s="2224"/>
      <c r="D40" s="2224"/>
      <c r="E40" s="2224"/>
      <c r="F40" s="2224"/>
      <c r="G40" s="1262" t="s">
        <v>1021</v>
      </c>
      <c r="H40" s="2225"/>
      <c r="I40" s="1912">
        <f>IFERROR(J37/I33,"0")</f>
        <v>473310</v>
      </c>
      <c r="J40" s="2230"/>
      <c r="K40" s="2251">
        <f>L37/K33</f>
        <v>968752.85714285716</v>
      </c>
      <c r="L40" s="2252"/>
      <c r="M40" s="2239">
        <f>N37/M33</f>
        <v>1146972.857142857</v>
      </c>
      <c r="N40" s="2230"/>
      <c r="O40" s="2251">
        <f>P37/O33</f>
        <v>1457407.2631578948</v>
      </c>
      <c r="P40" s="1263"/>
      <c r="Q40" s="5270"/>
      <c r="R40" s="5271"/>
      <c r="S40" s="5272"/>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row>
    <row r="41" spans="1:80" ht="15" thickTop="1" x14ac:dyDescent="0.35">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row>
    <row r="42" spans="1:80" s="40" customFormat="1" ht="15" thickBot="1" x14ac:dyDescent="0.4">
      <c r="A42" s="60"/>
      <c r="B42" s="60"/>
      <c r="C42" s="60"/>
      <c r="D42" s="60"/>
      <c r="E42" s="60"/>
      <c r="F42" s="60"/>
      <c r="G42" s="60"/>
      <c r="H42" s="60"/>
      <c r="I42" s="60"/>
      <c r="J42" s="60"/>
      <c r="K42" s="60"/>
      <c r="L42" s="60"/>
      <c r="M42" s="60"/>
      <c r="N42" s="60"/>
      <c r="O42" s="60"/>
      <c r="P42" s="60"/>
      <c r="Q42" s="60"/>
      <c r="R42" s="60"/>
      <c r="S42" s="60"/>
      <c r="T42" s="60"/>
      <c r="U42" s="60"/>
    </row>
    <row r="43" spans="1:80" s="23" customFormat="1" ht="22.5" customHeight="1" thickBot="1" x14ac:dyDescent="0.4">
      <c r="A43" s="60"/>
      <c r="B43" s="4809" t="s">
        <v>906</v>
      </c>
      <c r="C43" s="4810"/>
      <c r="D43" s="4810"/>
      <c r="E43" s="4811"/>
      <c r="F43" s="42"/>
      <c r="G43" s="42"/>
      <c r="H43" s="49"/>
      <c r="I43" s="40"/>
      <c r="J43" s="40"/>
      <c r="K43" s="42"/>
      <c r="L43" s="40"/>
      <c r="M43" s="40"/>
      <c r="N43" s="40"/>
      <c r="O43" s="40"/>
      <c r="P43" s="40"/>
      <c r="Q43" s="40"/>
      <c r="R43" s="40"/>
      <c r="S43" s="40"/>
      <c r="T43" s="40"/>
      <c r="U43" s="40"/>
    </row>
    <row r="44" spans="1:80" s="40" customFormat="1" ht="38" thickBot="1" x14ac:dyDescent="0.3">
      <c r="B44" s="359"/>
      <c r="C44" s="1271" t="s">
        <v>1660</v>
      </c>
      <c r="D44" s="1272" t="s">
        <v>1276</v>
      </c>
      <c r="E44" s="1273" t="s">
        <v>1661</v>
      </c>
      <c r="F44" s="23"/>
      <c r="G44" s="23"/>
      <c r="H44" s="23"/>
      <c r="I44" s="23"/>
      <c r="J44" s="23"/>
      <c r="K44" s="41"/>
      <c r="L44" s="23"/>
      <c r="M44" s="23"/>
      <c r="N44" s="23"/>
      <c r="O44" s="23"/>
      <c r="P44" s="23"/>
      <c r="Q44" s="23"/>
      <c r="R44" s="23"/>
      <c r="S44" s="23"/>
      <c r="T44" s="23"/>
      <c r="U44" s="23"/>
    </row>
    <row r="45" spans="1:80" s="40" customFormat="1" ht="13" thickBot="1" x14ac:dyDescent="0.3">
      <c r="B45" s="364" t="s">
        <v>173</v>
      </c>
      <c r="C45" s="1913">
        <v>7</v>
      </c>
      <c r="D45" s="365">
        <v>3</v>
      </c>
      <c r="E45" s="1915">
        <f>C45*D45</f>
        <v>21</v>
      </c>
    </row>
    <row r="46" spans="1:80" s="40" customFormat="1" ht="33.75" customHeight="1" thickBot="1" x14ac:dyDescent="0.3">
      <c r="B46" s="364" t="s">
        <v>969</v>
      </c>
      <c r="C46" s="1913">
        <v>4</v>
      </c>
      <c r="D46" s="365">
        <v>5</v>
      </c>
      <c r="E46" s="1915">
        <f>C46*D46</f>
        <v>20</v>
      </c>
    </row>
    <row r="47" spans="1:80" s="40" customFormat="1" ht="34.5" customHeight="1" thickBot="1" x14ac:dyDescent="0.3">
      <c r="B47" s="364" t="s">
        <v>970</v>
      </c>
      <c r="C47" s="1913">
        <v>3</v>
      </c>
      <c r="D47" s="365">
        <v>2</v>
      </c>
      <c r="E47" s="1915">
        <f>C47*D47</f>
        <v>6</v>
      </c>
      <c r="F47" s="4837" t="s">
        <v>926</v>
      </c>
      <c r="G47" s="4838"/>
      <c r="H47" s="4839"/>
      <c r="I47" s="4868"/>
      <c r="J47" s="4868"/>
      <c r="K47" s="4868"/>
      <c r="L47" s="4868"/>
      <c r="M47" s="4868"/>
      <c r="N47" s="4868"/>
      <c r="O47" s="4868"/>
      <c r="P47" s="4868"/>
      <c r="Q47" s="4868"/>
    </row>
    <row r="48" spans="1:80" s="40" customFormat="1" ht="30" customHeight="1" x14ac:dyDescent="0.25">
      <c r="B48" s="360"/>
      <c r="C48" s="362" t="s">
        <v>127</v>
      </c>
      <c r="D48" s="363">
        <f>SUM(D45:D47)</f>
        <v>10</v>
      </c>
      <c r="E48" s="1916">
        <f>SUM(E45:E47)</f>
        <v>47</v>
      </c>
      <c r="F48" s="4842" t="s">
        <v>1328</v>
      </c>
      <c r="G48" s="4843"/>
      <c r="H48" s="1914">
        <f>E49</f>
        <v>4.7</v>
      </c>
      <c r="I48" s="4806"/>
      <c r="J48" s="4806"/>
      <c r="K48" s="4806"/>
      <c r="L48" s="4806"/>
      <c r="M48" s="4806"/>
      <c r="N48" s="4806"/>
      <c r="O48" s="4806"/>
      <c r="P48" s="4806"/>
      <c r="Q48" s="4806"/>
    </row>
    <row r="49" spans="1:80" s="40" customFormat="1" ht="31.5" customHeight="1" thickBot="1" x14ac:dyDescent="0.3">
      <c r="B49" s="361"/>
      <c r="C49" s="293" t="s">
        <v>1910</v>
      </c>
      <c r="D49" s="294"/>
      <c r="E49" s="1917">
        <f>E48/D48</f>
        <v>4.7</v>
      </c>
      <c r="F49" s="4840" t="s">
        <v>1329</v>
      </c>
      <c r="G49" s="4841"/>
      <c r="H49" s="1231">
        <v>10</v>
      </c>
      <c r="I49" s="4806" t="s">
        <v>1330</v>
      </c>
      <c r="J49" s="4806"/>
      <c r="K49" s="4806"/>
      <c r="L49" s="4806"/>
      <c r="M49" s="4806"/>
      <c r="N49" s="4806"/>
      <c r="O49" s="4806"/>
      <c r="P49" s="4806"/>
      <c r="Q49" s="4806"/>
    </row>
    <row r="50" spans="1:80" s="40" customFormat="1" ht="12.5" x14ac:dyDescent="0.25">
      <c r="E50" s="42"/>
      <c r="K50" s="42"/>
    </row>
    <row r="51" spans="1:80" s="40" customFormat="1" ht="13" thickBot="1" x14ac:dyDescent="0.3">
      <c r="E51" s="42"/>
      <c r="F51" s="42"/>
      <c r="G51" s="42"/>
      <c r="H51" s="49"/>
      <c r="I51" s="42"/>
      <c r="J51" s="42"/>
      <c r="K51" s="42"/>
    </row>
    <row r="52" spans="1:80" s="40" customFormat="1" ht="14" x14ac:dyDescent="0.3">
      <c r="B52" s="4835" t="s">
        <v>504</v>
      </c>
      <c r="C52" s="4836"/>
      <c r="D52" s="2282">
        <f>I7</f>
        <v>2018</v>
      </c>
      <c r="E52" s="2282">
        <f>K7</f>
        <v>2019</v>
      </c>
      <c r="F52" s="2282">
        <f>M7</f>
        <v>2020</v>
      </c>
      <c r="G52" s="2282">
        <f>O7</f>
        <v>2021</v>
      </c>
    </row>
    <row r="53" spans="1:80" s="40" customFormat="1" ht="20.25" customHeight="1" x14ac:dyDescent="0.25">
      <c r="B53" s="4829" t="s">
        <v>503</v>
      </c>
      <c r="C53" s="4830"/>
      <c r="D53" s="320">
        <f>J35</f>
        <v>330</v>
      </c>
      <c r="E53" s="320">
        <f>L35</f>
        <v>495</v>
      </c>
      <c r="F53" s="320">
        <f>N35</f>
        <v>750</v>
      </c>
      <c r="G53" s="320">
        <f>P35</f>
        <v>1010</v>
      </c>
    </row>
    <row r="54" spans="1:80" s="40" customFormat="1" ht="30" customHeight="1" x14ac:dyDescent="0.25">
      <c r="B54" s="4831" t="s">
        <v>927</v>
      </c>
      <c r="C54" s="4832"/>
      <c r="D54" s="1229">
        <f>D53/$H48</f>
        <v>70.212765957446805</v>
      </c>
      <c r="E54" s="1229">
        <f>E53/$H48</f>
        <v>105.31914893617021</v>
      </c>
      <c r="F54" s="1229">
        <f>F53/$H48</f>
        <v>159.57446808510639</v>
      </c>
      <c r="G54" s="1229">
        <f>G53/$H48</f>
        <v>214.89361702127658</v>
      </c>
    </row>
    <row r="55" spans="1:80" s="40" customFormat="1" ht="24" customHeight="1" thickBot="1" x14ac:dyDescent="0.3">
      <c r="B55" s="4833" t="s">
        <v>502</v>
      </c>
      <c r="C55" s="4834"/>
      <c r="D55" s="1230">
        <f>D54/H49</f>
        <v>7.0212765957446805</v>
      </c>
      <c r="E55" s="1230">
        <f>E54/H49</f>
        <v>10.531914893617021</v>
      </c>
      <c r="F55" s="1230">
        <f>F54/H49</f>
        <v>15.957446808510639</v>
      </c>
      <c r="G55" s="1230">
        <f>G54/H49</f>
        <v>21.48936170212766</v>
      </c>
    </row>
    <row r="56" spans="1:80" x14ac:dyDescent="0.35">
      <c r="A56" s="40"/>
      <c r="B56" s="40"/>
      <c r="C56" s="40"/>
      <c r="D56" s="40"/>
      <c r="E56" s="40"/>
      <c r="F56" s="40"/>
      <c r="G56" s="40"/>
      <c r="H56" s="40"/>
      <c r="I56" s="40"/>
      <c r="J56" s="40"/>
      <c r="K56" s="40"/>
      <c r="L56" s="40"/>
      <c r="M56" s="40"/>
      <c r="N56" s="40"/>
      <c r="O56" s="40"/>
      <c r="P56" s="40"/>
      <c r="Q56" s="40"/>
      <c r="R56" s="40"/>
      <c r="S56" s="40"/>
      <c r="T56" s="40"/>
      <c r="U56" s="40"/>
    </row>
    <row r="57" spans="1:80" ht="15" thickBot="1" x14ac:dyDescent="0.4"/>
    <row r="58" spans="1:80" ht="20.25" customHeight="1" thickTop="1" thickBot="1" x14ac:dyDescent="0.4">
      <c r="A58" s="4821" t="s">
        <v>10</v>
      </c>
      <c r="B58" s="4822"/>
      <c r="C58" s="4822"/>
      <c r="D58" s="4822"/>
      <c r="E58" s="4822"/>
      <c r="F58" s="4822"/>
      <c r="G58" s="4822"/>
      <c r="H58" s="4822"/>
      <c r="I58" s="4822"/>
      <c r="J58" s="4822"/>
      <c r="K58" s="4822"/>
      <c r="L58" s="161"/>
      <c r="M58" s="31"/>
      <c r="N58" s="31"/>
      <c r="O58" s="31"/>
      <c r="P58" s="31"/>
      <c r="Q58" s="4823" t="s">
        <v>748</v>
      </c>
      <c r="R58" s="4824"/>
      <c r="S58" s="4825"/>
      <c r="T58" s="31"/>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row>
    <row r="59" spans="1:80" ht="20.25" customHeight="1" x14ac:dyDescent="0.35">
      <c r="A59" s="4815" t="s">
        <v>1278</v>
      </c>
      <c r="B59" s="4826"/>
      <c r="C59" s="4826"/>
      <c r="D59" s="4826"/>
      <c r="E59" s="4826"/>
      <c r="F59" s="4826"/>
      <c r="G59" s="4826"/>
      <c r="H59" s="4826"/>
      <c r="I59" s="4826"/>
      <c r="J59" s="4826"/>
      <c r="K59" s="4826"/>
      <c r="L59" s="39"/>
      <c r="M59" s="33"/>
      <c r="N59" s="33"/>
      <c r="O59" s="33"/>
      <c r="P59" s="33"/>
      <c r="Q59" s="3750" t="s">
        <v>1279</v>
      </c>
      <c r="R59" s="3751"/>
      <c r="S59" s="3752"/>
      <c r="T59" s="33"/>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row>
    <row r="60" spans="1:80" ht="20.25" customHeight="1" x14ac:dyDescent="0.35">
      <c r="A60" s="4815"/>
      <c r="B60" s="4826"/>
      <c r="C60" s="4826"/>
      <c r="D60" s="4826"/>
      <c r="E60" s="4826"/>
      <c r="F60" s="4826"/>
      <c r="G60" s="4826"/>
      <c r="H60" s="4826"/>
      <c r="I60" s="4826"/>
      <c r="J60" s="4826"/>
      <c r="K60" s="4826"/>
      <c r="L60" s="39"/>
      <c r="M60" s="33"/>
      <c r="N60" s="33"/>
      <c r="O60" s="33"/>
      <c r="P60" s="33"/>
      <c r="Q60" s="3753"/>
      <c r="R60" s="3754"/>
      <c r="S60" s="3755"/>
      <c r="T60" s="33"/>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row>
    <row r="61" spans="1:80" ht="20.25" customHeight="1" x14ac:dyDescent="0.35">
      <c r="A61" s="4815"/>
      <c r="B61" s="4826"/>
      <c r="C61" s="4826"/>
      <c r="D61" s="4826"/>
      <c r="E61" s="4826"/>
      <c r="F61" s="4826"/>
      <c r="G61" s="4826"/>
      <c r="H61" s="4826"/>
      <c r="I61" s="4826"/>
      <c r="J61" s="4826"/>
      <c r="K61" s="4826"/>
      <c r="L61" s="39"/>
      <c r="M61" s="33"/>
      <c r="N61" s="33"/>
      <c r="O61" s="33"/>
      <c r="P61" s="33"/>
      <c r="Q61" s="3753"/>
      <c r="R61" s="3754"/>
      <c r="S61" s="3755"/>
      <c r="T61" s="33"/>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row>
    <row r="62" spans="1:80" ht="15" thickBot="1" x14ac:dyDescent="0.4">
      <c r="A62" s="4827"/>
      <c r="B62" s="4828"/>
      <c r="C62" s="4828"/>
      <c r="D62" s="4828"/>
      <c r="E62" s="4828"/>
      <c r="F62" s="4828"/>
      <c r="G62" s="4828"/>
      <c r="H62" s="4828"/>
      <c r="I62" s="4828"/>
      <c r="J62" s="4828"/>
      <c r="K62" s="4828"/>
      <c r="L62" s="39"/>
      <c r="M62" s="33"/>
      <c r="N62" s="33"/>
      <c r="O62" s="33"/>
      <c r="P62" s="33"/>
      <c r="Q62" s="3756"/>
      <c r="R62" s="3757"/>
      <c r="S62" s="3758"/>
      <c r="T62" s="33"/>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row>
    <row r="63" spans="1:80" ht="15.5" thickTop="1" thickBot="1" x14ac:dyDescent="0.4">
      <c r="Q63" s="31"/>
      <c r="R63" s="31"/>
      <c r="S63" s="31"/>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row>
    <row r="64" spans="1:80" ht="20.25" customHeight="1" thickTop="1" thickBot="1" x14ac:dyDescent="0.4">
      <c r="A64" s="4821" t="s">
        <v>11</v>
      </c>
      <c r="B64" s="4822"/>
      <c r="C64" s="4822"/>
      <c r="D64" s="4822"/>
      <c r="E64" s="4822"/>
      <c r="F64" s="4822"/>
      <c r="G64" s="4822"/>
      <c r="H64" s="4822"/>
      <c r="I64" s="4822"/>
      <c r="J64" s="4822"/>
      <c r="K64" s="4822"/>
      <c r="L64" s="161"/>
      <c r="M64" s="31"/>
      <c r="N64" s="31"/>
      <c r="O64" s="31"/>
      <c r="P64" s="31"/>
      <c r="Q64" s="4823" t="s">
        <v>748</v>
      </c>
      <c r="R64" s="4824"/>
      <c r="S64" s="4825"/>
      <c r="T64" s="31"/>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row>
    <row r="65" spans="1:80" ht="20.25" customHeight="1" x14ac:dyDescent="0.35">
      <c r="A65" s="4815" t="s">
        <v>1277</v>
      </c>
      <c r="B65" s="4816"/>
      <c r="C65" s="4816"/>
      <c r="D65" s="4816"/>
      <c r="E65" s="4816"/>
      <c r="F65" s="4816"/>
      <c r="G65" s="4816"/>
      <c r="H65" s="4816"/>
      <c r="I65" s="4816"/>
      <c r="J65" s="4816"/>
      <c r="K65" s="4817"/>
      <c r="L65" s="39"/>
      <c r="M65" s="33"/>
      <c r="N65" s="33"/>
      <c r="O65" s="33"/>
      <c r="P65" s="33"/>
      <c r="Q65" s="3750" t="s">
        <v>1280</v>
      </c>
      <c r="R65" s="3751"/>
      <c r="S65" s="3752"/>
      <c r="T65" s="33"/>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row>
    <row r="66" spans="1:80" ht="20.25" customHeight="1" x14ac:dyDescent="0.35">
      <c r="A66" s="4818"/>
      <c r="B66" s="4816"/>
      <c r="C66" s="4816"/>
      <c r="D66" s="4816"/>
      <c r="E66" s="4816"/>
      <c r="F66" s="4816"/>
      <c r="G66" s="4816"/>
      <c r="H66" s="4816"/>
      <c r="I66" s="4816"/>
      <c r="J66" s="4816"/>
      <c r="K66" s="4817"/>
      <c r="L66" s="39"/>
      <c r="M66" s="33"/>
      <c r="N66" s="33"/>
      <c r="O66" s="33"/>
      <c r="P66" s="33"/>
      <c r="Q66" s="3753"/>
      <c r="R66" s="3754"/>
      <c r="S66" s="3755"/>
      <c r="T66" s="33"/>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row>
    <row r="67" spans="1:80" ht="20.25" customHeight="1" x14ac:dyDescent="0.35">
      <c r="A67" s="4818"/>
      <c r="B67" s="4816"/>
      <c r="C67" s="4816"/>
      <c r="D67" s="4816"/>
      <c r="E67" s="4816"/>
      <c r="F67" s="4816"/>
      <c r="G67" s="4816"/>
      <c r="H67" s="4816"/>
      <c r="I67" s="4816"/>
      <c r="J67" s="4816"/>
      <c r="K67" s="4817"/>
      <c r="L67" s="39"/>
      <c r="M67" s="33"/>
      <c r="N67" s="33"/>
      <c r="O67" s="33"/>
      <c r="P67" s="33"/>
      <c r="Q67" s="3753"/>
      <c r="R67" s="3754"/>
      <c r="S67" s="3755"/>
      <c r="T67" s="33"/>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row>
    <row r="68" spans="1:80" ht="15" thickBot="1" x14ac:dyDescent="0.4">
      <c r="A68" s="4819"/>
      <c r="B68" s="4820"/>
      <c r="C68" s="4820"/>
      <c r="D68" s="4820"/>
      <c r="E68" s="4820"/>
      <c r="F68" s="4820"/>
      <c r="G68" s="4820"/>
      <c r="H68" s="4820"/>
      <c r="I68" s="4820"/>
      <c r="J68" s="4820"/>
      <c r="K68" s="4820"/>
      <c r="L68" s="39"/>
      <c r="M68" s="33"/>
      <c r="N68" s="33"/>
      <c r="O68" s="33"/>
      <c r="P68" s="33"/>
      <c r="Q68" s="3756"/>
      <c r="R68" s="3757"/>
      <c r="S68" s="3758"/>
      <c r="T68" s="33"/>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row>
    <row r="69" spans="1:80" ht="15" thickTop="1" x14ac:dyDescent="0.35"/>
  </sheetData>
  <mergeCells count="87">
    <mergeCell ref="H6:P6"/>
    <mergeCell ref="G19:P19"/>
    <mergeCell ref="I7:J7"/>
    <mergeCell ref="K7:L7"/>
    <mergeCell ref="M7:N7"/>
    <mergeCell ref="O7:P7"/>
    <mergeCell ref="Q7:U7"/>
    <mergeCell ref="A9:F9"/>
    <mergeCell ref="A10:F10"/>
    <mergeCell ref="A8:U8"/>
    <mergeCell ref="D1:G1"/>
    <mergeCell ref="I1:J1"/>
    <mergeCell ref="L1:Q1"/>
    <mergeCell ref="D2:G2"/>
    <mergeCell ref="I2:J2"/>
    <mergeCell ref="L2:Q2"/>
    <mergeCell ref="H4:U4"/>
    <mergeCell ref="A5:B5"/>
    <mergeCell ref="C5:U5"/>
    <mergeCell ref="Q6:U6"/>
    <mergeCell ref="Q9:U16"/>
    <mergeCell ref="A14:F14"/>
    <mergeCell ref="A11:F11"/>
    <mergeCell ref="D3:G3"/>
    <mergeCell ref="B4:G4"/>
    <mergeCell ref="A6:G7"/>
    <mergeCell ref="A32:F32"/>
    <mergeCell ref="A21:F21"/>
    <mergeCell ref="A22:F22"/>
    <mergeCell ref="A23:F23"/>
    <mergeCell ref="A24:F24"/>
    <mergeCell ref="A25:F25"/>
    <mergeCell ref="A26:F26"/>
    <mergeCell ref="A27:F27"/>
    <mergeCell ref="A28:F28"/>
    <mergeCell ref="A29:F29"/>
    <mergeCell ref="A30:F30"/>
    <mergeCell ref="A31:F31"/>
    <mergeCell ref="B55:C55"/>
    <mergeCell ref="A33:F33"/>
    <mergeCell ref="B43:E43"/>
    <mergeCell ref="F47:H47"/>
    <mergeCell ref="I47:Q47"/>
    <mergeCell ref="F48:G48"/>
    <mergeCell ref="I48:Q48"/>
    <mergeCell ref="F49:G49"/>
    <mergeCell ref="I49:Q49"/>
    <mergeCell ref="B52:C52"/>
    <mergeCell ref="B53:C53"/>
    <mergeCell ref="B54:C54"/>
    <mergeCell ref="Q35:S35"/>
    <mergeCell ref="Q36:S36"/>
    <mergeCell ref="Q37:S37"/>
    <mergeCell ref="Q38:S38"/>
    <mergeCell ref="A65:K68"/>
    <mergeCell ref="Q65:S68"/>
    <mergeCell ref="A58:K58"/>
    <mergeCell ref="Q58:S58"/>
    <mergeCell ref="A59:K62"/>
    <mergeCell ref="Q59:S62"/>
    <mergeCell ref="A64:K64"/>
    <mergeCell ref="Q64:S64"/>
    <mergeCell ref="A17:F17"/>
    <mergeCell ref="Q17:U17"/>
    <mergeCell ref="A15:F15"/>
    <mergeCell ref="A13:F13"/>
    <mergeCell ref="Q24:S24"/>
    <mergeCell ref="Q19:S20"/>
    <mergeCell ref="Q22:S22"/>
    <mergeCell ref="Q23:S23"/>
    <mergeCell ref="A20:F20"/>
    <mergeCell ref="I20:J20"/>
    <mergeCell ref="K20:L20"/>
    <mergeCell ref="M20:N20"/>
    <mergeCell ref="O20:P20"/>
    <mergeCell ref="Q25:S25"/>
    <mergeCell ref="Q26:S26"/>
    <mergeCell ref="Q28:S28"/>
    <mergeCell ref="Q29:S29"/>
    <mergeCell ref="Q27:S27"/>
    <mergeCell ref="Q40:S40"/>
    <mergeCell ref="Q39:S39"/>
    <mergeCell ref="Q30:S30"/>
    <mergeCell ref="Q31:S31"/>
    <mergeCell ref="Q32:S32"/>
    <mergeCell ref="Q33:S33"/>
    <mergeCell ref="Q34:S34"/>
  </mergeCells>
  <conditionalFormatting sqref="S2">
    <cfRule type="iconSet" priority="2">
      <iconSet iconSet="3Symbols2" showValue="0">
        <cfvo type="percent" val="0"/>
        <cfvo type="num" val="0"/>
        <cfvo type="num" val="10"/>
      </iconSet>
    </cfRule>
  </conditionalFormatting>
  <conditionalFormatting sqref="T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2F00-000000000000}">
      <formula1>AvancementTheme</formula1>
    </dataValidation>
  </dataValidations>
  <hyperlinks>
    <hyperlink ref="S1" location="DPDV_10BP1" display="PdV" xr:uid="{00000000-0004-0000-2F00-000000000000}"/>
    <hyperlink ref="T1" location="DKPI_10BP1" display="KPI's" xr:uid="{00000000-0004-0000-2F00-000001000000}"/>
  </hyperlinks>
  <pageMargins left="0.70866141732283472" right="0.70866141732283472" top="0.74803149606299213" bottom="0.74803149606299213" header="0.31496062992125984" footer="0.31496062992125984"/>
  <pageSetup paperSize="9" scale="35" orientation="portrait" r:id="rId1"/>
  <headerFooter>
    <oddHeader>&amp;LPAD Methodology (c) 2013-2014&amp;RStrategic Management Workshop</oddHeader>
    <oddFooter>&amp;L&amp;F&amp;C&amp;A&amp;RSituation au : &amp;D - page : &amp;P/&amp;N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11">
    <tabColor rgb="FFFFC000"/>
    <pageSetUpPr fitToPage="1"/>
  </sheetPr>
  <dimension ref="A1:AE137"/>
  <sheetViews>
    <sheetView showGridLines="0" showRowColHeaders="0" showZeros="0" zoomScale="110" zoomScaleNormal="110" workbookViewId="0">
      <pane ySplit="6" topLeftCell="A97" activePane="bottomLeft" state="frozen"/>
      <selection activeCell="H7" sqref="H7"/>
      <selection pane="bottomLeft" activeCell="G7" sqref="G7:H7"/>
    </sheetView>
  </sheetViews>
  <sheetFormatPr baseColWidth="10" defaultColWidth="11.453125" defaultRowHeight="14.5" x14ac:dyDescent="0.35"/>
  <cols>
    <col min="1" max="1" width="6" style="60" customWidth="1"/>
    <col min="2" max="2" width="13.26953125" style="60" customWidth="1"/>
    <col min="3" max="11" width="11.453125" style="60"/>
    <col min="12" max="12" width="12.81640625" style="60" customWidth="1"/>
    <col min="13" max="14" width="11.453125" style="60"/>
    <col min="15" max="15" width="11.453125" style="60" customWidth="1"/>
    <col min="16" max="16384" width="11.453125" style="60"/>
  </cols>
  <sheetData>
    <row r="1" spans="1:31" s="54" customFormat="1" ht="15" customHeight="1" x14ac:dyDescent="0.35">
      <c r="A1" s="1570"/>
      <c r="B1" s="1570"/>
      <c r="C1" s="1570"/>
      <c r="D1" s="3341" t="s">
        <v>5</v>
      </c>
      <c r="E1" s="3341"/>
      <c r="F1" s="3341"/>
      <c r="G1" s="3341"/>
      <c r="H1" s="391"/>
      <c r="I1" s="3341" t="s">
        <v>6</v>
      </c>
      <c r="J1" s="3341"/>
      <c r="K1" s="1570"/>
      <c r="L1" s="3341" t="s">
        <v>9</v>
      </c>
      <c r="M1" s="3341"/>
      <c r="N1" s="1570"/>
      <c r="O1" s="479" t="s">
        <v>2</v>
      </c>
      <c r="P1" s="479" t="s">
        <v>3</v>
      </c>
      <c r="Q1" s="458"/>
    </row>
    <row r="2" spans="1:31" s="58" customFormat="1" ht="18" customHeight="1" x14ac:dyDescent="0.35">
      <c r="A2" s="393"/>
      <c r="B2" s="393"/>
      <c r="C2" s="393"/>
      <c r="D2" s="3342" t="str">
        <f>NomClient</f>
        <v xml:space="preserve">EQUINIX </v>
      </c>
      <c r="E2" s="3343"/>
      <c r="F2" s="3343"/>
      <c r="G2" s="3344"/>
      <c r="H2" s="393"/>
      <c r="I2" s="3345" t="s">
        <v>410</v>
      </c>
      <c r="J2" s="3346"/>
      <c r="K2" s="393"/>
      <c r="L2" s="3347">
        <v>42420.643773148149</v>
      </c>
      <c r="M2" s="3348"/>
      <c r="N2" s="394"/>
      <c r="O2" s="451">
        <f>IF(LEN(DPDV_03BI2)&gt;0,LEN(DPDV_03BI2),0-PDV_NBmini)</f>
        <v>184</v>
      </c>
      <c r="P2" s="451">
        <f>IF(LEN(DKPI_03BI2)&gt;0,LEN(DKPI_03BI2),0-KPI_NBmini)</f>
        <v>63</v>
      </c>
      <c r="Q2" s="459"/>
    </row>
    <row r="3" spans="1:3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31" s="1" customFormat="1" ht="24.75" customHeight="1" thickBot="1" x14ac:dyDescent="0.4">
      <c r="A4" s="3695" t="str">
        <f>Parametre!B25 &amp; "  : "</f>
        <v xml:space="preserve">Positionnement de l'offre  : </v>
      </c>
      <c r="B4" s="3695"/>
      <c r="C4" s="3695"/>
      <c r="D4" s="3695"/>
      <c r="E4" s="3695"/>
      <c r="F4" s="3695"/>
      <c r="G4" s="3695"/>
      <c r="H4" s="3693" t="str">
        <f xml:space="preserve"> "BIC pour " &amp; NomProd2</f>
        <v>BIC pour ASEMA</v>
      </c>
      <c r="I4" s="3693"/>
      <c r="J4" s="3693"/>
      <c r="K4" s="3693"/>
      <c r="L4" s="3693"/>
      <c r="M4" s="3693"/>
      <c r="N4" s="3693"/>
      <c r="O4" s="3693"/>
      <c r="P4" s="3694"/>
      <c r="Q4" s="444"/>
    </row>
    <row r="5" spans="1:31" s="193" customFormat="1" ht="21.75" customHeight="1" x14ac:dyDescent="0.35">
      <c r="A5" s="3438" t="s">
        <v>14</v>
      </c>
      <c r="B5" s="3438"/>
      <c r="C5" s="3439" t="s">
        <v>752</v>
      </c>
      <c r="D5" s="3439"/>
      <c r="E5" s="3439"/>
      <c r="F5" s="3439"/>
      <c r="G5" s="3439"/>
      <c r="H5" s="3439"/>
      <c r="I5" s="3439"/>
      <c r="J5" s="3439"/>
      <c r="K5" s="3439"/>
      <c r="L5" s="3439"/>
      <c r="M5" s="3439"/>
      <c r="N5" s="3439"/>
      <c r="O5" s="3439"/>
      <c r="P5" s="3439"/>
      <c r="Q5" s="460"/>
    </row>
    <row r="6" spans="1:31" ht="1.5" customHeight="1" thickBot="1" x14ac:dyDescent="0.4">
      <c r="A6" s="3697" t="s">
        <v>20</v>
      </c>
      <c r="B6" s="3697"/>
      <c r="C6" s="3508"/>
      <c r="D6" s="3508"/>
      <c r="E6" s="3508"/>
      <c r="F6" s="3508"/>
      <c r="G6" s="3508"/>
      <c r="H6" s="3508"/>
      <c r="I6" s="3508"/>
      <c r="J6" s="3508"/>
      <c r="K6" s="3508"/>
      <c r="L6" s="3508"/>
      <c r="M6" s="3508"/>
      <c r="N6" s="3508"/>
      <c r="O6" s="3508"/>
      <c r="P6" s="3508"/>
      <c r="Q6" s="64"/>
    </row>
    <row r="7" spans="1:31" s="25" customFormat="1" ht="50.25" customHeight="1" thickTop="1" x14ac:dyDescent="0.35">
      <c r="A7" s="704"/>
      <c r="B7" s="5368" t="s">
        <v>100</v>
      </c>
      <c r="C7" s="5369"/>
      <c r="D7" s="5369"/>
      <c r="E7" s="5369"/>
      <c r="F7" s="5369"/>
      <c r="G7" s="3530" t="s">
        <v>870</v>
      </c>
      <c r="H7" s="3530"/>
      <c r="I7" s="3530" t="str">
        <f>"CA net pour "
&amp; AbrevClient</f>
        <v xml:space="preserve">CA net pour EQUNIX </v>
      </c>
      <c r="J7" s="3530"/>
      <c r="K7" s="3530" t="s">
        <v>871</v>
      </c>
      <c r="L7" s="3530"/>
      <c r="M7" s="3530" t="s">
        <v>18</v>
      </c>
      <c r="N7" s="3530"/>
      <c r="O7" s="3530"/>
      <c r="P7" s="3624"/>
      <c r="Q7" s="705"/>
      <c r="R7" s="1607"/>
      <c r="U7" s="75"/>
      <c r="V7" s="75"/>
      <c r="W7" s="76"/>
      <c r="X7" s="77"/>
      <c r="Y7" s="78"/>
      <c r="Z7" s="75"/>
      <c r="AA7" s="75"/>
      <c r="AB7" s="75"/>
      <c r="AC7" s="75"/>
      <c r="AD7" s="75"/>
      <c r="AE7" s="75"/>
    </row>
    <row r="8" spans="1:31" ht="9" customHeight="1" thickBot="1" x14ac:dyDescent="0.4">
      <c r="A8" s="1572"/>
      <c r="B8" s="5363"/>
      <c r="C8" s="5364"/>
      <c r="D8" s="5364"/>
      <c r="E8" s="5364"/>
      <c r="F8" s="5364"/>
      <c r="G8" s="5364"/>
      <c r="H8" s="5364"/>
      <c r="I8" s="3700"/>
      <c r="J8" s="3700"/>
      <c r="K8" s="5364"/>
      <c r="L8" s="5364"/>
      <c r="M8" s="5364"/>
      <c r="N8" s="5364"/>
      <c r="O8" s="5364"/>
      <c r="P8" s="5365"/>
      <c r="Q8" s="463"/>
      <c r="R8" s="63"/>
      <c r="U8" s="66"/>
      <c r="V8" s="66"/>
      <c r="W8" s="72"/>
      <c r="X8" s="79"/>
      <c r="Y8" s="73"/>
      <c r="Z8" s="66"/>
      <c r="AA8" s="66"/>
      <c r="AB8" s="66"/>
      <c r="AC8" s="66"/>
      <c r="AD8" s="66"/>
      <c r="AE8" s="66"/>
    </row>
    <row r="9" spans="1:31" s="65" customFormat="1" ht="39.75" customHeight="1" thickBot="1" x14ac:dyDescent="0.4">
      <c r="A9" s="706"/>
      <c r="B9" s="3698" t="str">
        <f>"CA issu de l'offre " &amp; AbrevClient</f>
        <v xml:space="preserve">CA issu de l'offre EQUNIX </v>
      </c>
      <c r="C9" s="3699"/>
      <c r="D9" s="3699"/>
      <c r="E9" s="3699"/>
      <c r="F9" s="3699"/>
      <c r="G9" s="3557" t="s">
        <v>775</v>
      </c>
      <c r="H9" s="3558"/>
      <c r="I9" s="707" t="s">
        <v>902</v>
      </c>
      <c r="J9" s="734">
        <v>0.35</v>
      </c>
      <c r="K9" s="708"/>
      <c r="L9" s="708"/>
      <c r="M9" s="708"/>
      <c r="N9" s="708"/>
      <c r="O9" s="708"/>
      <c r="P9" s="709"/>
      <c r="Q9" s="398"/>
      <c r="U9" s="80"/>
      <c r="V9" s="80"/>
      <c r="W9" s="81"/>
      <c r="X9" s="82"/>
      <c r="Y9" s="83"/>
      <c r="Z9" s="80"/>
      <c r="AA9" s="80"/>
      <c r="AB9" s="80"/>
      <c r="AC9" s="80"/>
      <c r="AD9" s="80"/>
      <c r="AE9" s="80"/>
    </row>
    <row r="10" spans="1:31" s="65" customFormat="1" ht="18" customHeight="1" x14ac:dyDescent="0.35">
      <c r="A10" s="452"/>
      <c r="B10" s="3688" t="s">
        <v>1843</v>
      </c>
      <c r="C10" s="3689"/>
      <c r="D10" s="3689"/>
      <c r="E10" s="3689"/>
      <c r="F10" s="3690"/>
      <c r="G10" s="5320">
        <f>SUM(G11:H15)</f>
        <v>10000</v>
      </c>
      <c r="H10" s="5321"/>
      <c r="I10" s="5366">
        <f>SUM(I11:J15)</f>
        <v>6500</v>
      </c>
      <c r="J10" s="5366"/>
      <c r="K10" s="5367">
        <f>SUM(K11:L15)</f>
        <v>3500</v>
      </c>
      <c r="L10" s="5367"/>
      <c r="M10" s="3675"/>
      <c r="N10" s="3676"/>
      <c r="O10" s="3676"/>
      <c r="P10" s="3677"/>
      <c r="Q10" s="398"/>
      <c r="U10" s="80"/>
      <c r="V10" s="80"/>
      <c r="W10" s="81"/>
      <c r="X10" s="13"/>
      <c r="Y10" s="83"/>
      <c r="Z10" s="80"/>
      <c r="AA10" s="80"/>
      <c r="AB10" s="80"/>
      <c r="AC10" s="80"/>
      <c r="AD10" s="80"/>
      <c r="AE10" s="80"/>
    </row>
    <row r="11" spans="1:31" s="65" customFormat="1" ht="18" customHeight="1" x14ac:dyDescent="0.35">
      <c r="A11" s="452"/>
      <c r="B11" s="3681" t="s">
        <v>1807</v>
      </c>
      <c r="C11" s="3682"/>
      <c r="D11" s="3682"/>
      <c r="E11" s="3682"/>
      <c r="F11" s="3682"/>
      <c r="G11" s="3545">
        <v>2500</v>
      </c>
      <c r="H11" s="3546"/>
      <c r="I11" s="3708">
        <f>G11-K11</f>
        <v>1625</v>
      </c>
      <c r="J11" s="3708"/>
      <c r="K11" s="5314">
        <f>G11*$J$9</f>
        <v>875</v>
      </c>
      <c r="L11" s="5314"/>
      <c r="M11" s="3675" t="s">
        <v>1801</v>
      </c>
      <c r="N11" s="3676"/>
      <c r="O11" s="3676"/>
      <c r="P11" s="3677"/>
      <c r="Q11" s="398"/>
      <c r="U11" s="80"/>
      <c r="V11" s="80"/>
      <c r="W11" s="81"/>
      <c r="X11" s="13"/>
      <c r="Y11" s="83"/>
      <c r="Z11" s="80"/>
      <c r="AA11" s="80"/>
      <c r="AB11" s="80"/>
      <c r="AC11" s="80"/>
      <c r="AD11" s="80"/>
      <c r="AE11" s="80"/>
    </row>
    <row r="12" spans="1:31" s="65" customFormat="1" ht="18" customHeight="1" x14ac:dyDescent="0.35">
      <c r="A12" s="452"/>
      <c r="B12" s="3681" t="s">
        <v>1803</v>
      </c>
      <c r="C12" s="3682"/>
      <c r="D12" s="3682"/>
      <c r="E12" s="3682"/>
      <c r="F12" s="3682"/>
      <c r="G12" s="3545">
        <v>1100</v>
      </c>
      <c r="H12" s="3546"/>
      <c r="I12" s="3708">
        <f>G12-K12</f>
        <v>715</v>
      </c>
      <c r="J12" s="3708"/>
      <c r="K12" s="5314">
        <f>G12*$J$9</f>
        <v>385</v>
      </c>
      <c r="L12" s="5314"/>
      <c r="M12" s="2106"/>
      <c r="N12" s="2107"/>
      <c r="O12" s="2107"/>
      <c r="P12" s="2108"/>
      <c r="Q12" s="398"/>
      <c r="U12" s="80"/>
      <c r="V12" s="80"/>
      <c r="W12" s="81"/>
      <c r="X12" s="13"/>
      <c r="Y12" s="83"/>
      <c r="Z12" s="80"/>
      <c r="AA12" s="80"/>
      <c r="AB12" s="80"/>
      <c r="AC12" s="80"/>
      <c r="AD12" s="80"/>
      <c r="AE12" s="80"/>
    </row>
    <row r="13" spans="1:31" s="65" customFormat="1" ht="18" customHeight="1" x14ac:dyDescent="0.35">
      <c r="A13" s="452"/>
      <c r="B13" s="3681" t="s">
        <v>1802</v>
      </c>
      <c r="C13" s="3682"/>
      <c r="D13" s="3682"/>
      <c r="E13" s="3682"/>
      <c r="F13" s="3682"/>
      <c r="G13" s="3545">
        <v>2900</v>
      </c>
      <c r="H13" s="3546"/>
      <c r="I13" s="3708">
        <f>G13-K13</f>
        <v>1885</v>
      </c>
      <c r="J13" s="3708"/>
      <c r="K13" s="5314">
        <f>G13*$J$9</f>
        <v>1014.9999999999999</v>
      </c>
      <c r="L13" s="5314"/>
      <c r="M13" s="2106"/>
      <c r="N13" s="2107"/>
      <c r="O13" s="2107"/>
      <c r="P13" s="2108"/>
      <c r="Q13" s="398"/>
      <c r="U13" s="80"/>
      <c r="V13" s="80"/>
      <c r="W13" s="81"/>
      <c r="X13" s="13"/>
      <c r="Y13" s="83"/>
      <c r="Z13" s="80"/>
      <c r="AA13" s="80"/>
      <c r="AB13" s="80"/>
      <c r="AC13" s="80"/>
      <c r="AD13" s="80"/>
      <c r="AE13" s="80"/>
    </row>
    <row r="14" spans="1:31" s="65" customFormat="1" ht="18" customHeight="1" x14ac:dyDescent="0.35">
      <c r="A14" s="452"/>
      <c r="B14" s="3681" t="s">
        <v>1844</v>
      </c>
      <c r="C14" s="3682"/>
      <c r="D14" s="3682"/>
      <c r="E14" s="3682"/>
      <c r="F14" s="3682"/>
      <c r="G14" s="3545">
        <v>1500</v>
      </c>
      <c r="H14" s="3546"/>
      <c r="I14" s="3708">
        <f>G14-K14</f>
        <v>975</v>
      </c>
      <c r="J14" s="3708"/>
      <c r="K14" s="5314">
        <f>G14*$J$9</f>
        <v>525</v>
      </c>
      <c r="L14" s="5314"/>
      <c r="M14" s="2106"/>
      <c r="N14" s="2107"/>
      <c r="O14" s="2107"/>
      <c r="P14" s="2108"/>
      <c r="Q14" s="398"/>
      <c r="U14" s="80"/>
      <c r="V14" s="80"/>
      <c r="W14" s="81"/>
      <c r="X14" s="13"/>
      <c r="Y14" s="83"/>
      <c r="Z14" s="80"/>
      <c r="AA14" s="80"/>
      <c r="AB14" s="80"/>
      <c r="AC14" s="80"/>
      <c r="AD14" s="80"/>
      <c r="AE14" s="80"/>
    </row>
    <row r="15" spans="1:31" s="65" customFormat="1" ht="14.65" customHeight="1" x14ac:dyDescent="0.35">
      <c r="B15" s="3681" t="s">
        <v>1845</v>
      </c>
      <c r="C15" s="3682"/>
      <c r="D15" s="3682"/>
      <c r="E15" s="3682"/>
      <c r="F15" s="3682"/>
      <c r="G15" s="3545">
        <v>2000</v>
      </c>
      <c r="H15" s="3546"/>
      <c r="I15" s="3708">
        <f>G15-K15</f>
        <v>1300</v>
      </c>
      <c r="J15" s="3708"/>
      <c r="K15" s="5314">
        <f>G15*$J$9</f>
        <v>700</v>
      </c>
      <c r="L15" s="5314"/>
      <c r="M15" s="2109"/>
      <c r="N15" s="2110"/>
      <c r="O15" s="2110"/>
      <c r="P15" s="2111"/>
      <c r="Q15" s="398"/>
      <c r="U15" s="80"/>
      <c r="V15" s="80"/>
      <c r="W15" s="81"/>
      <c r="X15" s="13"/>
      <c r="Y15" s="83"/>
      <c r="Z15" s="80"/>
      <c r="AA15" s="80"/>
      <c r="AB15" s="80"/>
      <c r="AC15" s="80"/>
      <c r="AD15" s="80"/>
      <c r="AE15" s="80"/>
    </row>
    <row r="16" spans="1:31" s="65" customFormat="1" ht="14.65" customHeight="1" x14ac:dyDescent="0.35">
      <c r="A16" s="1366" t="s">
        <v>1372</v>
      </c>
      <c r="B16" s="3710"/>
      <c r="C16" s="3711"/>
      <c r="D16" s="3711"/>
      <c r="E16" s="3711"/>
      <c r="F16" s="3711"/>
      <c r="G16" s="3711"/>
      <c r="H16" s="3711"/>
      <c r="I16" s="3711"/>
      <c r="J16" s="3711"/>
      <c r="K16" s="3711"/>
      <c r="L16" s="3712"/>
      <c r="M16" s="2109"/>
      <c r="N16" s="2110"/>
      <c r="O16" s="2110"/>
      <c r="P16" s="2111"/>
      <c r="Q16" s="398"/>
      <c r="U16" s="80"/>
      <c r="V16" s="80"/>
      <c r="W16" s="81"/>
      <c r="X16" s="13"/>
      <c r="Y16" s="83"/>
      <c r="Z16" s="80"/>
      <c r="AA16" s="80"/>
      <c r="AB16" s="80"/>
      <c r="AC16" s="80"/>
      <c r="AD16" s="80"/>
      <c r="AE16" s="80"/>
    </row>
    <row r="17" spans="1:31" s="65" customFormat="1" ht="18" customHeight="1" x14ac:dyDescent="0.35">
      <c r="B17" s="3688" t="s">
        <v>1842</v>
      </c>
      <c r="C17" s="3689"/>
      <c r="D17" s="3689"/>
      <c r="E17" s="3689"/>
      <c r="F17" s="3690"/>
      <c r="G17" s="5320">
        <f>SUM(G18:H22)</f>
        <v>2000</v>
      </c>
      <c r="H17" s="5321"/>
      <c r="I17" s="5320">
        <f>SUM(I18:J22)</f>
        <v>1300</v>
      </c>
      <c r="J17" s="5321"/>
      <c r="K17" s="5320">
        <f>SUM(K18:L22)</f>
        <v>700</v>
      </c>
      <c r="L17" s="5321"/>
      <c r="M17" s="5322"/>
      <c r="N17" s="5323"/>
      <c r="O17" s="5323"/>
      <c r="P17" s="5324"/>
      <c r="Q17" s="398"/>
      <c r="U17" s="80"/>
      <c r="V17" s="80"/>
      <c r="W17" s="81"/>
      <c r="X17" s="13"/>
      <c r="Y17" s="83"/>
      <c r="Z17" s="80"/>
      <c r="AA17" s="80"/>
      <c r="AB17" s="80"/>
      <c r="AC17" s="80"/>
      <c r="AD17" s="80"/>
      <c r="AE17" s="80"/>
    </row>
    <row r="18" spans="1:31" s="65" customFormat="1" ht="18" customHeight="1" x14ac:dyDescent="0.35">
      <c r="B18" s="3542" t="s">
        <v>1805</v>
      </c>
      <c r="C18" s="3543"/>
      <c r="D18" s="3543"/>
      <c r="E18" s="3543"/>
      <c r="F18" s="3544"/>
      <c r="G18" s="3545">
        <v>400</v>
      </c>
      <c r="H18" s="3546"/>
      <c r="I18" s="5315">
        <f>G18-K18</f>
        <v>260</v>
      </c>
      <c r="J18" s="5316"/>
      <c r="K18" s="5314">
        <f>G18*$J$9</f>
        <v>140</v>
      </c>
      <c r="L18" s="5314"/>
      <c r="M18" s="2109"/>
      <c r="N18" s="2110"/>
      <c r="O18" s="2110"/>
      <c r="P18" s="2111"/>
      <c r="Q18" s="398"/>
      <c r="U18" s="80"/>
      <c r="V18" s="80"/>
      <c r="W18" s="81"/>
      <c r="X18" s="13"/>
      <c r="Y18" s="83"/>
      <c r="Z18" s="80"/>
      <c r="AA18" s="80"/>
      <c r="AB18" s="80"/>
      <c r="AC18" s="80"/>
      <c r="AD18" s="80"/>
      <c r="AE18" s="80"/>
    </row>
    <row r="19" spans="1:31" s="65" customFormat="1" ht="18" customHeight="1" x14ac:dyDescent="0.35">
      <c r="B19" s="3542" t="s">
        <v>1806</v>
      </c>
      <c r="C19" s="3543"/>
      <c r="D19" s="3543"/>
      <c r="E19" s="3543"/>
      <c r="F19" s="3544"/>
      <c r="G19" s="3545">
        <v>449</v>
      </c>
      <c r="H19" s="3546"/>
      <c r="I19" s="5315">
        <f>G19-K19</f>
        <v>291.85000000000002</v>
      </c>
      <c r="J19" s="5316"/>
      <c r="K19" s="5314">
        <f>G19*$J$9</f>
        <v>157.14999999999998</v>
      </c>
      <c r="L19" s="5314"/>
      <c r="M19" s="3675" t="s">
        <v>1801</v>
      </c>
      <c r="N19" s="3676"/>
      <c r="O19" s="3676"/>
      <c r="P19" s="3677"/>
      <c r="Q19" s="398"/>
      <c r="U19" s="80"/>
      <c r="V19" s="80"/>
      <c r="W19" s="81"/>
      <c r="X19" s="13"/>
      <c r="Y19" s="83"/>
      <c r="Z19" s="80"/>
      <c r="AA19" s="80"/>
      <c r="AB19" s="80"/>
      <c r="AC19" s="80"/>
      <c r="AD19" s="80"/>
      <c r="AE19" s="80"/>
    </row>
    <row r="20" spans="1:31" s="65" customFormat="1" ht="18" customHeight="1" x14ac:dyDescent="0.35">
      <c r="B20" s="3542" t="s">
        <v>1804</v>
      </c>
      <c r="C20" s="3543"/>
      <c r="D20" s="3543"/>
      <c r="E20" s="3543"/>
      <c r="F20" s="3544"/>
      <c r="G20" s="3545">
        <v>530</v>
      </c>
      <c r="H20" s="3546"/>
      <c r="I20" s="5315">
        <f>G20-K20</f>
        <v>344.5</v>
      </c>
      <c r="J20" s="5316"/>
      <c r="K20" s="5314">
        <f>G20*$J$9</f>
        <v>185.5</v>
      </c>
      <c r="L20" s="5314"/>
      <c r="M20" s="2106" t="s">
        <v>1810</v>
      </c>
      <c r="N20" s="2110"/>
      <c r="O20" s="2110"/>
      <c r="P20" s="2111"/>
      <c r="Q20" s="398"/>
      <c r="U20" s="80"/>
      <c r="V20" s="80"/>
      <c r="W20" s="81"/>
      <c r="X20" s="13"/>
      <c r="Y20" s="83"/>
      <c r="Z20" s="80"/>
      <c r="AA20" s="80"/>
      <c r="AB20" s="80"/>
      <c r="AC20" s="80"/>
      <c r="AD20" s="80"/>
      <c r="AE20" s="80"/>
    </row>
    <row r="21" spans="1:31" s="65" customFormat="1" ht="18" customHeight="1" x14ac:dyDescent="0.35">
      <c r="B21" s="2103"/>
      <c r="C21" s="2104"/>
      <c r="D21" s="2104"/>
      <c r="E21" s="2104"/>
      <c r="F21" s="2105"/>
      <c r="G21" s="3545">
        <v>221</v>
      </c>
      <c r="H21" s="3546"/>
      <c r="I21" s="5315">
        <f>G21-K21</f>
        <v>143.65</v>
      </c>
      <c r="J21" s="5316"/>
      <c r="K21" s="5314">
        <f>G21*$J$9</f>
        <v>77.349999999999994</v>
      </c>
      <c r="L21" s="5314"/>
      <c r="M21" s="2106"/>
      <c r="N21" s="2107"/>
      <c r="O21" s="2107"/>
      <c r="P21" s="2108"/>
      <c r="Q21" s="398"/>
      <c r="U21" s="80"/>
      <c r="V21" s="80"/>
      <c r="W21" s="81"/>
      <c r="X21" s="13"/>
      <c r="Y21" s="83"/>
      <c r="Z21" s="80"/>
      <c r="AA21" s="80"/>
      <c r="AB21" s="80"/>
      <c r="AC21" s="80"/>
      <c r="AD21" s="80"/>
      <c r="AE21" s="80"/>
    </row>
    <row r="22" spans="1:31" s="65" customFormat="1" ht="18" customHeight="1" x14ac:dyDescent="0.35">
      <c r="B22" s="3542"/>
      <c r="C22" s="3543"/>
      <c r="D22" s="3543"/>
      <c r="E22" s="3543"/>
      <c r="F22" s="3544"/>
      <c r="G22" s="3545">
        <v>400</v>
      </c>
      <c r="H22" s="3546"/>
      <c r="I22" s="5315">
        <f>G22-K22</f>
        <v>260</v>
      </c>
      <c r="J22" s="5316"/>
      <c r="K22" s="5314">
        <f>G22*$J$9</f>
        <v>140</v>
      </c>
      <c r="L22" s="5314"/>
      <c r="M22" s="2106"/>
      <c r="N22" s="2110"/>
      <c r="O22" s="2110"/>
      <c r="P22" s="2111"/>
      <c r="Q22" s="398"/>
      <c r="U22" s="80"/>
      <c r="V22" s="80"/>
      <c r="W22" s="81"/>
      <c r="X22" s="13"/>
      <c r="Y22" s="83"/>
      <c r="Z22" s="80"/>
      <c r="AA22" s="80"/>
      <c r="AB22" s="80"/>
      <c r="AC22" s="80"/>
      <c r="AD22" s="80"/>
      <c r="AE22" s="80"/>
    </row>
    <row r="23" spans="1:31" s="65" customFormat="1" ht="12" customHeight="1" x14ac:dyDescent="0.35">
      <c r="A23" s="1374"/>
      <c r="B23" s="1367"/>
      <c r="C23" s="1368"/>
      <c r="D23" s="1368"/>
      <c r="E23" s="1368"/>
      <c r="F23" s="1369"/>
      <c r="G23" s="2112"/>
      <c r="H23" s="2113"/>
      <c r="I23" s="5317"/>
      <c r="J23" s="5318"/>
      <c r="K23" s="5319"/>
      <c r="L23" s="5319"/>
      <c r="M23" s="2109"/>
      <c r="N23" s="2110"/>
      <c r="O23" s="2110"/>
      <c r="P23" s="2111"/>
      <c r="Q23" s="398"/>
      <c r="U23" s="80"/>
      <c r="V23" s="80"/>
      <c r="W23" s="81"/>
      <c r="X23" s="13"/>
      <c r="Y23" s="83"/>
      <c r="Z23" s="80"/>
      <c r="AA23" s="80"/>
      <c r="AB23" s="80"/>
      <c r="AC23" s="80"/>
      <c r="AD23" s="80"/>
      <c r="AE23" s="80"/>
    </row>
    <row r="24" spans="1:31" s="65" customFormat="1" ht="18" customHeight="1" x14ac:dyDescent="0.35">
      <c r="A24" s="706"/>
      <c r="B24" s="5310"/>
      <c r="C24" s="5311"/>
      <c r="D24" s="5311"/>
      <c r="E24" s="5311"/>
      <c r="F24" s="5311"/>
      <c r="G24" s="5312"/>
      <c r="H24" s="5313"/>
      <c r="I24" s="3708">
        <f>G24-K24</f>
        <v>0</v>
      </c>
      <c r="J24" s="3708"/>
      <c r="K24" s="5314">
        <f>G24*$J$9</f>
        <v>0</v>
      </c>
      <c r="L24" s="5314"/>
      <c r="M24" s="3657"/>
      <c r="N24" s="3657"/>
      <c r="O24" s="3657"/>
      <c r="P24" s="3658"/>
      <c r="Q24" s="398"/>
      <c r="U24" s="80"/>
      <c r="V24" s="80"/>
      <c r="W24" s="81"/>
      <c r="X24" s="13"/>
      <c r="Y24" s="83"/>
      <c r="Z24" s="80"/>
      <c r="AA24" s="80"/>
      <c r="AB24" s="80"/>
      <c r="AC24" s="80"/>
      <c r="AD24" s="80"/>
      <c r="AE24" s="80"/>
    </row>
    <row r="25" spans="1:31" s="65" customFormat="1" ht="18" customHeight="1" x14ac:dyDescent="0.35">
      <c r="A25" s="706"/>
      <c r="B25" s="3524" t="s">
        <v>535</v>
      </c>
      <c r="C25" s="3525"/>
      <c r="D25" s="3525"/>
      <c r="E25" s="3525"/>
      <c r="F25" s="3526"/>
      <c r="G25" s="3722">
        <f>G17+G10</f>
        <v>12000</v>
      </c>
      <c r="H25" s="3722"/>
      <c r="I25" s="3722">
        <f>I17+I10</f>
        <v>7800</v>
      </c>
      <c r="J25" s="3722"/>
      <c r="K25" s="3722">
        <f>K17+K10</f>
        <v>4200</v>
      </c>
      <c r="L25" s="3722"/>
      <c r="M25" s="3720"/>
      <c r="N25" s="3720"/>
      <c r="O25" s="3720"/>
      <c r="P25" s="3721"/>
      <c r="Q25" s="398"/>
      <c r="U25" s="80"/>
      <c r="V25" s="80"/>
      <c r="W25" s="81"/>
      <c r="X25" s="13"/>
      <c r="Y25" s="83"/>
      <c r="Z25" s="80"/>
      <c r="AA25" s="80"/>
      <c r="AB25" s="80"/>
      <c r="AC25" s="80"/>
      <c r="AD25" s="80"/>
      <c r="AE25" s="80"/>
    </row>
    <row r="26" spans="1:31" s="65" customFormat="1" ht="9" customHeight="1" x14ac:dyDescent="0.35">
      <c r="A26" s="706"/>
      <c r="B26" s="3713"/>
      <c r="C26" s="3714"/>
      <c r="D26" s="3714"/>
      <c r="E26" s="3714"/>
      <c r="F26" s="3714"/>
      <c r="G26" s="3714"/>
      <c r="H26" s="3714"/>
      <c r="I26" s="3714"/>
      <c r="J26" s="3714"/>
      <c r="K26" s="3714"/>
      <c r="L26" s="3714"/>
      <c r="M26" s="3714"/>
      <c r="N26" s="3714"/>
      <c r="O26" s="3714"/>
      <c r="P26" s="3715"/>
      <c r="Q26" s="398"/>
      <c r="U26" s="80"/>
      <c r="V26" s="80"/>
      <c r="W26" s="81"/>
      <c r="X26" s="13"/>
      <c r="Y26" s="83"/>
      <c r="Z26" s="80"/>
      <c r="AA26" s="80"/>
      <c r="AB26" s="80"/>
      <c r="AC26" s="80"/>
      <c r="AD26" s="80"/>
      <c r="AE26" s="80"/>
    </row>
    <row r="27" spans="1:31" s="65" customFormat="1" ht="30.75" customHeight="1" x14ac:dyDescent="0.35">
      <c r="A27" s="706"/>
      <c r="B27" s="3698" t="s">
        <v>872</v>
      </c>
      <c r="C27" s="3699"/>
      <c r="D27" s="3699"/>
      <c r="E27" s="3699"/>
      <c r="F27" s="3699"/>
      <c r="G27" s="3560" t="s">
        <v>1318</v>
      </c>
      <c r="H27" s="3560"/>
      <c r="I27" s="3560" t="s">
        <v>867</v>
      </c>
      <c r="J27" s="3560"/>
      <c r="K27" s="3560" t="s">
        <v>1246</v>
      </c>
      <c r="L27" s="3560"/>
      <c r="M27" s="708"/>
      <c r="N27" s="708"/>
      <c r="O27" s="708"/>
      <c r="P27" s="709"/>
      <c r="Q27" s="398"/>
      <c r="U27" s="80"/>
      <c r="V27" s="80"/>
      <c r="W27" s="81"/>
      <c r="X27" s="13"/>
      <c r="Y27" s="83"/>
      <c r="Z27" s="80"/>
      <c r="AA27" s="80"/>
      <c r="AB27" s="80"/>
      <c r="AC27" s="80"/>
      <c r="AD27" s="80"/>
      <c r="AE27" s="80"/>
    </row>
    <row r="28" spans="1:31" s="65" customFormat="1" ht="18" customHeight="1" x14ac:dyDescent="0.35">
      <c r="A28" s="706"/>
      <c r="B28" s="5310" t="s">
        <v>103</v>
      </c>
      <c r="C28" s="5311"/>
      <c r="D28" s="5311"/>
      <c r="E28" s="5311"/>
      <c r="F28" s="5311"/>
      <c r="G28" s="5359">
        <v>1000</v>
      </c>
      <c r="H28" s="5360"/>
      <c r="I28" s="5361">
        <v>1</v>
      </c>
      <c r="J28" s="5361"/>
      <c r="K28" s="3638">
        <f>I28*G28</f>
        <v>1000</v>
      </c>
      <c r="L28" s="3639"/>
      <c r="M28" s="3720"/>
      <c r="N28" s="3720"/>
      <c r="O28" s="3720"/>
      <c r="P28" s="3721"/>
      <c r="Q28" s="398"/>
      <c r="U28" s="80"/>
      <c r="V28" s="80"/>
      <c r="W28" s="81"/>
      <c r="X28" s="13"/>
      <c r="Y28" s="83"/>
      <c r="Z28" s="80"/>
      <c r="AA28" s="80"/>
      <c r="AB28" s="80"/>
      <c r="AC28" s="80"/>
      <c r="AD28" s="80"/>
      <c r="AE28" s="80"/>
    </row>
    <row r="29" spans="1:31" s="65" customFormat="1" ht="18" customHeight="1" x14ac:dyDescent="0.35">
      <c r="A29" s="706"/>
      <c r="B29" s="5310" t="s">
        <v>1745</v>
      </c>
      <c r="C29" s="5311"/>
      <c r="D29" s="5311"/>
      <c r="E29" s="5311"/>
      <c r="F29" s="5311"/>
      <c r="G29" s="5359">
        <v>1000</v>
      </c>
      <c r="H29" s="5360"/>
      <c r="I29" s="5361">
        <v>0.5</v>
      </c>
      <c r="J29" s="5361"/>
      <c r="K29" s="3638">
        <f>I29*G29</f>
        <v>500</v>
      </c>
      <c r="L29" s="3639"/>
      <c r="M29" s="3720"/>
      <c r="N29" s="3720"/>
      <c r="O29" s="3720"/>
      <c r="P29" s="3721"/>
      <c r="Q29" s="398"/>
      <c r="U29" s="80"/>
      <c r="V29" s="80"/>
      <c r="W29" s="81"/>
      <c r="X29" s="13"/>
      <c r="Y29" s="83"/>
      <c r="Z29" s="80"/>
      <c r="AA29" s="80"/>
      <c r="AB29" s="80"/>
      <c r="AC29" s="80"/>
      <c r="AD29" s="80"/>
      <c r="AE29" s="80"/>
    </row>
    <row r="30" spans="1:31" s="65" customFormat="1" ht="18" customHeight="1" x14ac:dyDescent="0.35">
      <c r="A30" s="706"/>
      <c r="B30" s="5310" t="s">
        <v>1746</v>
      </c>
      <c r="C30" s="5311"/>
      <c r="D30" s="5311"/>
      <c r="E30" s="5311"/>
      <c r="F30" s="5311"/>
      <c r="G30" s="5359"/>
      <c r="H30" s="5360"/>
      <c r="I30" s="5361"/>
      <c r="J30" s="5361"/>
      <c r="K30" s="3638">
        <f>I30*G30</f>
        <v>0</v>
      </c>
      <c r="L30" s="3639"/>
      <c r="M30" s="3675"/>
      <c r="N30" s="3676"/>
      <c r="O30" s="3676"/>
      <c r="P30" s="3677"/>
      <c r="Q30" s="398"/>
      <c r="U30" s="80"/>
      <c r="V30" s="80"/>
      <c r="W30" s="81"/>
      <c r="X30" s="13"/>
      <c r="Y30" s="83"/>
      <c r="Z30" s="80"/>
      <c r="AA30" s="80"/>
      <c r="AB30" s="80"/>
      <c r="AC30" s="80"/>
      <c r="AD30" s="80"/>
      <c r="AE30" s="80"/>
    </row>
    <row r="31" spans="1:31" s="65" customFormat="1" ht="18" customHeight="1" x14ac:dyDescent="0.35">
      <c r="A31" s="706"/>
      <c r="B31" s="5310" t="s">
        <v>104</v>
      </c>
      <c r="C31" s="5311"/>
      <c r="D31" s="5311"/>
      <c r="E31" s="5311"/>
      <c r="F31" s="5311"/>
      <c r="G31" s="5359"/>
      <c r="H31" s="5360"/>
      <c r="I31" s="5361"/>
      <c r="J31" s="5361"/>
      <c r="K31" s="3638">
        <f t="shared" ref="K31:K36" si="0">G31*I31</f>
        <v>0</v>
      </c>
      <c r="L31" s="3639"/>
      <c r="M31" s="3675"/>
      <c r="N31" s="3676"/>
      <c r="O31" s="3676"/>
      <c r="P31" s="3677"/>
      <c r="Q31" s="398"/>
      <c r="U31" s="80"/>
      <c r="V31" s="80"/>
      <c r="W31" s="81"/>
      <c r="X31" s="13"/>
      <c r="Y31" s="83"/>
      <c r="Z31" s="80"/>
      <c r="AA31" s="80"/>
      <c r="AB31" s="80"/>
      <c r="AC31" s="80"/>
      <c r="AD31" s="80"/>
      <c r="AE31" s="80"/>
    </row>
    <row r="32" spans="1:31" s="65" customFormat="1" ht="18" customHeight="1" x14ac:dyDescent="0.35">
      <c r="A32" s="706"/>
      <c r="B32" s="5310" t="s">
        <v>105</v>
      </c>
      <c r="C32" s="5311"/>
      <c r="D32" s="5311"/>
      <c r="E32" s="5311"/>
      <c r="F32" s="5311"/>
      <c r="G32" s="5359"/>
      <c r="H32" s="5360"/>
      <c r="I32" s="5361"/>
      <c r="J32" s="5361"/>
      <c r="K32" s="3638">
        <f t="shared" si="0"/>
        <v>0</v>
      </c>
      <c r="L32" s="3639"/>
      <c r="M32" s="3675"/>
      <c r="N32" s="3676"/>
      <c r="O32" s="3676"/>
      <c r="P32" s="3677"/>
      <c r="Q32" s="398"/>
      <c r="U32" s="80"/>
      <c r="V32" s="80"/>
      <c r="W32" s="81"/>
      <c r="X32" s="13"/>
      <c r="Y32" s="83"/>
      <c r="Z32" s="80"/>
      <c r="AA32" s="80"/>
      <c r="AB32" s="80"/>
      <c r="AC32" s="80"/>
      <c r="AD32" s="80"/>
      <c r="AE32" s="80"/>
    </row>
    <row r="33" spans="1:31" s="65" customFormat="1" ht="18" customHeight="1" x14ac:dyDescent="0.35">
      <c r="A33" s="706"/>
      <c r="B33" s="5310" t="s">
        <v>106</v>
      </c>
      <c r="C33" s="5311"/>
      <c r="D33" s="5311"/>
      <c r="E33" s="5311"/>
      <c r="F33" s="5311"/>
      <c r="G33" s="5359"/>
      <c r="H33" s="5360"/>
      <c r="I33" s="5361"/>
      <c r="J33" s="5361"/>
      <c r="K33" s="3638">
        <f t="shared" si="0"/>
        <v>0</v>
      </c>
      <c r="L33" s="3639"/>
      <c r="M33" s="3720"/>
      <c r="N33" s="3720"/>
      <c r="O33" s="3720"/>
      <c r="P33" s="3721"/>
      <c r="Q33" s="398"/>
      <c r="U33" s="80"/>
      <c r="V33" s="80"/>
      <c r="W33" s="81"/>
      <c r="X33" s="13"/>
      <c r="Y33" s="83"/>
      <c r="Z33" s="80"/>
      <c r="AA33" s="80"/>
      <c r="AB33" s="80"/>
      <c r="AC33" s="80"/>
      <c r="AD33" s="80"/>
      <c r="AE33" s="80"/>
    </row>
    <row r="34" spans="1:31" s="65" customFormat="1" ht="18" customHeight="1" x14ac:dyDescent="0.35">
      <c r="A34" s="706"/>
      <c r="B34" s="5310" t="s">
        <v>972</v>
      </c>
      <c r="C34" s="5311"/>
      <c r="D34" s="5311"/>
      <c r="E34" s="5311"/>
      <c r="F34" s="5311"/>
      <c r="G34" s="5359"/>
      <c r="H34" s="5360"/>
      <c r="I34" s="5361"/>
      <c r="J34" s="5361"/>
      <c r="K34" s="3638">
        <f t="shared" si="0"/>
        <v>0</v>
      </c>
      <c r="L34" s="3639"/>
      <c r="M34" s="3720"/>
      <c r="N34" s="3720"/>
      <c r="O34" s="3720"/>
      <c r="P34" s="3721"/>
      <c r="Q34" s="398"/>
      <c r="U34" s="80"/>
      <c r="V34" s="80"/>
      <c r="W34" s="81"/>
      <c r="X34" s="13"/>
      <c r="Y34" s="83"/>
      <c r="Z34" s="80"/>
      <c r="AA34" s="80"/>
      <c r="AB34" s="80"/>
      <c r="AC34" s="80"/>
      <c r="AD34" s="80"/>
      <c r="AE34" s="80"/>
    </row>
    <row r="35" spans="1:31" s="65" customFormat="1" ht="18" customHeight="1" x14ac:dyDescent="0.35">
      <c r="A35" s="706"/>
      <c r="B35" s="5310" t="s">
        <v>1320</v>
      </c>
      <c r="C35" s="5311"/>
      <c r="D35" s="5311"/>
      <c r="E35" s="5311"/>
      <c r="F35" s="5311"/>
      <c r="G35" s="5359"/>
      <c r="H35" s="5360"/>
      <c r="I35" s="5361"/>
      <c r="J35" s="5361"/>
      <c r="K35" s="3638">
        <f t="shared" si="0"/>
        <v>0</v>
      </c>
      <c r="L35" s="3639"/>
      <c r="M35" s="3720"/>
      <c r="N35" s="3720"/>
      <c r="O35" s="3720"/>
      <c r="P35" s="3721"/>
      <c r="Q35" s="398"/>
      <c r="U35" s="80"/>
      <c r="V35" s="80"/>
      <c r="W35" s="81"/>
      <c r="X35" s="13"/>
      <c r="Y35" s="83"/>
      <c r="Z35" s="80"/>
      <c r="AA35" s="80"/>
      <c r="AB35" s="80"/>
      <c r="AC35" s="80"/>
      <c r="AD35" s="80"/>
      <c r="AE35" s="80"/>
    </row>
    <row r="36" spans="1:31" s="65" customFormat="1" ht="18" customHeight="1" x14ac:dyDescent="0.35">
      <c r="A36" s="706"/>
      <c r="B36" s="5310" t="s">
        <v>1319</v>
      </c>
      <c r="C36" s="5311"/>
      <c r="D36" s="5311"/>
      <c r="E36" s="5311"/>
      <c r="F36" s="5311"/>
      <c r="G36" s="5359"/>
      <c r="H36" s="5360"/>
      <c r="I36" s="5361"/>
      <c r="J36" s="5361"/>
      <c r="K36" s="3638">
        <f t="shared" si="0"/>
        <v>0</v>
      </c>
      <c r="L36" s="3639"/>
      <c r="M36" s="3720"/>
      <c r="N36" s="3720"/>
      <c r="O36" s="3720"/>
      <c r="P36" s="3721"/>
      <c r="Q36" s="398"/>
      <c r="U36" s="80"/>
      <c r="V36" s="80"/>
      <c r="W36" s="81"/>
      <c r="X36" s="13"/>
      <c r="Y36" s="83"/>
      <c r="Z36" s="80"/>
      <c r="AA36" s="80"/>
      <c r="AB36" s="80"/>
      <c r="AC36" s="80"/>
      <c r="AD36" s="80"/>
      <c r="AE36" s="80"/>
    </row>
    <row r="37" spans="1:31" s="65" customFormat="1" ht="12" customHeight="1" x14ac:dyDescent="0.35">
      <c r="A37" s="706"/>
      <c r="B37" s="5310"/>
      <c r="C37" s="5311"/>
      <c r="D37" s="5311"/>
      <c r="E37" s="5311"/>
      <c r="F37" s="5311"/>
      <c r="G37" s="5359"/>
      <c r="H37" s="5360"/>
      <c r="I37" s="5362"/>
      <c r="J37" s="5362"/>
      <c r="K37" s="3638"/>
      <c r="L37" s="3639"/>
      <c r="M37" s="3720"/>
      <c r="N37" s="3720"/>
      <c r="O37" s="3720"/>
      <c r="P37" s="3721"/>
      <c r="Q37" s="398"/>
      <c r="U37" s="80"/>
      <c r="V37" s="80"/>
      <c r="W37" s="81"/>
      <c r="X37" s="13"/>
      <c r="Y37" s="83"/>
      <c r="Z37" s="80"/>
      <c r="AA37" s="80"/>
      <c r="AB37" s="80"/>
      <c r="AC37" s="80"/>
      <c r="AD37" s="80"/>
      <c r="AE37" s="80"/>
    </row>
    <row r="38" spans="1:31" s="65" customFormat="1" ht="18" customHeight="1" x14ac:dyDescent="0.35">
      <c r="A38" s="706"/>
      <c r="B38" s="5310" t="s">
        <v>1748</v>
      </c>
      <c r="C38" s="5311"/>
      <c r="D38" s="5311"/>
      <c r="E38" s="5311"/>
      <c r="F38" s="5311"/>
      <c r="G38" s="3659"/>
      <c r="H38" s="3660"/>
      <c r="I38" s="3661"/>
      <c r="J38" s="3661"/>
      <c r="K38" s="5355">
        <v>1000</v>
      </c>
      <c r="L38" s="5356"/>
      <c r="M38" s="3675"/>
      <c r="N38" s="3676"/>
      <c r="O38" s="3676"/>
      <c r="P38" s="3677"/>
      <c r="Q38" s="398"/>
      <c r="U38" s="80"/>
      <c r="V38" s="80"/>
      <c r="W38" s="81"/>
      <c r="X38" s="13"/>
      <c r="Y38" s="83"/>
      <c r="Z38" s="80"/>
      <c r="AA38" s="80"/>
      <c r="AB38" s="80"/>
      <c r="AC38" s="80"/>
      <c r="AD38" s="80"/>
      <c r="AE38" s="80"/>
    </row>
    <row r="39" spans="1:31" s="65" customFormat="1" ht="18" customHeight="1" x14ac:dyDescent="0.35">
      <c r="A39" s="706"/>
      <c r="B39" s="5310" t="s">
        <v>1747</v>
      </c>
      <c r="C39" s="5311"/>
      <c r="D39" s="5311"/>
      <c r="E39" s="5311"/>
      <c r="F39" s="5311"/>
      <c r="G39" s="3659"/>
      <c r="H39" s="3660"/>
      <c r="I39" s="3661"/>
      <c r="J39" s="3661"/>
      <c r="K39" s="5355">
        <v>500</v>
      </c>
      <c r="L39" s="5356"/>
      <c r="M39" s="3720"/>
      <c r="N39" s="3720"/>
      <c r="O39" s="3720"/>
      <c r="P39" s="3721"/>
      <c r="Q39" s="398"/>
      <c r="U39" s="80"/>
      <c r="V39" s="80"/>
      <c r="W39" s="81"/>
      <c r="X39" s="13"/>
      <c r="Y39" s="83"/>
      <c r="Z39" s="80"/>
      <c r="AA39" s="80"/>
      <c r="AB39" s="80"/>
      <c r="AC39" s="80"/>
      <c r="AD39" s="80"/>
      <c r="AE39" s="80"/>
    </row>
    <row r="40" spans="1:31" s="65" customFormat="1" ht="18" customHeight="1" x14ac:dyDescent="0.35">
      <c r="A40" s="706"/>
      <c r="B40" s="5310" t="s">
        <v>107</v>
      </c>
      <c r="C40" s="5311"/>
      <c r="D40" s="5311"/>
      <c r="E40" s="5311"/>
      <c r="F40" s="5311"/>
      <c r="G40" s="3659"/>
      <c r="H40" s="3660"/>
      <c r="I40" s="3661"/>
      <c r="J40" s="3661"/>
      <c r="K40" s="5355"/>
      <c r="L40" s="5356"/>
      <c r="M40" s="3720"/>
      <c r="N40" s="3720"/>
      <c r="O40" s="3720"/>
      <c r="P40" s="3721"/>
      <c r="Q40" s="398"/>
      <c r="U40" s="80"/>
      <c r="V40" s="80"/>
      <c r="W40" s="81"/>
      <c r="X40" s="13"/>
      <c r="Y40" s="83"/>
      <c r="Z40" s="80"/>
      <c r="AA40" s="80"/>
      <c r="AB40" s="80"/>
      <c r="AC40" s="80"/>
      <c r="AD40" s="80"/>
      <c r="AE40" s="80"/>
    </row>
    <row r="41" spans="1:31" s="65" customFormat="1" ht="18" customHeight="1" x14ac:dyDescent="0.35">
      <c r="A41" s="706"/>
      <c r="B41" s="5310" t="s">
        <v>128</v>
      </c>
      <c r="C41" s="5311"/>
      <c r="D41" s="5311"/>
      <c r="E41" s="5311"/>
      <c r="F41" s="5311"/>
      <c r="G41" s="3659"/>
      <c r="H41" s="3660"/>
      <c r="I41" s="3661"/>
      <c r="J41" s="3661"/>
      <c r="K41" s="5355"/>
      <c r="L41" s="5356"/>
      <c r="M41" s="3720"/>
      <c r="N41" s="3720"/>
      <c r="O41" s="3720"/>
      <c r="P41" s="3721"/>
      <c r="Q41" s="398"/>
      <c r="U41" s="80"/>
      <c r="V41" s="80"/>
      <c r="W41" s="81"/>
      <c r="X41" s="13"/>
      <c r="Y41" s="83"/>
      <c r="Z41" s="80"/>
      <c r="AA41" s="80"/>
      <c r="AB41" s="80"/>
      <c r="AC41" s="80"/>
      <c r="AD41" s="80"/>
      <c r="AE41" s="80"/>
    </row>
    <row r="42" spans="1:31" s="65" customFormat="1" ht="18" customHeight="1" x14ac:dyDescent="0.35">
      <c r="A42" s="706"/>
      <c r="B42" s="5310" t="s">
        <v>128</v>
      </c>
      <c r="C42" s="5311"/>
      <c r="D42" s="5311"/>
      <c r="E42" s="5311"/>
      <c r="F42" s="5311"/>
      <c r="G42" s="3659"/>
      <c r="H42" s="3660"/>
      <c r="I42" s="3661"/>
      <c r="J42" s="3661"/>
      <c r="K42" s="5355"/>
      <c r="L42" s="5356"/>
      <c r="M42" s="3720"/>
      <c r="N42" s="3720"/>
      <c r="O42" s="3720"/>
      <c r="P42" s="3721"/>
      <c r="Q42" s="398"/>
      <c r="U42" s="80"/>
      <c r="V42" s="80"/>
      <c r="W42" s="81"/>
      <c r="X42" s="13"/>
      <c r="Y42" s="83"/>
      <c r="Z42" s="80"/>
      <c r="AA42" s="80"/>
      <c r="AB42" s="80"/>
      <c r="AC42" s="80"/>
      <c r="AD42" s="80"/>
      <c r="AE42" s="80"/>
    </row>
    <row r="43" spans="1:31" s="65" customFormat="1" ht="18" customHeight="1" x14ac:dyDescent="0.35">
      <c r="A43" s="706"/>
      <c r="B43" s="3524" t="s">
        <v>536</v>
      </c>
      <c r="C43" s="3525"/>
      <c r="D43" s="3525"/>
      <c r="E43" s="3525"/>
      <c r="F43" s="3526"/>
      <c r="G43" s="5357"/>
      <c r="H43" s="5357"/>
      <c r="I43" s="3655">
        <f>SUM(I28:J42)</f>
        <v>1.5</v>
      </c>
      <c r="J43" s="3655"/>
      <c r="K43" s="5358">
        <f>SUM(K28:L42)</f>
        <v>3000</v>
      </c>
      <c r="L43" s="5358"/>
      <c r="M43" s="3720"/>
      <c r="N43" s="3720"/>
      <c r="O43" s="3720"/>
      <c r="P43" s="3721"/>
      <c r="Q43" s="398"/>
      <c r="U43" s="80"/>
      <c r="V43" s="80"/>
      <c r="W43" s="81"/>
      <c r="X43" s="13"/>
      <c r="Y43" s="83"/>
      <c r="Z43" s="80"/>
      <c r="AA43" s="80"/>
      <c r="AB43" s="80"/>
      <c r="AC43" s="80"/>
      <c r="AD43" s="80"/>
      <c r="AE43" s="80"/>
    </row>
    <row r="44" spans="1:31" s="65" customFormat="1" ht="9" customHeight="1" thickBot="1" x14ac:dyDescent="0.4">
      <c r="A44" s="706"/>
      <c r="B44" s="3527"/>
      <c r="C44" s="3528"/>
      <c r="D44" s="3528"/>
      <c r="E44" s="3528"/>
      <c r="F44" s="3528"/>
      <c r="G44" s="3528"/>
      <c r="H44" s="3528"/>
      <c r="I44" s="3528"/>
      <c r="J44" s="3528"/>
      <c r="K44" s="3528"/>
      <c r="L44" s="3528"/>
      <c r="M44" s="3528"/>
      <c r="N44" s="3528"/>
      <c r="O44" s="3528"/>
      <c r="P44" s="3529"/>
      <c r="Q44" s="398"/>
      <c r="U44" s="80"/>
      <c r="V44" s="80"/>
      <c r="W44" s="81"/>
      <c r="X44" s="84"/>
      <c r="Y44" s="83"/>
      <c r="Z44" s="80"/>
      <c r="AA44" s="80"/>
      <c r="AB44" s="80"/>
      <c r="AC44" s="80"/>
      <c r="AD44" s="80"/>
      <c r="AE44" s="80"/>
    </row>
    <row r="45" spans="1:31" s="65" customFormat="1" ht="36" customHeight="1" thickTop="1" thickBot="1" x14ac:dyDescent="0.4">
      <c r="A45" s="706"/>
      <c r="B45" s="1274"/>
      <c r="C45" s="1275"/>
      <c r="D45" s="1275"/>
      <c r="E45" s="1275"/>
      <c r="F45" s="1275"/>
      <c r="G45" s="3530" t="s">
        <v>870</v>
      </c>
      <c r="H45" s="3530"/>
      <c r="I45" s="3530" t="str">
        <f>I7</f>
        <v xml:space="preserve">CA net pour EQUNIX </v>
      </c>
      <c r="J45" s="3530"/>
      <c r="K45" s="3531" t="s">
        <v>871</v>
      </c>
      <c r="L45" s="3531"/>
      <c r="M45" s="3532"/>
      <c r="N45" s="3533"/>
      <c r="O45" s="3533"/>
      <c r="P45" s="3534"/>
      <c r="Q45" s="398"/>
      <c r="U45" s="80"/>
      <c r="V45" s="80"/>
      <c r="W45" s="81"/>
      <c r="X45" s="84"/>
      <c r="Y45" s="83"/>
      <c r="Z45" s="80"/>
      <c r="AA45" s="80"/>
      <c r="AB45" s="80"/>
      <c r="AC45" s="80"/>
      <c r="AD45" s="80"/>
      <c r="AE45" s="80"/>
    </row>
    <row r="46" spans="1:31" s="11" customFormat="1" ht="20.25" customHeight="1" thickTop="1" thickBot="1" x14ac:dyDescent="0.4">
      <c r="A46" s="710"/>
      <c r="B46" s="3535" t="s">
        <v>436</v>
      </c>
      <c r="C46" s="3536"/>
      <c r="D46" s="3536"/>
      <c r="E46" s="3536"/>
      <c r="F46" s="3537"/>
      <c r="G46" s="3538">
        <f>G25+K43</f>
        <v>15000</v>
      </c>
      <c r="H46" s="3538"/>
      <c r="I46" s="3538">
        <f>I25</f>
        <v>7800</v>
      </c>
      <c r="J46" s="3538"/>
      <c r="K46" s="3538">
        <f>K25+K43</f>
        <v>7200</v>
      </c>
      <c r="L46" s="3538"/>
      <c r="M46" s="3643"/>
      <c r="N46" s="3643"/>
      <c r="O46" s="3643"/>
      <c r="P46" s="3644"/>
      <c r="Q46" s="711"/>
      <c r="U46" s="12"/>
      <c r="V46" s="12"/>
      <c r="W46" s="14"/>
      <c r="X46" s="15"/>
      <c r="Y46" s="16"/>
      <c r="Z46" s="12"/>
      <c r="AA46" s="12"/>
      <c r="AB46" s="12"/>
      <c r="AC46" s="12"/>
      <c r="AD46" s="12"/>
      <c r="AE46" s="12"/>
    </row>
    <row r="47" spans="1:31" s="345" customFormat="1" ht="24" customHeight="1" thickTop="1" thickBot="1" x14ac:dyDescent="0.4">
      <c r="A47" s="712"/>
      <c r="B47" s="713"/>
      <c r="C47" s="714"/>
      <c r="D47" s="714"/>
      <c r="E47" s="714"/>
      <c r="F47" s="714"/>
      <c r="G47" s="3567"/>
      <c r="H47" s="3568"/>
      <c r="I47" s="715"/>
      <c r="J47" s="716"/>
      <c r="K47" s="3569">
        <f>K46/G46</f>
        <v>0.48</v>
      </c>
      <c r="L47" s="3569"/>
      <c r="M47" s="5352" t="s">
        <v>869</v>
      </c>
      <c r="N47" s="5353"/>
      <c r="O47" s="5353"/>
      <c r="P47" s="5354"/>
      <c r="Q47" s="717"/>
      <c r="U47" s="346"/>
      <c r="V47" s="346"/>
      <c r="W47" s="347"/>
      <c r="X47" s="348"/>
      <c r="Y47" s="349"/>
      <c r="Z47" s="346"/>
      <c r="AA47" s="346"/>
      <c r="AB47" s="346"/>
      <c r="AC47" s="346"/>
      <c r="AD47" s="346"/>
      <c r="AE47" s="346"/>
    </row>
    <row r="48" spans="1:31" ht="24" customHeight="1" thickTop="1" thickBot="1" x14ac:dyDescent="0.6">
      <c r="A48" s="1572"/>
      <c r="B48" s="718"/>
      <c r="C48" s="64"/>
      <c r="D48" s="64"/>
      <c r="E48" s="64"/>
      <c r="F48" s="64"/>
      <c r="G48" s="1585"/>
      <c r="H48" s="1585"/>
      <c r="I48" s="719"/>
      <c r="J48" s="1572"/>
      <c r="K48" s="720"/>
      <c r="L48" s="720"/>
      <c r="M48" s="721"/>
      <c r="N48" s="722"/>
      <c r="O48" s="722"/>
      <c r="P48" s="722"/>
      <c r="Q48" s="463"/>
      <c r="R48" s="63"/>
      <c r="U48" s="66"/>
      <c r="V48" s="66"/>
      <c r="W48" s="72"/>
      <c r="X48" s="17"/>
      <c r="Y48" s="73"/>
      <c r="Z48" s="66"/>
      <c r="AA48" s="66"/>
      <c r="AB48" s="66"/>
      <c r="AC48" s="66"/>
      <c r="AD48" s="66"/>
      <c r="AE48" s="66"/>
    </row>
    <row r="49" spans="1:31" ht="15.75" customHeight="1" thickTop="1" thickBot="1" x14ac:dyDescent="0.4">
      <c r="A49" s="1572"/>
      <c r="B49" s="723"/>
      <c r="C49" s="724"/>
      <c r="D49" s="724"/>
      <c r="E49" s="724"/>
      <c r="F49" s="724"/>
      <c r="G49" s="3553" t="s">
        <v>1057</v>
      </c>
      <c r="H49" s="3554"/>
      <c r="I49" s="3553" t="str">
        <f>"CA net pour "
&amp; AbrevClient</f>
        <v xml:space="preserve">CA net pour EQUNIX </v>
      </c>
      <c r="J49" s="3554"/>
      <c r="K49" s="3553" t="s">
        <v>1058</v>
      </c>
      <c r="L49" s="3554"/>
      <c r="M49" s="725"/>
      <c r="N49" s="725"/>
      <c r="O49" s="725"/>
      <c r="P49" s="726"/>
      <c r="Q49" s="463"/>
      <c r="R49" s="63"/>
      <c r="U49" s="66"/>
      <c r="V49" s="66"/>
      <c r="W49" s="72"/>
      <c r="X49" s="85"/>
      <c r="Y49" s="73"/>
      <c r="Z49" s="66"/>
      <c r="AA49" s="66"/>
      <c r="AB49" s="66"/>
      <c r="AC49" s="66"/>
      <c r="AD49" s="66"/>
      <c r="AE49" s="66"/>
    </row>
    <row r="50" spans="1:31" s="65" customFormat="1" ht="39.75" customHeight="1" thickBot="1" x14ac:dyDescent="0.4">
      <c r="A50" s="706"/>
      <c r="B50" s="3698" t="s">
        <v>1054</v>
      </c>
      <c r="C50" s="3699"/>
      <c r="D50" s="3699"/>
      <c r="E50" s="3699"/>
      <c r="F50" s="3699"/>
      <c r="G50" s="3557" t="s">
        <v>1077</v>
      </c>
      <c r="H50" s="3558"/>
      <c r="I50" s="707" t="s">
        <v>903</v>
      </c>
      <c r="J50" s="734">
        <v>0.35</v>
      </c>
      <c r="K50" s="3557" t="str">
        <f>K7</f>
        <v>CA net pour le partenaire</v>
      </c>
      <c r="L50" s="3558"/>
      <c r="M50" s="3559" t="s">
        <v>1096</v>
      </c>
      <c r="N50" s="3560"/>
      <c r="O50" s="3560"/>
      <c r="P50" s="3561"/>
      <c r="Q50" s="398"/>
      <c r="U50" s="80"/>
      <c r="V50" s="80"/>
      <c r="W50" s="81"/>
      <c r="X50" s="13"/>
      <c r="Y50" s="83"/>
      <c r="Z50" s="80"/>
      <c r="AA50" s="80"/>
      <c r="AB50" s="80"/>
      <c r="AC50" s="80"/>
      <c r="AD50" s="80"/>
      <c r="AE50" s="80"/>
    </row>
    <row r="51" spans="1:31" s="65" customFormat="1" ht="18" customHeight="1" x14ac:dyDescent="0.35">
      <c r="A51" s="706"/>
      <c r="B51" s="3628" t="s">
        <v>1055</v>
      </c>
      <c r="C51" s="3629"/>
      <c r="D51" s="3629"/>
      <c r="E51" s="3629"/>
      <c r="F51" s="3629"/>
      <c r="G51" s="3630">
        <v>1000</v>
      </c>
      <c r="H51" s="3630"/>
      <c r="I51" s="5350">
        <f>G51-K51</f>
        <v>650</v>
      </c>
      <c r="J51" s="5351"/>
      <c r="K51" s="3633">
        <f>G51*J50</f>
        <v>350</v>
      </c>
      <c r="L51" s="3634"/>
      <c r="M51" s="5349">
        <f>K51</f>
        <v>350</v>
      </c>
      <c r="N51" s="3640"/>
      <c r="O51" s="3640"/>
      <c r="P51" s="3641"/>
      <c r="Q51" s="398"/>
      <c r="U51" s="80"/>
      <c r="V51" s="80"/>
      <c r="W51" s="81"/>
      <c r="X51" s="13"/>
      <c r="Y51" s="83"/>
      <c r="Z51" s="80"/>
      <c r="AA51" s="80"/>
      <c r="AB51" s="80"/>
      <c r="AC51" s="80"/>
      <c r="AD51" s="80"/>
      <c r="AE51" s="80"/>
    </row>
    <row r="52" spans="1:31" s="65" customFormat="1" ht="36.75" customHeight="1" x14ac:dyDescent="0.35">
      <c r="A52" s="706"/>
      <c r="B52" s="3628" t="s">
        <v>1069</v>
      </c>
      <c r="C52" s="3629"/>
      <c r="D52" s="3629"/>
      <c r="E52" s="3629"/>
      <c r="F52" s="3629"/>
      <c r="G52" s="3630">
        <v>3000</v>
      </c>
      <c r="H52" s="3630"/>
      <c r="I52" s="3638">
        <f>G52-K52</f>
        <v>1950</v>
      </c>
      <c r="J52" s="3639"/>
      <c r="K52" s="5347">
        <f>G52*J50</f>
        <v>1050</v>
      </c>
      <c r="L52" s="5348"/>
      <c r="M52" s="5349">
        <f>K52</f>
        <v>1050</v>
      </c>
      <c r="N52" s="3640"/>
      <c r="O52" s="3640"/>
      <c r="P52" s="3641"/>
      <c r="Q52" s="398"/>
      <c r="U52" s="80"/>
      <c r="V52" s="80"/>
      <c r="W52" s="81"/>
      <c r="X52" s="13"/>
      <c r="Y52" s="83"/>
      <c r="Z52" s="80"/>
      <c r="AA52" s="80"/>
      <c r="AB52" s="80"/>
      <c r="AC52" s="80"/>
      <c r="AD52" s="80"/>
      <c r="AE52" s="80"/>
    </row>
    <row r="53" spans="1:31" s="65" customFormat="1" ht="35.25" customHeight="1" x14ac:dyDescent="0.35">
      <c r="A53" s="706"/>
      <c r="B53" s="3628" t="s">
        <v>1221</v>
      </c>
      <c r="C53" s="3629"/>
      <c r="D53" s="3629"/>
      <c r="E53" s="3629"/>
      <c r="F53" s="3629"/>
      <c r="G53" s="3630">
        <v>3000</v>
      </c>
      <c r="H53" s="3630"/>
      <c r="I53" s="3638">
        <v>0</v>
      </c>
      <c r="J53" s="3639"/>
      <c r="K53" s="5347">
        <f>G53-I53</f>
        <v>3000</v>
      </c>
      <c r="L53" s="5348"/>
      <c r="M53" s="3635"/>
      <c r="N53" s="3636"/>
      <c r="O53" s="3636"/>
      <c r="P53" s="3637"/>
      <c r="Q53" s="398"/>
      <c r="U53" s="80"/>
      <c r="V53" s="80"/>
      <c r="W53" s="81"/>
      <c r="X53" s="13"/>
      <c r="Y53" s="83"/>
      <c r="Z53" s="80"/>
      <c r="AA53" s="80"/>
      <c r="AB53" s="80"/>
      <c r="AC53" s="80"/>
      <c r="AD53" s="80"/>
      <c r="AE53" s="80"/>
    </row>
    <row r="54" spans="1:31" s="65" customFormat="1" ht="18" customHeight="1" x14ac:dyDescent="0.35">
      <c r="A54" s="706"/>
      <c r="B54" s="3628" t="s">
        <v>32</v>
      </c>
      <c r="C54" s="3629"/>
      <c r="D54" s="3629"/>
      <c r="E54" s="3629"/>
      <c r="F54" s="3629"/>
      <c r="G54" s="3630">
        <v>0</v>
      </c>
      <c r="H54" s="3630"/>
      <c r="I54" s="3638">
        <v>0</v>
      </c>
      <c r="J54" s="3639"/>
      <c r="K54" s="5347">
        <f>G54-I54</f>
        <v>0</v>
      </c>
      <c r="L54" s="5348"/>
      <c r="M54" s="3640"/>
      <c r="N54" s="3640"/>
      <c r="O54" s="3640"/>
      <c r="P54" s="3641"/>
      <c r="Q54" s="398"/>
      <c r="U54" s="80"/>
      <c r="V54" s="80"/>
      <c r="W54" s="81"/>
      <c r="X54" s="13"/>
      <c r="Y54" s="83"/>
      <c r="Z54" s="80"/>
      <c r="AA54" s="80"/>
      <c r="AB54" s="80"/>
      <c r="AC54" s="80"/>
      <c r="AD54" s="80"/>
      <c r="AE54" s="80"/>
    </row>
    <row r="55" spans="1:31" s="65" customFormat="1" ht="9" customHeight="1" thickBot="1" x14ac:dyDescent="0.4">
      <c r="A55" s="706"/>
      <c r="B55" s="3527"/>
      <c r="C55" s="3528"/>
      <c r="D55" s="3528"/>
      <c r="E55" s="3528"/>
      <c r="F55" s="3528"/>
      <c r="G55" s="3528"/>
      <c r="H55" s="3528"/>
      <c r="I55" s="3528"/>
      <c r="J55" s="3528"/>
      <c r="K55" s="3528"/>
      <c r="L55" s="3528"/>
      <c r="M55" s="3528"/>
      <c r="N55" s="3528"/>
      <c r="O55" s="3528"/>
      <c r="P55" s="3529"/>
      <c r="Q55" s="398"/>
      <c r="U55" s="80"/>
      <c r="V55" s="80"/>
      <c r="W55" s="81"/>
      <c r="X55" s="84"/>
      <c r="Y55" s="83"/>
      <c r="Z55" s="80"/>
      <c r="AA55" s="80"/>
      <c r="AB55" s="80"/>
      <c r="AC55" s="80"/>
      <c r="AD55" s="80"/>
      <c r="AE55" s="80"/>
    </row>
    <row r="56" spans="1:31" s="11" customFormat="1" ht="19.5" thickTop="1" thickBot="1" x14ac:dyDescent="0.4">
      <c r="A56" s="710"/>
      <c r="B56" s="3570" t="s">
        <v>1383</v>
      </c>
      <c r="C56" s="3571"/>
      <c r="D56" s="3571"/>
      <c r="E56" s="3571"/>
      <c r="F56" s="3572"/>
      <c r="G56" s="3573">
        <f>SUM(G51:H54)</f>
        <v>7000</v>
      </c>
      <c r="H56" s="3574"/>
      <c r="I56" s="3538">
        <f>SUM(I51:J54)</f>
        <v>2600</v>
      </c>
      <c r="J56" s="3538"/>
      <c r="K56" s="3538">
        <f>SUM(K51:L54)</f>
        <v>4400</v>
      </c>
      <c r="L56" s="3538"/>
      <c r="M56" s="3642">
        <f>SUM(M51:P52)</f>
        <v>1400</v>
      </c>
      <c r="N56" s="3643"/>
      <c r="O56" s="3643"/>
      <c r="P56" s="3644"/>
      <c r="Q56" s="711"/>
      <c r="U56" s="12"/>
      <c r="V56" s="12"/>
      <c r="W56" s="14"/>
      <c r="X56" s="15"/>
      <c r="Y56" s="16"/>
      <c r="Z56" s="12"/>
      <c r="AA56" s="12"/>
      <c r="AB56" s="12"/>
      <c r="AC56" s="12"/>
      <c r="AD56" s="12"/>
      <c r="AE56" s="12"/>
    </row>
    <row r="57" spans="1:31" ht="24" customHeight="1" thickTop="1" x14ac:dyDescent="0.55000000000000004">
      <c r="A57" s="1572"/>
      <c r="B57" s="727"/>
      <c r="C57" s="64"/>
      <c r="D57" s="64"/>
      <c r="E57" s="64"/>
      <c r="F57" s="64"/>
      <c r="G57" s="3649"/>
      <c r="H57" s="3649"/>
      <c r="I57" s="719"/>
      <c r="J57" s="1572"/>
      <c r="K57" s="3650">
        <f>K56/G56</f>
        <v>0.62857142857142856</v>
      </c>
      <c r="L57" s="3650"/>
      <c r="M57" s="3651" t="s">
        <v>869</v>
      </c>
      <c r="N57" s="3652"/>
      <c r="O57" s="3652"/>
      <c r="P57" s="3652"/>
      <c r="Q57" s="463"/>
      <c r="R57" s="63"/>
      <c r="U57" s="66"/>
      <c r="V57" s="66"/>
      <c r="W57" s="72"/>
      <c r="X57" s="17"/>
      <c r="Y57" s="73"/>
      <c r="Z57" s="66"/>
      <c r="AA57" s="66"/>
      <c r="AB57" s="66"/>
      <c r="AC57" s="66"/>
      <c r="AD57" s="66"/>
      <c r="AE57" s="66"/>
    </row>
    <row r="58" spans="1:31" ht="24" customHeight="1" x14ac:dyDescent="0.55000000000000004">
      <c r="A58" s="1572"/>
      <c r="B58" s="718"/>
      <c r="C58" s="64"/>
      <c r="D58" s="64"/>
      <c r="E58" s="64"/>
      <c r="F58" s="64"/>
      <c r="G58" s="1585"/>
      <c r="H58" s="1585"/>
      <c r="I58" s="719"/>
      <c r="J58" s="1572"/>
      <c r="K58" s="720"/>
      <c r="L58" s="720"/>
      <c r="M58" s="721"/>
      <c r="N58" s="722"/>
      <c r="O58" s="722"/>
      <c r="P58" s="722"/>
      <c r="Q58" s="463"/>
      <c r="R58" s="63"/>
      <c r="U58" s="66"/>
      <c r="V58" s="66"/>
      <c r="W58" s="72"/>
      <c r="X58" s="17"/>
      <c r="Y58" s="73"/>
      <c r="Z58" s="66"/>
      <c r="AA58" s="66"/>
      <c r="AB58" s="66"/>
      <c r="AC58" s="66"/>
      <c r="AD58" s="66"/>
      <c r="AE58" s="66"/>
    </row>
    <row r="59" spans="1:31" ht="24" customHeight="1" thickBot="1" x14ac:dyDescent="0.6">
      <c r="A59" s="1572"/>
      <c r="B59" s="718"/>
      <c r="C59" s="64"/>
      <c r="D59" s="64"/>
      <c r="E59" s="64"/>
      <c r="F59" s="64"/>
      <c r="G59" s="1585"/>
      <c r="H59" s="1585"/>
      <c r="I59" s="719"/>
      <c r="J59" s="1572"/>
      <c r="K59" s="720"/>
      <c r="L59" s="720"/>
      <c r="M59" s="721"/>
      <c r="N59" s="722"/>
      <c r="O59" s="722"/>
      <c r="P59" s="722"/>
      <c r="Q59" s="463"/>
      <c r="R59" s="63"/>
      <c r="U59" s="66"/>
      <c r="V59" s="66"/>
      <c r="W59" s="72"/>
      <c r="X59" s="17"/>
      <c r="Y59" s="73"/>
      <c r="Z59" s="66"/>
      <c r="AA59" s="66"/>
      <c r="AB59" s="66"/>
      <c r="AC59" s="66"/>
      <c r="AD59" s="66"/>
      <c r="AE59" s="66"/>
    </row>
    <row r="60" spans="1:31" s="87" customFormat="1" ht="40.5" customHeight="1" thickTop="1" x14ac:dyDescent="0.35">
      <c r="A60" s="728"/>
      <c r="B60" s="3653" t="s">
        <v>108</v>
      </c>
      <c r="C60" s="3654"/>
      <c r="D60" s="3654"/>
      <c r="E60" s="3654"/>
      <c r="F60" s="3654"/>
      <c r="G60" s="3623" t="s">
        <v>109</v>
      </c>
      <c r="H60" s="3623"/>
      <c r="I60" s="3623" t="s">
        <v>174</v>
      </c>
      <c r="J60" s="3623"/>
      <c r="K60" s="3623" t="s">
        <v>110</v>
      </c>
      <c r="L60" s="3623"/>
      <c r="M60" s="3530" t="s">
        <v>18</v>
      </c>
      <c r="N60" s="3530"/>
      <c r="O60" s="3530"/>
      <c r="P60" s="3624"/>
      <c r="Q60" s="729"/>
      <c r="R60" s="86"/>
      <c r="U60" s="88"/>
      <c r="V60" s="88"/>
      <c r="W60" s="89"/>
      <c r="X60" s="90"/>
      <c r="Y60" s="91"/>
      <c r="Z60" s="88"/>
      <c r="AA60" s="88"/>
      <c r="AB60" s="88"/>
      <c r="AC60" s="88"/>
      <c r="AD60" s="88"/>
      <c r="AE60" s="88"/>
    </row>
    <row r="61" spans="1:31" ht="18" customHeight="1" x14ac:dyDescent="0.35">
      <c r="A61" s="1572"/>
      <c r="B61" s="3625" t="s">
        <v>1183</v>
      </c>
      <c r="C61" s="3626"/>
      <c r="D61" s="3626"/>
      <c r="E61" s="3626"/>
      <c r="F61" s="3626"/>
      <c r="G61" s="3627" t="s">
        <v>1636</v>
      </c>
      <c r="H61" s="3627"/>
      <c r="I61" s="3627" t="s">
        <v>1636</v>
      </c>
      <c r="J61" s="3627"/>
      <c r="K61" s="3581">
        <v>1500</v>
      </c>
      <c r="L61" s="3581"/>
      <c r="M61" s="3576"/>
      <c r="N61" s="3576"/>
      <c r="O61" s="3576"/>
      <c r="P61" s="3577"/>
      <c r="Q61" s="463"/>
      <c r="R61" s="63"/>
      <c r="U61" s="66"/>
      <c r="V61" s="66"/>
      <c r="W61" s="72"/>
      <c r="X61" s="92"/>
      <c r="Y61" s="73"/>
      <c r="Z61" s="66"/>
      <c r="AA61" s="66"/>
      <c r="AB61" s="66"/>
      <c r="AC61" s="66"/>
      <c r="AD61" s="66"/>
      <c r="AE61" s="66"/>
    </row>
    <row r="62" spans="1:31" ht="18" customHeight="1" x14ac:dyDescent="0.35">
      <c r="A62" s="1572"/>
      <c r="B62" s="3625" t="s">
        <v>112</v>
      </c>
      <c r="C62" s="3626"/>
      <c r="D62" s="3626"/>
      <c r="E62" s="3626"/>
      <c r="F62" s="3626"/>
      <c r="G62" s="5346"/>
      <c r="H62" s="5346"/>
      <c r="I62" s="5346"/>
      <c r="J62" s="5346"/>
      <c r="K62" s="5346"/>
      <c r="L62" s="5346"/>
      <c r="M62" s="3576"/>
      <c r="N62" s="3576"/>
      <c r="O62" s="3576"/>
      <c r="P62" s="3577"/>
      <c r="Q62" s="463"/>
      <c r="R62" s="63"/>
      <c r="U62" s="66"/>
      <c r="V62" s="66"/>
      <c r="W62" s="72"/>
      <c r="X62" s="92"/>
      <c r="Y62" s="73"/>
      <c r="Z62" s="66"/>
      <c r="AA62" s="66"/>
      <c r="AB62" s="66"/>
      <c r="AC62" s="66"/>
      <c r="AD62" s="66"/>
      <c r="AE62" s="66"/>
    </row>
    <row r="63" spans="1:31" ht="18" customHeight="1" x14ac:dyDescent="0.35">
      <c r="A63" s="1572"/>
      <c r="B63" s="3578" t="s">
        <v>113</v>
      </c>
      <c r="C63" s="3579"/>
      <c r="D63" s="3579"/>
      <c r="E63" s="3579"/>
      <c r="F63" s="3579"/>
      <c r="G63" s="3645"/>
      <c r="H63" s="3645"/>
      <c r="I63" s="3645"/>
      <c r="J63" s="3645"/>
      <c r="K63" s="3645">
        <v>3</v>
      </c>
      <c r="L63" s="3645"/>
      <c r="M63" s="3646"/>
      <c r="N63" s="3647"/>
      <c r="O63" s="3647"/>
      <c r="P63" s="3648"/>
      <c r="Q63" s="463"/>
      <c r="R63" s="63"/>
      <c r="U63" s="66"/>
      <c r="V63" s="66"/>
      <c r="W63" s="72"/>
      <c r="X63" s="85"/>
      <c r="Y63" s="73"/>
      <c r="Z63" s="66"/>
      <c r="AA63" s="66"/>
      <c r="AB63" s="66"/>
      <c r="AC63" s="66"/>
      <c r="AD63" s="66"/>
      <c r="AE63" s="66"/>
    </row>
    <row r="64" spans="1:31" ht="32.65" customHeight="1" x14ac:dyDescent="0.55000000000000004">
      <c r="A64" s="1572"/>
      <c r="B64" s="3578" t="s">
        <v>1184</v>
      </c>
      <c r="C64" s="3579"/>
      <c r="D64" s="3579"/>
      <c r="E64" s="3579"/>
      <c r="F64" s="3579"/>
      <c r="G64" s="3582"/>
      <c r="H64" s="3582"/>
      <c r="I64" s="3582"/>
      <c r="J64" s="3582"/>
      <c r="K64" s="3582" t="s">
        <v>1749</v>
      </c>
      <c r="L64" s="3582"/>
      <c r="M64" s="3576"/>
      <c r="N64" s="3576"/>
      <c r="O64" s="3576"/>
      <c r="P64" s="3577"/>
      <c r="Q64" s="463"/>
      <c r="R64" s="63"/>
      <c r="U64" s="66"/>
      <c r="V64" s="66"/>
      <c r="W64" s="72"/>
      <c r="X64" s="17"/>
      <c r="Y64" s="73"/>
      <c r="Z64" s="66"/>
      <c r="AA64" s="66"/>
      <c r="AB64" s="66"/>
      <c r="AC64" s="66"/>
      <c r="AD64" s="66"/>
      <c r="AE64" s="66"/>
    </row>
    <row r="65" spans="1:31" ht="18" customHeight="1" x14ac:dyDescent="0.55000000000000004">
      <c r="A65" s="1572"/>
      <c r="B65" s="3578" t="s">
        <v>537</v>
      </c>
      <c r="C65" s="3579"/>
      <c r="D65" s="3579"/>
      <c r="E65" s="3579"/>
      <c r="F65" s="3579"/>
      <c r="G65" s="3582"/>
      <c r="H65" s="3582"/>
      <c r="I65" s="3582"/>
      <c r="J65" s="3582"/>
      <c r="K65" s="3582" t="s">
        <v>1750</v>
      </c>
      <c r="L65" s="3582"/>
      <c r="M65" s="3576"/>
      <c r="N65" s="3576"/>
      <c r="O65" s="3576"/>
      <c r="P65" s="3577"/>
      <c r="Q65" s="463"/>
      <c r="R65" s="63"/>
      <c r="U65" s="66"/>
      <c r="V65" s="66"/>
      <c r="W65" s="72"/>
      <c r="X65" s="17"/>
      <c r="Y65" s="73"/>
      <c r="Z65" s="66"/>
      <c r="AA65" s="66"/>
      <c r="AB65" s="66"/>
      <c r="AC65" s="66"/>
      <c r="AD65" s="66"/>
      <c r="AE65" s="66"/>
    </row>
    <row r="66" spans="1:31" ht="18" customHeight="1" x14ac:dyDescent="0.35">
      <c r="A66" s="1572"/>
      <c r="B66" s="3578" t="s">
        <v>114</v>
      </c>
      <c r="C66" s="3579"/>
      <c r="D66" s="3579"/>
      <c r="E66" s="3579"/>
      <c r="F66" s="3579"/>
      <c r="G66" s="3575"/>
      <c r="H66" s="3575"/>
      <c r="I66" s="3580"/>
      <c r="J66" s="3580"/>
      <c r="K66" s="3575">
        <v>0.05</v>
      </c>
      <c r="L66" s="3575"/>
      <c r="M66" s="3576"/>
      <c r="N66" s="3576"/>
      <c r="O66" s="3576"/>
      <c r="P66" s="3577"/>
      <c r="Q66" s="463"/>
      <c r="R66" s="63"/>
      <c r="U66" s="66"/>
      <c r="V66" s="66"/>
      <c r="W66" s="72"/>
      <c r="X66" s="85"/>
      <c r="Y66" s="73"/>
      <c r="Z66" s="66"/>
      <c r="AA66" s="66"/>
      <c r="AB66" s="66"/>
      <c r="AC66" s="66"/>
      <c r="AD66" s="66"/>
      <c r="AE66" s="66"/>
    </row>
    <row r="67" spans="1:31" ht="18" customHeight="1" x14ac:dyDescent="0.35">
      <c r="A67" s="1572"/>
      <c r="B67" s="3578" t="s">
        <v>115</v>
      </c>
      <c r="C67" s="3579"/>
      <c r="D67" s="3579"/>
      <c r="E67" s="3579"/>
      <c r="F67" s="3579"/>
      <c r="G67" s="3575"/>
      <c r="H67" s="3575"/>
      <c r="I67" s="3575"/>
      <c r="J67" s="3575"/>
      <c r="K67" s="3575">
        <v>0.05</v>
      </c>
      <c r="L67" s="3575"/>
      <c r="M67" s="3576"/>
      <c r="N67" s="3576"/>
      <c r="O67" s="3576"/>
      <c r="P67" s="3577"/>
      <c r="Q67" s="463"/>
      <c r="R67" s="63"/>
      <c r="U67" s="66"/>
      <c r="V67" s="66"/>
      <c r="W67" s="72"/>
      <c r="X67" s="85"/>
      <c r="Y67" s="73"/>
      <c r="Z67" s="66"/>
      <c r="AA67" s="66"/>
      <c r="AB67" s="66"/>
      <c r="AC67" s="66"/>
      <c r="AD67" s="66"/>
      <c r="AE67" s="66"/>
    </row>
    <row r="68" spans="1:31" ht="18" customHeight="1" x14ac:dyDescent="0.5">
      <c r="A68" s="1572"/>
      <c r="B68" s="3578" t="s">
        <v>116</v>
      </c>
      <c r="C68" s="3579"/>
      <c r="D68" s="3579"/>
      <c r="E68" s="3579"/>
      <c r="F68" s="3579"/>
      <c r="G68" s="3575"/>
      <c r="H68" s="3575"/>
      <c r="I68" s="3575"/>
      <c r="J68" s="3575"/>
      <c r="K68" s="3575">
        <v>0</v>
      </c>
      <c r="L68" s="3575"/>
      <c r="M68" s="3576"/>
      <c r="N68" s="3576"/>
      <c r="O68" s="3576"/>
      <c r="P68" s="3577"/>
      <c r="Q68" s="463"/>
      <c r="R68" s="63"/>
      <c r="U68" s="66"/>
      <c r="V68" s="66"/>
      <c r="W68" s="72"/>
      <c r="X68" s="18"/>
      <c r="Y68" s="73"/>
      <c r="Z68" s="66"/>
      <c r="AA68" s="66"/>
      <c r="AB68" s="66"/>
      <c r="AC68" s="66"/>
      <c r="AD68" s="66"/>
      <c r="AE68" s="66"/>
    </row>
    <row r="69" spans="1:31" ht="18" customHeight="1" x14ac:dyDescent="0.35">
      <c r="A69" s="1572"/>
      <c r="B69" s="3578" t="s">
        <v>117</v>
      </c>
      <c r="C69" s="3579"/>
      <c r="D69" s="3579"/>
      <c r="E69" s="3579"/>
      <c r="F69" s="3579"/>
      <c r="G69" s="3582"/>
      <c r="H69" s="3582"/>
      <c r="I69" s="3582"/>
      <c r="J69" s="3582"/>
      <c r="K69" s="3582">
        <v>1</v>
      </c>
      <c r="L69" s="3582"/>
      <c r="M69" s="3576"/>
      <c r="N69" s="3576"/>
      <c r="O69" s="3576"/>
      <c r="P69" s="3577"/>
      <c r="Q69" s="463"/>
      <c r="R69" s="63"/>
      <c r="U69" s="66"/>
      <c r="V69" s="66"/>
      <c r="W69" s="72"/>
      <c r="X69" s="85"/>
      <c r="Y69" s="73"/>
      <c r="Z69" s="66"/>
      <c r="AA69" s="66"/>
      <c r="AB69" s="66"/>
      <c r="AC69" s="66"/>
      <c r="AD69" s="66"/>
      <c r="AE69" s="66"/>
    </row>
    <row r="70" spans="1:31" ht="18" customHeight="1" x14ac:dyDescent="0.35">
      <c r="A70" s="1572"/>
      <c r="B70" s="3578" t="s">
        <v>118</v>
      </c>
      <c r="C70" s="3579"/>
      <c r="D70" s="3579"/>
      <c r="E70" s="3579"/>
      <c r="F70" s="3579"/>
      <c r="G70" s="3575"/>
      <c r="H70" s="3575"/>
      <c r="I70" s="3575"/>
      <c r="J70" s="3575"/>
      <c r="K70" s="3575">
        <v>1</v>
      </c>
      <c r="L70" s="3575"/>
      <c r="M70" s="3576"/>
      <c r="N70" s="3576"/>
      <c r="O70" s="3576"/>
      <c r="P70" s="3577"/>
      <c r="Q70" s="463"/>
      <c r="R70" s="63"/>
      <c r="U70" s="66"/>
      <c r="V70" s="66"/>
      <c r="W70" s="72"/>
      <c r="X70" s="85"/>
      <c r="Y70" s="73"/>
      <c r="Z70" s="66"/>
      <c r="AA70" s="66"/>
      <c r="AB70" s="66"/>
      <c r="AC70" s="66"/>
      <c r="AD70" s="66"/>
      <c r="AE70" s="66"/>
    </row>
    <row r="71" spans="1:31" ht="16.5" customHeight="1" x14ac:dyDescent="0.55000000000000004">
      <c r="A71" s="1572"/>
      <c r="B71" s="3619" t="s">
        <v>119</v>
      </c>
      <c r="C71" s="3620"/>
      <c r="D71" s="3620"/>
      <c r="E71" s="3620"/>
      <c r="F71" s="3621"/>
      <c r="G71" s="3575"/>
      <c r="H71" s="3575"/>
      <c r="I71" s="3575"/>
      <c r="J71" s="3575"/>
      <c r="K71" s="3575">
        <v>0.25</v>
      </c>
      <c r="L71" s="3575"/>
      <c r="M71" s="3612"/>
      <c r="N71" s="3613"/>
      <c r="O71" s="3613"/>
      <c r="P71" s="3614"/>
      <c r="Q71" s="463"/>
      <c r="R71" s="63"/>
      <c r="U71" s="66"/>
      <c r="V71" s="66"/>
      <c r="W71" s="72"/>
      <c r="X71" s="17"/>
      <c r="Y71" s="73"/>
      <c r="Z71" s="66"/>
      <c r="AA71" s="66"/>
      <c r="AB71" s="66"/>
      <c r="AC71" s="66"/>
      <c r="AD71" s="66"/>
      <c r="AE71" s="66"/>
    </row>
    <row r="72" spans="1:31" ht="36" customHeight="1" x14ac:dyDescent="0.35">
      <c r="A72" s="1572"/>
      <c r="B72" s="3615" t="s">
        <v>120</v>
      </c>
      <c r="C72" s="3616"/>
      <c r="D72" s="3616"/>
      <c r="E72" s="3616"/>
      <c r="F72" s="3617"/>
      <c r="G72" s="3618"/>
      <c r="H72" s="3618"/>
      <c r="I72" s="3618"/>
      <c r="J72" s="3618"/>
      <c r="K72" s="3618">
        <v>0.5</v>
      </c>
      <c r="L72" s="3618"/>
      <c r="M72" s="3657" t="s">
        <v>1751</v>
      </c>
      <c r="N72" s="3657"/>
      <c r="O72" s="3657"/>
      <c r="P72" s="3658"/>
      <c r="Q72" s="463"/>
      <c r="R72" s="63"/>
      <c r="U72" s="66"/>
      <c r="V72" s="66"/>
      <c r="W72" s="72"/>
      <c r="X72" s="13"/>
      <c r="Y72" s="73"/>
      <c r="Z72" s="66"/>
      <c r="AA72" s="66"/>
      <c r="AB72" s="66"/>
      <c r="AC72" s="66"/>
      <c r="AD72" s="66"/>
      <c r="AE72" s="66"/>
    </row>
    <row r="73" spans="1:31" ht="18" customHeight="1" x14ac:dyDescent="0.35">
      <c r="A73" s="1572"/>
      <c r="B73" s="3578" t="s">
        <v>121</v>
      </c>
      <c r="C73" s="3579"/>
      <c r="D73" s="3579"/>
      <c r="E73" s="3579"/>
      <c r="F73" s="3579"/>
      <c r="G73" s="3575"/>
      <c r="H73" s="3575"/>
      <c r="I73" s="3575"/>
      <c r="J73" s="3575"/>
      <c r="K73" s="3575">
        <v>0.8</v>
      </c>
      <c r="L73" s="3575"/>
      <c r="M73" s="3583" t="s">
        <v>1752</v>
      </c>
      <c r="N73" s="3583"/>
      <c r="O73" s="3583"/>
      <c r="P73" s="3584"/>
      <c r="Q73" s="463"/>
      <c r="R73" s="63"/>
      <c r="U73" s="66"/>
      <c r="V73" s="66"/>
      <c r="W73" s="72"/>
      <c r="X73" s="85"/>
      <c r="Y73" s="73"/>
      <c r="Z73" s="66"/>
      <c r="AA73" s="66"/>
      <c r="AB73" s="66"/>
      <c r="AC73" s="66"/>
      <c r="AD73" s="66"/>
      <c r="AE73" s="66"/>
    </row>
    <row r="74" spans="1:31" ht="18" customHeight="1" x14ac:dyDescent="0.35">
      <c r="A74" s="1572"/>
      <c r="B74" s="3578" t="s">
        <v>122</v>
      </c>
      <c r="C74" s="3579"/>
      <c r="D74" s="3579"/>
      <c r="E74" s="3579"/>
      <c r="F74" s="3579"/>
      <c r="G74" s="3575"/>
      <c r="H74" s="3575"/>
      <c r="I74" s="3575"/>
      <c r="J74" s="3575"/>
      <c r="K74" s="3575"/>
      <c r="L74" s="3575"/>
      <c r="M74" s="3576"/>
      <c r="N74" s="3576"/>
      <c r="O74" s="3576"/>
      <c r="P74" s="3577"/>
      <c r="Q74" s="463"/>
      <c r="R74" s="63"/>
      <c r="U74" s="66"/>
      <c r="V74" s="66"/>
      <c r="W74" s="72"/>
      <c r="X74" s="85"/>
      <c r="Y74" s="73"/>
      <c r="Z74" s="66"/>
      <c r="AA74" s="66"/>
      <c r="AB74" s="66"/>
      <c r="AC74" s="66"/>
      <c r="AD74" s="66"/>
      <c r="AE74" s="66"/>
    </row>
    <row r="75" spans="1:31" ht="18" customHeight="1" x14ac:dyDescent="0.35">
      <c r="A75" s="1572"/>
      <c r="B75" s="3578" t="s">
        <v>123</v>
      </c>
      <c r="C75" s="3579"/>
      <c r="D75" s="3579"/>
      <c r="E75" s="3579"/>
      <c r="F75" s="3579"/>
      <c r="G75" s="3575"/>
      <c r="H75" s="3575"/>
      <c r="I75" s="3575"/>
      <c r="J75" s="3575"/>
      <c r="K75" s="3575">
        <v>0.2</v>
      </c>
      <c r="L75" s="3575"/>
      <c r="M75" s="3576"/>
      <c r="N75" s="3576"/>
      <c r="O75" s="3576"/>
      <c r="P75" s="3577"/>
      <c r="Q75" s="463"/>
      <c r="R75" s="63"/>
      <c r="U75" s="66"/>
      <c r="V75" s="66"/>
      <c r="W75" s="72"/>
      <c r="X75" s="85"/>
      <c r="Y75" s="73"/>
      <c r="Z75" s="66"/>
      <c r="AA75" s="66"/>
      <c r="AB75" s="66"/>
      <c r="AC75" s="66"/>
      <c r="AD75" s="66"/>
      <c r="AE75" s="66"/>
    </row>
    <row r="76" spans="1:31" ht="18" customHeight="1" x14ac:dyDescent="0.35">
      <c r="A76" s="1572"/>
      <c r="B76" s="5343" t="s">
        <v>1388</v>
      </c>
      <c r="C76" s="5344"/>
      <c r="D76" s="5344"/>
      <c r="E76" s="5344"/>
      <c r="F76" s="5345"/>
      <c r="G76" s="3575"/>
      <c r="H76" s="3575"/>
      <c r="I76" s="3575"/>
      <c r="J76" s="3575"/>
      <c r="K76" s="3575">
        <v>5</v>
      </c>
      <c r="L76" s="3575"/>
      <c r="M76" s="3576"/>
      <c r="N76" s="3576"/>
      <c r="O76" s="3576"/>
      <c r="P76" s="3577"/>
      <c r="Q76" s="463"/>
      <c r="R76" s="63"/>
      <c r="U76" s="66"/>
      <c r="V76" s="66"/>
      <c r="W76" s="72"/>
      <c r="X76" s="85"/>
      <c r="Y76" s="73"/>
      <c r="Z76" s="66"/>
      <c r="AA76" s="66"/>
      <c r="AB76" s="66"/>
      <c r="AC76" s="66"/>
      <c r="AD76" s="66"/>
      <c r="AE76" s="66"/>
    </row>
    <row r="77" spans="1:31" ht="18" customHeight="1" thickBot="1" x14ac:dyDescent="0.4">
      <c r="A77" s="1572"/>
      <c r="B77" s="3605"/>
      <c r="C77" s="3606"/>
      <c r="D77" s="3606"/>
      <c r="E77" s="3606"/>
      <c r="F77" s="3607"/>
      <c r="G77" s="3608"/>
      <c r="H77" s="3608"/>
      <c r="I77" s="3609"/>
      <c r="J77" s="3609"/>
      <c r="K77" s="3609"/>
      <c r="L77" s="3609"/>
      <c r="M77" s="3610"/>
      <c r="N77" s="3610"/>
      <c r="O77" s="3610"/>
      <c r="P77" s="3611"/>
      <c r="Q77" s="463"/>
      <c r="R77" s="63"/>
      <c r="U77" s="66"/>
      <c r="V77" s="66"/>
      <c r="W77" s="72"/>
      <c r="X77" s="82"/>
      <c r="Y77" s="73"/>
      <c r="Z77" s="66"/>
      <c r="AA77" s="66"/>
      <c r="AB77" s="66"/>
      <c r="AC77" s="66"/>
      <c r="AD77" s="66"/>
      <c r="AE77" s="66"/>
    </row>
    <row r="78" spans="1:31" ht="21.5" thickTop="1" x14ac:dyDescent="0.35">
      <c r="A78" s="1572"/>
      <c r="B78" s="730"/>
      <c r="C78" s="64"/>
      <c r="D78" s="64"/>
      <c r="E78" s="64"/>
      <c r="F78" s="64"/>
      <c r="G78" s="731"/>
      <c r="H78" s="1572"/>
      <c r="I78" s="732"/>
      <c r="J78" s="1572"/>
      <c r="K78" s="731"/>
      <c r="L78" s="1572"/>
      <c r="M78" s="4452"/>
      <c r="N78" s="4452"/>
      <c r="O78" s="4452"/>
      <c r="P78" s="4452"/>
      <c r="Q78" s="463"/>
      <c r="R78" s="63"/>
      <c r="U78" s="66"/>
      <c r="V78" s="66"/>
      <c r="W78" s="72"/>
      <c r="X78" s="85"/>
      <c r="Y78" s="73"/>
      <c r="Z78" s="66"/>
      <c r="AA78" s="66"/>
      <c r="AB78" s="66"/>
      <c r="AC78" s="66"/>
      <c r="AD78" s="66"/>
      <c r="AE78" s="66"/>
    </row>
    <row r="79" spans="1:31" ht="24" thickBot="1" x14ac:dyDescent="0.4">
      <c r="A79" s="1572"/>
      <c r="B79" s="730"/>
      <c r="C79" s="64"/>
      <c r="D79" s="64"/>
      <c r="E79" s="64"/>
      <c r="F79" s="64"/>
      <c r="G79" s="733"/>
      <c r="H79" s="1572"/>
      <c r="I79" s="733"/>
      <c r="J79" s="1572"/>
      <c r="K79" s="733"/>
      <c r="L79" s="1572"/>
      <c r="M79" s="4452"/>
      <c r="N79" s="4452"/>
      <c r="O79" s="4452"/>
      <c r="P79" s="4452"/>
      <c r="Q79" s="463"/>
      <c r="R79" s="63"/>
      <c r="U79" s="66"/>
      <c r="V79" s="66"/>
      <c r="W79" s="72"/>
      <c r="X79" s="13"/>
      <c r="Y79" s="73"/>
      <c r="Z79" s="66"/>
      <c r="AA79" s="66"/>
      <c r="AB79" s="66"/>
      <c r="AC79" s="66"/>
      <c r="AD79" s="66"/>
      <c r="AE79" s="66"/>
    </row>
    <row r="80" spans="1:31" s="25" customFormat="1" ht="40.5" customHeight="1" thickTop="1" x14ac:dyDescent="0.35">
      <c r="A80" s="704"/>
      <c r="B80" s="5340" t="s">
        <v>1389</v>
      </c>
      <c r="C80" s="5341"/>
      <c r="D80" s="5341"/>
      <c r="E80" s="5341"/>
      <c r="F80" s="5341"/>
      <c r="G80" s="5342" t="str">
        <f>G60</f>
        <v>Grand compte</v>
      </c>
      <c r="H80" s="5342"/>
      <c r="I80" s="5342" t="str">
        <f>I60</f>
        <v>ETI</v>
      </c>
      <c r="J80" s="5342"/>
      <c r="K80" s="5342" t="str">
        <f>K60</f>
        <v>PME</v>
      </c>
      <c r="L80" s="5342"/>
      <c r="M80" s="3530" t="s">
        <v>18</v>
      </c>
      <c r="N80" s="3530"/>
      <c r="O80" s="3530"/>
      <c r="P80" s="3624"/>
      <c r="Q80" s="705"/>
      <c r="R80" s="1607"/>
      <c r="U80" s="75"/>
      <c r="V80" s="75"/>
      <c r="W80" s="76"/>
      <c r="X80" s="77"/>
      <c r="Y80" s="78"/>
      <c r="Z80" s="75"/>
      <c r="AA80" s="75"/>
      <c r="AB80" s="75"/>
      <c r="AC80" s="75"/>
      <c r="AD80" s="75"/>
      <c r="AE80" s="75"/>
    </row>
    <row r="81" spans="1:31" s="25" customFormat="1" ht="10.5" customHeight="1" x14ac:dyDescent="0.35">
      <c r="A81" s="704"/>
      <c r="B81" s="3602"/>
      <c r="C81" s="3603"/>
      <c r="D81" s="3603"/>
      <c r="E81" s="3603"/>
      <c r="F81" s="3603"/>
      <c r="G81" s="3603"/>
      <c r="H81" s="3603"/>
      <c r="I81" s="3603"/>
      <c r="J81" s="3603"/>
      <c r="K81" s="3603"/>
      <c r="L81" s="3603"/>
      <c r="M81" s="3603"/>
      <c r="N81" s="3603"/>
      <c r="O81" s="3603"/>
      <c r="P81" s="3604"/>
      <c r="Q81" s="705"/>
      <c r="R81" s="1607"/>
      <c r="U81" s="75"/>
      <c r="V81" s="75"/>
      <c r="W81" s="76"/>
      <c r="X81" s="77"/>
      <c r="Y81" s="78"/>
      <c r="Z81" s="75"/>
      <c r="AA81" s="75"/>
      <c r="AB81" s="75"/>
      <c r="AC81" s="75"/>
      <c r="AD81" s="75"/>
      <c r="AE81" s="75"/>
    </row>
    <row r="82" spans="1:31" ht="18" customHeight="1" x14ac:dyDescent="0.35">
      <c r="A82" s="1572"/>
      <c r="B82" s="3596" t="s">
        <v>124</v>
      </c>
      <c r="C82" s="3597"/>
      <c r="D82" s="3597"/>
      <c r="E82" s="3597"/>
      <c r="F82" s="3597"/>
      <c r="G82" s="3597"/>
      <c r="H82" s="3597"/>
      <c r="I82" s="3597"/>
      <c r="J82" s="3597"/>
      <c r="K82" s="3597"/>
      <c r="L82" s="3597"/>
      <c r="M82" s="3597"/>
      <c r="N82" s="3597"/>
      <c r="O82" s="3597"/>
      <c r="P82" s="3598"/>
      <c r="Q82" s="463"/>
      <c r="R82" s="63"/>
      <c r="U82" s="66"/>
      <c r="V82" s="66"/>
      <c r="W82" s="72"/>
      <c r="X82" s="85"/>
      <c r="Y82" s="73"/>
      <c r="Z82" s="66"/>
      <c r="AA82" s="66"/>
      <c r="AB82" s="66"/>
      <c r="AC82" s="66"/>
      <c r="AD82" s="66"/>
      <c r="AE82" s="66"/>
    </row>
    <row r="83" spans="1:31" ht="74.25" customHeight="1" x14ac:dyDescent="0.35">
      <c r="A83" s="1572"/>
      <c r="B83" s="3588" t="s">
        <v>1753</v>
      </c>
      <c r="C83" s="3589"/>
      <c r="D83" s="3589"/>
      <c r="E83" s="3589"/>
      <c r="F83" s="3589"/>
      <c r="G83" s="3599"/>
      <c r="H83" s="3599"/>
      <c r="I83" s="3600"/>
      <c r="J83" s="3600"/>
      <c r="K83" s="3599" t="s">
        <v>1637</v>
      </c>
      <c r="L83" s="3599"/>
      <c r="M83" s="3583"/>
      <c r="N83" s="3583"/>
      <c r="O83" s="3583"/>
      <c r="P83" s="3584"/>
      <c r="Q83" s="463"/>
      <c r="R83" s="63"/>
      <c r="U83" s="66"/>
      <c r="V83" s="66"/>
      <c r="W83" s="72"/>
      <c r="X83" s="85"/>
      <c r="Y83" s="73"/>
      <c r="Z83" s="66"/>
      <c r="AA83" s="66"/>
      <c r="AB83" s="66"/>
      <c r="AC83" s="66"/>
      <c r="AD83" s="66"/>
      <c r="AE83" s="66"/>
    </row>
    <row r="84" spans="1:31" ht="18" customHeight="1" x14ac:dyDescent="0.35">
      <c r="A84" s="1572"/>
      <c r="B84" s="3588" t="s">
        <v>1756</v>
      </c>
      <c r="C84" s="3589"/>
      <c r="D84" s="3589"/>
      <c r="E84" s="3589"/>
      <c r="F84" s="3589"/>
      <c r="G84" s="3599"/>
      <c r="H84" s="3599"/>
      <c r="I84" s="3592"/>
      <c r="J84" s="3592"/>
      <c r="K84" s="3592"/>
      <c r="L84" s="3592"/>
      <c r="M84" s="3583"/>
      <c r="N84" s="3583"/>
      <c r="O84" s="3583"/>
      <c r="P84" s="3584"/>
      <c r="Q84" s="463"/>
      <c r="R84" s="63"/>
      <c r="U84" s="66"/>
      <c r="V84" s="66"/>
      <c r="W84" s="72"/>
      <c r="X84" s="85"/>
      <c r="Y84" s="73"/>
      <c r="Z84" s="66"/>
      <c r="AA84" s="66"/>
      <c r="AB84" s="66"/>
      <c r="AC84" s="66"/>
      <c r="AD84" s="66"/>
      <c r="AE84" s="66"/>
    </row>
    <row r="85" spans="1:31" ht="40.5" customHeight="1" x14ac:dyDescent="0.35">
      <c r="A85" s="1572"/>
      <c r="B85" s="3588" t="s">
        <v>1754</v>
      </c>
      <c r="C85" s="3589"/>
      <c r="D85" s="3589"/>
      <c r="E85" s="3589"/>
      <c r="F85" s="3589"/>
      <c r="G85" s="3599"/>
      <c r="H85" s="3599"/>
      <c r="I85" s="3592"/>
      <c r="J85" s="3592"/>
      <c r="K85" s="3592"/>
      <c r="L85" s="3592"/>
      <c r="M85" s="3583"/>
      <c r="N85" s="3583"/>
      <c r="O85" s="3583"/>
      <c r="P85" s="3584"/>
      <c r="Q85" s="463"/>
      <c r="R85" s="63"/>
      <c r="U85" s="66"/>
      <c r="V85" s="66"/>
      <c r="W85" s="72"/>
      <c r="X85" s="85"/>
      <c r="Y85" s="73"/>
      <c r="Z85" s="66"/>
      <c r="AA85" s="66"/>
      <c r="AB85" s="66"/>
      <c r="AC85" s="66"/>
      <c r="AD85" s="66"/>
      <c r="AE85" s="66"/>
    </row>
    <row r="86" spans="1:31" ht="18" customHeight="1" x14ac:dyDescent="0.35">
      <c r="A86" s="1572"/>
      <c r="B86" s="3588"/>
      <c r="C86" s="3589"/>
      <c r="D86" s="3589"/>
      <c r="E86" s="3589"/>
      <c r="F86" s="3589"/>
      <c r="G86" s="3599"/>
      <c r="H86" s="3599"/>
      <c r="I86" s="3592"/>
      <c r="J86" s="3592"/>
      <c r="K86" s="3592"/>
      <c r="L86" s="3592"/>
      <c r="M86" s="3583"/>
      <c r="N86" s="3583"/>
      <c r="O86" s="3583"/>
      <c r="P86" s="3584"/>
      <c r="Q86" s="463"/>
      <c r="R86" s="63"/>
      <c r="U86" s="66"/>
      <c r="V86" s="66"/>
      <c r="W86" s="72"/>
      <c r="X86" s="85"/>
      <c r="Y86" s="73"/>
      <c r="Z86" s="66"/>
      <c r="AA86" s="66"/>
      <c r="AB86" s="66"/>
      <c r="AC86" s="66"/>
      <c r="AD86" s="66"/>
      <c r="AE86" s="66"/>
    </row>
    <row r="87" spans="1:31" ht="18" customHeight="1" x14ac:dyDescent="0.35">
      <c r="A87" s="1572"/>
      <c r="B87" s="3588"/>
      <c r="C87" s="3589"/>
      <c r="D87" s="3589"/>
      <c r="E87" s="3589"/>
      <c r="F87" s="3589"/>
      <c r="G87" s="3599"/>
      <c r="H87" s="3599"/>
      <c r="I87" s="3592"/>
      <c r="J87" s="3592"/>
      <c r="K87" s="3592"/>
      <c r="L87" s="3592"/>
      <c r="M87" s="3583"/>
      <c r="N87" s="3583"/>
      <c r="O87" s="3583"/>
      <c r="P87" s="3584"/>
      <c r="Q87" s="463"/>
      <c r="R87" s="63"/>
      <c r="U87" s="66"/>
      <c r="V87" s="66"/>
      <c r="W87" s="72"/>
      <c r="X87" s="85"/>
      <c r="Y87" s="73"/>
      <c r="Z87" s="66"/>
      <c r="AA87" s="66"/>
      <c r="AB87" s="66"/>
      <c r="AC87" s="66"/>
      <c r="AD87" s="66"/>
      <c r="AE87" s="66"/>
    </row>
    <row r="88" spans="1:31" ht="18" customHeight="1" x14ac:dyDescent="0.35">
      <c r="A88" s="1572"/>
      <c r="B88" s="3588"/>
      <c r="C88" s="3589"/>
      <c r="D88" s="3589"/>
      <c r="E88" s="3589"/>
      <c r="F88" s="3589"/>
      <c r="G88" s="3599"/>
      <c r="H88" s="3599"/>
      <c r="I88" s="3600"/>
      <c r="J88" s="3600"/>
      <c r="K88" s="3601"/>
      <c r="L88" s="3601"/>
      <c r="M88" s="3583"/>
      <c r="N88" s="3583"/>
      <c r="O88" s="3583"/>
      <c r="P88" s="3584"/>
      <c r="Q88" s="463"/>
      <c r="R88" s="63"/>
      <c r="U88" s="66"/>
      <c r="V88" s="66"/>
      <c r="W88" s="72"/>
      <c r="X88" s="85"/>
      <c r="Y88" s="73"/>
      <c r="Z88" s="66"/>
      <c r="AA88" s="66"/>
      <c r="AB88" s="66"/>
      <c r="AC88" s="66"/>
      <c r="AD88" s="66"/>
      <c r="AE88" s="66"/>
    </row>
    <row r="89" spans="1:31" ht="11.25" customHeight="1" x14ac:dyDescent="0.35">
      <c r="A89" s="1572"/>
      <c r="B89" s="3593"/>
      <c r="C89" s="3594"/>
      <c r="D89" s="3594"/>
      <c r="E89" s="3594"/>
      <c r="F89" s="3594"/>
      <c r="G89" s="3594"/>
      <c r="H89" s="3594"/>
      <c r="I89" s="3594"/>
      <c r="J89" s="3594"/>
      <c r="K89" s="3594"/>
      <c r="L89" s="3594"/>
      <c r="M89" s="3594"/>
      <c r="N89" s="3594"/>
      <c r="O89" s="3594"/>
      <c r="P89" s="3595"/>
      <c r="Q89" s="463"/>
      <c r="R89" s="63"/>
      <c r="U89" s="66"/>
      <c r="V89" s="66"/>
      <c r="W89" s="72"/>
      <c r="X89" s="85"/>
      <c r="Y89" s="73"/>
      <c r="Z89" s="66"/>
      <c r="AA89" s="66"/>
      <c r="AB89" s="66"/>
      <c r="AC89" s="66"/>
      <c r="AD89" s="66"/>
      <c r="AE89" s="66"/>
    </row>
    <row r="90" spans="1:31" ht="18" customHeight="1" x14ac:dyDescent="0.35">
      <c r="A90" s="1572"/>
      <c r="B90" s="3596" t="s">
        <v>125</v>
      </c>
      <c r="C90" s="3597"/>
      <c r="D90" s="3597"/>
      <c r="E90" s="3597"/>
      <c r="F90" s="3597"/>
      <c r="G90" s="3597"/>
      <c r="H90" s="3597"/>
      <c r="I90" s="3597"/>
      <c r="J90" s="3597"/>
      <c r="K90" s="3597"/>
      <c r="L90" s="3597"/>
      <c r="M90" s="3597"/>
      <c r="N90" s="3597"/>
      <c r="O90" s="3597"/>
      <c r="P90" s="3598"/>
      <c r="Q90" s="463"/>
      <c r="R90" s="63"/>
      <c r="U90" s="66"/>
      <c r="V90" s="66"/>
      <c r="W90" s="72"/>
      <c r="X90" s="85"/>
      <c r="Y90" s="73"/>
      <c r="Z90" s="66"/>
      <c r="AA90" s="66"/>
      <c r="AB90" s="66"/>
      <c r="AC90" s="66"/>
      <c r="AD90" s="66"/>
      <c r="AE90" s="66"/>
    </row>
    <row r="91" spans="1:31" ht="58.15" customHeight="1" x14ac:dyDescent="0.35">
      <c r="A91" s="1572"/>
      <c r="B91" s="3588" t="s">
        <v>1755</v>
      </c>
      <c r="C91" s="3589"/>
      <c r="D91" s="3589"/>
      <c r="E91" s="3589"/>
      <c r="F91" s="3589"/>
      <c r="G91" s="3590"/>
      <c r="H91" s="3590"/>
      <c r="I91" s="3591"/>
      <c r="J91" s="3591"/>
      <c r="K91" s="3592"/>
      <c r="L91" s="3592"/>
      <c r="M91" s="3583"/>
      <c r="N91" s="3583"/>
      <c r="O91" s="3583"/>
      <c r="P91" s="3584"/>
      <c r="Q91" s="463"/>
      <c r="R91" s="63"/>
      <c r="U91" s="66"/>
      <c r="V91" s="66"/>
      <c r="W91" s="72"/>
      <c r="X91" s="85"/>
      <c r="Y91" s="73"/>
      <c r="Z91" s="66"/>
      <c r="AA91" s="66"/>
      <c r="AB91" s="66"/>
      <c r="AC91" s="66"/>
      <c r="AD91" s="66"/>
      <c r="AE91" s="66"/>
    </row>
    <row r="92" spans="1:31" ht="18" customHeight="1" x14ac:dyDescent="0.35">
      <c r="A92" s="1572"/>
      <c r="B92" s="3588"/>
      <c r="C92" s="3589"/>
      <c r="D92" s="3589"/>
      <c r="E92" s="3589"/>
      <c r="F92" s="3589"/>
      <c r="G92" s="3590"/>
      <c r="H92" s="3590"/>
      <c r="I92" s="3591"/>
      <c r="J92" s="3591"/>
      <c r="K92" s="3592"/>
      <c r="L92" s="3592"/>
      <c r="M92" s="3583"/>
      <c r="N92" s="3583"/>
      <c r="O92" s="3583"/>
      <c r="P92" s="3584"/>
      <c r="Q92" s="463"/>
      <c r="R92" s="63"/>
      <c r="U92" s="66"/>
      <c r="V92" s="66"/>
      <c r="W92" s="72"/>
      <c r="X92" s="85"/>
      <c r="Y92" s="73"/>
      <c r="Z92" s="66"/>
      <c r="AA92" s="66"/>
      <c r="AB92" s="66"/>
      <c r="AC92" s="66"/>
      <c r="AD92" s="66"/>
      <c r="AE92" s="66"/>
    </row>
    <row r="93" spans="1:31" ht="18" customHeight="1" x14ac:dyDescent="0.35">
      <c r="A93" s="1572"/>
      <c r="B93" s="3588"/>
      <c r="C93" s="3589"/>
      <c r="D93" s="3589"/>
      <c r="E93" s="3589"/>
      <c r="F93" s="3589"/>
      <c r="G93" s="3590"/>
      <c r="H93" s="3590"/>
      <c r="I93" s="3591"/>
      <c r="J93" s="3591"/>
      <c r="K93" s="3592"/>
      <c r="L93" s="3592"/>
      <c r="M93" s="3583"/>
      <c r="N93" s="3583"/>
      <c r="O93" s="3583"/>
      <c r="P93" s="3584"/>
      <c r="Q93" s="463"/>
      <c r="R93" s="63"/>
      <c r="U93" s="66"/>
      <c r="V93" s="66"/>
      <c r="W93" s="72"/>
      <c r="X93" s="85"/>
      <c r="Y93" s="73"/>
      <c r="Z93" s="66"/>
      <c r="AA93" s="66"/>
      <c r="AB93" s="66"/>
      <c r="AC93" s="66"/>
      <c r="AD93" s="66"/>
      <c r="AE93" s="66"/>
    </row>
    <row r="94" spans="1:31" ht="18" customHeight="1" x14ac:dyDescent="0.35">
      <c r="A94" s="1572"/>
      <c r="B94" s="3588"/>
      <c r="C94" s="3589"/>
      <c r="D94" s="3589"/>
      <c r="E94" s="3589"/>
      <c r="F94" s="3589"/>
      <c r="G94" s="3590"/>
      <c r="H94" s="3590"/>
      <c r="I94" s="3591"/>
      <c r="J94" s="3591"/>
      <c r="K94" s="3592"/>
      <c r="L94" s="3592"/>
      <c r="M94" s="3583"/>
      <c r="N94" s="3583"/>
      <c r="O94" s="3583"/>
      <c r="P94" s="3584"/>
      <c r="Q94" s="463"/>
      <c r="R94" s="63"/>
      <c r="U94" s="66"/>
      <c r="V94" s="66"/>
      <c r="W94" s="72"/>
      <c r="X94" s="85"/>
      <c r="Y94" s="73"/>
      <c r="Z94" s="66"/>
      <c r="AA94" s="66"/>
      <c r="AB94" s="66"/>
      <c r="AC94" s="66"/>
      <c r="AD94" s="66"/>
      <c r="AE94" s="66"/>
    </row>
    <row r="95" spans="1:31" ht="18" customHeight="1" x14ac:dyDescent="0.65">
      <c r="A95" s="1572"/>
      <c r="B95" s="3588"/>
      <c r="C95" s="3589"/>
      <c r="D95" s="3589"/>
      <c r="E95" s="3589"/>
      <c r="F95" s="3589"/>
      <c r="G95" s="3590"/>
      <c r="H95" s="3590"/>
      <c r="I95" s="3591"/>
      <c r="J95" s="3591"/>
      <c r="K95" s="3592"/>
      <c r="L95" s="3592"/>
      <c r="M95" s="3583"/>
      <c r="N95" s="3583"/>
      <c r="O95" s="3583"/>
      <c r="P95" s="3584"/>
      <c r="Q95" s="463"/>
      <c r="R95" s="63"/>
      <c r="U95" s="66"/>
      <c r="V95" s="66"/>
      <c r="W95" s="72"/>
      <c r="X95" s="19"/>
      <c r="Y95" s="73"/>
      <c r="Z95" s="66"/>
      <c r="AA95" s="66"/>
      <c r="AB95" s="66"/>
      <c r="AC95" s="66"/>
      <c r="AD95" s="66"/>
      <c r="AE95" s="66"/>
    </row>
    <row r="96" spans="1:31" ht="18" customHeight="1" x14ac:dyDescent="0.35">
      <c r="A96" s="1572"/>
      <c r="B96" s="3588"/>
      <c r="C96" s="3589"/>
      <c r="D96" s="3589"/>
      <c r="E96" s="3589"/>
      <c r="F96" s="3589"/>
      <c r="G96" s="3590"/>
      <c r="H96" s="3590"/>
      <c r="I96" s="3591"/>
      <c r="J96" s="3591"/>
      <c r="K96" s="3592"/>
      <c r="L96" s="3592"/>
      <c r="M96" s="3583"/>
      <c r="N96" s="3583"/>
      <c r="O96" s="3583"/>
      <c r="P96" s="3584"/>
      <c r="Q96" s="463"/>
      <c r="R96" s="63"/>
      <c r="U96" s="66"/>
      <c r="V96" s="66"/>
      <c r="W96" s="72"/>
      <c r="X96" s="85"/>
      <c r="Y96" s="73"/>
      <c r="Z96" s="66"/>
      <c r="AA96" s="66"/>
      <c r="AB96" s="66"/>
      <c r="AC96" s="66"/>
      <c r="AD96" s="66"/>
      <c r="AE96" s="66"/>
    </row>
    <row r="97" spans="1:31" ht="18" customHeight="1" x14ac:dyDescent="0.35">
      <c r="A97" s="1572"/>
      <c r="B97" s="3588"/>
      <c r="C97" s="3589"/>
      <c r="D97" s="3589"/>
      <c r="E97" s="3589"/>
      <c r="F97" s="3589"/>
      <c r="G97" s="3590"/>
      <c r="H97" s="3590"/>
      <c r="I97" s="3591"/>
      <c r="J97" s="3591"/>
      <c r="K97" s="3592"/>
      <c r="L97" s="3592"/>
      <c r="M97" s="3583"/>
      <c r="N97" s="3583"/>
      <c r="O97" s="3583"/>
      <c r="P97" s="3584"/>
      <c r="Q97" s="463"/>
      <c r="R97" s="63"/>
      <c r="U97" s="66"/>
      <c r="V97" s="66"/>
      <c r="W97" s="72"/>
      <c r="X97" s="85"/>
      <c r="Y97" s="73"/>
      <c r="Z97" s="66"/>
      <c r="AA97" s="66"/>
      <c r="AB97" s="66"/>
      <c r="AC97" s="66"/>
      <c r="AD97" s="66"/>
      <c r="AE97" s="66"/>
    </row>
    <row r="98" spans="1:31" ht="11.25" customHeight="1" thickBot="1" x14ac:dyDescent="0.4">
      <c r="A98" s="1572"/>
      <c r="B98" s="3585"/>
      <c r="C98" s="3586"/>
      <c r="D98" s="3586"/>
      <c r="E98" s="3586"/>
      <c r="F98" s="3586"/>
      <c r="G98" s="3586"/>
      <c r="H98" s="3586"/>
      <c r="I98" s="3586"/>
      <c r="J98" s="3586"/>
      <c r="K98" s="3586"/>
      <c r="L98" s="3586"/>
      <c r="M98" s="3586"/>
      <c r="N98" s="3586"/>
      <c r="O98" s="3586"/>
      <c r="P98" s="3587"/>
      <c r="Q98" s="463"/>
      <c r="R98" s="63"/>
      <c r="U98" s="66"/>
      <c r="V98" s="66"/>
      <c r="W98" s="72"/>
      <c r="X98" s="85"/>
      <c r="Y98" s="73"/>
      <c r="Z98" s="66"/>
      <c r="AA98" s="66"/>
      <c r="AB98" s="66"/>
      <c r="AC98" s="66"/>
      <c r="AD98" s="66"/>
      <c r="AE98" s="66"/>
    </row>
    <row r="99" spans="1:31" ht="15" thickTop="1" x14ac:dyDescent="0.35">
      <c r="A99" s="1572"/>
      <c r="B99" s="1572"/>
      <c r="C99" s="64"/>
      <c r="D99" s="64"/>
      <c r="E99" s="64"/>
      <c r="F99" s="64"/>
      <c r="G99" s="64"/>
      <c r="H99" s="1572"/>
      <c r="I99" s="1572"/>
      <c r="J99" s="1572"/>
      <c r="K99" s="1572"/>
      <c r="L99" s="1572"/>
      <c r="M99" s="1572"/>
      <c r="N99" s="1572"/>
      <c r="O99" s="1572"/>
      <c r="P99" s="1572"/>
      <c r="Q99" s="463"/>
      <c r="R99" s="63"/>
      <c r="U99" s="93"/>
      <c r="V99" s="93"/>
      <c r="W99" s="73"/>
      <c r="X99" s="73"/>
      <c r="Y99" s="73"/>
      <c r="Z99" s="66"/>
      <c r="AA99" s="66"/>
      <c r="AB99" s="66"/>
      <c r="AC99" s="66"/>
      <c r="AD99" s="66"/>
      <c r="AE99" s="66"/>
    </row>
    <row r="100" spans="1:31" ht="15" thickBot="1" x14ac:dyDescent="0.4">
      <c r="A100" s="64"/>
      <c r="B100" s="64"/>
      <c r="C100" s="64"/>
      <c r="D100" s="64"/>
      <c r="E100" s="64"/>
      <c r="F100" s="64"/>
      <c r="G100" s="64"/>
      <c r="H100" s="64"/>
      <c r="I100" s="64"/>
      <c r="J100" s="64"/>
      <c r="K100" s="64"/>
      <c r="L100" s="64"/>
      <c r="M100" s="64"/>
      <c r="N100" s="64"/>
      <c r="O100" s="64"/>
      <c r="P100" s="64"/>
      <c r="Q100" s="64"/>
    </row>
    <row r="101" spans="1:31" ht="19.5" thickTop="1" thickBot="1" x14ac:dyDescent="0.4">
      <c r="A101" s="3883" t="s">
        <v>10</v>
      </c>
      <c r="B101" s="3884"/>
      <c r="C101" s="3884"/>
      <c r="D101" s="3884"/>
      <c r="E101" s="3884"/>
      <c r="F101" s="3884"/>
      <c r="G101" s="3884"/>
      <c r="H101" s="3884"/>
      <c r="I101" s="3884"/>
      <c r="J101" s="3884"/>
      <c r="K101" s="3884"/>
      <c r="L101" s="30"/>
      <c r="M101" s="3725" t="s">
        <v>748</v>
      </c>
      <c r="N101" s="3726"/>
      <c r="O101" s="3727"/>
      <c r="P101" s="31"/>
      <c r="Q101" s="64"/>
      <c r="R101" s="64"/>
      <c r="S101" s="64"/>
      <c r="T101" s="64"/>
    </row>
    <row r="102" spans="1:31" ht="21" customHeight="1" x14ac:dyDescent="0.35">
      <c r="A102" s="5335" t="s">
        <v>751</v>
      </c>
      <c r="B102" s="5336"/>
      <c r="C102" s="5336"/>
      <c r="D102" s="5336"/>
      <c r="E102" s="5336"/>
      <c r="F102" s="5336"/>
      <c r="G102" s="5336"/>
      <c r="H102" s="5336"/>
      <c r="I102" s="5336"/>
      <c r="J102" s="5336"/>
      <c r="K102" s="5337"/>
      <c r="L102" s="30"/>
      <c r="M102" s="3750" t="s">
        <v>1390</v>
      </c>
      <c r="N102" s="5066"/>
      <c r="O102" s="3752"/>
      <c r="P102" s="31"/>
      <c r="Q102" s="64"/>
      <c r="R102" s="64"/>
      <c r="S102" s="64"/>
      <c r="T102" s="64"/>
    </row>
    <row r="103" spans="1:31" ht="21" customHeight="1" x14ac:dyDescent="0.35">
      <c r="A103" s="5328"/>
      <c r="B103" s="5329"/>
      <c r="C103" s="5329"/>
      <c r="D103" s="5329"/>
      <c r="E103" s="5329"/>
      <c r="F103" s="5329"/>
      <c r="G103" s="5329"/>
      <c r="H103" s="5329"/>
      <c r="I103" s="5329"/>
      <c r="J103" s="5329"/>
      <c r="K103" s="5330"/>
      <c r="L103" s="30"/>
      <c r="M103" s="3753"/>
      <c r="N103" s="3754"/>
      <c r="O103" s="5067"/>
      <c r="P103" s="31"/>
      <c r="Q103" s="64"/>
      <c r="R103" s="64"/>
      <c r="S103" s="64"/>
      <c r="T103" s="64"/>
    </row>
    <row r="104" spans="1:31" ht="21" customHeight="1" x14ac:dyDescent="0.35">
      <c r="A104" s="5328"/>
      <c r="B104" s="5329"/>
      <c r="C104" s="5329"/>
      <c r="D104" s="5329"/>
      <c r="E104" s="5329"/>
      <c r="F104" s="5329"/>
      <c r="G104" s="5329"/>
      <c r="H104" s="5329"/>
      <c r="I104" s="5329"/>
      <c r="J104" s="5329"/>
      <c r="K104" s="5330"/>
      <c r="L104" s="30"/>
      <c r="M104" s="3753"/>
      <c r="N104" s="3754"/>
      <c r="O104" s="5067"/>
      <c r="P104" s="31"/>
      <c r="Q104" s="64"/>
      <c r="R104" s="64"/>
      <c r="S104" s="64"/>
      <c r="T104" s="64"/>
    </row>
    <row r="105" spans="1:31" ht="21" customHeight="1" x14ac:dyDescent="0.35">
      <c r="A105" s="5328"/>
      <c r="B105" s="5329"/>
      <c r="C105" s="5329"/>
      <c r="D105" s="5329"/>
      <c r="E105" s="5329"/>
      <c r="F105" s="5329"/>
      <c r="G105" s="5329"/>
      <c r="H105" s="5329"/>
      <c r="I105" s="5329"/>
      <c r="J105" s="5329"/>
      <c r="K105" s="5330"/>
      <c r="L105" s="30"/>
      <c r="M105" s="3753"/>
      <c r="N105" s="3754"/>
      <c r="O105" s="5067"/>
      <c r="P105" s="31"/>
      <c r="Q105" s="64"/>
      <c r="R105" s="64"/>
      <c r="S105" s="64"/>
      <c r="T105" s="64"/>
    </row>
    <row r="106" spans="1:31" ht="15" thickBot="1" x14ac:dyDescent="0.4">
      <c r="A106" s="5331"/>
      <c r="B106" s="5332"/>
      <c r="C106" s="5332"/>
      <c r="D106" s="5332"/>
      <c r="E106" s="5332"/>
      <c r="F106" s="5332"/>
      <c r="G106" s="5332"/>
      <c r="H106" s="5332"/>
      <c r="I106" s="5332"/>
      <c r="J106" s="5332"/>
      <c r="K106" s="5333"/>
      <c r="L106" s="64"/>
      <c r="M106" s="5334"/>
      <c r="N106" s="3757"/>
      <c r="O106" s="3758"/>
      <c r="P106" s="64"/>
      <c r="Q106" s="64"/>
      <c r="R106" s="64"/>
      <c r="S106" s="64"/>
      <c r="T106" s="64"/>
    </row>
    <row r="107" spans="1:31" ht="15.5" thickTop="1" thickBot="1" x14ac:dyDescent="0.4">
      <c r="A107" s="64"/>
      <c r="B107" s="64"/>
      <c r="C107" s="64"/>
      <c r="D107" s="64"/>
      <c r="E107" s="64"/>
      <c r="F107" s="64"/>
      <c r="G107" s="64"/>
      <c r="H107" s="64"/>
      <c r="I107" s="64"/>
      <c r="J107" s="64"/>
      <c r="K107" s="64"/>
      <c r="L107" s="31"/>
      <c r="M107" s="64"/>
      <c r="N107" s="64"/>
      <c r="O107" s="64"/>
      <c r="P107" s="31"/>
      <c r="Q107" s="64"/>
      <c r="R107" s="64"/>
      <c r="S107" s="64"/>
      <c r="T107" s="64"/>
    </row>
    <row r="108" spans="1:31" ht="21" customHeight="1" thickTop="1" thickBot="1" x14ac:dyDescent="0.4">
      <c r="A108" s="5338" t="s">
        <v>11</v>
      </c>
      <c r="B108" s="5339"/>
      <c r="C108" s="5339"/>
      <c r="D108" s="5339"/>
      <c r="E108" s="5339"/>
      <c r="F108" s="5339"/>
      <c r="G108" s="5339"/>
      <c r="H108" s="5339"/>
      <c r="I108" s="5339"/>
      <c r="J108" s="5339"/>
      <c r="K108" s="5339"/>
      <c r="L108" s="30"/>
      <c r="M108" s="3725" t="s">
        <v>748</v>
      </c>
      <c r="N108" s="3726"/>
      <c r="O108" s="3727"/>
      <c r="P108" s="31"/>
      <c r="Q108" s="64"/>
      <c r="R108" s="64"/>
      <c r="S108" s="64"/>
      <c r="T108" s="64"/>
    </row>
    <row r="109" spans="1:31" ht="21" customHeight="1" thickTop="1" x14ac:dyDescent="0.35">
      <c r="A109" s="5325" t="s">
        <v>1392</v>
      </c>
      <c r="B109" s="5326"/>
      <c r="C109" s="5326"/>
      <c r="D109" s="5326"/>
      <c r="E109" s="5326"/>
      <c r="F109" s="5326"/>
      <c r="G109" s="5326"/>
      <c r="H109" s="5326"/>
      <c r="I109" s="5326"/>
      <c r="J109" s="5326"/>
      <c r="K109" s="5327"/>
      <c r="L109" s="31"/>
      <c r="M109" s="3750" t="s">
        <v>1391</v>
      </c>
      <c r="N109" s="5066"/>
      <c r="O109" s="3752"/>
      <c r="P109" s="31"/>
      <c r="Q109" s="64"/>
      <c r="R109" s="64"/>
      <c r="S109" s="64"/>
      <c r="T109" s="64"/>
    </row>
    <row r="110" spans="1:31" ht="21" customHeight="1" x14ac:dyDescent="0.35">
      <c r="A110" s="5328"/>
      <c r="B110" s="5329"/>
      <c r="C110" s="5329"/>
      <c r="D110" s="5329"/>
      <c r="E110" s="5329"/>
      <c r="F110" s="5329"/>
      <c r="G110" s="5329"/>
      <c r="H110" s="5329"/>
      <c r="I110" s="5329"/>
      <c r="J110" s="5329"/>
      <c r="K110" s="5330"/>
      <c r="L110" s="31"/>
      <c r="M110" s="3753"/>
      <c r="N110" s="3754"/>
      <c r="O110" s="5067"/>
      <c r="P110" s="31"/>
      <c r="Q110" s="64"/>
      <c r="R110" s="64"/>
      <c r="S110" s="64"/>
      <c r="T110" s="64"/>
    </row>
    <row r="111" spans="1:31" ht="37.5" customHeight="1" x14ac:dyDescent="0.35">
      <c r="A111" s="5328"/>
      <c r="B111" s="5329"/>
      <c r="C111" s="5329"/>
      <c r="D111" s="5329"/>
      <c r="E111" s="5329"/>
      <c r="F111" s="5329"/>
      <c r="G111" s="5329"/>
      <c r="H111" s="5329"/>
      <c r="I111" s="5329"/>
      <c r="J111" s="5329"/>
      <c r="K111" s="5330"/>
      <c r="L111" s="31"/>
      <c r="M111" s="3753"/>
      <c r="N111" s="3754"/>
      <c r="O111" s="5067"/>
      <c r="P111" s="31"/>
      <c r="Q111" s="64"/>
      <c r="R111" s="64"/>
      <c r="S111" s="64"/>
      <c r="T111" s="64"/>
    </row>
    <row r="112" spans="1:31" x14ac:dyDescent="0.35">
      <c r="A112" s="5328"/>
      <c r="B112" s="5329"/>
      <c r="C112" s="5329"/>
      <c r="D112" s="5329"/>
      <c r="E112" s="5329"/>
      <c r="F112" s="5329"/>
      <c r="G112" s="5329"/>
      <c r="H112" s="5329"/>
      <c r="I112" s="5329"/>
      <c r="J112" s="5329"/>
      <c r="K112" s="5330"/>
      <c r="L112" s="64"/>
      <c r="M112" s="3753"/>
      <c r="N112" s="3754"/>
      <c r="O112" s="5067"/>
      <c r="P112" s="64"/>
      <c r="Q112" s="64"/>
    </row>
    <row r="113" spans="1:17" ht="15" thickBot="1" x14ac:dyDescent="0.4">
      <c r="A113" s="5331"/>
      <c r="B113" s="5332"/>
      <c r="C113" s="5332"/>
      <c r="D113" s="5332"/>
      <c r="E113" s="5332"/>
      <c r="F113" s="5332"/>
      <c r="G113" s="5332"/>
      <c r="H113" s="5332"/>
      <c r="I113" s="5332"/>
      <c r="J113" s="5332"/>
      <c r="K113" s="5333"/>
      <c r="L113" s="64"/>
      <c r="M113" s="5334"/>
      <c r="N113" s="3757"/>
      <c r="O113" s="3758"/>
      <c r="P113" s="64"/>
      <c r="Q113" s="64"/>
    </row>
    <row r="114" spans="1:17" ht="15" thickTop="1" x14ac:dyDescent="0.35">
      <c r="A114" s="64"/>
      <c r="B114" s="64"/>
      <c r="C114" s="64"/>
      <c r="D114" s="64"/>
      <c r="E114" s="64"/>
      <c r="F114" s="64"/>
      <c r="G114" s="64"/>
      <c r="H114" s="64"/>
      <c r="I114" s="64"/>
      <c r="J114" s="64"/>
      <c r="K114" s="64"/>
      <c r="L114" s="64"/>
      <c r="M114" s="64"/>
      <c r="N114" s="64"/>
      <c r="O114" s="64"/>
      <c r="P114" s="64"/>
      <c r="Q114" s="64"/>
    </row>
    <row r="115" spans="1:17" x14ac:dyDescent="0.35">
      <c r="A115" s="64"/>
      <c r="B115" s="64"/>
      <c r="C115" s="64"/>
      <c r="D115" s="64"/>
      <c r="E115" s="64"/>
      <c r="F115" s="64"/>
      <c r="G115" s="64"/>
      <c r="H115" s="64"/>
      <c r="I115" s="64"/>
      <c r="J115" s="64"/>
      <c r="K115" s="64"/>
      <c r="L115" s="64"/>
      <c r="M115" s="64"/>
      <c r="N115" s="64"/>
      <c r="O115" s="64"/>
      <c r="P115" s="64"/>
      <c r="Q115" s="64"/>
    </row>
    <row r="116" spans="1:17" x14ac:dyDescent="0.35">
      <c r="A116" s="64"/>
      <c r="B116" s="64"/>
      <c r="C116" s="64"/>
      <c r="D116" s="64"/>
      <c r="E116" s="64"/>
      <c r="F116" s="64"/>
      <c r="G116" s="64"/>
      <c r="H116" s="64"/>
      <c r="I116" s="64"/>
      <c r="J116" s="64"/>
      <c r="K116" s="64"/>
      <c r="L116" s="64"/>
      <c r="M116" s="64"/>
      <c r="N116" s="64"/>
      <c r="O116" s="64"/>
      <c r="P116" s="64"/>
      <c r="Q116" s="64"/>
    </row>
    <row r="117" spans="1:17" x14ac:dyDescent="0.35">
      <c r="A117" s="64"/>
      <c r="B117" s="64"/>
      <c r="C117" s="64"/>
      <c r="D117" s="64"/>
      <c r="E117" s="64"/>
      <c r="F117" s="64"/>
      <c r="G117" s="64"/>
      <c r="H117" s="64"/>
      <c r="I117" s="64"/>
      <c r="J117" s="64"/>
      <c r="K117" s="64"/>
      <c r="L117" s="64"/>
      <c r="M117" s="64"/>
      <c r="N117" s="64"/>
      <c r="O117" s="64"/>
      <c r="P117" s="64"/>
      <c r="Q117" s="64"/>
    </row>
    <row r="118" spans="1:17" x14ac:dyDescent="0.35">
      <c r="A118" s="64"/>
      <c r="B118" s="64"/>
      <c r="C118" s="64"/>
      <c r="D118" s="64"/>
      <c r="E118" s="64"/>
      <c r="F118" s="64"/>
      <c r="G118" s="64"/>
      <c r="H118" s="64"/>
      <c r="I118" s="64"/>
      <c r="J118" s="64"/>
      <c r="K118" s="64"/>
      <c r="L118" s="64"/>
      <c r="M118" s="64"/>
      <c r="N118" s="64"/>
      <c r="O118" s="64"/>
      <c r="P118" s="64"/>
      <c r="Q118" s="64"/>
    </row>
    <row r="119" spans="1:17" x14ac:dyDescent="0.35">
      <c r="A119" s="64"/>
      <c r="B119" s="64"/>
      <c r="C119" s="64"/>
      <c r="D119" s="64"/>
      <c r="E119" s="64"/>
      <c r="F119" s="64"/>
      <c r="G119" s="64"/>
      <c r="H119" s="64"/>
      <c r="I119" s="64"/>
      <c r="J119" s="64"/>
      <c r="K119" s="64"/>
      <c r="L119" s="64"/>
      <c r="M119" s="64"/>
      <c r="N119" s="64"/>
      <c r="O119" s="64"/>
      <c r="P119" s="64"/>
      <c r="Q119" s="64"/>
    </row>
    <row r="120" spans="1:17" x14ac:dyDescent="0.35">
      <c r="A120" s="64"/>
      <c r="B120" s="64"/>
      <c r="C120" s="64"/>
      <c r="D120" s="64"/>
      <c r="E120" s="64"/>
      <c r="F120" s="64"/>
      <c r="G120" s="64"/>
      <c r="H120" s="64"/>
      <c r="I120" s="64"/>
      <c r="J120" s="64"/>
      <c r="K120" s="64"/>
      <c r="L120" s="64"/>
      <c r="M120" s="64"/>
      <c r="N120" s="64"/>
      <c r="O120" s="64"/>
      <c r="P120" s="64"/>
      <c r="Q120" s="64"/>
    </row>
    <row r="121" spans="1:17" x14ac:dyDescent="0.35">
      <c r="A121" s="64"/>
      <c r="B121" s="64"/>
      <c r="C121" s="64"/>
      <c r="D121" s="64"/>
      <c r="E121" s="64"/>
      <c r="F121" s="64"/>
      <c r="G121" s="64"/>
      <c r="H121" s="64"/>
      <c r="I121" s="64"/>
      <c r="J121" s="64"/>
      <c r="K121" s="64"/>
      <c r="L121" s="64"/>
      <c r="M121" s="64"/>
      <c r="N121" s="64"/>
      <c r="O121" s="64"/>
      <c r="P121" s="64"/>
      <c r="Q121" s="64"/>
    </row>
    <row r="122" spans="1:17" x14ac:dyDescent="0.35">
      <c r="A122" s="64"/>
      <c r="B122" s="64"/>
      <c r="C122" s="64"/>
      <c r="D122" s="64"/>
      <c r="E122" s="64"/>
      <c r="F122" s="64"/>
      <c r="G122" s="64"/>
      <c r="H122" s="64"/>
      <c r="I122" s="64"/>
      <c r="J122" s="64"/>
      <c r="K122" s="64"/>
      <c r="L122" s="64"/>
      <c r="M122" s="64"/>
      <c r="N122" s="64"/>
      <c r="O122" s="64"/>
      <c r="P122" s="64"/>
      <c r="Q122" s="64"/>
    </row>
    <row r="123" spans="1:17" x14ac:dyDescent="0.35">
      <c r="A123" s="64"/>
      <c r="B123" s="64"/>
      <c r="C123" s="64"/>
      <c r="D123" s="64"/>
      <c r="E123" s="64"/>
      <c r="F123" s="64"/>
      <c r="G123" s="64"/>
      <c r="H123" s="64"/>
      <c r="I123" s="64"/>
      <c r="J123" s="64"/>
      <c r="K123" s="64"/>
      <c r="L123" s="64"/>
      <c r="M123" s="64"/>
      <c r="N123" s="64"/>
      <c r="O123" s="64"/>
      <c r="P123" s="64"/>
      <c r="Q123" s="64"/>
    </row>
    <row r="124" spans="1:17" x14ac:dyDescent="0.35">
      <c r="A124" s="64"/>
      <c r="B124" s="64"/>
      <c r="C124" s="64"/>
      <c r="D124" s="64"/>
      <c r="E124" s="64"/>
      <c r="F124" s="64"/>
      <c r="G124" s="64"/>
      <c r="H124" s="64"/>
      <c r="I124" s="64"/>
      <c r="J124" s="64"/>
      <c r="K124" s="64"/>
      <c r="L124" s="64"/>
      <c r="M124" s="64"/>
      <c r="N124" s="64"/>
      <c r="O124" s="64"/>
      <c r="P124" s="64"/>
      <c r="Q124" s="64"/>
    </row>
    <row r="125" spans="1:17" x14ac:dyDescent="0.35">
      <c r="A125" s="64"/>
      <c r="B125" s="64"/>
      <c r="C125" s="64"/>
      <c r="D125" s="64"/>
      <c r="E125" s="64"/>
      <c r="F125" s="64"/>
      <c r="G125" s="64"/>
      <c r="H125" s="64"/>
      <c r="I125" s="64"/>
      <c r="J125" s="64"/>
      <c r="K125" s="64"/>
      <c r="L125" s="64"/>
      <c r="M125" s="64"/>
      <c r="N125" s="64"/>
      <c r="O125" s="64"/>
      <c r="P125" s="64"/>
      <c r="Q125" s="64"/>
    </row>
    <row r="126" spans="1:17" x14ac:dyDescent="0.35">
      <c r="A126" s="64"/>
      <c r="B126" s="64"/>
      <c r="C126" s="64"/>
      <c r="D126" s="64"/>
      <c r="E126" s="64"/>
      <c r="F126" s="64"/>
      <c r="G126" s="64"/>
      <c r="H126" s="64"/>
      <c r="I126" s="64"/>
      <c r="J126" s="64"/>
      <c r="K126" s="64"/>
      <c r="L126" s="64"/>
      <c r="M126" s="64"/>
      <c r="N126" s="64"/>
      <c r="O126" s="64"/>
      <c r="P126" s="64"/>
      <c r="Q126" s="64"/>
    </row>
    <row r="127" spans="1:17" x14ac:dyDescent="0.35">
      <c r="A127" s="64"/>
      <c r="B127" s="64"/>
      <c r="C127" s="64"/>
      <c r="D127" s="64"/>
      <c r="E127" s="64"/>
      <c r="F127" s="64"/>
      <c r="G127" s="64"/>
      <c r="H127" s="64"/>
      <c r="I127" s="64"/>
      <c r="J127" s="64"/>
      <c r="K127" s="64"/>
      <c r="L127" s="64"/>
      <c r="M127" s="64"/>
      <c r="N127" s="64"/>
      <c r="O127" s="64"/>
      <c r="P127" s="64"/>
      <c r="Q127" s="64"/>
    </row>
    <row r="128" spans="1:17" x14ac:dyDescent="0.35">
      <c r="A128" s="64"/>
      <c r="B128" s="64"/>
      <c r="C128" s="64"/>
      <c r="D128" s="64"/>
      <c r="E128" s="64"/>
      <c r="F128" s="64"/>
      <c r="G128" s="64"/>
      <c r="H128" s="64"/>
      <c r="I128" s="64"/>
      <c r="J128" s="64"/>
      <c r="K128" s="64"/>
      <c r="L128" s="64"/>
      <c r="M128" s="64"/>
      <c r="N128" s="64"/>
      <c r="O128" s="64"/>
      <c r="P128" s="64"/>
      <c r="Q128" s="64"/>
    </row>
    <row r="129" spans="1:17" x14ac:dyDescent="0.35">
      <c r="A129" s="64"/>
      <c r="B129" s="64"/>
      <c r="C129" s="64"/>
      <c r="D129" s="64"/>
      <c r="E129" s="64"/>
      <c r="F129" s="64"/>
      <c r="G129" s="64"/>
      <c r="H129" s="64"/>
      <c r="I129" s="64"/>
      <c r="J129" s="64"/>
      <c r="K129" s="64"/>
      <c r="L129" s="64"/>
      <c r="M129" s="64"/>
      <c r="N129" s="64"/>
      <c r="O129" s="64"/>
      <c r="P129" s="64"/>
      <c r="Q129" s="64"/>
    </row>
    <row r="130" spans="1:17" x14ac:dyDescent="0.35">
      <c r="A130" s="64"/>
      <c r="B130" s="64"/>
      <c r="C130" s="64"/>
      <c r="D130" s="64"/>
      <c r="E130" s="64"/>
      <c r="F130" s="64"/>
      <c r="G130" s="64"/>
      <c r="H130" s="64"/>
      <c r="I130" s="64"/>
      <c r="J130" s="64"/>
      <c r="K130" s="64"/>
      <c r="L130" s="64"/>
      <c r="M130" s="64"/>
      <c r="N130" s="64"/>
      <c r="O130" s="64"/>
      <c r="P130" s="64"/>
      <c r="Q130" s="64"/>
    </row>
    <row r="131" spans="1:17" x14ac:dyDescent="0.35">
      <c r="A131" s="64"/>
      <c r="B131" s="64"/>
      <c r="C131" s="64"/>
      <c r="D131" s="64"/>
      <c r="E131" s="64"/>
      <c r="F131" s="64"/>
      <c r="G131" s="64"/>
      <c r="H131" s="64"/>
      <c r="I131" s="64"/>
      <c r="J131" s="64"/>
      <c r="K131" s="64"/>
      <c r="L131" s="64"/>
      <c r="M131" s="64"/>
      <c r="N131" s="64"/>
      <c r="O131" s="64"/>
      <c r="P131" s="64"/>
      <c r="Q131" s="64"/>
    </row>
    <row r="132" spans="1:17" x14ac:dyDescent="0.35">
      <c r="A132" s="64"/>
      <c r="B132" s="64"/>
      <c r="C132" s="64"/>
      <c r="D132" s="64"/>
      <c r="E132" s="64"/>
      <c r="F132" s="64"/>
      <c r="G132" s="64"/>
      <c r="H132" s="64"/>
      <c r="I132" s="64"/>
      <c r="J132" s="64"/>
      <c r="K132" s="64"/>
      <c r="L132" s="64"/>
      <c r="M132" s="64"/>
      <c r="N132" s="64"/>
      <c r="O132" s="64"/>
      <c r="P132" s="64"/>
      <c r="Q132" s="64"/>
    </row>
    <row r="133" spans="1:17" x14ac:dyDescent="0.35">
      <c r="A133" s="64"/>
      <c r="B133" s="64"/>
      <c r="C133" s="64"/>
      <c r="D133" s="64"/>
      <c r="E133" s="64"/>
      <c r="F133" s="64"/>
      <c r="G133" s="64"/>
      <c r="H133" s="64"/>
      <c r="I133" s="64"/>
      <c r="J133" s="64"/>
      <c r="K133" s="64"/>
      <c r="L133" s="64"/>
      <c r="M133" s="64"/>
      <c r="N133" s="64"/>
      <c r="O133" s="64"/>
      <c r="P133" s="64"/>
      <c r="Q133" s="64"/>
    </row>
    <row r="134" spans="1:17" x14ac:dyDescent="0.35">
      <c r="A134" s="64"/>
      <c r="B134" s="64"/>
      <c r="C134" s="64"/>
      <c r="D134" s="64"/>
      <c r="E134" s="64"/>
      <c r="F134" s="64"/>
      <c r="G134" s="64"/>
      <c r="H134" s="64"/>
      <c r="I134" s="64"/>
      <c r="J134" s="64"/>
      <c r="K134" s="64"/>
      <c r="L134" s="64"/>
      <c r="M134" s="64"/>
      <c r="N134" s="64"/>
      <c r="O134" s="64"/>
      <c r="P134" s="64"/>
      <c r="Q134" s="64"/>
    </row>
    <row r="135" spans="1:17" x14ac:dyDescent="0.35">
      <c r="A135" s="64"/>
      <c r="B135" s="64"/>
      <c r="C135" s="64"/>
      <c r="D135" s="64"/>
      <c r="E135" s="64"/>
      <c r="F135" s="64"/>
      <c r="G135" s="64"/>
      <c r="H135" s="64"/>
      <c r="I135" s="64"/>
      <c r="J135" s="64"/>
      <c r="K135" s="64"/>
      <c r="L135" s="64"/>
      <c r="M135" s="64"/>
      <c r="N135" s="64"/>
      <c r="O135" s="64"/>
      <c r="P135" s="64"/>
      <c r="Q135" s="64"/>
    </row>
    <row r="136" spans="1:17" x14ac:dyDescent="0.35">
      <c r="A136" s="64"/>
      <c r="B136" s="64"/>
      <c r="C136" s="64"/>
      <c r="D136" s="64"/>
      <c r="E136" s="64"/>
      <c r="F136" s="64"/>
      <c r="G136" s="64"/>
      <c r="H136" s="64"/>
      <c r="I136" s="64"/>
      <c r="J136" s="64"/>
      <c r="K136" s="64"/>
      <c r="L136" s="64"/>
      <c r="M136" s="64"/>
      <c r="N136" s="64"/>
      <c r="O136" s="64"/>
      <c r="P136" s="64"/>
      <c r="Q136" s="64"/>
    </row>
    <row r="137" spans="1:17" x14ac:dyDescent="0.35">
      <c r="A137" s="64"/>
      <c r="B137" s="64"/>
      <c r="C137" s="64"/>
      <c r="D137" s="64"/>
      <c r="E137" s="64"/>
      <c r="F137" s="64"/>
      <c r="G137" s="64"/>
      <c r="H137" s="64"/>
      <c r="I137" s="64"/>
      <c r="J137" s="64"/>
      <c r="K137" s="64"/>
      <c r="L137" s="64"/>
      <c r="M137" s="64"/>
      <c r="N137" s="64"/>
      <c r="O137" s="64"/>
      <c r="P137" s="64"/>
      <c r="Q137" s="64"/>
    </row>
  </sheetData>
  <mergeCells count="394">
    <mergeCell ref="D1:G1"/>
    <mergeCell ref="I1:J1"/>
    <mergeCell ref="L1:M1"/>
    <mergeCell ref="D2:G2"/>
    <mergeCell ref="I2:J2"/>
    <mergeCell ref="L2:M2"/>
    <mergeCell ref="B7:F7"/>
    <mergeCell ref="G7:H7"/>
    <mergeCell ref="I7:J7"/>
    <mergeCell ref="K7:L7"/>
    <mergeCell ref="M7:P7"/>
    <mergeCell ref="D3:G3"/>
    <mergeCell ref="B26:P26"/>
    <mergeCell ref="B8:P8"/>
    <mergeCell ref="A4:G4"/>
    <mergeCell ref="H4:P4"/>
    <mergeCell ref="A5:B5"/>
    <mergeCell ref="C5:P5"/>
    <mergeCell ref="A6:B6"/>
    <mergeCell ref="C6:P6"/>
    <mergeCell ref="B9:F9"/>
    <mergeCell ref="G9:H9"/>
    <mergeCell ref="B10:F10"/>
    <mergeCell ref="G10:H10"/>
    <mergeCell ref="I10:J10"/>
    <mergeCell ref="K10:L10"/>
    <mergeCell ref="M10:P10"/>
    <mergeCell ref="B11:F11"/>
    <mergeCell ref="G11:H11"/>
    <mergeCell ref="I11:J11"/>
    <mergeCell ref="K11:L11"/>
    <mergeCell ref="M11:P11"/>
    <mergeCell ref="B12:F12"/>
    <mergeCell ref="G12:H12"/>
    <mergeCell ref="I12:J12"/>
    <mergeCell ref="K12:L12"/>
    <mergeCell ref="M28:P28"/>
    <mergeCell ref="B29:F29"/>
    <mergeCell ref="G29:H29"/>
    <mergeCell ref="I29:J29"/>
    <mergeCell ref="K29:L29"/>
    <mergeCell ref="M29:P29"/>
    <mergeCell ref="B27:F27"/>
    <mergeCell ref="G27:H27"/>
    <mergeCell ref="I27:J27"/>
    <mergeCell ref="K27:L27"/>
    <mergeCell ref="B28:F28"/>
    <mergeCell ref="G28:H28"/>
    <mergeCell ref="I28:J28"/>
    <mergeCell ref="K28:L28"/>
    <mergeCell ref="B30:F30"/>
    <mergeCell ref="G30:H30"/>
    <mergeCell ref="I30:J30"/>
    <mergeCell ref="K30:L30"/>
    <mergeCell ref="M30:P30"/>
    <mergeCell ref="B31:F31"/>
    <mergeCell ref="G31:H31"/>
    <mergeCell ref="I31:J31"/>
    <mergeCell ref="K31:L31"/>
    <mergeCell ref="M31:P31"/>
    <mergeCell ref="B32:F32"/>
    <mergeCell ref="G32:H32"/>
    <mergeCell ref="I32:J32"/>
    <mergeCell ref="K32:L32"/>
    <mergeCell ref="M32:P32"/>
    <mergeCell ref="B33:F33"/>
    <mergeCell ref="G33:H33"/>
    <mergeCell ref="I33:J33"/>
    <mergeCell ref="K33:L33"/>
    <mergeCell ref="M33:P33"/>
    <mergeCell ref="B34:F34"/>
    <mergeCell ref="G34:H34"/>
    <mergeCell ref="I34:J34"/>
    <mergeCell ref="K34:L34"/>
    <mergeCell ref="M34:P34"/>
    <mergeCell ref="B35:F35"/>
    <mergeCell ref="G35:H35"/>
    <mergeCell ref="I35:J35"/>
    <mergeCell ref="K35:L35"/>
    <mergeCell ref="M35:P35"/>
    <mergeCell ref="B36:F36"/>
    <mergeCell ref="G36:H36"/>
    <mergeCell ref="I36:J36"/>
    <mergeCell ref="K36:L36"/>
    <mergeCell ref="M36:P36"/>
    <mergeCell ref="B37:F37"/>
    <mergeCell ref="G37:H37"/>
    <mergeCell ref="I37:J37"/>
    <mergeCell ref="K37:L37"/>
    <mergeCell ref="M37:P37"/>
    <mergeCell ref="B38:F38"/>
    <mergeCell ref="G38:H38"/>
    <mergeCell ref="I38:J38"/>
    <mergeCell ref="K38:L38"/>
    <mergeCell ref="M38:P38"/>
    <mergeCell ref="B39:F39"/>
    <mergeCell ref="G39:H39"/>
    <mergeCell ref="I39:J39"/>
    <mergeCell ref="K39:L39"/>
    <mergeCell ref="M39:P39"/>
    <mergeCell ref="B40:F40"/>
    <mergeCell ref="G40:H40"/>
    <mergeCell ref="I40:J40"/>
    <mergeCell ref="K40:L40"/>
    <mergeCell ref="M40:P40"/>
    <mergeCell ref="B41:F41"/>
    <mergeCell ref="G41:H41"/>
    <mergeCell ref="I41:J41"/>
    <mergeCell ref="K41:L41"/>
    <mergeCell ref="M41:P41"/>
    <mergeCell ref="B42:F42"/>
    <mergeCell ref="G42:H42"/>
    <mergeCell ref="I42:J42"/>
    <mergeCell ref="K42:L42"/>
    <mergeCell ref="M42:P42"/>
    <mergeCell ref="B43:F43"/>
    <mergeCell ref="G43:H43"/>
    <mergeCell ref="I43:J43"/>
    <mergeCell ref="K43:L43"/>
    <mergeCell ref="M43:P43"/>
    <mergeCell ref="G47:H47"/>
    <mergeCell ref="K47:L47"/>
    <mergeCell ref="M47:P47"/>
    <mergeCell ref="G49:H49"/>
    <mergeCell ref="I49:J49"/>
    <mergeCell ref="K49:L49"/>
    <mergeCell ref="B44:P44"/>
    <mergeCell ref="G45:H45"/>
    <mergeCell ref="I45:J45"/>
    <mergeCell ref="K45:L45"/>
    <mergeCell ref="M45:P45"/>
    <mergeCell ref="B46:F46"/>
    <mergeCell ref="G46:H46"/>
    <mergeCell ref="I46:J46"/>
    <mergeCell ref="K46:L46"/>
    <mergeCell ref="M46:P46"/>
    <mergeCell ref="B50:F50"/>
    <mergeCell ref="G50:H50"/>
    <mergeCell ref="K50:L50"/>
    <mergeCell ref="M50:P50"/>
    <mergeCell ref="B51:F51"/>
    <mergeCell ref="G51:H51"/>
    <mergeCell ref="I51:J51"/>
    <mergeCell ref="K51:L51"/>
    <mergeCell ref="M51:P51"/>
    <mergeCell ref="B52:F52"/>
    <mergeCell ref="G52:H52"/>
    <mergeCell ref="I52:J52"/>
    <mergeCell ref="K52:L52"/>
    <mergeCell ref="M52:P52"/>
    <mergeCell ref="B53:F53"/>
    <mergeCell ref="G53:H53"/>
    <mergeCell ref="I53:J53"/>
    <mergeCell ref="K53:L53"/>
    <mergeCell ref="M53:P53"/>
    <mergeCell ref="B56:F56"/>
    <mergeCell ref="G56:H56"/>
    <mergeCell ref="I56:J56"/>
    <mergeCell ref="K56:L56"/>
    <mergeCell ref="M56:P56"/>
    <mergeCell ref="G57:H57"/>
    <mergeCell ref="K57:L57"/>
    <mergeCell ref="M57:P57"/>
    <mergeCell ref="B54:F54"/>
    <mergeCell ref="G54:H54"/>
    <mergeCell ref="I54:J54"/>
    <mergeCell ref="K54:L54"/>
    <mergeCell ref="M54:P54"/>
    <mergeCell ref="B55:P55"/>
    <mergeCell ref="B60:F60"/>
    <mergeCell ref="G60:H60"/>
    <mergeCell ref="I60:J60"/>
    <mergeCell ref="K60:L60"/>
    <mergeCell ref="M60:P60"/>
    <mergeCell ref="B61:F61"/>
    <mergeCell ref="G61:H61"/>
    <mergeCell ref="I61:J61"/>
    <mergeCell ref="K61:L61"/>
    <mergeCell ref="M61:P61"/>
    <mergeCell ref="B62:F62"/>
    <mergeCell ref="G62:H62"/>
    <mergeCell ref="I62:J62"/>
    <mergeCell ref="K62:L62"/>
    <mergeCell ref="M62:P62"/>
    <mergeCell ref="B63:F63"/>
    <mergeCell ref="G63:H63"/>
    <mergeCell ref="I63:J63"/>
    <mergeCell ref="K63:L63"/>
    <mergeCell ref="M63:P63"/>
    <mergeCell ref="B64:F64"/>
    <mergeCell ref="G64:H64"/>
    <mergeCell ref="I64:J64"/>
    <mergeCell ref="K64:L64"/>
    <mergeCell ref="M64:P64"/>
    <mergeCell ref="B65:F65"/>
    <mergeCell ref="G65:H65"/>
    <mergeCell ref="I65:J65"/>
    <mergeCell ref="K65:L65"/>
    <mergeCell ref="M65:P65"/>
    <mergeCell ref="B66:F66"/>
    <mergeCell ref="G66:H66"/>
    <mergeCell ref="I66:J66"/>
    <mergeCell ref="K66:L66"/>
    <mergeCell ref="M66:P66"/>
    <mergeCell ref="B67:F67"/>
    <mergeCell ref="G67:H67"/>
    <mergeCell ref="I67:J67"/>
    <mergeCell ref="K67:L67"/>
    <mergeCell ref="M67:P67"/>
    <mergeCell ref="B68:F68"/>
    <mergeCell ref="G68:H68"/>
    <mergeCell ref="I68:J68"/>
    <mergeCell ref="K68:L68"/>
    <mergeCell ref="M68:P68"/>
    <mergeCell ref="B69:F69"/>
    <mergeCell ref="G69:H69"/>
    <mergeCell ref="I69:J69"/>
    <mergeCell ref="K69:L69"/>
    <mergeCell ref="M69:P69"/>
    <mergeCell ref="B70:F70"/>
    <mergeCell ref="G70:H70"/>
    <mergeCell ref="I70:J70"/>
    <mergeCell ref="K70:L70"/>
    <mergeCell ref="M70:P70"/>
    <mergeCell ref="B71:F71"/>
    <mergeCell ref="G71:H71"/>
    <mergeCell ref="I71:J71"/>
    <mergeCell ref="K71:L71"/>
    <mergeCell ref="M71:P71"/>
    <mergeCell ref="B72:F72"/>
    <mergeCell ref="G72:H72"/>
    <mergeCell ref="I72:J72"/>
    <mergeCell ref="K72:L72"/>
    <mergeCell ref="M72:P72"/>
    <mergeCell ref="B73:F73"/>
    <mergeCell ref="G73:H73"/>
    <mergeCell ref="I73:J73"/>
    <mergeCell ref="K73:L73"/>
    <mergeCell ref="M73:P73"/>
    <mergeCell ref="B74:F74"/>
    <mergeCell ref="G74:H74"/>
    <mergeCell ref="I74:J74"/>
    <mergeCell ref="K74:L74"/>
    <mergeCell ref="M74:P74"/>
    <mergeCell ref="B75:F75"/>
    <mergeCell ref="G75:H75"/>
    <mergeCell ref="I75:J75"/>
    <mergeCell ref="K75:L75"/>
    <mergeCell ref="M75:P75"/>
    <mergeCell ref="B76:F76"/>
    <mergeCell ref="G76:H76"/>
    <mergeCell ref="I76:J76"/>
    <mergeCell ref="K76:L76"/>
    <mergeCell ref="M76:P76"/>
    <mergeCell ref="B77:F77"/>
    <mergeCell ref="G77:H77"/>
    <mergeCell ref="I77:J77"/>
    <mergeCell ref="K77:L77"/>
    <mergeCell ref="M77:P77"/>
    <mergeCell ref="B81:P81"/>
    <mergeCell ref="B82:P82"/>
    <mergeCell ref="B83:F83"/>
    <mergeCell ref="G83:H83"/>
    <mergeCell ref="I83:J83"/>
    <mergeCell ref="K83:L83"/>
    <mergeCell ref="M83:P83"/>
    <mergeCell ref="M78:P78"/>
    <mergeCell ref="M79:P79"/>
    <mergeCell ref="B80:F80"/>
    <mergeCell ref="G80:H80"/>
    <mergeCell ref="I80:J80"/>
    <mergeCell ref="K80:L80"/>
    <mergeCell ref="M80:P80"/>
    <mergeCell ref="B84:F84"/>
    <mergeCell ref="G84:H84"/>
    <mergeCell ref="I84:J84"/>
    <mergeCell ref="K84:L84"/>
    <mergeCell ref="M84:P84"/>
    <mergeCell ref="B85:F85"/>
    <mergeCell ref="G85:H85"/>
    <mergeCell ref="I85:J85"/>
    <mergeCell ref="K85:L85"/>
    <mergeCell ref="M85:P85"/>
    <mergeCell ref="B86:F86"/>
    <mergeCell ref="G86:H86"/>
    <mergeCell ref="I86:J86"/>
    <mergeCell ref="K86:L86"/>
    <mergeCell ref="M86:P86"/>
    <mergeCell ref="B87:F87"/>
    <mergeCell ref="G87:H87"/>
    <mergeCell ref="I87:J87"/>
    <mergeCell ref="K87:L87"/>
    <mergeCell ref="M87:P87"/>
    <mergeCell ref="B90:P90"/>
    <mergeCell ref="B91:F91"/>
    <mergeCell ref="G91:H91"/>
    <mergeCell ref="I91:J91"/>
    <mergeCell ref="K91:L91"/>
    <mergeCell ref="M91:P91"/>
    <mergeCell ref="B88:F88"/>
    <mergeCell ref="G88:H88"/>
    <mergeCell ref="I88:J88"/>
    <mergeCell ref="K88:L88"/>
    <mergeCell ref="M88:P88"/>
    <mergeCell ref="B89:P89"/>
    <mergeCell ref="B92:F92"/>
    <mergeCell ref="G92:H92"/>
    <mergeCell ref="I92:J92"/>
    <mergeCell ref="K92:L92"/>
    <mergeCell ref="M92:P92"/>
    <mergeCell ref="B93:F93"/>
    <mergeCell ref="G93:H93"/>
    <mergeCell ref="I93:J93"/>
    <mergeCell ref="K93:L93"/>
    <mergeCell ref="M93:P93"/>
    <mergeCell ref="B94:F94"/>
    <mergeCell ref="G94:H94"/>
    <mergeCell ref="I94:J94"/>
    <mergeCell ref="K94:L94"/>
    <mergeCell ref="M94:P94"/>
    <mergeCell ref="B95:F95"/>
    <mergeCell ref="G95:H95"/>
    <mergeCell ref="I95:J95"/>
    <mergeCell ref="K95:L95"/>
    <mergeCell ref="M95:P95"/>
    <mergeCell ref="B96:F96"/>
    <mergeCell ref="G96:H96"/>
    <mergeCell ref="I96:J96"/>
    <mergeCell ref="K96:L96"/>
    <mergeCell ref="M96:P96"/>
    <mergeCell ref="B97:F97"/>
    <mergeCell ref="G97:H97"/>
    <mergeCell ref="I97:J97"/>
    <mergeCell ref="K97:L97"/>
    <mergeCell ref="M97:P97"/>
    <mergeCell ref="A109:K113"/>
    <mergeCell ref="M109:O113"/>
    <mergeCell ref="B98:P98"/>
    <mergeCell ref="A101:K101"/>
    <mergeCell ref="M101:O101"/>
    <mergeCell ref="A102:K106"/>
    <mergeCell ref="M102:O106"/>
    <mergeCell ref="A108:K108"/>
    <mergeCell ref="M108:O108"/>
    <mergeCell ref="B13:F13"/>
    <mergeCell ref="G13:H13"/>
    <mergeCell ref="I13:J13"/>
    <mergeCell ref="K13:L13"/>
    <mergeCell ref="B14:F14"/>
    <mergeCell ref="G14:H14"/>
    <mergeCell ref="I14:J14"/>
    <mergeCell ref="K14:L14"/>
    <mergeCell ref="B15:F15"/>
    <mergeCell ref="G15:H15"/>
    <mergeCell ref="I15:J15"/>
    <mergeCell ref="K15:L15"/>
    <mergeCell ref="B16:L16"/>
    <mergeCell ref="B17:F17"/>
    <mergeCell ref="G17:H17"/>
    <mergeCell ref="I17:J17"/>
    <mergeCell ref="K17:L17"/>
    <mergeCell ref="M17:P17"/>
    <mergeCell ref="B18:F18"/>
    <mergeCell ref="G18:H18"/>
    <mergeCell ref="I18:J18"/>
    <mergeCell ref="K18:L18"/>
    <mergeCell ref="B19:F19"/>
    <mergeCell ref="G19:H19"/>
    <mergeCell ref="I19:J19"/>
    <mergeCell ref="K19:L19"/>
    <mergeCell ref="M19:P19"/>
    <mergeCell ref="B20:F20"/>
    <mergeCell ref="G20:H20"/>
    <mergeCell ref="I20:J20"/>
    <mergeCell ref="K20:L20"/>
    <mergeCell ref="G21:H21"/>
    <mergeCell ref="I21:J21"/>
    <mergeCell ref="K21:L21"/>
    <mergeCell ref="B22:F22"/>
    <mergeCell ref="G22:H22"/>
    <mergeCell ref="I22:J22"/>
    <mergeCell ref="K22:L22"/>
    <mergeCell ref="I23:J23"/>
    <mergeCell ref="K23:L23"/>
    <mergeCell ref="B24:F24"/>
    <mergeCell ref="G24:H24"/>
    <mergeCell ref="I24:J24"/>
    <mergeCell ref="K24:L24"/>
    <mergeCell ref="M24:P24"/>
    <mergeCell ref="B25:F25"/>
    <mergeCell ref="G25:H25"/>
    <mergeCell ref="I25:J25"/>
    <mergeCell ref="K25:L25"/>
    <mergeCell ref="M25:P2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100-000000000000}">
      <formula1>AvancementTheme</formula1>
    </dataValidation>
  </dataValidations>
  <hyperlinks>
    <hyperlink ref="O1" location="DPDV_03BI2" display="PdV" xr:uid="{00000000-0004-0000-3100-000000000000}"/>
    <hyperlink ref="P1" location="DKPI_03BI2" display="KPI's" xr:uid="{00000000-0004-0000-3100-000001000000}"/>
  </hyperlinks>
  <pageMargins left="0.70866141732283472" right="0.70866141732283472" top="0.74803149606299213" bottom="0.74803149606299213" header="0.31496062992125984" footer="0.31496062992125984"/>
  <pageSetup paperSize="9" scale="30" orientation="portrait" r:id="rId1"/>
  <headerFooter>
    <oddHeader>&amp;LPAD Methodology (c) 2013-2014&amp;RStrategic Management Workshop</oddHeader>
    <oddFooter>&amp;L&amp;F&amp;C&amp;A&amp;RSituation au : &amp;D - page : &amp;P/&amp;N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45">
    <tabColor rgb="FFFFC000"/>
    <pageSetUpPr fitToPage="1"/>
  </sheetPr>
  <dimension ref="A1:AH80"/>
  <sheetViews>
    <sheetView showGridLines="0" showRowColHeaders="0" zoomScaleNormal="100" workbookViewId="0">
      <pane ySplit="7" topLeftCell="A8" activePane="bottomLeft" state="frozen"/>
      <selection activeCell="H7" sqref="H7"/>
      <selection pane="bottomLeft" activeCell="D6" sqref="D6:I7"/>
    </sheetView>
  </sheetViews>
  <sheetFormatPr baseColWidth="10" defaultColWidth="11.453125" defaultRowHeight="14.5" x14ac:dyDescent="0.35"/>
  <cols>
    <col min="1" max="2" width="9" style="60" customWidth="1"/>
    <col min="3" max="3" width="14.54296875" style="60" customWidth="1"/>
    <col min="4" max="5" width="11.453125" style="60"/>
    <col min="6" max="6" width="11.1796875" style="60" customWidth="1"/>
    <col min="7" max="7" width="11.453125" style="60" hidden="1" customWidth="1"/>
    <col min="8" max="8" width="4.453125" style="60" customWidth="1"/>
    <col min="9" max="9" width="21.26953125" style="60" customWidth="1"/>
    <col min="10" max="10" width="12.54296875" style="60" customWidth="1"/>
    <col min="11" max="11" width="7.1796875" style="60" customWidth="1"/>
    <col min="12" max="12" width="6.54296875" style="60" customWidth="1"/>
    <col min="13" max="13" width="10.81640625" style="60" customWidth="1"/>
    <col min="14" max="14" width="8.1796875" style="60" customWidth="1"/>
    <col min="15" max="15" width="9.54296875" style="372" customWidth="1"/>
    <col min="16" max="16" width="14.1796875" style="60" customWidth="1"/>
    <col min="17" max="17" width="11.453125" style="60"/>
    <col min="18" max="18" width="11.453125" style="60" customWidth="1"/>
    <col min="19" max="19" width="14.1796875" style="60" customWidth="1"/>
    <col min="20" max="16384" width="11.453125" style="60"/>
  </cols>
  <sheetData>
    <row r="1" spans="1:34" s="54" customFormat="1" ht="15" customHeight="1" x14ac:dyDescent="0.35">
      <c r="A1" s="389"/>
      <c r="B1" s="389"/>
      <c r="C1" s="389"/>
      <c r="D1" s="389"/>
      <c r="E1" s="389"/>
      <c r="F1" s="3341" t="s">
        <v>5</v>
      </c>
      <c r="G1" s="3341"/>
      <c r="H1" s="3341"/>
      <c r="I1" s="3341"/>
      <c r="J1" s="391"/>
      <c r="K1" s="391"/>
      <c r="L1" s="3341" t="s">
        <v>6</v>
      </c>
      <c r="M1" s="3341"/>
      <c r="N1" s="389"/>
      <c r="O1" s="3341" t="s">
        <v>9</v>
      </c>
      <c r="P1" s="3341"/>
      <c r="Q1" s="389"/>
      <c r="R1" s="479" t="s">
        <v>2</v>
      </c>
      <c r="S1" s="479" t="s">
        <v>3</v>
      </c>
      <c r="T1" s="458"/>
    </row>
    <row r="2" spans="1:34" s="58" customFormat="1" ht="18" customHeight="1" x14ac:dyDescent="0.35">
      <c r="A2" s="393"/>
      <c r="B2" s="393"/>
      <c r="C2" s="393"/>
      <c r="D2" s="393"/>
      <c r="E2" s="393"/>
      <c r="F2" s="3342" t="str">
        <f>NomClient</f>
        <v xml:space="preserve">EQUINIX </v>
      </c>
      <c r="G2" s="3343"/>
      <c r="H2" s="3343"/>
      <c r="I2" s="3344"/>
      <c r="J2" s="393"/>
      <c r="K2" s="393"/>
      <c r="L2" s="3345" t="s">
        <v>410</v>
      </c>
      <c r="M2" s="3346"/>
      <c r="N2" s="738"/>
      <c r="O2" s="3347">
        <v>42420.64603009259</v>
      </c>
      <c r="P2" s="3348"/>
      <c r="Q2" s="394"/>
      <c r="R2" s="451">
        <f>IF(LEN(DPDV_03MK2)&gt;0,LEN(DPDV_03MK2),0-PDV_NBmini)</f>
        <v>101</v>
      </c>
      <c r="S2" s="451">
        <f>IF(LEN(DKPI_03MK2)&gt;0,LEN(DKPI_03MK2),0-KPI_NBmini)</f>
        <v>70</v>
      </c>
      <c r="T2" s="459"/>
    </row>
    <row r="3" spans="1:34" ht="9.75" customHeight="1" thickBot="1" x14ac:dyDescent="0.4">
      <c r="A3" s="396"/>
      <c r="B3" s="396"/>
      <c r="C3" s="396"/>
      <c r="D3" s="2309"/>
      <c r="E3" s="2309"/>
      <c r="F3" s="3696" t="s">
        <v>1792</v>
      </c>
      <c r="G3" s="3696"/>
      <c r="H3" s="3696"/>
      <c r="I3" s="3696"/>
      <c r="J3" s="1960"/>
      <c r="K3" s="396"/>
      <c r="L3" s="396"/>
      <c r="M3" s="396"/>
      <c r="N3" s="396"/>
      <c r="O3" s="396"/>
      <c r="P3" s="396"/>
      <c r="Q3" s="831"/>
      <c r="R3" s="831"/>
      <c r="S3" s="831"/>
      <c r="T3" s="64"/>
      <c r="U3" s="64"/>
      <c r="V3" s="64"/>
    </row>
    <row r="4" spans="1:34" s="1" customFormat="1" ht="24.75" customHeight="1" thickBot="1" x14ac:dyDescent="0.4">
      <c r="A4" s="5415" t="str">
        <f>Parametre!B25 &amp; "  : "</f>
        <v xml:space="preserve">Positionnement de l'offre  : </v>
      </c>
      <c r="B4" s="5415"/>
      <c r="C4" s="5415"/>
      <c r="D4" s="5415"/>
      <c r="E4" s="5415"/>
      <c r="F4" s="5415"/>
      <c r="G4" s="5415"/>
      <c r="H4" s="5415"/>
      <c r="I4" s="5415"/>
      <c r="J4" s="5416" t="str">
        <f xml:space="preserve"> "Market ready pour " &amp; NomProd2</f>
        <v>Market ready pour ASEMA</v>
      </c>
      <c r="K4" s="5416"/>
      <c r="L4" s="5416"/>
      <c r="M4" s="5416"/>
      <c r="N4" s="5416"/>
      <c r="O4" s="5416"/>
      <c r="P4" s="5416"/>
      <c r="Q4" s="5416"/>
      <c r="R4" s="5416"/>
      <c r="S4" s="5417"/>
      <c r="T4" s="444"/>
    </row>
    <row r="5" spans="1:34" s="193" customFormat="1" ht="31.5" customHeight="1" thickBot="1" x14ac:dyDescent="0.4">
      <c r="A5" s="5146" t="s">
        <v>14</v>
      </c>
      <c r="B5" s="5146"/>
      <c r="C5" s="5146"/>
      <c r="D5" s="5418" t="s">
        <v>797</v>
      </c>
      <c r="E5" s="5418"/>
      <c r="F5" s="5418"/>
      <c r="G5" s="5418"/>
      <c r="H5" s="5418"/>
      <c r="I5" s="5418"/>
      <c r="J5" s="5418"/>
      <c r="K5" s="5418"/>
      <c r="L5" s="5418"/>
      <c r="M5" s="5418"/>
      <c r="N5" s="5418"/>
      <c r="O5" s="5418"/>
      <c r="P5" s="5418"/>
      <c r="Q5" s="5418"/>
      <c r="R5" s="5418"/>
      <c r="S5" s="5418"/>
      <c r="T5" s="460"/>
    </row>
    <row r="6" spans="1:34" ht="15.75" customHeight="1" thickTop="1" x14ac:dyDescent="0.35">
      <c r="A6" s="4452"/>
      <c r="B6" s="1498"/>
      <c r="C6" s="1498"/>
      <c r="D6" s="5419" t="s">
        <v>260</v>
      </c>
      <c r="E6" s="5420"/>
      <c r="F6" s="5420"/>
      <c r="G6" s="5420"/>
      <c r="H6" s="5420"/>
      <c r="I6" s="5421"/>
      <c r="J6" s="4534" t="str">
        <f>"Vue du " &amp; ChanlReadyAxe1</f>
        <v>Vue du EQUINIX</v>
      </c>
      <c r="K6" s="4534"/>
      <c r="L6" s="4534" t="str">
        <f>"Vue du " &amp; ChanlReadyAxe2</f>
        <v>Vue du ASEMA</v>
      </c>
      <c r="M6" s="4534"/>
      <c r="N6" s="5425" t="s">
        <v>246</v>
      </c>
      <c r="O6" s="5427" t="s">
        <v>568</v>
      </c>
      <c r="P6" s="5428" t="s">
        <v>18</v>
      </c>
      <c r="Q6" s="5429"/>
      <c r="R6" s="5429"/>
      <c r="S6" s="5430"/>
      <c r="T6" s="463"/>
      <c r="W6" s="66"/>
      <c r="X6" s="66"/>
      <c r="Y6" s="72"/>
      <c r="Z6" s="73"/>
      <c r="AA6" s="73"/>
      <c r="AB6" s="66"/>
      <c r="AC6" s="66"/>
      <c r="AD6" s="66"/>
      <c r="AE6" s="66"/>
      <c r="AF6" s="66"/>
      <c r="AG6" s="66"/>
    </row>
    <row r="7" spans="1:34" s="193" customFormat="1" ht="16" thickBot="1" x14ac:dyDescent="0.4">
      <c r="A7" s="4452"/>
      <c r="B7" s="1498"/>
      <c r="C7" s="1498"/>
      <c r="D7" s="5422"/>
      <c r="E7" s="5423"/>
      <c r="F7" s="5423"/>
      <c r="G7" s="5423"/>
      <c r="H7" s="5423"/>
      <c r="I7" s="5424"/>
      <c r="J7" s="4540" t="s">
        <v>16</v>
      </c>
      <c r="K7" s="4540"/>
      <c r="L7" s="4540" t="s">
        <v>16</v>
      </c>
      <c r="M7" s="4540"/>
      <c r="N7" s="5426"/>
      <c r="O7" s="5426"/>
      <c r="P7" s="5431"/>
      <c r="Q7" s="5432"/>
      <c r="R7" s="5432"/>
      <c r="S7" s="5433"/>
      <c r="T7" s="460"/>
      <c r="V7" s="94"/>
      <c r="W7" s="94"/>
      <c r="X7" s="95"/>
      <c r="Y7" s="96"/>
      <c r="Z7" s="96"/>
      <c r="AA7" s="94"/>
      <c r="AB7" s="94"/>
      <c r="AC7" s="94"/>
      <c r="AD7" s="94"/>
      <c r="AE7" s="94"/>
      <c r="AF7" s="94"/>
    </row>
    <row r="8" spans="1:34" s="193" customFormat="1" ht="16.5" thickTop="1" thickBot="1" x14ac:dyDescent="0.4">
      <c r="A8" s="1498"/>
      <c r="B8" s="1498"/>
      <c r="C8" s="1498"/>
      <c r="D8" s="1123"/>
      <c r="E8" s="1123"/>
      <c r="F8" s="1123"/>
      <c r="G8" s="1123"/>
      <c r="H8" s="1123"/>
      <c r="I8" s="1123"/>
      <c r="J8" s="1124"/>
      <c r="K8" s="1124"/>
      <c r="L8" s="1124"/>
      <c r="M8" s="1124"/>
      <c r="N8" s="1125"/>
      <c r="O8" s="1125"/>
      <c r="P8" s="1125"/>
      <c r="Q8" s="1125"/>
      <c r="R8" s="1125"/>
      <c r="S8" s="1126"/>
      <c r="T8" s="460"/>
      <c r="V8" s="94"/>
      <c r="W8" s="94"/>
      <c r="X8" s="1127"/>
      <c r="Y8" s="1128"/>
      <c r="Z8" s="96"/>
      <c r="AA8" s="94"/>
      <c r="AB8" s="94"/>
      <c r="AC8" s="94"/>
      <c r="AD8" s="94"/>
      <c r="AE8" s="94"/>
      <c r="AF8" s="94"/>
    </row>
    <row r="9" spans="1:34" ht="15.75" customHeight="1" thickTop="1" x14ac:dyDescent="0.35">
      <c r="A9" s="5437" t="s">
        <v>1185</v>
      </c>
      <c r="B9" s="5440"/>
      <c r="C9" s="5441"/>
      <c r="D9" s="5441"/>
      <c r="E9" s="5441"/>
      <c r="F9" s="5441"/>
      <c r="G9" s="5441"/>
      <c r="H9" s="5441"/>
      <c r="I9" s="5441"/>
      <c r="J9" s="5441"/>
      <c r="K9" s="5441"/>
      <c r="L9" s="5441"/>
      <c r="M9" s="5441"/>
      <c r="N9" s="5441"/>
      <c r="O9" s="5441"/>
      <c r="P9" s="5441"/>
      <c r="Q9" s="5441"/>
      <c r="R9" s="5441"/>
      <c r="S9" s="5442"/>
      <c r="T9" s="463"/>
      <c r="U9" s="63"/>
      <c r="X9" s="66"/>
      <c r="Y9" s="66"/>
      <c r="Z9" s="72"/>
      <c r="AA9" s="73"/>
      <c r="AB9" s="73"/>
      <c r="AC9" s="66"/>
      <c r="AD9" s="66"/>
      <c r="AE9" s="66"/>
      <c r="AF9" s="66"/>
      <c r="AG9" s="66"/>
      <c r="AH9" s="66"/>
    </row>
    <row r="10" spans="1:34" ht="21" customHeight="1" x14ac:dyDescent="0.35">
      <c r="A10" s="5438"/>
      <c r="B10" s="5411" t="s">
        <v>1186</v>
      </c>
      <c r="C10" s="5412"/>
      <c r="D10" s="5413" t="s">
        <v>1187</v>
      </c>
      <c r="E10" s="5414"/>
      <c r="F10" s="5414"/>
      <c r="G10" s="5414"/>
      <c r="H10" s="5414"/>
      <c r="I10" s="5414"/>
      <c r="J10" s="5383">
        <v>4</v>
      </c>
      <c r="K10" s="5384"/>
      <c r="L10" s="5383">
        <v>8</v>
      </c>
      <c r="M10" s="5384"/>
      <c r="N10" s="1129">
        <f>ABS(J10-L10)</f>
        <v>4</v>
      </c>
      <c r="O10" s="1130">
        <v>10</v>
      </c>
      <c r="P10" s="5406"/>
      <c r="Q10" s="5407"/>
      <c r="R10" s="5407"/>
      <c r="S10" s="5408"/>
      <c r="T10" s="463"/>
      <c r="U10" s="63"/>
      <c r="X10" s="66"/>
      <c r="Y10" s="66"/>
      <c r="Z10" s="72"/>
      <c r="AA10" s="73"/>
      <c r="AB10" s="73"/>
      <c r="AC10" s="66"/>
      <c r="AD10" s="66"/>
      <c r="AE10" s="66"/>
      <c r="AF10" s="66"/>
      <c r="AG10" s="66"/>
      <c r="AH10" s="66"/>
    </row>
    <row r="11" spans="1:34" ht="21" customHeight="1" x14ac:dyDescent="0.35">
      <c r="A11" s="5438"/>
      <c r="B11" s="5411" t="s">
        <v>1188</v>
      </c>
      <c r="C11" s="5412"/>
      <c r="D11" s="5413" t="s">
        <v>1222</v>
      </c>
      <c r="E11" s="5414"/>
      <c r="F11" s="5414"/>
      <c r="G11" s="5414"/>
      <c r="H11" s="5414"/>
      <c r="I11" s="5414"/>
      <c r="J11" s="5383">
        <v>3</v>
      </c>
      <c r="K11" s="5384"/>
      <c r="L11" s="5383">
        <v>2</v>
      </c>
      <c r="M11" s="5384"/>
      <c r="N11" s="1130">
        <f t="shared" ref="N11:N17" si="0">ABS(J11-L11)</f>
        <v>1</v>
      </c>
      <c r="O11" s="1130">
        <v>10</v>
      </c>
      <c r="P11" s="5406"/>
      <c r="Q11" s="5407"/>
      <c r="R11" s="5407"/>
      <c r="S11" s="5408"/>
      <c r="T11" s="463"/>
      <c r="U11" s="63"/>
      <c r="X11" s="66"/>
      <c r="Y11" s="66"/>
      <c r="Z11" s="72"/>
      <c r="AA11" s="73"/>
      <c r="AB11" s="73"/>
      <c r="AC11" s="66"/>
      <c r="AD11" s="66"/>
      <c r="AE11" s="66"/>
      <c r="AF11" s="66"/>
      <c r="AG11" s="66"/>
      <c r="AH11" s="66"/>
    </row>
    <row r="12" spans="1:34" ht="21" customHeight="1" x14ac:dyDescent="0.35">
      <c r="A12" s="5438"/>
      <c r="B12" s="5411" t="s">
        <v>1189</v>
      </c>
      <c r="C12" s="5412"/>
      <c r="D12" s="5445" t="s">
        <v>1190</v>
      </c>
      <c r="E12" s="5446"/>
      <c r="F12" s="5446"/>
      <c r="G12" s="5446"/>
      <c r="H12" s="5446"/>
      <c r="I12" s="5447"/>
      <c r="J12" s="5383">
        <v>2</v>
      </c>
      <c r="K12" s="5384"/>
      <c r="L12" s="5383">
        <v>2</v>
      </c>
      <c r="M12" s="5384"/>
      <c r="N12" s="1130">
        <f t="shared" si="0"/>
        <v>0</v>
      </c>
      <c r="O12" s="1130">
        <v>10</v>
      </c>
      <c r="P12" s="5406"/>
      <c r="Q12" s="5407"/>
      <c r="R12" s="5407"/>
      <c r="S12" s="5408"/>
      <c r="T12" s="463"/>
      <c r="U12" s="63"/>
      <c r="X12" s="66"/>
      <c r="Y12" s="66"/>
      <c r="Z12" s="72"/>
      <c r="AA12" s="73"/>
      <c r="AB12" s="73"/>
      <c r="AC12" s="66"/>
      <c r="AD12" s="66"/>
      <c r="AE12" s="66"/>
      <c r="AF12" s="66"/>
      <c r="AG12" s="66"/>
      <c r="AH12" s="66"/>
    </row>
    <row r="13" spans="1:34" ht="21" customHeight="1" x14ac:dyDescent="0.35">
      <c r="A13" s="5438"/>
      <c r="B13" s="5411" t="s">
        <v>1299</v>
      </c>
      <c r="C13" s="5412"/>
      <c r="D13" s="5413" t="s">
        <v>1300</v>
      </c>
      <c r="E13" s="5414"/>
      <c r="F13" s="5414"/>
      <c r="G13" s="5414"/>
      <c r="H13" s="5414"/>
      <c r="I13" s="5414"/>
      <c r="J13" s="5383">
        <v>4</v>
      </c>
      <c r="K13" s="5384"/>
      <c r="L13" s="5383">
        <v>6</v>
      </c>
      <c r="M13" s="5384"/>
      <c r="N13" s="1130">
        <f t="shared" si="0"/>
        <v>2</v>
      </c>
      <c r="O13" s="1130">
        <v>10</v>
      </c>
      <c r="P13" s="5406"/>
      <c r="Q13" s="5407"/>
      <c r="R13" s="5407"/>
      <c r="S13" s="5408"/>
      <c r="T13" s="463"/>
      <c r="U13" s="63"/>
      <c r="X13" s="66"/>
      <c r="Y13" s="66"/>
      <c r="Z13" s="72"/>
      <c r="AA13" s="73"/>
      <c r="AB13" s="73"/>
      <c r="AC13" s="66"/>
      <c r="AD13" s="66"/>
      <c r="AE13" s="66"/>
      <c r="AF13" s="66"/>
      <c r="AG13" s="66"/>
      <c r="AH13" s="66"/>
    </row>
    <row r="14" spans="1:34" ht="21" customHeight="1" x14ac:dyDescent="0.35">
      <c r="A14" s="5438"/>
      <c r="B14" s="5411" t="s">
        <v>1301</v>
      </c>
      <c r="C14" s="5412"/>
      <c r="D14" s="5413" t="s">
        <v>1302</v>
      </c>
      <c r="E14" s="5414"/>
      <c r="F14" s="5414"/>
      <c r="G14" s="5414"/>
      <c r="H14" s="5414"/>
      <c r="I14" s="5414"/>
      <c r="J14" s="5383">
        <v>8</v>
      </c>
      <c r="K14" s="5384"/>
      <c r="L14" s="5383">
        <v>8</v>
      </c>
      <c r="M14" s="5384"/>
      <c r="N14" s="1130">
        <f t="shared" si="0"/>
        <v>0</v>
      </c>
      <c r="O14" s="1130">
        <v>11</v>
      </c>
      <c r="P14" s="1502"/>
      <c r="Q14" s="1503"/>
      <c r="R14" s="1503"/>
      <c r="S14" s="1504"/>
      <c r="T14" s="463"/>
      <c r="U14" s="63"/>
      <c r="X14" s="66"/>
      <c r="Y14" s="66"/>
      <c r="Z14" s="72"/>
      <c r="AA14" s="73"/>
      <c r="AB14" s="73"/>
      <c r="AC14" s="66"/>
      <c r="AD14" s="66"/>
      <c r="AE14" s="66"/>
      <c r="AF14" s="66"/>
      <c r="AG14" s="66"/>
      <c r="AH14" s="66"/>
    </row>
    <row r="15" spans="1:34" ht="21" customHeight="1" x14ac:dyDescent="0.35">
      <c r="A15" s="5438"/>
      <c r="B15" s="5411" t="s">
        <v>1303</v>
      </c>
      <c r="C15" s="5412"/>
      <c r="D15" s="5413" t="s">
        <v>1304</v>
      </c>
      <c r="E15" s="5414"/>
      <c r="F15" s="5414"/>
      <c r="G15" s="5414"/>
      <c r="H15" s="5414"/>
      <c r="I15" s="5414"/>
      <c r="J15" s="5383">
        <v>7</v>
      </c>
      <c r="K15" s="5384"/>
      <c r="L15" s="5383">
        <v>2</v>
      </c>
      <c r="M15" s="5384"/>
      <c r="N15" s="1130">
        <f t="shared" si="0"/>
        <v>5</v>
      </c>
      <c r="O15" s="1130">
        <v>10</v>
      </c>
      <c r="P15" s="5406"/>
      <c r="Q15" s="5407"/>
      <c r="R15" s="5407"/>
      <c r="S15" s="5408"/>
      <c r="T15" s="463"/>
      <c r="U15" s="63"/>
      <c r="X15" s="66"/>
      <c r="Y15" s="66"/>
      <c r="Z15" s="72"/>
      <c r="AA15" s="73"/>
      <c r="AB15" s="73"/>
      <c r="AC15" s="66"/>
      <c r="AD15" s="66"/>
      <c r="AE15" s="66"/>
      <c r="AF15" s="66"/>
      <c r="AG15" s="66"/>
      <c r="AH15" s="66"/>
    </row>
    <row r="16" spans="1:34" ht="21" customHeight="1" x14ac:dyDescent="0.35">
      <c r="A16" s="5438"/>
      <c r="B16" s="5411" t="s">
        <v>1191</v>
      </c>
      <c r="C16" s="5412"/>
      <c r="D16" s="5413" t="s">
        <v>1192</v>
      </c>
      <c r="E16" s="5414"/>
      <c r="F16" s="5414"/>
      <c r="G16" s="5414"/>
      <c r="H16" s="5414"/>
      <c r="I16" s="5414"/>
      <c r="J16" s="5383">
        <v>10</v>
      </c>
      <c r="K16" s="5384"/>
      <c r="L16" s="5383">
        <v>10</v>
      </c>
      <c r="M16" s="5384"/>
      <c r="N16" s="1130">
        <f t="shared" si="0"/>
        <v>0</v>
      </c>
      <c r="O16" s="1130">
        <v>10</v>
      </c>
      <c r="P16" s="5406"/>
      <c r="Q16" s="5407"/>
      <c r="R16" s="5407"/>
      <c r="S16" s="5408"/>
      <c r="T16" s="463"/>
      <c r="U16" s="63"/>
      <c r="X16" s="66"/>
      <c r="Y16" s="66"/>
      <c r="Z16" s="72"/>
      <c r="AA16" s="73"/>
      <c r="AB16" s="73"/>
      <c r="AC16" s="66"/>
      <c r="AD16" s="66"/>
      <c r="AE16" s="66"/>
      <c r="AF16" s="66"/>
      <c r="AG16" s="66"/>
      <c r="AH16" s="66"/>
    </row>
    <row r="17" spans="1:34" ht="45.75" customHeight="1" x14ac:dyDescent="0.35">
      <c r="A17" s="5438"/>
      <c r="B17" s="5443" t="s">
        <v>1223</v>
      </c>
      <c r="C17" s="5444"/>
      <c r="D17" s="5413" t="s">
        <v>1193</v>
      </c>
      <c r="E17" s="5414"/>
      <c r="F17" s="5414"/>
      <c r="G17" s="5414"/>
      <c r="H17" s="5414"/>
      <c r="I17" s="5414"/>
      <c r="J17" s="5383">
        <v>10</v>
      </c>
      <c r="K17" s="5384"/>
      <c r="L17" s="5383">
        <v>7</v>
      </c>
      <c r="M17" s="5384"/>
      <c r="N17" s="1130">
        <f t="shared" si="0"/>
        <v>3</v>
      </c>
      <c r="O17" s="1130">
        <v>10</v>
      </c>
      <c r="P17" s="5406"/>
      <c r="Q17" s="5407"/>
      <c r="R17" s="5407"/>
      <c r="S17" s="5408"/>
      <c r="T17" s="463"/>
      <c r="U17" s="63"/>
      <c r="X17" s="66"/>
      <c r="Y17" s="66"/>
      <c r="Z17" s="72"/>
      <c r="AA17" s="73"/>
      <c r="AB17" s="73"/>
      <c r="AC17" s="66"/>
      <c r="AD17" s="66"/>
      <c r="AE17" s="66"/>
      <c r="AF17" s="66"/>
      <c r="AG17" s="66"/>
      <c r="AH17" s="66"/>
    </row>
    <row r="18" spans="1:34" ht="17.25" customHeight="1" thickBot="1" x14ac:dyDescent="0.4">
      <c r="A18" s="5439"/>
      <c r="B18" s="745"/>
      <c r="C18" s="746"/>
      <c r="D18" s="746"/>
      <c r="E18" s="746"/>
      <c r="F18" s="746"/>
      <c r="G18" s="746"/>
      <c r="H18" s="746"/>
      <c r="I18" s="1552" t="s">
        <v>1385</v>
      </c>
      <c r="J18" s="5405">
        <f>AVERAGE(J10:J17)</f>
        <v>6</v>
      </c>
      <c r="K18" s="5405"/>
      <c r="L18" s="5405">
        <f>AVERAGE(L10:L17)</f>
        <v>5.625</v>
      </c>
      <c r="M18" s="5405"/>
      <c r="N18" s="1373"/>
      <c r="O18" s="1373"/>
      <c r="P18" s="746"/>
      <c r="Q18" s="746"/>
      <c r="R18" s="746"/>
      <c r="S18" s="747"/>
      <c r="T18" s="463"/>
      <c r="U18" s="63"/>
      <c r="X18" s="66"/>
      <c r="Y18" s="66"/>
      <c r="Z18" s="72"/>
      <c r="AA18" s="73"/>
      <c r="AB18" s="73"/>
      <c r="AC18" s="66"/>
      <c r="AD18" s="66"/>
      <c r="AE18" s="66"/>
      <c r="AF18" s="66"/>
      <c r="AG18" s="66"/>
      <c r="AH18" s="66"/>
    </row>
    <row r="19" spans="1:34" ht="22.5" customHeight="1" thickTop="1" x14ac:dyDescent="0.35">
      <c r="A19" s="5448" t="s">
        <v>435</v>
      </c>
      <c r="B19" s="5449"/>
      <c r="C19" s="5450"/>
      <c r="D19" s="5450"/>
      <c r="E19" s="5450"/>
      <c r="F19" s="5450"/>
      <c r="G19" s="5450"/>
      <c r="H19" s="5450"/>
      <c r="I19" s="5450"/>
      <c r="J19" s="5450"/>
      <c r="K19" s="5450"/>
      <c r="L19" s="5450"/>
      <c r="M19" s="5450"/>
      <c r="N19" s="5450"/>
      <c r="O19" s="5450"/>
      <c r="P19" s="5450"/>
      <c r="Q19" s="5450"/>
      <c r="R19" s="5450"/>
      <c r="S19" s="5451"/>
      <c r="T19" s="463"/>
      <c r="U19" s="63"/>
      <c r="X19" s="66"/>
      <c r="Y19" s="66"/>
      <c r="Z19" s="199"/>
      <c r="AA19" s="200"/>
      <c r="AB19" s="200"/>
      <c r="AC19" s="66"/>
      <c r="AD19" s="66"/>
      <c r="AE19" s="66"/>
      <c r="AF19" s="66"/>
      <c r="AG19" s="66"/>
      <c r="AH19" s="66"/>
    </row>
    <row r="20" spans="1:34" s="735" customFormat="1" ht="36" customHeight="1" x14ac:dyDescent="0.35">
      <c r="A20" s="4516"/>
      <c r="B20" s="5409" t="s">
        <v>1305</v>
      </c>
      <c r="C20" s="5410"/>
      <c r="D20" s="4500" t="s">
        <v>1224</v>
      </c>
      <c r="E20" s="4501"/>
      <c r="F20" s="4501"/>
      <c r="G20" s="4501"/>
      <c r="H20" s="4501"/>
      <c r="I20" s="4501"/>
      <c r="J20" s="5403">
        <v>10</v>
      </c>
      <c r="K20" s="5404"/>
      <c r="L20" s="5403">
        <v>10</v>
      </c>
      <c r="M20" s="5404"/>
      <c r="N20" s="740">
        <f>ABS(J20-L20)</f>
        <v>0</v>
      </c>
      <c r="O20" s="1505">
        <v>10</v>
      </c>
      <c r="P20" s="5370"/>
      <c r="Q20" s="5371"/>
      <c r="R20" s="5371"/>
      <c r="S20" s="5372"/>
      <c r="T20" s="741"/>
      <c r="X20" s="736"/>
      <c r="Y20" s="736"/>
      <c r="Z20" s="737"/>
      <c r="AA20" s="737"/>
      <c r="AB20" s="737"/>
      <c r="AC20" s="736"/>
      <c r="AD20" s="736"/>
      <c r="AE20" s="736"/>
      <c r="AF20" s="736"/>
      <c r="AG20" s="736"/>
      <c r="AH20" s="736"/>
    </row>
    <row r="21" spans="1:34" ht="21" customHeight="1" x14ac:dyDescent="0.35">
      <c r="A21" s="4516"/>
      <c r="B21" s="5409" t="s">
        <v>1225</v>
      </c>
      <c r="C21" s="5410"/>
      <c r="D21" s="4500" t="s">
        <v>1226</v>
      </c>
      <c r="E21" s="4501"/>
      <c r="F21" s="4501"/>
      <c r="G21" s="4501"/>
      <c r="H21" s="4501"/>
      <c r="I21" s="4501"/>
      <c r="J21" s="5403">
        <v>10</v>
      </c>
      <c r="K21" s="5404"/>
      <c r="L21" s="5403">
        <v>10</v>
      </c>
      <c r="M21" s="5404"/>
      <c r="N21" s="1505">
        <f t="shared" ref="N21:N26" si="1">ABS(J21-L21)</f>
        <v>0</v>
      </c>
      <c r="O21" s="1505">
        <v>10</v>
      </c>
      <c r="P21" s="5370"/>
      <c r="Q21" s="5371"/>
      <c r="R21" s="5371"/>
      <c r="S21" s="5372"/>
      <c r="T21" s="463"/>
      <c r="U21" s="63"/>
      <c r="X21" s="66"/>
      <c r="Y21" s="66"/>
      <c r="Z21" s="72"/>
      <c r="AA21" s="73"/>
      <c r="AB21" s="73"/>
      <c r="AC21" s="66"/>
      <c r="AD21" s="66"/>
      <c r="AE21" s="66"/>
      <c r="AF21" s="66"/>
      <c r="AG21" s="66"/>
      <c r="AH21" s="66"/>
    </row>
    <row r="22" spans="1:34" ht="21" customHeight="1" x14ac:dyDescent="0.35">
      <c r="A22" s="4516"/>
      <c r="B22" s="5409" t="s">
        <v>929</v>
      </c>
      <c r="C22" s="5410"/>
      <c r="D22" s="4500" t="s">
        <v>565</v>
      </c>
      <c r="E22" s="4501"/>
      <c r="F22" s="4501"/>
      <c r="G22" s="4501"/>
      <c r="H22" s="4501"/>
      <c r="I22" s="4501"/>
      <c r="J22" s="5403">
        <v>10</v>
      </c>
      <c r="K22" s="5404"/>
      <c r="L22" s="5403">
        <v>4</v>
      </c>
      <c r="M22" s="5404"/>
      <c r="N22" s="1505">
        <f t="shared" si="1"/>
        <v>6</v>
      </c>
      <c r="O22" s="1505">
        <v>10</v>
      </c>
      <c r="P22" s="5370"/>
      <c r="Q22" s="5371"/>
      <c r="R22" s="5371"/>
      <c r="S22" s="5372"/>
      <c r="T22" s="463"/>
      <c r="U22" s="63"/>
      <c r="X22" s="66"/>
      <c r="Y22" s="66"/>
      <c r="Z22" s="72"/>
      <c r="AA22" s="73"/>
      <c r="AB22" s="73"/>
      <c r="AC22" s="66"/>
      <c r="AD22" s="66"/>
      <c r="AE22" s="66"/>
      <c r="AF22" s="66"/>
      <c r="AG22" s="66"/>
      <c r="AH22" s="66"/>
    </row>
    <row r="23" spans="1:34" ht="21" customHeight="1" x14ac:dyDescent="0.35">
      <c r="A23" s="4516"/>
      <c r="B23" s="5409" t="s">
        <v>930</v>
      </c>
      <c r="C23" s="5410"/>
      <c r="D23" s="4500" t="s">
        <v>1100</v>
      </c>
      <c r="E23" s="4501"/>
      <c r="F23" s="4501"/>
      <c r="G23" s="4501"/>
      <c r="H23" s="4501"/>
      <c r="I23" s="4501"/>
      <c r="J23" s="5403">
        <v>10</v>
      </c>
      <c r="K23" s="5404"/>
      <c r="L23" s="5403">
        <v>4</v>
      </c>
      <c r="M23" s="5404"/>
      <c r="N23" s="1505">
        <f t="shared" si="1"/>
        <v>6</v>
      </c>
      <c r="O23" s="1505">
        <v>10</v>
      </c>
      <c r="P23" s="5370"/>
      <c r="Q23" s="5371"/>
      <c r="R23" s="5371"/>
      <c r="S23" s="5372"/>
      <c r="T23" s="463"/>
      <c r="U23" s="63"/>
      <c r="X23" s="66"/>
      <c r="Y23" s="66"/>
      <c r="Z23" s="72"/>
      <c r="AA23" s="73"/>
      <c r="AB23" s="73"/>
      <c r="AC23" s="66"/>
      <c r="AD23" s="66"/>
      <c r="AE23" s="66"/>
      <c r="AF23" s="66"/>
      <c r="AG23" s="66"/>
      <c r="AH23" s="66"/>
    </row>
    <row r="24" spans="1:34" ht="21" customHeight="1" x14ac:dyDescent="0.35">
      <c r="A24" s="4516"/>
      <c r="B24" s="5409" t="s">
        <v>931</v>
      </c>
      <c r="C24" s="5410"/>
      <c r="D24" s="4500" t="s">
        <v>877</v>
      </c>
      <c r="E24" s="4501"/>
      <c r="F24" s="4501"/>
      <c r="G24" s="4501"/>
      <c r="H24" s="4501"/>
      <c r="I24" s="4501"/>
      <c r="J24" s="5403">
        <v>10</v>
      </c>
      <c r="K24" s="5404"/>
      <c r="L24" s="5403">
        <v>4</v>
      </c>
      <c r="M24" s="5404"/>
      <c r="N24" s="1505">
        <f t="shared" si="1"/>
        <v>6</v>
      </c>
      <c r="O24" s="1505">
        <v>10</v>
      </c>
      <c r="P24" s="5370"/>
      <c r="Q24" s="5371"/>
      <c r="R24" s="5371"/>
      <c r="S24" s="5372"/>
      <c r="T24" s="463"/>
      <c r="U24" s="63"/>
      <c r="X24" s="66"/>
      <c r="Y24" s="66"/>
      <c r="Z24" s="72"/>
      <c r="AA24" s="73"/>
      <c r="AB24" s="73"/>
      <c r="AC24" s="66"/>
      <c r="AD24" s="66"/>
      <c r="AE24" s="66"/>
      <c r="AF24" s="66"/>
      <c r="AG24" s="66"/>
      <c r="AH24" s="66"/>
    </row>
    <row r="25" spans="1:34" ht="21" customHeight="1" x14ac:dyDescent="0.35">
      <c r="A25" s="4516"/>
      <c r="B25" s="5409" t="s">
        <v>1194</v>
      </c>
      <c r="C25" s="5410"/>
      <c r="D25" s="4500" t="s">
        <v>566</v>
      </c>
      <c r="E25" s="4501"/>
      <c r="F25" s="4501"/>
      <c r="G25" s="4501"/>
      <c r="H25" s="4501"/>
      <c r="I25" s="4501"/>
      <c r="J25" s="5403">
        <v>10</v>
      </c>
      <c r="K25" s="5404"/>
      <c r="L25" s="5403">
        <v>6</v>
      </c>
      <c r="M25" s="5404"/>
      <c r="N25" s="1505">
        <f t="shared" si="1"/>
        <v>4</v>
      </c>
      <c r="O25" s="1505">
        <v>10</v>
      </c>
      <c r="P25" s="5370"/>
      <c r="Q25" s="5371"/>
      <c r="R25" s="5371"/>
      <c r="S25" s="5372"/>
      <c r="T25" s="463"/>
      <c r="U25" s="63"/>
      <c r="X25" s="66"/>
      <c r="Y25" s="66"/>
      <c r="Z25" s="72"/>
      <c r="AA25" s="73"/>
      <c r="AB25" s="73"/>
      <c r="AC25" s="66"/>
      <c r="AD25" s="66"/>
      <c r="AE25" s="66"/>
      <c r="AF25" s="66"/>
      <c r="AG25" s="66"/>
      <c r="AH25" s="66"/>
    </row>
    <row r="26" spans="1:34" ht="21" customHeight="1" x14ac:dyDescent="0.35">
      <c r="A26" s="4516"/>
      <c r="B26" s="5409" t="s">
        <v>932</v>
      </c>
      <c r="C26" s="5410"/>
      <c r="D26" s="4500" t="s">
        <v>567</v>
      </c>
      <c r="E26" s="4501"/>
      <c r="F26" s="4501"/>
      <c r="G26" s="4501"/>
      <c r="H26" s="4501"/>
      <c r="I26" s="4501"/>
      <c r="J26" s="5403">
        <v>10</v>
      </c>
      <c r="K26" s="5404"/>
      <c r="L26" s="5403">
        <v>10</v>
      </c>
      <c r="M26" s="5404"/>
      <c r="N26" s="1505">
        <f t="shared" si="1"/>
        <v>0</v>
      </c>
      <c r="O26" s="1505">
        <v>10</v>
      </c>
      <c r="P26" s="5370"/>
      <c r="Q26" s="5371"/>
      <c r="R26" s="5371"/>
      <c r="S26" s="5372"/>
      <c r="T26" s="463"/>
      <c r="U26" s="63"/>
      <c r="X26" s="66"/>
      <c r="Y26" s="66"/>
      <c r="Z26" s="72"/>
      <c r="AA26" s="73"/>
      <c r="AB26" s="73"/>
      <c r="AC26" s="66"/>
      <c r="AD26" s="66"/>
      <c r="AE26" s="66"/>
      <c r="AF26" s="66"/>
      <c r="AG26" s="66"/>
      <c r="AH26" s="66"/>
    </row>
    <row r="27" spans="1:34" ht="21" customHeight="1" thickBot="1" x14ac:dyDescent="0.4">
      <c r="A27" s="4517"/>
      <c r="B27" s="745"/>
      <c r="C27" s="746"/>
      <c r="D27" s="746"/>
      <c r="E27" s="746"/>
      <c r="F27" s="746"/>
      <c r="G27" s="746"/>
      <c r="H27" s="746"/>
      <c r="I27" s="1552" t="s">
        <v>1385</v>
      </c>
      <c r="J27" s="5405">
        <f>AVERAGE(J20:J26)</f>
        <v>10</v>
      </c>
      <c r="K27" s="5405"/>
      <c r="L27" s="5405">
        <f>AVERAGE(L20:L26)</f>
        <v>6.8571428571428568</v>
      </c>
      <c r="M27" s="5405"/>
      <c r="N27" s="749">
        <v>0</v>
      </c>
      <c r="O27" s="749"/>
      <c r="P27" s="746"/>
      <c r="Q27" s="746"/>
      <c r="R27" s="746"/>
      <c r="S27" s="747"/>
      <c r="T27" s="463"/>
      <c r="U27" s="63"/>
      <c r="X27" s="66"/>
      <c r="Y27" s="66"/>
      <c r="Z27" s="72"/>
      <c r="AA27" s="73"/>
      <c r="AB27" s="73"/>
      <c r="AC27" s="66"/>
      <c r="AD27" s="66"/>
      <c r="AE27" s="66"/>
      <c r="AF27" s="66"/>
      <c r="AG27" s="66"/>
      <c r="AH27" s="66"/>
    </row>
    <row r="28" spans="1:34" ht="21" customHeight="1" thickTop="1" x14ac:dyDescent="0.35">
      <c r="A28" s="5452" t="s">
        <v>564</v>
      </c>
      <c r="B28" s="5455"/>
      <c r="C28" s="5456"/>
      <c r="D28" s="5456"/>
      <c r="E28" s="5456"/>
      <c r="F28" s="5456"/>
      <c r="G28" s="5456"/>
      <c r="H28" s="5456"/>
      <c r="I28" s="5456"/>
      <c r="J28" s="5456"/>
      <c r="K28" s="5456"/>
      <c r="L28" s="5456"/>
      <c r="M28" s="5456"/>
      <c r="N28" s="5456"/>
      <c r="O28" s="5456"/>
      <c r="P28" s="5456"/>
      <c r="Q28" s="5456"/>
      <c r="R28" s="5456"/>
      <c r="S28" s="5457"/>
      <c r="T28" s="463"/>
      <c r="U28" s="63"/>
      <c r="X28" s="66"/>
      <c r="Y28" s="66"/>
      <c r="Z28" s="72"/>
      <c r="AA28" s="73"/>
      <c r="AB28" s="73"/>
      <c r="AC28" s="66"/>
      <c r="AD28" s="66"/>
      <c r="AE28" s="66"/>
      <c r="AF28" s="66"/>
      <c r="AG28" s="66"/>
      <c r="AH28" s="66"/>
    </row>
    <row r="29" spans="1:34" ht="21" customHeight="1" x14ac:dyDescent="0.35">
      <c r="A29" s="5453"/>
      <c r="B29" s="5434" t="s">
        <v>933</v>
      </c>
      <c r="C29" s="5435"/>
      <c r="D29" s="5436" t="s">
        <v>1195</v>
      </c>
      <c r="E29" s="5382"/>
      <c r="F29" s="5382"/>
      <c r="G29" s="5382"/>
      <c r="H29" s="5382"/>
      <c r="I29" s="5382"/>
      <c r="J29" s="5383">
        <v>10</v>
      </c>
      <c r="K29" s="5384"/>
      <c r="L29" s="5403">
        <v>10</v>
      </c>
      <c r="M29" s="5404"/>
      <c r="N29" s="740">
        <f t="shared" ref="N29:N36" si="2">ABS(J29-L29)</f>
        <v>0</v>
      </c>
      <c r="O29" s="1505">
        <v>10</v>
      </c>
      <c r="P29" s="5370"/>
      <c r="Q29" s="5371"/>
      <c r="R29" s="5371"/>
      <c r="S29" s="5372"/>
      <c r="T29" s="463"/>
      <c r="U29" s="63"/>
      <c r="X29" s="66"/>
      <c r="Y29" s="66"/>
      <c r="Z29" s="72"/>
      <c r="AA29" s="73"/>
      <c r="AB29" s="73"/>
      <c r="AC29" s="66"/>
      <c r="AD29" s="66"/>
      <c r="AE29" s="66"/>
      <c r="AF29" s="66"/>
      <c r="AG29" s="66"/>
      <c r="AH29" s="66"/>
    </row>
    <row r="30" spans="1:34" ht="18.75" customHeight="1" x14ac:dyDescent="0.35">
      <c r="A30" s="5453"/>
      <c r="B30" s="5434" t="s">
        <v>934</v>
      </c>
      <c r="C30" s="5435"/>
      <c r="D30" s="5436" t="s">
        <v>434</v>
      </c>
      <c r="E30" s="5382"/>
      <c r="F30" s="5382"/>
      <c r="G30" s="5382"/>
      <c r="H30" s="5382"/>
      <c r="I30" s="5382"/>
      <c r="J30" s="5383">
        <v>10</v>
      </c>
      <c r="K30" s="5384"/>
      <c r="L30" s="5403">
        <v>10</v>
      </c>
      <c r="M30" s="5404"/>
      <c r="N30" s="740">
        <f t="shared" si="2"/>
        <v>0</v>
      </c>
      <c r="O30" s="1505">
        <v>10</v>
      </c>
      <c r="P30" s="5370"/>
      <c r="Q30" s="5371"/>
      <c r="R30" s="5371"/>
      <c r="S30" s="5372"/>
      <c r="T30" s="463"/>
      <c r="U30" s="63"/>
      <c r="X30" s="66"/>
      <c r="Y30" s="66"/>
      <c r="Z30" s="72"/>
      <c r="AA30" s="73"/>
      <c r="AB30" s="73"/>
      <c r="AC30" s="66"/>
      <c r="AD30" s="66"/>
      <c r="AE30" s="66"/>
      <c r="AF30" s="66"/>
      <c r="AG30" s="66"/>
      <c r="AH30" s="66"/>
    </row>
    <row r="31" spans="1:34" ht="18.75" customHeight="1" x14ac:dyDescent="0.35">
      <c r="A31" s="5453"/>
      <c r="B31" s="5434" t="s">
        <v>1227</v>
      </c>
      <c r="C31" s="5435"/>
      <c r="D31" s="5436" t="s">
        <v>1228</v>
      </c>
      <c r="E31" s="5382"/>
      <c r="F31" s="5382"/>
      <c r="G31" s="5382"/>
      <c r="H31" s="5382"/>
      <c r="I31" s="5382"/>
      <c r="J31" s="5383" t="s">
        <v>1663</v>
      </c>
      <c r="K31" s="5384"/>
      <c r="L31" s="5403"/>
      <c r="M31" s="5404"/>
      <c r="N31" s="740" t="e">
        <f t="shared" si="2"/>
        <v>#VALUE!</v>
      </c>
      <c r="O31" s="1505">
        <v>10</v>
      </c>
      <c r="P31" s="5370"/>
      <c r="Q31" s="5371"/>
      <c r="R31" s="5371"/>
      <c r="S31" s="5372"/>
      <c r="T31" s="463"/>
      <c r="U31" s="63"/>
      <c r="X31" s="66"/>
      <c r="Y31" s="66"/>
      <c r="Z31" s="72"/>
      <c r="AA31" s="73"/>
      <c r="AB31" s="73"/>
      <c r="AC31" s="66"/>
      <c r="AD31" s="66"/>
      <c r="AE31" s="66"/>
      <c r="AF31" s="66"/>
      <c r="AG31" s="66"/>
      <c r="AH31" s="66"/>
    </row>
    <row r="32" spans="1:34" ht="21" customHeight="1" x14ac:dyDescent="0.35">
      <c r="A32" s="5453"/>
      <c r="B32" s="5434" t="s">
        <v>1229</v>
      </c>
      <c r="C32" s="5435"/>
      <c r="D32" s="5436" t="s">
        <v>1230</v>
      </c>
      <c r="E32" s="5382"/>
      <c r="F32" s="5382"/>
      <c r="G32" s="5382"/>
      <c r="H32" s="5382"/>
      <c r="I32" s="5382"/>
      <c r="J32" s="5383" t="s">
        <v>1663</v>
      </c>
      <c r="K32" s="5384"/>
      <c r="L32" s="5403"/>
      <c r="M32" s="5404"/>
      <c r="N32" s="740" t="e">
        <f t="shared" si="2"/>
        <v>#VALUE!</v>
      </c>
      <c r="O32" s="1505">
        <v>10</v>
      </c>
      <c r="P32" s="5370"/>
      <c r="Q32" s="5371"/>
      <c r="R32" s="5371"/>
      <c r="S32" s="5372"/>
      <c r="T32" s="463"/>
      <c r="U32" s="63"/>
      <c r="X32" s="66"/>
      <c r="Y32" s="66"/>
      <c r="Z32" s="72"/>
      <c r="AA32" s="73"/>
      <c r="AB32" s="73"/>
      <c r="AC32" s="66"/>
      <c r="AD32" s="66"/>
      <c r="AE32" s="66"/>
      <c r="AF32" s="66"/>
      <c r="AG32" s="66"/>
      <c r="AH32" s="66"/>
    </row>
    <row r="33" spans="1:34" ht="44.25" customHeight="1" x14ac:dyDescent="0.35">
      <c r="A33" s="5453"/>
      <c r="B33" s="5434" t="s">
        <v>935</v>
      </c>
      <c r="C33" s="5435"/>
      <c r="D33" s="4500" t="s">
        <v>1196</v>
      </c>
      <c r="E33" s="4501"/>
      <c r="F33" s="4501"/>
      <c r="G33" s="4501"/>
      <c r="H33" s="4501"/>
      <c r="I33" s="4501"/>
      <c r="J33" s="5383">
        <v>3</v>
      </c>
      <c r="K33" s="5384"/>
      <c r="L33" s="5403">
        <v>2</v>
      </c>
      <c r="M33" s="5404"/>
      <c r="N33" s="740">
        <f t="shared" si="2"/>
        <v>1</v>
      </c>
      <c r="O33" s="1505">
        <v>10</v>
      </c>
      <c r="P33" s="5370"/>
      <c r="Q33" s="5371"/>
      <c r="R33" s="5371"/>
      <c r="S33" s="5372"/>
      <c r="T33" s="463"/>
      <c r="U33" s="63"/>
      <c r="X33" s="66"/>
      <c r="Y33" s="66"/>
      <c r="Z33" s="72"/>
      <c r="AA33" s="73"/>
      <c r="AB33" s="73"/>
      <c r="AC33" s="66"/>
      <c r="AD33" s="66"/>
      <c r="AE33" s="66"/>
      <c r="AF33" s="66"/>
      <c r="AG33" s="66"/>
      <c r="AH33" s="66"/>
    </row>
    <row r="34" spans="1:34" ht="21" customHeight="1" x14ac:dyDescent="0.35">
      <c r="A34" s="5453"/>
      <c r="B34" s="5434" t="s">
        <v>130</v>
      </c>
      <c r="C34" s="5435"/>
      <c r="D34" s="5436" t="s">
        <v>433</v>
      </c>
      <c r="E34" s="5382"/>
      <c r="F34" s="5382"/>
      <c r="G34" s="5382"/>
      <c r="H34" s="5382"/>
      <c r="I34" s="5382"/>
      <c r="J34" s="5383">
        <v>2</v>
      </c>
      <c r="K34" s="5384"/>
      <c r="L34" s="5403">
        <v>2</v>
      </c>
      <c r="M34" s="5404"/>
      <c r="N34" s="740">
        <f t="shared" si="2"/>
        <v>0</v>
      </c>
      <c r="O34" s="1505">
        <v>10</v>
      </c>
      <c r="P34" s="5370"/>
      <c r="Q34" s="5371"/>
      <c r="R34" s="5371"/>
      <c r="S34" s="5372"/>
      <c r="T34" s="463"/>
      <c r="U34" s="63"/>
      <c r="X34" s="66"/>
      <c r="Y34" s="66"/>
      <c r="Z34" s="72"/>
      <c r="AA34" s="73"/>
      <c r="AB34" s="73"/>
      <c r="AC34" s="66"/>
      <c r="AD34" s="66"/>
      <c r="AE34" s="66"/>
      <c r="AF34" s="66"/>
      <c r="AG34" s="66"/>
      <c r="AH34" s="66"/>
    </row>
    <row r="35" spans="1:34" ht="21" customHeight="1" x14ac:dyDescent="0.35">
      <c r="A35" s="5453"/>
      <c r="B35" s="5434" t="s">
        <v>937</v>
      </c>
      <c r="C35" s="5435"/>
      <c r="D35" s="5436" t="s">
        <v>432</v>
      </c>
      <c r="E35" s="5382"/>
      <c r="F35" s="5382"/>
      <c r="G35" s="5382"/>
      <c r="H35" s="5382"/>
      <c r="I35" s="5382"/>
      <c r="J35" s="5383">
        <v>10</v>
      </c>
      <c r="K35" s="5384"/>
      <c r="L35" s="5403">
        <v>10</v>
      </c>
      <c r="M35" s="5404"/>
      <c r="N35" s="740">
        <f t="shared" si="2"/>
        <v>0</v>
      </c>
      <c r="O35" s="1505">
        <v>10</v>
      </c>
      <c r="P35" s="5370"/>
      <c r="Q35" s="5371"/>
      <c r="R35" s="5371"/>
      <c r="S35" s="5372"/>
      <c r="T35" s="463"/>
      <c r="U35" s="63"/>
      <c r="X35" s="66"/>
      <c r="Y35" s="66"/>
      <c r="Z35" s="72"/>
      <c r="AA35" s="73"/>
      <c r="AB35" s="73"/>
      <c r="AC35" s="66"/>
      <c r="AD35" s="66"/>
      <c r="AE35" s="66"/>
      <c r="AF35" s="66"/>
      <c r="AG35" s="66"/>
      <c r="AH35" s="66"/>
    </row>
    <row r="36" spans="1:34" ht="21" customHeight="1" x14ac:dyDescent="0.35">
      <c r="A36" s="5453"/>
      <c r="B36" s="5434" t="s">
        <v>936</v>
      </c>
      <c r="C36" s="5435"/>
      <c r="D36" s="5436" t="s">
        <v>431</v>
      </c>
      <c r="E36" s="5382"/>
      <c r="F36" s="5382"/>
      <c r="G36" s="5382"/>
      <c r="H36" s="5382"/>
      <c r="I36" s="5382"/>
      <c r="J36" s="5383">
        <v>8</v>
      </c>
      <c r="K36" s="5384"/>
      <c r="L36" s="5403">
        <v>8</v>
      </c>
      <c r="M36" s="5404"/>
      <c r="N36" s="740">
        <f t="shared" si="2"/>
        <v>0</v>
      </c>
      <c r="O36" s="1505">
        <v>10</v>
      </c>
      <c r="P36" s="5370"/>
      <c r="Q36" s="5371"/>
      <c r="R36" s="5371"/>
      <c r="S36" s="5372"/>
      <c r="T36" s="463"/>
      <c r="U36" s="63"/>
      <c r="X36" s="66"/>
      <c r="Y36" s="66"/>
      <c r="Z36" s="72"/>
      <c r="AA36" s="73"/>
      <c r="AB36" s="73"/>
      <c r="AC36" s="66"/>
      <c r="AD36" s="66"/>
      <c r="AE36" s="66"/>
      <c r="AF36" s="66"/>
      <c r="AG36" s="66"/>
      <c r="AH36" s="66"/>
    </row>
    <row r="37" spans="1:34" ht="21" customHeight="1" thickBot="1" x14ac:dyDescent="0.4">
      <c r="A37" s="5454"/>
      <c r="B37" s="748"/>
      <c r="C37" s="749"/>
      <c r="D37" s="749"/>
      <c r="E37" s="749"/>
      <c r="F37" s="749"/>
      <c r="G37" s="749"/>
      <c r="H37" s="749"/>
      <c r="I37" s="1552" t="s">
        <v>1385</v>
      </c>
      <c r="J37" s="5405">
        <f>AVERAGE(J29:J36)</f>
        <v>7.166666666666667</v>
      </c>
      <c r="K37" s="5405"/>
      <c r="L37" s="5405">
        <f>AVERAGE(L29:L36)</f>
        <v>7</v>
      </c>
      <c r="M37" s="5405"/>
      <c r="N37" s="749">
        <v>0</v>
      </c>
      <c r="O37" s="749"/>
      <c r="P37" s="749"/>
      <c r="Q37" s="749"/>
      <c r="R37" s="749"/>
      <c r="S37" s="750"/>
      <c r="T37" s="463"/>
      <c r="U37" s="63"/>
      <c r="X37" s="66"/>
      <c r="Y37" s="66"/>
      <c r="Z37" s="72"/>
      <c r="AA37" s="73"/>
      <c r="AB37" s="73"/>
      <c r="AC37" s="66"/>
      <c r="AD37" s="66"/>
      <c r="AE37" s="66"/>
      <c r="AF37" s="66"/>
      <c r="AG37" s="66"/>
      <c r="AH37" s="66"/>
    </row>
    <row r="38" spans="1:34" ht="21" customHeight="1" x14ac:dyDescent="0.35">
      <c r="A38" s="5391" t="s">
        <v>430</v>
      </c>
      <c r="B38" s="5394"/>
      <c r="C38" s="5395"/>
      <c r="D38" s="5395"/>
      <c r="E38" s="5395"/>
      <c r="F38" s="5395"/>
      <c r="G38" s="5395"/>
      <c r="H38" s="5395"/>
      <c r="I38" s="5395"/>
      <c r="J38" s="5395"/>
      <c r="K38" s="5395"/>
      <c r="L38" s="5395"/>
      <c r="M38" s="5395"/>
      <c r="N38" s="5395"/>
      <c r="O38" s="5395"/>
      <c r="P38" s="5395"/>
      <c r="Q38" s="5395"/>
      <c r="R38" s="5395"/>
      <c r="S38" s="5396"/>
      <c r="T38" s="463"/>
      <c r="U38" s="63"/>
      <c r="X38" s="66"/>
      <c r="Y38" s="66"/>
      <c r="Z38" s="72"/>
      <c r="AA38" s="73"/>
      <c r="AB38" s="73"/>
      <c r="AC38" s="66"/>
      <c r="AD38" s="66"/>
      <c r="AE38" s="66"/>
      <c r="AF38" s="66"/>
      <c r="AG38" s="66"/>
      <c r="AH38" s="66"/>
    </row>
    <row r="39" spans="1:34" ht="21" customHeight="1" x14ac:dyDescent="0.35">
      <c r="A39" s="5392"/>
      <c r="B39" s="5389" t="s">
        <v>938</v>
      </c>
      <c r="C39" s="5390"/>
      <c r="D39" s="5381" t="s">
        <v>1197</v>
      </c>
      <c r="E39" s="5397"/>
      <c r="F39" s="5397"/>
      <c r="G39" s="5397"/>
      <c r="H39" s="5397"/>
      <c r="I39" s="5397"/>
      <c r="J39" s="5383">
        <v>0</v>
      </c>
      <c r="K39" s="5384"/>
      <c r="L39" s="5403">
        <v>0</v>
      </c>
      <c r="M39" s="5404"/>
      <c r="N39" s="1505">
        <f t="shared" ref="N39:N53" si="3">ABS(J39-L39)</f>
        <v>0</v>
      </c>
      <c r="O39" s="1505">
        <v>10</v>
      </c>
      <c r="P39" s="5370"/>
      <c r="Q39" s="5371"/>
      <c r="R39" s="5371"/>
      <c r="S39" s="5372"/>
      <c r="T39" s="463"/>
      <c r="U39" s="63"/>
      <c r="X39" s="66"/>
      <c r="Y39" s="66"/>
      <c r="Z39" s="72"/>
      <c r="AA39" s="73"/>
      <c r="AB39" s="73"/>
      <c r="AC39" s="66"/>
      <c r="AD39" s="66"/>
      <c r="AE39" s="66"/>
      <c r="AF39" s="66"/>
      <c r="AG39" s="66"/>
      <c r="AH39" s="66"/>
    </row>
    <row r="40" spans="1:34" ht="21" customHeight="1" x14ac:dyDescent="0.35">
      <c r="A40" s="5392"/>
      <c r="B40" s="5389" t="s">
        <v>13</v>
      </c>
      <c r="C40" s="5390"/>
      <c r="D40" s="5381" t="s">
        <v>1198</v>
      </c>
      <c r="E40" s="5382"/>
      <c r="F40" s="5382"/>
      <c r="G40" s="5382"/>
      <c r="H40" s="5382"/>
      <c r="I40" s="5382"/>
      <c r="J40" s="5383"/>
      <c r="K40" s="5384"/>
      <c r="L40" s="5403"/>
      <c r="M40" s="5404"/>
      <c r="N40" s="740">
        <f t="shared" si="3"/>
        <v>0</v>
      </c>
      <c r="O40" s="1505">
        <v>10</v>
      </c>
      <c r="P40" s="5370"/>
      <c r="Q40" s="5371"/>
      <c r="R40" s="5371"/>
      <c r="S40" s="5372"/>
      <c r="T40" s="463"/>
      <c r="U40" s="63"/>
      <c r="X40" s="66"/>
      <c r="Y40" s="66"/>
      <c r="Z40" s="72"/>
      <c r="AA40" s="73"/>
      <c r="AB40" s="73"/>
      <c r="AC40" s="66"/>
      <c r="AD40" s="66"/>
      <c r="AE40" s="66"/>
      <c r="AF40" s="66"/>
      <c r="AG40" s="66"/>
      <c r="AH40" s="66"/>
    </row>
    <row r="41" spans="1:34" ht="21" customHeight="1" x14ac:dyDescent="0.35">
      <c r="A41" s="5392"/>
      <c r="B41" s="5389" t="s">
        <v>939</v>
      </c>
      <c r="C41" s="5390"/>
      <c r="D41" s="5381" t="s">
        <v>429</v>
      </c>
      <c r="E41" s="5382"/>
      <c r="F41" s="5382"/>
      <c r="G41" s="5382"/>
      <c r="H41" s="5382"/>
      <c r="I41" s="5382"/>
      <c r="J41" s="5383"/>
      <c r="K41" s="5384"/>
      <c r="L41" s="5403"/>
      <c r="M41" s="5404"/>
      <c r="N41" s="740">
        <f t="shared" si="3"/>
        <v>0</v>
      </c>
      <c r="O41" s="1505">
        <v>10</v>
      </c>
      <c r="P41" s="5370"/>
      <c r="Q41" s="5371"/>
      <c r="R41" s="5371"/>
      <c r="S41" s="5372"/>
      <c r="T41" s="463"/>
      <c r="U41" s="63"/>
      <c r="X41" s="66"/>
      <c r="Y41" s="66"/>
      <c r="Z41" s="72"/>
      <c r="AA41" s="73"/>
      <c r="AB41" s="73"/>
      <c r="AC41" s="66"/>
      <c r="AD41" s="66"/>
      <c r="AE41" s="66"/>
      <c r="AF41" s="66"/>
      <c r="AG41" s="66"/>
      <c r="AH41" s="66"/>
    </row>
    <row r="42" spans="1:34" ht="21" customHeight="1" x14ac:dyDescent="0.35">
      <c r="A42" s="5392"/>
      <c r="B42" s="5389" t="s">
        <v>940</v>
      </c>
      <c r="C42" s="5390"/>
      <c r="D42" s="5381" t="s">
        <v>428</v>
      </c>
      <c r="E42" s="5382"/>
      <c r="F42" s="5382"/>
      <c r="G42" s="5382"/>
      <c r="H42" s="5382"/>
      <c r="I42" s="5382"/>
      <c r="J42" s="5383"/>
      <c r="K42" s="5384"/>
      <c r="L42" s="5403"/>
      <c r="M42" s="5404"/>
      <c r="N42" s="740">
        <f t="shared" si="3"/>
        <v>0</v>
      </c>
      <c r="O42" s="1505">
        <v>10</v>
      </c>
      <c r="P42" s="5370"/>
      <c r="Q42" s="5371"/>
      <c r="R42" s="5371"/>
      <c r="S42" s="5372"/>
      <c r="T42" s="463"/>
      <c r="U42" s="63"/>
      <c r="X42" s="66"/>
      <c r="Y42" s="66"/>
      <c r="Z42" s="72"/>
      <c r="AA42" s="73"/>
      <c r="AB42" s="73"/>
      <c r="AC42" s="66"/>
      <c r="AD42" s="66"/>
      <c r="AE42" s="66"/>
      <c r="AF42" s="66"/>
      <c r="AG42" s="66"/>
      <c r="AH42" s="66"/>
    </row>
    <row r="43" spans="1:34" ht="21" customHeight="1" x14ac:dyDescent="0.35">
      <c r="A43" s="5392"/>
      <c r="B43" s="5389" t="s">
        <v>941</v>
      </c>
      <c r="C43" s="5390"/>
      <c r="D43" s="5381" t="s">
        <v>427</v>
      </c>
      <c r="E43" s="5382"/>
      <c r="F43" s="5382"/>
      <c r="G43" s="5382"/>
      <c r="H43" s="5382"/>
      <c r="I43" s="5382"/>
      <c r="J43" s="5383"/>
      <c r="K43" s="5384"/>
      <c r="L43" s="5403"/>
      <c r="M43" s="5404"/>
      <c r="N43" s="740">
        <f t="shared" si="3"/>
        <v>0</v>
      </c>
      <c r="O43" s="1505">
        <v>10</v>
      </c>
      <c r="P43" s="5370"/>
      <c r="Q43" s="5371"/>
      <c r="R43" s="5371"/>
      <c r="S43" s="5372"/>
      <c r="T43" s="463"/>
      <c r="U43" s="63"/>
      <c r="X43" s="66"/>
      <c r="Y43" s="66"/>
      <c r="Z43" s="72"/>
      <c r="AA43" s="73"/>
      <c r="AB43" s="73"/>
      <c r="AC43" s="66"/>
      <c r="AD43" s="66"/>
      <c r="AE43" s="66"/>
      <c r="AF43" s="66"/>
      <c r="AG43" s="66"/>
      <c r="AH43" s="66"/>
    </row>
    <row r="44" spans="1:34" ht="21" customHeight="1" x14ac:dyDescent="0.35">
      <c r="A44" s="5392"/>
      <c r="B44" s="5389" t="s">
        <v>942</v>
      </c>
      <c r="C44" s="5390"/>
      <c r="D44" s="5381" t="s">
        <v>426</v>
      </c>
      <c r="E44" s="5382"/>
      <c r="F44" s="5382"/>
      <c r="G44" s="5382"/>
      <c r="H44" s="5382"/>
      <c r="I44" s="5382"/>
      <c r="J44" s="5383"/>
      <c r="K44" s="5384"/>
      <c r="L44" s="5403"/>
      <c r="M44" s="5404"/>
      <c r="N44" s="740">
        <f t="shared" si="3"/>
        <v>0</v>
      </c>
      <c r="O44" s="1505">
        <v>10</v>
      </c>
      <c r="P44" s="5370"/>
      <c r="Q44" s="5371"/>
      <c r="R44" s="5371"/>
      <c r="S44" s="5372"/>
      <c r="T44" s="463"/>
      <c r="U44" s="63"/>
      <c r="X44" s="66"/>
      <c r="Y44" s="66"/>
      <c r="Z44" s="72"/>
      <c r="AA44" s="73"/>
      <c r="AB44" s="73"/>
      <c r="AC44" s="66"/>
      <c r="AD44" s="66"/>
      <c r="AE44" s="66"/>
      <c r="AF44" s="66"/>
      <c r="AG44" s="66"/>
      <c r="AH44" s="66"/>
    </row>
    <row r="45" spans="1:34" ht="22.5" customHeight="1" x14ac:dyDescent="0.35">
      <c r="A45" s="5392"/>
      <c r="B45" s="5389" t="s">
        <v>943</v>
      </c>
      <c r="C45" s="5390"/>
      <c r="D45" s="5381" t="s">
        <v>425</v>
      </c>
      <c r="E45" s="5382"/>
      <c r="F45" s="5382"/>
      <c r="G45" s="5382"/>
      <c r="H45" s="5382"/>
      <c r="I45" s="5382"/>
      <c r="J45" s="5383"/>
      <c r="K45" s="5384"/>
      <c r="L45" s="5403"/>
      <c r="M45" s="5404"/>
      <c r="N45" s="740">
        <f t="shared" si="3"/>
        <v>0</v>
      </c>
      <c r="O45" s="1505">
        <v>10</v>
      </c>
      <c r="P45" s="5370"/>
      <c r="Q45" s="5371"/>
      <c r="R45" s="5371"/>
      <c r="S45" s="5372"/>
      <c r="T45" s="463"/>
      <c r="U45" s="63"/>
      <c r="X45" s="66"/>
      <c r="Y45" s="66"/>
      <c r="Z45" s="72"/>
      <c r="AA45" s="73"/>
      <c r="AB45" s="73"/>
      <c r="AC45" s="66"/>
      <c r="AD45" s="66"/>
      <c r="AE45" s="66"/>
      <c r="AF45" s="66"/>
      <c r="AG45" s="66"/>
      <c r="AH45" s="66"/>
    </row>
    <row r="46" spans="1:34" ht="26.25" customHeight="1" x14ac:dyDescent="0.35">
      <c r="A46" s="5392"/>
      <c r="B46" s="5389" t="s">
        <v>944</v>
      </c>
      <c r="C46" s="5390"/>
      <c r="D46" s="5381" t="s">
        <v>424</v>
      </c>
      <c r="E46" s="5382"/>
      <c r="F46" s="5382"/>
      <c r="G46" s="5382"/>
      <c r="H46" s="5382"/>
      <c r="I46" s="5382"/>
      <c r="J46" s="5383"/>
      <c r="K46" s="5384"/>
      <c r="L46" s="5403"/>
      <c r="M46" s="5404"/>
      <c r="N46" s="740">
        <f t="shared" si="3"/>
        <v>0</v>
      </c>
      <c r="O46" s="1505">
        <v>10</v>
      </c>
      <c r="P46" s="5370"/>
      <c r="Q46" s="5371"/>
      <c r="R46" s="5371"/>
      <c r="S46" s="5372"/>
      <c r="T46" s="463"/>
      <c r="U46" s="63"/>
      <c r="X46" s="66"/>
      <c r="Y46" s="66"/>
      <c r="Z46" s="72"/>
      <c r="AA46" s="73"/>
      <c r="AB46" s="73"/>
      <c r="AC46" s="66"/>
      <c r="AD46" s="66"/>
      <c r="AE46" s="66"/>
      <c r="AF46" s="66"/>
      <c r="AG46" s="66"/>
      <c r="AH46" s="66"/>
    </row>
    <row r="47" spans="1:34" ht="21" customHeight="1" x14ac:dyDescent="0.35">
      <c r="A47" s="5392"/>
      <c r="B47" s="5389" t="s">
        <v>945</v>
      </c>
      <c r="C47" s="5390"/>
      <c r="D47" s="5381" t="s">
        <v>423</v>
      </c>
      <c r="E47" s="5382"/>
      <c r="F47" s="5382"/>
      <c r="G47" s="5382"/>
      <c r="H47" s="5382"/>
      <c r="I47" s="5382"/>
      <c r="J47" s="5383"/>
      <c r="K47" s="5384"/>
      <c r="L47" s="5403"/>
      <c r="M47" s="5404"/>
      <c r="N47" s="740">
        <f t="shared" si="3"/>
        <v>0</v>
      </c>
      <c r="O47" s="1505">
        <v>10</v>
      </c>
      <c r="P47" s="5370" t="s">
        <v>1074</v>
      </c>
      <c r="Q47" s="5371"/>
      <c r="R47" s="5371"/>
      <c r="S47" s="5372"/>
      <c r="T47" s="463"/>
      <c r="U47" s="63"/>
      <c r="X47" s="66"/>
      <c r="Y47" s="66"/>
      <c r="Z47" s="72"/>
      <c r="AA47" s="73"/>
      <c r="AB47" s="73"/>
      <c r="AC47" s="66"/>
      <c r="AD47" s="66"/>
      <c r="AE47" s="66"/>
      <c r="AF47" s="66"/>
      <c r="AG47" s="66"/>
      <c r="AH47" s="66"/>
    </row>
    <row r="48" spans="1:34" ht="21" customHeight="1" x14ac:dyDescent="0.35">
      <c r="A48" s="5392"/>
      <c r="B48" s="5389" t="s">
        <v>946</v>
      </c>
      <c r="C48" s="5390"/>
      <c r="D48" s="5381" t="s">
        <v>422</v>
      </c>
      <c r="E48" s="5382"/>
      <c r="F48" s="5382"/>
      <c r="G48" s="5382"/>
      <c r="H48" s="5382"/>
      <c r="I48" s="5382"/>
      <c r="J48" s="5383"/>
      <c r="K48" s="5384"/>
      <c r="L48" s="5403"/>
      <c r="M48" s="5404"/>
      <c r="N48" s="740">
        <f t="shared" si="3"/>
        <v>0</v>
      </c>
      <c r="O48" s="1505">
        <v>10</v>
      </c>
      <c r="P48" s="5370"/>
      <c r="Q48" s="5371"/>
      <c r="R48" s="5371"/>
      <c r="S48" s="5372"/>
      <c r="T48" s="463"/>
      <c r="U48" s="63"/>
      <c r="X48" s="66"/>
      <c r="Y48" s="66"/>
      <c r="Z48" s="72"/>
      <c r="AA48" s="73"/>
      <c r="AB48" s="73"/>
      <c r="AC48" s="66"/>
      <c r="AD48" s="66"/>
      <c r="AE48" s="66"/>
      <c r="AF48" s="66"/>
      <c r="AG48" s="66"/>
      <c r="AH48" s="66"/>
    </row>
    <row r="49" spans="1:34" ht="21" customHeight="1" x14ac:dyDescent="0.35">
      <c r="A49" s="5392"/>
      <c r="B49" s="5389" t="s">
        <v>947</v>
      </c>
      <c r="C49" s="5390"/>
      <c r="D49" s="5381" t="s">
        <v>421</v>
      </c>
      <c r="E49" s="5382"/>
      <c r="F49" s="5382"/>
      <c r="G49" s="5382"/>
      <c r="H49" s="5382"/>
      <c r="I49" s="5382"/>
      <c r="J49" s="5383"/>
      <c r="K49" s="5384"/>
      <c r="L49" s="5385"/>
      <c r="M49" s="5386"/>
      <c r="N49" s="740">
        <f t="shared" si="3"/>
        <v>0</v>
      </c>
      <c r="O49" s="1505">
        <v>10</v>
      </c>
      <c r="P49" s="5370"/>
      <c r="Q49" s="5371"/>
      <c r="R49" s="5371"/>
      <c r="S49" s="5372"/>
      <c r="T49" s="463"/>
      <c r="U49" s="63"/>
      <c r="X49" s="66"/>
      <c r="Y49" s="66"/>
      <c r="Z49" s="72"/>
      <c r="AA49" s="73"/>
      <c r="AB49" s="73"/>
      <c r="AC49" s="66"/>
      <c r="AD49" s="66"/>
      <c r="AE49" s="66"/>
      <c r="AF49" s="66"/>
      <c r="AG49" s="66"/>
      <c r="AH49" s="66"/>
    </row>
    <row r="50" spans="1:34" ht="21" customHeight="1" x14ac:dyDescent="0.35">
      <c r="A50" s="5392"/>
      <c r="B50" s="5389" t="s">
        <v>948</v>
      </c>
      <c r="C50" s="5390"/>
      <c r="D50" s="5381" t="s">
        <v>420</v>
      </c>
      <c r="E50" s="5382"/>
      <c r="F50" s="5382"/>
      <c r="G50" s="5382"/>
      <c r="H50" s="5382"/>
      <c r="I50" s="5382"/>
      <c r="J50" s="5383"/>
      <c r="K50" s="5384"/>
      <c r="L50" s="5385"/>
      <c r="M50" s="5386"/>
      <c r="N50" s="740">
        <f t="shared" si="3"/>
        <v>0</v>
      </c>
      <c r="O50" s="1505">
        <v>10</v>
      </c>
      <c r="P50" s="5370"/>
      <c r="Q50" s="5371"/>
      <c r="R50" s="5371"/>
      <c r="S50" s="5372"/>
      <c r="T50" s="463"/>
      <c r="U50" s="63"/>
      <c r="X50" s="66"/>
      <c r="Y50" s="66"/>
      <c r="Z50" s="72"/>
      <c r="AA50" s="73"/>
      <c r="AB50" s="73"/>
      <c r="AC50" s="66"/>
      <c r="AD50" s="66"/>
      <c r="AE50" s="66"/>
      <c r="AF50" s="66"/>
      <c r="AG50" s="66"/>
      <c r="AH50" s="66"/>
    </row>
    <row r="51" spans="1:34" ht="21" customHeight="1" x14ac:dyDescent="0.35">
      <c r="A51" s="5392"/>
      <c r="B51" s="5389" t="s">
        <v>15</v>
      </c>
      <c r="C51" s="5390"/>
      <c r="D51" s="5381" t="s">
        <v>419</v>
      </c>
      <c r="E51" s="5382"/>
      <c r="F51" s="5382"/>
      <c r="G51" s="5382"/>
      <c r="H51" s="5382"/>
      <c r="I51" s="5382"/>
      <c r="J51" s="5383"/>
      <c r="K51" s="5384"/>
      <c r="L51" s="5385"/>
      <c r="M51" s="5386"/>
      <c r="N51" s="740">
        <f t="shared" si="3"/>
        <v>0</v>
      </c>
      <c r="O51" s="1505">
        <v>10</v>
      </c>
      <c r="P51" s="5370"/>
      <c r="Q51" s="5371"/>
      <c r="R51" s="5371"/>
      <c r="S51" s="5372"/>
      <c r="T51" s="463"/>
      <c r="U51" s="63"/>
      <c r="X51" s="66"/>
      <c r="Y51" s="66"/>
      <c r="Z51" s="72"/>
      <c r="AA51" s="73"/>
      <c r="AB51" s="73"/>
      <c r="AC51" s="66"/>
      <c r="AD51" s="66"/>
      <c r="AE51" s="66"/>
      <c r="AF51" s="66"/>
      <c r="AG51" s="66"/>
      <c r="AH51" s="66"/>
    </row>
    <row r="52" spans="1:34" ht="21" customHeight="1" x14ac:dyDescent="0.35">
      <c r="A52" s="5392"/>
      <c r="B52" s="5389" t="s">
        <v>936</v>
      </c>
      <c r="C52" s="5390"/>
      <c r="D52" s="5381" t="s">
        <v>418</v>
      </c>
      <c r="E52" s="5382"/>
      <c r="F52" s="5382"/>
      <c r="G52" s="5382"/>
      <c r="H52" s="5382"/>
      <c r="I52" s="5382"/>
      <c r="J52" s="5383"/>
      <c r="K52" s="5384"/>
      <c r="L52" s="5385"/>
      <c r="M52" s="5386"/>
      <c r="N52" s="740">
        <f t="shared" si="3"/>
        <v>0</v>
      </c>
      <c r="O52" s="1505">
        <v>10</v>
      </c>
      <c r="P52" s="5370"/>
      <c r="Q52" s="5371"/>
      <c r="R52" s="5371"/>
      <c r="S52" s="5372"/>
      <c r="T52" s="463"/>
      <c r="U52" s="63"/>
      <c r="X52" s="66"/>
      <c r="Y52" s="66"/>
      <c r="Z52" s="72"/>
      <c r="AA52" s="73"/>
      <c r="AB52" s="73"/>
      <c r="AC52" s="66"/>
      <c r="AD52" s="66"/>
      <c r="AE52" s="66"/>
      <c r="AF52" s="66"/>
      <c r="AG52" s="66"/>
      <c r="AH52" s="66"/>
    </row>
    <row r="53" spans="1:34" ht="21" customHeight="1" x14ac:dyDescent="0.35">
      <c r="A53" s="5392"/>
      <c r="B53" s="5389" t="s">
        <v>949</v>
      </c>
      <c r="C53" s="5390"/>
      <c r="D53" s="5381" t="s">
        <v>417</v>
      </c>
      <c r="E53" s="5397"/>
      <c r="F53" s="5397"/>
      <c r="G53" s="5397"/>
      <c r="H53" s="5397"/>
      <c r="I53" s="5397"/>
      <c r="J53" s="5383"/>
      <c r="K53" s="5384"/>
      <c r="L53" s="5403"/>
      <c r="M53" s="5404"/>
      <c r="N53" s="1505">
        <f t="shared" si="3"/>
        <v>0</v>
      </c>
      <c r="O53" s="1505">
        <v>10</v>
      </c>
      <c r="P53" s="5370"/>
      <c r="Q53" s="5371"/>
      <c r="R53" s="5371"/>
      <c r="S53" s="5372"/>
      <c r="T53" s="463"/>
      <c r="U53" s="63"/>
      <c r="X53" s="66"/>
      <c r="Y53" s="66"/>
      <c r="Z53" s="72"/>
      <c r="AA53" s="73"/>
      <c r="AB53" s="73"/>
      <c r="AC53" s="66"/>
      <c r="AD53" s="66"/>
      <c r="AE53" s="66"/>
      <c r="AF53" s="66"/>
      <c r="AG53" s="66"/>
      <c r="AH53" s="66"/>
    </row>
    <row r="54" spans="1:34" ht="19.5" customHeight="1" thickBot="1" x14ac:dyDescent="0.4">
      <c r="A54" s="5393"/>
      <c r="B54" s="751"/>
      <c r="C54" s="752"/>
      <c r="D54" s="752"/>
      <c r="E54" s="752"/>
      <c r="F54" s="752"/>
      <c r="G54" s="752"/>
      <c r="H54" s="752"/>
      <c r="I54" s="1552" t="s">
        <v>1385</v>
      </c>
      <c r="J54" s="5405">
        <f>AVERAGE(J39:J53)</f>
        <v>0</v>
      </c>
      <c r="K54" s="5405"/>
      <c r="L54" s="5405">
        <f>AVERAGE(L39:L53)</f>
        <v>0</v>
      </c>
      <c r="M54" s="5405"/>
      <c r="N54" s="749">
        <v>0</v>
      </c>
      <c r="O54" s="749"/>
      <c r="P54" s="752"/>
      <c r="Q54" s="752"/>
      <c r="R54" s="752"/>
      <c r="S54" s="753"/>
      <c r="T54" s="463"/>
      <c r="U54" s="63"/>
      <c r="X54" s="66"/>
      <c r="Y54" s="66"/>
      <c r="Z54" s="72"/>
      <c r="AA54" s="73"/>
      <c r="AB54" s="73"/>
      <c r="AC54" s="66"/>
      <c r="AD54" s="66"/>
      <c r="AE54" s="66"/>
      <c r="AF54" s="66"/>
      <c r="AG54" s="66"/>
      <c r="AH54" s="66"/>
    </row>
    <row r="55" spans="1:34" ht="21" customHeight="1" x14ac:dyDescent="0.35">
      <c r="A55" s="5378" t="s">
        <v>570</v>
      </c>
      <c r="B55" s="5465"/>
      <c r="C55" s="5466"/>
      <c r="D55" s="5466"/>
      <c r="E55" s="5466"/>
      <c r="F55" s="5466"/>
      <c r="G55" s="5466"/>
      <c r="H55" s="5466"/>
      <c r="I55" s="5466"/>
      <c r="J55" s="5466"/>
      <c r="K55" s="5466"/>
      <c r="L55" s="5466"/>
      <c r="M55" s="5466"/>
      <c r="N55" s="5466"/>
      <c r="O55" s="5466"/>
      <c r="P55" s="5466"/>
      <c r="Q55" s="5466"/>
      <c r="R55" s="5466"/>
      <c r="S55" s="5467"/>
      <c r="T55" s="64"/>
      <c r="U55" s="66"/>
      <c r="V55" s="66"/>
      <c r="W55" s="72"/>
      <c r="X55" s="73"/>
      <c r="Y55" s="73"/>
      <c r="Z55" s="66"/>
      <c r="AA55" s="66"/>
      <c r="AB55" s="66"/>
      <c r="AC55" s="66"/>
      <c r="AD55" s="66"/>
      <c r="AE55" s="66"/>
    </row>
    <row r="56" spans="1:34" ht="24" customHeight="1" x14ac:dyDescent="0.35">
      <c r="A56" s="5379"/>
      <c r="B56" s="5463" t="s">
        <v>950</v>
      </c>
      <c r="C56" s="5464"/>
      <c r="D56" s="5397" t="s">
        <v>416</v>
      </c>
      <c r="E56" s="5397"/>
      <c r="F56" s="5397"/>
      <c r="G56" s="5397"/>
      <c r="H56" s="5397"/>
      <c r="I56" s="5397"/>
      <c r="J56" s="5383">
        <v>10</v>
      </c>
      <c r="K56" s="5384"/>
      <c r="L56" s="5403">
        <v>0</v>
      </c>
      <c r="M56" s="5404"/>
      <c r="N56" s="1505">
        <f t="shared" ref="N56:N62" si="4">ABS(J56-L56)</f>
        <v>10</v>
      </c>
      <c r="O56" s="1505">
        <v>10</v>
      </c>
      <c r="P56" s="5370"/>
      <c r="Q56" s="5371"/>
      <c r="R56" s="5371"/>
      <c r="S56" s="5372"/>
      <c r="T56" s="64"/>
      <c r="U56" s="66"/>
      <c r="V56" s="66"/>
      <c r="W56" s="72"/>
      <c r="X56" s="73"/>
      <c r="Y56" s="73"/>
      <c r="Z56" s="66"/>
      <c r="AA56" s="66"/>
      <c r="AB56" s="66"/>
      <c r="AC56" s="66"/>
      <c r="AD56" s="66"/>
      <c r="AE56" s="66"/>
    </row>
    <row r="57" spans="1:34" ht="21.75" customHeight="1" x14ac:dyDescent="0.35">
      <c r="A57" s="5379"/>
      <c r="B57" s="5387" t="s">
        <v>569</v>
      </c>
      <c r="C57" s="5388"/>
      <c r="D57" s="5397" t="s">
        <v>569</v>
      </c>
      <c r="E57" s="5382"/>
      <c r="F57" s="5382"/>
      <c r="G57" s="5382"/>
      <c r="H57" s="5382"/>
      <c r="I57" s="5382"/>
      <c r="J57" s="5383">
        <v>10</v>
      </c>
      <c r="K57" s="5384"/>
      <c r="L57" s="5403"/>
      <c r="M57" s="5404"/>
      <c r="N57" s="740">
        <f t="shared" si="4"/>
        <v>10</v>
      </c>
      <c r="O57" s="1505">
        <v>10</v>
      </c>
      <c r="P57" s="5370"/>
      <c r="Q57" s="5371"/>
      <c r="R57" s="5371"/>
      <c r="S57" s="5372"/>
      <c r="T57" s="463"/>
      <c r="U57" s="63"/>
      <c r="X57" s="93"/>
      <c r="Y57" s="93"/>
      <c r="Z57" s="73"/>
      <c r="AA57" s="73"/>
      <c r="AB57" s="73"/>
      <c r="AC57" s="66"/>
      <c r="AD57" s="66"/>
      <c r="AE57" s="66"/>
      <c r="AF57" s="66"/>
      <c r="AG57" s="66"/>
      <c r="AH57" s="66"/>
    </row>
    <row r="58" spans="1:34" ht="20.25" customHeight="1" x14ac:dyDescent="0.35">
      <c r="A58" s="5379"/>
      <c r="B58" s="5387" t="s">
        <v>951</v>
      </c>
      <c r="C58" s="5388"/>
      <c r="D58" s="5397" t="s">
        <v>415</v>
      </c>
      <c r="E58" s="5382"/>
      <c r="F58" s="5382"/>
      <c r="G58" s="5382"/>
      <c r="H58" s="5382"/>
      <c r="I58" s="5382"/>
      <c r="J58" s="5383">
        <v>10</v>
      </c>
      <c r="K58" s="5384"/>
      <c r="L58" s="5403"/>
      <c r="M58" s="5404"/>
      <c r="N58" s="740">
        <f t="shared" si="4"/>
        <v>10</v>
      </c>
      <c r="O58" s="1505">
        <v>10</v>
      </c>
      <c r="P58" s="5370"/>
      <c r="Q58" s="5371"/>
      <c r="R58" s="5371"/>
      <c r="S58" s="5372"/>
      <c r="T58" s="64"/>
    </row>
    <row r="59" spans="1:34" ht="23.25" customHeight="1" x14ac:dyDescent="0.35">
      <c r="A59" s="5379"/>
      <c r="B59" s="5387" t="s">
        <v>952</v>
      </c>
      <c r="C59" s="5388"/>
      <c r="D59" s="5397" t="s">
        <v>414</v>
      </c>
      <c r="E59" s="5382"/>
      <c r="F59" s="5382"/>
      <c r="G59" s="5382"/>
      <c r="H59" s="5382"/>
      <c r="I59" s="5382"/>
      <c r="J59" s="5383">
        <v>10</v>
      </c>
      <c r="K59" s="5384"/>
      <c r="L59" s="5403"/>
      <c r="M59" s="5404"/>
      <c r="N59" s="740">
        <f t="shared" si="4"/>
        <v>10</v>
      </c>
      <c r="O59" s="1505">
        <v>10</v>
      </c>
      <c r="P59" s="5370"/>
      <c r="Q59" s="5371"/>
      <c r="R59" s="5371"/>
      <c r="S59" s="5372"/>
      <c r="T59" s="64"/>
      <c r="U59" s="64"/>
      <c r="V59" s="64"/>
      <c r="W59" s="64"/>
      <c r="X59" s="64"/>
    </row>
    <row r="60" spans="1:34" ht="21" customHeight="1" x14ac:dyDescent="0.35">
      <c r="A60" s="5379"/>
      <c r="B60" s="5387" t="s">
        <v>953</v>
      </c>
      <c r="C60" s="5388"/>
      <c r="D60" s="5397" t="s">
        <v>413</v>
      </c>
      <c r="E60" s="5382"/>
      <c r="F60" s="5382"/>
      <c r="G60" s="5382"/>
      <c r="H60" s="5382"/>
      <c r="I60" s="5382"/>
      <c r="J60" s="5383">
        <v>10</v>
      </c>
      <c r="K60" s="5384"/>
      <c r="L60" s="5403"/>
      <c r="M60" s="5404"/>
      <c r="N60" s="740">
        <f t="shared" si="4"/>
        <v>10</v>
      </c>
      <c r="O60" s="1505">
        <v>10</v>
      </c>
      <c r="P60" s="5370" t="s">
        <v>1075</v>
      </c>
      <c r="Q60" s="5371"/>
      <c r="R60" s="5371"/>
      <c r="S60" s="5372"/>
      <c r="T60" s="64"/>
      <c r="U60" s="165"/>
      <c r="V60" s="64"/>
      <c r="W60" s="64"/>
      <c r="X60" s="64"/>
    </row>
    <row r="61" spans="1:34" ht="21" customHeight="1" x14ac:dyDescent="0.35">
      <c r="A61" s="5379"/>
      <c r="B61" s="5387" t="s">
        <v>954</v>
      </c>
      <c r="C61" s="5388"/>
      <c r="D61" s="5436" t="s">
        <v>412</v>
      </c>
      <c r="E61" s="5382"/>
      <c r="F61" s="5382"/>
      <c r="G61" s="5382"/>
      <c r="H61" s="5382"/>
      <c r="I61" s="5382"/>
      <c r="J61" s="5383">
        <v>10</v>
      </c>
      <c r="K61" s="5384"/>
      <c r="L61" s="5403"/>
      <c r="M61" s="5404"/>
      <c r="N61" s="740">
        <f t="shared" si="4"/>
        <v>10</v>
      </c>
      <c r="O61" s="1505">
        <v>10</v>
      </c>
      <c r="P61" s="5370" t="s">
        <v>1076</v>
      </c>
      <c r="Q61" s="5371"/>
      <c r="R61" s="5371"/>
      <c r="S61" s="5372"/>
      <c r="T61" s="64"/>
      <c r="U61" s="64"/>
      <c r="V61" s="64"/>
      <c r="W61" s="64"/>
      <c r="X61" s="64"/>
    </row>
    <row r="62" spans="1:34" ht="21" customHeight="1" x14ac:dyDescent="0.35">
      <c r="A62" s="5379"/>
      <c r="B62" s="5387" t="s">
        <v>955</v>
      </c>
      <c r="C62" s="5388"/>
      <c r="D62" s="5436" t="s">
        <v>411</v>
      </c>
      <c r="E62" s="5382"/>
      <c r="F62" s="5382"/>
      <c r="G62" s="5382"/>
      <c r="H62" s="5382"/>
      <c r="I62" s="5382"/>
      <c r="J62" s="5383">
        <v>10</v>
      </c>
      <c r="K62" s="5384"/>
      <c r="L62" s="5403"/>
      <c r="M62" s="5404"/>
      <c r="N62" s="740">
        <f t="shared" si="4"/>
        <v>10</v>
      </c>
      <c r="O62" s="1505">
        <v>10</v>
      </c>
      <c r="P62" s="5370"/>
      <c r="Q62" s="5371"/>
      <c r="R62" s="5371"/>
      <c r="S62" s="5372"/>
      <c r="T62" s="64"/>
      <c r="U62" s="64"/>
      <c r="V62" s="64"/>
      <c r="W62" s="64"/>
      <c r="X62" s="64"/>
    </row>
    <row r="63" spans="1:34" ht="21" customHeight="1" thickBot="1" x14ac:dyDescent="0.4">
      <c r="A63" s="5380"/>
      <c r="B63" s="754"/>
      <c r="C63" s="755"/>
      <c r="D63" s="755"/>
      <c r="E63" s="755"/>
      <c r="F63" s="755"/>
      <c r="G63" s="755"/>
      <c r="H63" s="755"/>
      <c r="I63" s="1552" t="s">
        <v>1385</v>
      </c>
      <c r="J63" s="5405">
        <f>AVERAGE(J56:J62)</f>
        <v>10</v>
      </c>
      <c r="K63" s="5405"/>
      <c r="L63" s="5405">
        <f>AVERAGE(L56:L62)</f>
        <v>0</v>
      </c>
      <c r="M63" s="5405"/>
      <c r="N63" s="755">
        <v>0</v>
      </c>
      <c r="O63" s="755"/>
      <c r="P63" s="755"/>
      <c r="Q63" s="755"/>
      <c r="R63" s="755"/>
      <c r="S63" s="756"/>
      <c r="T63" s="64"/>
      <c r="U63" s="64"/>
      <c r="V63" s="64"/>
      <c r="W63" s="64"/>
      <c r="X63" s="64"/>
    </row>
    <row r="64" spans="1:34" ht="16" thickTop="1" x14ac:dyDescent="0.35">
      <c r="A64" s="1498"/>
      <c r="B64" s="1498"/>
      <c r="C64" s="1498"/>
      <c r="D64" s="1498"/>
      <c r="E64" s="1498"/>
      <c r="F64" s="5458" t="s">
        <v>222</v>
      </c>
      <c r="G64" s="5459"/>
      <c r="H64" s="5459"/>
      <c r="I64" s="5460"/>
      <c r="J64" s="5461">
        <f>SUM(J10:J17)+SUM(J20:K26)+SUM(J29:K36)+SUM(J39:K53)+SUM(J56:K62)</f>
        <v>231</v>
      </c>
      <c r="K64" s="5462"/>
      <c r="L64" s="5461">
        <f>SUM(L10:L17)+SUM(L20:M26)+SUM(L29:M36)+SUM(L39:M53)+SUM(L56:M62)</f>
        <v>135</v>
      </c>
      <c r="M64" s="5462"/>
      <c r="N64" s="1553" t="e">
        <f>SUM(N19:N63)</f>
        <v>#VALUE!</v>
      </c>
      <c r="O64" s="1554">
        <f>SUM(O10:O63)</f>
        <v>451</v>
      </c>
      <c r="P64" s="1498"/>
      <c r="Q64" s="463"/>
      <c r="R64" s="463"/>
      <c r="S64" s="64"/>
      <c r="T64" s="64"/>
      <c r="U64" s="64"/>
      <c r="V64" s="64"/>
      <c r="W64" s="64"/>
      <c r="X64" s="64"/>
    </row>
    <row r="65" spans="1:24" ht="19" thickBot="1" x14ac:dyDescent="0.4">
      <c r="A65" s="1498"/>
      <c r="B65" s="1498"/>
      <c r="C65" s="1498"/>
      <c r="D65" s="1498"/>
      <c r="E65" s="1498"/>
      <c r="F65" s="5373" t="s">
        <v>1522</v>
      </c>
      <c r="G65" s="5374"/>
      <c r="H65" s="5374"/>
      <c r="I65" s="5375"/>
      <c r="J65" s="5376">
        <f>AVERAGE(J10:K17,J20:K26,J29:K36,J39:K53,J56:K62)</f>
        <v>7.9655172413793105</v>
      </c>
      <c r="K65" s="5377"/>
      <c r="L65" s="5376">
        <f>AVERAGE(L10:M17,L20:M26,L29:M36,L39:M53)</f>
        <v>6.1363636363636367</v>
      </c>
      <c r="M65" s="5377"/>
      <c r="N65" s="1555" t="e">
        <f>N64/O64</f>
        <v>#VALUE!</v>
      </c>
      <c r="O65" s="742"/>
      <c r="P65" s="1498"/>
      <c r="Q65" s="463"/>
      <c r="R65" s="463"/>
      <c r="S65" s="64"/>
      <c r="T65" s="64"/>
      <c r="U65" s="64"/>
      <c r="V65" s="64"/>
      <c r="W65" s="64"/>
      <c r="X65" s="64"/>
    </row>
    <row r="66" spans="1:24" s="66" customFormat="1" ht="19.5" thickTop="1" thickBot="1" x14ac:dyDescent="0.4">
      <c r="A66" s="1560"/>
      <c r="B66" s="1560"/>
      <c r="C66" s="1560"/>
      <c r="D66" s="1560"/>
      <c r="E66" s="1560"/>
      <c r="F66" s="1561"/>
      <c r="G66" s="1561"/>
      <c r="H66" s="1561"/>
      <c r="I66" s="1561"/>
      <c r="J66" s="1562"/>
      <c r="K66" s="1562"/>
      <c r="L66" s="1562"/>
      <c r="M66" s="1562"/>
      <c r="N66" s="1563"/>
      <c r="O66" s="1564"/>
      <c r="P66" s="1560"/>
      <c r="Q66" s="1565"/>
      <c r="R66" s="1565"/>
      <c r="S66" s="397"/>
      <c r="T66" s="397"/>
      <c r="U66" s="397"/>
      <c r="V66" s="397"/>
      <c r="W66" s="397"/>
      <c r="X66" s="397"/>
    </row>
    <row r="67" spans="1:24" ht="19.5" thickTop="1" thickBot="1" x14ac:dyDescent="0.4">
      <c r="A67" s="3883" t="s">
        <v>10</v>
      </c>
      <c r="B67" s="3884"/>
      <c r="C67" s="3884"/>
      <c r="D67" s="3884"/>
      <c r="E67" s="3884"/>
      <c r="F67" s="3884"/>
      <c r="G67" s="3884"/>
      <c r="H67" s="3884"/>
      <c r="I67" s="3884"/>
      <c r="J67" s="3884"/>
      <c r="K67" s="3884"/>
      <c r="L67" s="3884"/>
      <c r="M67" s="3884"/>
      <c r="N67" s="5402"/>
      <c r="O67" s="110"/>
      <c r="P67" s="3725" t="s">
        <v>748</v>
      </c>
      <c r="Q67" s="3726"/>
      <c r="R67" s="3727"/>
      <c r="S67" s="31"/>
      <c r="T67" s="64"/>
      <c r="U67" s="64"/>
      <c r="V67" s="64"/>
      <c r="W67" s="64"/>
      <c r="X67" s="64"/>
    </row>
    <row r="68" spans="1:24" ht="21" customHeight="1" x14ac:dyDescent="0.35">
      <c r="A68" s="3876" t="s">
        <v>1081</v>
      </c>
      <c r="B68" s="3877"/>
      <c r="C68" s="3877"/>
      <c r="D68" s="3877"/>
      <c r="E68" s="3877"/>
      <c r="F68" s="3877"/>
      <c r="G68" s="3877"/>
      <c r="H68" s="3877"/>
      <c r="I68" s="3877"/>
      <c r="J68" s="3877"/>
      <c r="K68" s="3877"/>
      <c r="L68" s="3877"/>
      <c r="M68" s="3877"/>
      <c r="N68" s="5398"/>
      <c r="O68" s="110"/>
      <c r="P68" s="3750" t="s">
        <v>755</v>
      </c>
      <c r="Q68" s="5066"/>
      <c r="R68" s="5401"/>
      <c r="S68" s="31"/>
      <c r="T68" s="64"/>
      <c r="U68" s="165"/>
      <c r="V68" s="64"/>
      <c r="W68" s="64"/>
      <c r="X68" s="64"/>
    </row>
    <row r="69" spans="1:24" ht="21" customHeight="1" x14ac:dyDescent="0.35">
      <c r="A69" s="3878"/>
      <c r="B69" s="3879"/>
      <c r="C69" s="3879"/>
      <c r="D69" s="3879"/>
      <c r="E69" s="3879"/>
      <c r="F69" s="3879"/>
      <c r="G69" s="3879"/>
      <c r="H69" s="3879"/>
      <c r="I69" s="3879"/>
      <c r="J69" s="3879"/>
      <c r="K69" s="3879"/>
      <c r="L69" s="3879"/>
      <c r="M69" s="3879"/>
      <c r="N69" s="5399"/>
      <c r="O69" s="110"/>
      <c r="P69" s="3753"/>
      <c r="Q69" s="3754"/>
      <c r="R69" s="5067"/>
      <c r="S69" s="31"/>
      <c r="T69" s="64"/>
      <c r="U69" s="64"/>
      <c r="V69" s="64"/>
      <c r="W69" s="64"/>
      <c r="X69" s="64"/>
    </row>
    <row r="70" spans="1:24" ht="21" customHeight="1" x14ac:dyDescent="0.35">
      <c r="A70" s="3878"/>
      <c r="B70" s="3879"/>
      <c r="C70" s="3879"/>
      <c r="D70" s="3879"/>
      <c r="E70" s="3879"/>
      <c r="F70" s="3879"/>
      <c r="G70" s="3879"/>
      <c r="H70" s="3879"/>
      <c r="I70" s="3879"/>
      <c r="J70" s="3879"/>
      <c r="K70" s="3879"/>
      <c r="L70" s="3879"/>
      <c r="M70" s="3879"/>
      <c r="N70" s="5399"/>
      <c r="O70" s="110"/>
      <c r="P70" s="3753"/>
      <c r="Q70" s="3754"/>
      <c r="R70" s="5067"/>
      <c r="S70" s="31"/>
      <c r="T70" s="64"/>
      <c r="U70" s="64"/>
      <c r="V70" s="64"/>
      <c r="W70" s="64"/>
      <c r="X70" s="64"/>
    </row>
    <row r="71" spans="1:24" ht="21" customHeight="1" x14ac:dyDescent="0.35">
      <c r="A71" s="3878"/>
      <c r="B71" s="3879"/>
      <c r="C71" s="3879"/>
      <c r="D71" s="3879"/>
      <c r="E71" s="3879"/>
      <c r="F71" s="3879"/>
      <c r="G71" s="3879"/>
      <c r="H71" s="3879"/>
      <c r="I71" s="3879"/>
      <c r="J71" s="3879"/>
      <c r="K71" s="3879"/>
      <c r="L71" s="3879"/>
      <c r="M71" s="3879"/>
      <c r="N71" s="5399"/>
      <c r="O71" s="110"/>
      <c r="P71" s="3753"/>
      <c r="Q71" s="3754"/>
      <c r="R71" s="5067"/>
      <c r="S71" s="31"/>
      <c r="T71" s="64"/>
      <c r="U71" s="64"/>
      <c r="V71" s="64"/>
      <c r="W71" s="64"/>
      <c r="X71" s="64"/>
    </row>
    <row r="72" spans="1:24" ht="15" thickBot="1" x14ac:dyDescent="0.4">
      <c r="A72" s="3880"/>
      <c r="B72" s="3881"/>
      <c r="C72" s="3881"/>
      <c r="D72" s="3881"/>
      <c r="E72" s="3881"/>
      <c r="F72" s="3881"/>
      <c r="G72" s="3881"/>
      <c r="H72" s="3881"/>
      <c r="I72" s="3881"/>
      <c r="J72" s="3881"/>
      <c r="K72" s="3881"/>
      <c r="L72" s="3881"/>
      <c r="M72" s="3881"/>
      <c r="N72" s="5400"/>
      <c r="O72" s="1509"/>
      <c r="P72" s="5334"/>
      <c r="Q72" s="3757"/>
      <c r="R72" s="3758"/>
      <c r="S72" s="64"/>
      <c r="T72" s="64"/>
      <c r="U72" s="64"/>
      <c r="V72" s="64"/>
      <c r="W72" s="64"/>
      <c r="X72" s="64"/>
    </row>
    <row r="73" spans="1:24" ht="15.5" thickTop="1" thickBot="1" x14ac:dyDescent="0.4">
      <c r="A73" s="64"/>
      <c r="B73" s="64"/>
      <c r="C73" s="64"/>
      <c r="D73" s="64"/>
      <c r="E73" s="64"/>
      <c r="F73" s="64"/>
      <c r="G73" s="64"/>
      <c r="H73" s="64"/>
      <c r="I73" s="64"/>
      <c r="J73" s="64"/>
      <c r="K73" s="64"/>
      <c r="L73" s="64"/>
      <c r="M73" s="64"/>
      <c r="N73" s="743"/>
      <c r="O73" s="164"/>
      <c r="P73" s="64"/>
      <c r="Q73" s="64"/>
      <c r="R73" s="64"/>
      <c r="S73" s="31"/>
      <c r="T73" s="64"/>
      <c r="U73" s="64"/>
      <c r="V73" s="64"/>
      <c r="W73" s="64"/>
      <c r="X73" s="64"/>
    </row>
    <row r="74" spans="1:24" ht="21" customHeight="1" thickTop="1" thickBot="1" x14ac:dyDescent="0.4">
      <c r="A74" s="3883" t="s">
        <v>11</v>
      </c>
      <c r="B74" s="3884"/>
      <c r="C74" s="3884"/>
      <c r="D74" s="3884"/>
      <c r="E74" s="3884"/>
      <c r="F74" s="3884"/>
      <c r="G74" s="3884"/>
      <c r="H74" s="3884"/>
      <c r="I74" s="3884"/>
      <c r="J74" s="3884"/>
      <c r="K74" s="3884"/>
      <c r="L74" s="3884"/>
      <c r="M74" s="3884"/>
      <c r="N74" s="5402"/>
      <c r="O74" s="110"/>
      <c r="P74" s="3725" t="s">
        <v>748</v>
      </c>
      <c r="Q74" s="3726"/>
      <c r="R74" s="3727"/>
      <c r="S74" s="31"/>
      <c r="T74" s="64"/>
      <c r="U74" s="64"/>
      <c r="V74" s="64"/>
      <c r="W74" s="64"/>
      <c r="X74" s="64"/>
    </row>
    <row r="75" spans="1:24" ht="21" customHeight="1" x14ac:dyDescent="0.35">
      <c r="A75" s="3876" t="s">
        <v>1080</v>
      </c>
      <c r="B75" s="3877"/>
      <c r="C75" s="3877"/>
      <c r="D75" s="3877"/>
      <c r="E75" s="3877"/>
      <c r="F75" s="3877"/>
      <c r="G75" s="3877"/>
      <c r="H75" s="3877"/>
      <c r="I75" s="3877"/>
      <c r="J75" s="3877"/>
      <c r="K75" s="3877"/>
      <c r="L75" s="3877"/>
      <c r="M75" s="3877"/>
      <c r="N75" s="5398"/>
      <c r="O75" s="164"/>
      <c r="P75" s="3750" t="s">
        <v>754</v>
      </c>
      <c r="Q75" s="5066"/>
      <c r="R75" s="5401"/>
      <c r="S75" s="31"/>
      <c r="T75" s="64"/>
      <c r="U75" s="64"/>
      <c r="V75" s="64"/>
      <c r="W75" s="64"/>
      <c r="X75" s="64"/>
    </row>
    <row r="76" spans="1:24" ht="21" customHeight="1" x14ac:dyDescent="0.35">
      <c r="A76" s="3878"/>
      <c r="B76" s="3879"/>
      <c r="C76" s="3879"/>
      <c r="D76" s="3879"/>
      <c r="E76" s="3879"/>
      <c r="F76" s="3879"/>
      <c r="G76" s="3879"/>
      <c r="H76" s="3879"/>
      <c r="I76" s="3879"/>
      <c r="J76" s="3879"/>
      <c r="K76" s="3879"/>
      <c r="L76" s="3879"/>
      <c r="M76" s="3879"/>
      <c r="N76" s="5399"/>
      <c r="O76" s="164"/>
      <c r="P76" s="3753"/>
      <c r="Q76" s="3754"/>
      <c r="R76" s="5067"/>
      <c r="S76" s="31"/>
      <c r="T76" s="64"/>
      <c r="U76" s="64"/>
      <c r="V76" s="64"/>
      <c r="W76" s="64"/>
      <c r="X76" s="64"/>
    </row>
    <row r="77" spans="1:24" ht="21" customHeight="1" x14ac:dyDescent="0.35">
      <c r="A77" s="3878"/>
      <c r="B77" s="3879"/>
      <c r="C77" s="3879"/>
      <c r="D77" s="3879"/>
      <c r="E77" s="3879"/>
      <c r="F77" s="3879"/>
      <c r="G77" s="3879"/>
      <c r="H77" s="3879"/>
      <c r="I77" s="3879"/>
      <c r="J77" s="3879"/>
      <c r="K77" s="3879"/>
      <c r="L77" s="3879"/>
      <c r="M77" s="3879"/>
      <c r="N77" s="5399"/>
      <c r="O77" s="164"/>
      <c r="P77" s="3753"/>
      <c r="Q77" s="3754"/>
      <c r="R77" s="5067"/>
      <c r="S77" s="31"/>
      <c r="T77" s="64"/>
      <c r="U77" s="64"/>
      <c r="V77" s="64"/>
      <c r="W77" s="64"/>
      <c r="X77" s="64"/>
    </row>
    <row r="78" spans="1:24" x14ac:dyDescent="0.35">
      <c r="A78" s="3878"/>
      <c r="B78" s="3879"/>
      <c r="C78" s="3879"/>
      <c r="D78" s="3879"/>
      <c r="E78" s="3879"/>
      <c r="F78" s="3879"/>
      <c r="G78" s="3879"/>
      <c r="H78" s="3879"/>
      <c r="I78" s="3879"/>
      <c r="J78" s="3879"/>
      <c r="K78" s="3879"/>
      <c r="L78" s="3879"/>
      <c r="M78" s="3879"/>
      <c r="N78" s="5399"/>
      <c r="O78" s="1509"/>
      <c r="P78" s="3753"/>
      <c r="Q78" s="3754"/>
      <c r="R78" s="5067"/>
      <c r="S78" s="64"/>
      <c r="T78" s="64"/>
      <c r="U78" s="64"/>
      <c r="V78" s="64"/>
      <c r="W78" s="64"/>
      <c r="X78" s="64"/>
    </row>
    <row r="79" spans="1:24" ht="15" thickBot="1" x14ac:dyDescent="0.4">
      <c r="A79" s="3880"/>
      <c r="B79" s="3881"/>
      <c r="C79" s="3881"/>
      <c r="D79" s="3881"/>
      <c r="E79" s="3881"/>
      <c r="F79" s="3881"/>
      <c r="G79" s="3881"/>
      <c r="H79" s="3881"/>
      <c r="I79" s="3881"/>
      <c r="J79" s="3881"/>
      <c r="K79" s="3881"/>
      <c r="L79" s="3881"/>
      <c r="M79" s="3881"/>
      <c r="N79" s="5400"/>
      <c r="O79" s="1509"/>
      <c r="P79" s="5334"/>
      <c r="Q79" s="3757"/>
      <c r="R79" s="3758"/>
      <c r="S79" s="64"/>
      <c r="T79" s="64"/>
      <c r="U79" s="64"/>
      <c r="V79" s="64"/>
      <c r="W79" s="64"/>
      <c r="X79" s="64"/>
    </row>
    <row r="80" spans="1:24" ht="15" thickTop="1" x14ac:dyDescent="0.35">
      <c r="A80" s="64"/>
      <c r="B80" s="64"/>
      <c r="C80" s="64"/>
      <c r="D80" s="64"/>
      <c r="E80" s="64"/>
      <c r="F80" s="64"/>
      <c r="G80" s="64"/>
      <c r="H80" s="64"/>
      <c r="I80" s="64"/>
      <c r="J80" s="64"/>
      <c r="K80" s="64"/>
      <c r="L80" s="64"/>
      <c r="M80" s="64"/>
      <c r="N80" s="64"/>
      <c r="O80" s="1509"/>
      <c r="P80" s="64"/>
      <c r="Q80" s="64"/>
      <c r="R80" s="64"/>
      <c r="S80" s="64"/>
      <c r="T80" s="64"/>
    </row>
  </sheetData>
  <mergeCells count="278">
    <mergeCell ref="J58:K58"/>
    <mergeCell ref="B59:C59"/>
    <mergeCell ref="D59:I59"/>
    <mergeCell ref="J59:K59"/>
    <mergeCell ref="L59:M59"/>
    <mergeCell ref="P59:S59"/>
    <mergeCell ref="B60:C60"/>
    <mergeCell ref="D60:I60"/>
    <mergeCell ref="J52:K52"/>
    <mergeCell ref="J54:K54"/>
    <mergeCell ref="L54:M54"/>
    <mergeCell ref="B56:C56"/>
    <mergeCell ref="D56:I56"/>
    <mergeCell ref="J56:K56"/>
    <mergeCell ref="L56:M56"/>
    <mergeCell ref="P56:S56"/>
    <mergeCell ref="B57:C57"/>
    <mergeCell ref="D57:I57"/>
    <mergeCell ref="J57:K57"/>
    <mergeCell ref="L57:M57"/>
    <mergeCell ref="P57:S57"/>
    <mergeCell ref="B55:S55"/>
    <mergeCell ref="L60:M60"/>
    <mergeCell ref="J53:K53"/>
    <mergeCell ref="D61:I61"/>
    <mergeCell ref="P61:S61"/>
    <mergeCell ref="B62:C62"/>
    <mergeCell ref="D62:I62"/>
    <mergeCell ref="P62:S62"/>
    <mergeCell ref="F64:I64"/>
    <mergeCell ref="J64:K64"/>
    <mergeCell ref="L64:M64"/>
    <mergeCell ref="J61:K61"/>
    <mergeCell ref="L61:M61"/>
    <mergeCell ref="L53:M53"/>
    <mergeCell ref="P53:S53"/>
    <mergeCell ref="B39:C39"/>
    <mergeCell ref="D39:I39"/>
    <mergeCell ref="J39:K39"/>
    <mergeCell ref="L39:M39"/>
    <mergeCell ref="P39:S39"/>
    <mergeCell ref="B40:C40"/>
    <mergeCell ref="D40:I40"/>
    <mergeCell ref="J40:K40"/>
    <mergeCell ref="L40:M40"/>
    <mergeCell ref="P40:S40"/>
    <mergeCell ref="B41:C41"/>
    <mergeCell ref="D41:I41"/>
    <mergeCell ref="J41:K41"/>
    <mergeCell ref="L41:M41"/>
    <mergeCell ref="B50:C50"/>
    <mergeCell ref="P41:S41"/>
    <mergeCell ref="B42:C42"/>
    <mergeCell ref="D42:I42"/>
    <mergeCell ref="J42:K42"/>
    <mergeCell ref="L42:M42"/>
    <mergeCell ref="P42:S42"/>
    <mergeCell ref="B43:C43"/>
    <mergeCell ref="L13:M13"/>
    <mergeCell ref="L21:M21"/>
    <mergeCell ref="L24:M24"/>
    <mergeCell ref="A28:A37"/>
    <mergeCell ref="B28:S28"/>
    <mergeCell ref="B35:C35"/>
    <mergeCell ref="D35:I35"/>
    <mergeCell ref="P35:S35"/>
    <mergeCell ref="B36:C36"/>
    <mergeCell ref="D36:I36"/>
    <mergeCell ref="J36:K36"/>
    <mergeCell ref="L36:M36"/>
    <mergeCell ref="P36:S36"/>
    <mergeCell ref="J37:K37"/>
    <mergeCell ref="B31:C31"/>
    <mergeCell ref="D31:I31"/>
    <mergeCell ref="P31:S31"/>
    <mergeCell ref="B32:C32"/>
    <mergeCell ref="D32:I32"/>
    <mergeCell ref="J29:K29"/>
    <mergeCell ref="L29:M29"/>
    <mergeCell ref="P29:S29"/>
    <mergeCell ref="B29:C29"/>
    <mergeCell ref="D29:I29"/>
    <mergeCell ref="A19:A27"/>
    <mergeCell ref="B19:S19"/>
    <mergeCell ref="B25:C25"/>
    <mergeCell ref="D25:I25"/>
    <mergeCell ref="P25:S25"/>
    <mergeCell ref="B26:C26"/>
    <mergeCell ref="D26:I26"/>
    <mergeCell ref="J26:K26"/>
    <mergeCell ref="L26:M26"/>
    <mergeCell ref="P26:S26"/>
    <mergeCell ref="P23:S23"/>
    <mergeCell ref="P24:S24"/>
    <mergeCell ref="L25:M25"/>
    <mergeCell ref="J27:K27"/>
    <mergeCell ref="L27:M27"/>
    <mergeCell ref="A9:A18"/>
    <mergeCell ref="B9:S9"/>
    <mergeCell ref="B16:C16"/>
    <mergeCell ref="D16:I16"/>
    <mergeCell ref="P16:S16"/>
    <mergeCell ref="B17:C17"/>
    <mergeCell ref="D17:I17"/>
    <mergeCell ref="J17:K17"/>
    <mergeCell ref="L17:M17"/>
    <mergeCell ref="P17:S17"/>
    <mergeCell ref="J18:K18"/>
    <mergeCell ref="L18:M18"/>
    <mergeCell ref="J11:K11"/>
    <mergeCell ref="L11:M11"/>
    <mergeCell ref="P11:S11"/>
    <mergeCell ref="B12:C12"/>
    <mergeCell ref="D12:I12"/>
    <mergeCell ref="J12:K12"/>
    <mergeCell ref="L12:M12"/>
    <mergeCell ref="P12:S12"/>
    <mergeCell ref="B13:C13"/>
    <mergeCell ref="D13:I13"/>
    <mergeCell ref="P13:S13"/>
    <mergeCell ref="J13:K13"/>
    <mergeCell ref="L30:M30"/>
    <mergeCell ref="P30:S30"/>
    <mergeCell ref="P34:S34"/>
    <mergeCell ref="J35:K35"/>
    <mergeCell ref="L35:M35"/>
    <mergeCell ref="B33:C33"/>
    <mergeCell ref="D33:I33"/>
    <mergeCell ref="J33:K33"/>
    <mergeCell ref="L33:M33"/>
    <mergeCell ref="P33:S33"/>
    <mergeCell ref="B34:C34"/>
    <mergeCell ref="D34:I34"/>
    <mergeCell ref="J34:K34"/>
    <mergeCell ref="J32:K32"/>
    <mergeCell ref="L32:M32"/>
    <mergeCell ref="P32:S32"/>
    <mergeCell ref="J31:K31"/>
    <mergeCell ref="L31:M31"/>
    <mergeCell ref="L34:M34"/>
    <mergeCell ref="B30:C30"/>
    <mergeCell ref="D30:I30"/>
    <mergeCell ref="J30:K30"/>
    <mergeCell ref="L37:M37"/>
    <mergeCell ref="L52:M52"/>
    <mergeCell ref="B10:C10"/>
    <mergeCell ref="D10:I10"/>
    <mergeCell ref="J10:K10"/>
    <mergeCell ref="L10:M10"/>
    <mergeCell ref="J14:K14"/>
    <mergeCell ref="L14:M14"/>
    <mergeCell ref="B15:C15"/>
    <mergeCell ref="D15:I15"/>
    <mergeCell ref="J15:K15"/>
    <mergeCell ref="L15:M15"/>
    <mergeCell ref="B23:C23"/>
    <mergeCell ref="D23:I23"/>
    <mergeCell ref="J23:K23"/>
    <mergeCell ref="L23:M23"/>
    <mergeCell ref="B24:C24"/>
    <mergeCell ref="D24:I24"/>
    <mergeCell ref="J24:K24"/>
    <mergeCell ref="J25:K25"/>
    <mergeCell ref="B44:C44"/>
    <mergeCell ref="D44:I44"/>
    <mergeCell ref="J44:K44"/>
    <mergeCell ref="L44:M44"/>
    <mergeCell ref="P10:S10"/>
    <mergeCell ref="B11:C11"/>
    <mergeCell ref="D11:I11"/>
    <mergeCell ref="B14:C14"/>
    <mergeCell ref="D14:I14"/>
    <mergeCell ref="O1:P1"/>
    <mergeCell ref="F2:I2"/>
    <mergeCell ref="L2:M2"/>
    <mergeCell ref="O2:P2"/>
    <mergeCell ref="A4:I4"/>
    <mergeCell ref="J4:S4"/>
    <mergeCell ref="A5:C5"/>
    <mergeCell ref="D5:S5"/>
    <mergeCell ref="A6:A7"/>
    <mergeCell ref="D6:I7"/>
    <mergeCell ref="J6:K6"/>
    <mergeCell ref="L6:M6"/>
    <mergeCell ref="N6:N7"/>
    <mergeCell ref="O6:O7"/>
    <mergeCell ref="P6:S7"/>
    <mergeCell ref="J7:K7"/>
    <mergeCell ref="L7:M7"/>
    <mergeCell ref="F1:I1"/>
    <mergeCell ref="L1:M1"/>
    <mergeCell ref="P15:S15"/>
    <mergeCell ref="J16:K16"/>
    <mergeCell ref="L16:M16"/>
    <mergeCell ref="P21:S21"/>
    <mergeCell ref="B22:C22"/>
    <mergeCell ref="D22:I22"/>
    <mergeCell ref="J22:K22"/>
    <mergeCell ref="L22:M22"/>
    <mergeCell ref="P22:S22"/>
    <mergeCell ref="B20:C20"/>
    <mergeCell ref="D20:I20"/>
    <mergeCell ref="J20:K20"/>
    <mergeCell ref="L20:M20"/>
    <mergeCell ref="P20:S20"/>
    <mergeCell ref="B21:C21"/>
    <mergeCell ref="D21:I21"/>
    <mergeCell ref="J21:K21"/>
    <mergeCell ref="D43:I43"/>
    <mergeCell ref="J43:K43"/>
    <mergeCell ref="L43:M43"/>
    <mergeCell ref="P43:S43"/>
    <mergeCell ref="B48:C48"/>
    <mergeCell ref="D48:I48"/>
    <mergeCell ref="J48:K48"/>
    <mergeCell ref="L48:M48"/>
    <mergeCell ref="P48:S48"/>
    <mergeCell ref="J49:K49"/>
    <mergeCell ref="B46:C46"/>
    <mergeCell ref="D46:I46"/>
    <mergeCell ref="J46:K46"/>
    <mergeCell ref="L46:M46"/>
    <mergeCell ref="P46:S46"/>
    <mergeCell ref="B47:C47"/>
    <mergeCell ref="D47:I47"/>
    <mergeCell ref="J47:K47"/>
    <mergeCell ref="L47:M47"/>
    <mergeCell ref="P47:S47"/>
    <mergeCell ref="B49:C49"/>
    <mergeCell ref="L49:M49"/>
    <mergeCell ref="F3:I3"/>
    <mergeCell ref="A75:N79"/>
    <mergeCell ref="P75:R79"/>
    <mergeCell ref="A67:N67"/>
    <mergeCell ref="P67:R67"/>
    <mergeCell ref="A68:N72"/>
    <mergeCell ref="P68:R72"/>
    <mergeCell ref="A74:N74"/>
    <mergeCell ref="P74:R74"/>
    <mergeCell ref="L58:M58"/>
    <mergeCell ref="J62:K62"/>
    <mergeCell ref="L62:M62"/>
    <mergeCell ref="J63:K63"/>
    <mergeCell ref="L63:M63"/>
    <mergeCell ref="B58:C58"/>
    <mergeCell ref="D58:I58"/>
    <mergeCell ref="P58:S58"/>
    <mergeCell ref="J60:K60"/>
    <mergeCell ref="P44:S44"/>
    <mergeCell ref="B45:C45"/>
    <mergeCell ref="D45:I45"/>
    <mergeCell ref="J45:K45"/>
    <mergeCell ref="L45:M45"/>
    <mergeCell ref="P45:S45"/>
    <mergeCell ref="P60:S60"/>
    <mergeCell ref="F65:I65"/>
    <mergeCell ref="J65:K65"/>
    <mergeCell ref="L65:M65"/>
    <mergeCell ref="A55:A63"/>
    <mergeCell ref="D49:I49"/>
    <mergeCell ref="P49:S49"/>
    <mergeCell ref="D50:I50"/>
    <mergeCell ref="J50:K50"/>
    <mergeCell ref="L50:M50"/>
    <mergeCell ref="P50:S50"/>
    <mergeCell ref="B61:C61"/>
    <mergeCell ref="B51:C51"/>
    <mergeCell ref="D51:I51"/>
    <mergeCell ref="J51:K51"/>
    <mergeCell ref="L51:M51"/>
    <mergeCell ref="P51:S51"/>
    <mergeCell ref="A38:A54"/>
    <mergeCell ref="B38:S38"/>
    <mergeCell ref="B52:C52"/>
    <mergeCell ref="D52:I52"/>
    <mergeCell ref="P52:S52"/>
    <mergeCell ref="B53:C53"/>
    <mergeCell ref="D53:I53"/>
  </mergeCells>
  <conditionalFormatting sqref="R2">
    <cfRule type="iconSet" priority="2">
      <iconSet iconSet="3Symbols2" showValue="0">
        <cfvo type="percent" val="0"/>
        <cfvo type="num" val="0"/>
        <cfvo type="num" val="10"/>
      </iconSet>
    </cfRule>
  </conditionalFormatting>
  <conditionalFormatting sqref="S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3200-000000000000}">
      <formula1>AvancementTheme</formula1>
    </dataValidation>
  </dataValidations>
  <hyperlinks>
    <hyperlink ref="R1" location="DPDV_03MK2" display="PdV" xr:uid="{00000000-0004-0000-3200-000000000000}"/>
    <hyperlink ref="S1" location="DKPI_03MK2" display="KPI's" xr:uid="{00000000-0004-0000-32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81">
    <tabColor rgb="FFFFC000"/>
    <pageSetUpPr fitToPage="1"/>
  </sheetPr>
  <dimension ref="A1:AF44"/>
  <sheetViews>
    <sheetView showGridLines="0" showRowColHeaders="0" zoomScaleNormal="100" workbookViewId="0">
      <pane ySplit="6" topLeftCell="A7" activePane="bottomLeft" state="frozen"/>
      <selection activeCell="H7" sqref="H7"/>
      <selection pane="bottomLeft" activeCell="A7" sqref="A7:U7"/>
    </sheetView>
  </sheetViews>
  <sheetFormatPr baseColWidth="10" defaultColWidth="11.453125" defaultRowHeight="14.5" x14ac:dyDescent="0.35"/>
  <cols>
    <col min="1" max="6" width="11.453125" style="60"/>
    <col min="7" max="7" width="7.54296875" style="60" customWidth="1"/>
    <col min="8" max="8" width="4.1796875" style="60" customWidth="1"/>
    <col min="9" max="9" width="3.54296875" style="60" customWidth="1"/>
    <col min="10" max="10" width="11.453125" style="60"/>
    <col min="11" max="11" width="8.7265625" style="60" customWidth="1"/>
    <col min="12" max="12" width="12.81640625" style="60" customWidth="1"/>
    <col min="13" max="13" width="11.453125" style="60"/>
    <col min="14" max="14" width="5.7265625" style="60" customWidth="1"/>
    <col min="15" max="15" width="7.453125" style="60" customWidth="1"/>
    <col min="16" max="16" width="6.453125" style="60" customWidth="1"/>
    <col min="17" max="20" width="11.453125" style="60"/>
    <col min="21" max="21" width="23.7265625" style="60" customWidth="1"/>
    <col min="22" max="16384" width="11.453125" style="60"/>
  </cols>
  <sheetData>
    <row r="1" spans="1:32" s="54" customFormat="1" ht="15" customHeight="1" x14ac:dyDescent="0.35">
      <c r="A1" s="389"/>
      <c r="B1" s="389"/>
      <c r="C1" s="389"/>
      <c r="D1" s="3341" t="s">
        <v>5</v>
      </c>
      <c r="E1" s="3341"/>
      <c r="F1" s="3341"/>
      <c r="G1" s="3341"/>
      <c r="H1" s="391"/>
      <c r="I1" s="3341" t="s">
        <v>6</v>
      </c>
      <c r="J1" s="3341"/>
      <c r="K1" s="389"/>
      <c r="L1" s="3341" t="s">
        <v>9</v>
      </c>
      <c r="M1" s="3341"/>
      <c r="N1" s="959"/>
      <c r="O1" s="959"/>
      <c r="P1" s="389"/>
      <c r="Q1" s="479" t="s">
        <v>2</v>
      </c>
      <c r="R1" s="479" t="s">
        <v>3</v>
      </c>
      <c r="S1" s="458"/>
      <c r="T1" s="458"/>
      <c r="U1" s="458"/>
      <c r="V1" s="458"/>
      <c r="W1" s="458"/>
      <c r="X1" s="458"/>
    </row>
    <row r="2" spans="1:32" s="58" customFormat="1" ht="18" customHeight="1" x14ac:dyDescent="0.35">
      <c r="A2" s="393"/>
      <c r="B2" s="393"/>
      <c r="C2" s="393"/>
      <c r="D2" s="3342" t="str">
        <f>NomClient</f>
        <v xml:space="preserve">EQUINIX </v>
      </c>
      <c r="E2" s="3343"/>
      <c r="F2" s="3343"/>
      <c r="G2" s="3344"/>
      <c r="H2" s="393"/>
      <c r="I2" s="3345" t="s">
        <v>406</v>
      </c>
      <c r="J2" s="3346"/>
      <c r="K2" s="393"/>
      <c r="L2" s="3347">
        <v>42420.650358796294</v>
      </c>
      <c r="M2" s="3348"/>
      <c r="N2" s="699"/>
      <c r="O2" s="699"/>
      <c r="P2" s="394"/>
      <c r="Q2" s="451">
        <f>IF(LEN(DPDV_03PO2)&gt;0,LEN(DPDV_03PO2),0-PDV_NBmini)</f>
        <v>30</v>
      </c>
      <c r="R2" s="451">
        <f>IF(LEN(DKPI_03PO2)&gt;0,LEN(DKPI_03PO2),0-KPI_NBmini)</f>
        <v>63</v>
      </c>
      <c r="S2" s="459"/>
      <c r="T2" s="459"/>
      <c r="U2" s="459"/>
      <c r="V2" s="459"/>
      <c r="W2" s="459"/>
      <c r="X2" s="459"/>
    </row>
    <row r="3" spans="1:3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32" s="1" customFormat="1" ht="24.75" customHeight="1" thickBot="1" x14ac:dyDescent="0.4">
      <c r="A4" s="3507" t="s">
        <v>1160</v>
      </c>
      <c r="B4" s="3507"/>
      <c r="C4" s="3507"/>
      <c r="D4" s="3507"/>
      <c r="E4" s="3507"/>
      <c r="F4" s="3507"/>
      <c r="G4" s="3507"/>
      <c r="H4" s="3505" t="str">
        <f xml:space="preserve"> "Positionnement pour " &amp; NomProd2</f>
        <v>Positionnement pour ASEMA</v>
      </c>
      <c r="I4" s="3505"/>
      <c r="J4" s="3505"/>
      <c r="K4" s="3505"/>
      <c r="L4" s="3505"/>
      <c r="M4" s="3505"/>
      <c r="N4" s="3505"/>
      <c r="O4" s="3505"/>
      <c r="P4" s="3505"/>
      <c r="Q4" s="3505"/>
      <c r="R4" s="3506"/>
      <c r="S4" s="444"/>
      <c r="T4" s="444"/>
      <c r="U4" s="444"/>
      <c r="V4" s="444"/>
    </row>
    <row r="5" spans="1:32" s="193" customFormat="1" ht="19.5" customHeight="1" thickBot="1" x14ac:dyDescent="0.4">
      <c r="A5" s="3438" t="s">
        <v>14</v>
      </c>
      <c r="B5" s="3438"/>
      <c r="C5" s="3508" t="s">
        <v>1155</v>
      </c>
      <c r="D5" s="3439"/>
      <c r="E5" s="3439"/>
      <c r="F5" s="3439"/>
      <c r="G5" s="3439"/>
      <c r="H5" s="3439"/>
      <c r="I5" s="3439"/>
      <c r="J5" s="3439"/>
      <c r="K5" s="3439"/>
      <c r="L5" s="3439"/>
      <c r="M5" s="3439"/>
      <c r="N5" s="3439"/>
      <c r="O5" s="3439"/>
      <c r="P5" s="3439"/>
      <c r="Q5" s="460"/>
      <c r="R5" s="460"/>
      <c r="S5" s="460"/>
      <c r="T5" s="460"/>
      <c r="U5" s="460"/>
      <c r="V5" s="460"/>
    </row>
    <row r="6" spans="1:32" s="193" customFormat="1" ht="19.5" customHeight="1" thickTop="1" x14ac:dyDescent="0.35">
      <c r="A6" s="3509" t="s">
        <v>1154</v>
      </c>
      <c r="B6" s="3510"/>
      <c r="C6" s="3510" t="s">
        <v>1153</v>
      </c>
      <c r="D6" s="3510"/>
      <c r="E6" s="3510"/>
      <c r="F6" s="3510"/>
      <c r="G6" s="3510"/>
      <c r="H6" s="3510"/>
      <c r="I6" s="3510"/>
      <c r="J6" s="5489" t="s">
        <v>1152</v>
      </c>
      <c r="K6" s="5489"/>
      <c r="L6" s="5489"/>
      <c r="M6" s="5489"/>
      <c r="N6" s="5489"/>
      <c r="O6" s="5489"/>
      <c r="P6" s="5489"/>
      <c r="Q6" s="5484" t="s">
        <v>1151</v>
      </c>
      <c r="R6" s="5484"/>
      <c r="S6" s="5484"/>
      <c r="T6" s="5484"/>
      <c r="U6" s="5485"/>
      <c r="V6" s="460"/>
    </row>
    <row r="7" spans="1:32" s="94" customFormat="1" ht="8.9" customHeight="1" x14ac:dyDescent="0.35">
      <c r="A7" s="5486"/>
      <c r="B7" s="5487"/>
      <c r="C7" s="5487"/>
      <c r="D7" s="5487"/>
      <c r="E7" s="5487"/>
      <c r="F7" s="5487"/>
      <c r="G7" s="5487"/>
      <c r="H7" s="5487"/>
      <c r="I7" s="5487"/>
      <c r="J7" s="5487"/>
      <c r="K7" s="5487"/>
      <c r="L7" s="5487"/>
      <c r="M7" s="5487"/>
      <c r="N7" s="5487"/>
      <c r="O7" s="5487"/>
      <c r="P7" s="5487"/>
      <c r="Q7" s="5487"/>
      <c r="R7" s="5487"/>
      <c r="S7" s="5487"/>
      <c r="T7" s="5487"/>
      <c r="U7" s="5488"/>
      <c r="V7" s="765"/>
    </row>
    <row r="8" spans="1:32" s="11" customFormat="1" ht="33.75" customHeight="1" x14ac:dyDescent="0.35">
      <c r="A8" s="3497" t="s">
        <v>1150</v>
      </c>
      <c r="B8" s="3498"/>
      <c r="C8" s="3498" t="s">
        <v>1149</v>
      </c>
      <c r="D8" s="3498"/>
      <c r="E8" s="3498"/>
      <c r="F8" s="3498"/>
      <c r="G8" s="3498"/>
      <c r="H8" s="3498"/>
      <c r="I8" s="3498"/>
      <c r="J8" s="5475" t="s">
        <v>1148</v>
      </c>
      <c r="K8" s="5475"/>
      <c r="L8" s="5475"/>
      <c r="M8" s="5475"/>
      <c r="N8" s="5475"/>
      <c r="O8" s="5475"/>
      <c r="P8" s="5475"/>
      <c r="Q8" s="5476"/>
      <c r="R8" s="5476"/>
      <c r="S8" s="5476"/>
      <c r="T8" s="5476"/>
      <c r="U8" s="5477"/>
      <c r="V8" s="766"/>
      <c r="W8" s="12"/>
      <c r="X8" s="366"/>
      <c r="Y8" s="344"/>
      <c r="Z8" s="344"/>
      <c r="AA8" s="12"/>
      <c r="AB8" s="12"/>
      <c r="AC8" s="12"/>
      <c r="AD8" s="12"/>
      <c r="AE8" s="12"/>
      <c r="AF8" s="12"/>
    </row>
    <row r="9" spans="1:32" s="66" customFormat="1" ht="8.9" customHeight="1" x14ac:dyDescent="0.35">
      <c r="A9" s="5478"/>
      <c r="B9" s="5479"/>
      <c r="C9" s="5479"/>
      <c r="D9" s="5479"/>
      <c r="E9" s="5479"/>
      <c r="F9" s="5479"/>
      <c r="G9" s="5479"/>
      <c r="H9" s="5479"/>
      <c r="I9" s="5479"/>
      <c r="J9" s="5479"/>
      <c r="K9" s="5479"/>
      <c r="L9" s="5479"/>
      <c r="M9" s="5479"/>
      <c r="N9" s="5479"/>
      <c r="O9" s="5479"/>
      <c r="P9" s="5479"/>
      <c r="Q9" s="5479"/>
      <c r="R9" s="5479"/>
      <c r="S9" s="5479"/>
      <c r="T9" s="5479"/>
      <c r="U9" s="5480"/>
      <c r="V9" s="397"/>
      <c r="X9" s="103"/>
      <c r="Y9" s="93"/>
      <c r="Z9" s="93"/>
    </row>
    <row r="10" spans="1:32" s="11" customFormat="1" ht="59.25" customHeight="1" x14ac:dyDescent="0.35">
      <c r="A10" s="3497" t="s">
        <v>1147</v>
      </c>
      <c r="B10" s="3498"/>
      <c r="C10" s="3475" t="s">
        <v>1146</v>
      </c>
      <c r="D10" s="3498"/>
      <c r="E10" s="3498"/>
      <c r="F10" s="3498"/>
      <c r="G10" s="3498"/>
      <c r="H10" s="3498"/>
      <c r="I10" s="3498"/>
      <c r="J10" s="5475" t="s">
        <v>1145</v>
      </c>
      <c r="K10" s="5475"/>
      <c r="L10" s="5475"/>
      <c r="M10" s="5475"/>
      <c r="N10" s="5475"/>
      <c r="O10" s="5475"/>
      <c r="P10" s="5475"/>
      <c r="Q10" s="5476"/>
      <c r="R10" s="5476"/>
      <c r="S10" s="5476"/>
      <c r="T10" s="5476"/>
      <c r="U10" s="5477"/>
      <c r="V10" s="766"/>
      <c r="W10" s="12"/>
      <c r="X10" s="366"/>
      <c r="Y10" s="344"/>
      <c r="Z10" s="344"/>
      <c r="AA10" s="12"/>
      <c r="AB10" s="12"/>
      <c r="AC10" s="12"/>
      <c r="AD10" s="12"/>
      <c r="AE10" s="12"/>
      <c r="AF10" s="12"/>
    </row>
    <row r="11" spans="1:32" s="66" customFormat="1" ht="8.9" customHeight="1" x14ac:dyDescent="0.35">
      <c r="A11" s="5478"/>
      <c r="B11" s="5479"/>
      <c r="C11" s="5479"/>
      <c r="D11" s="5479"/>
      <c r="E11" s="5479"/>
      <c r="F11" s="5479"/>
      <c r="G11" s="5479"/>
      <c r="H11" s="5479"/>
      <c r="I11" s="5479"/>
      <c r="J11" s="5479"/>
      <c r="K11" s="5479"/>
      <c r="L11" s="5479"/>
      <c r="M11" s="5479"/>
      <c r="N11" s="5479"/>
      <c r="O11" s="5479"/>
      <c r="P11" s="5479"/>
      <c r="Q11" s="5479"/>
      <c r="R11" s="5479"/>
      <c r="S11" s="5479"/>
      <c r="T11" s="5479"/>
      <c r="U11" s="5480"/>
      <c r="V11" s="397"/>
      <c r="X11" s="103"/>
      <c r="Y11" s="93"/>
      <c r="Z11" s="93"/>
    </row>
    <row r="12" spans="1:32" s="11" customFormat="1" ht="78.75" customHeight="1" x14ac:dyDescent="0.35">
      <c r="A12" s="3497" t="s">
        <v>1144</v>
      </c>
      <c r="B12" s="3498"/>
      <c r="C12" s="3475" t="s">
        <v>1143</v>
      </c>
      <c r="D12" s="3498"/>
      <c r="E12" s="3498"/>
      <c r="F12" s="3498"/>
      <c r="G12" s="3498"/>
      <c r="H12" s="3498"/>
      <c r="I12" s="3498"/>
      <c r="J12" s="5475" t="s">
        <v>1142</v>
      </c>
      <c r="K12" s="5475"/>
      <c r="L12" s="5475"/>
      <c r="M12" s="5475"/>
      <c r="N12" s="5475"/>
      <c r="O12" s="5475"/>
      <c r="P12" s="5475"/>
      <c r="Q12" s="5476"/>
      <c r="R12" s="5476"/>
      <c r="S12" s="5476"/>
      <c r="T12" s="5476"/>
      <c r="U12" s="5477"/>
      <c r="V12" s="766"/>
      <c r="W12" s="12"/>
      <c r="X12" s="366"/>
      <c r="Y12" s="344"/>
      <c r="Z12" s="344"/>
      <c r="AA12" s="12"/>
      <c r="AB12" s="12"/>
      <c r="AC12" s="12"/>
      <c r="AD12" s="12"/>
      <c r="AE12" s="12"/>
      <c r="AF12" s="12"/>
    </row>
    <row r="13" spans="1:32" s="66" customFormat="1" ht="8.9" customHeight="1" x14ac:dyDescent="0.35">
      <c r="A13" s="5481"/>
      <c r="B13" s="5482"/>
      <c r="C13" s="5482"/>
      <c r="D13" s="5482"/>
      <c r="E13" s="5482"/>
      <c r="F13" s="5482"/>
      <c r="G13" s="5482"/>
      <c r="H13" s="5482"/>
      <c r="I13" s="5482"/>
      <c r="J13" s="5482"/>
      <c r="K13" s="5482"/>
      <c r="L13" s="5482"/>
      <c r="M13" s="5482"/>
      <c r="N13" s="5482"/>
      <c r="O13" s="5482"/>
      <c r="P13" s="5482"/>
      <c r="Q13" s="5482"/>
      <c r="R13" s="5482"/>
      <c r="S13" s="5482"/>
      <c r="T13" s="5482"/>
      <c r="U13" s="5483"/>
      <c r="V13" s="397"/>
      <c r="X13" s="103"/>
      <c r="Y13" s="93"/>
      <c r="Z13" s="93"/>
    </row>
    <row r="14" spans="1:32" s="11" customFormat="1" ht="78.75" customHeight="1" x14ac:dyDescent="0.35">
      <c r="A14" s="3497" t="s">
        <v>1141</v>
      </c>
      <c r="B14" s="3498"/>
      <c r="C14" s="3475" t="s">
        <v>1140</v>
      </c>
      <c r="D14" s="3498"/>
      <c r="E14" s="3498"/>
      <c r="F14" s="3498"/>
      <c r="G14" s="3498"/>
      <c r="H14" s="3498"/>
      <c r="I14" s="3498"/>
      <c r="J14" s="5475" t="s">
        <v>1139</v>
      </c>
      <c r="K14" s="5475"/>
      <c r="L14" s="5475"/>
      <c r="M14" s="5475"/>
      <c r="N14" s="5475"/>
      <c r="O14" s="5475"/>
      <c r="P14" s="5475"/>
      <c r="Q14" s="5476"/>
      <c r="R14" s="5476"/>
      <c r="S14" s="5476"/>
      <c r="T14" s="5476"/>
      <c r="U14" s="5477"/>
      <c r="V14" s="766"/>
      <c r="W14" s="12"/>
      <c r="X14" s="366"/>
      <c r="Y14" s="344"/>
      <c r="Z14" s="344"/>
      <c r="AA14" s="12"/>
      <c r="AB14" s="12"/>
      <c r="AC14" s="12"/>
      <c r="AD14" s="12"/>
      <c r="AE14" s="12"/>
      <c r="AF14" s="12"/>
    </row>
    <row r="15" spans="1:32" s="66" customFormat="1" ht="8.9" customHeight="1" x14ac:dyDescent="0.35">
      <c r="A15" s="5478"/>
      <c r="B15" s="5479"/>
      <c r="C15" s="5479"/>
      <c r="D15" s="5479"/>
      <c r="E15" s="5479"/>
      <c r="F15" s="5479"/>
      <c r="G15" s="5479"/>
      <c r="H15" s="5479"/>
      <c r="I15" s="5479"/>
      <c r="J15" s="5479"/>
      <c r="K15" s="5479"/>
      <c r="L15" s="5479"/>
      <c r="M15" s="5479"/>
      <c r="N15" s="5479"/>
      <c r="O15" s="5479"/>
      <c r="P15" s="5479"/>
      <c r="Q15" s="5479"/>
      <c r="R15" s="5479"/>
      <c r="S15" s="5479"/>
      <c r="T15" s="5479"/>
      <c r="U15" s="5480"/>
      <c r="V15" s="397"/>
      <c r="X15" s="103"/>
      <c r="Y15" s="93"/>
      <c r="Z15" s="93"/>
    </row>
    <row r="16" spans="1:32" s="11" customFormat="1" ht="78.75" customHeight="1" x14ac:dyDescent="0.35">
      <c r="A16" s="3497" t="s">
        <v>1138</v>
      </c>
      <c r="B16" s="3498"/>
      <c r="C16" s="3475" t="s">
        <v>1137</v>
      </c>
      <c r="D16" s="3498"/>
      <c r="E16" s="3498"/>
      <c r="F16" s="3498"/>
      <c r="G16" s="3498"/>
      <c r="H16" s="3498"/>
      <c r="I16" s="3498"/>
      <c r="J16" s="5475" t="s">
        <v>1136</v>
      </c>
      <c r="K16" s="5475"/>
      <c r="L16" s="5475"/>
      <c r="M16" s="5475"/>
      <c r="N16" s="5475"/>
      <c r="O16" s="5475"/>
      <c r="P16" s="5475"/>
      <c r="Q16" s="5476"/>
      <c r="R16" s="5476"/>
      <c r="S16" s="5476"/>
      <c r="T16" s="5476"/>
      <c r="U16" s="5477"/>
      <c r="V16" s="766"/>
      <c r="W16" s="12"/>
      <c r="X16" s="366"/>
      <c r="Y16" s="344"/>
      <c r="Z16" s="344"/>
      <c r="AA16" s="12"/>
      <c r="AB16" s="12"/>
      <c r="AC16" s="12"/>
      <c r="AD16" s="12"/>
      <c r="AE16" s="12"/>
      <c r="AF16" s="12"/>
    </row>
    <row r="17" spans="1:32" s="66" customFormat="1" ht="8.9" customHeight="1" x14ac:dyDescent="0.35">
      <c r="A17" s="5478"/>
      <c r="B17" s="5479"/>
      <c r="C17" s="5479"/>
      <c r="D17" s="5479"/>
      <c r="E17" s="5479"/>
      <c r="F17" s="5479"/>
      <c r="G17" s="5479"/>
      <c r="H17" s="5479"/>
      <c r="I17" s="5479"/>
      <c r="J17" s="5479"/>
      <c r="K17" s="5479"/>
      <c r="L17" s="5479"/>
      <c r="M17" s="5479"/>
      <c r="N17" s="5479"/>
      <c r="O17" s="5479"/>
      <c r="P17" s="5479"/>
      <c r="Q17" s="5479"/>
      <c r="R17" s="5479"/>
      <c r="S17" s="5479"/>
      <c r="T17" s="5479"/>
      <c r="U17" s="5480"/>
      <c r="V17" s="397"/>
      <c r="X17" s="103"/>
      <c r="Y17" s="93"/>
      <c r="Z17" s="93"/>
    </row>
    <row r="18" spans="1:32" s="11" customFormat="1" ht="78.75" customHeight="1" x14ac:dyDescent="0.35">
      <c r="A18" s="3497" t="s">
        <v>1135</v>
      </c>
      <c r="B18" s="3498"/>
      <c r="C18" s="3499" t="s">
        <v>1134</v>
      </c>
      <c r="D18" s="3500"/>
      <c r="E18" s="3500"/>
      <c r="F18" s="3500"/>
      <c r="G18" s="3500"/>
      <c r="H18" s="3500"/>
      <c r="I18" s="3500"/>
      <c r="J18" s="5475" t="s">
        <v>1133</v>
      </c>
      <c r="K18" s="5475"/>
      <c r="L18" s="5475"/>
      <c r="M18" s="5475"/>
      <c r="N18" s="5475"/>
      <c r="O18" s="5475"/>
      <c r="P18" s="5475"/>
      <c r="Q18" s="5476"/>
      <c r="R18" s="5476"/>
      <c r="S18" s="5476"/>
      <c r="T18" s="5476"/>
      <c r="U18" s="5477"/>
      <c r="V18" s="766"/>
      <c r="W18" s="12"/>
      <c r="X18" s="366"/>
      <c r="Y18" s="344"/>
      <c r="Z18" s="344"/>
      <c r="AA18" s="12"/>
      <c r="AB18" s="12"/>
      <c r="AC18" s="12"/>
      <c r="AD18" s="12"/>
      <c r="AE18" s="12"/>
      <c r="AF18" s="12"/>
    </row>
    <row r="19" spans="1:32" s="66" customFormat="1" ht="8.9" customHeight="1" x14ac:dyDescent="0.35">
      <c r="A19" s="5478"/>
      <c r="B19" s="5479"/>
      <c r="C19" s="5479"/>
      <c r="D19" s="5479"/>
      <c r="E19" s="5479"/>
      <c r="F19" s="5479"/>
      <c r="G19" s="5479"/>
      <c r="H19" s="5479"/>
      <c r="I19" s="5479"/>
      <c r="J19" s="5479"/>
      <c r="K19" s="5479"/>
      <c r="L19" s="5479"/>
      <c r="M19" s="5479"/>
      <c r="N19" s="5479"/>
      <c r="O19" s="5479"/>
      <c r="P19" s="5479"/>
      <c r="Q19" s="5479"/>
      <c r="R19" s="5479"/>
      <c r="S19" s="5479"/>
      <c r="T19" s="5479"/>
      <c r="U19" s="5480"/>
      <c r="V19" s="397"/>
      <c r="X19" s="103"/>
      <c r="Y19" s="93"/>
      <c r="Z19" s="93"/>
    </row>
    <row r="20" spans="1:32" s="11" customFormat="1" ht="126.75" customHeight="1" x14ac:dyDescent="0.35">
      <c r="A20" s="3497" t="s">
        <v>1132</v>
      </c>
      <c r="B20" s="3498"/>
      <c r="C20" s="3501" t="s">
        <v>1131</v>
      </c>
      <c r="D20" s="3498"/>
      <c r="E20" s="3498"/>
      <c r="F20" s="3498"/>
      <c r="G20" s="3498"/>
      <c r="H20" s="3498"/>
      <c r="I20" s="3498"/>
      <c r="J20" s="5475" t="s">
        <v>1130</v>
      </c>
      <c r="K20" s="5475"/>
      <c r="L20" s="5475"/>
      <c r="M20" s="5475"/>
      <c r="N20" s="5475"/>
      <c r="O20" s="5475"/>
      <c r="P20" s="5475"/>
      <c r="Q20" s="5476"/>
      <c r="R20" s="5476"/>
      <c r="S20" s="5476"/>
      <c r="T20" s="5476"/>
      <c r="U20" s="5477"/>
      <c r="V20" s="766"/>
      <c r="W20" s="12"/>
      <c r="X20" s="366"/>
      <c r="Y20" s="344"/>
      <c r="Z20" s="344"/>
      <c r="AA20" s="12"/>
      <c r="AB20" s="12"/>
      <c r="AC20" s="12"/>
      <c r="AD20" s="12"/>
      <c r="AE20" s="12"/>
      <c r="AF20" s="12"/>
    </row>
    <row r="21" spans="1:32" s="66" customFormat="1" ht="8.9" customHeight="1" x14ac:dyDescent="0.35">
      <c r="A21" s="5478"/>
      <c r="B21" s="5479"/>
      <c r="C21" s="5479"/>
      <c r="D21" s="5479"/>
      <c r="E21" s="5479"/>
      <c r="F21" s="5479"/>
      <c r="G21" s="5479"/>
      <c r="H21" s="5479"/>
      <c r="I21" s="5479"/>
      <c r="J21" s="5479"/>
      <c r="K21" s="5479"/>
      <c r="L21" s="5479"/>
      <c r="M21" s="5479"/>
      <c r="N21" s="5479"/>
      <c r="O21" s="5479"/>
      <c r="P21" s="5479"/>
      <c r="Q21" s="5479"/>
      <c r="R21" s="5479"/>
      <c r="S21" s="5479"/>
      <c r="T21" s="5479"/>
      <c r="U21" s="5480"/>
      <c r="V21" s="397"/>
      <c r="X21" s="103"/>
      <c r="Y21" s="93"/>
      <c r="Z21" s="93"/>
    </row>
    <row r="22" spans="1:32" s="11" customFormat="1" ht="137.25" customHeight="1" x14ac:dyDescent="0.35">
      <c r="A22" s="3497" t="s">
        <v>1129</v>
      </c>
      <c r="B22" s="3498"/>
      <c r="C22" s="3475" t="s">
        <v>1128</v>
      </c>
      <c r="D22" s="3498"/>
      <c r="E22" s="3498"/>
      <c r="F22" s="3498"/>
      <c r="G22" s="3498"/>
      <c r="H22" s="3498"/>
      <c r="I22" s="3498"/>
      <c r="J22" s="5475" t="s">
        <v>1127</v>
      </c>
      <c r="K22" s="5475"/>
      <c r="L22" s="5475"/>
      <c r="M22" s="5475"/>
      <c r="N22" s="5475"/>
      <c r="O22" s="5475"/>
      <c r="P22" s="5475"/>
      <c r="Q22" s="5476"/>
      <c r="R22" s="5476"/>
      <c r="S22" s="5476"/>
      <c r="T22" s="5476"/>
      <c r="U22" s="5477"/>
      <c r="V22" s="766"/>
      <c r="W22" s="12"/>
      <c r="X22" s="366"/>
      <c r="Y22" s="344"/>
      <c r="Z22" s="344"/>
      <c r="AA22" s="12"/>
      <c r="AB22" s="12"/>
      <c r="AC22" s="12"/>
      <c r="AD22" s="12"/>
      <c r="AE22" s="12"/>
      <c r="AF22" s="12"/>
    </row>
    <row r="23" spans="1:32" ht="8.9" customHeight="1" thickBot="1" x14ac:dyDescent="0.4">
      <c r="A23" s="5472"/>
      <c r="B23" s="5473"/>
      <c r="C23" s="5473"/>
      <c r="D23" s="5473"/>
      <c r="E23" s="5473"/>
      <c r="F23" s="5473"/>
      <c r="G23" s="5473"/>
      <c r="H23" s="5473"/>
      <c r="I23" s="5473"/>
      <c r="J23" s="5473"/>
      <c r="K23" s="5473"/>
      <c r="L23" s="5473"/>
      <c r="M23" s="5473"/>
      <c r="N23" s="5473"/>
      <c r="O23" s="5473"/>
      <c r="P23" s="5473"/>
      <c r="Q23" s="5473"/>
      <c r="R23" s="5473"/>
      <c r="S23" s="5473"/>
      <c r="T23" s="5473"/>
      <c r="U23" s="5474"/>
      <c r="V23" s="397"/>
      <c r="W23" s="66"/>
      <c r="X23" s="103"/>
      <c r="Y23" s="93"/>
      <c r="Z23" s="93"/>
      <c r="AA23" s="66"/>
      <c r="AB23" s="66"/>
      <c r="AC23" s="66"/>
      <c r="AD23" s="66"/>
      <c r="AE23" s="66"/>
      <c r="AF23" s="66"/>
    </row>
    <row r="24" spans="1:32" ht="15.5" thickTop="1" thickBot="1" x14ac:dyDescent="0.4">
      <c r="A24" s="64"/>
      <c r="B24" s="64"/>
      <c r="C24" s="64"/>
      <c r="D24" s="64"/>
      <c r="E24" s="64"/>
      <c r="F24" s="64"/>
      <c r="G24" s="64"/>
      <c r="H24" s="64"/>
      <c r="I24" s="64"/>
      <c r="J24" s="64"/>
      <c r="K24" s="64"/>
      <c r="L24" s="64"/>
      <c r="M24" s="64"/>
      <c r="N24" s="64"/>
      <c r="O24" s="64"/>
      <c r="P24" s="64"/>
      <c r="Q24" s="64"/>
      <c r="R24" s="64"/>
      <c r="S24" s="64"/>
      <c r="T24" s="64"/>
      <c r="U24" s="64"/>
      <c r="V24" s="64"/>
    </row>
    <row r="25" spans="1:32" ht="19.5" thickTop="1" thickBot="1" x14ac:dyDescent="0.4">
      <c r="A25" s="3883" t="s">
        <v>10</v>
      </c>
      <c r="B25" s="3884"/>
      <c r="C25" s="3884"/>
      <c r="D25" s="3884"/>
      <c r="E25" s="3884"/>
      <c r="F25" s="3884"/>
      <c r="G25" s="3884"/>
      <c r="H25" s="3884"/>
      <c r="I25" s="3884"/>
      <c r="J25" s="3884"/>
      <c r="K25" s="3884"/>
      <c r="L25" s="30"/>
      <c r="M25" s="3725" t="s">
        <v>748</v>
      </c>
      <c r="N25" s="3726"/>
      <c r="O25" s="3726"/>
      <c r="P25" s="3727"/>
      <c r="Q25" s="64"/>
      <c r="R25" s="64"/>
      <c r="S25" s="64"/>
      <c r="T25" s="64"/>
      <c r="U25" s="64"/>
      <c r="V25" s="64"/>
    </row>
    <row r="26" spans="1:32" ht="19.5" customHeight="1" x14ac:dyDescent="0.35">
      <c r="A26" s="3876" t="s">
        <v>1083</v>
      </c>
      <c r="B26" s="3877"/>
      <c r="C26" s="3877"/>
      <c r="D26" s="3877"/>
      <c r="E26" s="3877"/>
      <c r="F26" s="3877"/>
      <c r="G26" s="3877"/>
      <c r="H26" s="3877"/>
      <c r="I26" s="3877"/>
      <c r="J26" s="3877"/>
      <c r="K26" s="5398"/>
      <c r="L26" s="33"/>
      <c r="M26" s="3753" t="s">
        <v>756</v>
      </c>
      <c r="N26" s="3754"/>
      <c r="O26" s="3754"/>
      <c r="P26" s="3755"/>
      <c r="Q26" s="64"/>
      <c r="R26" s="64"/>
      <c r="S26" s="64"/>
      <c r="T26" s="64"/>
      <c r="U26" s="64"/>
      <c r="V26" s="64"/>
    </row>
    <row r="27" spans="1:32" ht="19.5" customHeight="1" x14ac:dyDescent="0.35">
      <c r="A27" s="3878"/>
      <c r="B27" s="3879"/>
      <c r="C27" s="3879"/>
      <c r="D27" s="3879"/>
      <c r="E27" s="3879"/>
      <c r="F27" s="3879"/>
      <c r="G27" s="3879"/>
      <c r="H27" s="3879"/>
      <c r="I27" s="3879"/>
      <c r="J27" s="3879"/>
      <c r="K27" s="5399"/>
      <c r="L27" s="33"/>
      <c r="M27" s="3753"/>
      <c r="N27" s="3754"/>
      <c r="O27" s="3754"/>
      <c r="P27" s="3755"/>
      <c r="Q27" s="64"/>
      <c r="R27" s="64"/>
      <c r="S27" s="64"/>
      <c r="T27" s="64"/>
      <c r="U27" s="64"/>
      <c r="V27" s="64"/>
    </row>
    <row r="28" spans="1:32" ht="19.5" customHeight="1" x14ac:dyDescent="0.35">
      <c r="A28" s="3878"/>
      <c r="B28" s="3879"/>
      <c r="C28" s="3879"/>
      <c r="D28" s="3879"/>
      <c r="E28" s="3879"/>
      <c r="F28" s="3879"/>
      <c r="G28" s="3879"/>
      <c r="H28" s="3879"/>
      <c r="I28" s="3879"/>
      <c r="J28" s="3879"/>
      <c r="K28" s="5399"/>
      <c r="L28" s="33"/>
      <c r="M28" s="3753"/>
      <c r="N28" s="3754"/>
      <c r="O28" s="3754"/>
      <c r="P28" s="3755"/>
      <c r="Q28" s="64"/>
      <c r="R28" s="64"/>
      <c r="S28" s="64"/>
      <c r="T28" s="64"/>
      <c r="U28" s="64"/>
      <c r="V28" s="64"/>
    </row>
    <row r="29" spans="1:32" ht="19.5" customHeight="1" x14ac:dyDescent="0.35">
      <c r="A29" s="3878"/>
      <c r="B29" s="3879"/>
      <c r="C29" s="3879"/>
      <c r="D29" s="3879"/>
      <c r="E29" s="3879"/>
      <c r="F29" s="3879"/>
      <c r="G29" s="3879"/>
      <c r="H29" s="3879"/>
      <c r="I29" s="3879"/>
      <c r="J29" s="3879"/>
      <c r="K29" s="5399"/>
      <c r="L29" s="33"/>
      <c r="M29" s="3753"/>
      <c r="N29" s="3754"/>
      <c r="O29" s="3754"/>
      <c r="P29" s="3755"/>
      <c r="Q29" s="64"/>
      <c r="R29" s="64"/>
      <c r="S29" s="64"/>
      <c r="T29" s="64"/>
      <c r="U29" s="64"/>
      <c r="V29" s="64"/>
    </row>
    <row r="30" spans="1:32" ht="15" customHeight="1" thickBot="1" x14ac:dyDescent="0.4">
      <c r="A30" s="3878"/>
      <c r="B30" s="3879"/>
      <c r="C30" s="3879"/>
      <c r="D30" s="3879"/>
      <c r="E30" s="3879"/>
      <c r="F30" s="3879"/>
      <c r="G30" s="3879"/>
      <c r="H30" s="3879"/>
      <c r="I30" s="3879"/>
      <c r="J30" s="3879"/>
      <c r="K30" s="5399"/>
      <c r="L30" s="64"/>
      <c r="M30" s="5334"/>
      <c r="N30" s="5468"/>
      <c r="O30" s="5468"/>
      <c r="P30" s="5469"/>
      <c r="Q30" s="64"/>
      <c r="R30" s="64"/>
      <c r="S30" s="64"/>
      <c r="T30" s="64"/>
      <c r="U30" s="64"/>
      <c r="V30" s="64"/>
    </row>
    <row r="31" spans="1:32" x14ac:dyDescent="0.35">
      <c r="A31" s="3878"/>
      <c r="B31" s="3879"/>
      <c r="C31" s="3879"/>
      <c r="D31" s="3879"/>
      <c r="E31" s="3879"/>
      <c r="F31" s="3879"/>
      <c r="G31" s="3879"/>
      <c r="H31" s="3879"/>
      <c r="I31" s="3879"/>
      <c r="J31" s="3879"/>
      <c r="K31" s="5399"/>
      <c r="L31" s="31"/>
      <c r="M31" s="64"/>
      <c r="N31" s="64"/>
      <c r="O31" s="64"/>
      <c r="P31" s="31"/>
      <c r="Q31" s="64"/>
      <c r="R31" s="64"/>
      <c r="S31" s="64"/>
      <c r="T31" s="64"/>
      <c r="U31" s="64"/>
      <c r="V31" s="64"/>
    </row>
    <row r="32" spans="1:32" ht="19.5" customHeight="1" x14ac:dyDescent="0.35">
      <c r="A32" s="3878"/>
      <c r="B32" s="3879"/>
      <c r="C32" s="3879"/>
      <c r="D32" s="3879"/>
      <c r="E32" s="3879"/>
      <c r="F32" s="3879"/>
      <c r="G32" s="3879"/>
      <c r="H32" s="3879"/>
      <c r="I32" s="3879"/>
      <c r="J32" s="3879"/>
      <c r="K32" s="5399"/>
      <c r="L32" s="31"/>
      <c r="M32" s="64"/>
      <c r="N32" s="64"/>
      <c r="O32" s="64"/>
      <c r="P32" s="31"/>
      <c r="Q32" s="64"/>
      <c r="R32" s="64"/>
      <c r="S32" s="64"/>
      <c r="T32" s="64"/>
      <c r="U32" s="64"/>
      <c r="V32" s="64"/>
    </row>
    <row r="33" spans="1:22" ht="19.5" customHeight="1" thickBot="1" x14ac:dyDescent="0.4">
      <c r="A33" s="3880"/>
      <c r="B33" s="3881"/>
      <c r="C33" s="3881"/>
      <c r="D33" s="3881"/>
      <c r="E33" s="3881"/>
      <c r="F33" s="3881"/>
      <c r="G33" s="3881"/>
      <c r="H33" s="3881"/>
      <c r="I33" s="3881"/>
      <c r="J33" s="3881"/>
      <c r="K33" s="5400"/>
      <c r="L33" s="31"/>
      <c r="M33" s="64"/>
      <c r="N33" s="64"/>
      <c r="O33" s="64"/>
      <c r="P33" s="31"/>
      <c r="Q33" s="64"/>
      <c r="R33" s="64"/>
      <c r="S33" s="64"/>
      <c r="T33" s="64"/>
      <c r="U33" s="64"/>
      <c r="V33" s="64"/>
    </row>
    <row r="34" spans="1:22" ht="19.5" customHeight="1" thickTop="1" thickBot="1" x14ac:dyDescent="0.4">
      <c r="A34" s="64"/>
      <c r="B34" s="64"/>
      <c r="C34" s="64"/>
      <c r="D34" s="64"/>
      <c r="E34" s="64"/>
      <c r="F34" s="64"/>
      <c r="G34" s="64"/>
      <c r="H34" s="64"/>
      <c r="I34" s="64"/>
      <c r="J34" s="64"/>
      <c r="K34" s="757"/>
      <c r="L34" s="31"/>
      <c r="M34" s="64"/>
      <c r="N34" s="64"/>
      <c r="O34" s="64"/>
      <c r="P34" s="31"/>
      <c r="Q34" s="64"/>
      <c r="R34" s="64"/>
      <c r="S34" s="64"/>
      <c r="T34" s="64"/>
      <c r="U34" s="64"/>
      <c r="V34" s="64"/>
    </row>
    <row r="35" spans="1:22" ht="19.5" customHeight="1" thickTop="1" thickBot="1" x14ac:dyDescent="0.4">
      <c r="A35" s="3883" t="s">
        <v>11</v>
      </c>
      <c r="B35" s="5470"/>
      <c r="C35" s="5470"/>
      <c r="D35" s="5470"/>
      <c r="E35" s="5470"/>
      <c r="F35" s="5470"/>
      <c r="G35" s="5470"/>
      <c r="H35" s="5470"/>
      <c r="I35" s="5470"/>
      <c r="J35" s="5470"/>
      <c r="K35" s="5471"/>
      <c r="L35" s="31"/>
      <c r="M35" s="3725" t="s">
        <v>748</v>
      </c>
      <c r="N35" s="3726"/>
      <c r="O35" s="3726"/>
      <c r="P35" s="3727"/>
      <c r="Q35" s="64"/>
      <c r="R35" s="64"/>
      <c r="S35" s="64"/>
      <c r="T35" s="64"/>
      <c r="U35" s="64"/>
      <c r="V35" s="64"/>
    </row>
    <row r="36" spans="1:22" ht="18.75" customHeight="1" x14ac:dyDescent="0.35">
      <c r="A36" s="3876" t="s">
        <v>1082</v>
      </c>
      <c r="B36" s="3877"/>
      <c r="C36" s="3877"/>
      <c r="D36" s="3877"/>
      <c r="E36" s="3877"/>
      <c r="F36" s="3877"/>
      <c r="G36" s="3877"/>
      <c r="H36" s="3877"/>
      <c r="I36" s="3877"/>
      <c r="J36" s="3877"/>
      <c r="K36" s="5398"/>
      <c r="L36" s="64"/>
      <c r="M36" s="3753" t="s">
        <v>754</v>
      </c>
      <c r="N36" s="3754"/>
      <c r="O36" s="3754"/>
      <c r="P36" s="3755"/>
      <c r="Q36" s="64"/>
      <c r="R36" s="64"/>
      <c r="S36" s="64"/>
      <c r="T36" s="64"/>
      <c r="U36" s="64"/>
      <c r="V36" s="64"/>
    </row>
    <row r="37" spans="1:22" x14ac:dyDescent="0.35">
      <c r="A37" s="3878"/>
      <c r="B37" s="3879"/>
      <c r="C37" s="3879"/>
      <c r="D37" s="3879"/>
      <c r="E37" s="3879"/>
      <c r="F37" s="3879"/>
      <c r="G37" s="3879"/>
      <c r="H37" s="3879"/>
      <c r="I37" s="3879"/>
      <c r="J37" s="3879"/>
      <c r="K37" s="5399"/>
      <c r="L37" s="64"/>
      <c r="M37" s="3753"/>
      <c r="N37" s="3754"/>
      <c r="O37" s="3754"/>
      <c r="P37" s="3755"/>
      <c r="Q37" s="64"/>
      <c r="R37" s="64"/>
      <c r="S37" s="64"/>
      <c r="T37" s="64"/>
      <c r="U37" s="64"/>
      <c r="V37" s="64"/>
    </row>
    <row r="38" spans="1:22" ht="15" customHeight="1" x14ac:dyDescent="0.35">
      <c r="A38" s="3878"/>
      <c r="B38" s="3879"/>
      <c r="C38" s="3879"/>
      <c r="D38" s="3879"/>
      <c r="E38" s="3879"/>
      <c r="F38" s="3879"/>
      <c r="G38" s="3879"/>
      <c r="H38" s="3879"/>
      <c r="I38" s="3879"/>
      <c r="J38" s="3879"/>
      <c r="K38" s="5399"/>
      <c r="L38" s="64"/>
      <c r="M38" s="3753"/>
      <c r="N38" s="3754"/>
      <c r="O38" s="3754"/>
      <c r="P38" s="3755"/>
      <c r="Q38" s="64"/>
      <c r="R38" s="64"/>
      <c r="S38" s="64"/>
      <c r="T38" s="64"/>
      <c r="U38" s="64"/>
      <c r="V38" s="64"/>
    </row>
    <row r="39" spans="1:22" x14ac:dyDescent="0.35">
      <c r="A39" s="3878"/>
      <c r="B39" s="3879"/>
      <c r="C39" s="3879"/>
      <c r="D39" s="3879"/>
      <c r="E39" s="3879"/>
      <c r="F39" s="3879"/>
      <c r="G39" s="3879"/>
      <c r="H39" s="3879"/>
      <c r="I39" s="3879"/>
      <c r="J39" s="3879"/>
      <c r="K39" s="5399"/>
      <c r="L39" s="64"/>
      <c r="M39" s="3753"/>
      <c r="N39" s="3754"/>
      <c r="O39" s="3754"/>
      <c r="P39" s="3755"/>
      <c r="Q39" s="64"/>
      <c r="R39" s="64"/>
      <c r="S39" s="64"/>
      <c r="T39" s="64"/>
      <c r="U39" s="64"/>
      <c r="V39" s="64"/>
    </row>
    <row r="40" spans="1:22" ht="15" customHeight="1" x14ac:dyDescent="0.35">
      <c r="A40" s="3878"/>
      <c r="B40" s="3879"/>
      <c r="C40" s="3879"/>
      <c r="D40" s="3879"/>
      <c r="E40" s="3879"/>
      <c r="F40" s="3879"/>
      <c r="G40" s="3879"/>
      <c r="H40" s="3879"/>
      <c r="I40" s="3879"/>
      <c r="J40" s="3879"/>
      <c r="K40" s="5399"/>
      <c r="L40" s="64"/>
      <c r="M40" s="3753"/>
      <c r="N40" s="3754"/>
      <c r="O40" s="3754"/>
      <c r="P40" s="3755"/>
      <c r="Q40" s="64"/>
      <c r="R40" s="64"/>
      <c r="S40" s="64"/>
      <c r="T40" s="64"/>
      <c r="U40" s="64"/>
      <c r="V40" s="64"/>
    </row>
    <row r="41" spans="1:22" x14ac:dyDescent="0.35">
      <c r="A41" s="3878"/>
      <c r="B41" s="3879"/>
      <c r="C41" s="3879"/>
      <c r="D41" s="3879"/>
      <c r="E41" s="3879"/>
      <c r="F41" s="3879"/>
      <c r="G41" s="3879"/>
      <c r="H41" s="3879"/>
      <c r="I41" s="3879"/>
      <c r="J41" s="3879"/>
      <c r="K41" s="5399"/>
      <c r="L41" s="64"/>
      <c r="M41" s="3753"/>
      <c r="N41" s="3754"/>
      <c r="O41" s="3754"/>
      <c r="P41" s="3755"/>
      <c r="Q41" s="64"/>
      <c r="R41" s="64"/>
      <c r="S41" s="64"/>
      <c r="T41" s="64"/>
      <c r="U41" s="64"/>
      <c r="V41" s="64"/>
    </row>
    <row r="42" spans="1:22" ht="15" thickBot="1" x14ac:dyDescent="0.4">
      <c r="A42" s="3878"/>
      <c r="B42" s="3879"/>
      <c r="C42" s="3879"/>
      <c r="D42" s="3879"/>
      <c r="E42" s="3879"/>
      <c r="F42" s="3879"/>
      <c r="G42" s="3879"/>
      <c r="H42" s="3879"/>
      <c r="I42" s="3879"/>
      <c r="J42" s="3879"/>
      <c r="K42" s="5399"/>
      <c r="L42" s="64"/>
      <c r="M42" s="5334"/>
      <c r="N42" s="5468"/>
      <c r="O42" s="5468"/>
      <c r="P42" s="5469"/>
      <c r="Q42" s="64"/>
      <c r="R42" s="64"/>
      <c r="S42" s="64"/>
      <c r="T42" s="64"/>
      <c r="U42" s="64"/>
      <c r="V42" s="64"/>
    </row>
    <row r="43" spans="1:22" ht="15" thickBot="1" x14ac:dyDescent="0.4">
      <c r="A43" s="3880"/>
      <c r="B43" s="3881"/>
      <c r="C43" s="3881"/>
      <c r="D43" s="3881"/>
      <c r="E43" s="3881"/>
      <c r="F43" s="3881"/>
      <c r="G43" s="3881"/>
      <c r="H43" s="3881"/>
      <c r="I43" s="3881"/>
      <c r="J43" s="3881"/>
      <c r="K43" s="5400"/>
      <c r="L43" s="64"/>
      <c r="M43" s="64"/>
      <c r="N43" s="64"/>
      <c r="O43" s="64"/>
      <c r="P43" s="64"/>
      <c r="Q43" s="64"/>
      <c r="R43" s="64"/>
      <c r="S43" s="64"/>
      <c r="T43" s="64"/>
      <c r="U43" s="64"/>
      <c r="V43" s="64"/>
    </row>
    <row r="44" spans="1:22" ht="15" thickTop="1" x14ac:dyDescent="0.35">
      <c r="A44" s="64"/>
      <c r="B44" s="64"/>
      <c r="C44" s="64"/>
      <c r="D44" s="64"/>
      <c r="E44" s="64"/>
      <c r="F44" s="64"/>
      <c r="G44" s="64"/>
      <c r="H44" s="64"/>
      <c r="I44" s="64"/>
      <c r="J44" s="64"/>
      <c r="K44" s="64"/>
      <c r="L44" s="64"/>
      <c r="M44" s="64"/>
      <c r="N44" s="64"/>
      <c r="O44" s="64"/>
      <c r="P44" s="64"/>
      <c r="Q44" s="64"/>
      <c r="R44" s="64"/>
      <c r="S44" s="64"/>
      <c r="T44" s="64"/>
      <c r="U44" s="64"/>
      <c r="V44" s="64"/>
    </row>
  </sheetData>
  <mergeCells count="64">
    <mergeCell ref="D3:G3"/>
    <mergeCell ref="D1:G1"/>
    <mergeCell ref="I1:J1"/>
    <mergeCell ref="L1:M1"/>
    <mergeCell ref="D2:G2"/>
    <mergeCell ref="I2:J2"/>
    <mergeCell ref="L2:M2"/>
    <mergeCell ref="A4:G4"/>
    <mergeCell ref="A5:B5"/>
    <mergeCell ref="C5:P5"/>
    <mergeCell ref="A6:B6"/>
    <mergeCell ref="C6:I6"/>
    <mergeCell ref="J6:P6"/>
    <mergeCell ref="H4:R4"/>
    <mergeCell ref="A11:U11"/>
    <mergeCell ref="Q6:U6"/>
    <mergeCell ref="A7:U7"/>
    <mergeCell ref="A8:B8"/>
    <mergeCell ref="C8:I8"/>
    <mergeCell ref="J8:P8"/>
    <mergeCell ref="Q8:U8"/>
    <mergeCell ref="A9:U9"/>
    <mergeCell ref="A10:B10"/>
    <mergeCell ref="C10:I10"/>
    <mergeCell ref="J10:P10"/>
    <mergeCell ref="Q10:U10"/>
    <mergeCell ref="A17:U17"/>
    <mergeCell ref="A12:B12"/>
    <mergeCell ref="C12:I12"/>
    <mergeCell ref="J12:P12"/>
    <mergeCell ref="Q12:U12"/>
    <mergeCell ref="A13:U13"/>
    <mergeCell ref="A14:B14"/>
    <mergeCell ref="C14:I14"/>
    <mergeCell ref="J14:P14"/>
    <mergeCell ref="Q14:U14"/>
    <mergeCell ref="A15:U15"/>
    <mergeCell ref="A16:B16"/>
    <mergeCell ref="C16:I16"/>
    <mergeCell ref="J16:P16"/>
    <mergeCell ref="Q16:U16"/>
    <mergeCell ref="A23:U23"/>
    <mergeCell ref="A18:B18"/>
    <mergeCell ref="C18:I18"/>
    <mergeCell ref="J18:P18"/>
    <mergeCell ref="Q18:U18"/>
    <mergeCell ref="A19:U19"/>
    <mergeCell ref="A20:B20"/>
    <mergeCell ref="C20:I20"/>
    <mergeCell ref="J20:P20"/>
    <mergeCell ref="Q20:U20"/>
    <mergeCell ref="A21:U21"/>
    <mergeCell ref="A22:B22"/>
    <mergeCell ref="C22:I22"/>
    <mergeCell ref="J22:P22"/>
    <mergeCell ref="Q22:U22"/>
    <mergeCell ref="A36:K43"/>
    <mergeCell ref="M36:P42"/>
    <mergeCell ref="A25:K25"/>
    <mergeCell ref="M25:P25"/>
    <mergeCell ref="A26:K33"/>
    <mergeCell ref="M26:P30"/>
    <mergeCell ref="A35:K35"/>
    <mergeCell ref="M35:P35"/>
  </mergeCells>
  <conditionalFormatting sqref="Q2">
    <cfRule type="iconSet" priority="2">
      <iconSet iconSet="3Symbols2" showValue="0">
        <cfvo type="percent" val="0"/>
        <cfvo type="num" val="0"/>
        <cfvo type="num" val="10"/>
      </iconSet>
    </cfRule>
  </conditionalFormatting>
  <conditionalFormatting sqref="R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300-000000000000}">
      <formula1>AvancementTheme</formula1>
    </dataValidation>
  </dataValidations>
  <hyperlinks>
    <hyperlink ref="Q1" location="DPDV_03PO2" display="PdV" xr:uid="{00000000-0004-0000-3300-000000000000}"/>
    <hyperlink ref="R1" location="DKPI_03PO2" display="KPI's" xr:uid="{00000000-0004-0000-3300-000001000000}"/>
  </hyperlink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18">
    <tabColor rgb="FFFFC000"/>
    <pageSetUpPr fitToPage="1"/>
  </sheetPr>
  <dimension ref="A1:AF43"/>
  <sheetViews>
    <sheetView showGridLines="0" showRowColHeaders="0" zoomScaleNormal="100" workbookViewId="0">
      <pane ySplit="6" topLeftCell="A7" activePane="bottomLeft" state="frozen"/>
      <selection activeCell="H7" sqref="H7"/>
      <selection pane="bottomLeft" activeCell="A7" sqref="A7:U7"/>
    </sheetView>
  </sheetViews>
  <sheetFormatPr baseColWidth="10" defaultColWidth="11.453125" defaultRowHeight="14.5" x14ac:dyDescent="0.35"/>
  <cols>
    <col min="1" max="11" width="11.453125" style="60"/>
    <col min="12" max="12" width="12.81640625" style="60" customWidth="1"/>
    <col min="13" max="14" width="11.453125" style="60"/>
    <col min="15" max="15" width="11.453125" style="60" customWidth="1"/>
    <col min="16" max="16384" width="11.453125" style="60"/>
  </cols>
  <sheetData>
    <row r="1" spans="1:32"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458"/>
      <c r="R1" s="458"/>
      <c r="S1" s="458"/>
      <c r="T1" s="458"/>
      <c r="U1" s="458"/>
      <c r="V1" s="458"/>
    </row>
    <row r="2" spans="1:32" s="58" customFormat="1" ht="18" customHeight="1" x14ac:dyDescent="0.35">
      <c r="A2" s="393"/>
      <c r="B2" s="393"/>
      <c r="C2" s="393"/>
      <c r="D2" s="3342" t="str">
        <f>NomClient</f>
        <v xml:space="preserve">EQUINIX </v>
      </c>
      <c r="E2" s="3343"/>
      <c r="F2" s="3343"/>
      <c r="G2" s="3344"/>
      <c r="H2" s="393"/>
      <c r="I2" s="3345" t="s">
        <v>406</v>
      </c>
      <c r="J2" s="3346"/>
      <c r="K2" s="393"/>
      <c r="L2" s="3347">
        <v>42420.647476851853</v>
      </c>
      <c r="M2" s="3348"/>
      <c r="N2" s="394"/>
      <c r="O2" s="451">
        <f>IF(LEN(DPDV_03CR2)&gt;0,LEN(DPDV_03CR2),0-PDV_NBmini)</f>
        <v>30</v>
      </c>
      <c r="P2" s="451">
        <f>IF(LEN(DKPI_03CR2)&gt;0,LEN(DKPI_03CR2),0-KPI_NBmini)</f>
        <v>63</v>
      </c>
      <c r="Q2" s="459"/>
      <c r="R2" s="459"/>
      <c r="S2" s="459"/>
      <c r="T2" s="459"/>
      <c r="U2" s="459"/>
      <c r="V2" s="459"/>
    </row>
    <row r="3" spans="1:3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32" s="1" customFormat="1" ht="24.75" customHeight="1" thickBot="1" x14ac:dyDescent="0.4">
      <c r="A4" s="3507" t="str">
        <f>Parametre!B25  &amp; "  : "</f>
        <v xml:space="preserve">Positionnement de l'offre  : </v>
      </c>
      <c r="B4" s="3507"/>
      <c r="C4" s="3507"/>
      <c r="D4" s="3507"/>
      <c r="E4" s="3507"/>
      <c r="F4" s="3507"/>
      <c r="G4" s="3507"/>
      <c r="H4" s="5416" t="str">
        <f xml:space="preserve"> "Criticité pour " &amp; NomProd2</f>
        <v>Criticité pour ASEMA</v>
      </c>
      <c r="I4" s="5416"/>
      <c r="J4" s="5416"/>
      <c r="K4" s="5416"/>
      <c r="L4" s="5416"/>
      <c r="M4" s="5416"/>
      <c r="N4" s="5416"/>
      <c r="O4" s="5416"/>
      <c r="P4" s="5417"/>
      <c r="Q4" s="444"/>
      <c r="R4" s="444"/>
      <c r="S4" s="444"/>
      <c r="T4" s="444"/>
      <c r="U4" s="444"/>
      <c r="V4" s="444"/>
    </row>
    <row r="5" spans="1:32" s="193" customFormat="1" ht="59.25" customHeight="1" thickBot="1" x14ac:dyDescent="0.4">
      <c r="A5" s="3438" t="s">
        <v>14</v>
      </c>
      <c r="B5" s="3438"/>
      <c r="C5" s="3508" t="s">
        <v>956</v>
      </c>
      <c r="D5" s="3439"/>
      <c r="E5" s="3439"/>
      <c r="F5" s="3439"/>
      <c r="G5" s="3439"/>
      <c r="H5" s="3439"/>
      <c r="I5" s="3439"/>
      <c r="J5" s="3439"/>
      <c r="K5" s="3439"/>
      <c r="L5" s="3439"/>
      <c r="M5" s="3439"/>
      <c r="N5" s="3439"/>
      <c r="O5" s="3439"/>
      <c r="P5" s="3439"/>
      <c r="Q5" s="460"/>
      <c r="R5" s="460"/>
      <c r="S5" s="460"/>
      <c r="T5" s="460"/>
      <c r="U5" s="460"/>
      <c r="V5" s="460"/>
    </row>
    <row r="6" spans="1:32" s="65" customFormat="1" ht="33.75" customHeight="1" thickTop="1" x14ac:dyDescent="0.35">
      <c r="A6" s="5523" t="s">
        <v>171</v>
      </c>
      <c r="B6" s="5524"/>
      <c r="C6" s="5525" t="s">
        <v>561</v>
      </c>
      <c r="D6" s="5524"/>
      <c r="E6" s="5524"/>
      <c r="F6" s="5524"/>
      <c r="G6" s="5524"/>
      <c r="H6" s="5524"/>
      <c r="I6" s="5526"/>
      <c r="J6" s="5527" t="s">
        <v>878</v>
      </c>
      <c r="K6" s="5520"/>
      <c r="L6" s="5520"/>
      <c r="M6" s="5520"/>
      <c r="N6" s="5520"/>
      <c r="O6" s="5520"/>
      <c r="P6" s="5528"/>
      <c r="Q6" s="5519" t="s">
        <v>562</v>
      </c>
      <c r="R6" s="5520"/>
      <c r="S6" s="5520"/>
      <c r="T6" s="5520"/>
      <c r="U6" s="5521"/>
      <c r="V6" s="403"/>
      <c r="W6" s="80"/>
      <c r="X6" s="104"/>
      <c r="Y6" s="105"/>
      <c r="Z6" s="105"/>
      <c r="AA6" s="80"/>
      <c r="AB6" s="80"/>
      <c r="AC6" s="80"/>
      <c r="AD6" s="80"/>
      <c r="AE6" s="80"/>
      <c r="AF6" s="80"/>
    </row>
    <row r="7" spans="1:32" ht="6.75" customHeight="1" x14ac:dyDescent="0.35">
      <c r="A7" s="5478"/>
      <c r="B7" s="5479"/>
      <c r="C7" s="5479"/>
      <c r="D7" s="5479"/>
      <c r="E7" s="5479"/>
      <c r="F7" s="5479"/>
      <c r="G7" s="5479"/>
      <c r="H7" s="5479"/>
      <c r="I7" s="5479"/>
      <c r="J7" s="5479"/>
      <c r="K7" s="5479"/>
      <c r="L7" s="5479"/>
      <c r="M7" s="5479"/>
      <c r="N7" s="5479"/>
      <c r="O7" s="5479"/>
      <c r="P7" s="5479"/>
      <c r="Q7" s="5479"/>
      <c r="R7" s="5479"/>
      <c r="S7" s="5479"/>
      <c r="T7" s="5479"/>
      <c r="U7" s="5480"/>
      <c r="V7" s="397"/>
      <c r="W7" s="66"/>
      <c r="X7" s="103"/>
      <c r="Y7" s="93"/>
      <c r="Z7" s="93"/>
      <c r="AA7" s="66"/>
      <c r="AB7" s="66"/>
      <c r="AC7" s="66"/>
      <c r="AD7" s="66"/>
      <c r="AE7" s="66"/>
      <c r="AF7" s="66"/>
    </row>
    <row r="8" spans="1:32" ht="123.75" customHeight="1" x14ac:dyDescent="0.35">
      <c r="A8" s="5500" t="s">
        <v>442</v>
      </c>
      <c r="B8" s="5501"/>
      <c r="C8" s="5502"/>
      <c r="D8" s="5503"/>
      <c r="E8" s="5503"/>
      <c r="F8" s="5503"/>
      <c r="G8" s="5503"/>
      <c r="H8" s="5503"/>
      <c r="I8" s="5504"/>
      <c r="J8" s="5505"/>
      <c r="K8" s="5506"/>
      <c r="L8" s="5506"/>
      <c r="M8" s="5506"/>
      <c r="N8" s="5506"/>
      <c r="O8" s="5506"/>
      <c r="P8" s="5507"/>
      <c r="Q8" s="5522"/>
      <c r="R8" s="5509"/>
      <c r="S8" s="5509"/>
      <c r="T8" s="5510"/>
      <c r="U8" s="5511"/>
      <c r="V8" s="397"/>
      <c r="W8" s="66"/>
      <c r="X8" s="103"/>
      <c r="Y8" s="93"/>
      <c r="Z8" s="93"/>
      <c r="AA8" s="66"/>
      <c r="AB8" s="66"/>
      <c r="AC8" s="66"/>
      <c r="AD8" s="66"/>
      <c r="AE8" s="66"/>
      <c r="AF8" s="66"/>
    </row>
    <row r="9" spans="1:32" ht="103.5" customHeight="1" x14ac:dyDescent="0.35">
      <c r="A9" s="5500" t="s">
        <v>172</v>
      </c>
      <c r="B9" s="5501"/>
      <c r="C9" s="5502"/>
      <c r="D9" s="5503"/>
      <c r="E9" s="5503"/>
      <c r="F9" s="5503"/>
      <c r="G9" s="5503"/>
      <c r="H9" s="5503"/>
      <c r="I9" s="5504"/>
      <c r="J9" s="5505"/>
      <c r="K9" s="5506"/>
      <c r="L9" s="5506"/>
      <c r="M9" s="5506"/>
      <c r="N9" s="5506"/>
      <c r="O9" s="5506"/>
      <c r="P9" s="5507"/>
      <c r="Q9" s="5516"/>
      <c r="R9" s="5517"/>
      <c r="S9" s="5517"/>
      <c r="T9" s="5517"/>
      <c r="U9" s="5518"/>
      <c r="V9" s="397"/>
      <c r="W9" s="66"/>
      <c r="X9" s="103"/>
      <c r="Y9" s="93"/>
      <c r="Z9" s="93"/>
      <c r="AA9" s="66"/>
      <c r="AB9" s="66"/>
      <c r="AC9" s="66"/>
      <c r="AD9" s="66"/>
      <c r="AE9" s="66"/>
      <c r="AF9" s="66"/>
    </row>
    <row r="10" spans="1:32" ht="116.25" customHeight="1" x14ac:dyDescent="0.35">
      <c r="A10" s="5500" t="s">
        <v>1064</v>
      </c>
      <c r="B10" s="5501"/>
      <c r="C10" s="5502"/>
      <c r="D10" s="5503"/>
      <c r="E10" s="5503"/>
      <c r="F10" s="5503"/>
      <c r="G10" s="5503"/>
      <c r="H10" s="5503"/>
      <c r="I10" s="5504"/>
      <c r="J10" s="5505"/>
      <c r="K10" s="5506"/>
      <c r="L10" s="5506"/>
      <c r="M10" s="5506"/>
      <c r="N10" s="5506"/>
      <c r="O10" s="5506"/>
      <c r="P10" s="5507"/>
      <c r="Q10" s="5508"/>
      <c r="R10" s="5509"/>
      <c r="S10" s="5509"/>
      <c r="T10" s="5510"/>
      <c r="U10" s="5511"/>
      <c r="V10" s="397"/>
      <c r="W10" s="66"/>
      <c r="X10" s="103"/>
      <c r="Y10" s="93"/>
      <c r="Z10" s="93"/>
      <c r="AA10" s="66"/>
      <c r="AB10" s="66"/>
      <c r="AC10" s="66"/>
      <c r="AD10" s="66"/>
      <c r="AE10" s="66"/>
      <c r="AF10" s="66"/>
    </row>
    <row r="11" spans="1:32" s="65" customFormat="1" ht="33" customHeight="1" x14ac:dyDescent="0.35">
      <c r="A11" s="5500" t="s">
        <v>976</v>
      </c>
      <c r="B11" s="5501"/>
      <c r="C11" s="5502"/>
      <c r="D11" s="5503"/>
      <c r="E11" s="5503"/>
      <c r="F11" s="5503"/>
      <c r="G11" s="5503"/>
      <c r="H11" s="5503"/>
      <c r="I11" s="5504"/>
      <c r="J11" s="5505"/>
      <c r="K11" s="5506"/>
      <c r="L11" s="5506"/>
      <c r="M11" s="5506"/>
      <c r="N11" s="5506"/>
      <c r="O11" s="5506"/>
      <c r="P11" s="5507"/>
      <c r="Q11" s="5512"/>
      <c r="R11" s="5513"/>
      <c r="S11" s="5513"/>
      <c r="T11" s="5514"/>
      <c r="U11" s="5515"/>
      <c r="V11" s="403"/>
      <c r="W11" s="80"/>
      <c r="X11" s="104"/>
      <c r="Y11" s="105"/>
      <c r="Z11" s="105"/>
      <c r="AA11" s="80"/>
      <c r="AB11" s="80"/>
      <c r="AC11" s="80"/>
      <c r="AD11" s="80"/>
      <c r="AE11" s="80"/>
      <c r="AF11" s="80"/>
    </row>
    <row r="12" spans="1:32" ht="15.5" x14ac:dyDescent="0.35">
      <c r="A12" s="5500"/>
      <c r="B12" s="5501"/>
      <c r="C12" s="5502"/>
      <c r="D12" s="5503"/>
      <c r="E12" s="5503"/>
      <c r="F12" s="5503"/>
      <c r="G12" s="5503"/>
      <c r="H12" s="5503"/>
      <c r="I12" s="5504"/>
      <c r="J12" s="5505"/>
      <c r="K12" s="5506"/>
      <c r="L12" s="5506"/>
      <c r="M12" s="5506"/>
      <c r="N12" s="5506"/>
      <c r="O12" s="5506"/>
      <c r="P12" s="5507"/>
      <c r="Q12" s="5508"/>
      <c r="R12" s="5509"/>
      <c r="S12" s="5509"/>
      <c r="T12" s="5510"/>
      <c r="U12" s="5511"/>
      <c r="V12" s="397"/>
      <c r="W12" s="66"/>
      <c r="X12" s="103"/>
      <c r="Y12" s="93"/>
      <c r="Z12" s="93"/>
      <c r="AA12" s="66"/>
      <c r="AB12" s="66"/>
      <c r="AC12" s="66"/>
      <c r="AD12" s="66"/>
      <c r="AE12" s="66"/>
      <c r="AF12" s="66"/>
    </row>
    <row r="13" spans="1:32" ht="22.5" customHeight="1" x14ac:dyDescent="0.35">
      <c r="A13" s="5500" t="s">
        <v>1061</v>
      </c>
      <c r="B13" s="5501"/>
      <c r="C13" s="5502"/>
      <c r="D13" s="5503"/>
      <c r="E13" s="5503"/>
      <c r="F13" s="5503"/>
      <c r="G13" s="5503"/>
      <c r="H13" s="5503"/>
      <c r="I13" s="5504"/>
      <c r="J13" s="5505"/>
      <c r="K13" s="5506"/>
      <c r="L13" s="5506"/>
      <c r="M13" s="5506"/>
      <c r="N13" s="5506"/>
      <c r="O13" s="5506"/>
      <c r="P13" s="5507"/>
      <c r="Q13" s="5508"/>
      <c r="R13" s="5509"/>
      <c r="S13" s="5509"/>
      <c r="T13" s="5510"/>
      <c r="U13" s="5511"/>
      <c r="V13" s="397"/>
      <c r="W13" s="66"/>
      <c r="X13" s="103"/>
      <c r="Y13" s="93"/>
      <c r="Z13" s="93"/>
      <c r="AA13" s="66"/>
      <c r="AB13" s="66"/>
      <c r="AC13" s="66"/>
      <c r="AD13" s="66"/>
      <c r="AE13" s="66"/>
      <c r="AF13" s="66"/>
    </row>
    <row r="14" spans="1:32" ht="25.5" customHeight="1" x14ac:dyDescent="0.35">
      <c r="A14" s="5500" t="s">
        <v>1062</v>
      </c>
      <c r="B14" s="5501"/>
      <c r="C14" s="5502"/>
      <c r="D14" s="5503"/>
      <c r="E14" s="5503"/>
      <c r="F14" s="5503"/>
      <c r="G14" s="5503"/>
      <c r="H14" s="5503"/>
      <c r="I14" s="5504"/>
      <c r="J14" s="5505"/>
      <c r="K14" s="5506"/>
      <c r="L14" s="5506"/>
      <c r="M14" s="5506"/>
      <c r="N14" s="5506"/>
      <c r="O14" s="5506"/>
      <c r="P14" s="5507"/>
      <c r="Q14" s="5508"/>
      <c r="R14" s="5509"/>
      <c r="S14" s="5509"/>
      <c r="T14" s="5510"/>
      <c r="U14" s="5511"/>
      <c r="V14" s="397"/>
      <c r="W14" s="66"/>
      <c r="X14" s="103"/>
      <c r="Y14" s="93"/>
      <c r="Z14" s="93"/>
      <c r="AA14" s="66"/>
      <c r="AB14" s="66"/>
      <c r="AC14" s="66"/>
      <c r="AD14" s="66"/>
      <c r="AE14" s="66"/>
      <c r="AF14" s="66"/>
    </row>
    <row r="15" spans="1:32" ht="24" customHeight="1" x14ac:dyDescent="0.35">
      <c r="A15" s="5500" t="s">
        <v>1063</v>
      </c>
      <c r="B15" s="5501"/>
      <c r="C15" s="5502"/>
      <c r="D15" s="5503"/>
      <c r="E15" s="5503"/>
      <c r="F15" s="5503"/>
      <c r="G15" s="5503"/>
      <c r="H15" s="5503"/>
      <c r="I15" s="5504"/>
      <c r="J15" s="5505"/>
      <c r="K15" s="5506"/>
      <c r="L15" s="5506"/>
      <c r="M15" s="5506"/>
      <c r="N15" s="5506"/>
      <c r="O15" s="5506"/>
      <c r="P15" s="5507"/>
      <c r="Q15" s="5508"/>
      <c r="R15" s="5509"/>
      <c r="S15" s="5509"/>
      <c r="T15" s="5510"/>
      <c r="U15" s="5511"/>
      <c r="V15" s="397"/>
      <c r="W15" s="66"/>
      <c r="X15" s="103"/>
      <c r="Y15" s="93"/>
      <c r="Z15" s="93"/>
      <c r="AA15" s="66"/>
      <c r="AB15" s="66"/>
      <c r="AC15" s="66"/>
      <c r="AD15" s="66"/>
      <c r="AE15" s="66"/>
      <c r="AF15" s="66"/>
    </row>
    <row r="16" spans="1:32" s="373" customFormat="1" ht="33.75" customHeight="1" x14ac:dyDescent="0.35">
      <c r="A16" s="5500"/>
      <c r="B16" s="5501"/>
      <c r="C16" s="5502"/>
      <c r="D16" s="5503"/>
      <c r="E16" s="5503"/>
      <c r="F16" s="5503"/>
      <c r="G16" s="5503"/>
      <c r="H16" s="5503"/>
      <c r="I16" s="5504"/>
      <c r="J16" s="5505"/>
      <c r="K16" s="5506"/>
      <c r="L16" s="5506"/>
      <c r="M16" s="5506"/>
      <c r="N16" s="5506"/>
      <c r="O16" s="5506"/>
      <c r="P16" s="5507"/>
      <c r="Q16" s="5512"/>
      <c r="R16" s="5513"/>
      <c r="S16" s="5513"/>
      <c r="T16" s="5514"/>
      <c r="U16" s="5515"/>
      <c r="V16" s="407"/>
      <c r="W16" s="322"/>
      <c r="X16" s="323"/>
      <c r="Y16" s="323"/>
      <c r="Z16" s="323"/>
      <c r="AA16" s="322"/>
      <c r="AB16" s="322"/>
      <c r="AC16" s="322"/>
      <c r="AD16" s="322"/>
      <c r="AE16" s="322"/>
      <c r="AF16" s="322"/>
    </row>
    <row r="17" spans="1:32" ht="33.75" customHeight="1" x14ac:dyDescent="0.35">
      <c r="A17" s="5500"/>
      <c r="B17" s="5501"/>
      <c r="C17" s="5502"/>
      <c r="D17" s="5503"/>
      <c r="E17" s="5503"/>
      <c r="F17" s="5503"/>
      <c r="G17" s="5503"/>
      <c r="H17" s="5503"/>
      <c r="I17" s="5504"/>
      <c r="J17" s="5505"/>
      <c r="K17" s="5506"/>
      <c r="L17" s="5506"/>
      <c r="M17" s="5506"/>
      <c r="N17" s="5506"/>
      <c r="O17" s="5506"/>
      <c r="P17" s="5507"/>
      <c r="Q17" s="5508"/>
      <c r="R17" s="5509"/>
      <c r="S17" s="5509"/>
      <c r="T17" s="5510"/>
      <c r="U17" s="5511"/>
      <c r="V17" s="397"/>
      <c r="W17" s="66"/>
      <c r="X17" s="103"/>
      <c r="Y17" s="93"/>
      <c r="Z17" s="93"/>
      <c r="AA17" s="66"/>
      <c r="AB17" s="66"/>
      <c r="AC17" s="66"/>
      <c r="AD17" s="66"/>
      <c r="AE17" s="66"/>
      <c r="AF17" s="66"/>
    </row>
    <row r="18" spans="1:32" ht="31.5" customHeight="1" x14ac:dyDescent="0.35">
      <c r="A18" s="5500"/>
      <c r="B18" s="5501"/>
      <c r="C18" s="5502"/>
      <c r="D18" s="5503"/>
      <c r="E18" s="5503"/>
      <c r="F18" s="5503"/>
      <c r="G18" s="5503"/>
      <c r="H18" s="5503"/>
      <c r="I18" s="5504"/>
      <c r="J18" s="5505"/>
      <c r="K18" s="5506"/>
      <c r="L18" s="5506"/>
      <c r="M18" s="5506"/>
      <c r="N18" s="5506"/>
      <c r="O18" s="5506"/>
      <c r="P18" s="5507"/>
      <c r="Q18" s="5508"/>
      <c r="R18" s="5509"/>
      <c r="S18" s="5509"/>
      <c r="T18" s="5510"/>
      <c r="U18" s="5511"/>
      <c r="V18" s="397"/>
      <c r="W18" s="66"/>
      <c r="X18" s="103"/>
      <c r="Y18" s="93"/>
      <c r="Z18" s="93"/>
      <c r="AA18" s="66"/>
      <c r="AB18" s="66"/>
      <c r="AC18" s="66"/>
      <c r="AD18" s="66"/>
      <c r="AE18" s="66"/>
      <c r="AF18" s="66"/>
    </row>
    <row r="19" spans="1:32" ht="15.5" x14ac:dyDescent="0.35">
      <c r="A19" s="5500"/>
      <c r="B19" s="5501"/>
      <c r="C19" s="5502"/>
      <c r="D19" s="5503"/>
      <c r="E19" s="5503"/>
      <c r="F19" s="5503"/>
      <c r="G19" s="5503"/>
      <c r="H19" s="5503"/>
      <c r="I19" s="5504"/>
      <c r="J19" s="5505"/>
      <c r="K19" s="5506"/>
      <c r="L19" s="5506"/>
      <c r="M19" s="5506"/>
      <c r="N19" s="5506"/>
      <c r="O19" s="5506"/>
      <c r="P19" s="5507"/>
      <c r="Q19" s="5508"/>
      <c r="R19" s="5509"/>
      <c r="S19" s="5509"/>
      <c r="T19" s="5510"/>
      <c r="U19" s="5511"/>
      <c r="V19" s="397"/>
      <c r="W19" s="66"/>
      <c r="X19" s="103"/>
      <c r="Y19" s="93"/>
      <c r="Z19" s="93"/>
      <c r="AA19" s="66"/>
      <c r="AB19" s="66"/>
      <c r="AC19" s="66"/>
      <c r="AD19" s="66"/>
      <c r="AE19" s="66"/>
      <c r="AF19" s="66"/>
    </row>
    <row r="20" spans="1:32" ht="15.5" x14ac:dyDescent="0.35">
      <c r="A20" s="5500"/>
      <c r="B20" s="5501"/>
      <c r="C20" s="5502"/>
      <c r="D20" s="5503"/>
      <c r="E20" s="5503"/>
      <c r="F20" s="5503"/>
      <c r="G20" s="5503"/>
      <c r="H20" s="5503"/>
      <c r="I20" s="5504"/>
      <c r="J20" s="5505"/>
      <c r="K20" s="5506"/>
      <c r="L20" s="5506"/>
      <c r="M20" s="5506"/>
      <c r="N20" s="5506"/>
      <c r="O20" s="5506"/>
      <c r="P20" s="5507"/>
      <c r="Q20" s="5508"/>
      <c r="R20" s="5509"/>
      <c r="S20" s="5509"/>
      <c r="T20" s="5510"/>
      <c r="U20" s="5511"/>
      <c r="V20" s="397"/>
      <c r="W20" s="66"/>
      <c r="X20" s="103"/>
      <c r="Y20" s="93"/>
      <c r="Z20" s="93"/>
      <c r="AA20" s="66"/>
      <c r="AB20" s="66"/>
      <c r="AC20" s="66"/>
      <c r="AD20" s="66"/>
      <c r="AE20" s="66"/>
      <c r="AF20" s="66"/>
    </row>
    <row r="21" spans="1:32" ht="16" thickBot="1" x14ac:dyDescent="0.4">
      <c r="A21" s="5490"/>
      <c r="B21" s="5491"/>
      <c r="C21" s="5492"/>
      <c r="D21" s="5493"/>
      <c r="E21" s="5493"/>
      <c r="F21" s="5493"/>
      <c r="G21" s="5493"/>
      <c r="H21" s="5493"/>
      <c r="I21" s="5491"/>
      <c r="J21" s="5494"/>
      <c r="K21" s="5494"/>
      <c r="L21" s="5494"/>
      <c r="M21" s="5494"/>
      <c r="N21" s="5494"/>
      <c r="O21" s="5494"/>
      <c r="P21" s="5495"/>
      <c r="Q21" s="5496"/>
      <c r="R21" s="5497"/>
      <c r="S21" s="5497"/>
      <c r="T21" s="5498"/>
      <c r="U21" s="5499"/>
      <c r="V21" s="397"/>
      <c r="W21" s="66"/>
      <c r="X21" s="103"/>
      <c r="Y21" s="93"/>
      <c r="Z21" s="93"/>
      <c r="AA21" s="66"/>
      <c r="AB21" s="66"/>
      <c r="AC21" s="66"/>
      <c r="AD21" s="66"/>
      <c r="AE21" s="66"/>
      <c r="AF21" s="66"/>
    </row>
    <row r="22" spans="1:32" ht="15" thickTop="1" x14ac:dyDescent="0.35">
      <c r="A22" s="470"/>
      <c r="B22" s="470"/>
      <c r="C22" s="470"/>
      <c r="D22" s="470"/>
      <c r="E22" s="470"/>
      <c r="F22" s="470"/>
      <c r="G22" s="470"/>
      <c r="H22" s="470"/>
      <c r="I22" s="470"/>
      <c r="J22" s="470"/>
      <c r="K22" s="470"/>
      <c r="L22" s="470"/>
      <c r="M22" s="470"/>
      <c r="N22" s="470"/>
      <c r="O22" s="470"/>
      <c r="P22" s="470"/>
      <c r="Q22" s="463"/>
      <c r="R22" s="463"/>
      <c r="S22" s="64"/>
      <c r="T22" s="64"/>
      <c r="U22" s="64"/>
      <c r="V22" s="397"/>
      <c r="W22" s="66"/>
      <c r="X22" s="103"/>
      <c r="Y22" s="93"/>
      <c r="Z22" s="93"/>
      <c r="AA22" s="66"/>
      <c r="AB22" s="66"/>
      <c r="AC22" s="66"/>
      <c r="AD22" s="66"/>
      <c r="AE22" s="66"/>
      <c r="AF22" s="66"/>
    </row>
    <row r="23" spans="1:32" ht="15" thickBot="1" x14ac:dyDescent="0.4">
      <c r="A23" s="64"/>
      <c r="B23" s="64"/>
      <c r="C23" s="64"/>
      <c r="D23" s="64"/>
      <c r="E23" s="64"/>
      <c r="F23" s="64"/>
      <c r="G23" s="64"/>
      <c r="H23" s="64"/>
      <c r="I23" s="64"/>
      <c r="J23" s="64"/>
      <c r="K23" s="64"/>
      <c r="L23" s="64"/>
      <c r="M23" s="64"/>
      <c r="N23" s="64"/>
      <c r="O23" s="64"/>
      <c r="P23" s="64"/>
      <c r="Q23" s="64"/>
      <c r="R23" s="64"/>
      <c r="S23" s="64"/>
      <c r="T23" s="64"/>
      <c r="U23" s="64"/>
      <c r="V23" s="64"/>
    </row>
    <row r="24" spans="1:32" ht="19.5" thickTop="1" thickBot="1" x14ac:dyDescent="0.4">
      <c r="A24" s="3883" t="s">
        <v>10</v>
      </c>
      <c r="B24" s="3884"/>
      <c r="C24" s="3884"/>
      <c r="D24" s="3884"/>
      <c r="E24" s="3884"/>
      <c r="F24" s="3884"/>
      <c r="G24" s="3884"/>
      <c r="H24" s="3884"/>
      <c r="I24" s="3884"/>
      <c r="J24" s="3884"/>
      <c r="K24" s="3884"/>
      <c r="L24" s="30"/>
      <c r="M24" s="3725" t="s">
        <v>748</v>
      </c>
      <c r="N24" s="3726"/>
      <c r="O24" s="3727"/>
      <c r="P24" s="31"/>
      <c r="Q24" s="64"/>
      <c r="R24" s="64"/>
      <c r="S24" s="64"/>
      <c r="T24" s="64"/>
      <c r="U24" s="64"/>
      <c r="V24" s="64"/>
    </row>
    <row r="25" spans="1:32" ht="19.5" customHeight="1" x14ac:dyDescent="0.35">
      <c r="A25" s="3876" t="s">
        <v>1083</v>
      </c>
      <c r="B25" s="3877"/>
      <c r="C25" s="3877"/>
      <c r="D25" s="3877"/>
      <c r="E25" s="3877"/>
      <c r="F25" s="3877"/>
      <c r="G25" s="3877"/>
      <c r="H25" s="3877"/>
      <c r="I25" s="3877"/>
      <c r="J25" s="3877"/>
      <c r="K25" s="5398"/>
      <c r="L25" s="33"/>
      <c r="M25" s="3750" t="s">
        <v>756</v>
      </c>
      <c r="N25" s="3751"/>
      <c r="O25" s="3752"/>
      <c r="P25" s="33"/>
      <c r="Q25" s="64"/>
      <c r="R25" s="64"/>
      <c r="S25" s="64"/>
      <c r="T25" s="64"/>
      <c r="U25" s="64"/>
      <c r="V25" s="64"/>
    </row>
    <row r="26" spans="1:32" ht="19.5" customHeight="1" x14ac:dyDescent="0.35">
      <c r="A26" s="3878"/>
      <c r="B26" s="3879"/>
      <c r="C26" s="3879"/>
      <c r="D26" s="3879"/>
      <c r="E26" s="3879"/>
      <c r="F26" s="3879"/>
      <c r="G26" s="3879"/>
      <c r="H26" s="3879"/>
      <c r="I26" s="3879"/>
      <c r="J26" s="3879"/>
      <c r="K26" s="5399"/>
      <c r="L26" s="33"/>
      <c r="M26" s="3753"/>
      <c r="N26" s="3754"/>
      <c r="O26" s="3755"/>
      <c r="P26" s="33"/>
      <c r="Q26" s="64"/>
      <c r="R26" s="64"/>
      <c r="S26" s="64"/>
      <c r="T26" s="64"/>
      <c r="U26" s="64"/>
      <c r="V26" s="64"/>
    </row>
    <row r="27" spans="1:32" ht="19.5" customHeight="1" x14ac:dyDescent="0.35">
      <c r="A27" s="3878"/>
      <c r="B27" s="3879"/>
      <c r="C27" s="3879"/>
      <c r="D27" s="3879"/>
      <c r="E27" s="3879"/>
      <c r="F27" s="3879"/>
      <c r="G27" s="3879"/>
      <c r="H27" s="3879"/>
      <c r="I27" s="3879"/>
      <c r="J27" s="3879"/>
      <c r="K27" s="5399"/>
      <c r="L27" s="33"/>
      <c r="M27" s="3753"/>
      <c r="N27" s="3754"/>
      <c r="O27" s="3755"/>
      <c r="P27" s="33"/>
      <c r="Q27" s="64"/>
      <c r="R27" s="64"/>
      <c r="S27" s="64"/>
      <c r="T27" s="64"/>
      <c r="U27" s="64"/>
      <c r="V27" s="64"/>
    </row>
    <row r="28" spans="1:32" ht="19.5" customHeight="1" x14ac:dyDescent="0.35">
      <c r="A28" s="3878"/>
      <c r="B28" s="3879"/>
      <c r="C28" s="3879"/>
      <c r="D28" s="3879"/>
      <c r="E28" s="3879"/>
      <c r="F28" s="3879"/>
      <c r="G28" s="3879"/>
      <c r="H28" s="3879"/>
      <c r="I28" s="3879"/>
      <c r="J28" s="3879"/>
      <c r="K28" s="5399"/>
      <c r="L28" s="33"/>
      <c r="M28" s="3753"/>
      <c r="N28" s="3754"/>
      <c r="O28" s="3755"/>
      <c r="P28" s="33"/>
      <c r="Q28" s="64"/>
      <c r="R28" s="64"/>
      <c r="S28" s="64"/>
      <c r="T28" s="64"/>
      <c r="U28" s="64"/>
      <c r="V28" s="64"/>
    </row>
    <row r="29" spans="1:32" ht="15" customHeight="1" thickBot="1" x14ac:dyDescent="0.4">
      <c r="A29" s="3878"/>
      <c r="B29" s="3879"/>
      <c r="C29" s="3879"/>
      <c r="D29" s="3879"/>
      <c r="E29" s="3879"/>
      <c r="F29" s="3879"/>
      <c r="G29" s="3879"/>
      <c r="H29" s="3879"/>
      <c r="I29" s="3879"/>
      <c r="J29" s="3879"/>
      <c r="K29" s="5399"/>
      <c r="L29" s="64"/>
      <c r="M29" s="5334"/>
      <c r="N29" s="5468"/>
      <c r="O29" s="5469"/>
      <c r="P29" s="64"/>
      <c r="Q29" s="64"/>
      <c r="R29" s="64"/>
      <c r="S29" s="64"/>
      <c r="T29" s="64"/>
      <c r="U29" s="64"/>
      <c r="V29" s="64"/>
    </row>
    <row r="30" spans="1:32" x14ac:dyDescent="0.35">
      <c r="A30" s="3878"/>
      <c r="B30" s="3879"/>
      <c r="C30" s="3879"/>
      <c r="D30" s="3879"/>
      <c r="E30" s="3879"/>
      <c r="F30" s="3879"/>
      <c r="G30" s="3879"/>
      <c r="H30" s="3879"/>
      <c r="I30" s="3879"/>
      <c r="J30" s="3879"/>
      <c r="K30" s="5399"/>
      <c r="L30" s="31"/>
      <c r="M30" s="64"/>
      <c r="N30" s="64"/>
      <c r="O30" s="64"/>
      <c r="P30" s="31"/>
      <c r="Q30" s="64"/>
      <c r="R30" s="64"/>
      <c r="S30" s="64"/>
      <c r="T30" s="64"/>
      <c r="U30" s="64"/>
      <c r="V30" s="64"/>
    </row>
    <row r="31" spans="1:32" ht="19.5" customHeight="1" x14ac:dyDescent="0.35">
      <c r="A31" s="3878"/>
      <c r="B31" s="3879"/>
      <c r="C31" s="3879"/>
      <c r="D31" s="3879"/>
      <c r="E31" s="3879"/>
      <c r="F31" s="3879"/>
      <c r="G31" s="3879"/>
      <c r="H31" s="3879"/>
      <c r="I31" s="3879"/>
      <c r="J31" s="3879"/>
      <c r="K31" s="5399"/>
      <c r="L31" s="31"/>
      <c r="M31" s="64"/>
      <c r="N31" s="64"/>
      <c r="O31" s="64"/>
      <c r="P31" s="31"/>
      <c r="Q31" s="64"/>
      <c r="R31" s="64"/>
      <c r="S31" s="64"/>
      <c r="T31" s="64"/>
      <c r="U31" s="64"/>
      <c r="V31" s="64"/>
    </row>
    <row r="32" spans="1:32" ht="19.5" customHeight="1" thickBot="1" x14ac:dyDescent="0.4">
      <c r="A32" s="3880"/>
      <c r="B32" s="3881"/>
      <c r="C32" s="3881"/>
      <c r="D32" s="3881"/>
      <c r="E32" s="3881"/>
      <c r="F32" s="3881"/>
      <c r="G32" s="3881"/>
      <c r="H32" s="3881"/>
      <c r="I32" s="3881"/>
      <c r="J32" s="3881"/>
      <c r="K32" s="5400"/>
      <c r="L32" s="31"/>
      <c r="M32" s="64"/>
      <c r="N32" s="64"/>
      <c r="O32" s="64"/>
      <c r="P32" s="31"/>
      <c r="Q32" s="64"/>
      <c r="R32" s="64"/>
      <c r="S32" s="64"/>
      <c r="T32" s="64"/>
      <c r="U32" s="64"/>
      <c r="V32" s="64"/>
    </row>
    <row r="33" spans="1:22" ht="19.5" customHeight="1" thickTop="1" thickBot="1" x14ac:dyDescent="0.4">
      <c r="A33" s="64"/>
      <c r="B33" s="64"/>
      <c r="C33" s="64"/>
      <c r="D33" s="64"/>
      <c r="E33" s="64"/>
      <c r="F33" s="64"/>
      <c r="G33" s="64"/>
      <c r="H33" s="64"/>
      <c r="I33" s="64"/>
      <c r="J33" s="64"/>
      <c r="K33" s="757"/>
      <c r="L33" s="31"/>
      <c r="M33" s="64"/>
      <c r="N33" s="64"/>
      <c r="O33" s="64"/>
      <c r="P33" s="31"/>
      <c r="Q33" s="64"/>
      <c r="R33" s="64"/>
      <c r="S33" s="64"/>
      <c r="T33" s="64"/>
      <c r="U33" s="64"/>
      <c r="V33" s="64"/>
    </row>
    <row r="34" spans="1:22" ht="19.5" customHeight="1" thickTop="1" thickBot="1" x14ac:dyDescent="0.4">
      <c r="A34" s="3883" t="s">
        <v>11</v>
      </c>
      <c r="B34" s="5470"/>
      <c r="C34" s="5470"/>
      <c r="D34" s="5470"/>
      <c r="E34" s="5470"/>
      <c r="F34" s="5470"/>
      <c r="G34" s="5470"/>
      <c r="H34" s="5470"/>
      <c r="I34" s="5470"/>
      <c r="J34" s="5470"/>
      <c r="K34" s="5471"/>
      <c r="L34" s="31"/>
      <c r="M34" s="3725" t="s">
        <v>748</v>
      </c>
      <c r="N34" s="3726"/>
      <c r="O34" s="3727"/>
      <c r="P34" s="31"/>
      <c r="Q34" s="64"/>
      <c r="R34" s="64"/>
      <c r="S34" s="64"/>
      <c r="T34" s="64"/>
      <c r="U34" s="64"/>
      <c r="V34" s="64"/>
    </row>
    <row r="35" spans="1:22" ht="18.75" customHeight="1" x14ac:dyDescent="0.35">
      <c r="A35" s="3876" t="s">
        <v>1082</v>
      </c>
      <c r="B35" s="3877"/>
      <c r="C35" s="3877"/>
      <c r="D35" s="3877"/>
      <c r="E35" s="3877"/>
      <c r="F35" s="3877"/>
      <c r="G35" s="3877"/>
      <c r="H35" s="3877"/>
      <c r="I35" s="3877"/>
      <c r="J35" s="3877"/>
      <c r="K35" s="5398"/>
      <c r="L35" s="64"/>
      <c r="M35" s="3750" t="s">
        <v>754</v>
      </c>
      <c r="N35" s="3751"/>
      <c r="O35" s="3752"/>
      <c r="P35" s="64"/>
      <c r="Q35" s="64"/>
      <c r="R35" s="64"/>
      <c r="S35" s="64"/>
      <c r="T35" s="64"/>
      <c r="U35" s="64"/>
      <c r="V35" s="64"/>
    </row>
    <row r="36" spans="1:22" x14ac:dyDescent="0.35">
      <c r="A36" s="3878"/>
      <c r="B36" s="3879"/>
      <c r="C36" s="3879"/>
      <c r="D36" s="3879"/>
      <c r="E36" s="3879"/>
      <c r="F36" s="3879"/>
      <c r="G36" s="3879"/>
      <c r="H36" s="3879"/>
      <c r="I36" s="3879"/>
      <c r="J36" s="3879"/>
      <c r="K36" s="5399"/>
      <c r="L36" s="64"/>
      <c r="M36" s="3753"/>
      <c r="N36" s="3754"/>
      <c r="O36" s="3755"/>
      <c r="P36" s="64"/>
      <c r="Q36" s="64"/>
      <c r="R36" s="64"/>
      <c r="S36" s="64"/>
      <c r="T36" s="64"/>
      <c r="U36" s="64"/>
      <c r="V36" s="64"/>
    </row>
    <row r="37" spans="1:22" ht="15" customHeight="1" x14ac:dyDescent="0.35">
      <c r="A37" s="3878"/>
      <c r="B37" s="3879"/>
      <c r="C37" s="3879"/>
      <c r="D37" s="3879"/>
      <c r="E37" s="3879"/>
      <c r="F37" s="3879"/>
      <c r="G37" s="3879"/>
      <c r="H37" s="3879"/>
      <c r="I37" s="3879"/>
      <c r="J37" s="3879"/>
      <c r="K37" s="5399"/>
      <c r="L37" s="64"/>
      <c r="M37" s="3753"/>
      <c r="N37" s="3754"/>
      <c r="O37" s="3755"/>
      <c r="P37" s="64"/>
      <c r="Q37" s="64"/>
      <c r="R37" s="64"/>
      <c r="S37" s="64"/>
      <c r="T37" s="64"/>
      <c r="U37" s="64"/>
      <c r="V37" s="64"/>
    </row>
    <row r="38" spans="1:22" x14ac:dyDescent="0.35">
      <c r="A38" s="3878"/>
      <c r="B38" s="3879"/>
      <c r="C38" s="3879"/>
      <c r="D38" s="3879"/>
      <c r="E38" s="3879"/>
      <c r="F38" s="3879"/>
      <c r="G38" s="3879"/>
      <c r="H38" s="3879"/>
      <c r="I38" s="3879"/>
      <c r="J38" s="3879"/>
      <c r="K38" s="5399"/>
      <c r="L38" s="64"/>
      <c r="M38" s="3753"/>
      <c r="N38" s="3754"/>
      <c r="O38" s="3755"/>
      <c r="P38" s="64"/>
      <c r="Q38" s="64"/>
      <c r="R38" s="64"/>
      <c r="S38" s="64"/>
      <c r="T38" s="64"/>
      <c r="U38" s="64"/>
      <c r="V38" s="64"/>
    </row>
    <row r="39" spans="1:22" ht="15" customHeight="1" x14ac:dyDescent="0.35">
      <c r="A39" s="3878"/>
      <c r="B39" s="3879"/>
      <c r="C39" s="3879"/>
      <c r="D39" s="3879"/>
      <c r="E39" s="3879"/>
      <c r="F39" s="3879"/>
      <c r="G39" s="3879"/>
      <c r="H39" s="3879"/>
      <c r="I39" s="3879"/>
      <c r="J39" s="3879"/>
      <c r="K39" s="5399"/>
      <c r="L39" s="64"/>
      <c r="M39" s="3753"/>
      <c r="N39" s="3754"/>
      <c r="O39" s="3755"/>
      <c r="P39" s="64"/>
      <c r="Q39" s="64"/>
      <c r="R39" s="64"/>
      <c r="S39" s="64"/>
      <c r="T39" s="64"/>
      <c r="U39" s="64"/>
      <c r="V39" s="64"/>
    </row>
    <row r="40" spans="1:22" x14ac:dyDescent="0.35">
      <c r="A40" s="3878"/>
      <c r="B40" s="3879"/>
      <c r="C40" s="3879"/>
      <c r="D40" s="3879"/>
      <c r="E40" s="3879"/>
      <c r="F40" s="3879"/>
      <c r="G40" s="3879"/>
      <c r="H40" s="3879"/>
      <c r="I40" s="3879"/>
      <c r="J40" s="3879"/>
      <c r="K40" s="5399"/>
      <c r="L40" s="64"/>
      <c r="M40" s="3753"/>
      <c r="N40" s="3754"/>
      <c r="O40" s="3755"/>
      <c r="P40" s="64"/>
      <c r="Q40" s="64"/>
      <c r="R40" s="64"/>
      <c r="S40" s="64"/>
      <c r="T40" s="64"/>
      <c r="U40" s="64"/>
      <c r="V40" s="64"/>
    </row>
    <row r="41" spans="1:22" ht="15" thickBot="1" x14ac:dyDescent="0.4">
      <c r="A41" s="3878"/>
      <c r="B41" s="3879"/>
      <c r="C41" s="3879"/>
      <c r="D41" s="3879"/>
      <c r="E41" s="3879"/>
      <c r="F41" s="3879"/>
      <c r="G41" s="3879"/>
      <c r="H41" s="3879"/>
      <c r="I41" s="3879"/>
      <c r="J41" s="3879"/>
      <c r="K41" s="5399"/>
      <c r="L41" s="64"/>
      <c r="M41" s="5334"/>
      <c r="N41" s="5468"/>
      <c r="O41" s="5469"/>
      <c r="P41" s="64"/>
      <c r="Q41" s="64"/>
      <c r="R41" s="64"/>
      <c r="S41" s="64"/>
      <c r="T41" s="64"/>
      <c r="U41" s="64"/>
      <c r="V41" s="64"/>
    </row>
    <row r="42" spans="1:22" ht="15" thickBot="1" x14ac:dyDescent="0.4">
      <c r="A42" s="3880"/>
      <c r="B42" s="3881"/>
      <c r="C42" s="3881"/>
      <c r="D42" s="3881"/>
      <c r="E42" s="3881"/>
      <c r="F42" s="3881"/>
      <c r="G42" s="3881"/>
      <c r="H42" s="3881"/>
      <c r="I42" s="3881"/>
      <c r="J42" s="3881"/>
      <c r="K42" s="5400"/>
      <c r="L42" s="64"/>
      <c r="M42" s="64"/>
      <c r="N42" s="64"/>
      <c r="O42" s="64"/>
      <c r="P42" s="64"/>
      <c r="Q42" s="64"/>
      <c r="R42" s="64"/>
      <c r="S42" s="64"/>
      <c r="T42" s="64"/>
      <c r="U42" s="64"/>
      <c r="V42" s="64"/>
    </row>
    <row r="43" spans="1:22" ht="15" thickTop="1" x14ac:dyDescent="0.35">
      <c r="A43" s="64"/>
      <c r="B43" s="64"/>
      <c r="C43" s="64"/>
      <c r="D43" s="64"/>
      <c r="E43" s="64"/>
      <c r="F43" s="64"/>
      <c r="G43" s="64"/>
      <c r="H43" s="64"/>
      <c r="I43" s="64"/>
      <c r="J43" s="64"/>
      <c r="K43" s="64"/>
      <c r="L43" s="64"/>
      <c r="M43" s="64"/>
      <c r="N43" s="64"/>
      <c r="O43" s="64"/>
      <c r="P43" s="64"/>
      <c r="Q43" s="64"/>
      <c r="R43" s="64"/>
      <c r="S43" s="64"/>
      <c r="T43" s="64"/>
      <c r="U43" s="64"/>
      <c r="V43" s="64"/>
    </row>
  </sheetData>
  <mergeCells count="80">
    <mergeCell ref="D3:G3"/>
    <mergeCell ref="D1:G1"/>
    <mergeCell ref="I1:J1"/>
    <mergeCell ref="L1:M1"/>
    <mergeCell ref="D2:G2"/>
    <mergeCell ref="I2:J2"/>
    <mergeCell ref="L2:M2"/>
    <mergeCell ref="A4:G4"/>
    <mergeCell ref="H4:P4"/>
    <mergeCell ref="A5:B5"/>
    <mergeCell ref="C5:P5"/>
    <mergeCell ref="A6:B6"/>
    <mergeCell ref="C6:I6"/>
    <mergeCell ref="J6:P6"/>
    <mergeCell ref="Q6:U6"/>
    <mergeCell ref="A7:U7"/>
    <mergeCell ref="A8:B8"/>
    <mergeCell ref="C8:I8"/>
    <mergeCell ref="J8:P8"/>
    <mergeCell ref="Q8:U8"/>
    <mergeCell ref="A9:B9"/>
    <mergeCell ref="C9:I9"/>
    <mergeCell ref="J9:P9"/>
    <mergeCell ref="Q9:U9"/>
    <mergeCell ref="A10:B10"/>
    <mergeCell ref="C10:I10"/>
    <mergeCell ref="J10:P10"/>
    <mergeCell ref="Q10:U10"/>
    <mergeCell ref="A11:B11"/>
    <mergeCell ref="C11:I11"/>
    <mergeCell ref="J11:P11"/>
    <mergeCell ref="Q11:U11"/>
    <mergeCell ref="A12:B12"/>
    <mergeCell ref="C12:I12"/>
    <mergeCell ref="J12:P12"/>
    <mergeCell ref="Q12:U12"/>
    <mergeCell ref="A13:B13"/>
    <mergeCell ref="C13:I13"/>
    <mergeCell ref="J13:P13"/>
    <mergeCell ref="Q13:U13"/>
    <mergeCell ref="A14:B14"/>
    <mergeCell ref="C14:I14"/>
    <mergeCell ref="J14:P14"/>
    <mergeCell ref="Q14:U14"/>
    <mergeCell ref="A15:B15"/>
    <mergeCell ref="C15:I15"/>
    <mergeCell ref="J15:P15"/>
    <mergeCell ref="Q15:U15"/>
    <mergeCell ref="A16:B16"/>
    <mergeCell ref="C16:I16"/>
    <mergeCell ref="J16:P16"/>
    <mergeCell ref="Q16:U16"/>
    <mergeCell ref="A17:B17"/>
    <mergeCell ref="C17:I17"/>
    <mergeCell ref="J17:P17"/>
    <mergeCell ref="Q17:U17"/>
    <mergeCell ref="A18:B18"/>
    <mergeCell ref="C18:I18"/>
    <mergeCell ref="J18:P18"/>
    <mergeCell ref="Q18:U18"/>
    <mergeCell ref="A19:B19"/>
    <mergeCell ref="C19:I19"/>
    <mergeCell ref="J19:P19"/>
    <mergeCell ref="Q19:U19"/>
    <mergeCell ref="A20:B20"/>
    <mergeCell ref="C20:I20"/>
    <mergeCell ref="J20:P20"/>
    <mergeCell ref="Q20:U20"/>
    <mergeCell ref="A21:B21"/>
    <mergeCell ref="C21:I21"/>
    <mergeCell ref="J21:P21"/>
    <mergeCell ref="Q21:U21"/>
    <mergeCell ref="A24:K24"/>
    <mergeCell ref="M24:O24"/>
    <mergeCell ref="A25:K32"/>
    <mergeCell ref="M25:O29"/>
    <mergeCell ref="A34:K34"/>
    <mergeCell ref="M34:O34"/>
    <mergeCell ref="A35:K42"/>
    <mergeCell ref="M35:O4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400-000000000000}">
      <formula1>AvancementTheme</formula1>
    </dataValidation>
  </dataValidations>
  <hyperlinks>
    <hyperlink ref="O1" location="DPDV_03CR2" display="PdV" xr:uid="{00000000-0004-0000-3400-000000000000}"/>
    <hyperlink ref="P1" location="DKPI_03CR2" display="KPI's" xr:uid="{00000000-0004-0000-3400-000001000000}"/>
  </hyperlink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46">
    <tabColor rgb="FFFFC000"/>
    <pageSetUpPr fitToPage="1"/>
  </sheetPr>
  <dimension ref="A1:Z70"/>
  <sheetViews>
    <sheetView showGridLines="0" showRowColHeaders="0" zoomScaleNormal="100" workbookViewId="0">
      <selection activeCell="E7" sqref="E7:H7"/>
    </sheetView>
  </sheetViews>
  <sheetFormatPr baseColWidth="10" defaultColWidth="11.453125" defaultRowHeight="14.5" x14ac:dyDescent="0.35"/>
  <cols>
    <col min="1" max="3" width="11.453125" style="60"/>
    <col min="4" max="4" width="11.453125" style="60" customWidth="1"/>
    <col min="5" max="11" width="11.453125" style="60"/>
    <col min="12" max="12" width="12.81640625" style="60" customWidth="1"/>
    <col min="13" max="13" width="11.453125" style="60" customWidth="1"/>
    <col min="14" max="14" width="11.453125" style="60"/>
    <col min="15" max="15" width="11.453125" style="60" customWidth="1"/>
    <col min="16" max="16384" width="11.453125" style="60"/>
  </cols>
  <sheetData>
    <row r="1" spans="1:25"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458"/>
    </row>
    <row r="2" spans="1:25" s="58" customFormat="1" ht="18" customHeight="1" x14ac:dyDescent="0.35">
      <c r="A2" s="393"/>
      <c r="B2" s="393"/>
      <c r="C2" s="393"/>
      <c r="D2" s="3342" t="str">
        <f>NomClient</f>
        <v xml:space="preserve">EQUINIX </v>
      </c>
      <c r="E2" s="3343"/>
      <c r="F2" s="3343"/>
      <c r="G2" s="3344"/>
      <c r="H2" s="393"/>
      <c r="I2" s="3345" t="s">
        <v>406</v>
      </c>
      <c r="J2" s="3346"/>
      <c r="K2" s="393"/>
      <c r="L2" s="3347">
        <v>42420.648935185185</v>
      </c>
      <c r="M2" s="3348"/>
      <c r="N2" s="394"/>
      <c r="O2" s="451">
        <f>IF(LEN(DPDV_03CP2)&gt;0,LEN(DPDV_03CP2),0-PDV_NBmini)</f>
        <v>98</v>
      </c>
      <c r="P2" s="451">
        <f>IF(LEN(DKPI_03CP2)&gt;0,LEN(DKPI_03CP2),0-KPI_NBmini)</f>
        <v>105</v>
      </c>
      <c r="Q2" s="459"/>
    </row>
    <row r="3" spans="1:25"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5" s="1" customFormat="1" ht="24.75" customHeight="1" thickBot="1" x14ac:dyDescent="0.4">
      <c r="A4" s="3507" t="str">
        <f>Parametre!B25 &amp; "  : "</f>
        <v xml:space="preserve">Positionnement de l'offre  : </v>
      </c>
      <c r="B4" s="3507"/>
      <c r="C4" s="3507"/>
      <c r="D4" s="3507"/>
      <c r="E4" s="3507"/>
      <c r="F4" s="3507"/>
      <c r="G4" s="3507"/>
      <c r="H4" s="3505" t="str">
        <f xml:space="preserve"> "Concurence pour " &amp; NomProd2</f>
        <v>Concurence pour ASEMA</v>
      </c>
      <c r="I4" s="3505"/>
      <c r="J4" s="3505"/>
      <c r="K4" s="3505"/>
      <c r="L4" s="3505"/>
      <c r="M4" s="3505"/>
      <c r="N4" s="3505"/>
      <c r="O4" s="3505"/>
      <c r="P4" s="3506"/>
      <c r="Q4" s="444"/>
    </row>
    <row r="5" spans="1:25" s="193" customFormat="1" ht="24" customHeight="1" x14ac:dyDescent="0.35">
      <c r="A5" s="3438" t="s">
        <v>14</v>
      </c>
      <c r="B5" s="3438"/>
      <c r="C5" s="3439" t="s">
        <v>563</v>
      </c>
      <c r="D5" s="3439"/>
      <c r="E5" s="3439"/>
      <c r="F5" s="3439"/>
      <c r="G5" s="3439"/>
      <c r="H5" s="3439"/>
      <c r="I5" s="3439"/>
      <c r="J5" s="3439"/>
      <c r="K5" s="3439"/>
      <c r="L5" s="3439"/>
      <c r="M5" s="3439"/>
      <c r="N5" s="3439"/>
      <c r="O5" s="3439"/>
      <c r="P5" s="3439"/>
      <c r="Q5" s="460"/>
    </row>
    <row r="6" spans="1:25" ht="1.5" customHeight="1" thickBot="1" x14ac:dyDescent="0.4">
      <c r="A6" s="3697" t="s">
        <v>20</v>
      </c>
      <c r="B6" s="3697"/>
      <c r="C6" s="3508"/>
      <c r="D6" s="3508"/>
      <c r="E6" s="3508"/>
      <c r="F6" s="3508"/>
      <c r="G6" s="3508"/>
      <c r="H6" s="3508"/>
      <c r="I6" s="3508"/>
      <c r="J6" s="3508"/>
      <c r="K6" s="3508"/>
      <c r="L6" s="3508"/>
      <c r="M6" s="3508"/>
      <c r="N6" s="3508"/>
      <c r="O6" s="3508"/>
      <c r="P6" s="3508"/>
      <c r="Q6" s="64"/>
    </row>
    <row r="7" spans="1:25" s="106" customFormat="1" ht="39.75" customHeight="1" thickTop="1" x14ac:dyDescent="0.35">
      <c r="A7" s="3868" t="str">
        <f xml:space="preserve"> "Compétiteurs " &amp; AnReference</f>
        <v>Compétiteurs 2018</v>
      </c>
      <c r="B7" s="3869"/>
      <c r="C7" s="3869"/>
      <c r="D7" s="3869"/>
      <c r="E7" s="3865" t="s">
        <v>325</v>
      </c>
      <c r="F7" s="3865"/>
      <c r="G7" s="3865"/>
      <c r="H7" s="3865"/>
      <c r="I7" s="3865" t="s">
        <v>326</v>
      </c>
      <c r="J7" s="3865"/>
      <c r="K7" s="3865"/>
      <c r="L7" s="3865"/>
      <c r="M7" s="3865" t="str">
        <f xml:space="preserve"> "Points Forts &amp; Singularités 
Offre " &amp; NomProd1</f>
        <v>Points Forts &amp; Singularités 
Offre EQUINIX</v>
      </c>
      <c r="N7" s="3865"/>
      <c r="O7" s="3865"/>
      <c r="P7" s="3866"/>
      <c r="Q7" s="758"/>
      <c r="W7" s="107"/>
      <c r="X7" s="107"/>
      <c r="Y7" s="107"/>
    </row>
    <row r="8" spans="1:25" s="66" customFormat="1" ht="8.25" customHeight="1" x14ac:dyDescent="0.35">
      <c r="A8" s="3853"/>
      <c r="B8" s="3854"/>
      <c r="C8" s="3854"/>
      <c r="D8" s="3854"/>
      <c r="E8" s="3854"/>
      <c r="F8" s="3854"/>
      <c r="G8" s="3854"/>
      <c r="H8" s="3854"/>
      <c r="I8" s="3854"/>
      <c r="J8" s="3854"/>
      <c r="K8" s="3854"/>
      <c r="L8" s="3854"/>
      <c r="M8" s="3854"/>
      <c r="N8" s="3854"/>
      <c r="O8" s="3854"/>
      <c r="P8" s="3855"/>
      <c r="Q8" s="397"/>
      <c r="W8" s="103"/>
      <c r="X8" s="103"/>
      <c r="Y8" s="103"/>
    </row>
    <row r="9" spans="1:25" ht="74.25" customHeight="1" x14ac:dyDescent="0.35">
      <c r="A9" s="5530"/>
      <c r="B9" s="3867"/>
      <c r="C9" s="3867"/>
      <c r="D9" s="3867"/>
      <c r="E9" s="3887"/>
      <c r="F9" s="3887"/>
      <c r="G9" s="3887"/>
      <c r="H9" s="3887"/>
      <c r="I9" s="3856"/>
      <c r="J9" s="3856"/>
      <c r="K9" s="3856"/>
      <c r="L9" s="3856"/>
      <c r="M9" s="3856"/>
      <c r="N9" s="3856"/>
      <c r="O9" s="3856"/>
      <c r="P9" s="3857"/>
      <c r="Q9" s="64"/>
      <c r="W9" s="101"/>
      <c r="X9" s="101"/>
      <c r="Y9" s="101"/>
    </row>
    <row r="10" spans="1:25" ht="8.25" customHeight="1" x14ac:dyDescent="0.35">
      <c r="A10" s="3853"/>
      <c r="B10" s="3854"/>
      <c r="C10" s="3854"/>
      <c r="D10" s="3854"/>
      <c r="E10" s="3854"/>
      <c r="F10" s="3854"/>
      <c r="G10" s="3854"/>
      <c r="H10" s="3854"/>
      <c r="I10" s="3854"/>
      <c r="J10" s="3854"/>
      <c r="K10" s="3854"/>
      <c r="L10" s="3854"/>
      <c r="M10" s="3854"/>
      <c r="N10" s="3854"/>
      <c r="O10" s="3854"/>
      <c r="P10" s="3855"/>
      <c r="Q10" s="64"/>
      <c r="W10" s="101"/>
      <c r="X10" s="101"/>
      <c r="Y10" s="101"/>
    </row>
    <row r="11" spans="1:25" ht="108" customHeight="1" x14ac:dyDescent="0.35">
      <c r="A11" s="5530"/>
      <c r="B11" s="3867"/>
      <c r="C11" s="3867"/>
      <c r="D11" s="3867"/>
      <c r="E11" s="3856"/>
      <c r="F11" s="3856"/>
      <c r="G11" s="3856"/>
      <c r="H11" s="3856"/>
      <c r="I11" s="3856"/>
      <c r="J11" s="3856"/>
      <c r="K11" s="3856"/>
      <c r="L11" s="3856"/>
      <c r="M11" s="3856"/>
      <c r="N11" s="3856"/>
      <c r="O11" s="3856"/>
      <c r="P11" s="3857"/>
      <c r="Q11" s="64"/>
      <c r="W11" s="101"/>
      <c r="X11" s="101"/>
      <c r="Y11" s="101"/>
    </row>
    <row r="12" spans="1:25" s="66" customFormat="1" ht="8.25" customHeight="1" x14ac:dyDescent="0.35">
      <c r="A12" s="3853"/>
      <c r="B12" s="3854"/>
      <c r="C12" s="3854"/>
      <c r="D12" s="3854"/>
      <c r="E12" s="3854"/>
      <c r="F12" s="3854"/>
      <c r="G12" s="3854"/>
      <c r="H12" s="3854"/>
      <c r="I12" s="3854"/>
      <c r="J12" s="3854"/>
      <c r="K12" s="3854"/>
      <c r="L12" s="3854"/>
      <c r="M12" s="3854"/>
      <c r="N12" s="3854"/>
      <c r="O12" s="3854"/>
      <c r="P12" s="3855"/>
      <c r="Q12" s="397"/>
      <c r="W12" s="103"/>
      <c r="X12" s="103"/>
      <c r="Y12" s="103"/>
    </row>
    <row r="13" spans="1:25" ht="52.5" customHeight="1" x14ac:dyDescent="0.35">
      <c r="A13" s="5530"/>
      <c r="B13" s="3867"/>
      <c r="C13" s="3867"/>
      <c r="D13" s="3867"/>
      <c r="E13" s="3856"/>
      <c r="F13" s="3856"/>
      <c r="G13" s="3856"/>
      <c r="H13" s="3856"/>
      <c r="I13" s="3856"/>
      <c r="J13" s="3856"/>
      <c r="K13" s="3856"/>
      <c r="L13" s="3856"/>
      <c r="M13" s="3856"/>
      <c r="N13" s="3856"/>
      <c r="O13" s="3856"/>
      <c r="P13" s="3857"/>
      <c r="Q13" s="64"/>
      <c r="W13" s="101"/>
      <c r="X13" s="101"/>
      <c r="Y13" s="101"/>
    </row>
    <row r="14" spans="1:25" ht="8.25" customHeight="1" x14ac:dyDescent="0.35">
      <c r="A14" s="3853"/>
      <c r="B14" s="3854"/>
      <c r="C14" s="3854"/>
      <c r="D14" s="3854"/>
      <c r="E14" s="3854"/>
      <c r="F14" s="3854"/>
      <c r="G14" s="3854"/>
      <c r="H14" s="3854"/>
      <c r="I14" s="3854"/>
      <c r="J14" s="3854"/>
      <c r="K14" s="3854"/>
      <c r="L14" s="3854"/>
      <c r="M14" s="3854"/>
      <c r="N14" s="3854"/>
      <c r="O14" s="3854"/>
      <c r="P14" s="3855"/>
      <c r="Q14" s="64"/>
      <c r="W14" s="101"/>
      <c r="X14" s="101"/>
      <c r="Y14" s="101"/>
    </row>
    <row r="15" spans="1:25" ht="37.5" customHeight="1" x14ac:dyDescent="0.35">
      <c r="A15" s="5530"/>
      <c r="B15" s="3867"/>
      <c r="C15" s="3867"/>
      <c r="D15" s="3867"/>
      <c r="E15" s="3856"/>
      <c r="F15" s="3856"/>
      <c r="G15" s="3856"/>
      <c r="H15" s="3856"/>
      <c r="I15" s="3856"/>
      <c r="J15" s="3856"/>
      <c r="K15" s="3856"/>
      <c r="L15" s="3856"/>
      <c r="M15" s="3856"/>
      <c r="N15" s="3856"/>
      <c r="O15" s="3856"/>
      <c r="P15" s="3857"/>
      <c r="Q15" s="64"/>
      <c r="W15" s="101"/>
      <c r="X15" s="101"/>
      <c r="Y15" s="101"/>
    </row>
    <row r="16" spans="1:25" ht="8.25" customHeight="1" x14ac:dyDescent="0.35">
      <c r="A16" s="3853"/>
      <c r="B16" s="3854"/>
      <c r="C16" s="3854"/>
      <c r="D16" s="3854"/>
      <c r="E16" s="3854"/>
      <c r="F16" s="3854"/>
      <c r="G16" s="3854"/>
      <c r="H16" s="3854"/>
      <c r="I16" s="3854"/>
      <c r="J16" s="3854"/>
      <c r="K16" s="3854"/>
      <c r="L16" s="3854"/>
      <c r="M16" s="3854"/>
      <c r="N16" s="3854"/>
      <c r="O16" s="3854"/>
      <c r="P16" s="3855"/>
      <c r="Q16" s="64"/>
      <c r="W16" s="101"/>
      <c r="X16" s="101"/>
      <c r="Y16" s="101"/>
    </row>
    <row r="17" spans="1:25" ht="57" customHeight="1" x14ac:dyDescent="0.35">
      <c r="A17" s="5530"/>
      <c r="B17" s="3867"/>
      <c r="C17" s="3867"/>
      <c r="D17" s="3867"/>
      <c r="E17" s="3856"/>
      <c r="F17" s="3856"/>
      <c r="G17" s="3856"/>
      <c r="H17" s="3856"/>
      <c r="I17" s="3856"/>
      <c r="J17" s="3856"/>
      <c r="K17" s="3856"/>
      <c r="L17" s="3856"/>
      <c r="M17" s="3856"/>
      <c r="N17" s="3856"/>
      <c r="O17" s="3856"/>
      <c r="P17" s="3857"/>
      <c r="Q17" s="64"/>
      <c r="W17" s="101"/>
      <c r="X17" s="101"/>
      <c r="Y17" s="101"/>
    </row>
    <row r="18" spans="1:25" ht="8.25" customHeight="1" x14ac:dyDescent="0.35">
      <c r="A18" s="3853"/>
      <c r="B18" s="3854"/>
      <c r="C18" s="3854"/>
      <c r="D18" s="3854"/>
      <c r="E18" s="3854"/>
      <c r="F18" s="3854"/>
      <c r="G18" s="3854"/>
      <c r="H18" s="3854"/>
      <c r="I18" s="3854"/>
      <c r="J18" s="3854"/>
      <c r="K18" s="3854"/>
      <c r="L18" s="3854"/>
      <c r="M18" s="3854"/>
      <c r="N18" s="3854"/>
      <c r="O18" s="3854"/>
      <c r="P18" s="3855"/>
      <c r="Q18" s="64"/>
      <c r="W18" s="101"/>
      <c r="X18" s="101"/>
      <c r="Y18" s="101"/>
    </row>
    <row r="19" spans="1:25" ht="45" customHeight="1" x14ac:dyDescent="0.35">
      <c r="A19" s="5530"/>
      <c r="B19" s="3867"/>
      <c r="C19" s="3867"/>
      <c r="D19" s="3867"/>
      <c r="E19" s="3856"/>
      <c r="F19" s="3856"/>
      <c r="G19" s="3856"/>
      <c r="H19" s="3856"/>
      <c r="I19" s="3856"/>
      <c r="J19" s="3856"/>
      <c r="K19" s="3856"/>
      <c r="L19" s="3856"/>
      <c r="M19" s="3856"/>
      <c r="N19" s="3856"/>
      <c r="O19" s="3856"/>
      <c r="P19" s="3857"/>
      <c r="Q19" s="64"/>
      <c r="W19" s="101"/>
      <c r="X19" s="101"/>
      <c r="Y19" s="101"/>
    </row>
    <row r="20" spans="1:25" ht="8.25" customHeight="1" x14ac:dyDescent="0.35">
      <c r="A20" s="3853"/>
      <c r="B20" s="3854"/>
      <c r="C20" s="3854"/>
      <c r="D20" s="3854"/>
      <c r="E20" s="3854"/>
      <c r="F20" s="3854"/>
      <c r="G20" s="3854"/>
      <c r="H20" s="3854"/>
      <c r="I20" s="3854"/>
      <c r="J20" s="3854"/>
      <c r="K20" s="3854"/>
      <c r="L20" s="3854"/>
      <c r="M20" s="3854"/>
      <c r="N20" s="3854"/>
      <c r="O20" s="3854"/>
      <c r="P20" s="3855"/>
      <c r="Q20" s="64"/>
      <c r="W20" s="101"/>
      <c r="X20" s="101"/>
      <c r="Y20" s="101"/>
    </row>
    <row r="21" spans="1:25" ht="56.25" customHeight="1" x14ac:dyDescent="0.35">
      <c r="A21" s="5530"/>
      <c r="B21" s="3867"/>
      <c r="C21" s="3867"/>
      <c r="D21" s="3867"/>
      <c r="E21" s="3856"/>
      <c r="F21" s="3856"/>
      <c r="G21" s="3856"/>
      <c r="H21" s="3856"/>
      <c r="I21" s="3856"/>
      <c r="J21" s="3856"/>
      <c r="K21" s="3856"/>
      <c r="L21" s="3856"/>
      <c r="M21" s="3856"/>
      <c r="N21" s="3856"/>
      <c r="O21" s="3856"/>
      <c r="P21" s="3857"/>
      <c r="Q21" s="64"/>
      <c r="W21" s="101"/>
      <c r="X21" s="101"/>
      <c r="Y21" s="101"/>
    </row>
    <row r="22" spans="1:25" ht="8.25" customHeight="1" x14ac:dyDescent="0.35">
      <c r="A22" s="3853"/>
      <c r="B22" s="3854"/>
      <c r="C22" s="3854"/>
      <c r="D22" s="3854"/>
      <c r="E22" s="3854"/>
      <c r="F22" s="3854"/>
      <c r="G22" s="3854"/>
      <c r="H22" s="3854"/>
      <c r="I22" s="3854"/>
      <c r="J22" s="3854"/>
      <c r="K22" s="3854"/>
      <c r="L22" s="3854"/>
      <c r="M22" s="3854"/>
      <c r="N22" s="3854"/>
      <c r="O22" s="3854"/>
      <c r="P22" s="3855"/>
      <c r="Q22" s="64"/>
      <c r="W22" s="101"/>
      <c r="X22" s="101"/>
      <c r="Y22" s="101"/>
    </row>
    <row r="23" spans="1:25" ht="53.25" customHeight="1" x14ac:dyDescent="0.35">
      <c r="A23" s="5530"/>
      <c r="B23" s="3867"/>
      <c r="C23" s="3867"/>
      <c r="D23" s="3867"/>
      <c r="E23" s="3856"/>
      <c r="F23" s="3856"/>
      <c r="G23" s="3856"/>
      <c r="H23" s="3856"/>
      <c r="I23" s="3856"/>
      <c r="J23" s="3856"/>
      <c r="K23" s="3856"/>
      <c r="L23" s="3856"/>
      <c r="M23" s="3856"/>
      <c r="N23" s="3856"/>
      <c r="O23" s="3856"/>
      <c r="P23" s="3857"/>
      <c r="Q23" s="64"/>
      <c r="W23" s="101"/>
      <c r="X23" s="101"/>
      <c r="Y23" s="101"/>
    </row>
    <row r="24" spans="1:25" ht="8.25" customHeight="1" x14ac:dyDescent="0.35">
      <c r="A24" s="3853"/>
      <c r="B24" s="3854"/>
      <c r="C24" s="3854"/>
      <c r="D24" s="3854"/>
      <c r="E24" s="3854"/>
      <c r="F24" s="3854"/>
      <c r="G24" s="3854"/>
      <c r="H24" s="3854"/>
      <c r="I24" s="3854"/>
      <c r="J24" s="3854"/>
      <c r="K24" s="3854"/>
      <c r="L24" s="3854"/>
      <c r="M24" s="3854"/>
      <c r="N24" s="3854"/>
      <c r="O24" s="3854"/>
      <c r="P24" s="3855"/>
      <c r="Q24" s="64"/>
      <c r="W24" s="101"/>
      <c r="X24" s="101"/>
      <c r="Y24" s="101"/>
    </row>
    <row r="25" spans="1:25" ht="15" customHeight="1" x14ac:dyDescent="0.35">
      <c r="A25" s="5530"/>
      <c r="B25" s="3867"/>
      <c r="C25" s="3867"/>
      <c r="D25" s="3867"/>
      <c r="E25" s="3856"/>
      <c r="F25" s="3856"/>
      <c r="G25" s="3856"/>
      <c r="H25" s="3856"/>
      <c r="I25" s="3867"/>
      <c r="J25" s="3867"/>
      <c r="K25" s="3867"/>
      <c r="L25" s="3867"/>
      <c r="M25" s="3856"/>
      <c r="N25" s="3856"/>
      <c r="O25" s="3856"/>
      <c r="P25" s="3857"/>
      <c r="Q25" s="64"/>
      <c r="W25" s="101"/>
      <c r="X25" s="101"/>
      <c r="Y25" s="101"/>
    </row>
    <row r="26" spans="1:25" ht="8.25" customHeight="1" x14ac:dyDescent="0.35">
      <c r="A26" s="3853"/>
      <c r="B26" s="3854"/>
      <c r="C26" s="3854"/>
      <c r="D26" s="3854"/>
      <c r="E26" s="3854"/>
      <c r="F26" s="3854"/>
      <c r="G26" s="3854"/>
      <c r="H26" s="3854"/>
      <c r="I26" s="3854"/>
      <c r="J26" s="3854"/>
      <c r="K26" s="3854"/>
      <c r="L26" s="3854"/>
      <c r="M26" s="3854"/>
      <c r="N26" s="3854"/>
      <c r="O26" s="3854"/>
      <c r="P26" s="3855"/>
      <c r="Q26" s="64"/>
      <c r="W26" s="101"/>
      <c r="X26" s="101"/>
      <c r="Y26" s="101"/>
    </row>
    <row r="27" spans="1:25" ht="56.25" customHeight="1" x14ac:dyDescent="0.35">
      <c r="A27" s="5530"/>
      <c r="B27" s="3867"/>
      <c r="C27" s="3867"/>
      <c r="D27" s="3867"/>
      <c r="E27" s="3856"/>
      <c r="F27" s="3856"/>
      <c r="G27" s="3856"/>
      <c r="H27" s="3856"/>
      <c r="I27" s="3856"/>
      <c r="J27" s="3856"/>
      <c r="K27" s="3856"/>
      <c r="L27" s="3856"/>
      <c r="M27" s="3856"/>
      <c r="N27" s="3856"/>
      <c r="O27" s="3856"/>
      <c r="P27" s="3857"/>
      <c r="Q27" s="64"/>
      <c r="W27" s="101"/>
      <c r="X27" s="101"/>
      <c r="Y27" s="101"/>
    </row>
    <row r="28" spans="1:25" ht="8.25" customHeight="1" x14ac:dyDescent="0.35">
      <c r="A28" s="3853"/>
      <c r="B28" s="3854"/>
      <c r="C28" s="3854"/>
      <c r="D28" s="3854"/>
      <c r="E28" s="3854"/>
      <c r="F28" s="3854"/>
      <c r="G28" s="3854"/>
      <c r="H28" s="3854"/>
      <c r="I28" s="3854"/>
      <c r="J28" s="3854"/>
      <c r="K28" s="3854"/>
      <c r="L28" s="3854"/>
      <c r="M28" s="3854"/>
      <c r="N28" s="3854"/>
      <c r="O28" s="3854"/>
      <c r="P28" s="3855"/>
      <c r="Q28" s="64"/>
      <c r="W28" s="101"/>
      <c r="X28" s="101"/>
      <c r="Y28" s="101"/>
    </row>
    <row r="29" spans="1:25" ht="15" customHeight="1" x14ac:dyDescent="0.35">
      <c r="A29" s="5530"/>
      <c r="B29" s="3867"/>
      <c r="C29" s="3867"/>
      <c r="D29" s="3867"/>
      <c r="E29" s="3856"/>
      <c r="F29" s="3856"/>
      <c r="G29" s="3856"/>
      <c r="H29" s="3856"/>
      <c r="I29" s="3856"/>
      <c r="J29" s="3856"/>
      <c r="K29" s="3856"/>
      <c r="L29" s="3856"/>
      <c r="M29" s="3856"/>
      <c r="N29" s="3856"/>
      <c r="O29" s="3856"/>
      <c r="P29" s="3857"/>
      <c r="Q29" s="64"/>
      <c r="W29" s="101"/>
      <c r="X29" s="101"/>
      <c r="Y29" s="101"/>
    </row>
    <row r="30" spans="1:25" s="71" customFormat="1" ht="8.25" customHeight="1" thickBot="1" x14ac:dyDescent="0.4">
      <c r="A30" s="3870"/>
      <c r="B30" s="3871"/>
      <c r="C30" s="3871"/>
      <c r="D30" s="3871"/>
      <c r="E30" s="3871"/>
      <c r="F30" s="3871"/>
      <c r="G30" s="3871"/>
      <c r="H30" s="3871"/>
      <c r="I30" s="3871"/>
      <c r="J30" s="3871"/>
      <c r="K30" s="3871"/>
      <c r="L30" s="3871"/>
      <c r="M30" s="3871"/>
      <c r="N30" s="3871"/>
      <c r="O30" s="3871"/>
      <c r="P30" s="3872"/>
      <c r="Q30" s="759"/>
    </row>
    <row r="31" spans="1:25" s="71" customFormat="1" ht="15" customHeight="1" thickTop="1" x14ac:dyDescent="0.35">
      <c r="A31" s="760"/>
      <c r="B31" s="760"/>
      <c r="C31" s="760"/>
      <c r="D31" s="760"/>
      <c r="E31" s="461"/>
      <c r="F31" s="461"/>
      <c r="G31" s="461"/>
      <c r="H31" s="461"/>
      <c r="I31" s="461"/>
      <c r="J31" s="461"/>
      <c r="K31" s="461"/>
      <c r="L31" s="461"/>
      <c r="M31" s="461"/>
      <c r="N31" s="461"/>
      <c r="O31" s="461"/>
      <c r="P31" s="461"/>
      <c r="Q31" s="759"/>
    </row>
    <row r="32" spans="1:25" s="71" customFormat="1" ht="15" customHeight="1" thickBot="1" x14ac:dyDescent="0.4">
      <c r="A32" s="760"/>
      <c r="B32" s="760"/>
      <c r="C32" s="760"/>
      <c r="D32" s="760"/>
      <c r="E32" s="461"/>
      <c r="F32" s="461"/>
      <c r="G32" s="461"/>
      <c r="H32" s="461"/>
      <c r="I32" s="461"/>
      <c r="J32" s="461"/>
      <c r="K32" s="461"/>
      <c r="L32" s="461"/>
      <c r="M32" s="461"/>
      <c r="N32" s="461"/>
      <c r="O32" s="461"/>
      <c r="P32" s="461"/>
      <c r="Q32" s="759"/>
    </row>
    <row r="33" spans="1:26" s="106" customFormat="1" ht="22.5" customHeight="1" thickTop="1" thickBot="1" x14ac:dyDescent="0.4">
      <c r="A33" s="3931"/>
      <c r="B33" s="3931"/>
      <c r="C33" s="3931"/>
      <c r="D33" s="3931"/>
      <c r="E33" s="3918" t="str">
        <f>"Situation " &amp; AnReference</f>
        <v>Situation 2018</v>
      </c>
      <c r="F33" s="3919"/>
      <c r="G33" s="3919"/>
      <c r="H33" s="3919"/>
      <c r="I33" s="3919"/>
      <c r="J33" s="3919"/>
      <c r="K33" s="3919" t="str">
        <f>"Projection en " &amp; AnReference + NbAnVision</f>
        <v>Projection en 2021</v>
      </c>
      <c r="L33" s="3919"/>
      <c r="M33" s="3919"/>
      <c r="N33" s="3919"/>
      <c r="O33" s="3919"/>
      <c r="P33" s="3920"/>
      <c r="Q33" s="761"/>
      <c r="X33" s="107"/>
      <c r="Y33" s="107"/>
      <c r="Z33" s="107"/>
    </row>
    <row r="34" spans="1:26" s="108" customFormat="1" ht="36" customHeight="1" thickTop="1" thickBot="1" x14ac:dyDescent="0.4">
      <c r="A34" s="3924" t="str">
        <f>"Compétiteur "</f>
        <v xml:space="preserve">Compétiteur </v>
      </c>
      <c r="B34" s="3925"/>
      <c r="C34" s="3925"/>
      <c r="D34" s="3926"/>
      <c r="E34" s="3932" t="s">
        <v>322</v>
      </c>
      <c r="F34" s="3933"/>
      <c r="G34" s="3933" t="s">
        <v>324</v>
      </c>
      <c r="H34" s="3933"/>
      <c r="I34" s="3933" t="s">
        <v>323</v>
      </c>
      <c r="J34" s="3936"/>
      <c r="K34" s="3932" t="s">
        <v>322</v>
      </c>
      <c r="L34" s="3933"/>
      <c r="M34" s="3933" t="s">
        <v>324</v>
      </c>
      <c r="N34" s="3933"/>
      <c r="O34" s="3933" t="s">
        <v>323</v>
      </c>
      <c r="P34" s="3934"/>
      <c r="Q34" s="762"/>
      <c r="U34" s="109"/>
      <c r="V34" s="109"/>
      <c r="W34" s="109"/>
    </row>
    <row r="35" spans="1:26" ht="14.25" customHeight="1" x14ac:dyDescent="0.35">
      <c r="A35" s="3921"/>
      <c r="B35" s="3922"/>
      <c r="C35" s="3922"/>
      <c r="D35" s="3923"/>
      <c r="E35" s="3927"/>
      <c r="F35" s="3928"/>
      <c r="G35" s="3929"/>
      <c r="H35" s="3929"/>
      <c r="I35" s="3928"/>
      <c r="J35" s="3935"/>
      <c r="K35" s="3927"/>
      <c r="L35" s="3928"/>
      <c r="M35" s="3929"/>
      <c r="N35" s="3929"/>
      <c r="O35" s="3928"/>
      <c r="P35" s="3930"/>
      <c r="Q35" s="763"/>
      <c r="R35" s="3888"/>
      <c r="S35" s="3888"/>
      <c r="X35" s="101"/>
      <c r="Y35" s="101"/>
      <c r="Z35" s="101"/>
    </row>
    <row r="36" spans="1:26" ht="14.25" customHeight="1" x14ac:dyDescent="0.35">
      <c r="A36" s="3860"/>
      <c r="B36" s="3861"/>
      <c r="C36" s="3861"/>
      <c r="D36" s="3862"/>
      <c r="E36" s="3863"/>
      <c r="F36" s="3858"/>
      <c r="G36" s="5529"/>
      <c r="H36" s="5529"/>
      <c r="I36" s="3858"/>
      <c r="J36" s="3859"/>
      <c r="K36" s="3863"/>
      <c r="L36" s="3858"/>
      <c r="M36" s="5529"/>
      <c r="N36" s="5529"/>
      <c r="O36" s="3858"/>
      <c r="P36" s="3873"/>
      <c r="Q36" s="763"/>
      <c r="R36" s="3888"/>
      <c r="S36" s="3888"/>
      <c r="X36" s="101"/>
      <c r="Y36" s="101"/>
      <c r="Z36" s="101"/>
    </row>
    <row r="37" spans="1:26" ht="14.25" customHeight="1" x14ac:dyDescent="0.35">
      <c r="A37" s="3860"/>
      <c r="B37" s="3861"/>
      <c r="C37" s="3861"/>
      <c r="D37" s="3862"/>
      <c r="E37" s="3863"/>
      <c r="F37" s="3858"/>
      <c r="G37" s="5529"/>
      <c r="H37" s="5529"/>
      <c r="I37" s="3858"/>
      <c r="J37" s="3859"/>
      <c r="K37" s="3863"/>
      <c r="L37" s="3858"/>
      <c r="M37" s="5529"/>
      <c r="N37" s="5529"/>
      <c r="O37" s="3858"/>
      <c r="P37" s="3873"/>
      <c r="Q37" s="763"/>
      <c r="R37" s="3888"/>
      <c r="S37" s="3888"/>
      <c r="X37" s="101"/>
      <c r="Y37" s="101"/>
      <c r="Z37" s="101"/>
    </row>
    <row r="38" spans="1:26" ht="14.25" customHeight="1" x14ac:dyDescent="0.35">
      <c r="A38" s="3860"/>
      <c r="B38" s="3861"/>
      <c r="C38" s="3861"/>
      <c r="D38" s="3862"/>
      <c r="E38" s="3863"/>
      <c r="F38" s="3858"/>
      <c r="G38" s="5529"/>
      <c r="H38" s="5529"/>
      <c r="I38" s="3858"/>
      <c r="J38" s="3859"/>
      <c r="K38" s="3863"/>
      <c r="L38" s="3858"/>
      <c r="M38" s="5529"/>
      <c r="N38" s="5529"/>
      <c r="O38" s="3858"/>
      <c r="P38" s="3873"/>
      <c r="Q38" s="763"/>
      <c r="R38" s="3888"/>
      <c r="S38" s="3888"/>
      <c r="X38" s="101"/>
      <c r="Y38" s="101"/>
      <c r="Z38" s="101"/>
    </row>
    <row r="39" spans="1:26" ht="14.25" customHeight="1" x14ac:dyDescent="0.35">
      <c r="A39" s="3860"/>
      <c r="B39" s="3861"/>
      <c r="C39" s="3861"/>
      <c r="D39" s="3862"/>
      <c r="E39" s="3863"/>
      <c r="F39" s="3858"/>
      <c r="G39" s="5529"/>
      <c r="H39" s="5529"/>
      <c r="I39" s="3858"/>
      <c r="J39" s="3859"/>
      <c r="K39" s="3863"/>
      <c r="L39" s="3858"/>
      <c r="M39" s="5529"/>
      <c r="N39" s="5529"/>
      <c r="O39" s="3858"/>
      <c r="P39" s="3873"/>
      <c r="Q39" s="763"/>
      <c r="R39" s="3888"/>
      <c r="S39" s="3888"/>
      <c r="X39" s="101"/>
      <c r="Y39" s="101"/>
      <c r="Z39" s="101"/>
    </row>
    <row r="40" spans="1:26" ht="14.25" customHeight="1" x14ac:dyDescent="0.35">
      <c r="A40" s="3860"/>
      <c r="B40" s="3861"/>
      <c r="C40" s="3861"/>
      <c r="D40" s="3862"/>
      <c r="E40" s="3863"/>
      <c r="F40" s="3858"/>
      <c r="G40" s="5529"/>
      <c r="H40" s="5529"/>
      <c r="I40" s="3858"/>
      <c r="J40" s="3859"/>
      <c r="K40" s="3863"/>
      <c r="L40" s="3858"/>
      <c r="M40" s="5529"/>
      <c r="N40" s="5529"/>
      <c r="O40" s="3858"/>
      <c r="P40" s="3873"/>
      <c r="Q40" s="763"/>
      <c r="R40" s="3888"/>
      <c r="S40" s="3888"/>
      <c r="X40" s="101"/>
      <c r="Y40" s="101"/>
      <c r="Z40" s="101"/>
    </row>
    <row r="41" spans="1:26" ht="14.25" customHeight="1" x14ac:dyDescent="0.35">
      <c r="A41" s="3860"/>
      <c r="B41" s="3861"/>
      <c r="C41" s="3861"/>
      <c r="D41" s="3862"/>
      <c r="E41" s="3863"/>
      <c r="F41" s="3858"/>
      <c r="G41" s="5529"/>
      <c r="H41" s="5529"/>
      <c r="I41" s="3858"/>
      <c r="J41" s="3859"/>
      <c r="K41" s="3863"/>
      <c r="L41" s="3858"/>
      <c r="M41" s="5529"/>
      <c r="N41" s="5529"/>
      <c r="O41" s="3858"/>
      <c r="P41" s="3873"/>
      <c r="Q41" s="763"/>
      <c r="R41" s="3888"/>
      <c r="S41" s="3888"/>
      <c r="X41" s="101"/>
      <c r="Y41" s="101"/>
      <c r="Z41" s="101"/>
    </row>
    <row r="42" spans="1:26" ht="14.25" customHeight="1" x14ac:dyDescent="0.35">
      <c r="A42" s="3860"/>
      <c r="B42" s="3861"/>
      <c r="C42" s="3861"/>
      <c r="D42" s="3862"/>
      <c r="E42" s="3863"/>
      <c r="F42" s="3858"/>
      <c r="G42" s="5529"/>
      <c r="H42" s="5529"/>
      <c r="I42" s="3858"/>
      <c r="J42" s="3859"/>
      <c r="K42" s="3863"/>
      <c r="L42" s="3858"/>
      <c r="M42" s="5529"/>
      <c r="N42" s="5529"/>
      <c r="O42" s="3858"/>
      <c r="P42" s="3873"/>
      <c r="Q42" s="763"/>
      <c r="R42" s="3888"/>
      <c r="S42" s="3888"/>
      <c r="X42" s="101"/>
      <c r="Y42" s="101"/>
      <c r="Z42" s="101"/>
    </row>
    <row r="43" spans="1:26" ht="14.25" customHeight="1" x14ac:dyDescent="0.35">
      <c r="A43" s="3860"/>
      <c r="B43" s="3861"/>
      <c r="C43" s="3861"/>
      <c r="D43" s="3862"/>
      <c r="E43" s="3863"/>
      <c r="F43" s="3858"/>
      <c r="G43" s="5529"/>
      <c r="H43" s="5529"/>
      <c r="I43" s="3858"/>
      <c r="J43" s="3859"/>
      <c r="K43" s="3863"/>
      <c r="L43" s="3858"/>
      <c r="M43" s="5529"/>
      <c r="N43" s="5529"/>
      <c r="O43" s="3858"/>
      <c r="P43" s="3873"/>
      <c r="Q43" s="763"/>
      <c r="R43" s="3888"/>
      <c r="S43" s="3888"/>
      <c r="X43" s="101"/>
      <c r="Y43" s="101"/>
      <c r="Z43" s="101"/>
    </row>
    <row r="44" spans="1:26" ht="14.25" customHeight="1" x14ac:dyDescent="0.35">
      <c r="A44" s="3860"/>
      <c r="B44" s="3861"/>
      <c r="C44" s="3861"/>
      <c r="D44" s="3862"/>
      <c r="E44" s="3863"/>
      <c r="F44" s="3858"/>
      <c r="G44" s="5529"/>
      <c r="H44" s="5529"/>
      <c r="I44" s="3858"/>
      <c r="J44" s="3859"/>
      <c r="K44" s="3863"/>
      <c r="L44" s="3858"/>
      <c r="M44" s="5529"/>
      <c r="N44" s="5529"/>
      <c r="O44" s="3858"/>
      <c r="P44" s="3873"/>
      <c r="Q44" s="763"/>
      <c r="R44" s="3888"/>
      <c r="S44" s="3888"/>
      <c r="X44" s="101"/>
      <c r="Y44" s="101"/>
      <c r="Z44" s="101"/>
    </row>
    <row r="45" spans="1:26" ht="14.25" customHeight="1" x14ac:dyDescent="0.35">
      <c r="A45" s="3860"/>
      <c r="B45" s="3861"/>
      <c r="C45" s="3861"/>
      <c r="D45" s="3862"/>
      <c r="E45" s="3863"/>
      <c r="F45" s="3858"/>
      <c r="G45" s="5529"/>
      <c r="H45" s="5529"/>
      <c r="I45" s="3858"/>
      <c r="J45" s="3859"/>
      <c r="K45" s="3863"/>
      <c r="L45" s="3858"/>
      <c r="M45" s="5529"/>
      <c r="N45" s="5529"/>
      <c r="O45" s="3858"/>
      <c r="P45" s="3873"/>
      <c r="Q45" s="763"/>
      <c r="R45" s="3888"/>
      <c r="S45" s="3888"/>
      <c r="X45" s="101"/>
      <c r="Y45" s="101"/>
      <c r="Z45" s="101"/>
    </row>
    <row r="46" spans="1:26" ht="14.25" customHeight="1" x14ac:dyDescent="0.35">
      <c r="A46" s="3860"/>
      <c r="B46" s="3861"/>
      <c r="C46" s="3861"/>
      <c r="D46" s="3862"/>
      <c r="E46" s="3863"/>
      <c r="F46" s="3858"/>
      <c r="G46" s="5529"/>
      <c r="H46" s="5529"/>
      <c r="I46" s="3858"/>
      <c r="J46" s="3859"/>
      <c r="K46" s="3863"/>
      <c r="L46" s="3858"/>
      <c r="M46" s="5529"/>
      <c r="N46" s="5529"/>
      <c r="O46" s="3858"/>
      <c r="P46" s="3873"/>
      <c r="Q46" s="763"/>
      <c r="R46" s="3888"/>
      <c r="S46" s="3888"/>
      <c r="X46" s="101"/>
      <c r="Y46" s="101"/>
      <c r="Z46" s="101"/>
    </row>
    <row r="47" spans="1:26" ht="14.25" customHeight="1" x14ac:dyDescent="0.35">
      <c r="A47" s="3860"/>
      <c r="B47" s="3861"/>
      <c r="C47" s="3861"/>
      <c r="D47" s="3862"/>
      <c r="E47" s="3863"/>
      <c r="F47" s="3858"/>
      <c r="G47" s="5529"/>
      <c r="H47" s="5529"/>
      <c r="I47" s="3858"/>
      <c r="J47" s="3859"/>
      <c r="K47" s="3863"/>
      <c r="L47" s="3858"/>
      <c r="M47" s="5529"/>
      <c r="N47" s="5529"/>
      <c r="O47" s="3858"/>
      <c r="P47" s="3873"/>
      <c r="Q47" s="763"/>
      <c r="R47" s="3888"/>
      <c r="S47" s="3888"/>
      <c r="X47" s="101"/>
      <c r="Y47" s="101"/>
      <c r="Z47" s="101"/>
    </row>
    <row r="48" spans="1:26" ht="14.25" customHeight="1" x14ac:dyDescent="0.35">
      <c r="A48" s="3860"/>
      <c r="B48" s="3861"/>
      <c r="C48" s="3861"/>
      <c r="D48" s="3862"/>
      <c r="E48" s="3863"/>
      <c r="F48" s="3858"/>
      <c r="G48" s="5529"/>
      <c r="H48" s="5529"/>
      <c r="I48" s="3858"/>
      <c r="J48" s="3859"/>
      <c r="K48" s="3863"/>
      <c r="L48" s="3858"/>
      <c r="M48" s="5529"/>
      <c r="N48" s="5529"/>
      <c r="O48" s="3858"/>
      <c r="P48" s="3873"/>
      <c r="Q48" s="763"/>
      <c r="R48" s="3888"/>
      <c r="S48" s="3888"/>
      <c r="X48" s="101"/>
      <c r="Y48" s="101"/>
      <c r="Z48" s="101"/>
    </row>
    <row r="49" spans="1:26" ht="14.25" customHeight="1" thickBot="1" x14ac:dyDescent="0.4">
      <c r="A49" s="3908"/>
      <c r="B49" s="3909"/>
      <c r="C49" s="3910"/>
      <c r="D49" s="3911"/>
      <c r="E49" s="3912"/>
      <c r="F49" s="3885"/>
      <c r="G49" s="3913"/>
      <c r="H49" s="3913"/>
      <c r="I49" s="3885"/>
      <c r="J49" s="3914"/>
      <c r="K49" s="3912"/>
      <c r="L49" s="3885"/>
      <c r="M49" s="3913"/>
      <c r="N49" s="3913"/>
      <c r="O49" s="3885"/>
      <c r="P49" s="3886"/>
      <c r="Q49" s="763"/>
      <c r="R49" s="3888"/>
      <c r="S49" s="3888"/>
      <c r="X49" s="101"/>
      <c r="Y49" s="101"/>
      <c r="Z49" s="101"/>
    </row>
    <row r="50" spans="1:26" ht="9.75" customHeight="1" thickTop="1" x14ac:dyDescent="0.35">
      <c r="A50" s="764"/>
      <c r="B50" s="764"/>
      <c r="C50" s="3889" t="s">
        <v>222</v>
      </c>
      <c r="D50" s="3890"/>
      <c r="E50" s="3893">
        <f>SUM(E35:F49)</f>
        <v>0</v>
      </c>
      <c r="F50" s="3894"/>
      <c r="G50" s="3903">
        <f>SUM(G35:H49)</f>
        <v>0</v>
      </c>
      <c r="H50" s="3904"/>
      <c r="I50" s="3893">
        <f>SUM(I35:J49)</f>
        <v>0</v>
      </c>
      <c r="J50" s="3899"/>
      <c r="K50" s="3901">
        <f>SUM(K35:L49)</f>
        <v>0</v>
      </c>
      <c r="L50" s="3894"/>
      <c r="M50" s="3903">
        <f>SUM(M35:N49)</f>
        <v>0</v>
      </c>
      <c r="N50" s="3904"/>
      <c r="O50" s="3893">
        <f>SUM(O35:P49)</f>
        <v>0</v>
      </c>
      <c r="P50" s="3906"/>
      <c r="Q50" s="64"/>
      <c r="W50" s="101"/>
      <c r="X50" s="101"/>
      <c r="Y50" s="101"/>
    </row>
    <row r="51" spans="1:26" ht="9.75" customHeight="1" thickBot="1" x14ac:dyDescent="0.4">
      <c r="A51" s="764"/>
      <c r="B51" s="764"/>
      <c r="C51" s="3891"/>
      <c r="D51" s="3892"/>
      <c r="E51" s="3895"/>
      <c r="F51" s="3895"/>
      <c r="G51" s="3905"/>
      <c r="H51" s="3905"/>
      <c r="I51" s="3895"/>
      <c r="J51" s="3900"/>
      <c r="K51" s="3902"/>
      <c r="L51" s="3895"/>
      <c r="M51" s="3905"/>
      <c r="N51" s="3905"/>
      <c r="O51" s="3895"/>
      <c r="P51" s="3907"/>
      <c r="Q51" s="64"/>
      <c r="W51" s="101"/>
      <c r="X51" s="101"/>
      <c r="Y51" s="101"/>
    </row>
    <row r="52" spans="1:26" ht="15" customHeight="1" thickTop="1" x14ac:dyDescent="0.35">
      <c r="A52" s="764"/>
      <c r="B52" s="764"/>
      <c r="C52" s="764"/>
      <c r="D52" s="764"/>
      <c r="E52" s="764"/>
      <c r="F52" s="764"/>
      <c r="G52" s="764"/>
      <c r="H52" s="764"/>
      <c r="I52" s="764"/>
      <c r="J52" s="764"/>
      <c r="K52" s="764"/>
      <c r="L52" s="764"/>
      <c r="M52" s="764"/>
      <c r="N52" s="764"/>
      <c r="O52" s="764"/>
      <c r="P52" s="764"/>
      <c r="Q52" s="64"/>
      <c r="W52" s="101"/>
      <c r="X52" s="101"/>
      <c r="Y52" s="101"/>
    </row>
    <row r="53" spans="1:26" ht="15" customHeight="1" x14ac:dyDescent="0.35">
      <c r="A53" s="764"/>
      <c r="B53" s="764"/>
      <c r="C53" s="764"/>
      <c r="D53" s="764"/>
      <c r="E53" s="764"/>
      <c r="F53" s="764"/>
      <c r="G53" s="764"/>
      <c r="H53" s="764"/>
      <c r="I53" s="764"/>
      <c r="J53" s="764"/>
      <c r="K53" s="764"/>
      <c r="L53" s="764"/>
      <c r="M53" s="764"/>
      <c r="N53" s="764"/>
      <c r="O53" s="764"/>
      <c r="P53" s="764"/>
      <c r="Q53" s="64"/>
      <c r="W53" s="101"/>
      <c r="X53" s="101"/>
      <c r="Y53" s="101"/>
    </row>
    <row r="54" spans="1:26" ht="15" thickBot="1" x14ac:dyDescent="0.4">
      <c r="A54" s="64"/>
      <c r="B54" s="64"/>
      <c r="C54" s="64"/>
      <c r="D54" s="64"/>
      <c r="E54" s="64"/>
      <c r="F54" s="64"/>
      <c r="G54" s="64"/>
      <c r="H54" s="64"/>
      <c r="I54" s="64"/>
      <c r="J54" s="64"/>
      <c r="K54" s="64"/>
      <c r="L54" s="64"/>
      <c r="M54" s="64"/>
      <c r="N54" s="64"/>
      <c r="O54" s="64"/>
      <c r="P54" s="64"/>
      <c r="Q54" s="64"/>
      <c r="R54" s="64"/>
      <c r="S54" s="64"/>
      <c r="T54" s="64"/>
      <c r="U54" s="64"/>
      <c r="V54" s="64"/>
      <c r="W54" s="64"/>
    </row>
    <row r="55" spans="1:26" ht="19.5" thickTop="1" thickBot="1" x14ac:dyDescent="0.4">
      <c r="A55" s="3874" t="s">
        <v>10</v>
      </c>
      <c r="B55" s="3875"/>
      <c r="C55" s="3875"/>
      <c r="D55" s="3875"/>
      <c r="E55" s="3875"/>
      <c r="F55" s="3875"/>
      <c r="G55" s="3875"/>
      <c r="H55" s="3875"/>
      <c r="I55" s="3875"/>
      <c r="J55" s="3875"/>
      <c r="K55" s="3875"/>
      <c r="L55" s="30"/>
      <c r="M55" s="3725" t="s">
        <v>748</v>
      </c>
      <c r="N55" s="3726"/>
      <c r="O55" s="3727"/>
      <c r="P55" s="31"/>
      <c r="Q55" s="64"/>
      <c r="R55" s="64"/>
      <c r="S55" s="64"/>
      <c r="T55" s="64"/>
      <c r="U55" s="64"/>
      <c r="V55" s="64"/>
      <c r="W55" s="64"/>
    </row>
    <row r="56" spans="1:26" ht="19.5" customHeight="1" x14ac:dyDescent="0.35">
      <c r="A56" s="3876" t="s">
        <v>1084</v>
      </c>
      <c r="B56" s="3877"/>
      <c r="C56" s="3877"/>
      <c r="D56" s="3877"/>
      <c r="E56" s="3877"/>
      <c r="F56" s="3877"/>
      <c r="G56" s="3877"/>
      <c r="H56" s="3877"/>
      <c r="I56" s="3877"/>
      <c r="J56" s="3877"/>
      <c r="K56" s="3877"/>
      <c r="L56" s="32"/>
      <c r="M56" s="3750" t="s">
        <v>795</v>
      </c>
      <c r="N56" s="3751"/>
      <c r="O56" s="3752"/>
      <c r="P56" s="33"/>
      <c r="Q56" s="64"/>
      <c r="R56" s="64"/>
      <c r="S56" s="64"/>
      <c r="T56" s="64"/>
      <c r="U56" s="64"/>
      <c r="V56" s="64"/>
      <c r="W56" s="64"/>
    </row>
    <row r="57" spans="1:26" ht="19.5" customHeight="1" x14ac:dyDescent="0.35">
      <c r="A57" s="3878"/>
      <c r="B57" s="3879"/>
      <c r="C57" s="3879"/>
      <c r="D57" s="3879"/>
      <c r="E57" s="3879"/>
      <c r="F57" s="3879"/>
      <c r="G57" s="3879"/>
      <c r="H57" s="3879"/>
      <c r="I57" s="3879"/>
      <c r="J57" s="3879"/>
      <c r="K57" s="3879"/>
      <c r="L57" s="32"/>
      <c r="M57" s="3753"/>
      <c r="N57" s="3754"/>
      <c r="O57" s="3755"/>
      <c r="P57" s="33"/>
      <c r="Q57" s="64"/>
      <c r="R57" s="64"/>
      <c r="S57" s="64"/>
      <c r="T57" s="64"/>
      <c r="U57" s="64"/>
      <c r="V57" s="64"/>
      <c r="W57" s="64"/>
    </row>
    <row r="58" spans="1:26" ht="19.5" customHeight="1" x14ac:dyDescent="0.35">
      <c r="A58" s="3878"/>
      <c r="B58" s="3879"/>
      <c r="C58" s="3879"/>
      <c r="D58" s="3879"/>
      <c r="E58" s="3879"/>
      <c r="F58" s="3879"/>
      <c r="G58" s="3879"/>
      <c r="H58" s="3879"/>
      <c r="I58" s="3879"/>
      <c r="J58" s="3879"/>
      <c r="K58" s="3879"/>
      <c r="L58" s="32"/>
      <c r="M58" s="3753"/>
      <c r="N58" s="3754"/>
      <c r="O58" s="3755"/>
      <c r="P58" s="33"/>
      <c r="Q58" s="64"/>
      <c r="R58" s="64"/>
      <c r="S58" s="64"/>
      <c r="T58" s="64"/>
      <c r="U58" s="64"/>
      <c r="V58" s="64"/>
      <c r="W58" s="64"/>
    </row>
    <row r="59" spans="1:26" ht="19.5" customHeight="1" x14ac:dyDescent="0.35">
      <c r="A59" s="3878"/>
      <c r="B59" s="3879"/>
      <c r="C59" s="3879"/>
      <c r="D59" s="3879"/>
      <c r="E59" s="3879"/>
      <c r="F59" s="3879"/>
      <c r="G59" s="3879"/>
      <c r="H59" s="3879"/>
      <c r="I59" s="3879"/>
      <c r="J59" s="3879"/>
      <c r="K59" s="3879"/>
      <c r="L59" s="32"/>
      <c r="M59" s="3753"/>
      <c r="N59" s="3754"/>
      <c r="O59" s="3755"/>
      <c r="P59" s="33"/>
      <c r="Q59" s="64"/>
      <c r="R59" s="64"/>
      <c r="S59" s="64"/>
      <c r="T59" s="64"/>
      <c r="U59" s="64"/>
      <c r="V59" s="64"/>
      <c r="W59" s="64"/>
    </row>
    <row r="60" spans="1:26" ht="19.5" customHeight="1" thickBot="1" x14ac:dyDescent="0.4">
      <c r="A60" s="3880"/>
      <c r="B60" s="3881"/>
      <c r="C60" s="3881"/>
      <c r="D60" s="3881"/>
      <c r="E60" s="3881"/>
      <c r="F60" s="3881"/>
      <c r="G60" s="3881"/>
      <c r="H60" s="3881"/>
      <c r="I60" s="3881"/>
      <c r="J60" s="3881"/>
      <c r="K60" s="3881"/>
      <c r="L60" s="32"/>
      <c r="M60" s="3756"/>
      <c r="N60" s="3757"/>
      <c r="O60" s="3758"/>
      <c r="P60" s="33"/>
      <c r="Q60" s="64"/>
      <c r="R60" s="64"/>
      <c r="S60" s="64"/>
      <c r="T60" s="64"/>
      <c r="U60" s="64"/>
      <c r="V60" s="64"/>
      <c r="W60" s="64"/>
    </row>
    <row r="61" spans="1:26" ht="15.5" thickTop="1" thickBot="1" x14ac:dyDescent="0.4">
      <c r="A61" s="64"/>
      <c r="B61" s="64"/>
      <c r="C61" s="64"/>
      <c r="D61" s="64"/>
      <c r="E61" s="64"/>
      <c r="F61" s="64"/>
      <c r="G61" s="64"/>
      <c r="H61" s="64"/>
      <c r="I61" s="64"/>
      <c r="J61" s="64"/>
      <c r="K61" s="64"/>
      <c r="L61" s="64"/>
      <c r="M61" s="31"/>
      <c r="N61" s="31"/>
      <c r="O61" s="31"/>
      <c r="P61" s="64"/>
      <c r="Q61" s="64"/>
      <c r="R61" s="64"/>
      <c r="S61" s="64"/>
      <c r="T61" s="64"/>
      <c r="U61" s="64"/>
      <c r="V61" s="64"/>
      <c r="W61" s="64"/>
    </row>
    <row r="62" spans="1:26" ht="19.5" thickTop="1" thickBot="1" x14ac:dyDescent="0.4">
      <c r="A62" s="3883" t="s">
        <v>11</v>
      </c>
      <c r="B62" s="3884"/>
      <c r="C62" s="3884"/>
      <c r="D62" s="3884"/>
      <c r="E62" s="3884"/>
      <c r="F62" s="3884"/>
      <c r="G62" s="3884"/>
      <c r="H62" s="3884"/>
      <c r="I62" s="3884"/>
      <c r="J62" s="3884"/>
      <c r="K62" s="3884"/>
      <c r="L62" s="30"/>
      <c r="M62" s="3725" t="s">
        <v>748</v>
      </c>
      <c r="N62" s="3726"/>
      <c r="O62" s="3727"/>
      <c r="P62" s="31"/>
      <c r="Q62" s="64"/>
      <c r="R62" s="64"/>
      <c r="S62" s="64"/>
      <c r="T62" s="64"/>
      <c r="U62" s="64"/>
      <c r="V62" s="64"/>
      <c r="W62" s="64"/>
    </row>
    <row r="63" spans="1:26" ht="19.5" customHeight="1" x14ac:dyDescent="0.35">
      <c r="A63" s="3876" t="s">
        <v>796</v>
      </c>
      <c r="B63" s="3877"/>
      <c r="C63" s="3877"/>
      <c r="D63" s="3877"/>
      <c r="E63" s="3877"/>
      <c r="F63" s="3877"/>
      <c r="G63" s="3877"/>
      <c r="H63" s="3877"/>
      <c r="I63" s="3877"/>
      <c r="J63" s="3877"/>
      <c r="K63" s="3877"/>
      <c r="L63" s="30"/>
      <c r="M63" s="3750" t="s">
        <v>794</v>
      </c>
      <c r="N63" s="3751"/>
      <c r="O63" s="3752"/>
      <c r="P63" s="31"/>
      <c r="Q63" s="64"/>
      <c r="R63" s="64"/>
      <c r="S63" s="64"/>
      <c r="T63" s="64"/>
      <c r="U63" s="64"/>
      <c r="V63" s="64"/>
      <c r="W63" s="64"/>
    </row>
    <row r="64" spans="1:26" ht="19.5" customHeight="1" x14ac:dyDescent="0.35">
      <c r="A64" s="3878"/>
      <c r="B64" s="3882"/>
      <c r="C64" s="3882"/>
      <c r="D64" s="3882"/>
      <c r="E64" s="3882"/>
      <c r="F64" s="3882"/>
      <c r="G64" s="3882"/>
      <c r="H64" s="3882"/>
      <c r="I64" s="3882"/>
      <c r="J64" s="3882"/>
      <c r="K64" s="3882"/>
      <c r="L64" s="30"/>
      <c r="M64" s="3753"/>
      <c r="N64" s="3754"/>
      <c r="O64" s="3755"/>
      <c r="P64" s="31"/>
      <c r="Q64" s="64"/>
      <c r="R64" s="64"/>
      <c r="S64" s="64"/>
      <c r="T64" s="64"/>
      <c r="U64" s="64"/>
      <c r="V64" s="64"/>
      <c r="W64" s="64"/>
    </row>
    <row r="65" spans="1:23" ht="19.5" customHeight="1" x14ac:dyDescent="0.35">
      <c r="A65" s="3878"/>
      <c r="B65" s="3882"/>
      <c r="C65" s="3882"/>
      <c r="D65" s="3882"/>
      <c r="E65" s="3882"/>
      <c r="F65" s="3882"/>
      <c r="G65" s="3882"/>
      <c r="H65" s="3882"/>
      <c r="I65" s="3882"/>
      <c r="J65" s="3882"/>
      <c r="K65" s="3882"/>
      <c r="L65" s="30"/>
      <c r="M65" s="3753"/>
      <c r="N65" s="3754"/>
      <c r="O65" s="3755"/>
      <c r="P65" s="31"/>
      <c r="Q65" s="64"/>
      <c r="R65" s="64"/>
      <c r="S65" s="64"/>
      <c r="T65" s="64"/>
      <c r="U65" s="64"/>
      <c r="V65" s="64"/>
      <c r="W65" s="64"/>
    </row>
    <row r="66" spans="1:23" ht="19.5" customHeight="1" thickBot="1" x14ac:dyDescent="0.4">
      <c r="A66" s="3880"/>
      <c r="B66" s="3881"/>
      <c r="C66" s="3881"/>
      <c r="D66" s="3881"/>
      <c r="E66" s="3881"/>
      <c r="F66" s="3881"/>
      <c r="G66" s="3881"/>
      <c r="H66" s="3881"/>
      <c r="I66" s="3881"/>
      <c r="J66" s="3881"/>
      <c r="K66" s="3881"/>
      <c r="L66" s="30"/>
      <c r="M66" s="3756"/>
      <c r="N66" s="3757"/>
      <c r="O66" s="3758"/>
      <c r="P66" s="31"/>
      <c r="Q66" s="64"/>
      <c r="R66" s="64"/>
      <c r="S66" s="64"/>
      <c r="T66" s="64"/>
      <c r="U66" s="64"/>
      <c r="V66" s="64"/>
      <c r="W66" s="64"/>
    </row>
    <row r="67" spans="1:23" ht="15" thickTop="1" x14ac:dyDescent="0.35">
      <c r="A67" s="64"/>
      <c r="B67" s="64"/>
      <c r="C67" s="64"/>
      <c r="D67" s="64"/>
      <c r="E67" s="64"/>
      <c r="F67" s="64"/>
      <c r="G67" s="64"/>
      <c r="H67" s="64"/>
      <c r="I67" s="64"/>
      <c r="J67" s="64"/>
      <c r="K67" s="64"/>
      <c r="L67" s="64"/>
      <c r="M67" s="64"/>
      <c r="N67" s="64"/>
      <c r="O67" s="64"/>
      <c r="P67" s="64"/>
      <c r="Q67" s="64"/>
      <c r="R67" s="64"/>
      <c r="S67" s="64"/>
      <c r="T67" s="64"/>
      <c r="U67" s="64"/>
      <c r="V67" s="64"/>
      <c r="W67" s="64"/>
    </row>
    <row r="68" spans="1:23" x14ac:dyDescent="0.35">
      <c r="A68" s="64"/>
      <c r="B68" s="64"/>
      <c r="C68" s="64"/>
      <c r="D68" s="64"/>
      <c r="E68" s="64"/>
      <c r="F68" s="64"/>
      <c r="G68" s="64"/>
      <c r="H68" s="64"/>
      <c r="I68" s="64"/>
      <c r="J68" s="64"/>
      <c r="K68" s="64"/>
      <c r="L68" s="64"/>
      <c r="M68" s="64"/>
      <c r="N68" s="64"/>
      <c r="O68" s="64"/>
      <c r="P68" s="64"/>
      <c r="Q68" s="64"/>
    </row>
    <row r="69" spans="1:23" x14ac:dyDescent="0.35">
      <c r="A69" s="64"/>
      <c r="B69" s="64"/>
      <c r="C69" s="64"/>
      <c r="D69" s="64"/>
      <c r="E69" s="64"/>
      <c r="F69" s="64"/>
      <c r="G69" s="64"/>
      <c r="H69" s="64"/>
      <c r="I69" s="64"/>
      <c r="J69" s="64"/>
      <c r="K69" s="64"/>
      <c r="L69" s="64"/>
      <c r="M69" s="64"/>
      <c r="N69" s="64"/>
      <c r="O69" s="64"/>
      <c r="P69" s="64"/>
      <c r="Q69" s="64"/>
    </row>
    <row r="70" spans="1:23" x14ac:dyDescent="0.35">
      <c r="A70" s="64"/>
      <c r="B70" s="64"/>
      <c r="C70" s="64"/>
      <c r="D70" s="64"/>
      <c r="E70" s="64"/>
      <c r="F70" s="64"/>
      <c r="G70" s="64"/>
      <c r="H70" s="64"/>
      <c r="I70" s="64"/>
      <c r="J70" s="64"/>
      <c r="K70" s="64"/>
      <c r="L70" s="64"/>
      <c r="M70" s="64"/>
      <c r="N70" s="64"/>
      <c r="O70" s="64"/>
      <c r="P70" s="64"/>
      <c r="Q70" s="64"/>
    </row>
  </sheetData>
  <mergeCells count="218">
    <mergeCell ref="A4:G4"/>
    <mergeCell ref="H4:P4"/>
    <mergeCell ref="A5:B5"/>
    <mergeCell ref="C5:P5"/>
    <mergeCell ref="A6:B6"/>
    <mergeCell ref="C6:P6"/>
    <mergeCell ref="D1:G1"/>
    <mergeCell ref="I1:J1"/>
    <mergeCell ref="L1:M1"/>
    <mergeCell ref="D2:G2"/>
    <mergeCell ref="I2:J2"/>
    <mergeCell ref="L2:M2"/>
    <mergeCell ref="D3:G3"/>
    <mergeCell ref="A10:P10"/>
    <mergeCell ref="A11:D11"/>
    <mergeCell ref="E11:H11"/>
    <mergeCell ref="I11:L11"/>
    <mergeCell ref="M11:P11"/>
    <mergeCell ref="A12:P12"/>
    <mergeCell ref="A7:D7"/>
    <mergeCell ref="E7:H7"/>
    <mergeCell ref="I7:L7"/>
    <mergeCell ref="M7:P7"/>
    <mergeCell ref="A8:P8"/>
    <mergeCell ref="A9:D9"/>
    <mergeCell ref="E9:H9"/>
    <mergeCell ref="I9:L9"/>
    <mergeCell ref="M9:P9"/>
    <mergeCell ref="A16:P16"/>
    <mergeCell ref="A17:D17"/>
    <mergeCell ref="E17:H17"/>
    <mergeCell ref="I17:L17"/>
    <mergeCell ref="M17:P17"/>
    <mergeCell ref="A18:P18"/>
    <mergeCell ref="A13:D13"/>
    <mergeCell ref="E13:H13"/>
    <mergeCell ref="I13:L13"/>
    <mergeCell ref="M13:P13"/>
    <mergeCell ref="A14:P14"/>
    <mergeCell ref="A15:D15"/>
    <mergeCell ref="E15:H15"/>
    <mergeCell ref="I15:L15"/>
    <mergeCell ref="M15:P15"/>
    <mergeCell ref="A22:P22"/>
    <mergeCell ref="A23:D23"/>
    <mergeCell ref="E23:H23"/>
    <mergeCell ref="I23:L23"/>
    <mergeCell ref="M23:P23"/>
    <mergeCell ref="A24:P24"/>
    <mergeCell ref="A19:D19"/>
    <mergeCell ref="E19:H19"/>
    <mergeCell ref="I19:L19"/>
    <mergeCell ref="M19:P19"/>
    <mergeCell ref="A20:P20"/>
    <mergeCell ref="A21:D21"/>
    <mergeCell ref="E21:H21"/>
    <mergeCell ref="I21:L21"/>
    <mergeCell ref="M21:P21"/>
    <mergeCell ref="A28:P28"/>
    <mergeCell ref="A29:D29"/>
    <mergeCell ref="E29:H29"/>
    <mergeCell ref="I29:L29"/>
    <mergeCell ref="M29:P29"/>
    <mergeCell ref="A30:P30"/>
    <mergeCell ref="A25:D25"/>
    <mergeCell ref="E25:H25"/>
    <mergeCell ref="I25:L25"/>
    <mergeCell ref="M25:P25"/>
    <mergeCell ref="A26:P26"/>
    <mergeCell ref="A27:D27"/>
    <mergeCell ref="E27:H27"/>
    <mergeCell ref="I27:L27"/>
    <mergeCell ref="M27:P27"/>
    <mergeCell ref="A33:D33"/>
    <mergeCell ref="E33:J33"/>
    <mergeCell ref="K33:P33"/>
    <mergeCell ref="A34:D34"/>
    <mergeCell ref="E34:F34"/>
    <mergeCell ref="G34:H34"/>
    <mergeCell ref="I34:J34"/>
    <mergeCell ref="K34:L34"/>
    <mergeCell ref="M34:N34"/>
    <mergeCell ref="O34:P34"/>
    <mergeCell ref="O35:P35"/>
    <mergeCell ref="R35:S35"/>
    <mergeCell ref="A36:D36"/>
    <mergeCell ref="E36:F36"/>
    <mergeCell ref="G36:H36"/>
    <mergeCell ref="I36:J36"/>
    <mergeCell ref="K36:L36"/>
    <mergeCell ref="M36:N36"/>
    <mergeCell ref="O36:P36"/>
    <mergeCell ref="R36:S36"/>
    <mergeCell ref="A35:D35"/>
    <mergeCell ref="E35:F35"/>
    <mergeCell ref="G35:H35"/>
    <mergeCell ref="I35:J35"/>
    <mergeCell ref="K35:L35"/>
    <mergeCell ref="M35:N35"/>
    <mergeCell ref="O37:P37"/>
    <mergeCell ref="R37:S37"/>
    <mergeCell ref="A38:D38"/>
    <mergeCell ref="E38:F38"/>
    <mergeCell ref="G38:H38"/>
    <mergeCell ref="I38:J38"/>
    <mergeCell ref="K38:L38"/>
    <mergeCell ref="M38:N38"/>
    <mergeCell ref="O38:P38"/>
    <mergeCell ref="R38:S38"/>
    <mergeCell ref="A37:D37"/>
    <mergeCell ref="E37:F37"/>
    <mergeCell ref="G37:H37"/>
    <mergeCell ref="I37:J37"/>
    <mergeCell ref="K37:L37"/>
    <mergeCell ref="M37:N37"/>
    <mergeCell ref="O39:P39"/>
    <mergeCell ref="R39:S39"/>
    <mergeCell ref="A40:D40"/>
    <mergeCell ref="E40:F40"/>
    <mergeCell ref="G40:H40"/>
    <mergeCell ref="I40:J40"/>
    <mergeCell ref="K40:L40"/>
    <mergeCell ref="M40:N40"/>
    <mergeCell ref="O40:P40"/>
    <mergeCell ref="R40:S40"/>
    <mergeCell ref="A39:D39"/>
    <mergeCell ref="E39:F39"/>
    <mergeCell ref="G39:H39"/>
    <mergeCell ref="I39:J39"/>
    <mergeCell ref="K39:L39"/>
    <mergeCell ref="M39:N39"/>
    <mergeCell ref="O41:P41"/>
    <mergeCell ref="R41:S41"/>
    <mergeCell ref="A42:D42"/>
    <mergeCell ref="E42:F42"/>
    <mergeCell ref="G42:H42"/>
    <mergeCell ref="I42:J42"/>
    <mergeCell ref="K42:L42"/>
    <mergeCell ref="M42:N42"/>
    <mergeCell ref="O42:P42"/>
    <mergeCell ref="R42:S42"/>
    <mergeCell ref="A41:D41"/>
    <mergeCell ref="E41:F41"/>
    <mergeCell ref="G41:H41"/>
    <mergeCell ref="I41:J41"/>
    <mergeCell ref="K41:L41"/>
    <mergeCell ref="M41:N41"/>
    <mergeCell ref="O43:P43"/>
    <mergeCell ref="R43:S43"/>
    <mergeCell ref="A44:D44"/>
    <mergeCell ref="E44:F44"/>
    <mergeCell ref="G44:H44"/>
    <mergeCell ref="I44:J44"/>
    <mergeCell ref="K44:L44"/>
    <mergeCell ref="M44:N44"/>
    <mergeCell ref="O44:P44"/>
    <mergeCell ref="R44:S44"/>
    <mergeCell ref="A43:D43"/>
    <mergeCell ref="E43:F43"/>
    <mergeCell ref="G43:H43"/>
    <mergeCell ref="I43:J43"/>
    <mergeCell ref="K43:L43"/>
    <mergeCell ref="M43:N43"/>
    <mergeCell ref="O45:P45"/>
    <mergeCell ref="R45:S45"/>
    <mergeCell ref="A46:D46"/>
    <mergeCell ref="E46:F46"/>
    <mergeCell ref="G46:H46"/>
    <mergeCell ref="I46:J46"/>
    <mergeCell ref="K46:L46"/>
    <mergeCell ref="M46:N46"/>
    <mergeCell ref="O46:P46"/>
    <mergeCell ref="R46:S46"/>
    <mergeCell ref="A45:D45"/>
    <mergeCell ref="E45:F45"/>
    <mergeCell ref="G45:H45"/>
    <mergeCell ref="I45:J45"/>
    <mergeCell ref="K45:L45"/>
    <mergeCell ref="M45:N45"/>
    <mergeCell ref="O47:P47"/>
    <mergeCell ref="R47:S47"/>
    <mergeCell ref="A48:D48"/>
    <mergeCell ref="E48:F48"/>
    <mergeCell ref="G48:H48"/>
    <mergeCell ref="I48:J48"/>
    <mergeCell ref="K48:L48"/>
    <mergeCell ref="M48:N48"/>
    <mergeCell ref="O48:P48"/>
    <mergeCell ref="R48:S48"/>
    <mergeCell ref="A47:D47"/>
    <mergeCell ref="E47:F47"/>
    <mergeCell ref="G47:H47"/>
    <mergeCell ref="I47:J47"/>
    <mergeCell ref="K47:L47"/>
    <mergeCell ref="M47:N47"/>
    <mergeCell ref="R49:S49"/>
    <mergeCell ref="C50:D51"/>
    <mergeCell ref="E50:F51"/>
    <mergeCell ref="G50:H51"/>
    <mergeCell ref="I50:J51"/>
    <mergeCell ref="K50:L51"/>
    <mergeCell ref="M50:N51"/>
    <mergeCell ref="O50:P51"/>
    <mergeCell ref="A49:D49"/>
    <mergeCell ref="E49:F49"/>
    <mergeCell ref="G49:H49"/>
    <mergeCell ref="I49:J49"/>
    <mergeCell ref="K49:L49"/>
    <mergeCell ref="M49:N49"/>
    <mergeCell ref="A63:K66"/>
    <mergeCell ref="M63:O66"/>
    <mergeCell ref="A55:K55"/>
    <mergeCell ref="M55:O55"/>
    <mergeCell ref="A56:K60"/>
    <mergeCell ref="M56:O60"/>
    <mergeCell ref="A62:K62"/>
    <mergeCell ref="M62:O62"/>
    <mergeCell ref="O49:P49"/>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500-000000000000}">
      <formula1>AvancementTheme</formula1>
    </dataValidation>
  </dataValidations>
  <hyperlinks>
    <hyperlink ref="O1" location="DPDV_03CP2" display="PdV" xr:uid="{00000000-0004-0000-3500-000000000000}"/>
    <hyperlink ref="P1" location="DKPI_03CP2" display="KPI's" xr:uid="{00000000-0004-0000-35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27">
    <tabColor rgb="FFFFC000"/>
    <pageSetUpPr fitToPage="1"/>
  </sheetPr>
  <dimension ref="A1:AE105"/>
  <sheetViews>
    <sheetView showGridLines="0" showRowColHeaders="0" zoomScaleNormal="100" workbookViewId="0">
      <pane ySplit="5" topLeftCell="A80" activePane="bottomLeft" state="frozen"/>
      <selection activeCell="H7" sqref="H7"/>
      <selection pane="bottomLeft" activeCell="H7" sqref="H7:I7"/>
    </sheetView>
  </sheetViews>
  <sheetFormatPr baseColWidth="10" defaultColWidth="11.453125" defaultRowHeight="14.5" x14ac:dyDescent="0.35"/>
  <cols>
    <col min="1" max="1" width="9" style="60" customWidth="1"/>
    <col min="2" max="5" width="11.453125" style="60"/>
    <col min="6" max="6" width="0.54296875" style="60" customWidth="1"/>
    <col min="7" max="7" width="13.54296875" style="60" customWidth="1"/>
    <col min="8" max="9" width="11.453125" style="60"/>
    <col min="10" max="10" width="3.26953125" style="60" customWidth="1"/>
    <col min="11" max="11" width="11" style="60" customWidth="1"/>
    <col min="12" max="12" width="12.81640625" style="60" customWidth="1"/>
    <col min="13" max="14" width="11.453125" style="60"/>
    <col min="15" max="15" width="11.453125" style="60" customWidth="1"/>
    <col min="16" max="16384" width="11.453125" style="60"/>
  </cols>
  <sheetData>
    <row r="1" spans="1:31"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458"/>
      <c r="R1" s="458"/>
      <c r="S1" s="458"/>
    </row>
    <row r="2" spans="1:31" s="58" customFormat="1" ht="18" customHeight="1" x14ac:dyDescent="0.35">
      <c r="A2" s="393"/>
      <c r="B2" s="393"/>
      <c r="C2" s="393"/>
      <c r="D2" s="3342" t="str">
        <f>NomClient</f>
        <v xml:space="preserve">EQUINIX </v>
      </c>
      <c r="E2" s="3343"/>
      <c r="F2" s="3343"/>
      <c r="G2" s="3344"/>
      <c r="H2" s="393"/>
      <c r="I2" s="3345" t="s">
        <v>406</v>
      </c>
      <c r="J2" s="3346"/>
      <c r="K2" s="393"/>
      <c r="L2" s="3347">
        <v>42420.644988425927</v>
      </c>
      <c r="M2" s="3348"/>
      <c r="N2" s="394"/>
      <c r="O2" s="451">
        <f>IF(LEN(DPDV_03CK2)&gt;0,LEN(DPDV_03CK2),0-PDV_NBmini)</f>
        <v>6</v>
      </c>
      <c r="P2" s="451">
        <f>IF(LEN(DKPI_03CK2)&gt;0,LEN(DKPI_03CK2),0-KPI_NBmini)</f>
        <v>31</v>
      </c>
      <c r="Q2" s="459"/>
      <c r="R2" s="459"/>
      <c r="S2" s="459"/>
    </row>
    <row r="3" spans="1:3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31" s="1" customFormat="1" ht="24.75" customHeight="1" thickBot="1" x14ac:dyDescent="0.4">
      <c r="A4" s="3507" t="str">
        <f>Parametre!B25  &amp; "  : "</f>
        <v xml:space="preserve">Positionnement de l'offre  : </v>
      </c>
      <c r="B4" s="3507"/>
      <c r="C4" s="3507"/>
      <c r="D4" s="3507"/>
      <c r="E4" s="3507"/>
      <c r="F4" s="3507"/>
      <c r="G4" s="3507"/>
      <c r="H4" s="3505" t="str">
        <f xml:space="preserve"> "Channel ready pour " &amp; NomProd2</f>
        <v>Channel ready pour ASEMA</v>
      </c>
      <c r="I4" s="3505"/>
      <c r="J4" s="3505"/>
      <c r="K4" s="3505"/>
      <c r="L4" s="3505"/>
      <c r="M4" s="3505"/>
      <c r="N4" s="3505"/>
      <c r="O4" s="3505"/>
      <c r="P4" s="3506"/>
      <c r="Q4" s="444"/>
      <c r="R4" s="444"/>
      <c r="S4" s="444"/>
    </row>
    <row r="5" spans="1:31" s="193" customFormat="1" ht="29.25" customHeight="1" thickBot="1" x14ac:dyDescent="0.4">
      <c r="A5" s="3438" t="s">
        <v>14</v>
      </c>
      <c r="B5" s="3438"/>
      <c r="C5" s="3508" t="s">
        <v>753</v>
      </c>
      <c r="D5" s="3508"/>
      <c r="E5" s="3508"/>
      <c r="F5" s="3508"/>
      <c r="G5" s="3508"/>
      <c r="H5" s="3508"/>
      <c r="I5" s="3508"/>
      <c r="J5" s="3508"/>
      <c r="K5" s="3508"/>
      <c r="L5" s="3508"/>
      <c r="M5" s="3508"/>
      <c r="N5" s="3508"/>
      <c r="O5" s="3508"/>
      <c r="P5" s="3508"/>
      <c r="Q5" s="460"/>
      <c r="R5" s="460"/>
      <c r="S5" s="460"/>
    </row>
    <row r="6" spans="1:31" ht="16" thickTop="1" x14ac:dyDescent="0.35">
      <c r="A6" s="4452"/>
      <c r="B6" s="4535" t="s">
        <v>260</v>
      </c>
      <c r="C6" s="4536"/>
      <c r="D6" s="4536"/>
      <c r="E6" s="4536"/>
      <c r="F6" s="4534" t="str">
        <f>"Vue du " &amp; ChanlReadyAxe1</f>
        <v>Vue du EQUINIX</v>
      </c>
      <c r="G6" s="4534"/>
      <c r="H6" s="4534" t="str">
        <f>"Vue du " &amp; ChanlReadyAxe2</f>
        <v>Vue du ASEMA</v>
      </c>
      <c r="I6" s="4534"/>
      <c r="J6" s="4544" t="s">
        <v>246</v>
      </c>
      <c r="K6" s="4544"/>
      <c r="L6" s="4544" t="s">
        <v>247</v>
      </c>
      <c r="M6" s="4534" t="s">
        <v>18</v>
      </c>
      <c r="N6" s="4534"/>
      <c r="O6" s="4534"/>
      <c r="P6" s="4539"/>
      <c r="Q6" s="463"/>
      <c r="R6" s="463"/>
      <c r="S6" s="64"/>
      <c r="U6" s="66"/>
      <c r="V6" s="66"/>
      <c r="W6" s="72"/>
      <c r="X6" s="73"/>
      <c r="Y6" s="73"/>
      <c r="Z6" s="66"/>
      <c r="AA6" s="66"/>
      <c r="AB6" s="66"/>
      <c r="AC6" s="66"/>
      <c r="AD6" s="66"/>
      <c r="AE6" s="66"/>
    </row>
    <row r="7" spans="1:31" s="193" customFormat="1" ht="16" thickBot="1" x14ac:dyDescent="0.4">
      <c r="A7" s="4452"/>
      <c r="B7" s="4537"/>
      <c r="C7" s="4538"/>
      <c r="D7" s="4538"/>
      <c r="E7" s="4538"/>
      <c r="F7" s="4543" t="s">
        <v>16</v>
      </c>
      <c r="G7" s="4543"/>
      <c r="H7" s="4540" t="s">
        <v>16</v>
      </c>
      <c r="I7" s="4540"/>
      <c r="J7" s="4545"/>
      <c r="K7" s="4545"/>
      <c r="L7" s="4545"/>
      <c r="M7" s="4540"/>
      <c r="N7" s="4540"/>
      <c r="O7" s="4540"/>
      <c r="P7" s="4541"/>
      <c r="Q7" s="460"/>
      <c r="R7" s="460"/>
      <c r="S7" s="460"/>
      <c r="T7" s="94"/>
      <c r="U7" s="94"/>
      <c r="V7" s="95"/>
      <c r="W7" s="96"/>
      <c r="X7" s="96"/>
      <c r="Y7" s="94"/>
      <c r="Z7" s="94"/>
      <c r="AA7" s="94"/>
      <c r="AB7" s="94"/>
      <c r="AC7" s="94"/>
      <c r="AD7" s="94"/>
    </row>
    <row r="8" spans="1:31" ht="9" customHeight="1" thickTop="1" x14ac:dyDescent="0.35">
      <c r="A8" s="4532" t="s">
        <v>259</v>
      </c>
      <c r="B8" s="4518"/>
      <c r="C8" s="4519"/>
      <c r="D8" s="4519"/>
      <c r="E8" s="4519"/>
      <c r="F8" s="4519"/>
      <c r="G8" s="4519"/>
      <c r="H8" s="4519"/>
      <c r="I8" s="4519"/>
      <c r="J8" s="4519"/>
      <c r="K8" s="4519"/>
      <c r="L8" s="4519"/>
      <c r="M8" s="4519"/>
      <c r="N8" s="4519"/>
      <c r="O8" s="4519"/>
      <c r="P8" s="4520"/>
      <c r="Q8" s="463"/>
      <c r="R8" s="463"/>
      <c r="S8" s="64"/>
      <c r="U8" s="66"/>
      <c r="V8" s="66"/>
      <c r="W8" s="72"/>
      <c r="X8" s="73"/>
      <c r="Y8" s="73"/>
      <c r="Z8" s="66"/>
      <c r="AA8" s="66"/>
      <c r="AB8" s="66"/>
      <c r="AC8" s="66"/>
      <c r="AD8" s="66"/>
      <c r="AE8" s="66"/>
    </row>
    <row r="9" spans="1:31" ht="42.75" customHeight="1" x14ac:dyDescent="0.35">
      <c r="A9" s="4533"/>
      <c r="B9" s="4500" t="s">
        <v>538</v>
      </c>
      <c r="C9" s="4501"/>
      <c r="D9" s="4501"/>
      <c r="E9" s="4501"/>
      <c r="F9" s="4502"/>
      <c r="G9" s="4502"/>
      <c r="H9" s="4502">
        <v>0</v>
      </c>
      <c r="I9" s="4502"/>
      <c r="J9" s="4503">
        <f>ABS(F9-H9)</f>
        <v>0</v>
      </c>
      <c r="K9" s="4503"/>
      <c r="L9" s="1505">
        <v>10</v>
      </c>
      <c r="M9" s="4504"/>
      <c r="N9" s="4504"/>
      <c r="O9" s="4504"/>
      <c r="P9" s="4505"/>
      <c r="Q9" s="463"/>
      <c r="R9" s="463"/>
      <c r="S9" s="64"/>
      <c r="U9" s="66"/>
      <c r="V9" s="66"/>
      <c r="W9" s="72"/>
      <c r="X9" s="73"/>
      <c r="Y9" s="73"/>
      <c r="Z9" s="66"/>
      <c r="AA9" s="66"/>
      <c r="AB9" s="66"/>
      <c r="AC9" s="66"/>
      <c r="AD9" s="66"/>
      <c r="AE9" s="66"/>
    </row>
    <row r="10" spans="1:31" ht="39" customHeight="1" x14ac:dyDescent="0.35">
      <c r="A10" s="4533"/>
      <c r="B10" s="4500" t="s">
        <v>539</v>
      </c>
      <c r="C10" s="4501"/>
      <c r="D10" s="4501"/>
      <c r="E10" s="4501"/>
      <c r="F10" s="4502"/>
      <c r="G10" s="4502"/>
      <c r="H10" s="4502"/>
      <c r="I10" s="4502"/>
      <c r="J10" s="4503">
        <f t="shared" ref="J10:J19" si="0">ABS(F10-H10)</f>
        <v>0</v>
      </c>
      <c r="K10" s="4503"/>
      <c r="L10" s="1505">
        <v>10</v>
      </c>
      <c r="M10" s="4504"/>
      <c r="N10" s="4504"/>
      <c r="O10" s="4504"/>
      <c r="P10" s="4505"/>
      <c r="Q10" s="463"/>
      <c r="R10" s="463"/>
      <c r="S10" s="64"/>
      <c r="U10" s="66"/>
      <c r="V10" s="66"/>
      <c r="W10" s="72"/>
      <c r="X10" s="73"/>
      <c r="Y10" s="73"/>
      <c r="Z10" s="66"/>
      <c r="AA10" s="66"/>
      <c r="AB10" s="66"/>
      <c r="AC10" s="66"/>
      <c r="AD10" s="66"/>
      <c r="AE10" s="66"/>
    </row>
    <row r="11" spans="1:31" ht="30" customHeight="1" x14ac:dyDescent="0.35">
      <c r="A11" s="4533"/>
      <c r="B11" s="4500" t="s">
        <v>248</v>
      </c>
      <c r="C11" s="4501"/>
      <c r="D11" s="4501"/>
      <c r="E11" s="4501"/>
      <c r="F11" s="4502"/>
      <c r="G11" s="4502"/>
      <c r="H11" s="4502"/>
      <c r="I11" s="4502"/>
      <c r="J11" s="4503">
        <f t="shared" si="0"/>
        <v>0</v>
      </c>
      <c r="K11" s="4503"/>
      <c r="L11" s="1505">
        <v>10</v>
      </c>
      <c r="M11" s="4504"/>
      <c r="N11" s="4504"/>
      <c r="O11" s="4504"/>
      <c r="P11" s="4505"/>
      <c r="Q11" s="463"/>
      <c r="R11" s="463"/>
      <c r="S11" s="64"/>
      <c r="U11" s="66"/>
      <c r="V11" s="66"/>
      <c r="W11" s="72"/>
      <c r="X11" s="73"/>
      <c r="Y11" s="73"/>
      <c r="Z11" s="66"/>
      <c r="AA11" s="66"/>
      <c r="AB11" s="66"/>
      <c r="AC11" s="66"/>
      <c r="AD11" s="66"/>
      <c r="AE11" s="66"/>
    </row>
    <row r="12" spans="1:31" ht="30" customHeight="1" x14ac:dyDescent="0.35">
      <c r="A12" s="4533"/>
      <c r="B12" s="4500" t="s">
        <v>540</v>
      </c>
      <c r="C12" s="4501"/>
      <c r="D12" s="4501"/>
      <c r="E12" s="4501"/>
      <c r="F12" s="4502"/>
      <c r="G12" s="4502"/>
      <c r="H12" s="4502"/>
      <c r="I12" s="4502"/>
      <c r="J12" s="4503">
        <f t="shared" si="0"/>
        <v>0</v>
      </c>
      <c r="K12" s="4503"/>
      <c r="L12" s="1505">
        <v>10</v>
      </c>
      <c r="M12" s="4504"/>
      <c r="N12" s="4504"/>
      <c r="O12" s="4504"/>
      <c r="P12" s="4505"/>
      <c r="Q12" s="463"/>
      <c r="R12" s="463"/>
      <c r="S12" s="64"/>
      <c r="U12" s="66"/>
      <c r="V12" s="66"/>
      <c r="W12" s="72"/>
      <c r="X12" s="73"/>
      <c r="Y12" s="73"/>
      <c r="Z12" s="66"/>
      <c r="AA12" s="66"/>
      <c r="AB12" s="66"/>
      <c r="AC12" s="66"/>
      <c r="AD12" s="66"/>
      <c r="AE12" s="66"/>
    </row>
    <row r="13" spans="1:31" ht="30" customHeight="1" x14ac:dyDescent="0.35">
      <c r="A13" s="4533"/>
      <c r="B13" s="4500" t="s">
        <v>541</v>
      </c>
      <c r="C13" s="4500"/>
      <c r="D13" s="4500"/>
      <c r="E13" s="4500"/>
      <c r="F13" s="4502"/>
      <c r="G13" s="4502"/>
      <c r="H13" s="4502"/>
      <c r="I13" s="4502"/>
      <c r="J13" s="4503">
        <f t="shared" si="0"/>
        <v>0</v>
      </c>
      <c r="K13" s="4503"/>
      <c r="L13" s="1505">
        <v>10</v>
      </c>
      <c r="M13" s="4504"/>
      <c r="N13" s="4504"/>
      <c r="O13" s="4504"/>
      <c r="P13" s="4505"/>
      <c r="Q13" s="463"/>
      <c r="R13" s="463"/>
      <c r="S13" s="64"/>
      <c r="U13" s="66"/>
      <c r="V13" s="66"/>
      <c r="W13" s="72"/>
      <c r="X13" s="73"/>
      <c r="Y13" s="73"/>
      <c r="Z13" s="66"/>
      <c r="AA13" s="66"/>
      <c r="AB13" s="66"/>
      <c r="AC13" s="66"/>
      <c r="AD13" s="66"/>
      <c r="AE13" s="66"/>
    </row>
    <row r="14" spans="1:31" ht="30" customHeight="1" x14ac:dyDescent="0.35">
      <c r="A14" s="4533"/>
      <c r="B14" s="4500" t="s">
        <v>542</v>
      </c>
      <c r="C14" s="4501"/>
      <c r="D14" s="4501"/>
      <c r="E14" s="4501"/>
      <c r="F14" s="4502"/>
      <c r="G14" s="4502"/>
      <c r="H14" s="4502"/>
      <c r="I14" s="4502"/>
      <c r="J14" s="4503">
        <f t="shared" si="0"/>
        <v>0</v>
      </c>
      <c r="K14" s="4503"/>
      <c r="L14" s="1505">
        <v>10</v>
      </c>
      <c r="M14" s="4504"/>
      <c r="N14" s="4504"/>
      <c r="O14" s="4504"/>
      <c r="P14" s="4505"/>
      <c r="Q14" s="463"/>
      <c r="R14" s="463"/>
      <c r="S14" s="64"/>
      <c r="U14" s="66"/>
      <c r="V14" s="66"/>
      <c r="W14" s="72"/>
      <c r="X14" s="73"/>
      <c r="Y14" s="73"/>
      <c r="Z14" s="66"/>
      <c r="AA14" s="66"/>
      <c r="AB14" s="66"/>
      <c r="AC14" s="66"/>
      <c r="AD14" s="66"/>
      <c r="AE14" s="66"/>
    </row>
    <row r="15" spans="1:31" ht="30" customHeight="1" x14ac:dyDescent="0.35">
      <c r="A15" s="4533"/>
      <c r="B15" s="4500" t="s">
        <v>874</v>
      </c>
      <c r="C15" s="4501"/>
      <c r="D15" s="4501"/>
      <c r="E15" s="4501"/>
      <c r="F15" s="4502"/>
      <c r="G15" s="4502"/>
      <c r="H15" s="4502"/>
      <c r="I15" s="4502"/>
      <c r="J15" s="4503">
        <f t="shared" si="0"/>
        <v>0</v>
      </c>
      <c r="K15" s="4503"/>
      <c r="L15" s="1505">
        <v>10</v>
      </c>
      <c r="M15" s="4504"/>
      <c r="N15" s="4504"/>
      <c r="O15" s="4504"/>
      <c r="P15" s="4505"/>
      <c r="Q15" s="463"/>
      <c r="R15" s="463"/>
      <c r="S15" s="64"/>
      <c r="U15" s="66"/>
      <c r="V15" s="66"/>
      <c r="W15" s="72"/>
      <c r="X15" s="73"/>
      <c r="Y15" s="73"/>
      <c r="Z15" s="66"/>
      <c r="AA15" s="66"/>
      <c r="AB15" s="66"/>
      <c r="AC15" s="66"/>
      <c r="AD15" s="66"/>
      <c r="AE15" s="66"/>
    </row>
    <row r="16" spans="1:31" ht="30" customHeight="1" x14ac:dyDescent="0.35">
      <c r="A16" s="4533"/>
      <c r="B16" s="4500" t="s">
        <v>543</v>
      </c>
      <c r="C16" s="4501"/>
      <c r="D16" s="4501"/>
      <c r="E16" s="4501"/>
      <c r="F16" s="4502"/>
      <c r="G16" s="4502"/>
      <c r="H16" s="4502"/>
      <c r="I16" s="4502"/>
      <c r="J16" s="4503">
        <f t="shared" si="0"/>
        <v>0</v>
      </c>
      <c r="K16" s="4503"/>
      <c r="L16" s="1505">
        <v>10</v>
      </c>
      <c r="M16" s="4504"/>
      <c r="N16" s="4504"/>
      <c r="O16" s="4504"/>
      <c r="P16" s="4505"/>
      <c r="Q16" s="463"/>
      <c r="R16" s="463"/>
      <c r="S16" s="64"/>
      <c r="U16" s="66"/>
      <c r="V16" s="66"/>
      <c r="W16" s="72"/>
      <c r="X16" s="73"/>
      <c r="Y16" s="73"/>
      <c r="Z16" s="66"/>
      <c r="AA16" s="66"/>
      <c r="AB16" s="66"/>
      <c r="AC16" s="66"/>
      <c r="AD16" s="66"/>
      <c r="AE16" s="66"/>
    </row>
    <row r="17" spans="1:31" ht="30" customHeight="1" x14ac:dyDescent="0.35">
      <c r="A17" s="4533"/>
      <c r="B17" s="4500" t="s">
        <v>544</v>
      </c>
      <c r="C17" s="4501"/>
      <c r="D17" s="4501"/>
      <c r="E17" s="4501"/>
      <c r="F17" s="4502"/>
      <c r="G17" s="4502"/>
      <c r="H17" s="4502"/>
      <c r="I17" s="4502"/>
      <c r="J17" s="4503">
        <f t="shared" si="0"/>
        <v>0</v>
      </c>
      <c r="K17" s="4503"/>
      <c r="L17" s="1505">
        <v>10</v>
      </c>
      <c r="M17" s="4504"/>
      <c r="N17" s="4504"/>
      <c r="O17" s="4504"/>
      <c r="P17" s="4505"/>
      <c r="Q17" s="463"/>
      <c r="R17" s="463"/>
      <c r="S17" s="64"/>
      <c r="U17" s="66"/>
      <c r="V17" s="66"/>
      <c r="W17" s="72"/>
      <c r="X17" s="73"/>
      <c r="Y17" s="73"/>
      <c r="Z17" s="66"/>
      <c r="AA17" s="66"/>
      <c r="AB17" s="66"/>
      <c r="AC17" s="66"/>
      <c r="AD17" s="66"/>
      <c r="AE17" s="66"/>
    </row>
    <row r="18" spans="1:31" ht="30" customHeight="1" x14ac:dyDescent="0.35">
      <c r="A18" s="4533"/>
      <c r="B18" s="4500" t="s">
        <v>545</v>
      </c>
      <c r="C18" s="4501"/>
      <c r="D18" s="4501"/>
      <c r="E18" s="4501"/>
      <c r="F18" s="4502"/>
      <c r="G18" s="4502"/>
      <c r="H18" s="4502"/>
      <c r="I18" s="4502"/>
      <c r="J18" s="4503">
        <f t="shared" si="0"/>
        <v>0</v>
      </c>
      <c r="K18" s="4503"/>
      <c r="L18" s="1505">
        <v>10</v>
      </c>
      <c r="M18" s="4504"/>
      <c r="N18" s="4504"/>
      <c r="O18" s="4504"/>
      <c r="P18" s="4505"/>
      <c r="Q18" s="463">
        <v>89</v>
      </c>
      <c r="R18" s="463">
        <v>89</v>
      </c>
      <c r="S18" s="64">
        <f>SUM(S6:T17)</f>
        <v>0</v>
      </c>
      <c r="U18" s="66"/>
      <c r="V18" s="66"/>
      <c r="W18" s="72"/>
      <c r="X18" s="73"/>
      <c r="Y18" s="73"/>
      <c r="Z18" s="66"/>
      <c r="AA18" s="66"/>
      <c r="AB18" s="66"/>
      <c r="AC18" s="66"/>
      <c r="AD18" s="66"/>
      <c r="AE18" s="66"/>
    </row>
    <row r="19" spans="1:31" ht="30" customHeight="1" x14ac:dyDescent="0.35">
      <c r="A19" s="4533"/>
      <c r="B19" s="4512" t="s">
        <v>546</v>
      </c>
      <c r="C19" s="4501"/>
      <c r="D19" s="4501"/>
      <c r="E19" s="4501"/>
      <c r="F19" s="4502"/>
      <c r="G19" s="4502"/>
      <c r="H19" s="4502"/>
      <c r="I19" s="4502"/>
      <c r="J19" s="4503">
        <f t="shared" si="0"/>
        <v>0</v>
      </c>
      <c r="K19" s="4503"/>
      <c r="L19" s="1505">
        <v>10</v>
      </c>
      <c r="M19" s="4504"/>
      <c r="N19" s="4504"/>
      <c r="O19" s="4504"/>
      <c r="P19" s="4505"/>
      <c r="Q19" s="463"/>
      <c r="R19" s="463"/>
      <c r="S19" s="64"/>
      <c r="U19" s="66"/>
      <c r="V19" s="66"/>
      <c r="W19" s="72"/>
      <c r="X19" s="73"/>
      <c r="Y19" s="73"/>
      <c r="Z19" s="66"/>
      <c r="AA19" s="66"/>
      <c r="AB19" s="66"/>
      <c r="AC19" s="66"/>
      <c r="AD19" s="66"/>
      <c r="AE19" s="66"/>
    </row>
    <row r="20" spans="1:31" ht="30" customHeight="1" x14ac:dyDescent="0.35">
      <c r="A20" s="4533"/>
      <c r="B20" s="4512" t="s">
        <v>547</v>
      </c>
      <c r="C20" s="4501"/>
      <c r="D20" s="4501"/>
      <c r="E20" s="4501"/>
      <c r="F20" s="4502"/>
      <c r="G20" s="4502"/>
      <c r="H20" s="4502"/>
      <c r="I20" s="4502"/>
      <c r="J20" s="4503">
        <f>ABS(F20-H20)</f>
        <v>0</v>
      </c>
      <c r="K20" s="4503"/>
      <c r="L20" s="1505">
        <v>10</v>
      </c>
      <c r="M20" s="4504"/>
      <c r="N20" s="4504"/>
      <c r="O20" s="4504"/>
      <c r="P20" s="4505"/>
      <c r="Q20" s="463"/>
      <c r="R20" s="463"/>
      <c r="S20" s="64"/>
      <c r="U20" s="66"/>
      <c r="V20" s="66"/>
      <c r="W20" s="72"/>
      <c r="X20" s="73"/>
      <c r="Y20" s="73"/>
      <c r="Z20" s="66"/>
      <c r="AA20" s="66"/>
      <c r="AB20" s="66"/>
      <c r="AC20" s="66"/>
      <c r="AD20" s="66"/>
      <c r="AE20" s="66"/>
    </row>
    <row r="21" spans="1:31" s="1378" customFormat="1" ht="12" customHeight="1" thickBot="1" x14ac:dyDescent="0.4">
      <c r="A21" s="4533"/>
      <c r="B21" s="4524" t="s">
        <v>1385</v>
      </c>
      <c r="C21" s="4525"/>
      <c r="D21" s="4525"/>
      <c r="E21" s="4525"/>
      <c r="F21" s="4521" t="e">
        <f>AVERAGE(F9:G20)</f>
        <v>#DIV/0!</v>
      </c>
      <c r="G21" s="4521"/>
      <c r="H21" s="4521">
        <f>AVERAGE(H9:I20)</f>
        <v>0</v>
      </c>
      <c r="I21" s="4521"/>
      <c r="J21" s="4526"/>
      <c r="K21" s="4526"/>
      <c r="L21" s="1377"/>
      <c r="M21" s="4527"/>
      <c r="N21" s="4528"/>
      <c r="O21" s="4528"/>
      <c r="P21" s="4529"/>
      <c r="Q21" s="1375"/>
      <c r="R21" s="1375"/>
      <c r="S21" s="1375"/>
      <c r="U21" s="1379"/>
      <c r="V21" s="1379"/>
      <c r="W21" s="1380"/>
      <c r="X21" s="1376"/>
      <c r="Y21" s="1376"/>
      <c r="Z21" s="1379"/>
      <c r="AA21" s="1379"/>
      <c r="AB21" s="1379"/>
      <c r="AC21" s="1379"/>
      <c r="AD21" s="1379"/>
      <c r="AE21" s="1379"/>
    </row>
    <row r="22" spans="1:31" ht="9" customHeight="1" x14ac:dyDescent="0.35">
      <c r="A22" s="4530" t="s">
        <v>571</v>
      </c>
      <c r="B22" s="4518"/>
      <c r="C22" s="4519"/>
      <c r="D22" s="4519"/>
      <c r="E22" s="4519"/>
      <c r="F22" s="4519"/>
      <c r="G22" s="4519"/>
      <c r="H22" s="4519"/>
      <c r="I22" s="4519"/>
      <c r="J22" s="4519"/>
      <c r="K22" s="4519"/>
      <c r="L22" s="4519"/>
      <c r="M22" s="4519"/>
      <c r="N22" s="4519"/>
      <c r="O22" s="4519"/>
      <c r="P22" s="4520"/>
      <c r="Q22" s="463"/>
      <c r="R22" s="463"/>
      <c r="S22" s="64"/>
      <c r="U22" s="66"/>
      <c r="V22" s="66"/>
      <c r="W22" s="72"/>
      <c r="X22" s="73"/>
      <c r="Y22" s="73"/>
      <c r="Z22" s="66"/>
      <c r="AA22" s="66"/>
      <c r="AB22" s="66"/>
      <c r="AC22" s="66"/>
      <c r="AD22" s="66"/>
      <c r="AE22" s="66"/>
    </row>
    <row r="23" spans="1:31" ht="30" customHeight="1" x14ac:dyDescent="0.35">
      <c r="A23" s="4531"/>
      <c r="B23" s="4500" t="s">
        <v>249</v>
      </c>
      <c r="C23" s="4501"/>
      <c r="D23" s="4501"/>
      <c r="E23" s="4501"/>
      <c r="F23" s="4502"/>
      <c r="G23" s="4502"/>
      <c r="H23" s="4502">
        <v>0</v>
      </c>
      <c r="I23" s="4502"/>
      <c r="J23" s="4503">
        <f t="shared" ref="J23:J31" si="1">ABS(F23-H23)</f>
        <v>0</v>
      </c>
      <c r="K23" s="4503"/>
      <c r="L23" s="1505">
        <v>10</v>
      </c>
      <c r="M23" s="4504"/>
      <c r="N23" s="4504"/>
      <c r="O23" s="4504"/>
      <c r="P23" s="4505"/>
      <c r="Q23" s="463"/>
      <c r="R23" s="463"/>
      <c r="S23" s="64"/>
      <c r="U23" s="66"/>
      <c r="V23" s="66"/>
      <c r="W23" s="72"/>
      <c r="X23" s="73"/>
      <c r="Y23" s="73"/>
      <c r="Z23" s="66"/>
      <c r="AA23" s="66"/>
      <c r="AB23" s="66"/>
      <c r="AC23" s="66"/>
      <c r="AD23" s="66"/>
      <c r="AE23" s="66"/>
    </row>
    <row r="24" spans="1:31" ht="30" customHeight="1" x14ac:dyDescent="0.35">
      <c r="A24" s="4531"/>
      <c r="B24" s="4500" t="s">
        <v>875</v>
      </c>
      <c r="C24" s="4501"/>
      <c r="D24" s="4501"/>
      <c r="E24" s="4501"/>
      <c r="F24" s="4502"/>
      <c r="G24" s="4502"/>
      <c r="H24" s="4502"/>
      <c r="I24" s="4502"/>
      <c r="J24" s="4503">
        <f t="shared" si="1"/>
        <v>0</v>
      </c>
      <c r="K24" s="4503"/>
      <c r="L24" s="1505">
        <v>10</v>
      </c>
      <c r="M24" s="4504"/>
      <c r="N24" s="4504"/>
      <c r="O24" s="4504"/>
      <c r="P24" s="4505"/>
      <c r="Q24" s="463"/>
      <c r="R24" s="463"/>
      <c r="S24" s="64"/>
      <c r="U24" s="66"/>
      <c r="V24" s="66"/>
      <c r="W24" s="72"/>
      <c r="X24" s="73"/>
      <c r="Y24" s="73"/>
      <c r="Z24" s="66"/>
      <c r="AA24" s="66"/>
      <c r="AB24" s="66"/>
      <c r="AC24" s="66"/>
      <c r="AD24" s="66"/>
      <c r="AE24" s="66"/>
    </row>
    <row r="25" spans="1:31" ht="30" customHeight="1" x14ac:dyDescent="0.35">
      <c r="A25" s="4531"/>
      <c r="B25" s="4500" t="s">
        <v>548</v>
      </c>
      <c r="C25" s="4501"/>
      <c r="D25" s="4501"/>
      <c r="E25" s="4501"/>
      <c r="F25" s="4502"/>
      <c r="G25" s="4502"/>
      <c r="H25" s="4502"/>
      <c r="I25" s="4502"/>
      <c r="J25" s="4503">
        <f t="shared" si="1"/>
        <v>0</v>
      </c>
      <c r="K25" s="4503"/>
      <c r="L25" s="1505">
        <v>10</v>
      </c>
      <c r="M25" s="4504"/>
      <c r="N25" s="4504"/>
      <c r="O25" s="4504"/>
      <c r="P25" s="4505"/>
      <c r="Q25" s="463"/>
      <c r="R25" s="463"/>
      <c r="S25" s="64"/>
      <c r="U25" s="66"/>
      <c r="V25" s="66"/>
      <c r="W25" s="72"/>
      <c r="X25" s="73"/>
      <c r="Y25" s="73"/>
      <c r="Z25" s="66"/>
      <c r="AA25" s="66"/>
      <c r="AB25" s="66"/>
      <c r="AC25" s="66"/>
      <c r="AD25" s="66"/>
      <c r="AE25" s="66"/>
    </row>
    <row r="26" spans="1:31" ht="30" customHeight="1" x14ac:dyDescent="0.35">
      <c r="A26" s="4531"/>
      <c r="B26" s="4500" t="s">
        <v>549</v>
      </c>
      <c r="C26" s="4501"/>
      <c r="D26" s="4501"/>
      <c r="E26" s="4501"/>
      <c r="F26" s="4502"/>
      <c r="G26" s="4502"/>
      <c r="H26" s="4502"/>
      <c r="I26" s="4502"/>
      <c r="J26" s="4503">
        <f t="shared" si="1"/>
        <v>0</v>
      </c>
      <c r="K26" s="4503"/>
      <c r="L26" s="1505">
        <v>10</v>
      </c>
      <c r="M26" s="4504"/>
      <c r="N26" s="4504"/>
      <c r="O26" s="4504"/>
      <c r="P26" s="4505"/>
      <c r="Q26" s="463"/>
      <c r="R26" s="463"/>
      <c r="S26" s="64"/>
      <c r="U26" s="66"/>
      <c r="V26" s="66"/>
      <c r="W26" s="72"/>
      <c r="X26" s="73"/>
      <c r="Y26" s="73"/>
      <c r="Z26" s="66"/>
      <c r="AA26" s="66"/>
      <c r="AB26" s="66"/>
      <c r="AC26" s="66"/>
      <c r="AD26" s="66"/>
      <c r="AE26" s="66"/>
    </row>
    <row r="27" spans="1:31" ht="30" customHeight="1" x14ac:dyDescent="0.35">
      <c r="A27" s="4531"/>
      <c r="B27" s="4500" t="s">
        <v>250</v>
      </c>
      <c r="C27" s="4501"/>
      <c r="D27" s="4501"/>
      <c r="E27" s="4501"/>
      <c r="F27" s="4502"/>
      <c r="G27" s="4502"/>
      <c r="H27" s="4502"/>
      <c r="I27" s="4502"/>
      <c r="J27" s="4503">
        <f t="shared" si="1"/>
        <v>0</v>
      </c>
      <c r="K27" s="4503"/>
      <c r="L27" s="1505">
        <v>10</v>
      </c>
      <c r="M27" s="4504"/>
      <c r="N27" s="4504"/>
      <c r="O27" s="4504"/>
      <c r="P27" s="4505"/>
      <c r="Q27" s="463"/>
      <c r="R27" s="463"/>
      <c r="S27" s="64"/>
      <c r="U27" s="66"/>
      <c r="V27" s="66"/>
      <c r="W27" s="72"/>
      <c r="X27" s="73"/>
      <c r="Y27" s="73"/>
      <c r="Z27" s="66"/>
      <c r="AA27" s="66"/>
      <c r="AB27" s="66"/>
      <c r="AC27" s="66"/>
      <c r="AD27" s="66"/>
      <c r="AE27" s="66"/>
    </row>
    <row r="28" spans="1:31" ht="30" customHeight="1" x14ac:dyDescent="0.35">
      <c r="A28" s="4531"/>
      <c r="B28" s="4500" t="s">
        <v>251</v>
      </c>
      <c r="C28" s="4501"/>
      <c r="D28" s="4501"/>
      <c r="E28" s="4501"/>
      <c r="F28" s="4502"/>
      <c r="G28" s="4502"/>
      <c r="H28" s="4502"/>
      <c r="I28" s="4502"/>
      <c r="J28" s="4503">
        <f t="shared" si="1"/>
        <v>0</v>
      </c>
      <c r="K28" s="4503"/>
      <c r="L28" s="1505">
        <v>10</v>
      </c>
      <c r="M28" s="4504"/>
      <c r="N28" s="4504"/>
      <c r="O28" s="4504"/>
      <c r="P28" s="4505"/>
      <c r="Q28" s="463"/>
      <c r="R28" s="463"/>
      <c r="S28" s="64"/>
      <c r="U28" s="66"/>
      <c r="V28" s="66"/>
      <c r="W28" s="72"/>
      <c r="X28" s="73"/>
      <c r="Y28" s="73"/>
      <c r="Z28" s="66"/>
      <c r="AA28" s="66"/>
      <c r="AB28" s="66"/>
      <c r="AC28" s="66"/>
      <c r="AD28" s="66"/>
      <c r="AE28" s="66"/>
    </row>
    <row r="29" spans="1:31" ht="30" customHeight="1" x14ac:dyDescent="0.35">
      <c r="A29" s="4531"/>
      <c r="B29" s="4500" t="s">
        <v>550</v>
      </c>
      <c r="C29" s="4501"/>
      <c r="D29" s="4501"/>
      <c r="E29" s="4501"/>
      <c r="F29" s="4502"/>
      <c r="G29" s="4502"/>
      <c r="H29" s="4502"/>
      <c r="I29" s="4502"/>
      <c r="J29" s="4503">
        <f t="shared" si="1"/>
        <v>0</v>
      </c>
      <c r="K29" s="4503"/>
      <c r="L29" s="1505">
        <v>10</v>
      </c>
      <c r="M29" s="4504"/>
      <c r="N29" s="4504"/>
      <c r="O29" s="4504"/>
      <c r="P29" s="4505"/>
      <c r="Q29" s="463"/>
      <c r="R29" s="463"/>
      <c r="S29" s="64"/>
      <c r="U29" s="66"/>
      <c r="V29" s="66"/>
      <c r="W29" s="72"/>
      <c r="X29" s="73"/>
      <c r="Y29" s="73"/>
      <c r="Z29" s="66"/>
      <c r="AA29" s="66"/>
      <c r="AB29" s="66"/>
      <c r="AC29" s="66"/>
      <c r="AD29" s="66"/>
      <c r="AE29" s="66"/>
    </row>
    <row r="30" spans="1:31" ht="30" customHeight="1" x14ac:dyDescent="0.35">
      <c r="A30" s="4531"/>
      <c r="B30" s="4500" t="s">
        <v>551</v>
      </c>
      <c r="C30" s="4501"/>
      <c r="D30" s="4501"/>
      <c r="E30" s="4501"/>
      <c r="F30" s="4502"/>
      <c r="G30" s="4502"/>
      <c r="H30" s="4502"/>
      <c r="I30" s="4502"/>
      <c r="J30" s="4503">
        <f t="shared" si="1"/>
        <v>0</v>
      </c>
      <c r="K30" s="4503"/>
      <c r="L30" s="1505">
        <v>10</v>
      </c>
      <c r="M30" s="4504"/>
      <c r="N30" s="4504"/>
      <c r="O30" s="4504"/>
      <c r="P30" s="4505"/>
      <c r="Q30" s="463"/>
      <c r="R30" s="463"/>
      <c r="S30" s="64"/>
      <c r="U30" s="66"/>
      <c r="V30" s="66"/>
      <c r="W30" s="72"/>
      <c r="X30" s="73"/>
      <c r="Y30" s="73"/>
      <c r="Z30" s="66"/>
      <c r="AA30" s="66"/>
      <c r="AB30" s="66"/>
      <c r="AC30" s="66"/>
      <c r="AD30" s="66"/>
      <c r="AE30" s="66"/>
    </row>
    <row r="31" spans="1:31" ht="30" customHeight="1" x14ac:dyDescent="0.35">
      <c r="A31" s="4531"/>
      <c r="B31" s="4500" t="s">
        <v>873</v>
      </c>
      <c r="C31" s="4501"/>
      <c r="D31" s="4501"/>
      <c r="E31" s="4501"/>
      <c r="F31" s="4502"/>
      <c r="G31" s="4502"/>
      <c r="H31" s="4502"/>
      <c r="I31" s="4502"/>
      <c r="J31" s="4503">
        <f t="shared" si="1"/>
        <v>0</v>
      </c>
      <c r="K31" s="4503"/>
      <c r="L31" s="1505">
        <v>10</v>
      </c>
      <c r="M31" s="4504"/>
      <c r="N31" s="4504"/>
      <c r="O31" s="4504"/>
      <c r="P31" s="4505"/>
      <c r="Q31" s="463"/>
      <c r="R31" s="463"/>
      <c r="S31" s="64"/>
      <c r="U31" s="66"/>
      <c r="V31" s="66"/>
      <c r="W31" s="72"/>
      <c r="X31" s="73"/>
      <c r="Y31" s="73"/>
      <c r="Z31" s="66"/>
      <c r="AA31" s="66"/>
      <c r="AB31" s="66"/>
      <c r="AC31" s="66"/>
      <c r="AD31" s="66"/>
      <c r="AE31" s="66"/>
    </row>
    <row r="32" spans="1:31" ht="30" customHeight="1" x14ac:dyDescent="0.35">
      <c r="A32" s="4531"/>
      <c r="B32" s="4512" t="s">
        <v>552</v>
      </c>
      <c r="C32" s="4501"/>
      <c r="D32" s="4501"/>
      <c r="E32" s="4501"/>
      <c r="F32" s="4502"/>
      <c r="G32" s="4502"/>
      <c r="H32" s="4502"/>
      <c r="I32" s="4502"/>
      <c r="J32" s="4503">
        <f>ABS(F32-H32)</f>
        <v>0</v>
      </c>
      <c r="K32" s="4503"/>
      <c r="L32" s="1505">
        <v>10</v>
      </c>
      <c r="M32" s="4504"/>
      <c r="N32" s="4504"/>
      <c r="O32" s="4504"/>
      <c r="P32" s="4505"/>
      <c r="Q32" s="463"/>
      <c r="R32" s="463"/>
      <c r="S32" s="64"/>
      <c r="U32" s="66"/>
      <c r="V32" s="66"/>
      <c r="W32" s="72"/>
      <c r="X32" s="73"/>
      <c r="Y32" s="73"/>
      <c r="Z32" s="66"/>
      <c r="AA32" s="66"/>
      <c r="AB32" s="66"/>
      <c r="AC32" s="66"/>
      <c r="AD32" s="66"/>
      <c r="AE32" s="66"/>
    </row>
    <row r="33" spans="1:31" ht="18.75" customHeight="1" thickBot="1" x14ac:dyDescent="0.4">
      <c r="A33" s="4531"/>
      <c r="B33" s="4513" t="s">
        <v>1385</v>
      </c>
      <c r="C33" s="4542"/>
      <c r="D33" s="4542"/>
      <c r="E33" s="4542"/>
      <c r="F33" s="4521" t="e">
        <f>AVERAGE(F23:G32)</f>
        <v>#DIV/0!</v>
      </c>
      <c r="G33" s="4521"/>
      <c r="H33" s="4521">
        <f>AVERAGE(H23:I32)</f>
        <v>0</v>
      </c>
      <c r="I33" s="4521"/>
      <c r="J33" s="4509">
        <v>0</v>
      </c>
      <c r="K33" s="4509"/>
      <c r="L33" s="1508">
        <v>0</v>
      </c>
      <c r="M33" s="1506"/>
      <c r="N33" s="1506"/>
      <c r="O33" s="1506"/>
      <c r="P33" s="1507"/>
      <c r="Q33" s="463"/>
      <c r="R33" s="463"/>
      <c r="S33" s="64"/>
      <c r="U33" s="66"/>
      <c r="V33" s="66"/>
      <c r="W33" s="72"/>
      <c r="X33" s="73"/>
      <c r="Y33" s="73"/>
      <c r="Z33" s="66"/>
      <c r="AA33" s="66"/>
      <c r="AB33" s="66"/>
      <c r="AC33" s="66"/>
      <c r="AD33" s="66"/>
      <c r="AE33" s="66"/>
    </row>
    <row r="34" spans="1:31" ht="9" customHeight="1" x14ac:dyDescent="0.35">
      <c r="A34" s="4522" t="s">
        <v>572</v>
      </c>
      <c r="B34" s="4518"/>
      <c r="C34" s="4519"/>
      <c r="D34" s="4519"/>
      <c r="E34" s="4519"/>
      <c r="F34" s="4519"/>
      <c r="G34" s="4519"/>
      <c r="H34" s="4519"/>
      <c r="I34" s="4519"/>
      <c r="J34" s="4519"/>
      <c r="K34" s="4519"/>
      <c r="L34" s="4519"/>
      <c r="M34" s="4519"/>
      <c r="N34" s="4519"/>
      <c r="O34" s="4519"/>
      <c r="P34" s="4520"/>
      <c r="Q34" s="463"/>
      <c r="R34" s="463"/>
      <c r="S34" s="64"/>
      <c r="U34" s="66"/>
      <c r="V34" s="66"/>
      <c r="W34" s="72"/>
      <c r="X34" s="73"/>
      <c r="Y34" s="73"/>
      <c r="Z34" s="66"/>
      <c r="AA34" s="66"/>
      <c r="AB34" s="66"/>
      <c r="AC34" s="66"/>
      <c r="AD34" s="66"/>
      <c r="AE34" s="66"/>
    </row>
    <row r="35" spans="1:31" ht="30" customHeight="1" x14ac:dyDescent="0.35">
      <c r="A35" s="4523"/>
      <c r="B35" s="4512" t="s">
        <v>553</v>
      </c>
      <c r="C35" s="4501"/>
      <c r="D35" s="4501"/>
      <c r="E35" s="4501"/>
      <c r="F35" s="4502">
        <v>0</v>
      </c>
      <c r="G35" s="4502"/>
      <c r="H35" s="4502">
        <v>0</v>
      </c>
      <c r="I35" s="4502"/>
      <c r="J35" s="4503">
        <f t="shared" ref="J35:J41" si="2">ABS(F35-H35)</f>
        <v>0</v>
      </c>
      <c r="K35" s="4503"/>
      <c r="L35" s="1505">
        <v>10</v>
      </c>
      <c r="M35" s="4504"/>
      <c r="N35" s="4504"/>
      <c r="O35" s="4504"/>
      <c r="P35" s="4505"/>
      <c r="Q35" s="463"/>
      <c r="R35" s="463"/>
      <c r="S35" s="64"/>
      <c r="U35" s="66"/>
      <c r="V35" s="66"/>
      <c r="W35" s="72"/>
      <c r="X35" s="73"/>
      <c r="Y35" s="73"/>
      <c r="Z35" s="66"/>
      <c r="AA35" s="66"/>
      <c r="AB35" s="66"/>
      <c r="AC35" s="66"/>
      <c r="AD35" s="66"/>
      <c r="AE35" s="66"/>
    </row>
    <row r="36" spans="1:31" ht="30" customHeight="1" x14ac:dyDescent="0.35">
      <c r="A36" s="4523"/>
      <c r="B36" s="4512" t="s">
        <v>554</v>
      </c>
      <c r="C36" s="4501"/>
      <c r="D36" s="4501"/>
      <c r="E36" s="4501"/>
      <c r="F36" s="4502"/>
      <c r="G36" s="4502"/>
      <c r="H36" s="4502"/>
      <c r="I36" s="4502"/>
      <c r="J36" s="4503">
        <f t="shared" si="2"/>
        <v>0</v>
      </c>
      <c r="K36" s="4503"/>
      <c r="L36" s="1505">
        <v>10</v>
      </c>
      <c r="M36" s="4504"/>
      <c r="N36" s="4504"/>
      <c r="O36" s="4504"/>
      <c r="P36" s="4505"/>
      <c r="Q36" s="463"/>
      <c r="R36" s="463"/>
      <c r="S36" s="64"/>
      <c r="U36" s="66"/>
      <c r="V36" s="66"/>
      <c r="W36" s="72"/>
      <c r="X36" s="73"/>
      <c r="Y36" s="73"/>
      <c r="Z36" s="66"/>
      <c r="AA36" s="66"/>
      <c r="AB36" s="66"/>
      <c r="AC36" s="66"/>
      <c r="AD36" s="66"/>
      <c r="AE36" s="66"/>
    </row>
    <row r="37" spans="1:31" ht="30" customHeight="1" x14ac:dyDescent="0.35">
      <c r="A37" s="4523"/>
      <c r="B37" s="4512" t="s">
        <v>252</v>
      </c>
      <c r="C37" s="4501"/>
      <c r="D37" s="4501"/>
      <c r="E37" s="4501"/>
      <c r="F37" s="4502"/>
      <c r="G37" s="4502"/>
      <c r="H37" s="4502"/>
      <c r="I37" s="4502"/>
      <c r="J37" s="4503">
        <f t="shared" si="2"/>
        <v>0</v>
      </c>
      <c r="K37" s="4503"/>
      <c r="L37" s="1505">
        <v>10</v>
      </c>
      <c r="M37" s="4504"/>
      <c r="N37" s="4504"/>
      <c r="O37" s="4504"/>
      <c r="P37" s="4505"/>
      <c r="Q37" s="463"/>
      <c r="R37" s="463"/>
      <c r="S37" s="64"/>
      <c r="U37" s="66"/>
      <c r="V37" s="66"/>
      <c r="W37" s="72"/>
      <c r="X37" s="73"/>
      <c r="Y37" s="73"/>
      <c r="Z37" s="66"/>
      <c r="AA37" s="66"/>
      <c r="AB37" s="66"/>
      <c r="AC37" s="66"/>
      <c r="AD37" s="66"/>
      <c r="AE37" s="66"/>
    </row>
    <row r="38" spans="1:31" ht="30" customHeight="1" x14ac:dyDescent="0.35">
      <c r="A38" s="4523"/>
      <c r="B38" s="4512" t="s">
        <v>557</v>
      </c>
      <c r="C38" s="4501"/>
      <c r="D38" s="4501"/>
      <c r="E38" s="4501"/>
      <c r="F38" s="4502"/>
      <c r="G38" s="4502"/>
      <c r="H38" s="4502"/>
      <c r="I38" s="4502"/>
      <c r="J38" s="4503">
        <f t="shared" si="2"/>
        <v>0</v>
      </c>
      <c r="K38" s="4503"/>
      <c r="L38" s="1505">
        <v>10</v>
      </c>
      <c r="M38" s="4504"/>
      <c r="N38" s="4504"/>
      <c r="O38" s="4504"/>
      <c r="P38" s="4505"/>
      <c r="Q38" s="463"/>
      <c r="R38" s="463"/>
      <c r="S38" s="64"/>
      <c r="U38" s="66"/>
      <c r="V38" s="66"/>
      <c r="W38" s="72"/>
      <c r="X38" s="73"/>
      <c r="Y38" s="73"/>
      <c r="Z38" s="66"/>
      <c r="AA38" s="66"/>
      <c r="AB38" s="66"/>
      <c r="AC38" s="66"/>
      <c r="AD38" s="66"/>
      <c r="AE38" s="66"/>
    </row>
    <row r="39" spans="1:31" ht="30" customHeight="1" x14ac:dyDescent="0.35">
      <c r="A39" s="4523"/>
      <c r="B39" s="4512" t="s">
        <v>558</v>
      </c>
      <c r="C39" s="4501"/>
      <c r="D39" s="4501"/>
      <c r="E39" s="4501"/>
      <c r="F39" s="4502"/>
      <c r="G39" s="4502"/>
      <c r="H39" s="4502"/>
      <c r="I39" s="4502"/>
      <c r="J39" s="4503">
        <f t="shared" si="2"/>
        <v>0</v>
      </c>
      <c r="K39" s="4503"/>
      <c r="L39" s="1505">
        <v>10</v>
      </c>
      <c r="M39" s="4504"/>
      <c r="N39" s="4504"/>
      <c r="O39" s="4504"/>
      <c r="P39" s="4505"/>
      <c r="Q39" s="463"/>
      <c r="R39" s="463"/>
      <c r="S39" s="64"/>
      <c r="U39" s="66"/>
      <c r="V39" s="66"/>
      <c r="W39" s="72"/>
      <c r="X39" s="73"/>
      <c r="Y39" s="73"/>
      <c r="Z39" s="66"/>
      <c r="AA39" s="66"/>
      <c r="AB39" s="66"/>
      <c r="AC39" s="66"/>
      <c r="AD39" s="66"/>
      <c r="AE39" s="66"/>
    </row>
    <row r="40" spans="1:31" ht="30" customHeight="1" x14ac:dyDescent="0.35">
      <c r="A40" s="4523"/>
      <c r="B40" s="4512" t="s">
        <v>556</v>
      </c>
      <c r="C40" s="4501"/>
      <c r="D40" s="4501"/>
      <c r="E40" s="4501"/>
      <c r="F40" s="4502"/>
      <c r="G40" s="4502"/>
      <c r="H40" s="4502"/>
      <c r="I40" s="4502"/>
      <c r="J40" s="4503">
        <f t="shared" si="2"/>
        <v>0</v>
      </c>
      <c r="K40" s="4503"/>
      <c r="L40" s="1505">
        <v>10</v>
      </c>
      <c r="M40" s="4504"/>
      <c r="N40" s="4504"/>
      <c r="O40" s="4504"/>
      <c r="P40" s="4505"/>
      <c r="Q40" s="463"/>
      <c r="R40" s="463"/>
      <c r="S40" s="64"/>
      <c r="U40" s="66"/>
      <c r="V40" s="66"/>
      <c r="W40" s="72"/>
      <c r="X40" s="73"/>
      <c r="Y40" s="73"/>
      <c r="Z40" s="66"/>
      <c r="AA40" s="66"/>
      <c r="AB40" s="66"/>
      <c r="AC40" s="66"/>
      <c r="AD40" s="66"/>
      <c r="AE40" s="66"/>
    </row>
    <row r="41" spans="1:31" ht="30" customHeight="1" x14ac:dyDescent="0.35">
      <c r="A41" s="4523"/>
      <c r="B41" s="4512" t="s">
        <v>555</v>
      </c>
      <c r="C41" s="4501"/>
      <c r="D41" s="4501"/>
      <c r="E41" s="4501"/>
      <c r="F41" s="4502"/>
      <c r="G41" s="4502"/>
      <c r="H41" s="4502"/>
      <c r="I41" s="4502"/>
      <c r="J41" s="4503">
        <f t="shared" si="2"/>
        <v>0</v>
      </c>
      <c r="K41" s="4503"/>
      <c r="L41" s="1505">
        <v>10</v>
      </c>
      <c r="M41" s="4504"/>
      <c r="N41" s="4504"/>
      <c r="O41" s="4504"/>
      <c r="P41" s="4505"/>
      <c r="Q41" s="463"/>
      <c r="R41" s="463"/>
      <c r="S41" s="64"/>
      <c r="U41" s="66"/>
      <c r="V41" s="66"/>
      <c r="W41" s="72"/>
      <c r="X41" s="73"/>
      <c r="Y41" s="73"/>
      <c r="Z41" s="66"/>
      <c r="AA41" s="66"/>
      <c r="AB41" s="66"/>
      <c r="AC41" s="66"/>
      <c r="AD41" s="66"/>
      <c r="AE41" s="66"/>
    </row>
    <row r="42" spans="1:31" ht="30" customHeight="1" x14ac:dyDescent="0.35">
      <c r="A42" s="4523"/>
      <c r="B42" s="4512" t="s">
        <v>253</v>
      </c>
      <c r="C42" s="4501"/>
      <c r="D42" s="4501"/>
      <c r="E42" s="4501"/>
      <c r="F42" s="4502"/>
      <c r="G42" s="4502"/>
      <c r="H42" s="4502"/>
      <c r="I42" s="4502"/>
      <c r="J42" s="4503">
        <f>ABS(F42-H42)</f>
        <v>0</v>
      </c>
      <c r="K42" s="4503"/>
      <c r="L42" s="1505">
        <v>10</v>
      </c>
      <c r="M42" s="4504"/>
      <c r="N42" s="4504"/>
      <c r="O42" s="4504"/>
      <c r="P42" s="4505"/>
      <c r="Q42" s="463"/>
      <c r="R42" s="463"/>
      <c r="S42" s="64"/>
      <c r="U42" s="66"/>
      <c r="V42" s="66"/>
      <c r="W42" s="72"/>
      <c r="X42" s="73"/>
      <c r="Y42" s="73"/>
      <c r="Z42" s="66"/>
      <c r="AA42" s="66"/>
      <c r="AB42" s="66"/>
      <c r="AC42" s="66"/>
      <c r="AD42" s="66"/>
      <c r="AE42" s="66"/>
    </row>
    <row r="43" spans="1:31" ht="18" customHeight="1" thickBot="1" x14ac:dyDescent="0.4">
      <c r="A43" s="4523"/>
      <c r="B43" s="4513" t="s">
        <v>1385</v>
      </c>
      <c r="C43" s="4514"/>
      <c r="D43" s="4514"/>
      <c r="E43" s="4514"/>
      <c r="F43" s="4508">
        <f>AVERAGE(F35:G42)</f>
        <v>0</v>
      </c>
      <c r="G43" s="4508"/>
      <c r="H43" s="4508">
        <f>AVERAGE(H35:I42)</f>
        <v>0</v>
      </c>
      <c r="I43" s="4508"/>
      <c r="J43" s="4509">
        <v>0</v>
      </c>
      <c r="K43" s="4509"/>
      <c r="L43" s="744"/>
      <c r="M43" s="4510"/>
      <c r="N43" s="4510"/>
      <c r="O43" s="4510"/>
      <c r="P43" s="4511"/>
      <c r="Q43" s="463"/>
      <c r="R43" s="463"/>
      <c r="S43" s="64"/>
      <c r="U43" s="66"/>
      <c r="V43" s="66"/>
      <c r="W43" s="72"/>
      <c r="X43" s="73"/>
      <c r="Y43" s="73"/>
      <c r="Z43" s="66"/>
      <c r="AA43" s="66"/>
      <c r="AB43" s="66"/>
      <c r="AC43" s="66"/>
      <c r="AD43" s="66"/>
      <c r="AE43" s="66"/>
    </row>
    <row r="44" spans="1:31" ht="9" customHeight="1" x14ac:dyDescent="0.35">
      <c r="A44" s="4515" t="s">
        <v>258</v>
      </c>
      <c r="B44" s="4518"/>
      <c r="C44" s="4519"/>
      <c r="D44" s="4519"/>
      <c r="E44" s="4519"/>
      <c r="F44" s="4519"/>
      <c r="G44" s="4519"/>
      <c r="H44" s="4519"/>
      <c r="I44" s="4519"/>
      <c r="J44" s="4519"/>
      <c r="K44" s="4519"/>
      <c r="L44" s="4519"/>
      <c r="M44" s="4519"/>
      <c r="N44" s="4519"/>
      <c r="O44" s="4519"/>
      <c r="P44" s="4520"/>
      <c r="Q44" s="463"/>
      <c r="R44" s="463"/>
      <c r="S44" s="64"/>
      <c r="U44" s="66"/>
      <c r="V44" s="66"/>
      <c r="W44" s="72"/>
      <c r="X44" s="73"/>
      <c r="Y44" s="73"/>
      <c r="Z44" s="66"/>
      <c r="AA44" s="66"/>
      <c r="AB44" s="66"/>
      <c r="AC44" s="66"/>
      <c r="AD44" s="66"/>
      <c r="AE44" s="66"/>
    </row>
    <row r="45" spans="1:31" ht="30" customHeight="1" x14ac:dyDescent="0.35">
      <c r="A45" s="4516"/>
      <c r="B45" s="4512" t="s">
        <v>254</v>
      </c>
      <c r="C45" s="4501"/>
      <c r="D45" s="4501"/>
      <c r="E45" s="4501"/>
      <c r="F45" s="4502"/>
      <c r="G45" s="4502"/>
      <c r="H45" s="4502">
        <v>0</v>
      </c>
      <c r="I45" s="4502"/>
      <c r="J45" s="4503">
        <f t="shared" ref="J45:J50" si="3">ABS(F45-H45)</f>
        <v>0</v>
      </c>
      <c r="K45" s="4503"/>
      <c r="L45" s="1505">
        <v>10</v>
      </c>
      <c r="M45" s="4504"/>
      <c r="N45" s="4504"/>
      <c r="O45" s="4504"/>
      <c r="P45" s="4505"/>
      <c r="Q45" s="463"/>
      <c r="R45" s="463"/>
      <c r="S45" s="64"/>
      <c r="U45" s="66"/>
      <c r="V45" s="66"/>
      <c r="W45" s="72"/>
      <c r="X45" s="73"/>
      <c r="Y45" s="73"/>
      <c r="Z45" s="66"/>
      <c r="AA45" s="66"/>
      <c r="AB45" s="66"/>
      <c r="AC45" s="66"/>
      <c r="AD45" s="66"/>
      <c r="AE45" s="66"/>
    </row>
    <row r="46" spans="1:31" ht="30" customHeight="1" x14ac:dyDescent="0.35">
      <c r="A46" s="4516"/>
      <c r="B46" s="4512" t="s">
        <v>559</v>
      </c>
      <c r="C46" s="4501"/>
      <c r="D46" s="4501"/>
      <c r="E46" s="4501"/>
      <c r="F46" s="4502"/>
      <c r="G46" s="4502"/>
      <c r="H46" s="4502"/>
      <c r="I46" s="4502"/>
      <c r="J46" s="4503">
        <f t="shared" si="3"/>
        <v>0</v>
      </c>
      <c r="K46" s="4503"/>
      <c r="L46" s="1505">
        <v>10</v>
      </c>
      <c r="M46" s="4504"/>
      <c r="N46" s="4504"/>
      <c r="O46" s="4504"/>
      <c r="P46" s="4505"/>
      <c r="Q46" s="463"/>
      <c r="R46" s="463"/>
      <c r="S46" s="64"/>
      <c r="U46" s="66"/>
      <c r="V46" s="66"/>
      <c r="W46" s="72"/>
      <c r="X46" s="73"/>
      <c r="Y46" s="73"/>
      <c r="Z46" s="66"/>
      <c r="AA46" s="66"/>
      <c r="AB46" s="66"/>
      <c r="AC46" s="66"/>
      <c r="AD46" s="66"/>
      <c r="AE46" s="66"/>
    </row>
    <row r="47" spans="1:31" ht="30" customHeight="1" x14ac:dyDescent="0.35">
      <c r="A47" s="4516"/>
      <c r="B47" s="4512" t="s">
        <v>255</v>
      </c>
      <c r="C47" s="4501"/>
      <c r="D47" s="4501"/>
      <c r="E47" s="4501"/>
      <c r="F47" s="4502"/>
      <c r="G47" s="4502"/>
      <c r="H47" s="4502"/>
      <c r="I47" s="4502"/>
      <c r="J47" s="4503">
        <f t="shared" si="3"/>
        <v>0</v>
      </c>
      <c r="K47" s="4503"/>
      <c r="L47" s="1505">
        <v>10</v>
      </c>
      <c r="M47" s="4504"/>
      <c r="N47" s="4504"/>
      <c r="O47" s="4504"/>
      <c r="P47" s="4505"/>
      <c r="Q47" s="463"/>
      <c r="R47" s="463"/>
      <c r="S47" s="64"/>
      <c r="U47" s="66"/>
      <c r="V47" s="66"/>
      <c r="W47" s="72"/>
      <c r="X47" s="73"/>
      <c r="Y47" s="73"/>
      <c r="Z47" s="66"/>
      <c r="AA47" s="66"/>
      <c r="AB47" s="66"/>
      <c r="AC47" s="66"/>
      <c r="AD47" s="66"/>
      <c r="AE47" s="66"/>
    </row>
    <row r="48" spans="1:31" ht="30" customHeight="1" x14ac:dyDescent="0.35">
      <c r="A48" s="4516"/>
      <c r="B48" s="4512" t="s">
        <v>560</v>
      </c>
      <c r="C48" s="4501"/>
      <c r="D48" s="4501"/>
      <c r="E48" s="4501"/>
      <c r="F48" s="4502"/>
      <c r="G48" s="4502"/>
      <c r="H48" s="4502"/>
      <c r="I48" s="4502"/>
      <c r="J48" s="4503">
        <f t="shared" si="3"/>
        <v>0</v>
      </c>
      <c r="K48" s="4503"/>
      <c r="L48" s="1505">
        <v>10</v>
      </c>
      <c r="M48" s="4504"/>
      <c r="N48" s="4504"/>
      <c r="O48" s="4504"/>
      <c r="P48" s="4505"/>
      <c r="Q48" s="463"/>
      <c r="R48" s="463"/>
      <c r="S48" s="64"/>
      <c r="U48" s="66"/>
      <c r="V48" s="66"/>
      <c r="W48" s="72"/>
      <c r="X48" s="73"/>
      <c r="Y48" s="73"/>
      <c r="Z48" s="66"/>
      <c r="AA48" s="66"/>
      <c r="AB48" s="66"/>
      <c r="AC48" s="66"/>
      <c r="AD48" s="66"/>
      <c r="AE48" s="66"/>
    </row>
    <row r="49" spans="1:31" ht="30" customHeight="1" x14ac:dyDescent="0.35">
      <c r="A49" s="4516"/>
      <c r="B49" s="4512" t="s">
        <v>876</v>
      </c>
      <c r="C49" s="4501"/>
      <c r="D49" s="4501"/>
      <c r="E49" s="4501"/>
      <c r="F49" s="4502"/>
      <c r="G49" s="4502"/>
      <c r="H49" s="4502"/>
      <c r="I49" s="4502"/>
      <c r="J49" s="4503">
        <f t="shared" si="3"/>
        <v>0</v>
      </c>
      <c r="K49" s="4503"/>
      <c r="L49" s="1505">
        <v>10</v>
      </c>
      <c r="M49" s="4504"/>
      <c r="N49" s="4504"/>
      <c r="O49" s="4504"/>
      <c r="P49" s="4505"/>
      <c r="Q49" s="463"/>
      <c r="R49" s="463"/>
      <c r="S49" s="64"/>
      <c r="U49" s="66"/>
      <c r="V49" s="66"/>
      <c r="W49" s="72"/>
      <c r="X49" s="73"/>
      <c r="Y49" s="73"/>
      <c r="Z49" s="66"/>
      <c r="AA49" s="66"/>
      <c r="AB49" s="66"/>
      <c r="AC49" s="66"/>
      <c r="AD49" s="66"/>
      <c r="AE49" s="66"/>
    </row>
    <row r="50" spans="1:31" ht="30" customHeight="1" x14ac:dyDescent="0.35">
      <c r="A50" s="4516"/>
      <c r="B50" s="4500" t="s">
        <v>256</v>
      </c>
      <c r="C50" s="4501"/>
      <c r="D50" s="4501"/>
      <c r="E50" s="4501"/>
      <c r="F50" s="4502"/>
      <c r="G50" s="4502"/>
      <c r="H50" s="4502"/>
      <c r="I50" s="4502"/>
      <c r="J50" s="4503">
        <f t="shared" si="3"/>
        <v>0</v>
      </c>
      <c r="K50" s="4503"/>
      <c r="L50" s="1505">
        <v>10</v>
      </c>
      <c r="M50" s="4504"/>
      <c r="N50" s="4504"/>
      <c r="O50" s="4504"/>
      <c r="P50" s="4505"/>
      <c r="Q50" s="463"/>
      <c r="R50" s="463"/>
      <c r="S50" s="64"/>
      <c r="U50" s="66"/>
      <c r="V50" s="66"/>
      <c r="W50" s="72"/>
      <c r="X50" s="73"/>
      <c r="Y50" s="73"/>
      <c r="Z50" s="66"/>
      <c r="AA50" s="66"/>
      <c r="AB50" s="66"/>
      <c r="AC50" s="66"/>
      <c r="AD50" s="66"/>
      <c r="AE50" s="66"/>
    </row>
    <row r="51" spans="1:31" ht="30" customHeight="1" x14ac:dyDescent="0.35">
      <c r="A51" s="4516"/>
      <c r="B51" s="4500" t="s">
        <v>257</v>
      </c>
      <c r="C51" s="4501"/>
      <c r="D51" s="4501"/>
      <c r="E51" s="4501"/>
      <c r="F51" s="4502"/>
      <c r="G51" s="4502"/>
      <c r="H51" s="4502"/>
      <c r="I51" s="4502"/>
      <c r="J51" s="4503">
        <f>ABS(F51-H51)</f>
        <v>0</v>
      </c>
      <c r="K51" s="4503"/>
      <c r="L51" s="1505">
        <v>10</v>
      </c>
      <c r="M51" s="4504"/>
      <c r="N51" s="4504"/>
      <c r="O51" s="4504"/>
      <c r="P51" s="4505"/>
      <c r="Q51" s="463"/>
      <c r="R51" s="463"/>
      <c r="S51" s="64"/>
      <c r="U51" s="66"/>
      <c r="V51" s="66"/>
      <c r="W51" s="72"/>
      <c r="X51" s="73"/>
      <c r="Y51" s="73"/>
      <c r="Z51" s="66"/>
      <c r="AA51" s="66"/>
      <c r="AB51" s="66"/>
      <c r="AC51" s="66"/>
      <c r="AD51" s="66"/>
      <c r="AE51" s="66"/>
    </row>
    <row r="52" spans="1:31" ht="11.25" customHeight="1" thickBot="1" x14ac:dyDescent="0.4">
      <c r="A52" s="4516"/>
      <c r="B52" s="4506" t="s">
        <v>1385</v>
      </c>
      <c r="C52" s="4507"/>
      <c r="D52" s="4507"/>
      <c r="E52" s="4507"/>
      <c r="F52" s="4508" t="e">
        <f>AVERAGE(F45:G51)</f>
        <v>#DIV/0!</v>
      </c>
      <c r="G52" s="4508"/>
      <c r="H52" s="4508">
        <f>AVERAGE(H45:I51)</f>
        <v>0</v>
      </c>
      <c r="I52" s="4508"/>
      <c r="J52" s="4509">
        <v>0</v>
      </c>
      <c r="K52" s="4509"/>
      <c r="L52" s="744"/>
      <c r="M52" s="4510"/>
      <c r="N52" s="4510"/>
      <c r="O52" s="4510"/>
      <c r="P52" s="4511"/>
      <c r="Q52" s="463"/>
      <c r="R52" s="463"/>
      <c r="S52" s="64"/>
      <c r="U52" s="66"/>
      <c r="V52" s="66"/>
      <c r="W52" s="72"/>
      <c r="X52" s="73"/>
      <c r="Y52" s="73"/>
      <c r="Z52" s="66"/>
      <c r="AA52" s="66"/>
      <c r="AB52" s="66"/>
      <c r="AC52" s="66"/>
      <c r="AD52" s="66"/>
      <c r="AE52" s="66"/>
    </row>
    <row r="53" spans="1:31" ht="9" customHeight="1" thickBot="1" x14ac:dyDescent="0.4">
      <c r="A53" s="4517"/>
      <c r="B53" s="4488"/>
      <c r="C53" s="4489"/>
      <c r="D53" s="4489"/>
      <c r="E53" s="4489"/>
      <c r="F53" s="4489"/>
      <c r="G53" s="4489"/>
      <c r="H53" s="4489"/>
      <c r="I53" s="4489"/>
      <c r="J53" s="4489"/>
      <c r="K53" s="4489"/>
      <c r="L53" s="4489"/>
      <c r="M53" s="4489"/>
      <c r="N53" s="4489"/>
      <c r="O53" s="4489"/>
      <c r="P53" s="4490"/>
      <c r="Q53" s="463"/>
      <c r="R53" s="463"/>
      <c r="S53" s="64"/>
      <c r="U53" s="66"/>
      <c r="V53" s="66"/>
      <c r="W53" s="72"/>
      <c r="X53" s="73"/>
      <c r="Y53" s="73"/>
      <c r="Z53" s="66"/>
      <c r="AA53" s="66"/>
      <c r="AB53" s="66"/>
      <c r="AC53" s="66"/>
      <c r="AD53" s="66"/>
      <c r="AE53" s="66"/>
    </row>
    <row r="54" spans="1:31" ht="29.25" customHeight="1" thickTop="1" x14ac:dyDescent="0.35">
      <c r="A54" s="1498"/>
      <c r="B54" s="1498"/>
      <c r="C54" s="1498"/>
      <c r="D54" s="4491" t="s">
        <v>222</v>
      </c>
      <c r="E54" s="4492"/>
      <c r="F54" s="4493">
        <f>SUM(F9:G20)+SUM(F23:G32)+SUM(F35:G42)+SUM(F45:G51)</f>
        <v>0</v>
      </c>
      <c r="G54" s="4493"/>
      <c r="H54" s="4493">
        <f>SUM(H9:I20)+SUM(H23:I32)+SUM(H35:I42)+SUM(H45:I51)</f>
        <v>0</v>
      </c>
      <c r="I54" s="4493"/>
      <c r="J54" s="4493">
        <f>SUM(J8:J53)</f>
        <v>0</v>
      </c>
      <c r="K54" s="4493"/>
      <c r="L54" s="4494">
        <f>SUM(L8:L53)</f>
        <v>370</v>
      </c>
      <c r="M54" s="1498"/>
      <c r="N54" s="1498"/>
      <c r="O54" s="1498"/>
      <c r="P54" s="1498"/>
      <c r="Q54" s="463"/>
      <c r="R54" s="463"/>
      <c r="S54" s="64"/>
      <c r="U54" s="66"/>
      <c r="V54" s="66"/>
      <c r="W54" s="72"/>
      <c r="X54" s="73"/>
      <c r="Y54" s="73"/>
      <c r="Z54" s="66"/>
      <c r="AA54" s="66"/>
      <c r="AB54" s="66"/>
      <c r="AC54" s="66"/>
      <c r="AD54" s="66"/>
      <c r="AE54" s="66"/>
    </row>
    <row r="55" spans="1:31" ht="29.25" customHeight="1" thickBot="1" x14ac:dyDescent="0.4">
      <c r="A55" s="1498"/>
      <c r="B55" s="1498"/>
      <c r="C55" s="1498"/>
      <c r="D55" s="4496" t="s">
        <v>261</v>
      </c>
      <c r="E55" s="4497"/>
      <c r="F55" s="4498">
        <f>AVERAGE(F9:G20,F23:G32,F35:G42,F45:G51)</f>
        <v>0</v>
      </c>
      <c r="G55" s="4498"/>
      <c r="H55" s="4498">
        <f>AVERAGE(H9:I20,H23:I32,H35:I42,H45:I51)</f>
        <v>0</v>
      </c>
      <c r="I55" s="4498"/>
      <c r="J55" s="4499">
        <f>J54/L54</f>
        <v>0</v>
      </c>
      <c r="K55" s="4499"/>
      <c r="L55" s="4495"/>
      <c r="M55" s="1498"/>
      <c r="N55" s="1498"/>
      <c r="O55" s="1498"/>
      <c r="P55" s="1498"/>
      <c r="Q55" s="463"/>
      <c r="R55" s="463"/>
      <c r="S55" s="64"/>
      <c r="U55" s="66"/>
      <c r="V55" s="66"/>
      <c r="W55" s="72"/>
      <c r="X55" s="73"/>
      <c r="Y55" s="73"/>
      <c r="Z55" s="66"/>
      <c r="AA55" s="66"/>
      <c r="AB55" s="66"/>
      <c r="AC55" s="66"/>
      <c r="AD55" s="66"/>
      <c r="AE55" s="66"/>
    </row>
    <row r="56" spans="1:31" ht="15" thickTop="1" x14ac:dyDescent="0.35">
      <c r="A56" s="1498"/>
      <c r="B56" s="1498"/>
      <c r="C56" s="64"/>
      <c r="D56" s="64"/>
      <c r="E56" s="64"/>
      <c r="F56" s="64"/>
      <c r="G56" s="64"/>
      <c r="H56" s="1498"/>
      <c r="I56" s="1498"/>
      <c r="J56" s="1498"/>
      <c r="K56" s="1498"/>
      <c r="L56" s="1498"/>
      <c r="M56" s="1498"/>
      <c r="N56" s="1498"/>
      <c r="O56" s="1498"/>
      <c r="P56" s="1498"/>
      <c r="Q56" s="463"/>
      <c r="R56" s="463"/>
      <c r="S56" s="64"/>
      <c r="U56" s="93"/>
      <c r="V56" s="93"/>
      <c r="W56" s="73"/>
      <c r="X56" s="73"/>
      <c r="Y56" s="73"/>
      <c r="Z56" s="66"/>
      <c r="AA56" s="66"/>
      <c r="AB56" s="66"/>
      <c r="AC56" s="66"/>
      <c r="AD56" s="66"/>
      <c r="AE56" s="66"/>
    </row>
    <row r="57" spans="1:31" ht="24.75" customHeight="1" x14ac:dyDescent="0.35">
      <c r="A57" s="64"/>
      <c r="B57" s="64"/>
      <c r="C57" s="64"/>
      <c r="D57" s="64"/>
      <c r="E57" s="64"/>
      <c r="F57" s="64"/>
      <c r="G57" s="64"/>
      <c r="H57" s="64"/>
      <c r="I57" s="64"/>
      <c r="J57" s="64"/>
      <c r="K57" s="64"/>
      <c r="L57" s="64"/>
      <c r="M57" s="64"/>
      <c r="N57" s="64"/>
      <c r="O57" s="64"/>
      <c r="P57" s="64"/>
      <c r="Q57" s="64"/>
      <c r="R57" s="64"/>
      <c r="S57" s="64"/>
    </row>
    <row r="58" spans="1:31" x14ac:dyDescent="0.35">
      <c r="A58" s="64"/>
      <c r="B58" s="64"/>
      <c r="C58" s="64"/>
      <c r="D58" s="64"/>
      <c r="E58" s="64"/>
      <c r="F58" s="64"/>
      <c r="G58" s="64"/>
      <c r="H58" s="64"/>
      <c r="I58" s="64"/>
      <c r="J58" s="64"/>
      <c r="K58" s="64"/>
      <c r="L58" s="64"/>
      <c r="M58" s="64"/>
      <c r="N58" s="64"/>
      <c r="O58" s="64"/>
      <c r="P58" s="64"/>
      <c r="Q58" s="64"/>
      <c r="R58" s="64"/>
      <c r="S58" s="64"/>
      <c r="T58" s="64"/>
      <c r="U58" s="64"/>
    </row>
    <row r="59" spans="1:31" x14ac:dyDescent="0.35">
      <c r="A59" s="64"/>
      <c r="B59" s="64"/>
      <c r="C59" s="64"/>
      <c r="D59" s="64"/>
      <c r="E59" s="64"/>
      <c r="F59" s="64"/>
      <c r="G59" s="64"/>
      <c r="H59" s="64"/>
      <c r="I59" s="64"/>
      <c r="J59" s="64"/>
      <c r="K59" s="64"/>
      <c r="L59" s="64"/>
      <c r="M59" s="64"/>
      <c r="N59" s="64"/>
      <c r="O59" s="64"/>
      <c r="P59" s="64"/>
      <c r="Q59" s="64"/>
      <c r="R59" s="64"/>
      <c r="S59" s="64"/>
    </row>
    <row r="60" spans="1:31" x14ac:dyDescent="0.35">
      <c r="A60" s="64"/>
      <c r="B60" s="64"/>
      <c r="C60" s="64"/>
      <c r="D60" s="64"/>
      <c r="E60" s="64"/>
      <c r="F60" s="64"/>
      <c r="G60" s="64"/>
      <c r="H60" s="64"/>
      <c r="I60" s="64"/>
      <c r="J60" s="64"/>
      <c r="K60" s="64"/>
      <c r="L60" s="64"/>
      <c r="M60" s="64"/>
      <c r="N60" s="64"/>
      <c r="O60" s="64"/>
      <c r="P60" s="64"/>
      <c r="Q60" s="64"/>
      <c r="R60" s="64"/>
      <c r="S60" s="64"/>
    </row>
    <row r="61" spans="1:31" x14ac:dyDescent="0.35">
      <c r="A61" s="64"/>
      <c r="B61" s="64"/>
      <c r="C61" s="64"/>
      <c r="D61" s="64"/>
      <c r="E61" s="64"/>
      <c r="F61" s="64"/>
      <c r="G61" s="64"/>
      <c r="H61" s="64"/>
      <c r="I61" s="64"/>
      <c r="J61" s="64"/>
      <c r="K61" s="64"/>
      <c r="L61" s="64"/>
      <c r="M61" s="64"/>
      <c r="N61" s="64"/>
      <c r="O61" s="64"/>
      <c r="P61" s="64"/>
      <c r="Q61" s="64"/>
      <c r="R61" s="64"/>
      <c r="S61" s="64"/>
    </row>
    <row r="62" spans="1:31" x14ac:dyDescent="0.35">
      <c r="A62" s="64"/>
      <c r="B62" s="64"/>
      <c r="C62" s="64"/>
      <c r="D62" s="64"/>
      <c r="E62" s="64"/>
      <c r="F62" s="64"/>
      <c r="G62" s="64"/>
      <c r="H62" s="64"/>
      <c r="I62" s="64"/>
      <c r="J62" s="64"/>
      <c r="K62" s="64"/>
      <c r="L62" s="64"/>
      <c r="M62" s="64"/>
      <c r="N62" s="64"/>
      <c r="O62" s="64"/>
      <c r="P62" s="64"/>
      <c r="Q62" s="64"/>
      <c r="R62" s="64"/>
      <c r="S62" s="64"/>
    </row>
    <row r="63" spans="1:31" x14ac:dyDescent="0.35">
      <c r="A63" s="64"/>
      <c r="B63" s="64"/>
      <c r="C63" s="64"/>
      <c r="D63" s="64"/>
      <c r="E63" s="64"/>
      <c r="F63" s="64"/>
      <c r="G63" s="64"/>
      <c r="H63" s="64"/>
      <c r="I63" s="64"/>
      <c r="J63" s="64"/>
      <c r="K63" s="64"/>
      <c r="L63" s="64"/>
      <c r="M63" s="64"/>
      <c r="N63" s="64"/>
      <c r="O63" s="64"/>
      <c r="P63" s="64"/>
      <c r="Q63" s="64"/>
      <c r="R63" s="64"/>
      <c r="S63" s="64"/>
    </row>
    <row r="64" spans="1:31" x14ac:dyDescent="0.35">
      <c r="A64" s="64"/>
      <c r="B64" s="64"/>
      <c r="C64" s="64"/>
      <c r="D64" s="64"/>
      <c r="E64" s="64"/>
      <c r="F64" s="64"/>
      <c r="G64" s="64"/>
      <c r="H64" s="64"/>
      <c r="I64" s="64"/>
      <c r="J64" s="64"/>
      <c r="K64" s="64"/>
      <c r="L64" s="64"/>
      <c r="M64" s="64"/>
      <c r="N64" s="64"/>
      <c r="O64" s="64"/>
      <c r="P64" s="64"/>
      <c r="Q64" s="64"/>
      <c r="R64" s="64"/>
      <c r="S64" s="64"/>
    </row>
    <row r="65" spans="1:19" x14ac:dyDescent="0.35">
      <c r="A65" s="64"/>
      <c r="B65" s="64"/>
      <c r="C65" s="64"/>
      <c r="D65" s="64"/>
      <c r="E65" s="64"/>
      <c r="F65" s="64"/>
      <c r="G65" s="64"/>
      <c r="H65" s="64"/>
      <c r="I65" s="64"/>
      <c r="J65" s="64"/>
      <c r="K65" s="64"/>
      <c r="L65" s="64"/>
      <c r="M65" s="64"/>
      <c r="N65" s="64"/>
      <c r="O65" s="64"/>
      <c r="P65" s="64"/>
      <c r="Q65" s="64"/>
      <c r="R65" s="64"/>
      <c r="S65" s="64"/>
    </row>
    <row r="66" spans="1:19" x14ac:dyDescent="0.35">
      <c r="A66" s="64"/>
      <c r="B66" s="64"/>
      <c r="C66" s="64"/>
      <c r="D66" s="64"/>
      <c r="E66" s="64"/>
      <c r="F66" s="64"/>
      <c r="G66" s="64"/>
      <c r="H66" s="64"/>
      <c r="I66" s="64"/>
      <c r="J66" s="64"/>
      <c r="K66" s="64"/>
      <c r="L66" s="64"/>
      <c r="M66" s="64"/>
      <c r="N66" s="64"/>
      <c r="O66" s="64"/>
      <c r="P66" s="64"/>
      <c r="Q66" s="64"/>
      <c r="R66" s="64"/>
      <c r="S66" s="64"/>
    </row>
    <row r="67" spans="1:19" x14ac:dyDescent="0.35">
      <c r="A67" s="64"/>
      <c r="B67" s="64"/>
      <c r="C67" s="64"/>
      <c r="D67" s="64"/>
      <c r="E67" s="64"/>
      <c r="F67" s="64"/>
      <c r="G67" s="64"/>
      <c r="H67" s="64"/>
      <c r="I67" s="64"/>
      <c r="J67" s="64"/>
      <c r="K67" s="64"/>
      <c r="L67" s="64"/>
      <c r="M67" s="64"/>
      <c r="N67" s="64"/>
      <c r="O67" s="64"/>
      <c r="P67" s="64"/>
      <c r="Q67" s="64"/>
      <c r="R67" s="64"/>
      <c r="S67" s="64"/>
    </row>
    <row r="68" spans="1:19" x14ac:dyDescent="0.35">
      <c r="A68" s="64"/>
      <c r="B68" s="64"/>
      <c r="C68" s="64"/>
      <c r="D68" s="64"/>
      <c r="E68" s="64"/>
      <c r="F68" s="64"/>
      <c r="G68" s="64"/>
      <c r="H68" s="64"/>
      <c r="I68" s="64"/>
      <c r="J68" s="64"/>
      <c r="K68" s="64"/>
      <c r="L68" s="64"/>
      <c r="M68" s="64"/>
      <c r="N68" s="64"/>
      <c r="O68" s="64"/>
      <c r="P68" s="64"/>
      <c r="Q68" s="64"/>
      <c r="R68" s="64"/>
      <c r="S68" s="64"/>
    </row>
    <row r="69" spans="1:19" x14ac:dyDescent="0.35">
      <c r="A69" s="64"/>
      <c r="B69" s="64"/>
      <c r="C69" s="64"/>
      <c r="D69" s="64"/>
      <c r="E69" s="64"/>
      <c r="F69" s="64"/>
      <c r="G69" s="64"/>
      <c r="H69" s="64"/>
      <c r="I69" s="64"/>
      <c r="J69" s="64"/>
      <c r="K69" s="64"/>
      <c r="L69" s="64"/>
      <c r="M69" s="64"/>
      <c r="N69" s="64"/>
      <c r="O69" s="64"/>
      <c r="P69" s="64"/>
      <c r="Q69" s="64"/>
      <c r="R69" s="64"/>
      <c r="S69" s="64"/>
    </row>
    <row r="70" spans="1:19" x14ac:dyDescent="0.35">
      <c r="A70" s="64"/>
      <c r="B70" s="64"/>
      <c r="C70" s="64"/>
      <c r="D70" s="64"/>
      <c r="E70" s="64"/>
      <c r="F70" s="64"/>
      <c r="G70" s="64"/>
      <c r="H70" s="64"/>
      <c r="I70" s="64"/>
      <c r="J70" s="64"/>
      <c r="K70" s="64"/>
      <c r="L70" s="64"/>
      <c r="M70" s="64"/>
      <c r="N70" s="64"/>
      <c r="O70" s="64"/>
      <c r="P70" s="64"/>
      <c r="Q70" s="64"/>
      <c r="R70" s="64"/>
      <c r="S70" s="64"/>
    </row>
    <row r="71" spans="1:19" x14ac:dyDescent="0.35">
      <c r="A71" s="64"/>
      <c r="B71" s="64"/>
      <c r="C71" s="64"/>
      <c r="D71" s="64"/>
      <c r="E71" s="64"/>
      <c r="F71" s="64"/>
      <c r="G71" s="64"/>
      <c r="H71" s="64"/>
      <c r="I71" s="64"/>
      <c r="J71" s="64"/>
      <c r="K71" s="64"/>
      <c r="L71" s="64"/>
      <c r="M71" s="64"/>
      <c r="N71" s="64"/>
      <c r="O71" s="64"/>
      <c r="P71" s="64"/>
      <c r="Q71" s="64"/>
      <c r="R71" s="64"/>
      <c r="S71" s="64"/>
    </row>
    <row r="72" spans="1:19" x14ac:dyDescent="0.35">
      <c r="A72" s="64"/>
      <c r="B72" s="64"/>
      <c r="C72" s="64"/>
      <c r="D72" s="64"/>
      <c r="E72" s="64"/>
      <c r="F72" s="64"/>
      <c r="G72" s="64"/>
      <c r="H72" s="64"/>
      <c r="I72" s="64"/>
      <c r="J72" s="64"/>
      <c r="K72" s="64"/>
      <c r="L72" s="64"/>
      <c r="M72" s="64"/>
      <c r="N72" s="64"/>
      <c r="O72" s="64"/>
      <c r="P72" s="64"/>
      <c r="Q72" s="64"/>
      <c r="R72" s="64"/>
      <c r="S72" s="64"/>
    </row>
    <row r="73" spans="1:19" x14ac:dyDescent="0.35">
      <c r="A73" s="64"/>
      <c r="B73" s="64"/>
      <c r="C73" s="64"/>
      <c r="D73" s="64"/>
      <c r="E73" s="64"/>
      <c r="F73" s="64"/>
      <c r="G73" s="64"/>
      <c r="H73" s="64"/>
      <c r="I73" s="64"/>
      <c r="J73" s="64"/>
      <c r="K73" s="64"/>
      <c r="L73" s="64"/>
      <c r="M73" s="64"/>
      <c r="N73" s="64"/>
      <c r="O73" s="64"/>
      <c r="P73" s="64"/>
      <c r="Q73" s="64"/>
      <c r="R73" s="64"/>
      <c r="S73" s="64"/>
    </row>
    <row r="74" spans="1:19" x14ac:dyDescent="0.35">
      <c r="A74" s="64"/>
      <c r="B74" s="64"/>
      <c r="C74" s="64"/>
      <c r="D74" s="64"/>
      <c r="E74" s="64"/>
      <c r="F74" s="64"/>
      <c r="G74" s="64"/>
      <c r="H74" s="64"/>
      <c r="I74" s="64"/>
      <c r="J74" s="64"/>
      <c r="K74" s="64"/>
      <c r="L74" s="64"/>
      <c r="M74" s="64"/>
      <c r="N74" s="64"/>
      <c r="O74" s="64"/>
      <c r="P74" s="64"/>
      <c r="Q74" s="64"/>
      <c r="R74" s="64"/>
      <c r="S74" s="64"/>
    </row>
    <row r="75" spans="1:19" x14ac:dyDescent="0.35">
      <c r="A75" s="64"/>
      <c r="B75" s="64"/>
      <c r="C75" s="64"/>
      <c r="D75" s="64"/>
      <c r="E75" s="64"/>
      <c r="F75" s="64"/>
      <c r="G75" s="64"/>
      <c r="H75" s="64"/>
      <c r="I75" s="64"/>
      <c r="J75" s="64"/>
      <c r="K75" s="64"/>
      <c r="L75" s="64"/>
      <c r="M75" s="64"/>
      <c r="N75" s="64"/>
      <c r="O75" s="64"/>
      <c r="P75" s="64"/>
      <c r="Q75" s="64"/>
      <c r="R75" s="64"/>
      <c r="S75" s="64"/>
    </row>
    <row r="76" spans="1:19" x14ac:dyDescent="0.35">
      <c r="A76" s="64"/>
      <c r="B76" s="64"/>
      <c r="C76" s="64"/>
      <c r="D76" s="64"/>
      <c r="E76" s="64"/>
      <c r="F76" s="64"/>
      <c r="G76" s="64"/>
      <c r="H76" s="64"/>
      <c r="I76" s="64"/>
      <c r="J76" s="64"/>
      <c r="K76" s="64"/>
      <c r="L76" s="64"/>
      <c r="M76" s="64"/>
      <c r="N76" s="64"/>
      <c r="O76" s="64"/>
      <c r="P76" s="64"/>
      <c r="Q76" s="64"/>
      <c r="R76" s="64"/>
      <c r="S76" s="64"/>
    </row>
    <row r="77" spans="1:19" x14ac:dyDescent="0.35">
      <c r="A77" s="64"/>
      <c r="B77" s="64"/>
      <c r="C77" s="64"/>
      <c r="D77" s="64"/>
      <c r="E77" s="64"/>
      <c r="F77" s="64"/>
      <c r="G77" s="64"/>
      <c r="H77" s="64"/>
      <c r="I77" s="64"/>
      <c r="J77" s="64"/>
      <c r="K77" s="64"/>
      <c r="L77" s="64"/>
      <c r="M77" s="64"/>
      <c r="N77" s="64"/>
      <c r="O77" s="64"/>
      <c r="P77" s="64"/>
      <c r="Q77" s="64"/>
      <c r="R77" s="64"/>
      <c r="S77" s="64"/>
    </row>
    <row r="78" spans="1:19" x14ac:dyDescent="0.35">
      <c r="A78" s="64"/>
      <c r="B78" s="64"/>
      <c r="C78" s="64"/>
      <c r="D78" s="64"/>
      <c r="E78" s="64"/>
      <c r="F78" s="64"/>
      <c r="G78" s="64"/>
      <c r="H78" s="64"/>
      <c r="I78" s="64"/>
      <c r="J78" s="64"/>
      <c r="K78" s="64"/>
      <c r="L78" s="64"/>
      <c r="M78" s="64"/>
      <c r="N78" s="64"/>
      <c r="O78" s="64"/>
      <c r="P78" s="64"/>
      <c r="Q78" s="64"/>
      <c r="R78" s="64"/>
      <c r="S78" s="64"/>
    </row>
    <row r="79" spans="1:19" x14ac:dyDescent="0.35">
      <c r="A79" s="64"/>
      <c r="B79" s="64"/>
      <c r="C79" s="64"/>
      <c r="D79" s="64"/>
      <c r="E79" s="64"/>
      <c r="F79" s="64"/>
      <c r="G79" s="64"/>
      <c r="H79" s="64"/>
      <c r="I79" s="64"/>
      <c r="J79" s="64"/>
      <c r="K79" s="64"/>
      <c r="L79" s="64"/>
      <c r="M79" s="64"/>
      <c r="N79" s="64"/>
      <c r="O79" s="64"/>
      <c r="P79" s="64"/>
      <c r="Q79" s="64"/>
      <c r="R79" s="64"/>
      <c r="S79" s="64"/>
    </row>
    <row r="80" spans="1:19" x14ac:dyDescent="0.35">
      <c r="A80" s="64"/>
      <c r="B80" s="64"/>
      <c r="C80" s="64"/>
      <c r="D80" s="64"/>
      <c r="E80" s="64"/>
      <c r="F80" s="64"/>
      <c r="G80" s="64"/>
      <c r="H80" s="64"/>
      <c r="I80" s="64"/>
      <c r="J80" s="64"/>
      <c r="K80" s="64"/>
      <c r="L80" s="64"/>
      <c r="M80" s="64"/>
      <c r="N80" s="64"/>
      <c r="O80" s="64"/>
      <c r="P80" s="64"/>
      <c r="Q80" s="64"/>
      <c r="R80" s="64"/>
      <c r="S80" s="64"/>
    </row>
    <row r="81" spans="1:21" x14ac:dyDescent="0.35">
      <c r="A81" s="64"/>
      <c r="B81" s="64"/>
      <c r="C81" s="64"/>
      <c r="D81" s="64"/>
      <c r="E81" s="64"/>
      <c r="F81" s="64"/>
      <c r="G81" s="64"/>
      <c r="H81" s="64"/>
      <c r="I81" s="64"/>
      <c r="J81" s="64"/>
      <c r="K81" s="64"/>
      <c r="L81" s="64"/>
      <c r="M81" s="64"/>
      <c r="N81" s="64"/>
      <c r="O81" s="64"/>
      <c r="P81" s="64"/>
      <c r="Q81" s="64"/>
      <c r="R81" s="64"/>
      <c r="S81" s="64"/>
    </row>
    <row r="82" spans="1:21" x14ac:dyDescent="0.35">
      <c r="A82" s="64"/>
      <c r="B82" s="64"/>
      <c r="C82" s="64"/>
      <c r="D82" s="64"/>
      <c r="E82" s="64"/>
      <c r="F82" s="64"/>
      <c r="G82" s="64"/>
      <c r="H82" s="64"/>
      <c r="I82" s="64"/>
      <c r="J82" s="64"/>
      <c r="K82" s="64"/>
      <c r="L82" s="64"/>
      <c r="M82" s="64"/>
      <c r="N82" s="64"/>
      <c r="O82" s="64"/>
      <c r="P82" s="64"/>
      <c r="Q82" s="64"/>
      <c r="R82" s="64"/>
      <c r="S82" s="64"/>
    </row>
    <row r="83" spans="1:21" x14ac:dyDescent="0.35">
      <c r="A83" s="64"/>
      <c r="B83" s="64"/>
      <c r="C83" s="64"/>
      <c r="D83" s="64"/>
      <c r="E83" s="64"/>
      <c r="F83" s="64"/>
      <c r="G83" s="64"/>
      <c r="H83" s="64"/>
      <c r="I83" s="64"/>
      <c r="J83" s="64"/>
      <c r="K83" s="64"/>
      <c r="L83" s="64"/>
      <c r="M83" s="64"/>
      <c r="N83" s="64"/>
      <c r="O83" s="64"/>
      <c r="P83" s="64"/>
      <c r="Q83" s="64"/>
      <c r="R83" s="64"/>
      <c r="S83" s="64"/>
    </row>
    <row r="84" spans="1:21" x14ac:dyDescent="0.35">
      <c r="A84" s="64"/>
      <c r="B84" s="64"/>
      <c r="C84" s="64"/>
      <c r="D84" s="64"/>
      <c r="E84" s="64"/>
      <c r="F84" s="64"/>
      <c r="G84" s="64"/>
      <c r="H84" s="64"/>
      <c r="I84" s="64"/>
      <c r="J84" s="64"/>
      <c r="K84" s="64"/>
      <c r="L84" s="64"/>
      <c r="M84" s="64"/>
      <c r="N84" s="64"/>
      <c r="O84" s="64"/>
      <c r="P84" s="64"/>
      <c r="Q84" s="64"/>
      <c r="R84" s="64"/>
      <c r="S84" s="64"/>
    </row>
    <row r="85" spans="1:21" x14ac:dyDescent="0.35">
      <c r="A85" s="64"/>
      <c r="B85" s="64"/>
      <c r="C85" s="64"/>
      <c r="D85" s="64"/>
      <c r="E85" s="64"/>
      <c r="F85" s="64"/>
      <c r="G85" s="64"/>
      <c r="H85" s="64"/>
      <c r="I85" s="64"/>
      <c r="J85" s="64"/>
      <c r="K85" s="64"/>
      <c r="L85" s="64"/>
      <c r="M85" s="64"/>
      <c r="N85" s="64"/>
      <c r="O85" s="64"/>
      <c r="P85" s="64"/>
      <c r="Q85" s="64"/>
      <c r="R85" s="64"/>
      <c r="S85" s="64"/>
    </row>
    <row r="86" spans="1:21" x14ac:dyDescent="0.35">
      <c r="A86" s="64"/>
      <c r="B86" s="64"/>
      <c r="C86" s="64"/>
      <c r="D86" s="64"/>
      <c r="E86" s="64"/>
      <c r="F86" s="64"/>
      <c r="G86" s="64"/>
      <c r="H86" s="64"/>
      <c r="I86" s="64"/>
      <c r="J86" s="64"/>
      <c r="K86" s="64"/>
      <c r="L86" s="64"/>
      <c r="M86" s="64"/>
      <c r="N86" s="64"/>
      <c r="O86" s="64"/>
      <c r="P86" s="64"/>
      <c r="Q86" s="64"/>
      <c r="R86" s="64"/>
      <c r="S86" s="64"/>
    </row>
    <row r="87" spans="1:21" x14ac:dyDescent="0.35">
      <c r="A87" s="64"/>
      <c r="B87" s="64"/>
      <c r="C87" s="64"/>
      <c r="D87" s="64"/>
      <c r="E87" s="64"/>
      <c r="F87" s="64"/>
      <c r="G87" s="64"/>
      <c r="H87" s="64"/>
      <c r="I87" s="64"/>
      <c r="J87" s="64"/>
      <c r="K87" s="64"/>
      <c r="L87" s="64"/>
      <c r="M87" s="64"/>
      <c r="N87" s="64"/>
      <c r="O87" s="64"/>
      <c r="P87" s="64"/>
      <c r="Q87" s="64"/>
      <c r="R87" s="64"/>
      <c r="S87" s="64"/>
    </row>
    <row r="88" spans="1:21" ht="69" customHeight="1" thickBot="1" x14ac:dyDescent="0.4">
      <c r="A88" s="64"/>
      <c r="B88" s="64"/>
      <c r="C88" s="64"/>
      <c r="D88" s="64"/>
      <c r="E88" s="64"/>
      <c r="F88" s="64"/>
      <c r="G88" s="64"/>
      <c r="H88" s="64"/>
      <c r="I88" s="64"/>
      <c r="J88" s="64"/>
      <c r="K88" s="64"/>
      <c r="L88" s="64"/>
      <c r="M88" s="64"/>
      <c r="N88" s="64"/>
      <c r="O88" s="64"/>
      <c r="P88" s="64"/>
      <c r="Q88" s="64"/>
      <c r="R88" s="64"/>
      <c r="S88" s="64"/>
    </row>
    <row r="89" spans="1:21" ht="19.5" thickTop="1" thickBot="1" x14ac:dyDescent="0.4">
      <c r="A89" s="3883" t="s">
        <v>10</v>
      </c>
      <c r="B89" s="3884"/>
      <c r="C89" s="3884"/>
      <c r="D89" s="3884"/>
      <c r="E89" s="3884"/>
      <c r="F89" s="3884"/>
      <c r="G89" s="3884"/>
      <c r="H89" s="3884"/>
      <c r="I89" s="3884"/>
      <c r="J89" s="3884"/>
      <c r="K89" s="5402"/>
      <c r="L89" s="30"/>
      <c r="M89" s="3725" t="s">
        <v>748</v>
      </c>
      <c r="N89" s="3726"/>
      <c r="O89" s="3727"/>
      <c r="P89" s="31"/>
      <c r="Q89" s="64"/>
      <c r="R89" s="64"/>
      <c r="S89" s="64"/>
      <c r="T89" s="64"/>
      <c r="U89" s="64"/>
    </row>
    <row r="90" spans="1:21" ht="21" customHeight="1" x14ac:dyDescent="0.35">
      <c r="A90" s="5531" t="s">
        <v>1398</v>
      </c>
      <c r="B90" s="5532"/>
      <c r="C90" s="5532"/>
      <c r="D90" s="5532"/>
      <c r="E90" s="5532"/>
      <c r="F90" s="5532"/>
      <c r="G90" s="5532"/>
      <c r="H90" s="5532"/>
      <c r="I90" s="5532"/>
      <c r="J90" s="5532"/>
      <c r="K90" s="5533"/>
      <c r="L90" s="30"/>
      <c r="M90" s="3750" t="s">
        <v>1399</v>
      </c>
      <c r="N90" s="5066"/>
      <c r="O90" s="3752"/>
      <c r="P90" s="31"/>
      <c r="Q90" s="64"/>
      <c r="R90" s="64"/>
      <c r="S90" s="64"/>
      <c r="T90" s="64"/>
      <c r="U90" s="64"/>
    </row>
    <row r="91" spans="1:21" ht="21" customHeight="1" x14ac:dyDescent="0.35">
      <c r="A91" s="5534"/>
      <c r="B91" s="5535"/>
      <c r="C91" s="5535"/>
      <c r="D91" s="5535"/>
      <c r="E91" s="5535"/>
      <c r="F91" s="5535"/>
      <c r="G91" s="5535"/>
      <c r="H91" s="5535"/>
      <c r="I91" s="5535"/>
      <c r="J91" s="5535"/>
      <c r="K91" s="5536"/>
      <c r="L91" s="30"/>
      <c r="M91" s="3753"/>
      <c r="N91" s="3754"/>
      <c r="O91" s="5067"/>
      <c r="P91" s="31"/>
      <c r="Q91" s="64"/>
      <c r="R91" s="64"/>
      <c r="S91" s="64"/>
      <c r="T91" s="64"/>
      <c r="U91" s="64"/>
    </row>
    <row r="92" spans="1:21" ht="21" customHeight="1" x14ac:dyDescent="0.35">
      <c r="A92" s="5534"/>
      <c r="B92" s="5535"/>
      <c r="C92" s="5535"/>
      <c r="D92" s="5535"/>
      <c r="E92" s="5535"/>
      <c r="F92" s="5535"/>
      <c r="G92" s="5535"/>
      <c r="H92" s="5535"/>
      <c r="I92" s="5535"/>
      <c r="J92" s="5535"/>
      <c r="K92" s="5536"/>
      <c r="L92" s="30"/>
      <c r="M92" s="3753"/>
      <c r="N92" s="3754"/>
      <c r="O92" s="5067"/>
      <c r="P92" s="31"/>
      <c r="Q92" s="64"/>
      <c r="R92" s="64"/>
      <c r="S92" s="64"/>
      <c r="T92" s="64"/>
      <c r="U92" s="64"/>
    </row>
    <row r="93" spans="1:21" ht="21" customHeight="1" x14ac:dyDescent="0.35">
      <c r="A93" s="5534"/>
      <c r="B93" s="5535"/>
      <c r="C93" s="5535"/>
      <c r="D93" s="5535"/>
      <c r="E93" s="5535"/>
      <c r="F93" s="5535"/>
      <c r="G93" s="5535"/>
      <c r="H93" s="5535"/>
      <c r="I93" s="5535"/>
      <c r="J93" s="5535"/>
      <c r="K93" s="5536"/>
      <c r="L93" s="30"/>
      <c r="M93" s="3753"/>
      <c r="N93" s="3754"/>
      <c r="O93" s="5067"/>
      <c r="P93" s="31"/>
      <c r="Q93" s="64"/>
      <c r="R93" s="64"/>
      <c r="S93" s="64"/>
      <c r="T93" s="64"/>
      <c r="U93" s="64"/>
    </row>
    <row r="94" spans="1:21" ht="21" customHeight="1" thickBot="1" x14ac:dyDescent="0.4">
      <c r="A94" s="5534"/>
      <c r="B94" s="5535"/>
      <c r="C94" s="5535"/>
      <c r="D94" s="5535"/>
      <c r="E94" s="5535"/>
      <c r="F94" s="5535"/>
      <c r="G94" s="5535"/>
      <c r="H94" s="5535"/>
      <c r="I94" s="5535"/>
      <c r="J94" s="5535"/>
      <c r="K94" s="5536"/>
      <c r="L94" s="30"/>
      <c r="M94" s="5334"/>
      <c r="N94" s="3757"/>
      <c r="O94" s="3758"/>
      <c r="P94" s="31"/>
      <c r="Q94" s="64"/>
      <c r="R94" s="64"/>
      <c r="S94" s="64"/>
      <c r="T94" s="64"/>
      <c r="U94" s="64"/>
    </row>
    <row r="95" spans="1:21" ht="21" customHeight="1" thickBot="1" x14ac:dyDescent="0.4">
      <c r="A95" s="5537"/>
      <c r="B95" s="5538"/>
      <c r="C95" s="5538"/>
      <c r="D95" s="5538"/>
      <c r="E95" s="5538"/>
      <c r="F95" s="5538"/>
      <c r="G95" s="5538"/>
      <c r="H95" s="5538"/>
      <c r="I95" s="5538"/>
      <c r="J95" s="5538"/>
      <c r="K95" s="5539"/>
      <c r="L95" s="30"/>
      <c r="M95" s="64"/>
      <c r="N95" s="64"/>
      <c r="O95" s="64"/>
      <c r="P95" s="31"/>
      <c r="Q95" s="64"/>
      <c r="R95" s="64"/>
      <c r="S95" s="64"/>
      <c r="T95" s="64"/>
      <c r="U95" s="64"/>
    </row>
    <row r="96" spans="1:21" ht="15.5" thickTop="1" thickBot="1" x14ac:dyDescent="0.4">
      <c r="A96" s="64"/>
      <c r="B96" s="64"/>
      <c r="C96" s="64"/>
      <c r="D96" s="64"/>
      <c r="E96" s="64"/>
      <c r="F96" s="64"/>
      <c r="G96" s="64"/>
      <c r="H96" s="64"/>
      <c r="I96" s="64"/>
      <c r="J96" s="64"/>
      <c r="K96" s="64"/>
      <c r="L96" s="64"/>
      <c r="M96" s="64"/>
      <c r="N96" s="64"/>
      <c r="O96" s="64"/>
      <c r="P96" s="64"/>
      <c r="Q96" s="64"/>
      <c r="R96" s="64"/>
      <c r="S96" s="64"/>
      <c r="T96" s="64"/>
      <c r="U96" s="64"/>
    </row>
    <row r="97" spans="1:21" ht="19.5" customHeight="1" thickTop="1" thickBot="1" x14ac:dyDescent="0.4">
      <c r="A97" s="3883" t="s">
        <v>11</v>
      </c>
      <c r="B97" s="5470"/>
      <c r="C97" s="5470"/>
      <c r="D97" s="5470"/>
      <c r="E97" s="5470"/>
      <c r="F97" s="5470"/>
      <c r="G97" s="5470"/>
      <c r="H97" s="5470"/>
      <c r="I97" s="5470"/>
      <c r="J97" s="5470"/>
      <c r="K97" s="5470"/>
      <c r="L97" s="30"/>
      <c r="M97" s="3725" t="s">
        <v>748</v>
      </c>
      <c r="N97" s="3726"/>
      <c r="O97" s="3727"/>
      <c r="P97" s="31"/>
      <c r="Q97" s="64"/>
      <c r="R97" s="64"/>
      <c r="S97" s="64"/>
      <c r="T97" s="64"/>
      <c r="U97" s="64"/>
    </row>
    <row r="98" spans="1:21" ht="21" customHeight="1" x14ac:dyDescent="0.35">
      <c r="A98" s="3876" t="s">
        <v>1089</v>
      </c>
      <c r="B98" s="3877"/>
      <c r="C98" s="3877"/>
      <c r="D98" s="3877"/>
      <c r="E98" s="3877"/>
      <c r="F98" s="3877"/>
      <c r="G98" s="3877"/>
      <c r="H98" s="3877"/>
      <c r="I98" s="3877"/>
      <c r="J98" s="3877"/>
      <c r="K98" s="5398"/>
      <c r="L98" s="30"/>
      <c r="M98" s="3750" t="s">
        <v>1400</v>
      </c>
      <c r="N98" s="5066"/>
      <c r="O98" s="3752"/>
      <c r="P98" s="31"/>
      <c r="Q98" s="64"/>
      <c r="R98" s="64"/>
      <c r="S98" s="64"/>
      <c r="T98" s="64"/>
      <c r="U98" s="64"/>
    </row>
    <row r="99" spans="1:21" ht="21" customHeight="1" x14ac:dyDescent="0.35">
      <c r="A99" s="3878"/>
      <c r="B99" s="3879"/>
      <c r="C99" s="3879"/>
      <c r="D99" s="3879"/>
      <c r="E99" s="3879"/>
      <c r="F99" s="3879"/>
      <c r="G99" s="3879"/>
      <c r="H99" s="3879"/>
      <c r="I99" s="3879"/>
      <c r="J99" s="3879"/>
      <c r="K99" s="5399"/>
      <c r="L99" s="30"/>
      <c r="M99" s="3753"/>
      <c r="N99" s="3754"/>
      <c r="O99" s="5067"/>
      <c r="P99" s="31"/>
      <c r="Q99" s="64"/>
      <c r="R99" s="64"/>
      <c r="S99" s="64"/>
      <c r="T99" s="64"/>
      <c r="U99" s="64"/>
    </row>
    <row r="100" spans="1:21" ht="21" customHeight="1" x14ac:dyDescent="0.35">
      <c r="A100" s="3878"/>
      <c r="B100" s="3879"/>
      <c r="C100" s="3879"/>
      <c r="D100" s="3879"/>
      <c r="E100" s="3879"/>
      <c r="F100" s="3879"/>
      <c r="G100" s="3879"/>
      <c r="H100" s="3879"/>
      <c r="I100" s="3879"/>
      <c r="J100" s="3879"/>
      <c r="K100" s="5399"/>
      <c r="L100" s="30"/>
      <c r="M100" s="3753"/>
      <c r="N100" s="3754"/>
      <c r="O100" s="5067"/>
      <c r="P100" s="31"/>
      <c r="Q100" s="64"/>
      <c r="R100" s="64"/>
      <c r="S100" s="64"/>
      <c r="T100" s="64"/>
      <c r="U100" s="64"/>
    </row>
    <row r="101" spans="1:21" ht="21" customHeight="1" x14ac:dyDescent="0.35">
      <c r="A101" s="3878"/>
      <c r="B101" s="3879"/>
      <c r="C101" s="3879"/>
      <c r="D101" s="3879"/>
      <c r="E101" s="3879"/>
      <c r="F101" s="3879"/>
      <c r="G101" s="3879"/>
      <c r="H101" s="3879"/>
      <c r="I101" s="3879"/>
      <c r="J101" s="3879"/>
      <c r="K101" s="5399"/>
      <c r="L101" s="30"/>
      <c r="M101" s="3753"/>
      <c r="N101" s="3754"/>
      <c r="O101" s="5067"/>
      <c r="P101" s="31"/>
      <c r="Q101" s="64"/>
      <c r="R101" s="64"/>
      <c r="S101" s="64"/>
      <c r="T101" s="64"/>
      <c r="U101" s="64"/>
    </row>
    <row r="102" spans="1:21" ht="15" thickBot="1" x14ac:dyDescent="0.4">
      <c r="A102" s="3880"/>
      <c r="B102" s="3881"/>
      <c r="C102" s="3881"/>
      <c r="D102" s="3881"/>
      <c r="E102" s="3881"/>
      <c r="F102" s="3881"/>
      <c r="G102" s="3881"/>
      <c r="H102" s="3881"/>
      <c r="I102" s="3881"/>
      <c r="J102" s="3881"/>
      <c r="K102" s="5400"/>
      <c r="L102" s="64"/>
      <c r="M102" s="5334"/>
      <c r="N102" s="3757"/>
      <c r="O102" s="3758"/>
      <c r="P102" s="64"/>
      <c r="Q102" s="64"/>
      <c r="R102" s="64"/>
      <c r="S102" s="64"/>
      <c r="T102" s="64"/>
      <c r="U102" s="64"/>
    </row>
    <row r="103" spans="1:21" ht="15" thickTop="1" x14ac:dyDescent="0.35">
      <c r="A103" s="64"/>
      <c r="B103" s="64"/>
      <c r="C103" s="64"/>
      <c r="D103" s="64"/>
      <c r="E103" s="64"/>
      <c r="F103" s="64"/>
      <c r="G103" s="64"/>
      <c r="H103" s="64"/>
      <c r="I103" s="64"/>
      <c r="J103" s="64"/>
      <c r="K103" s="64"/>
      <c r="L103" s="64"/>
      <c r="M103" s="64"/>
      <c r="N103" s="64"/>
      <c r="O103" s="64"/>
      <c r="P103" s="64"/>
      <c r="Q103" s="64"/>
      <c r="R103" s="64"/>
      <c r="S103" s="64"/>
      <c r="T103" s="64"/>
      <c r="U103" s="64"/>
    </row>
    <row r="104" spans="1:21" x14ac:dyDescent="0.35">
      <c r="A104" s="64"/>
      <c r="B104" s="64"/>
      <c r="C104" s="64"/>
      <c r="D104" s="64"/>
      <c r="E104" s="64"/>
      <c r="F104" s="64"/>
      <c r="G104" s="64"/>
      <c r="H104" s="64"/>
      <c r="I104" s="64"/>
      <c r="J104" s="64"/>
      <c r="K104" s="64"/>
      <c r="L104" s="64"/>
      <c r="M104" s="64"/>
      <c r="N104" s="64"/>
      <c r="O104" s="64"/>
      <c r="P104" s="64"/>
      <c r="Q104" s="64"/>
      <c r="R104" s="64"/>
      <c r="S104" s="64"/>
    </row>
    <row r="105" spans="1:21" x14ac:dyDescent="0.35">
      <c r="A105" s="64"/>
      <c r="B105" s="64"/>
      <c r="C105" s="64"/>
      <c r="D105" s="64"/>
      <c r="E105" s="64"/>
      <c r="F105" s="64"/>
      <c r="G105" s="64"/>
      <c r="H105" s="64"/>
      <c r="I105" s="64"/>
      <c r="J105" s="64"/>
      <c r="K105" s="64"/>
      <c r="L105" s="64"/>
      <c r="M105" s="64"/>
      <c r="N105" s="64"/>
      <c r="O105" s="64"/>
      <c r="P105" s="64"/>
      <c r="Q105" s="64"/>
      <c r="R105" s="64"/>
      <c r="S105" s="64"/>
    </row>
  </sheetData>
  <mergeCells count="250">
    <mergeCell ref="A89:K89"/>
    <mergeCell ref="M89:O89"/>
    <mergeCell ref="A90:K95"/>
    <mergeCell ref="M90:O94"/>
    <mergeCell ref="A97:K97"/>
    <mergeCell ref="M97:O97"/>
    <mergeCell ref="A98:K102"/>
    <mergeCell ref="M98:O102"/>
    <mergeCell ref="A6:A7"/>
    <mergeCell ref="B6:E7"/>
    <mergeCell ref="F6:G6"/>
    <mergeCell ref="H6:I6"/>
    <mergeCell ref="J6:K7"/>
    <mergeCell ref="L6:L7"/>
    <mergeCell ref="M6:P7"/>
    <mergeCell ref="F7:G7"/>
    <mergeCell ref="H7:I7"/>
    <mergeCell ref="A8:A21"/>
    <mergeCell ref="B8:P8"/>
    <mergeCell ref="B9:E9"/>
    <mergeCell ref="F9:G9"/>
    <mergeCell ref="H9:I9"/>
    <mergeCell ref="J9:K9"/>
    <mergeCell ref="M9:P9"/>
    <mergeCell ref="D1:G1"/>
    <mergeCell ref="I1:J1"/>
    <mergeCell ref="L1:M1"/>
    <mergeCell ref="D2:G2"/>
    <mergeCell ref="I2:J2"/>
    <mergeCell ref="L2:M2"/>
    <mergeCell ref="A4:G4"/>
    <mergeCell ref="H4:P4"/>
    <mergeCell ref="A5:B5"/>
    <mergeCell ref="C5:P5"/>
    <mergeCell ref="D3:G3"/>
    <mergeCell ref="B10:E10"/>
    <mergeCell ref="F10:G10"/>
    <mergeCell ref="H10:I10"/>
    <mergeCell ref="J10:K10"/>
    <mergeCell ref="M10:P10"/>
    <mergeCell ref="B11:E11"/>
    <mergeCell ref="F11:G11"/>
    <mergeCell ref="H11:I11"/>
    <mergeCell ref="J11:K11"/>
    <mergeCell ref="M11:P11"/>
    <mergeCell ref="B12:E12"/>
    <mergeCell ref="F12:G12"/>
    <mergeCell ref="H12:I12"/>
    <mergeCell ref="J12:K12"/>
    <mergeCell ref="M12:P12"/>
    <mergeCell ref="B13:E13"/>
    <mergeCell ref="F13:G13"/>
    <mergeCell ref="H13:I13"/>
    <mergeCell ref="J13:K13"/>
    <mergeCell ref="M13:P13"/>
    <mergeCell ref="B14:E14"/>
    <mergeCell ref="F14:G14"/>
    <mergeCell ref="H14:I14"/>
    <mergeCell ref="J14:K14"/>
    <mergeCell ref="M14:P14"/>
    <mergeCell ref="B15:E15"/>
    <mergeCell ref="F15:G15"/>
    <mergeCell ref="H15:I15"/>
    <mergeCell ref="J15:K15"/>
    <mergeCell ref="M15:P15"/>
    <mergeCell ref="B16:E16"/>
    <mergeCell ref="F16:G16"/>
    <mergeCell ref="H16:I16"/>
    <mergeCell ref="J16:K16"/>
    <mergeCell ref="M16:P16"/>
    <mergeCell ref="B17:E17"/>
    <mergeCell ref="F17:G17"/>
    <mergeCell ref="H17:I17"/>
    <mergeCell ref="J17:K17"/>
    <mergeCell ref="M17:P17"/>
    <mergeCell ref="B18:E18"/>
    <mergeCell ref="F18:G18"/>
    <mergeCell ref="H18:I18"/>
    <mergeCell ref="J18:K18"/>
    <mergeCell ref="M18:P18"/>
    <mergeCell ref="B19:E19"/>
    <mergeCell ref="F19:G19"/>
    <mergeCell ref="H19:I19"/>
    <mergeCell ref="J19:K19"/>
    <mergeCell ref="M19:P19"/>
    <mergeCell ref="B20:E20"/>
    <mergeCell ref="F20:G20"/>
    <mergeCell ref="H20:I20"/>
    <mergeCell ref="J20:K20"/>
    <mergeCell ref="M20:P20"/>
    <mergeCell ref="B21:E21"/>
    <mergeCell ref="F21:G21"/>
    <mergeCell ref="H21:I21"/>
    <mergeCell ref="J21:K21"/>
    <mergeCell ref="M21:P21"/>
    <mergeCell ref="J24:K24"/>
    <mergeCell ref="M24:P24"/>
    <mergeCell ref="B25:E25"/>
    <mergeCell ref="F25:G25"/>
    <mergeCell ref="H25:I25"/>
    <mergeCell ref="J25:K25"/>
    <mergeCell ref="M25:P25"/>
    <mergeCell ref="A22:A33"/>
    <mergeCell ref="B22:P22"/>
    <mergeCell ref="B23:E23"/>
    <mergeCell ref="F23:G23"/>
    <mergeCell ref="H23:I23"/>
    <mergeCell ref="J23:K23"/>
    <mergeCell ref="M23:P23"/>
    <mergeCell ref="B24:E24"/>
    <mergeCell ref="F24:G24"/>
    <mergeCell ref="H24:I24"/>
    <mergeCell ref="B26:E26"/>
    <mergeCell ref="F26:G26"/>
    <mergeCell ref="H26:I26"/>
    <mergeCell ref="J26:K26"/>
    <mergeCell ref="M26:P26"/>
    <mergeCell ref="B27:E27"/>
    <mergeCell ref="F27:G27"/>
    <mergeCell ref="H27:I27"/>
    <mergeCell ref="J27:K27"/>
    <mergeCell ref="M27:P27"/>
    <mergeCell ref="B28:E28"/>
    <mergeCell ref="F28:G28"/>
    <mergeCell ref="H28:I28"/>
    <mergeCell ref="J28:K28"/>
    <mergeCell ref="M28:P28"/>
    <mergeCell ref="B29:E29"/>
    <mergeCell ref="F29:G29"/>
    <mergeCell ref="H29:I29"/>
    <mergeCell ref="J29:K29"/>
    <mergeCell ref="M29:P29"/>
    <mergeCell ref="B32:E32"/>
    <mergeCell ref="F32:G32"/>
    <mergeCell ref="H32:I32"/>
    <mergeCell ref="J32:K32"/>
    <mergeCell ref="M32:P32"/>
    <mergeCell ref="F33:G33"/>
    <mergeCell ref="H33:I33"/>
    <mergeCell ref="J33:K33"/>
    <mergeCell ref="B30:E30"/>
    <mergeCell ref="F30:G30"/>
    <mergeCell ref="H30:I30"/>
    <mergeCell ref="J30:K30"/>
    <mergeCell ref="M30:P30"/>
    <mergeCell ref="B31:E31"/>
    <mergeCell ref="F31:G31"/>
    <mergeCell ref="H31:I31"/>
    <mergeCell ref="J31:K31"/>
    <mergeCell ref="M31:P31"/>
    <mergeCell ref="B33:E33"/>
    <mergeCell ref="J36:K36"/>
    <mergeCell ref="M36:P36"/>
    <mergeCell ref="B37:E37"/>
    <mergeCell ref="F37:G37"/>
    <mergeCell ref="H37:I37"/>
    <mergeCell ref="J37:K37"/>
    <mergeCell ref="M37:P37"/>
    <mergeCell ref="A34:A43"/>
    <mergeCell ref="B34:P34"/>
    <mergeCell ref="B35:E35"/>
    <mergeCell ref="F35:G35"/>
    <mergeCell ref="H35:I35"/>
    <mergeCell ref="J35:K35"/>
    <mergeCell ref="M35:P35"/>
    <mergeCell ref="B36:E36"/>
    <mergeCell ref="F36:G36"/>
    <mergeCell ref="H36:I36"/>
    <mergeCell ref="B38:E38"/>
    <mergeCell ref="F38:G38"/>
    <mergeCell ref="H38:I38"/>
    <mergeCell ref="J38:K38"/>
    <mergeCell ref="M38:P38"/>
    <mergeCell ref="B39:E39"/>
    <mergeCell ref="F39:G39"/>
    <mergeCell ref="H39:I39"/>
    <mergeCell ref="J39:K39"/>
    <mergeCell ref="M39:P39"/>
    <mergeCell ref="B40:E40"/>
    <mergeCell ref="F40:G40"/>
    <mergeCell ref="H40:I40"/>
    <mergeCell ref="J40:K40"/>
    <mergeCell ref="M40:P40"/>
    <mergeCell ref="B41:E41"/>
    <mergeCell ref="F41:G41"/>
    <mergeCell ref="H41:I41"/>
    <mergeCell ref="J41:K41"/>
    <mergeCell ref="M41:P41"/>
    <mergeCell ref="B42:E42"/>
    <mergeCell ref="F42:G42"/>
    <mergeCell ref="H42:I42"/>
    <mergeCell ref="J42:K42"/>
    <mergeCell ref="M42:P42"/>
    <mergeCell ref="B43:E43"/>
    <mergeCell ref="F43:G43"/>
    <mergeCell ref="H43:I43"/>
    <mergeCell ref="J43:K43"/>
    <mergeCell ref="M43:P43"/>
    <mergeCell ref="J46:K46"/>
    <mergeCell ref="M46:P46"/>
    <mergeCell ref="B47:E47"/>
    <mergeCell ref="F47:G47"/>
    <mergeCell ref="H47:I47"/>
    <mergeCell ref="J47:K47"/>
    <mergeCell ref="M47:P47"/>
    <mergeCell ref="A44:A53"/>
    <mergeCell ref="B44:P44"/>
    <mergeCell ref="B45:E45"/>
    <mergeCell ref="F45:G45"/>
    <mergeCell ref="H45:I45"/>
    <mergeCell ref="J45:K45"/>
    <mergeCell ref="M45:P45"/>
    <mergeCell ref="B46:E46"/>
    <mergeCell ref="F46:G46"/>
    <mergeCell ref="H46:I46"/>
    <mergeCell ref="B48:E48"/>
    <mergeCell ref="F48:G48"/>
    <mergeCell ref="H48:I48"/>
    <mergeCell ref="J48:K48"/>
    <mergeCell ref="M48:P48"/>
    <mergeCell ref="B49:E49"/>
    <mergeCell ref="F49:G49"/>
    <mergeCell ref="H49:I49"/>
    <mergeCell ref="J49:K49"/>
    <mergeCell ref="M49:P49"/>
    <mergeCell ref="B52:E52"/>
    <mergeCell ref="F52:G52"/>
    <mergeCell ref="H52:I52"/>
    <mergeCell ref="J52:K52"/>
    <mergeCell ref="M52:P52"/>
    <mergeCell ref="B53:P53"/>
    <mergeCell ref="B50:E50"/>
    <mergeCell ref="F50:G50"/>
    <mergeCell ref="H50:I50"/>
    <mergeCell ref="J50:K50"/>
    <mergeCell ref="M50:P50"/>
    <mergeCell ref="B51:E51"/>
    <mergeCell ref="F51:G51"/>
    <mergeCell ref="H51:I51"/>
    <mergeCell ref="J51:K51"/>
    <mergeCell ref="M51:P51"/>
    <mergeCell ref="D54:E54"/>
    <mergeCell ref="F54:G54"/>
    <mergeCell ref="H54:I54"/>
    <mergeCell ref="J54:K54"/>
    <mergeCell ref="L54:L55"/>
    <mergeCell ref="D55:E55"/>
    <mergeCell ref="F55:G55"/>
    <mergeCell ref="H55:I55"/>
    <mergeCell ref="J55:K5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600-000000000000}">
      <formula1>AvancementTheme</formula1>
    </dataValidation>
  </dataValidations>
  <hyperlinks>
    <hyperlink ref="P1" location="DKPI_03CK2" display="KPI's" xr:uid="{00000000-0004-0000-3600-000000000000}"/>
    <hyperlink ref="O1" location="DPDV_03CK2" display="PdV" xr:uid="{00000000-0004-0000-3600-000001000000}"/>
  </hyperlinks>
  <pageMargins left="0.70866141732283472" right="0.70866141732283472" top="0.74803149606299213" bottom="0.74803149606299213" header="0.31496062992125984" footer="0.31496062992125984"/>
  <pageSetup paperSize="9" scale="34" orientation="portrait" r:id="rId1"/>
  <headerFooter>
    <oddHeader>&amp;LPAD Methodology (c) 2013-2014&amp;RStrategic Management Workshop</oddHeader>
    <oddFooter>&amp;L&amp;F&amp;C&amp;A&amp;RSituation au : &amp;D - page : &amp;P/&amp;N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37">
    <tabColor theme="9" tint="-0.249977111117893"/>
    <pageSetUpPr fitToPage="1"/>
  </sheetPr>
  <dimension ref="A1:AA49"/>
  <sheetViews>
    <sheetView showGridLines="0" showRowColHeaders="0" zoomScaleNormal="100" workbookViewId="0">
      <pane xSplit="3" ySplit="9" topLeftCell="D18" activePane="bottomRight" state="frozen"/>
      <selection activeCell="H7" sqref="H7"/>
      <selection pane="topRight" activeCell="H7" sqref="H7"/>
      <selection pane="bottomLeft" activeCell="H7" sqref="H7"/>
      <selection pane="bottomRight" activeCell="H7" sqref="H7:I7"/>
    </sheetView>
  </sheetViews>
  <sheetFormatPr baseColWidth="10" defaultColWidth="11.453125" defaultRowHeight="14.5" x14ac:dyDescent="0.35"/>
  <cols>
    <col min="1" max="1" width="11.453125" style="60" customWidth="1"/>
    <col min="2" max="2" width="11.26953125" style="60" customWidth="1"/>
    <col min="3" max="3" width="8.54296875" style="60" customWidth="1"/>
    <col min="4" max="26" width="6.7265625" style="60" customWidth="1"/>
    <col min="27" max="27" width="11.453125" style="60" customWidth="1"/>
    <col min="28" max="16384" width="11.453125" style="60"/>
  </cols>
  <sheetData>
    <row r="1" spans="1:27"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t="s">
        <v>2</v>
      </c>
      <c r="Y1" s="479" t="s">
        <v>3</v>
      </c>
      <c r="Z1" s="389"/>
      <c r="AA1" s="458"/>
    </row>
    <row r="2" spans="1:27" s="58" customFormat="1" ht="18" customHeight="1" x14ac:dyDescent="0.35">
      <c r="A2" s="393"/>
      <c r="B2" s="393"/>
      <c r="C2" s="393"/>
      <c r="D2" s="393"/>
      <c r="E2" s="3822" t="str">
        <f>NomClient</f>
        <v xml:space="preserve">EQUINIX </v>
      </c>
      <c r="F2" s="3823"/>
      <c r="G2" s="3823"/>
      <c r="H2" s="3823"/>
      <c r="I2" s="3823"/>
      <c r="J2" s="3824"/>
      <c r="K2" s="393"/>
      <c r="L2" s="3345" t="s">
        <v>406</v>
      </c>
      <c r="M2" s="3826"/>
      <c r="N2" s="3826"/>
      <c r="O2" s="3346"/>
      <c r="P2" s="393"/>
      <c r="Q2" s="393"/>
      <c r="R2" s="3347">
        <v>42420.669212962966</v>
      </c>
      <c r="S2" s="3825"/>
      <c r="T2" s="3825"/>
      <c r="U2" s="3348"/>
      <c r="V2" s="699"/>
      <c r="W2" s="699"/>
      <c r="X2" s="451">
        <f>IF(LEN(DPDV_04SC2)&gt;0,LEN(DPDV_04SC2),0-PDV_NBmini)</f>
        <v>37</v>
      </c>
      <c r="Y2" s="451">
        <f>IF(LEN(DKPI_04SC2)&gt;0,LEN(DKPI_04SC2),0-KPI_NBmini)</f>
        <v>38</v>
      </c>
      <c r="Z2" s="699"/>
      <c r="AA2" s="459"/>
    </row>
    <row r="3" spans="1:27"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7" s="1" customFormat="1" ht="24.75" customHeight="1" thickBot="1" x14ac:dyDescent="0.4">
      <c r="A4" s="5552" t="str">
        <f>Parametre!B26  &amp; "  : "</f>
        <v xml:space="preserve">Marchés cibles  : </v>
      </c>
      <c r="B4" s="5552"/>
      <c r="C4" s="5552"/>
      <c r="D4" s="5552"/>
      <c r="E4" s="5552"/>
      <c r="F4" s="5552"/>
      <c r="G4" s="5552"/>
      <c r="H4" s="5552"/>
      <c r="I4" s="5552"/>
      <c r="J4" s="5552"/>
      <c r="K4" s="5553" t="str">
        <f>"Répartition Sectorielle pour " &amp; NomProd2</f>
        <v>Répartition Sectorielle pour ASEMA</v>
      </c>
      <c r="L4" s="5553"/>
      <c r="M4" s="5553"/>
      <c r="N4" s="5553"/>
      <c r="O4" s="5553"/>
      <c r="P4" s="5553"/>
      <c r="Q4" s="5553"/>
      <c r="R4" s="5553"/>
      <c r="S4" s="5553"/>
      <c r="T4" s="5553"/>
      <c r="U4" s="5553"/>
      <c r="V4" s="5553"/>
      <c r="W4" s="5553"/>
      <c r="X4" s="5553"/>
      <c r="Y4" s="5553"/>
      <c r="Z4" s="5554"/>
      <c r="AA4" s="444"/>
    </row>
    <row r="5" spans="1:27" ht="37.5" customHeight="1" thickBot="1" x14ac:dyDescent="0.4">
      <c r="A5" s="3438" t="s">
        <v>14</v>
      </c>
      <c r="B5" s="3438"/>
      <c r="C5" s="3508" t="s">
        <v>579</v>
      </c>
      <c r="D5" s="3508"/>
      <c r="E5" s="3508"/>
      <c r="F5" s="3508"/>
      <c r="G5" s="3508"/>
      <c r="H5" s="3508"/>
      <c r="I5" s="3508"/>
      <c r="J5" s="3508"/>
      <c r="K5" s="3508"/>
      <c r="L5" s="3508"/>
      <c r="M5" s="3508"/>
      <c r="N5" s="3508"/>
      <c r="O5" s="3508"/>
      <c r="P5" s="3508"/>
      <c r="Q5" s="3508"/>
      <c r="R5" s="3508"/>
      <c r="S5" s="3508"/>
      <c r="T5" s="3508"/>
      <c r="U5" s="3508"/>
      <c r="V5" s="3508"/>
      <c r="W5" s="3508"/>
      <c r="X5" s="3508"/>
      <c r="Y5" s="3508"/>
      <c r="Z5" s="3508"/>
      <c r="AA5" s="64"/>
    </row>
    <row r="6" spans="1:27" ht="27.75" customHeight="1" x14ac:dyDescent="0.35">
      <c r="A6" s="3836"/>
      <c r="B6" s="3837" t="s">
        <v>359</v>
      </c>
      <c r="C6" s="3832"/>
      <c r="D6" s="3831" t="s">
        <v>573</v>
      </c>
      <c r="E6" s="3831"/>
      <c r="F6" s="3831" t="s">
        <v>523</v>
      </c>
      <c r="G6" s="3831"/>
      <c r="H6" s="3831" t="s">
        <v>352</v>
      </c>
      <c r="I6" s="3831"/>
      <c r="J6" s="3831" t="s">
        <v>574</v>
      </c>
      <c r="K6" s="3831"/>
      <c r="L6" s="3832" t="s">
        <v>575</v>
      </c>
      <c r="M6" s="3833"/>
      <c r="N6" s="3829"/>
      <c r="O6" s="3830"/>
      <c r="P6" s="3837" t="s">
        <v>577</v>
      </c>
      <c r="Q6" s="3832"/>
      <c r="R6" s="3832"/>
      <c r="S6" s="3831" t="s">
        <v>355</v>
      </c>
      <c r="T6" s="3831"/>
      <c r="U6" s="3831" t="s">
        <v>356</v>
      </c>
      <c r="V6" s="3831"/>
      <c r="W6" s="3831" t="s">
        <v>357</v>
      </c>
      <c r="X6" s="3831"/>
      <c r="Y6" s="3831" t="s">
        <v>578</v>
      </c>
      <c r="Z6" s="3845"/>
      <c r="AA6" s="3828"/>
    </row>
    <row r="7" spans="1:27" ht="18" customHeight="1" thickBot="1" x14ac:dyDescent="0.4">
      <c r="A7" s="3836"/>
      <c r="B7" s="3838"/>
      <c r="C7" s="3839"/>
      <c r="D7" s="3834">
        <v>1</v>
      </c>
      <c r="E7" s="3834"/>
      <c r="F7" s="3834">
        <v>2</v>
      </c>
      <c r="G7" s="3834"/>
      <c r="H7" s="3834">
        <v>3</v>
      </c>
      <c r="I7" s="3834"/>
      <c r="J7" s="3834">
        <v>4</v>
      </c>
      <c r="K7" s="3834"/>
      <c r="L7" s="3834">
        <v>5</v>
      </c>
      <c r="M7" s="3844"/>
      <c r="N7" s="3829"/>
      <c r="O7" s="3830"/>
      <c r="P7" s="3838"/>
      <c r="Q7" s="3839"/>
      <c r="R7" s="3839"/>
      <c r="S7" s="3846"/>
      <c r="T7" s="3846"/>
      <c r="U7" s="3847"/>
      <c r="V7" s="3847"/>
      <c r="W7" s="3848"/>
      <c r="X7" s="3848"/>
      <c r="Y7" s="3849"/>
      <c r="Z7" s="3850"/>
      <c r="AA7" s="3828"/>
    </row>
    <row r="8" spans="1:27" ht="5.25" customHeight="1" thickBot="1" x14ac:dyDescent="0.4">
      <c r="A8" s="3697"/>
      <c r="B8" s="3697"/>
      <c r="C8" s="3697"/>
      <c r="D8" s="3697"/>
      <c r="E8" s="3697"/>
      <c r="F8" s="3697"/>
      <c r="G8" s="3697"/>
      <c r="H8" s="3697"/>
      <c r="I8" s="3697"/>
      <c r="J8" s="3697"/>
      <c r="K8" s="3697"/>
      <c r="L8" s="3697"/>
      <c r="M8" s="3697"/>
      <c r="N8" s="3697"/>
      <c r="O8" s="3697"/>
      <c r="P8" s="3697"/>
      <c r="Q8" s="3697"/>
      <c r="R8" s="3697"/>
      <c r="S8" s="3697"/>
      <c r="T8" s="3697"/>
      <c r="U8" s="3697"/>
      <c r="V8" s="3697"/>
      <c r="W8" s="3697"/>
      <c r="X8" s="3697"/>
      <c r="Y8" s="3697"/>
      <c r="Z8" s="3697"/>
      <c r="AA8" s="3697"/>
    </row>
    <row r="9" spans="1:27" s="192" customFormat="1" ht="77.25" customHeight="1" thickTop="1" thickBot="1" x14ac:dyDescent="0.4">
      <c r="A9" s="3802" t="str">
        <f>NomProd1
&amp;
" Repartition Sectorielle"</f>
        <v>EQUINIX Repartition Sectorielle</v>
      </c>
      <c r="B9" s="3803"/>
      <c r="C9" s="3803" t="s">
        <v>222</v>
      </c>
      <c r="D9" s="771" t="s">
        <v>327</v>
      </c>
      <c r="E9" s="772" t="s">
        <v>299</v>
      </c>
      <c r="F9" s="772" t="s">
        <v>328</v>
      </c>
      <c r="G9" s="772" t="s">
        <v>329</v>
      </c>
      <c r="H9" s="772" t="s">
        <v>330</v>
      </c>
      <c r="I9" s="772" t="s">
        <v>331</v>
      </c>
      <c r="J9" s="772" t="s">
        <v>332</v>
      </c>
      <c r="K9" s="772" t="s">
        <v>333</v>
      </c>
      <c r="L9" s="772" t="s">
        <v>334</v>
      </c>
      <c r="M9" s="772" t="s">
        <v>335</v>
      </c>
      <c r="N9" s="772" t="s">
        <v>336</v>
      </c>
      <c r="O9" s="772" t="s">
        <v>337</v>
      </c>
      <c r="P9" s="772" t="s">
        <v>338</v>
      </c>
      <c r="Q9" s="772" t="s">
        <v>339</v>
      </c>
      <c r="R9" s="772" t="s">
        <v>340</v>
      </c>
      <c r="S9" s="772" t="s">
        <v>341</v>
      </c>
      <c r="T9" s="772" t="s">
        <v>342</v>
      </c>
      <c r="U9" s="772" t="s">
        <v>343</v>
      </c>
      <c r="V9" s="772" t="s">
        <v>349</v>
      </c>
      <c r="W9" s="772" t="s">
        <v>344</v>
      </c>
      <c r="X9" s="772" t="s">
        <v>345</v>
      </c>
      <c r="Y9" s="772" t="s">
        <v>346</v>
      </c>
      <c r="Z9" s="773" t="s">
        <v>347</v>
      </c>
      <c r="AA9" s="701"/>
    </row>
    <row r="10" spans="1:27" ht="3.75" customHeight="1" thickBot="1" x14ac:dyDescent="0.4">
      <c r="A10" s="774"/>
      <c r="B10" s="775"/>
      <c r="C10" s="776"/>
      <c r="D10" s="777"/>
      <c r="E10" s="778"/>
      <c r="F10" s="778"/>
      <c r="G10" s="778"/>
      <c r="H10" s="778"/>
      <c r="I10" s="778"/>
      <c r="J10" s="778"/>
      <c r="K10" s="778"/>
      <c r="L10" s="778"/>
      <c r="M10" s="778"/>
      <c r="N10" s="778"/>
      <c r="O10" s="778"/>
      <c r="P10" s="778"/>
      <c r="Q10" s="778"/>
      <c r="R10" s="778"/>
      <c r="S10" s="778"/>
      <c r="T10" s="778"/>
      <c r="U10" s="778"/>
      <c r="V10" s="778"/>
      <c r="W10" s="778"/>
      <c r="X10" s="778"/>
      <c r="Y10" s="778"/>
      <c r="Z10" s="779"/>
      <c r="AA10" s="64"/>
    </row>
    <row r="11" spans="1:27" ht="26.25" customHeight="1" thickBot="1" x14ac:dyDescent="0.4">
      <c r="A11" s="5543" t="str">
        <f>"% base client en " &amp; AnReference</f>
        <v>% base client en 2018</v>
      </c>
      <c r="B11" s="5544"/>
      <c r="C11" s="780">
        <f>SUM(D11:Z11)</f>
        <v>0</v>
      </c>
      <c r="D11" s="230"/>
      <c r="E11" s="231"/>
      <c r="F11" s="231"/>
      <c r="G11" s="231"/>
      <c r="H11" s="231"/>
      <c r="I11" s="231"/>
      <c r="J11" s="231"/>
      <c r="K11" s="231"/>
      <c r="L11" s="231"/>
      <c r="M11" s="231"/>
      <c r="N11" s="231"/>
      <c r="O11" s="231"/>
      <c r="P11" s="231"/>
      <c r="Q11" s="231"/>
      <c r="R11" s="231"/>
      <c r="S11" s="231"/>
      <c r="T11" s="231"/>
      <c r="U11" s="231"/>
      <c r="V11" s="231"/>
      <c r="W11" s="231"/>
      <c r="X11" s="231"/>
      <c r="Y11" s="231"/>
      <c r="Z11" s="232"/>
      <c r="AA11" s="64"/>
    </row>
    <row r="12" spans="1:27" ht="3.75" customHeight="1" thickBot="1" x14ac:dyDescent="0.4">
      <c r="A12" s="774"/>
      <c r="B12" s="775"/>
      <c r="C12" s="776"/>
      <c r="D12" s="777"/>
      <c r="E12" s="778"/>
      <c r="F12" s="778"/>
      <c r="G12" s="778"/>
      <c r="H12" s="778"/>
      <c r="I12" s="778"/>
      <c r="J12" s="778"/>
      <c r="K12" s="778"/>
      <c r="L12" s="778"/>
      <c r="M12" s="778"/>
      <c r="N12" s="778"/>
      <c r="O12" s="778"/>
      <c r="P12" s="778"/>
      <c r="Q12" s="778"/>
      <c r="R12" s="778"/>
      <c r="S12" s="778"/>
      <c r="T12" s="778"/>
      <c r="U12" s="778"/>
      <c r="V12" s="778"/>
      <c r="W12" s="778"/>
      <c r="X12" s="778"/>
      <c r="Y12" s="778"/>
      <c r="Z12" s="779"/>
      <c r="AA12" s="64"/>
    </row>
    <row r="13" spans="1:27" ht="31.5" customHeight="1" x14ac:dyDescent="0.35">
      <c r="A13" s="3791" t="s">
        <v>576</v>
      </c>
      <c r="B13" s="3792"/>
      <c r="C13" s="3793"/>
      <c r="D13" s="314"/>
      <c r="E13" s="114"/>
      <c r="F13" s="114"/>
      <c r="G13" s="114"/>
      <c r="H13" s="114"/>
      <c r="I13" s="114"/>
      <c r="J13" s="114"/>
      <c r="K13" s="114"/>
      <c r="L13" s="114"/>
      <c r="M13" s="114"/>
      <c r="N13" s="114"/>
      <c r="O13" s="114"/>
      <c r="P13" s="114"/>
      <c r="Q13" s="114"/>
      <c r="R13" s="114"/>
      <c r="S13" s="114"/>
      <c r="T13" s="114"/>
      <c r="U13" s="114"/>
      <c r="V13" s="114"/>
      <c r="W13" s="114"/>
      <c r="X13" s="114"/>
      <c r="Y13" s="114"/>
      <c r="Z13" s="196"/>
      <c r="AA13" s="64"/>
    </row>
    <row r="14" spans="1:27" ht="22.5" customHeight="1" thickBot="1" x14ac:dyDescent="0.4">
      <c r="A14" s="3794" t="s">
        <v>149</v>
      </c>
      <c r="B14" s="3795"/>
      <c r="C14" s="4585"/>
      <c r="D14" s="337"/>
      <c r="E14" s="338"/>
      <c r="F14" s="338"/>
      <c r="G14" s="338"/>
      <c r="H14" s="338"/>
      <c r="I14" s="338"/>
      <c r="J14" s="338"/>
      <c r="K14" s="338"/>
      <c r="L14" s="338"/>
      <c r="M14" s="338"/>
      <c r="N14" s="338"/>
      <c r="O14" s="338"/>
      <c r="P14" s="338"/>
      <c r="Q14" s="338"/>
      <c r="R14" s="338"/>
      <c r="S14" s="338"/>
      <c r="T14" s="338"/>
      <c r="U14" s="338"/>
      <c r="V14" s="338"/>
      <c r="W14" s="338"/>
      <c r="X14" s="338"/>
      <c r="Y14" s="338"/>
      <c r="Z14" s="339"/>
      <c r="AA14" s="64"/>
    </row>
    <row r="15" spans="1:27" ht="3.75" customHeight="1" thickBot="1" x14ac:dyDescent="0.4">
      <c r="A15" s="5545"/>
      <c r="B15" s="5546"/>
      <c r="C15" s="5546"/>
      <c r="D15" s="5546"/>
      <c r="E15" s="5546"/>
      <c r="F15" s="5546"/>
      <c r="G15" s="5546"/>
      <c r="H15" s="5546"/>
      <c r="I15" s="5546"/>
      <c r="J15" s="5546"/>
      <c r="K15" s="5546"/>
      <c r="L15" s="5546"/>
      <c r="M15" s="5546"/>
      <c r="N15" s="5546"/>
      <c r="O15" s="5546"/>
      <c r="P15" s="5546"/>
      <c r="Q15" s="5546"/>
      <c r="R15" s="5546"/>
      <c r="S15" s="5546"/>
      <c r="T15" s="5546"/>
      <c r="U15" s="5546"/>
      <c r="V15" s="5546"/>
      <c r="W15" s="5546"/>
      <c r="X15" s="5546"/>
      <c r="Y15" s="5546"/>
      <c r="Z15" s="5547"/>
      <c r="AA15" s="64"/>
    </row>
    <row r="16" spans="1:27" ht="18.75" customHeight="1" thickBot="1" x14ac:dyDescent="0.4">
      <c r="A16" s="1160" t="s">
        <v>974</v>
      </c>
      <c r="B16" s="781"/>
      <c r="C16" s="782">
        <f>SUM(D16:Z16)</f>
        <v>0</v>
      </c>
      <c r="D16" s="790"/>
      <c r="E16" s="791"/>
      <c r="F16" s="791"/>
      <c r="G16" s="791"/>
      <c r="H16" s="791"/>
      <c r="I16" s="791"/>
      <c r="J16" s="791"/>
      <c r="K16" s="791"/>
      <c r="L16" s="791"/>
      <c r="M16" s="791"/>
      <c r="N16" s="791"/>
      <c r="O16" s="791"/>
      <c r="P16" s="791"/>
      <c r="Q16" s="791"/>
      <c r="R16" s="791"/>
      <c r="S16" s="791"/>
      <c r="T16" s="792"/>
      <c r="U16" s="792"/>
      <c r="V16" s="792"/>
      <c r="W16" s="792"/>
      <c r="X16" s="792"/>
      <c r="Y16" s="792"/>
      <c r="Z16" s="793"/>
      <c r="AA16" s="64"/>
    </row>
    <row r="17" spans="1:27" ht="22.5" customHeight="1" x14ac:dyDescent="0.35">
      <c r="A17" s="3816" t="s">
        <v>1018</v>
      </c>
      <c r="B17" s="3817"/>
      <c r="C17" s="783">
        <f>SUM(D17:Z17)</f>
        <v>0</v>
      </c>
      <c r="D17" s="353"/>
      <c r="E17" s="234"/>
      <c r="F17" s="234"/>
      <c r="G17" s="234"/>
      <c r="H17" s="234"/>
      <c r="I17" s="234"/>
      <c r="J17" s="234"/>
      <c r="K17" s="234"/>
      <c r="L17" s="234"/>
      <c r="M17" s="234"/>
      <c r="N17" s="234"/>
      <c r="O17" s="234"/>
      <c r="P17" s="234"/>
      <c r="Q17" s="234"/>
      <c r="R17" s="234"/>
      <c r="S17" s="234"/>
      <c r="T17" s="234"/>
      <c r="U17" s="234"/>
      <c r="V17" s="234"/>
      <c r="W17" s="234"/>
      <c r="X17" s="234"/>
      <c r="Y17" s="234"/>
      <c r="Z17" s="235"/>
      <c r="AA17" s="64"/>
    </row>
    <row r="18" spans="1:27" ht="22.5" customHeight="1" x14ac:dyDescent="0.35">
      <c r="A18" s="4558" t="s">
        <v>1019</v>
      </c>
      <c r="B18" s="4559"/>
      <c r="C18" s="784">
        <f>SUM(D18:Z18)</f>
        <v>0</v>
      </c>
      <c r="D18" s="354"/>
      <c r="E18" s="236"/>
      <c r="F18" s="236"/>
      <c r="G18" s="236"/>
      <c r="H18" s="236"/>
      <c r="I18" s="236"/>
      <c r="J18" s="236"/>
      <c r="K18" s="236"/>
      <c r="L18" s="236"/>
      <c r="M18" s="236"/>
      <c r="N18" s="236"/>
      <c r="O18" s="236"/>
      <c r="P18" s="236"/>
      <c r="Q18" s="236"/>
      <c r="R18" s="236"/>
      <c r="S18" s="236"/>
      <c r="T18" s="237"/>
      <c r="U18" s="237"/>
      <c r="V18" s="237"/>
      <c r="W18" s="237"/>
      <c r="X18" s="237"/>
      <c r="Y18" s="237"/>
      <c r="Z18" s="238"/>
      <c r="AA18" s="64"/>
    </row>
    <row r="19" spans="1:27" ht="29.25" customHeight="1" thickBot="1" x14ac:dyDescent="0.4">
      <c r="A19" s="5548" t="s">
        <v>1103</v>
      </c>
      <c r="B19" s="5549"/>
      <c r="C19" s="785">
        <f>SUM(D19:Z19)</f>
        <v>0</v>
      </c>
      <c r="D19" s="355"/>
      <c r="E19" s="352"/>
      <c r="F19" s="352"/>
      <c r="G19" s="352"/>
      <c r="H19" s="352"/>
      <c r="I19" s="352"/>
      <c r="J19" s="352"/>
      <c r="K19" s="352"/>
      <c r="L19" s="352"/>
      <c r="M19" s="352"/>
      <c r="N19" s="352"/>
      <c r="O19" s="352"/>
      <c r="P19" s="352"/>
      <c r="Q19" s="352"/>
      <c r="R19" s="352"/>
      <c r="S19" s="352"/>
      <c r="T19" s="351"/>
      <c r="U19" s="351"/>
      <c r="V19" s="351"/>
      <c r="W19" s="351"/>
      <c r="X19" s="351"/>
      <c r="Y19" s="351"/>
      <c r="Z19" s="356"/>
      <c r="AA19" s="64"/>
    </row>
    <row r="20" spans="1:27" ht="22.5" customHeight="1" thickTop="1" x14ac:dyDescent="0.35">
      <c r="A20" s="5550" t="s">
        <v>975</v>
      </c>
      <c r="B20" s="5551"/>
      <c r="C20" s="786">
        <f t="shared" ref="C20:J20" si="0">C17-C18-C19</f>
        <v>0</v>
      </c>
      <c r="D20" s="787">
        <f t="shared" si="0"/>
        <v>0</v>
      </c>
      <c r="E20" s="788">
        <f t="shared" si="0"/>
        <v>0</v>
      </c>
      <c r="F20" s="788">
        <f t="shared" si="0"/>
        <v>0</v>
      </c>
      <c r="G20" s="788">
        <f t="shared" si="0"/>
        <v>0</v>
      </c>
      <c r="H20" s="788">
        <f t="shared" si="0"/>
        <v>0</v>
      </c>
      <c r="I20" s="788">
        <f t="shared" si="0"/>
        <v>0</v>
      </c>
      <c r="J20" s="788">
        <f t="shared" si="0"/>
        <v>0</v>
      </c>
      <c r="K20" s="788">
        <f>K17-K18-K19</f>
        <v>0</v>
      </c>
      <c r="L20" s="788">
        <f t="shared" ref="L20:Z20" si="1">L17-L18-L19</f>
        <v>0</v>
      </c>
      <c r="M20" s="788">
        <f t="shared" si="1"/>
        <v>0</v>
      </c>
      <c r="N20" s="788">
        <f t="shared" si="1"/>
        <v>0</v>
      </c>
      <c r="O20" s="788">
        <f t="shared" si="1"/>
        <v>0</v>
      </c>
      <c r="P20" s="788">
        <f t="shared" si="1"/>
        <v>0</v>
      </c>
      <c r="Q20" s="788">
        <f t="shared" si="1"/>
        <v>0</v>
      </c>
      <c r="R20" s="788">
        <f t="shared" si="1"/>
        <v>0</v>
      </c>
      <c r="S20" s="788">
        <f t="shared" si="1"/>
        <v>0</v>
      </c>
      <c r="T20" s="788">
        <f t="shared" si="1"/>
        <v>0</v>
      </c>
      <c r="U20" s="788">
        <f t="shared" si="1"/>
        <v>0</v>
      </c>
      <c r="V20" s="788">
        <f t="shared" si="1"/>
        <v>0</v>
      </c>
      <c r="W20" s="788">
        <f t="shared" si="1"/>
        <v>0</v>
      </c>
      <c r="X20" s="788">
        <f t="shared" si="1"/>
        <v>0</v>
      </c>
      <c r="Y20" s="788">
        <f t="shared" si="1"/>
        <v>0</v>
      </c>
      <c r="Z20" s="789">
        <f t="shared" si="1"/>
        <v>0</v>
      </c>
      <c r="AA20" s="64"/>
    </row>
    <row r="21" spans="1:27" ht="0.75" customHeight="1" thickBot="1" x14ac:dyDescent="0.4">
      <c r="A21" s="5541" t="s">
        <v>361</v>
      </c>
      <c r="B21" s="5542"/>
      <c r="C21" s="785">
        <f>SUM(D21:Z21)</f>
        <v>0</v>
      </c>
      <c r="D21" s="115">
        <f t="shared" ref="D21:Z21" si="2">D17-(D18+D20)</f>
        <v>0</v>
      </c>
      <c r="E21" s="115">
        <f t="shared" si="2"/>
        <v>0</v>
      </c>
      <c r="F21" s="115">
        <f t="shared" si="2"/>
        <v>0</v>
      </c>
      <c r="G21" s="115">
        <f t="shared" si="2"/>
        <v>0</v>
      </c>
      <c r="H21" s="115">
        <f t="shared" si="2"/>
        <v>0</v>
      </c>
      <c r="I21" s="115">
        <f t="shared" si="2"/>
        <v>0</v>
      </c>
      <c r="J21" s="115">
        <f t="shared" si="2"/>
        <v>0</v>
      </c>
      <c r="K21" s="115">
        <f t="shared" si="2"/>
        <v>0</v>
      </c>
      <c r="L21" s="115">
        <f t="shared" si="2"/>
        <v>0</v>
      </c>
      <c r="M21" s="115">
        <f t="shared" si="2"/>
        <v>0</v>
      </c>
      <c r="N21" s="115">
        <f t="shared" si="2"/>
        <v>0</v>
      </c>
      <c r="O21" s="115">
        <f t="shared" si="2"/>
        <v>0</v>
      </c>
      <c r="P21" s="115">
        <f t="shared" si="2"/>
        <v>0</v>
      </c>
      <c r="Q21" s="115">
        <f t="shared" si="2"/>
        <v>0</v>
      </c>
      <c r="R21" s="115">
        <f t="shared" si="2"/>
        <v>0</v>
      </c>
      <c r="S21" s="115">
        <f t="shared" si="2"/>
        <v>0</v>
      </c>
      <c r="T21" s="115">
        <f t="shared" si="2"/>
        <v>0</v>
      </c>
      <c r="U21" s="115">
        <f t="shared" si="2"/>
        <v>0</v>
      </c>
      <c r="V21" s="115">
        <f t="shared" si="2"/>
        <v>0</v>
      </c>
      <c r="W21" s="115">
        <f t="shared" si="2"/>
        <v>0</v>
      </c>
      <c r="X21" s="115">
        <f t="shared" si="2"/>
        <v>0</v>
      </c>
      <c r="Y21" s="115">
        <f t="shared" si="2"/>
        <v>0</v>
      </c>
      <c r="Z21" s="115">
        <f t="shared" si="2"/>
        <v>0</v>
      </c>
      <c r="AA21" s="64"/>
    </row>
    <row r="22" spans="1:27" ht="15" thickTop="1" x14ac:dyDescent="0.35">
      <c r="A22" s="470"/>
      <c r="B22" s="470"/>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63"/>
      <c r="AA22" s="64"/>
    </row>
    <row r="23" spans="1:27" ht="27.75" customHeight="1" thickBot="1" x14ac:dyDescent="0.4">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row>
    <row r="24" spans="1:27" ht="20.25" customHeight="1" thickTop="1" thickBot="1" x14ac:dyDescent="0.4">
      <c r="A24" s="4573" t="s">
        <v>10</v>
      </c>
      <c r="B24" s="4574"/>
      <c r="C24" s="4574"/>
      <c r="D24" s="4574"/>
      <c r="E24" s="4574"/>
      <c r="F24" s="4574"/>
      <c r="G24" s="4574"/>
      <c r="H24" s="4574"/>
      <c r="I24" s="4574"/>
      <c r="J24" s="4574"/>
      <c r="K24" s="4574"/>
      <c r="L24" s="4574"/>
      <c r="M24" s="4574"/>
      <c r="N24" s="4574"/>
      <c r="O24" s="4574"/>
      <c r="P24" s="4574"/>
      <c r="Q24" s="5540"/>
      <c r="R24" s="113"/>
      <c r="S24" s="31"/>
      <c r="T24" s="3725" t="s">
        <v>748</v>
      </c>
      <c r="U24" s="3726"/>
      <c r="V24" s="3727"/>
      <c r="W24" s="31"/>
      <c r="X24" s="31"/>
      <c r="Y24" s="31"/>
      <c r="Z24" s="64"/>
      <c r="AA24" s="64"/>
    </row>
    <row r="25" spans="1:27" ht="20.25" customHeight="1" x14ac:dyDescent="0.35">
      <c r="A25" s="4575" t="s">
        <v>1085</v>
      </c>
      <c r="B25" s="4576"/>
      <c r="C25" s="4576"/>
      <c r="D25" s="4576"/>
      <c r="E25" s="4576"/>
      <c r="F25" s="4576"/>
      <c r="G25" s="4576"/>
      <c r="H25" s="4576"/>
      <c r="I25" s="4576"/>
      <c r="J25" s="4576"/>
      <c r="K25" s="4576"/>
      <c r="L25" s="4576"/>
      <c r="M25" s="4576"/>
      <c r="N25" s="4576"/>
      <c r="O25" s="4576"/>
      <c r="P25" s="4576"/>
      <c r="Q25" s="4576"/>
      <c r="R25" s="36"/>
      <c r="S25" s="33"/>
      <c r="T25" s="3750" t="s">
        <v>798</v>
      </c>
      <c r="U25" s="3751"/>
      <c r="V25" s="3752"/>
      <c r="W25" s="33"/>
      <c r="X25" s="33"/>
      <c r="Y25" s="33"/>
      <c r="Z25" s="64"/>
      <c r="AA25" s="64"/>
    </row>
    <row r="26" spans="1:27" ht="20.25" customHeight="1" x14ac:dyDescent="0.35">
      <c r="A26" s="4577"/>
      <c r="B26" s="4578"/>
      <c r="C26" s="4578"/>
      <c r="D26" s="4578"/>
      <c r="E26" s="4578"/>
      <c r="F26" s="4578"/>
      <c r="G26" s="4578"/>
      <c r="H26" s="4578"/>
      <c r="I26" s="4578"/>
      <c r="J26" s="4578"/>
      <c r="K26" s="4578"/>
      <c r="L26" s="4578"/>
      <c r="M26" s="4578"/>
      <c r="N26" s="4578"/>
      <c r="O26" s="4578"/>
      <c r="P26" s="4578"/>
      <c r="Q26" s="4578"/>
      <c r="R26" s="36"/>
      <c r="S26" s="33"/>
      <c r="T26" s="3753"/>
      <c r="U26" s="3754"/>
      <c r="V26" s="3755"/>
      <c r="W26" s="33"/>
      <c r="X26" s="33"/>
      <c r="Y26" s="33"/>
      <c r="Z26" s="64"/>
      <c r="AA26" s="64"/>
    </row>
    <row r="27" spans="1:27" ht="20.25" customHeight="1" x14ac:dyDescent="0.35">
      <c r="A27" s="4577"/>
      <c r="B27" s="4578"/>
      <c r="C27" s="4578"/>
      <c r="D27" s="4578"/>
      <c r="E27" s="4578"/>
      <c r="F27" s="4578"/>
      <c r="G27" s="4578"/>
      <c r="H27" s="4578"/>
      <c r="I27" s="4578"/>
      <c r="J27" s="4578"/>
      <c r="K27" s="4578"/>
      <c r="L27" s="4578"/>
      <c r="M27" s="4578"/>
      <c r="N27" s="4578"/>
      <c r="O27" s="4578"/>
      <c r="P27" s="4578"/>
      <c r="Q27" s="4578"/>
      <c r="R27" s="36"/>
      <c r="S27" s="33"/>
      <c r="T27" s="3753"/>
      <c r="U27" s="3754"/>
      <c r="V27" s="3755"/>
      <c r="W27" s="33"/>
      <c r="X27" s="33"/>
      <c r="Y27" s="33"/>
      <c r="Z27" s="64"/>
      <c r="AA27" s="64"/>
    </row>
    <row r="28" spans="1:27" ht="15" thickBot="1" x14ac:dyDescent="0.4">
      <c r="A28" s="4579"/>
      <c r="B28" s="4580"/>
      <c r="C28" s="4580"/>
      <c r="D28" s="4580"/>
      <c r="E28" s="4580"/>
      <c r="F28" s="4580"/>
      <c r="G28" s="4580"/>
      <c r="H28" s="4580"/>
      <c r="I28" s="4580"/>
      <c r="J28" s="4580"/>
      <c r="K28" s="4580"/>
      <c r="L28" s="4580"/>
      <c r="M28" s="4580"/>
      <c r="N28" s="4580"/>
      <c r="O28" s="4580"/>
      <c r="P28" s="4580"/>
      <c r="Q28" s="4580"/>
      <c r="R28" s="36"/>
      <c r="S28" s="33"/>
      <c r="T28" s="3756"/>
      <c r="U28" s="3757"/>
      <c r="V28" s="3758"/>
      <c r="W28" s="33"/>
      <c r="X28" s="33"/>
      <c r="Y28" s="33"/>
      <c r="Z28" s="64"/>
      <c r="AA28" s="64"/>
    </row>
    <row r="29" spans="1:27" ht="15.5" thickTop="1" thickBot="1" x14ac:dyDescent="0.4">
      <c r="A29" s="64"/>
      <c r="B29" s="64"/>
      <c r="C29" s="64"/>
      <c r="D29" s="64"/>
      <c r="E29" s="64"/>
      <c r="F29" s="64"/>
      <c r="G29" s="64"/>
      <c r="H29" s="64"/>
      <c r="I29" s="64"/>
      <c r="J29" s="64"/>
      <c r="K29" s="64"/>
      <c r="L29" s="64"/>
      <c r="M29" s="64"/>
      <c r="N29" s="64"/>
      <c r="O29" s="64"/>
      <c r="P29" s="64"/>
      <c r="Q29" s="64"/>
      <c r="R29" s="64"/>
      <c r="S29" s="64"/>
      <c r="T29" s="31"/>
      <c r="U29" s="31"/>
      <c r="V29" s="31"/>
      <c r="W29" s="64"/>
      <c r="X29" s="64"/>
      <c r="Y29" s="64"/>
      <c r="Z29" s="64"/>
      <c r="AA29" s="64"/>
    </row>
    <row r="30" spans="1:27" ht="20.25" customHeight="1" thickTop="1" thickBot="1" x14ac:dyDescent="0.4">
      <c r="A30" s="4573" t="s">
        <v>11</v>
      </c>
      <c r="B30" s="4574"/>
      <c r="C30" s="4574"/>
      <c r="D30" s="4574"/>
      <c r="E30" s="4574"/>
      <c r="F30" s="4574"/>
      <c r="G30" s="4574"/>
      <c r="H30" s="4574"/>
      <c r="I30" s="4574"/>
      <c r="J30" s="4574"/>
      <c r="K30" s="4574"/>
      <c r="L30" s="4574"/>
      <c r="M30" s="4574"/>
      <c r="N30" s="4574"/>
      <c r="O30" s="4574"/>
      <c r="P30" s="4574"/>
      <c r="Q30" s="5540"/>
      <c r="R30" s="113"/>
      <c r="S30" s="31"/>
      <c r="T30" s="3725" t="s">
        <v>748</v>
      </c>
      <c r="U30" s="3726"/>
      <c r="V30" s="3727"/>
      <c r="W30" s="31"/>
      <c r="X30" s="31"/>
      <c r="Y30" s="31"/>
      <c r="Z30" s="64"/>
      <c r="AA30" s="64"/>
    </row>
    <row r="31" spans="1:27" ht="20.25" customHeight="1" x14ac:dyDescent="0.35">
      <c r="A31" s="4575" t="s">
        <v>1086</v>
      </c>
      <c r="B31" s="4576"/>
      <c r="C31" s="4576"/>
      <c r="D31" s="4576"/>
      <c r="E31" s="4576"/>
      <c r="F31" s="4576"/>
      <c r="G31" s="4576"/>
      <c r="H31" s="4576"/>
      <c r="I31" s="4576"/>
      <c r="J31" s="4576"/>
      <c r="K31" s="4576"/>
      <c r="L31" s="4576"/>
      <c r="M31" s="4576"/>
      <c r="N31" s="4576"/>
      <c r="O31" s="4576"/>
      <c r="P31" s="4576"/>
      <c r="Q31" s="4576"/>
      <c r="R31" s="36"/>
      <c r="S31" s="33"/>
      <c r="T31" s="3750" t="s">
        <v>799</v>
      </c>
      <c r="U31" s="3751"/>
      <c r="V31" s="3752"/>
      <c r="W31" s="33"/>
      <c r="X31" s="33"/>
      <c r="Y31" s="33"/>
      <c r="Z31" s="64"/>
      <c r="AA31" s="64"/>
    </row>
    <row r="32" spans="1:27" ht="20.25" customHeight="1" x14ac:dyDescent="0.35">
      <c r="A32" s="4577"/>
      <c r="B32" s="4578"/>
      <c r="C32" s="4578"/>
      <c r="D32" s="4578"/>
      <c r="E32" s="4578"/>
      <c r="F32" s="4578"/>
      <c r="G32" s="4578"/>
      <c r="H32" s="4578"/>
      <c r="I32" s="4578"/>
      <c r="J32" s="4578"/>
      <c r="K32" s="4578"/>
      <c r="L32" s="4578"/>
      <c r="M32" s="4578"/>
      <c r="N32" s="4578"/>
      <c r="O32" s="4578"/>
      <c r="P32" s="4578"/>
      <c r="Q32" s="4578"/>
      <c r="R32" s="36"/>
      <c r="S32" s="33"/>
      <c r="T32" s="3753"/>
      <c r="U32" s="3754"/>
      <c r="V32" s="3755"/>
      <c r="W32" s="33"/>
      <c r="X32" s="33"/>
      <c r="Y32" s="33"/>
      <c r="Z32" s="64"/>
      <c r="AA32" s="64"/>
    </row>
    <row r="33" spans="1:27" ht="20.25" customHeight="1" x14ac:dyDescent="0.35">
      <c r="A33" s="4577"/>
      <c r="B33" s="4578"/>
      <c r="C33" s="4578"/>
      <c r="D33" s="4578"/>
      <c r="E33" s="4578"/>
      <c r="F33" s="4578"/>
      <c r="G33" s="4578"/>
      <c r="H33" s="4578"/>
      <c r="I33" s="4578"/>
      <c r="J33" s="4578"/>
      <c r="K33" s="4578"/>
      <c r="L33" s="4578"/>
      <c r="M33" s="4578"/>
      <c r="N33" s="4578"/>
      <c r="O33" s="4578"/>
      <c r="P33" s="4578"/>
      <c r="Q33" s="4578"/>
      <c r="R33" s="36"/>
      <c r="S33" s="33"/>
      <c r="T33" s="3753"/>
      <c r="U33" s="3754"/>
      <c r="V33" s="3755"/>
      <c r="W33" s="33"/>
      <c r="X33" s="33"/>
      <c r="Y33" s="33"/>
      <c r="Z33" s="64"/>
      <c r="AA33" s="64"/>
    </row>
    <row r="34" spans="1:27" ht="15" thickBot="1" x14ac:dyDescent="0.4">
      <c r="A34" s="4579"/>
      <c r="B34" s="4580"/>
      <c r="C34" s="4580"/>
      <c r="D34" s="4580"/>
      <c r="E34" s="4580"/>
      <c r="F34" s="4580"/>
      <c r="G34" s="4580"/>
      <c r="H34" s="4580"/>
      <c r="I34" s="4580"/>
      <c r="J34" s="4580"/>
      <c r="K34" s="4580"/>
      <c r="L34" s="4580"/>
      <c r="M34" s="4580"/>
      <c r="N34" s="4580"/>
      <c r="O34" s="4580"/>
      <c r="P34" s="4580"/>
      <c r="Q34" s="4580"/>
      <c r="R34" s="36"/>
      <c r="S34" s="33"/>
      <c r="T34" s="3756"/>
      <c r="U34" s="3757"/>
      <c r="V34" s="3758"/>
      <c r="W34" s="33"/>
      <c r="X34" s="33"/>
      <c r="Y34" s="33"/>
      <c r="Z34" s="64"/>
      <c r="AA34" s="64"/>
    </row>
    <row r="35" spans="1:27" ht="15" thickTop="1" x14ac:dyDescent="0.35">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row>
    <row r="36" spans="1:27" ht="15" thickBot="1" x14ac:dyDescent="0.4">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row>
    <row r="37" spans="1:27" ht="19" thickTop="1" x14ac:dyDescent="0.45">
      <c r="A37" s="4565" t="s">
        <v>803</v>
      </c>
      <c r="B37" s="4566"/>
      <c r="C37" s="4566"/>
      <c r="D37" s="4566"/>
      <c r="E37" s="4566"/>
      <c r="F37" s="4566"/>
      <c r="G37" s="4566"/>
      <c r="H37" s="4566"/>
      <c r="I37" s="4566"/>
      <c r="J37" s="4566"/>
      <c r="K37" s="4567"/>
      <c r="L37" s="64"/>
      <c r="M37" s="64"/>
      <c r="N37" s="64"/>
      <c r="O37" s="64"/>
      <c r="P37" s="64"/>
      <c r="Q37" s="64"/>
      <c r="R37" s="64"/>
      <c r="S37" s="64"/>
      <c r="T37" s="64"/>
      <c r="U37" s="64"/>
      <c r="V37" s="64"/>
      <c r="W37" s="64"/>
      <c r="X37" s="64"/>
      <c r="Y37" s="64"/>
      <c r="Z37" s="64"/>
      <c r="AA37" s="64"/>
    </row>
    <row r="38" spans="1:27" x14ac:dyDescent="0.35">
      <c r="A38" s="4592" t="s">
        <v>800</v>
      </c>
      <c r="B38" s="4562"/>
      <c r="C38" s="4562" t="s">
        <v>801</v>
      </c>
      <c r="D38" s="4562"/>
      <c r="E38" s="4562"/>
      <c r="F38" s="4568" t="s">
        <v>882</v>
      </c>
      <c r="G38" s="4569"/>
      <c r="H38" s="4568" t="s">
        <v>883</v>
      </c>
      <c r="I38" s="4569"/>
      <c r="J38" s="4562" t="s">
        <v>802</v>
      </c>
      <c r="K38" s="4572"/>
      <c r="L38" s="64"/>
      <c r="M38" s="64"/>
      <c r="N38" s="64"/>
      <c r="O38" s="64"/>
      <c r="P38" s="64"/>
      <c r="Q38" s="64"/>
      <c r="R38" s="64"/>
      <c r="S38" s="64"/>
      <c r="T38" s="64"/>
      <c r="U38" s="64"/>
      <c r="V38" s="64"/>
      <c r="W38" s="64"/>
      <c r="X38" s="64"/>
      <c r="Y38" s="64"/>
      <c r="Z38" s="64"/>
      <c r="AA38" s="64"/>
    </row>
    <row r="39" spans="1:27" x14ac:dyDescent="0.35">
      <c r="A39" s="4592"/>
      <c r="B39" s="4562"/>
      <c r="C39" s="4562"/>
      <c r="D39" s="4562"/>
      <c r="E39" s="4562"/>
      <c r="F39" s="4570"/>
      <c r="G39" s="4571"/>
      <c r="H39" s="4570"/>
      <c r="I39" s="4571"/>
      <c r="J39" s="4562"/>
      <c r="K39" s="4572"/>
      <c r="L39" s="64"/>
      <c r="M39" s="64"/>
      <c r="N39" s="64"/>
      <c r="O39" s="64"/>
      <c r="P39" s="64"/>
      <c r="Q39" s="64"/>
      <c r="R39" s="64"/>
      <c r="S39" s="64"/>
      <c r="T39" s="64"/>
      <c r="U39" s="64"/>
      <c r="V39" s="64"/>
      <c r="W39" s="64"/>
      <c r="X39" s="64"/>
      <c r="Y39" s="64"/>
      <c r="Z39" s="64"/>
      <c r="AA39" s="64"/>
    </row>
    <row r="40" spans="1:27" x14ac:dyDescent="0.35">
      <c r="A40" s="4552" t="s">
        <v>879</v>
      </c>
      <c r="B40" s="4553"/>
      <c r="C40" s="4549"/>
      <c r="D40" s="4549"/>
      <c r="E40" s="4549"/>
      <c r="F40" s="4550"/>
      <c r="G40" s="4550"/>
      <c r="H40" s="4550"/>
      <c r="I40" s="4550"/>
      <c r="J40" s="4549"/>
      <c r="K40" s="4551"/>
      <c r="L40" s="64"/>
      <c r="M40" s="64"/>
      <c r="N40" s="64"/>
      <c r="O40" s="64"/>
      <c r="P40" s="64"/>
      <c r="Q40" s="64"/>
      <c r="R40" s="64"/>
      <c r="S40" s="64"/>
      <c r="T40" s="64"/>
      <c r="U40" s="64"/>
      <c r="V40" s="64"/>
      <c r="W40" s="64"/>
      <c r="X40" s="64"/>
      <c r="Y40" s="64"/>
      <c r="Z40" s="64"/>
      <c r="AA40" s="64"/>
    </row>
    <row r="41" spans="1:27" x14ac:dyDescent="0.35">
      <c r="A41" s="4552" t="s">
        <v>880</v>
      </c>
      <c r="B41" s="4553"/>
      <c r="C41" s="4549"/>
      <c r="D41" s="4549"/>
      <c r="E41" s="4549"/>
      <c r="F41" s="4550"/>
      <c r="G41" s="4550"/>
      <c r="H41" s="4550"/>
      <c r="I41" s="4550"/>
      <c r="J41" s="4549"/>
      <c r="K41" s="4551"/>
      <c r="L41" s="64"/>
      <c r="M41" s="64"/>
      <c r="N41" s="64"/>
      <c r="O41" s="64"/>
      <c r="P41" s="64"/>
      <c r="Q41" s="64"/>
      <c r="R41" s="64"/>
      <c r="S41" s="64"/>
      <c r="T41" s="64"/>
      <c r="U41" s="64"/>
      <c r="V41" s="64"/>
      <c r="W41" s="64"/>
      <c r="X41" s="64"/>
      <c r="Y41" s="64"/>
      <c r="Z41" s="64"/>
      <c r="AA41" s="64"/>
    </row>
    <row r="42" spans="1:27" x14ac:dyDescent="0.35">
      <c r="A42" s="4552" t="s">
        <v>881</v>
      </c>
      <c r="B42" s="4553"/>
      <c r="C42" s="4549"/>
      <c r="D42" s="4549"/>
      <c r="E42" s="4549"/>
      <c r="F42" s="4550"/>
      <c r="G42" s="4550"/>
      <c r="H42" s="4550"/>
      <c r="I42" s="4550"/>
      <c r="J42" s="4549"/>
      <c r="K42" s="4551"/>
      <c r="L42" s="64"/>
      <c r="M42" s="64"/>
      <c r="N42" s="64"/>
      <c r="O42" s="64"/>
      <c r="P42" s="64"/>
      <c r="Q42" s="64"/>
      <c r="R42" s="64"/>
      <c r="S42" s="64"/>
      <c r="T42" s="64"/>
      <c r="U42" s="64"/>
      <c r="V42" s="64"/>
      <c r="W42" s="64"/>
      <c r="X42" s="64"/>
      <c r="Y42" s="64"/>
      <c r="Z42" s="64"/>
      <c r="AA42" s="64"/>
    </row>
    <row r="43" spans="1:27" x14ac:dyDescent="0.35">
      <c r="A43" s="4552" t="s">
        <v>327</v>
      </c>
      <c r="B43" s="4553"/>
      <c r="C43" s="4549"/>
      <c r="D43" s="4549"/>
      <c r="E43" s="4549"/>
      <c r="F43" s="4550"/>
      <c r="G43" s="4550"/>
      <c r="H43" s="4550"/>
      <c r="I43" s="4550"/>
      <c r="J43" s="4549"/>
      <c r="K43" s="4551"/>
      <c r="L43" s="64"/>
      <c r="M43" s="64"/>
      <c r="N43" s="64"/>
      <c r="O43" s="64"/>
      <c r="P43" s="64"/>
      <c r="Q43" s="64"/>
      <c r="R43" s="64"/>
      <c r="S43" s="64"/>
      <c r="T43" s="64"/>
      <c r="U43" s="64"/>
      <c r="V43" s="64"/>
      <c r="W43" s="64"/>
      <c r="X43" s="64"/>
      <c r="Y43" s="64"/>
      <c r="Z43" s="64"/>
      <c r="AA43" s="64"/>
    </row>
    <row r="44" spans="1:27" x14ac:dyDescent="0.35">
      <c r="A44" s="4552" t="s">
        <v>299</v>
      </c>
      <c r="B44" s="4553"/>
      <c r="C44" s="4549"/>
      <c r="D44" s="4549"/>
      <c r="E44" s="4549"/>
      <c r="F44" s="4550"/>
      <c r="G44" s="4550"/>
      <c r="H44" s="4550"/>
      <c r="I44" s="4550"/>
      <c r="J44" s="4549"/>
      <c r="K44" s="4551"/>
      <c r="L44" s="64"/>
      <c r="M44" s="64"/>
      <c r="N44" s="64"/>
      <c r="O44" s="64"/>
      <c r="P44" s="64"/>
      <c r="Q44" s="64"/>
      <c r="R44" s="64"/>
      <c r="S44" s="64"/>
      <c r="T44" s="64"/>
      <c r="U44" s="64"/>
      <c r="V44" s="64"/>
      <c r="W44" s="64"/>
      <c r="X44" s="64"/>
      <c r="Y44" s="64"/>
      <c r="Z44" s="64"/>
      <c r="AA44" s="64"/>
    </row>
    <row r="45" spans="1:27" x14ac:dyDescent="0.35">
      <c r="A45" s="4552"/>
      <c r="B45" s="4553"/>
      <c r="C45" s="4549"/>
      <c r="D45" s="4549"/>
      <c r="E45" s="4549"/>
      <c r="F45" s="4550"/>
      <c r="G45" s="4550"/>
      <c r="H45" s="4550"/>
      <c r="I45" s="4550"/>
      <c r="J45" s="4549"/>
      <c r="K45" s="4551"/>
      <c r="L45" s="64"/>
      <c r="M45" s="64"/>
      <c r="N45" s="64"/>
      <c r="O45" s="64"/>
      <c r="P45" s="64"/>
      <c r="Q45" s="64"/>
      <c r="R45" s="64"/>
      <c r="S45" s="64"/>
      <c r="T45" s="64"/>
      <c r="U45" s="64"/>
      <c r="V45" s="64"/>
      <c r="W45" s="64"/>
      <c r="X45" s="64"/>
      <c r="Y45" s="64"/>
      <c r="Z45" s="64"/>
      <c r="AA45" s="64"/>
    </row>
    <row r="46" spans="1:27" x14ac:dyDescent="0.35">
      <c r="A46" s="4552"/>
      <c r="B46" s="4553"/>
      <c r="C46" s="4549"/>
      <c r="D46" s="4549"/>
      <c r="E46" s="4549"/>
      <c r="F46" s="4550"/>
      <c r="G46" s="4550"/>
      <c r="H46" s="4550"/>
      <c r="I46" s="4550"/>
      <c r="J46" s="4549"/>
      <c r="K46" s="4551"/>
      <c r="L46" s="64"/>
      <c r="M46" s="64"/>
      <c r="N46" s="64"/>
      <c r="O46" s="64"/>
      <c r="P46" s="64"/>
      <c r="Q46" s="64"/>
      <c r="R46" s="64"/>
      <c r="S46" s="64"/>
      <c r="T46" s="64"/>
      <c r="U46" s="64"/>
      <c r="V46" s="64"/>
      <c r="W46" s="64"/>
      <c r="X46" s="64"/>
      <c r="Y46" s="64"/>
      <c r="Z46" s="64"/>
      <c r="AA46" s="64"/>
    </row>
    <row r="47" spans="1:27" ht="9" customHeight="1" thickBot="1" x14ac:dyDescent="0.4">
      <c r="A47" s="4546"/>
      <c r="B47" s="4547"/>
      <c r="C47" s="4547"/>
      <c r="D47" s="4547"/>
      <c r="E47" s="4547"/>
      <c r="F47" s="4547"/>
      <c r="G47" s="4547"/>
      <c r="H47" s="4547"/>
      <c r="I47" s="4547"/>
      <c r="J47" s="4547"/>
      <c r="K47" s="4548"/>
      <c r="L47" s="64"/>
      <c r="M47" s="64"/>
      <c r="N47" s="64"/>
      <c r="O47" s="64"/>
      <c r="P47" s="64"/>
      <c r="Q47" s="64"/>
      <c r="R47" s="64"/>
      <c r="S47" s="64"/>
      <c r="T47" s="64"/>
      <c r="U47" s="64"/>
      <c r="V47" s="64"/>
      <c r="W47" s="64"/>
      <c r="X47" s="64"/>
      <c r="Y47" s="64"/>
      <c r="Z47" s="64"/>
      <c r="AA47" s="64"/>
    </row>
    <row r="48" spans="1:27" ht="15" thickTop="1" x14ac:dyDescent="0.3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row>
    <row r="49" spans="1:27"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row>
  </sheetData>
  <mergeCells count="95">
    <mergeCell ref="D3:G3"/>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6:Z6"/>
    <mergeCell ref="L6:M6"/>
    <mergeCell ref="N6:O7"/>
    <mergeCell ref="P6:R7"/>
    <mergeCell ref="S6:T6"/>
    <mergeCell ref="U6:V6"/>
    <mergeCell ref="J7:K7"/>
    <mergeCell ref="L7:M7"/>
    <mergeCell ref="S7:T7"/>
    <mergeCell ref="U7:V7"/>
    <mergeCell ref="W7:X7"/>
    <mergeCell ref="A21:B21"/>
    <mergeCell ref="Y7:Z7"/>
    <mergeCell ref="A8:AA8"/>
    <mergeCell ref="A9:C9"/>
    <mergeCell ref="A11:B11"/>
    <mergeCell ref="A13:C13"/>
    <mergeCell ref="A14:C14"/>
    <mergeCell ref="A15:Z15"/>
    <mergeCell ref="A17:B17"/>
    <mergeCell ref="A18:B18"/>
    <mergeCell ref="A19:B19"/>
    <mergeCell ref="A20:B20"/>
    <mergeCell ref="AA6:AA7"/>
    <mergeCell ref="D7:E7"/>
    <mergeCell ref="F7:G7"/>
    <mergeCell ref="H7:I7"/>
    <mergeCell ref="A24:Q24"/>
    <mergeCell ref="T24:V24"/>
    <mergeCell ref="A25:Q28"/>
    <mergeCell ref="T25:V28"/>
    <mergeCell ref="A30:Q30"/>
    <mergeCell ref="T30:V30"/>
    <mergeCell ref="A31:Q34"/>
    <mergeCell ref="T31:V34"/>
    <mergeCell ref="A37:K37"/>
    <mergeCell ref="A38:B39"/>
    <mergeCell ref="C38:E39"/>
    <mergeCell ref="F38:G39"/>
    <mergeCell ref="H38:I39"/>
    <mergeCell ref="J38:K39"/>
    <mergeCell ref="A41:B41"/>
    <mergeCell ref="C41:E41"/>
    <mergeCell ref="F41:G41"/>
    <mergeCell ref="H41:I41"/>
    <mergeCell ref="J41:K41"/>
    <mergeCell ref="A40:B40"/>
    <mergeCell ref="C40:E40"/>
    <mergeCell ref="F40:G40"/>
    <mergeCell ref="H40:I40"/>
    <mergeCell ref="J40:K40"/>
    <mergeCell ref="A43:B43"/>
    <mergeCell ref="C43:E43"/>
    <mergeCell ref="F43:G43"/>
    <mergeCell ref="H43:I43"/>
    <mergeCell ref="J43:K43"/>
    <mergeCell ref="A42:B42"/>
    <mergeCell ref="C42:E42"/>
    <mergeCell ref="F42:G42"/>
    <mergeCell ref="H42:I42"/>
    <mergeCell ref="J42:K42"/>
    <mergeCell ref="A47:K47"/>
    <mergeCell ref="A44:B44"/>
    <mergeCell ref="C44:E44"/>
    <mergeCell ref="F44:G44"/>
    <mergeCell ref="H44:I44"/>
    <mergeCell ref="J44:K44"/>
    <mergeCell ref="A45:B45"/>
    <mergeCell ref="C45:E45"/>
    <mergeCell ref="F45:G45"/>
    <mergeCell ref="H45:I45"/>
    <mergeCell ref="J45:K45"/>
    <mergeCell ref="A46:B46"/>
    <mergeCell ref="C46:E46"/>
    <mergeCell ref="F46:G46"/>
    <mergeCell ref="H46:I46"/>
    <mergeCell ref="J46:K46"/>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3700-000000000000}">
      <formula1>AvancementTheme</formula1>
    </dataValidation>
  </dataValidations>
  <hyperlinks>
    <hyperlink ref="X1" location="DPDV_04SC2" display="PdV" xr:uid="{00000000-0004-0000-3700-000000000000}"/>
    <hyperlink ref="Y1" location="DKPI_04SC2" display="KPI's" xr:uid="{00000000-0004-0000-37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39">
    <tabColor theme="9" tint="-0.249977111117893"/>
    <pageSetUpPr fitToPage="1"/>
  </sheetPr>
  <dimension ref="A1:AA46"/>
  <sheetViews>
    <sheetView showGridLines="0" showRowColHeaders="0" zoomScaleNormal="100" workbookViewId="0">
      <pane xSplit="3" ySplit="9" topLeftCell="D15" activePane="bottomRight" state="frozen"/>
      <selection activeCell="H7" sqref="H7"/>
      <selection pane="topRight" activeCell="H7" sqref="H7"/>
      <selection pane="bottomLeft" activeCell="H7" sqref="H7"/>
      <selection pane="bottomRight" activeCell="H7" sqref="H7:I7"/>
    </sheetView>
  </sheetViews>
  <sheetFormatPr baseColWidth="10" defaultColWidth="11.453125" defaultRowHeight="14.5" x14ac:dyDescent="0.35"/>
  <cols>
    <col min="1" max="1" width="11.453125" style="60" customWidth="1"/>
    <col min="2" max="2" width="11.26953125" style="60" customWidth="1"/>
    <col min="3" max="3" width="8.54296875" style="60" customWidth="1"/>
    <col min="4" max="26" width="6.7265625" style="60" customWidth="1"/>
    <col min="27" max="16384" width="11.453125" style="60"/>
  </cols>
  <sheetData>
    <row r="1" spans="1:27"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t="s">
        <v>2</v>
      </c>
      <c r="Y1" s="479" t="s">
        <v>3</v>
      </c>
      <c r="Z1" s="389"/>
      <c r="AA1" s="458"/>
    </row>
    <row r="2" spans="1:27" s="58" customFormat="1" ht="18" customHeight="1" x14ac:dyDescent="0.35">
      <c r="A2" s="393"/>
      <c r="B2" s="393"/>
      <c r="C2" s="393"/>
      <c r="D2" s="393"/>
      <c r="E2" s="3822" t="str">
        <f>NomClient</f>
        <v xml:space="preserve">EQUINIX </v>
      </c>
      <c r="F2" s="3823"/>
      <c r="G2" s="3823"/>
      <c r="H2" s="3823"/>
      <c r="I2" s="3823"/>
      <c r="J2" s="3824"/>
      <c r="K2" s="393"/>
      <c r="L2" s="3345" t="s">
        <v>407</v>
      </c>
      <c r="M2" s="3826"/>
      <c r="N2" s="3826"/>
      <c r="O2" s="3346"/>
      <c r="P2" s="393"/>
      <c r="Q2" s="393"/>
      <c r="R2" s="3347">
        <v>42420.670358796298</v>
      </c>
      <c r="S2" s="3825"/>
      <c r="T2" s="3825"/>
      <c r="U2" s="3348"/>
      <c r="V2" s="699"/>
      <c r="W2" s="699"/>
      <c r="X2" s="451">
        <f>IF(LEN(DPDV_04GF2)&gt;0,LEN(DPDV_04GF2),0-PDV_NBmini)</f>
        <v>18</v>
      </c>
      <c r="Y2" s="451">
        <f>IF(LEN(DKPI_04GF2)&gt;0,LEN(DKPI_04GF2),0-KPI_NBmini)</f>
        <v>18</v>
      </c>
      <c r="Z2" s="699"/>
      <c r="AA2" s="459"/>
    </row>
    <row r="3" spans="1:27" ht="9.75" customHeight="1" thickBot="1" x14ac:dyDescent="0.4">
      <c r="A3" s="396"/>
      <c r="B3" s="396"/>
      <c r="C3" s="396"/>
      <c r="D3" s="3696" t="s">
        <v>1792</v>
      </c>
      <c r="E3" s="3696"/>
      <c r="F3" s="3696"/>
      <c r="G3" s="3696"/>
      <c r="H3" s="1960"/>
      <c r="I3" s="1960"/>
      <c r="J3" s="1960"/>
      <c r="K3" s="396"/>
      <c r="L3" s="396"/>
      <c r="M3" s="396"/>
      <c r="N3" s="396"/>
      <c r="O3" s="396"/>
      <c r="P3" s="396"/>
      <c r="Q3" s="831"/>
      <c r="R3" s="831"/>
      <c r="S3" s="831"/>
      <c r="T3" s="831"/>
      <c r="U3" s="831"/>
      <c r="V3" s="831"/>
      <c r="W3" s="2310"/>
      <c r="X3" s="2310"/>
      <c r="Y3" s="2310"/>
      <c r="Z3" s="2310"/>
    </row>
    <row r="4" spans="1:27" s="1" customFormat="1" ht="24.75" customHeight="1" thickBot="1" x14ac:dyDescent="0.4">
      <c r="A4" s="5552" t="str">
        <f>Parametre!B26 &amp; "  : "</f>
        <v xml:space="preserve">Marchés cibles  : </v>
      </c>
      <c r="B4" s="5552"/>
      <c r="C4" s="5552"/>
      <c r="D4" s="5552"/>
      <c r="E4" s="5552"/>
      <c r="F4" s="5552"/>
      <c r="G4" s="5552"/>
      <c r="H4" s="5552"/>
      <c r="I4" s="5552"/>
      <c r="J4" s="5552"/>
      <c r="K4" s="5553" t="str">
        <f>"Répartition Régionale pour " &amp; NomProd2</f>
        <v>Répartition Régionale pour ASEMA</v>
      </c>
      <c r="L4" s="5553"/>
      <c r="M4" s="5553"/>
      <c r="N4" s="5553"/>
      <c r="O4" s="5553"/>
      <c r="P4" s="5553"/>
      <c r="Q4" s="5553"/>
      <c r="R4" s="5553"/>
      <c r="S4" s="5553"/>
      <c r="T4" s="5553"/>
      <c r="U4" s="5553"/>
      <c r="V4" s="5553"/>
      <c r="W4" s="5553"/>
      <c r="X4" s="5553"/>
      <c r="Y4" s="5553"/>
      <c r="Z4" s="5554"/>
      <c r="AA4" s="444"/>
    </row>
    <row r="5" spans="1:27" ht="37.5" customHeight="1" thickBot="1" x14ac:dyDescent="0.4">
      <c r="A5" s="4590" t="s">
        <v>14</v>
      </c>
      <c r="B5" s="4590"/>
      <c r="C5" s="4591" t="s">
        <v>579</v>
      </c>
      <c r="D5" s="4591"/>
      <c r="E5" s="4591"/>
      <c r="F5" s="4591"/>
      <c r="G5" s="4591"/>
      <c r="H5" s="4591"/>
      <c r="I5" s="4591"/>
      <c r="J5" s="4591"/>
      <c r="K5" s="4591"/>
      <c r="L5" s="4591"/>
      <c r="M5" s="4591"/>
      <c r="N5" s="4591"/>
      <c r="O5" s="4591"/>
      <c r="P5" s="4591"/>
      <c r="Q5" s="4591"/>
      <c r="R5" s="4591"/>
      <c r="S5" s="4591"/>
      <c r="T5" s="4591"/>
      <c r="U5" s="4591"/>
      <c r="V5" s="4591"/>
      <c r="W5" s="4591"/>
      <c r="X5" s="4591"/>
      <c r="Y5" s="4591"/>
      <c r="Z5" s="4591"/>
      <c r="AA5" s="64"/>
    </row>
    <row r="6" spans="1:27" ht="17.25" customHeight="1" x14ac:dyDescent="0.35">
      <c r="A6" s="3836"/>
      <c r="B6" s="3837" t="s">
        <v>359</v>
      </c>
      <c r="C6" s="3832"/>
      <c r="D6" s="3831" t="s">
        <v>350</v>
      </c>
      <c r="E6" s="3831"/>
      <c r="F6" s="3831" t="s">
        <v>351</v>
      </c>
      <c r="G6" s="3831"/>
      <c r="H6" s="3831" t="s">
        <v>352</v>
      </c>
      <c r="I6" s="3831"/>
      <c r="J6" s="3831" t="s">
        <v>353</v>
      </c>
      <c r="K6" s="3831"/>
      <c r="L6" s="3831" t="s">
        <v>354</v>
      </c>
      <c r="M6" s="3845"/>
      <c r="N6" s="3829"/>
      <c r="O6" s="3830"/>
      <c r="P6" s="3837" t="s">
        <v>577</v>
      </c>
      <c r="Q6" s="3832"/>
      <c r="R6" s="3832"/>
      <c r="S6" s="3831" t="s">
        <v>355</v>
      </c>
      <c r="T6" s="3831"/>
      <c r="U6" s="3831" t="s">
        <v>356</v>
      </c>
      <c r="V6" s="3831"/>
      <c r="W6" s="3831" t="s">
        <v>357</v>
      </c>
      <c r="X6" s="3831"/>
      <c r="Y6" s="3831" t="s">
        <v>578</v>
      </c>
      <c r="Z6" s="3845"/>
      <c r="AA6" s="3828"/>
    </row>
    <row r="7" spans="1:27" ht="18" customHeight="1" thickBot="1" x14ac:dyDescent="0.4">
      <c r="A7" s="3836"/>
      <c r="B7" s="3838"/>
      <c r="C7" s="3839"/>
      <c r="D7" s="3834">
        <v>1</v>
      </c>
      <c r="E7" s="3834"/>
      <c r="F7" s="3834">
        <v>2</v>
      </c>
      <c r="G7" s="3834"/>
      <c r="H7" s="3834">
        <v>3</v>
      </c>
      <c r="I7" s="3834"/>
      <c r="J7" s="3834">
        <v>4</v>
      </c>
      <c r="K7" s="3834"/>
      <c r="L7" s="3834">
        <v>5</v>
      </c>
      <c r="M7" s="3844"/>
      <c r="N7" s="3829"/>
      <c r="O7" s="3830"/>
      <c r="P7" s="3838"/>
      <c r="Q7" s="3839"/>
      <c r="R7" s="3839"/>
      <c r="S7" s="3846"/>
      <c r="T7" s="3846"/>
      <c r="U7" s="3847"/>
      <c r="V7" s="3847"/>
      <c r="W7" s="3848"/>
      <c r="X7" s="3848"/>
      <c r="Y7" s="3849"/>
      <c r="Z7" s="3850"/>
      <c r="AA7" s="3828"/>
    </row>
    <row r="8" spans="1:27" ht="5.25" customHeight="1" thickBot="1" x14ac:dyDescent="0.4">
      <c r="A8" s="3697"/>
      <c r="B8" s="3697"/>
      <c r="C8" s="3697"/>
      <c r="D8" s="3697"/>
      <c r="E8" s="3697"/>
      <c r="F8" s="3697"/>
      <c r="G8" s="3697"/>
      <c r="H8" s="3697"/>
      <c r="I8" s="3697"/>
      <c r="J8" s="3697"/>
      <c r="K8" s="3697"/>
      <c r="L8" s="3697"/>
      <c r="M8" s="3697"/>
      <c r="N8" s="3697"/>
      <c r="O8" s="3697"/>
      <c r="P8" s="3697"/>
      <c r="Q8" s="3697"/>
      <c r="R8" s="3697"/>
      <c r="S8" s="3697"/>
      <c r="T8" s="3697"/>
      <c r="U8" s="3697"/>
      <c r="V8" s="3697"/>
      <c r="W8" s="3697"/>
      <c r="X8" s="3697"/>
      <c r="Y8" s="3697"/>
      <c r="Z8" s="3697"/>
      <c r="AA8" s="3697"/>
    </row>
    <row r="9" spans="1:27" s="192" customFormat="1" ht="90.75" customHeight="1" thickTop="1" thickBot="1" x14ac:dyDescent="0.4">
      <c r="A9" s="3802" t="str">
        <f>NomProd1 &amp;
" Repartition Regionale France"</f>
        <v>EQUINIX Repartition Regionale France</v>
      </c>
      <c r="B9" s="3803"/>
      <c r="C9" s="794" t="s">
        <v>222</v>
      </c>
      <c r="D9" s="795" t="s">
        <v>362</v>
      </c>
      <c r="E9" s="796" t="s">
        <v>363</v>
      </c>
      <c r="F9" s="796" t="s">
        <v>364</v>
      </c>
      <c r="G9" s="796" t="s">
        <v>365</v>
      </c>
      <c r="H9" s="796" t="s">
        <v>366</v>
      </c>
      <c r="I9" s="796" t="s">
        <v>367</v>
      </c>
      <c r="J9" s="796" t="s">
        <v>368</v>
      </c>
      <c r="K9" s="796" t="s">
        <v>369</v>
      </c>
      <c r="L9" s="796" t="s">
        <v>370</v>
      </c>
      <c r="M9" s="796" t="s">
        <v>371</v>
      </c>
      <c r="N9" s="796" t="s">
        <v>372</v>
      </c>
      <c r="O9" s="796" t="s">
        <v>373</v>
      </c>
      <c r="P9" s="796" t="s">
        <v>374</v>
      </c>
      <c r="Q9" s="796" t="s">
        <v>375</v>
      </c>
      <c r="R9" s="796" t="s">
        <v>376</v>
      </c>
      <c r="S9" s="796" t="s">
        <v>377</v>
      </c>
      <c r="T9" s="796" t="s">
        <v>378</v>
      </c>
      <c r="U9" s="796" t="s">
        <v>379</v>
      </c>
      <c r="V9" s="796" t="s">
        <v>380</v>
      </c>
      <c r="W9" s="796" t="s">
        <v>381</v>
      </c>
      <c r="X9" s="797" t="s">
        <v>1059</v>
      </c>
      <c r="Y9" s="701"/>
      <c r="Z9" s="701"/>
      <c r="AA9" s="701"/>
    </row>
    <row r="10" spans="1:27" s="192" customFormat="1" ht="30.75" customHeight="1" thickBot="1" x14ac:dyDescent="0.4">
      <c r="A10" s="4586" t="s">
        <v>580</v>
      </c>
      <c r="B10" s="4587"/>
      <c r="C10" s="798">
        <f>SUM(D10:X10)</f>
        <v>1.0000000000000004</v>
      </c>
      <c r="D10" s="813">
        <v>0.25</v>
      </c>
      <c r="E10" s="814">
        <v>0.11</v>
      </c>
      <c r="F10" s="814">
        <v>0.06</v>
      </c>
      <c r="G10" s="814">
        <v>0.06</v>
      </c>
      <c r="H10" s="814">
        <v>0.06</v>
      </c>
      <c r="I10" s="814">
        <v>0.05</v>
      </c>
      <c r="J10" s="814">
        <v>0.04</v>
      </c>
      <c r="K10" s="814">
        <v>0.04</v>
      </c>
      <c r="L10" s="814">
        <v>0.04</v>
      </c>
      <c r="M10" s="814">
        <v>0.03</v>
      </c>
      <c r="N10" s="814">
        <v>0.03</v>
      </c>
      <c r="O10" s="814">
        <v>0.03</v>
      </c>
      <c r="P10" s="814">
        <v>0.03</v>
      </c>
      <c r="Q10" s="814">
        <v>0.03</v>
      </c>
      <c r="R10" s="814">
        <v>0.03</v>
      </c>
      <c r="S10" s="814">
        <v>0.03</v>
      </c>
      <c r="T10" s="814">
        <v>0.02</v>
      </c>
      <c r="U10" s="814">
        <v>0.02</v>
      </c>
      <c r="V10" s="814">
        <v>0.02</v>
      </c>
      <c r="W10" s="814">
        <v>0.01</v>
      </c>
      <c r="X10" s="815">
        <v>0.01</v>
      </c>
      <c r="Y10" s="701"/>
      <c r="Z10" s="701"/>
      <c r="AA10" s="701"/>
    </row>
    <row r="11" spans="1:27" ht="17.25" customHeight="1" thickBot="1" x14ac:dyDescent="0.4">
      <c r="A11" s="4588" t="str">
        <f>"% CA client en " &amp; AnReference</f>
        <v>% CA client en 2018</v>
      </c>
      <c r="B11" s="4589"/>
      <c r="C11" s="799">
        <f>SUM(D11:X11)</f>
        <v>0</v>
      </c>
      <c r="D11" s="816"/>
      <c r="E11" s="817"/>
      <c r="F11" s="817"/>
      <c r="G11" s="817"/>
      <c r="H11" s="817"/>
      <c r="I11" s="817"/>
      <c r="J11" s="817"/>
      <c r="K11" s="817"/>
      <c r="L11" s="817"/>
      <c r="M11" s="817"/>
      <c r="N11" s="817"/>
      <c r="O11" s="817"/>
      <c r="P11" s="817"/>
      <c r="Q11" s="817"/>
      <c r="R11" s="817"/>
      <c r="S11" s="817"/>
      <c r="T11" s="817"/>
      <c r="U11" s="817"/>
      <c r="V11" s="817"/>
      <c r="W11" s="817"/>
      <c r="X11" s="818"/>
      <c r="Y11" s="64"/>
      <c r="Z11" s="64"/>
      <c r="AA11" s="64"/>
    </row>
    <row r="12" spans="1:27" ht="9" customHeight="1" x14ac:dyDescent="0.35">
      <c r="A12" s="800"/>
      <c r="B12" s="801"/>
      <c r="C12" s="802"/>
      <c r="D12" s="803"/>
      <c r="E12" s="804"/>
      <c r="F12" s="804"/>
      <c r="G12" s="804"/>
      <c r="H12" s="804"/>
      <c r="I12" s="804"/>
      <c r="J12" s="804"/>
      <c r="K12" s="804"/>
      <c r="L12" s="804"/>
      <c r="M12" s="804"/>
      <c r="N12" s="804"/>
      <c r="O12" s="804"/>
      <c r="P12" s="804"/>
      <c r="Q12" s="804"/>
      <c r="R12" s="804"/>
      <c r="S12" s="804"/>
      <c r="T12" s="804"/>
      <c r="U12" s="804"/>
      <c r="V12" s="804"/>
      <c r="W12" s="804"/>
      <c r="X12" s="805"/>
      <c r="Y12" s="64"/>
      <c r="Z12" s="64"/>
      <c r="AA12" s="64"/>
    </row>
    <row r="13" spans="1:27" ht="31.5" customHeight="1" x14ac:dyDescent="0.35">
      <c r="A13" s="4555" t="s">
        <v>348</v>
      </c>
      <c r="B13" s="4556"/>
      <c r="C13" s="4557"/>
      <c r="D13" s="315"/>
      <c r="E13" s="261"/>
      <c r="F13" s="261"/>
      <c r="G13" s="261"/>
      <c r="H13" s="261"/>
      <c r="I13" s="261"/>
      <c r="J13" s="261"/>
      <c r="K13" s="261"/>
      <c r="L13" s="261"/>
      <c r="M13" s="261"/>
      <c r="N13" s="261"/>
      <c r="O13" s="261"/>
      <c r="P13" s="261"/>
      <c r="Q13" s="261"/>
      <c r="R13" s="261"/>
      <c r="S13" s="261"/>
      <c r="T13" s="261"/>
      <c r="U13" s="261"/>
      <c r="V13" s="261"/>
      <c r="W13" s="261"/>
      <c r="X13" s="262"/>
      <c r="Y13" s="64"/>
      <c r="Z13" s="64"/>
      <c r="AA13" s="64"/>
    </row>
    <row r="14" spans="1:27" ht="22.5" customHeight="1" thickBot="1" x14ac:dyDescent="0.4">
      <c r="A14" s="3794" t="s">
        <v>149</v>
      </c>
      <c r="B14" s="3795"/>
      <c r="C14" s="4585"/>
      <c r="D14" s="227"/>
      <c r="E14" s="228"/>
      <c r="F14" s="228"/>
      <c r="G14" s="228"/>
      <c r="H14" s="228"/>
      <c r="I14" s="228"/>
      <c r="J14" s="228"/>
      <c r="K14" s="228"/>
      <c r="L14" s="228"/>
      <c r="M14" s="228"/>
      <c r="N14" s="228"/>
      <c r="O14" s="228"/>
      <c r="P14" s="228"/>
      <c r="Q14" s="228"/>
      <c r="R14" s="228"/>
      <c r="S14" s="228"/>
      <c r="T14" s="228"/>
      <c r="U14" s="228"/>
      <c r="V14" s="228"/>
      <c r="W14" s="228"/>
      <c r="X14" s="229"/>
      <c r="Y14" s="64"/>
      <c r="Z14" s="64"/>
      <c r="AA14" s="64"/>
    </row>
    <row r="15" spans="1:27" s="66" customFormat="1" ht="9" customHeight="1" thickBot="1" x14ac:dyDescent="0.4">
      <c r="A15" s="806"/>
      <c r="B15" s="807"/>
      <c r="C15" s="808"/>
      <c r="D15" s="809"/>
      <c r="E15" s="810"/>
      <c r="F15" s="810"/>
      <c r="G15" s="810"/>
      <c r="H15" s="810"/>
      <c r="I15" s="810"/>
      <c r="J15" s="810"/>
      <c r="K15" s="810"/>
      <c r="L15" s="810"/>
      <c r="M15" s="810"/>
      <c r="N15" s="810"/>
      <c r="O15" s="810"/>
      <c r="P15" s="810"/>
      <c r="Q15" s="810"/>
      <c r="R15" s="810"/>
      <c r="S15" s="810"/>
      <c r="T15" s="810"/>
      <c r="U15" s="810"/>
      <c r="V15" s="810"/>
      <c r="W15" s="810"/>
      <c r="X15" s="811"/>
      <c r="Y15" s="397"/>
      <c r="Z15" s="397"/>
      <c r="AA15" s="397"/>
    </row>
    <row r="16" spans="1:27" ht="22.5" customHeight="1" x14ac:dyDescent="0.35">
      <c r="A16" s="5555" t="s">
        <v>884</v>
      </c>
      <c r="B16" s="5556"/>
      <c r="C16" s="783">
        <f>SUM(D16:X16)</f>
        <v>0</v>
      </c>
      <c r="D16" s="233"/>
      <c r="E16" s="234"/>
      <c r="F16" s="234"/>
      <c r="G16" s="234"/>
      <c r="H16" s="234"/>
      <c r="I16" s="234"/>
      <c r="J16" s="234"/>
      <c r="K16" s="234"/>
      <c r="L16" s="234"/>
      <c r="M16" s="234"/>
      <c r="N16" s="234"/>
      <c r="O16" s="234"/>
      <c r="P16" s="234"/>
      <c r="Q16" s="234"/>
      <c r="R16" s="234"/>
      <c r="S16" s="234"/>
      <c r="T16" s="234"/>
      <c r="U16" s="234"/>
      <c r="V16" s="234"/>
      <c r="W16" s="234"/>
      <c r="X16" s="235"/>
      <c r="Y16" s="64"/>
      <c r="Z16" s="64"/>
      <c r="AA16" s="64"/>
    </row>
    <row r="17" spans="1:27" ht="22.5" customHeight="1" x14ac:dyDescent="0.35">
      <c r="A17" s="5557" t="s">
        <v>360</v>
      </c>
      <c r="B17" s="5558"/>
      <c r="C17" s="784">
        <f>SUM(D17:X17)</f>
        <v>0</v>
      </c>
      <c r="D17" s="236"/>
      <c r="E17" s="237"/>
      <c r="F17" s="237"/>
      <c r="G17" s="237"/>
      <c r="H17" s="237"/>
      <c r="I17" s="237"/>
      <c r="J17" s="237"/>
      <c r="K17" s="237"/>
      <c r="L17" s="237"/>
      <c r="M17" s="237"/>
      <c r="N17" s="237"/>
      <c r="O17" s="237"/>
      <c r="P17" s="237"/>
      <c r="Q17" s="237"/>
      <c r="R17" s="237"/>
      <c r="S17" s="237"/>
      <c r="T17" s="237"/>
      <c r="U17" s="237"/>
      <c r="V17" s="237"/>
      <c r="W17" s="237"/>
      <c r="X17" s="238"/>
      <c r="Y17" s="64"/>
      <c r="Z17" s="64"/>
      <c r="AA17" s="64"/>
    </row>
    <row r="18" spans="1:27" ht="22.5" customHeight="1" thickBot="1" x14ac:dyDescent="0.4">
      <c r="A18" s="5559" t="s">
        <v>913</v>
      </c>
      <c r="B18" s="5560"/>
      <c r="C18" s="812">
        <f>SUM(D18:X18)</f>
        <v>0</v>
      </c>
      <c r="D18" s="352"/>
      <c r="E18" s="351"/>
      <c r="F18" s="351"/>
      <c r="G18" s="351"/>
      <c r="H18" s="351"/>
      <c r="I18" s="351"/>
      <c r="J18" s="351"/>
      <c r="K18" s="351"/>
      <c r="L18" s="351"/>
      <c r="M18" s="351"/>
      <c r="N18" s="351"/>
      <c r="O18" s="351"/>
      <c r="P18" s="351"/>
      <c r="Q18" s="351"/>
      <c r="R18" s="351"/>
      <c r="S18" s="351"/>
      <c r="T18" s="351"/>
      <c r="U18" s="351"/>
      <c r="V18" s="351"/>
      <c r="W18" s="351"/>
      <c r="X18" s="356"/>
      <c r="Y18" s="64"/>
      <c r="Z18" s="64"/>
      <c r="AA18" s="64"/>
    </row>
    <row r="19" spans="1:27" ht="16.5" customHeight="1" thickTop="1" thickBot="1" x14ac:dyDescent="0.4">
      <c r="A19" s="5561" t="s">
        <v>361</v>
      </c>
      <c r="B19" s="5562"/>
      <c r="C19" s="357">
        <f t="shared" ref="C19:X19" si="0">C16-(C17+C18)</f>
        <v>0</v>
      </c>
      <c r="D19" s="357">
        <f t="shared" si="0"/>
        <v>0</v>
      </c>
      <c r="E19" s="357">
        <f t="shared" si="0"/>
        <v>0</v>
      </c>
      <c r="F19" s="357">
        <f t="shared" si="0"/>
        <v>0</v>
      </c>
      <c r="G19" s="357">
        <f t="shared" si="0"/>
        <v>0</v>
      </c>
      <c r="H19" s="357">
        <f t="shared" si="0"/>
        <v>0</v>
      </c>
      <c r="I19" s="357">
        <f t="shared" si="0"/>
        <v>0</v>
      </c>
      <c r="J19" s="357">
        <f t="shared" si="0"/>
        <v>0</v>
      </c>
      <c r="K19" s="357">
        <f t="shared" si="0"/>
        <v>0</v>
      </c>
      <c r="L19" s="357">
        <f t="shared" si="0"/>
        <v>0</v>
      </c>
      <c r="M19" s="357">
        <f t="shared" si="0"/>
        <v>0</v>
      </c>
      <c r="N19" s="357">
        <f t="shared" si="0"/>
        <v>0</v>
      </c>
      <c r="O19" s="357">
        <f t="shared" si="0"/>
        <v>0</v>
      </c>
      <c r="P19" s="357">
        <f t="shared" si="0"/>
        <v>0</v>
      </c>
      <c r="Q19" s="357">
        <f t="shared" si="0"/>
        <v>0</v>
      </c>
      <c r="R19" s="357">
        <f t="shared" si="0"/>
        <v>0</v>
      </c>
      <c r="S19" s="357">
        <f t="shared" si="0"/>
        <v>0</v>
      </c>
      <c r="T19" s="357">
        <f t="shared" si="0"/>
        <v>0</v>
      </c>
      <c r="U19" s="357">
        <f t="shared" si="0"/>
        <v>0</v>
      </c>
      <c r="V19" s="357">
        <f t="shared" si="0"/>
        <v>0</v>
      </c>
      <c r="W19" s="357">
        <f t="shared" si="0"/>
        <v>0</v>
      </c>
      <c r="X19" s="358">
        <f t="shared" si="0"/>
        <v>0</v>
      </c>
      <c r="Y19" s="64"/>
      <c r="Z19" s="64"/>
      <c r="AA19" s="64"/>
    </row>
    <row r="20" spans="1:27" ht="15" thickTop="1" x14ac:dyDescent="0.35">
      <c r="A20" s="470"/>
      <c r="B20" s="470"/>
      <c r="C20" s="470"/>
      <c r="D20" s="470"/>
      <c r="E20" s="470"/>
      <c r="F20" s="470"/>
      <c r="G20" s="470"/>
      <c r="H20" s="470"/>
      <c r="I20" s="470"/>
      <c r="J20" s="470"/>
      <c r="K20" s="470"/>
      <c r="L20" s="470"/>
      <c r="M20" s="470"/>
      <c r="N20" s="470"/>
      <c r="O20" s="470"/>
      <c r="P20" s="470"/>
      <c r="Q20" s="470"/>
      <c r="R20" s="470"/>
      <c r="S20" s="470"/>
      <c r="T20" s="470"/>
      <c r="U20" s="470"/>
      <c r="V20" s="470"/>
      <c r="W20" s="470"/>
      <c r="X20" s="470"/>
      <c r="Y20" s="470"/>
      <c r="Z20" s="463"/>
      <c r="AA20" s="64"/>
    </row>
    <row r="21" spans="1:27" ht="15" thickBot="1" x14ac:dyDescent="0.4">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row>
    <row r="22" spans="1:27" ht="20.25" customHeight="1" thickTop="1" thickBot="1" x14ac:dyDescent="0.4">
      <c r="A22" s="4573" t="s">
        <v>10</v>
      </c>
      <c r="B22" s="4574"/>
      <c r="C22" s="4574"/>
      <c r="D22" s="4574"/>
      <c r="E22" s="4574"/>
      <c r="F22" s="4574"/>
      <c r="G22" s="4574"/>
      <c r="H22" s="4574"/>
      <c r="I22" s="4574"/>
      <c r="J22" s="4574"/>
      <c r="K22" s="4574"/>
      <c r="L22" s="4574"/>
      <c r="M22" s="4574"/>
      <c r="N22" s="4574"/>
      <c r="O22" s="4574"/>
      <c r="P22" s="4574"/>
      <c r="Q22" s="4574"/>
      <c r="R22" s="113"/>
      <c r="S22" s="31"/>
      <c r="T22" s="3725" t="s">
        <v>748</v>
      </c>
      <c r="U22" s="3726"/>
      <c r="V22" s="3727"/>
      <c r="W22" s="31"/>
      <c r="X22" s="31"/>
      <c r="Y22" s="31"/>
      <c r="Z22" s="64"/>
      <c r="AA22" s="64"/>
    </row>
    <row r="23" spans="1:27" ht="20.25" customHeight="1" x14ac:dyDescent="0.35">
      <c r="A23" s="4575" t="s">
        <v>1087</v>
      </c>
      <c r="B23" s="4581"/>
      <c r="C23" s="4581"/>
      <c r="D23" s="4581"/>
      <c r="E23" s="4581"/>
      <c r="F23" s="4581"/>
      <c r="G23" s="4581"/>
      <c r="H23" s="4581"/>
      <c r="I23" s="4581"/>
      <c r="J23" s="4581"/>
      <c r="K23" s="4581"/>
      <c r="L23" s="4581"/>
      <c r="M23" s="4581"/>
      <c r="N23" s="4581"/>
      <c r="O23" s="4581"/>
      <c r="P23" s="4581"/>
      <c r="Q23" s="4581"/>
      <c r="R23" s="36"/>
      <c r="S23" s="33"/>
      <c r="T23" s="3750" t="s">
        <v>798</v>
      </c>
      <c r="U23" s="3751"/>
      <c r="V23" s="3752"/>
      <c r="W23" s="33"/>
      <c r="X23" s="33"/>
      <c r="Y23" s="33"/>
      <c r="Z23" s="64"/>
      <c r="AA23" s="64"/>
    </row>
    <row r="24" spans="1:27" ht="20.25" customHeight="1" x14ac:dyDescent="0.35">
      <c r="A24" s="4582"/>
      <c r="B24" s="3882"/>
      <c r="C24" s="3882"/>
      <c r="D24" s="3882"/>
      <c r="E24" s="3882"/>
      <c r="F24" s="3882"/>
      <c r="G24" s="3882"/>
      <c r="H24" s="3882"/>
      <c r="I24" s="3882"/>
      <c r="J24" s="3882"/>
      <c r="K24" s="3882"/>
      <c r="L24" s="3882"/>
      <c r="M24" s="3882"/>
      <c r="N24" s="3882"/>
      <c r="O24" s="3882"/>
      <c r="P24" s="3882"/>
      <c r="Q24" s="3882"/>
      <c r="R24" s="36"/>
      <c r="S24" s="33"/>
      <c r="T24" s="3753"/>
      <c r="U24" s="3754"/>
      <c r="V24" s="3755"/>
      <c r="W24" s="33"/>
      <c r="X24" s="33"/>
      <c r="Y24" s="33"/>
      <c r="Z24" s="64"/>
      <c r="AA24" s="64"/>
    </row>
    <row r="25" spans="1:27" ht="20.25" customHeight="1" x14ac:dyDescent="0.35">
      <c r="A25" s="4582"/>
      <c r="B25" s="3882"/>
      <c r="C25" s="3882"/>
      <c r="D25" s="3882"/>
      <c r="E25" s="3882"/>
      <c r="F25" s="3882"/>
      <c r="G25" s="3882"/>
      <c r="H25" s="3882"/>
      <c r="I25" s="3882"/>
      <c r="J25" s="3882"/>
      <c r="K25" s="3882"/>
      <c r="L25" s="3882"/>
      <c r="M25" s="3882"/>
      <c r="N25" s="3882"/>
      <c r="O25" s="3882"/>
      <c r="P25" s="3882"/>
      <c r="Q25" s="3882"/>
      <c r="R25" s="36"/>
      <c r="S25" s="33"/>
      <c r="T25" s="3753"/>
      <c r="U25" s="3754"/>
      <c r="V25" s="3755"/>
      <c r="W25" s="33"/>
      <c r="X25" s="33"/>
      <c r="Y25" s="33"/>
      <c r="Z25" s="64"/>
      <c r="AA25" s="64"/>
    </row>
    <row r="26" spans="1:27" ht="15" thickBot="1" x14ac:dyDescent="0.4">
      <c r="A26" s="4583"/>
      <c r="B26" s="4584"/>
      <c r="C26" s="4584"/>
      <c r="D26" s="4584"/>
      <c r="E26" s="4584"/>
      <c r="F26" s="4584"/>
      <c r="G26" s="4584"/>
      <c r="H26" s="4584"/>
      <c r="I26" s="4584"/>
      <c r="J26" s="4584"/>
      <c r="K26" s="4584"/>
      <c r="L26" s="4584"/>
      <c r="M26" s="4584"/>
      <c r="N26" s="4584"/>
      <c r="O26" s="4584"/>
      <c r="P26" s="4584"/>
      <c r="Q26" s="4584"/>
      <c r="R26" s="36"/>
      <c r="S26" s="33"/>
      <c r="T26" s="3756"/>
      <c r="U26" s="3757"/>
      <c r="V26" s="3758"/>
      <c r="W26" s="33"/>
      <c r="X26" s="33"/>
      <c r="Y26" s="33"/>
      <c r="Z26" s="64"/>
      <c r="AA26" s="64"/>
    </row>
    <row r="27" spans="1:27" ht="15.5" thickTop="1" thickBot="1" x14ac:dyDescent="0.4">
      <c r="A27" s="64"/>
      <c r="B27" s="64"/>
      <c r="C27" s="64"/>
      <c r="D27" s="64"/>
      <c r="E27" s="64"/>
      <c r="F27" s="64"/>
      <c r="G27" s="64"/>
      <c r="H27" s="64"/>
      <c r="I27" s="64"/>
      <c r="J27" s="64"/>
      <c r="K27" s="64"/>
      <c r="L27" s="64"/>
      <c r="M27" s="64"/>
      <c r="N27" s="64"/>
      <c r="O27" s="64"/>
      <c r="P27" s="64"/>
      <c r="Q27" s="64"/>
      <c r="R27" s="64"/>
      <c r="S27" s="64"/>
      <c r="T27" s="31"/>
      <c r="U27" s="31"/>
      <c r="V27" s="31"/>
      <c r="W27" s="64"/>
      <c r="X27" s="64"/>
      <c r="Y27" s="64"/>
      <c r="Z27" s="64"/>
      <c r="AA27" s="64"/>
    </row>
    <row r="28" spans="1:27" ht="20.25" customHeight="1" thickTop="1" thickBot="1" x14ac:dyDescent="0.4">
      <c r="A28" s="4573" t="s">
        <v>11</v>
      </c>
      <c r="B28" s="4574"/>
      <c r="C28" s="4574"/>
      <c r="D28" s="4574"/>
      <c r="E28" s="4574"/>
      <c r="F28" s="4574"/>
      <c r="G28" s="4574"/>
      <c r="H28" s="4574"/>
      <c r="I28" s="4574"/>
      <c r="J28" s="4574"/>
      <c r="K28" s="4574"/>
      <c r="L28" s="4574"/>
      <c r="M28" s="4574"/>
      <c r="N28" s="4574"/>
      <c r="O28" s="4574"/>
      <c r="P28" s="4574"/>
      <c r="Q28" s="4574"/>
      <c r="R28" s="113"/>
      <c r="S28" s="31"/>
      <c r="T28" s="3725" t="s">
        <v>748</v>
      </c>
      <c r="U28" s="3726"/>
      <c r="V28" s="3727"/>
      <c r="W28" s="31"/>
      <c r="X28" s="31"/>
      <c r="Y28" s="31"/>
      <c r="Z28" s="64"/>
      <c r="AA28" s="64"/>
    </row>
    <row r="29" spans="1:27" ht="20.25" customHeight="1" x14ac:dyDescent="0.35">
      <c r="A29" s="4575" t="s">
        <v>1088</v>
      </c>
      <c r="B29" s="4576"/>
      <c r="C29" s="4576"/>
      <c r="D29" s="4576"/>
      <c r="E29" s="4576"/>
      <c r="F29" s="4576"/>
      <c r="G29" s="4576"/>
      <c r="H29" s="4576"/>
      <c r="I29" s="4576"/>
      <c r="J29" s="4576"/>
      <c r="K29" s="4576"/>
      <c r="L29" s="4576"/>
      <c r="M29" s="4576"/>
      <c r="N29" s="4576"/>
      <c r="O29" s="4576"/>
      <c r="P29" s="4576"/>
      <c r="Q29" s="4576"/>
      <c r="R29" s="36"/>
      <c r="S29" s="33"/>
      <c r="T29" s="3750" t="s">
        <v>799</v>
      </c>
      <c r="U29" s="3751"/>
      <c r="V29" s="3752"/>
      <c r="W29" s="33"/>
      <c r="X29" s="33"/>
      <c r="Y29" s="33"/>
      <c r="Z29" s="64"/>
      <c r="AA29" s="64"/>
    </row>
    <row r="30" spans="1:27" ht="20.25" customHeight="1" x14ac:dyDescent="0.35">
      <c r="A30" s="4577"/>
      <c r="B30" s="4578"/>
      <c r="C30" s="4578"/>
      <c r="D30" s="4578"/>
      <c r="E30" s="4578"/>
      <c r="F30" s="4578"/>
      <c r="G30" s="4578"/>
      <c r="H30" s="4578"/>
      <c r="I30" s="4578"/>
      <c r="J30" s="4578"/>
      <c r="K30" s="4578"/>
      <c r="L30" s="4578"/>
      <c r="M30" s="4578"/>
      <c r="N30" s="4578"/>
      <c r="O30" s="4578"/>
      <c r="P30" s="4578"/>
      <c r="Q30" s="4578"/>
      <c r="R30" s="36"/>
      <c r="S30" s="33"/>
      <c r="T30" s="3753"/>
      <c r="U30" s="3754"/>
      <c r="V30" s="3755"/>
      <c r="W30" s="33"/>
      <c r="X30" s="33"/>
      <c r="Y30" s="33"/>
      <c r="Z30" s="64"/>
      <c r="AA30" s="64"/>
    </row>
    <row r="31" spans="1:27" ht="20.25" customHeight="1" x14ac:dyDescent="0.35">
      <c r="A31" s="4577"/>
      <c r="B31" s="4578"/>
      <c r="C31" s="4578"/>
      <c r="D31" s="4578"/>
      <c r="E31" s="4578"/>
      <c r="F31" s="4578"/>
      <c r="G31" s="4578"/>
      <c r="H31" s="4578"/>
      <c r="I31" s="4578"/>
      <c r="J31" s="4578"/>
      <c r="K31" s="4578"/>
      <c r="L31" s="4578"/>
      <c r="M31" s="4578"/>
      <c r="N31" s="4578"/>
      <c r="O31" s="4578"/>
      <c r="P31" s="4578"/>
      <c r="Q31" s="4578"/>
      <c r="R31" s="36"/>
      <c r="S31" s="33"/>
      <c r="T31" s="3753"/>
      <c r="U31" s="3754"/>
      <c r="V31" s="3755"/>
      <c r="W31" s="33"/>
      <c r="X31" s="33"/>
      <c r="Y31" s="33"/>
      <c r="Z31" s="64"/>
      <c r="AA31" s="64"/>
    </row>
    <row r="32" spans="1:27" ht="15" thickBot="1" x14ac:dyDescent="0.4">
      <c r="A32" s="4579"/>
      <c r="B32" s="4580"/>
      <c r="C32" s="4580"/>
      <c r="D32" s="4580"/>
      <c r="E32" s="4580"/>
      <c r="F32" s="4580"/>
      <c r="G32" s="4580"/>
      <c r="H32" s="4580"/>
      <c r="I32" s="4580"/>
      <c r="J32" s="4580"/>
      <c r="K32" s="4580"/>
      <c r="L32" s="4580"/>
      <c r="M32" s="4580"/>
      <c r="N32" s="4580"/>
      <c r="O32" s="4580"/>
      <c r="P32" s="4580"/>
      <c r="Q32" s="4580"/>
      <c r="R32" s="36"/>
      <c r="S32" s="33"/>
      <c r="T32" s="3756"/>
      <c r="U32" s="3757"/>
      <c r="V32" s="3758"/>
      <c r="W32" s="33"/>
      <c r="X32" s="33"/>
      <c r="Y32" s="33"/>
      <c r="Z32" s="64"/>
      <c r="AA32" s="64"/>
    </row>
    <row r="33" spans="1:27" ht="15" thickTop="1" x14ac:dyDescent="0.35">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row>
    <row r="34" spans="1:27" ht="15" thickBot="1" x14ac:dyDescent="0.4">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row>
    <row r="35" spans="1:27" ht="19" thickTop="1" x14ac:dyDescent="0.45">
      <c r="A35" s="4565" t="s">
        <v>804</v>
      </c>
      <c r="B35" s="4566"/>
      <c r="C35" s="4566"/>
      <c r="D35" s="4566"/>
      <c r="E35" s="4566"/>
      <c r="F35" s="4566"/>
      <c r="G35" s="4566"/>
      <c r="H35" s="4566"/>
      <c r="I35" s="4566"/>
      <c r="J35" s="4566"/>
      <c r="K35" s="4567"/>
      <c r="L35" s="64"/>
      <c r="M35" s="64"/>
      <c r="N35" s="64"/>
      <c r="O35" s="64"/>
      <c r="P35" s="64"/>
      <c r="Q35" s="64"/>
      <c r="R35" s="64"/>
      <c r="S35" s="64"/>
      <c r="T35" s="64"/>
      <c r="U35" s="64"/>
      <c r="V35" s="64"/>
      <c r="W35" s="64"/>
      <c r="X35" s="64"/>
      <c r="Y35" s="64"/>
      <c r="Z35" s="64"/>
      <c r="AA35" s="64"/>
    </row>
    <row r="36" spans="1:27" x14ac:dyDescent="0.35">
      <c r="A36" s="4592" t="s">
        <v>800</v>
      </c>
      <c r="B36" s="4562"/>
      <c r="C36" s="4562" t="s">
        <v>801</v>
      </c>
      <c r="D36" s="4562"/>
      <c r="E36" s="4562"/>
      <c r="F36" s="4568" t="s">
        <v>882</v>
      </c>
      <c r="G36" s="4569"/>
      <c r="H36" s="4568" t="s">
        <v>883</v>
      </c>
      <c r="I36" s="4569"/>
      <c r="J36" s="4562" t="s">
        <v>802</v>
      </c>
      <c r="K36" s="4572"/>
      <c r="L36" s="64"/>
      <c r="M36" s="64"/>
      <c r="N36" s="64"/>
      <c r="O36" s="64"/>
      <c r="P36" s="64"/>
      <c r="Q36" s="64"/>
      <c r="R36" s="64"/>
      <c r="S36" s="64"/>
      <c r="T36" s="64"/>
      <c r="U36" s="64"/>
      <c r="V36" s="64"/>
      <c r="W36" s="64"/>
      <c r="X36" s="64"/>
      <c r="Y36" s="64"/>
      <c r="Z36" s="64"/>
      <c r="AA36" s="64"/>
    </row>
    <row r="37" spans="1:27" x14ac:dyDescent="0.35">
      <c r="A37" s="4592"/>
      <c r="B37" s="4562"/>
      <c r="C37" s="4562"/>
      <c r="D37" s="4562"/>
      <c r="E37" s="4562"/>
      <c r="F37" s="4570"/>
      <c r="G37" s="4571"/>
      <c r="H37" s="4570"/>
      <c r="I37" s="4571"/>
      <c r="J37" s="4562"/>
      <c r="K37" s="4572"/>
      <c r="L37" s="64"/>
      <c r="M37" s="64"/>
      <c r="N37" s="64"/>
      <c r="O37" s="64"/>
      <c r="P37" s="64"/>
      <c r="Q37" s="64"/>
      <c r="R37" s="64"/>
      <c r="S37" s="64"/>
      <c r="T37" s="64"/>
      <c r="U37" s="64"/>
      <c r="V37" s="64"/>
      <c r="W37" s="64"/>
      <c r="X37" s="64"/>
      <c r="Y37" s="64"/>
      <c r="Z37" s="64"/>
      <c r="AA37" s="64"/>
    </row>
    <row r="38" spans="1:27" x14ac:dyDescent="0.35">
      <c r="A38" s="4552" t="s">
        <v>362</v>
      </c>
      <c r="B38" s="4553"/>
      <c r="C38" s="4549"/>
      <c r="D38" s="4549"/>
      <c r="E38" s="4549"/>
      <c r="F38" s="4550"/>
      <c r="G38" s="4550"/>
      <c r="H38" s="4550"/>
      <c r="I38" s="4550"/>
      <c r="J38" s="4549"/>
      <c r="K38" s="4551"/>
      <c r="L38" s="64"/>
      <c r="M38" s="64"/>
      <c r="N38" s="64"/>
      <c r="O38" s="64"/>
      <c r="P38" s="64"/>
      <c r="Q38" s="64"/>
      <c r="R38" s="64"/>
      <c r="S38" s="64"/>
      <c r="T38" s="64"/>
      <c r="U38" s="64"/>
      <c r="V38" s="64"/>
      <c r="W38" s="64"/>
      <c r="X38" s="64"/>
      <c r="Y38" s="64"/>
      <c r="Z38" s="64"/>
      <c r="AA38" s="64"/>
    </row>
    <row r="39" spans="1:27" x14ac:dyDescent="0.35">
      <c r="A39" s="4552" t="s">
        <v>885</v>
      </c>
      <c r="B39" s="4553"/>
      <c r="C39" s="4549"/>
      <c r="D39" s="4549"/>
      <c r="E39" s="4549"/>
      <c r="F39" s="4550"/>
      <c r="G39" s="4550"/>
      <c r="H39" s="4550"/>
      <c r="I39" s="4550"/>
      <c r="J39" s="4549"/>
      <c r="K39" s="4551"/>
      <c r="L39" s="64"/>
      <c r="M39" s="64"/>
      <c r="N39" s="64"/>
      <c r="O39" s="64"/>
      <c r="P39" s="64"/>
      <c r="Q39" s="64"/>
      <c r="R39" s="64"/>
      <c r="S39" s="64"/>
      <c r="T39" s="64"/>
      <c r="U39" s="64"/>
      <c r="V39" s="64"/>
      <c r="W39" s="64"/>
      <c r="X39" s="64"/>
      <c r="Y39" s="64"/>
      <c r="Z39" s="64"/>
      <c r="AA39" s="64"/>
    </row>
    <row r="40" spans="1:27" x14ac:dyDescent="0.35">
      <c r="A40" s="4552" t="s">
        <v>886</v>
      </c>
      <c r="B40" s="4553"/>
      <c r="C40" s="4549"/>
      <c r="D40" s="4549"/>
      <c r="E40" s="4549"/>
      <c r="F40" s="4550"/>
      <c r="G40" s="4550"/>
      <c r="H40" s="4550"/>
      <c r="I40" s="4550"/>
      <c r="J40" s="4549"/>
      <c r="K40" s="4551"/>
      <c r="L40" s="64"/>
      <c r="M40" s="64"/>
      <c r="N40" s="64"/>
      <c r="O40" s="64"/>
      <c r="P40" s="64"/>
      <c r="Q40" s="64"/>
      <c r="R40" s="64"/>
      <c r="S40" s="64"/>
      <c r="T40" s="64"/>
      <c r="U40" s="64"/>
      <c r="V40" s="64"/>
      <c r="W40" s="64"/>
      <c r="X40" s="64"/>
      <c r="Y40" s="64"/>
      <c r="Z40" s="64"/>
      <c r="AA40" s="64"/>
    </row>
    <row r="41" spans="1:27" x14ac:dyDescent="0.35">
      <c r="A41" s="4552" t="s">
        <v>887</v>
      </c>
      <c r="B41" s="4553"/>
      <c r="C41" s="4549"/>
      <c r="D41" s="4549"/>
      <c r="E41" s="4549"/>
      <c r="F41" s="4550"/>
      <c r="G41" s="4550"/>
      <c r="H41" s="4550"/>
      <c r="I41" s="4550"/>
      <c r="J41" s="4549"/>
      <c r="K41" s="4551"/>
      <c r="L41" s="64"/>
      <c r="M41" s="64"/>
      <c r="N41" s="64"/>
      <c r="O41" s="64"/>
      <c r="P41" s="64"/>
      <c r="Q41" s="64"/>
      <c r="R41" s="64"/>
      <c r="S41" s="64"/>
      <c r="T41" s="64"/>
      <c r="U41" s="64"/>
      <c r="V41" s="64"/>
      <c r="W41" s="64"/>
      <c r="X41" s="64"/>
      <c r="Y41" s="64"/>
      <c r="Z41" s="64"/>
      <c r="AA41" s="64"/>
    </row>
    <row r="42" spans="1:27" x14ac:dyDescent="0.35">
      <c r="A42" s="4552" t="s">
        <v>888</v>
      </c>
      <c r="B42" s="4553"/>
      <c r="C42" s="4549"/>
      <c r="D42" s="4549"/>
      <c r="E42" s="4549"/>
      <c r="F42" s="4550"/>
      <c r="G42" s="4550"/>
      <c r="H42" s="4550"/>
      <c r="I42" s="4550"/>
      <c r="J42" s="4549"/>
      <c r="K42" s="4551"/>
      <c r="L42" s="64"/>
      <c r="M42" s="64"/>
      <c r="N42" s="64"/>
      <c r="O42" s="64"/>
      <c r="P42" s="64"/>
      <c r="Q42" s="64"/>
      <c r="R42" s="64"/>
      <c r="S42" s="64"/>
      <c r="T42" s="64"/>
      <c r="U42" s="64"/>
      <c r="V42" s="64"/>
      <c r="W42" s="64"/>
      <c r="X42" s="64"/>
      <c r="Y42" s="64"/>
      <c r="Z42" s="64"/>
      <c r="AA42" s="64"/>
    </row>
    <row r="43" spans="1:27" x14ac:dyDescent="0.35">
      <c r="A43" s="4552"/>
      <c r="B43" s="4553"/>
      <c r="C43" s="4549"/>
      <c r="D43" s="4549"/>
      <c r="E43" s="4549"/>
      <c r="F43" s="4550"/>
      <c r="G43" s="4550"/>
      <c r="H43" s="4550"/>
      <c r="I43" s="4550"/>
      <c r="J43" s="4549"/>
      <c r="K43" s="4551"/>
      <c r="L43" s="64"/>
      <c r="M43" s="64"/>
      <c r="N43" s="64"/>
      <c r="O43" s="64"/>
      <c r="P43" s="64"/>
      <c r="Q43" s="64"/>
      <c r="R43" s="64"/>
      <c r="S43" s="64"/>
      <c r="T43" s="64"/>
      <c r="U43" s="64"/>
      <c r="V43" s="64"/>
      <c r="W43" s="64"/>
      <c r="X43" s="64"/>
      <c r="Y43" s="64"/>
      <c r="Z43" s="64"/>
      <c r="AA43" s="64"/>
    </row>
    <row r="44" spans="1:27" x14ac:dyDescent="0.35">
      <c r="A44" s="4552"/>
      <c r="B44" s="4553"/>
      <c r="C44" s="4549"/>
      <c r="D44" s="4549"/>
      <c r="E44" s="4549"/>
      <c r="F44" s="4550"/>
      <c r="G44" s="4550"/>
      <c r="H44" s="4550"/>
      <c r="I44" s="4550"/>
      <c r="J44" s="4549"/>
      <c r="K44" s="4551"/>
      <c r="L44" s="64"/>
      <c r="M44" s="64"/>
      <c r="N44" s="64"/>
      <c r="O44" s="64"/>
      <c r="P44" s="64"/>
      <c r="Q44" s="64"/>
      <c r="R44" s="64"/>
      <c r="S44" s="64"/>
      <c r="T44" s="64"/>
      <c r="U44" s="64"/>
      <c r="V44" s="64"/>
      <c r="W44" s="64"/>
      <c r="X44" s="64"/>
      <c r="Y44" s="64"/>
      <c r="Z44" s="64"/>
      <c r="AA44" s="64"/>
    </row>
    <row r="45" spans="1:27" ht="15" thickBot="1" x14ac:dyDescent="0.4">
      <c r="A45" s="4546"/>
      <c r="B45" s="4547"/>
      <c r="C45" s="4547"/>
      <c r="D45" s="4547"/>
      <c r="E45" s="4547"/>
      <c r="F45" s="4547"/>
      <c r="G45" s="4547"/>
      <c r="H45" s="4547"/>
      <c r="I45" s="4547"/>
      <c r="J45" s="4547"/>
      <c r="K45" s="4548"/>
      <c r="L45" s="64"/>
      <c r="M45" s="64"/>
      <c r="N45" s="64"/>
      <c r="O45" s="64"/>
      <c r="P45" s="64"/>
      <c r="Q45" s="64"/>
      <c r="R45" s="64"/>
      <c r="S45" s="64"/>
      <c r="T45" s="64"/>
      <c r="U45" s="64"/>
      <c r="V45" s="64"/>
      <c r="W45" s="64"/>
      <c r="X45" s="64"/>
      <c r="Y45" s="64"/>
      <c r="Z45" s="64"/>
      <c r="AA45" s="64"/>
    </row>
    <row r="46" spans="1:27" ht="15" thickTop="1" x14ac:dyDescent="0.3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row>
  </sheetData>
  <mergeCells count="94">
    <mergeCell ref="D3:G3"/>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7:Z7"/>
    <mergeCell ref="A13:C13"/>
    <mergeCell ref="Y6:Z6"/>
    <mergeCell ref="AA6:AA7"/>
    <mergeCell ref="D7:E7"/>
    <mergeCell ref="F7:G7"/>
    <mergeCell ref="H7:I7"/>
    <mergeCell ref="J7:K7"/>
    <mergeCell ref="L7:M7"/>
    <mergeCell ref="S7:T7"/>
    <mergeCell ref="U7:V7"/>
    <mergeCell ref="W7:X7"/>
    <mergeCell ref="L6:M6"/>
    <mergeCell ref="N6:O7"/>
    <mergeCell ref="P6:R7"/>
    <mergeCell ref="S6:T6"/>
    <mergeCell ref="U6:V6"/>
    <mergeCell ref="A8:AA8"/>
    <mergeCell ref="A9:B9"/>
    <mergeCell ref="A10:B10"/>
    <mergeCell ref="A11:B11"/>
    <mergeCell ref="A29:Q32"/>
    <mergeCell ref="T29:V32"/>
    <mergeCell ref="A14:C14"/>
    <mergeCell ref="A16:B16"/>
    <mergeCell ref="A17:B17"/>
    <mergeCell ref="A18:B18"/>
    <mergeCell ref="A19:B19"/>
    <mergeCell ref="A22:Q22"/>
    <mergeCell ref="T22:V22"/>
    <mergeCell ref="A23:Q26"/>
    <mergeCell ref="T23:V26"/>
    <mergeCell ref="A28:Q28"/>
    <mergeCell ref="T28:V28"/>
    <mergeCell ref="A35:K35"/>
    <mergeCell ref="A36:B37"/>
    <mergeCell ref="C36:E37"/>
    <mergeCell ref="F36:G37"/>
    <mergeCell ref="H36:I37"/>
    <mergeCell ref="J36:K37"/>
    <mergeCell ref="A39:B39"/>
    <mergeCell ref="C39:E39"/>
    <mergeCell ref="F39:G39"/>
    <mergeCell ref="H39:I39"/>
    <mergeCell ref="J39:K39"/>
    <mergeCell ref="A38:B38"/>
    <mergeCell ref="C38:E38"/>
    <mergeCell ref="F38:G38"/>
    <mergeCell ref="H38:I38"/>
    <mergeCell ref="J38:K38"/>
    <mergeCell ref="A41:B41"/>
    <mergeCell ref="C41:E41"/>
    <mergeCell ref="F41:G41"/>
    <mergeCell ref="H41:I41"/>
    <mergeCell ref="J41:K41"/>
    <mergeCell ref="A40:B40"/>
    <mergeCell ref="C40:E40"/>
    <mergeCell ref="F40:G40"/>
    <mergeCell ref="H40:I40"/>
    <mergeCell ref="J40:K40"/>
    <mergeCell ref="A45:K45"/>
    <mergeCell ref="A42:B42"/>
    <mergeCell ref="C42:E42"/>
    <mergeCell ref="F42:G42"/>
    <mergeCell ref="H42:I42"/>
    <mergeCell ref="J42:K42"/>
    <mergeCell ref="A43:B43"/>
    <mergeCell ref="C43:E43"/>
    <mergeCell ref="F43:G43"/>
    <mergeCell ref="H43:I43"/>
    <mergeCell ref="J43:K43"/>
    <mergeCell ref="A44:B44"/>
    <mergeCell ref="C44:E44"/>
    <mergeCell ref="F44:G44"/>
    <mergeCell ref="H44:I44"/>
    <mergeCell ref="J44:K44"/>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3800-000000000000}">
      <formula1>AvancementTheme</formula1>
    </dataValidation>
  </dataValidations>
  <hyperlinks>
    <hyperlink ref="X1" location="DPDV_04GF2" display="PdV" xr:uid="{00000000-0004-0000-3800-000000000000}"/>
    <hyperlink ref="Y1" location="DKPI_04GF2" display="KPI's" xr:uid="{00000000-0004-0000-38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tabColor theme="0" tint="-0.14999847407452621"/>
    <pageSetUpPr fitToPage="1"/>
  </sheetPr>
  <dimension ref="A1:IV77"/>
  <sheetViews>
    <sheetView zoomScaleNormal="100" workbookViewId="0">
      <pane ySplit="5" topLeftCell="A63" activePane="bottomLeft" state="frozen"/>
      <selection activeCell="H7" sqref="H7"/>
      <selection pane="bottomLeft" activeCell="B11" sqref="B11:E11"/>
    </sheetView>
  </sheetViews>
  <sheetFormatPr baseColWidth="10" defaultColWidth="11.453125" defaultRowHeight="14.5" x14ac:dyDescent="0.35"/>
  <cols>
    <col min="1" max="1" width="20.453125" style="60" customWidth="1"/>
    <col min="2" max="2" width="12.1796875" style="60" customWidth="1"/>
    <col min="3" max="3" width="13.26953125" style="60" customWidth="1"/>
    <col min="4" max="4" width="9.26953125" style="60" customWidth="1"/>
    <col min="5" max="5" width="13.26953125" style="60" customWidth="1"/>
    <col min="6" max="6" width="16.453125" style="60" customWidth="1"/>
    <col min="7" max="7" width="13.26953125" style="60" customWidth="1"/>
    <col min="8" max="8" width="9.26953125" style="60" customWidth="1"/>
    <col min="9" max="9" width="10.81640625" style="60" customWidth="1"/>
    <col min="10" max="10" width="11.453125" style="60"/>
    <col min="11" max="11" width="9.81640625" style="60" customWidth="1"/>
    <col min="12" max="12" width="11.81640625" style="60" customWidth="1"/>
    <col min="13" max="13" width="13" style="60" customWidth="1"/>
    <col min="14" max="14" width="13.54296875" style="60" customWidth="1"/>
    <col min="15" max="15" width="13" style="60" customWidth="1"/>
    <col min="16" max="16" width="12.453125" style="60" customWidth="1"/>
    <col min="17" max="17" width="14.26953125" style="60" customWidth="1"/>
    <col min="18" max="18" width="14.453125" style="60" customWidth="1"/>
    <col min="19" max="16384" width="11.453125" style="60"/>
  </cols>
  <sheetData>
    <row r="1" spans="1:256" s="54" customFormat="1" ht="15" customHeight="1" x14ac:dyDescent="0.35">
      <c r="A1" s="389"/>
      <c r="B1" s="389"/>
      <c r="C1" s="389"/>
      <c r="D1" s="3341" t="s">
        <v>5</v>
      </c>
      <c r="E1" s="3341"/>
      <c r="F1" s="3341"/>
      <c r="G1" s="3341"/>
      <c r="H1" s="391"/>
      <c r="I1" s="3341" t="s">
        <v>6</v>
      </c>
      <c r="J1" s="3341"/>
      <c r="K1" s="389"/>
      <c r="L1" s="3341" t="s">
        <v>9</v>
      </c>
      <c r="M1" s="3341"/>
      <c r="N1" s="389"/>
      <c r="O1" s="392"/>
      <c r="P1" s="392"/>
      <c r="Q1" s="392"/>
      <c r="R1" s="445"/>
      <c r="S1" s="97"/>
      <c r="T1" s="97"/>
      <c r="U1" s="97"/>
    </row>
    <row r="2" spans="1:256" s="58" customFormat="1" ht="18" customHeight="1" x14ac:dyDescent="0.35">
      <c r="A2" s="393"/>
      <c r="B2" s="393"/>
      <c r="C2" s="393"/>
      <c r="D2" s="3342" t="str">
        <f>NomClient</f>
        <v xml:space="preserve">EQUINIX </v>
      </c>
      <c r="E2" s="3343"/>
      <c r="F2" s="3343"/>
      <c r="G2" s="3344"/>
      <c r="H2" s="393"/>
      <c r="I2" s="3345" t="s">
        <v>410</v>
      </c>
      <c r="J2" s="3346"/>
      <c r="K2" s="393"/>
      <c r="L2" s="3347">
        <v>42971.837476851855</v>
      </c>
      <c r="M2" s="3348"/>
      <c r="N2" s="394"/>
      <c r="O2" s="395"/>
      <c r="P2" s="395"/>
      <c r="Q2" s="395"/>
      <c r="R2" s="446"/>
      <c r="S2" s="98"/>
      <c r="T2" s="98"/>
      <c r="U2" s="98"/>
    </row>
    <row r="3" spans="1:256" ht="9" customHeight="1" thickBot="1" x14ac:dyDescent="0.4">
      <c r="A3" s="396"/>
      <c r="B3" s="396"/>
      <c r="C3" s="396"/>
      <c r="D3" s="3332" t="s">
        <v>1792</v>
      </c>
      <c r="E3" s="3332"/>
      <c r="F3" s="3332"/>
      <c r="G3" s="3332"/>
      <c r="H3" s="396"/>
      <c r="I3" s="396"/>
      <c r="J3" s="396"/>
      <c r="K3" s="396"/>
      <c r="L3" s="396"/>
      <c r="M3" s="396"/>
      <c r="N3" s="396"/>
      <c r="O3" s="396"/>
      <c r="P3" s="396"/>
      <c r="Q3" s="396"/>
      <c r="R3" s="382"/>
      <c r="S3" s="99"/>
      <c r="T3" s="99"/>
      <c r="U3" s="99"/>
    </row>
    <row r="4" spans="1:256" s="1" customFormat="1" ht="24.75" customHeight="1" thickBot="1" x14ac:dyDescent="0.4">
      <c r="A4" s="3333" t="s">
        <v>2643</v>
      </c>
      <c r="B4" s="3334"/>
      <c r="C4" s="3334"/>
      <c r="D4" s="3334"/>
      <c r="E4" s="3334"/>
      <c r="F4" s="3334"/>
      <c r="G4" s="3334"/>
      <c r="H4" s="3334"/>
      <c r="I4" s="3334"/>
      <c r="J4" s="3334"/>
      <c r="K4" s="3334"/>
      <c r="L4" s="3334"/>
      <c r="M4" s="3334"/>
      <c r="N4" s="3334"/>
      <c r="O4" s="3334"/>
      <c r="P4" s="3334"/>
      <c r="Q4" s="3335"/>
      <c r="R4" s="447"/>
      <c r="S4" s="27"/>
      <c r="T4" s="27"/>
      <c r="U4" s="27"/>
    </row>
    <row r="5" spans="1:256" s="65" customFormat="1" ht="20.25" customHeight="1" x14ac:dyDescent="0.35">
      <c r="A5" s="3336" t="s">
        <v>14</v>
      </c>
      <c r="B5" s="3336"/>
      <c r="C5" s="3337" t="s">
        <v>2698</v>
      </c>
      <c r="D5" s="3337"/>
      <c r="E5" s="3337"/>
      <c r="F5" s="3337"/>
      <c r="G5" s="3337"/>
      <c r="H5" s="3337"/>
      <c r="I5" s="3337"/>
      <c r="J5" s="3337"/>
      <c r="K5" s="3337"/>
      <c r="L5" s="3337"/>
      <c r="M5" s="3337"/>
      <c r="N5" s="3337"/>
      <c r="O5" s="3337"/>
      <c r="P5" s="3337"/>
      <c r="Q5" s="380"/>
      <c r="R5" s="380"/>
      <c r="S5" s="197"/>
      <c r="T5" s="197"/>
      <c r="U5" s="197"/>
    </row>
    <row r="6" spans="1:256" s="40" customFormat="1" ht="23.5" x14ac:dyDescent="0.55000000000000004">
      <c r="A6" s="2691"/>
      <c r="B6" s="2692"/>
      <c r="C6" s="2692"/>
      <c r="D6" s="2693"/>
      <c r="E6" s="2692"/>
      <c r="F6" s="2692"/>
      <c r="G6" s="2692"/>
      <c r="H6" s="2692"/>
      <c r="I6" s="2692"/>
      <c r="J6" s="2692"/>
      <c r="K6" s="2692"/>
      <c r="L6" s="2692"/>
      <c r="M6" s="2692"/>
      <c r="N6" s="2692"/>
      <c r="O6" s="2692"/>
      <c r="P6" s="2692"/>
      <c r="Q6" s="2692"/>
      <c r="R6" s="2692"/>
      <c r="S6" s="2692"/>
      <c r="T6" s="2692"/>
      <c r="U6" s="2692"/>
      <c r="V6" s="2692"/>
      <c r="W6" s="2692"/>
      <c r="X6" s="2692"/>
      <c r="Y6" s="2692"/>
      <c r="Z6" s="2692"/>
      <c r="AA6" s="2692"/>
      <c r="AB6" s="2692"/>
      <c r="AC6" s="2692"/>
      <c r="AD6" s="2692"/>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c r="BP6" s="2692"/>
      <c r="BQ6" s="2692"/>
      <c r="BR6" s="2692"/>
      <c r="BS6" s="2692"/>
      <c r="BT6" s="2692"/>
      <c r="BU6" s="2692"/>
      <c r="BV6" s="2692"/>
      <c r="BW6" s="2692"/>
      <c r="BX6" s="2692"/>
      <c r="BY6" s="2692"/>
      <c r="BZ6" s="2692"/>
      <c r="CA6" s="2692"/>
      <c r="CB6" s="2692"/>
      <c r="CC6" s="2692"/>
      <c r="CD6" s="2692"/>
      <c r="CE6" s="2692"/>
      <c r="CF6" s="2692"/>
      <c r="CG6" s="2692"/>
      <c r="CH6" s="2692"/>
      <c r="CI6" s="2692"/>
      <c r="CJ6" s="2692"/>
      <c r="CK6" s="2692"/>
      <c r="CL6" s="2692"/>
      <c r="CM6" s="2692"/>
      <c r="CN6" s="2692"/>
      <c r="CO6" s="2692"/>
      <c r="CP6" s="2692"/>
      <c r="CQ6" s="2692"/>
      <c r="CR6" s="2692"/>
      <c r="CS6" s="2692"/>
      <c r="CT6" s="2692"/>
      <c r="CU6" s="2692"/>
      <c r="CV6" s="2692"/>
      <c r="CW6" s="2692"/>
      <c r="CX6" s="2692"/>
      <c r="CY6" s="2692"/>
      <c r="CZ6" s="2692"/>
      <c r="DA6" s="2692"/>
      <c r="DB6" s="2692"/>
      <c r="DC6" s="2692"/>
      <c r="DD6" s="2692"/>
      <c r="DE6" s="2692"/>
      <c r="DF6" s="2692"/>
      <c r="DG6" s="2692"/>
      <c r="DH6" s="2692"/>
      <c r="DI6" s="2692"/>
      <c r="DJ6" s="2692"/>
      <c r="DK6" s="2692"/>
      <c r="DL6" s="2692"/>
      <c r="DM6" s="2692"/>
      <c r="DN6" s="2692"/>
      <c r="DO6" s="2692"/>
      <c r="DP6" s="2692"/>
      <c r="DQ6" s="2692"/>
      <c r="DR6" s="2692"/>
      <c r="DS6" s="2692"/>
      <c r="DT6" s="2692"/>
      <c r="DU6" s="2692"/>
      <c r="DV6" s="2692"/>
      <c r="DW6" s="2692"/>
      <c r="DX6" s="2692"/>
      <c r="DY6" s="2692"/>
      <c r="DZ6" s="2692"/>
      <c r="EA6" s="2692"/>
      <c r="EB6" s="2692"/>
      <c r="EC6" s="2692"/>
      <c r="ED6" s="2692"/>
      <c r="EE6" s="2692"/>
      <c r="EF6" s="2692"/>
      <c r="EG6" s="2692"/>
      <c r="EH6" s="2692"/>
      <c r="EI6" s="2692"/>
      <c r="EJ6" s="2692"/>
      <c r="EK6" s="2692"/>
      <c r="EL6" s="2692"/>
      <c r="EM6" s="2692"/>
      <c r="EN6" s="2692"/>
      <c r="EO6" s="2692"/>
      <c r="EP6" s="2692"/>
      <c r="EQ6" s="2692"/>
      <c r="ER6" s="2692"/>
      <c r="ES6" s="2692"/>
      <c r="ET6" s="2692"/>
      <c r="EU6" s="2692"/>
      <c r="EV6" s="2692"/>
      <c r="EW6" s="2692"/>
      <c r="EX6" s="2692"/>
      <c r="EY6" s="2692"/>
      <c r="EZ6" s="2692"/>
      <c r="FA6" s="2692"/>
      <c r="FB6" s="2692"/>
      <c r="FC6" s="2692"/>
      <c r="FD6" s="2692"/>
      <c r="FE6" s="2692"/>
      <c r="FF6" s="2692"/>
      <c r="FG6" s="2692"/>
      <c r="FH6" s="2692"/>
      <c r="FI6" s="2692"/>
      <c r="FJ6" s="2692"/>
      <c r="FK6" s="2692"/>
      <c r="FL6" s="2692"/>
      <c r="FM6" s="2692"/>
      <c r="FN6" s="2692"/>
      <c r="FO6" s="2692"/>
      <c r="FP6" s="2692"/>
      <c r="FQ6" s="2692"/>
      <c r="FR6" s="2692"/>
      <c r="FS6" s="2692"/>
      <c r="FT6" s="2692"/>
      <c r="FU6" s="2692"/>
      <c r="FV6" s="2692"/>
      <c r="FW6" s="2692"/>
      <c r="FX6" s="2692"/>
      <c r="FY6" s="2692"/>
      <c r="FZ6" s="2692"/>
      <c r="GA6" s="2692"/>
      <c r="GB6" s="2692"/>
      <c r="GC6" s="2692"/>
      <c r="GD6" s="2692"/>
      <c r="GE6" s="2692"/>
      <c r="GF6" s="2692"/>
      <c r="GG6" s="2692"/>
      <c r="GH6" s="2692"/>
      <c r="GI6" s="2692"/>
      <c r="GJ6" s="2692"/>
      <c r="GK6" s="2692"/>
      <c r="GL6" s="2692"/>
      <c r="GM6" s="2692"/>
      <c r="GN6" s="2692"/>
      <c r="GO6" s="2692"/>
      <c r="GP6" s="2692"/>
      <c r="GQ6" s="2692"/>
      <c r="GR6" s="2692"/>
      <c r="GS6" s="2692"/>
      <c r="GT6" s="2692"/>
      <c r="GU6" s="2692"/>
      <c r="GV6" s="2692"/>
      <c r="GW6" s="2692"/>
      <c r="GX6" s="2692"/>
      <c r="GY6" s="2692"/>
      <c r="GZ6" s="2692"/>
      <c r="HA6" s="2692"/>
      <c r="HB6" s="2692"/>
      <c r="HC6" s="2692"/>
      <c r="HD6" s="2692"/>
      <c r="HE6" s="2692"/>
      <c r="HF6" s="2692"/>
      <c r="HG6" s="2692"/>
      <c r="HH6" s="2692"/>
      <c r="HI6" s="2692"/>
      <c r="HJ6" s="2692"/>
      <c r="HK6" s="2692"/>
      <c r="HL6" s="2692"/>
      <c r="HM6" s="2692"/>
      <c r="HN6" s="2692"/>
      <c r="HO6" s="2692"/>
      <c r="HP6" s="2692"/>
      <c r="HQ6" s="2692"/>
      <c r="HR6" s="2692"/>
      <c r="HS6" s="2692"/>
      <c r="HT6" s="2692"/>
      <c r="HU6" s="2692"/>
      <c r="HV6" s="2692"/>
      <c r="HW6" s="2692"/>
      <c r="HX6" s="2692"/>
      <c r="HY6" s="2692"/>
      <c r="HZ6" s="2692"/>
      <c r="IA6" s="2692"/>
      <c r="IB6" s="2692"/>
      <c r="IC6" s="2692"/>
      <c r="ID6" s="2692"/>
      <c r="IE6" s="2692"/>
      <c r="IF6" s="2692"/>
      <c r="IG6" s="2692"/>
      <c r="IH6" s="2692"/>
      <c r="II6" s="2692"/>
      <c r="IJ6" s="2692"/>
      <c r="IK6" s="2692"/>
      <c r="IL6" s="2692"/>
      <c r="IM6" s="2692"/>
      <c r="IN6" s="2692"/>
      <c r="IO6" s="2692"/>
      <c r="IP6" s="2692"/>
      <c r="IQ6" s="2692"/>
      <c r="IR6" s="2692"/>
      <c r="IS6" s="2692"/>
      <c r="IT6" s="2692"/>
      <c r="IU6" s="2692"/>
      <c r="IV6" s="2692"/>
    </row>
    <row r="7" spans="1:256" s="40" customFormat="1" ht="18.5" x14ac:dyDescent="0.45">
      <c r="A7" s="2694" t="s">
        <v>2509</v>
      </c>
      <c r="B7" s="2774">
        <v>43059</v>
      </c>
      <c r="C7" s="2696"/>
      <c r="D7" s="2694" t="s">
        <v>2510</v>
      </c>
      <c r="E7" s="3363" t="s">
        <v>2971</v>
      </c>
      <c r="F7" s="3363"/>
      <c r="G7" s="2696"/>
      <c r="H7" s="2696" t="s">
        <v>2511</v>
      </c>
      <c r="I7" s="2695" t="s">
        <v>132</v>
      </c>
      <c r="J7" s="2696"/>
      <c r="K7" s="2696"/>
      <c r="L7" s="2696"/>
      <c r="M7" s="2696"/>
      <c r="N7" s="2696"/>
      <c r="O7" s="2696"/>
      <c r="P7" s="2696"/>
      <c r="Q7" s="2696"/>
      <c r="R7" s="2696"/>
      <c r="S7" s="2696"/>
      <c r="T7" s="2696"/>
      <c r="U7" s="2696"/>
      <c r="V7" s="2696"/>
      <c r="W7" s="2696"/>
      <c r="X7" s="2696"/>
      <c r="Y7" s="2696"/>
      <c r="Z7" s="2696"/>
      <c r="AA7" s="2696"/>
      <c r="AB7" s="2696"/>
      <c r="AC7" s="2696"/>
      <c r="AD7" s="2696"/>
      <c r="AE7" s="2696"/>
      <c r="AF7" s="2696"/>
      <c r="AG7" s="2696"/>
      <c r="AH7" s="2696"/>
      <c r="AI7" s="2696"/>
      <c r="AJ7" s="2696"/>
      <c r="AK7" s="2696"/>
      <c r="AL7" s="2696"/>
      <c r="AM7" s="2696"/>
      <c r="AN7" s="2696"/>
      <c r="AO7" s="2696"/>
      <c r="AP7" s="2696"/>
      <c r="AQ7" s="2696"/>
      <c r="AR7" s="2696"/>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c r="BP7" s="2696"/>
      <c r="BQ7" s="2696"/>
      <c r="BR7" s="2696"/>
      <c r="BS7" s="2696"/>
      <c r="BT7" s="2696"/>
      <c r="BU7" s="2696"/>
      <c r="BV7" s="2696"/>
      <c r="BW7" s="2696"/>
      <c r="BX7" s="2696"/>
      <c r="BY7" s="2696"/>
      <c r="BZ7" s="2696"/>
      <c r="CA7" s="2696"/>
      <c r="CB7" s="2696"/>
      <c r="CC7" s="2696"/>
      <c r="CD7" s="2696"/>
      <c r="CE7" s="2696"/>
      <c r="CF7" s="2696"/>
      <c r="CG7" s="2696"/>
      <c r="CH7" s="2696"/>
      <c r="CI7" s="2696"/>
      <c r="CJ7" s="2696"/>
      <c r="CK7" s="2696"/>
      <c r="CL7" s="2696"/>
      <c r="CM7" s="2696"/>
      <c r="CN7" s="2696"/>
      <c r="CO7" s="2696"/>
      <c r="CP7" s="2696"/>
      <c r="CQ7" s="2696"/>
      <c r="CR7" s="2696"/>
      <c r="CS7" s="2696"/>
      <c r="CT7" s="2696"/>
      <c r="CU7" s="2696"/>
      <c r="CV7" s="2696"/>
      <c r="CW7" s="2696"/>
      <c r="CX7" s="2696"/>
      <c r="CY7" s="2696"/>
      <c r="CZ7" s="2696"/>
      <c r="DA7" s="2696"/>
      <c r="DB7" s="2696"/>
      <c r="DC7" s="2696"/>
      <c r="DD7" s="2696"/>
      <c r="DE7" s="2696"/>
      <c r="DF7" s="2696"/>
      <c r="DG7" s="2696"/>
      <c r="DH7" s="2696"/>
      <c r="DI7" s="2696"/>
      <c r="DJ7" s="2696"/>
      <c r="DK7" s="2696"/>
      <c r="DL7" s="2696"/>
      <c r="DM7" s="2696"/>
      <c r="DN7" s="2696"/>
      <c r="DO7" s="2696"/>
      <c r="DP7" s="2696"/>
      <c r="DQ7" s="2696"/>
      <c r="DR7" s="2696"/>
      <c r="DS7" s="2696"/>
      <c r="DT7" s="2696"/>
      <c r="DU7" s="2696"/>
      <c r="DV7" s="2696"/>
      <c r="DW7" s="2696"/>
      <c r="DX7" s="2696"/>
      <c r="DY7" s="2696"/>
      <c r="DZ7" s="2696"/>
      <c r="EA7" s="2696"/>
      <c r="EB7" s="2696"/>
      <c r="EC7" s="2696"/>
      <c r="ED7" s="2696"/>
      <c r="EE7" s="2696"/>
      <c r="EF7" s="2696"/>
      <c r="EG7" s="2696"/>
      <c r="EH7" s="2696"/>
      <c r="EI7" s="2696"/>
      <c r="EJ7" s="2696"/>
      <c r="EK7" s="2696"/>
      <c r="EL7" s="2696"/>
      <c r="EM7" s="2696"/>
      <c r="EN7" s="2696"/>
      <c r="EO7" s="2696"/>
      <c r="EP7" s="2696"/>
      <c r="EQ7" s="2696"/>
      <c r="ER7" s="2696"/>
      <c r="ES7" s="2696"/>
      <c r="ET7" s="2696"/>
      <c r="EU7" s="2696"/>
      <c r="EV7" s="2696"/>
      <c r="EW7" s="2696"/>
      <c r="EX7" s="2696"/>
      <c r="EY7" s="2696"/>
      <c r="EZ7" s="2696"/>
      <c r="FA7" s="2696"/>
      <c r="FB7" s="2696"/>
      <c r="FC7" s="2696"/>
      <c r="FD7" s="2696"/>
      <c r="FE7" s="2696"/>
      <c r="FF7" s="2696"/>
      <c r="FG7" s="2696"/>
      <c r="FH7" s="2696"/>
      <c r="FI7" s="2696"/>
      <c r="FJ7" s="2696"/>
      <c r="FK7" s="2696"/>
      <c r="FL7" s="2696"/>
      <c r="FM7" s="2696"/>
      <c r="FN7" s="2696"/>
      <c r="FO7" s="2696"/>
      <c r="FP7" s="2696"/>
      <c r="FQ7" s="2696"/>
      <c r="FR7" s="2696"/>
      <c r="FS7" s="2696"/>
      <c r="FT7" s="2696"/>
      <c r="FU7" s="2696"/>
      <c r="FV7" s="2696"/>
      <c r="FW7" s="2696"/>
      <c r="FX7" s="2696"/>
      <c r="FY7" s="2696"/>
      <c r="FZ7" s="2696"/>
      <c r="GA7" s="2696"/>
      <c r="GB7" s="2696"/>
      <c r="GC7" s="2696"/>
      <c r="GD7" s="2696"/>
      <c r="GE7" s="2696"/>
      <c r="GF7" s="2696"/>
      <c r="GG7" s="2696"/>
      <c r="GH7" s="2696"/>
      <c r="GI7" s="2696"/>
      <c r="GJ7" s="2696"/>
      <c r="GK7" s="2696"/>
      <c r="GL7" s="2696"/>
      <c r="GM7" s="2696"/>
      <c r="GN7" s="2696"/>
      <c r="GO7" s="2696"/>
      <c r="GP7" s="2696"/>
      <c r="GQ7" s="2696"/>
      <c r="GR7" s="2696"/>
      <c r="GS7" s="2696"/>
      <c r="GT7" s="2696"/>
      <c r="GU7" s="2696"/>
      <c r="GV7" s="2696"/>
      <c r="GW7" s="2696"/>
      <c r="GX7" s="2696"/>
      <c r="GY7" s="2696"/>
      <c r="GZ7" s="2696"/>
      <c r="HA7" s="2696"/>
      <c r="HB7" s="2696"/>
      <c r="HC7" s="2696"/>
      <c r="HD7" s="2696"/>
      <c r="HE7" s="2696"/>
      <c r="HF7" s="2696"/>
      <c r="HG7" s="2696"/>
      <c r="HH7" s="2696"/>
      <c r="HI7" s="2696"/>
      <c r="HJ7" s="2696"/>
      <c r="HK7" s="2696"/>
      <c r="HL7" s="2696"/>
      <c r="HM7" s="2696"/>
      <c r="HN7" s="2696"/>
      <c r="HO7" s="2696"/>
      <c r="HP7" s="2696"/>
      <c r="HQ7" s="2696"/>
      <c r="HR7" s="2696"/>
      <c r="HS7" s="2696"/>
      <c r="HT7" s="2696"/>
      <c r="HU7" s="2696"/>
      <c r="HV7" s="2696"/>
      <c r="HW7" s="2696"/>
      <c r="HX7" s="2696"/>
      <c r="HY7" s="2696"/>
      <c r="HZ7" s="2696"/>
      <c r="IA7" s="2696"/>
      <c r="IB7" s="2696"/>
      <c r="IC7" s="2696"/>
      <c r="ID7" s="2696"/>
      <c r="IE7" s="2696"/>
      <c r="IF7" s="2696"/>
      <c r="IG7" s="2696"/>
      <c r="IH7" s="2696"/>
      <c r="II7" s="2696"/>
      <c r="IJ7" s="2696"/>
      <c r="IK7" s="2696"/>
      <c r="IL7" s="2696"/>
      <c r="IM7" s="2696"/>
      <c r="IN7" s="2696"/>
      <c r="IO7" s="2696"/>
      <c r="IP7" s="2696"/>
      <c r="IQ7" s="2696"/>
      <c r="IR7" s="2696"/>
      <c r="IS7" s="2696"/>
      <c r="IT7" s="2696"/>
      <c r="IU7" s="2696"/>
      <c r="IV7" s="2696"/>
    </row>
    <row r="8" spans="1:256" s="40" customFormat="1" ht="13.5" thickBot="1" x14ac:dyDescent="0.35">
      <c r="A8" s="2691"/>
      <c r="B8" s="2692"/>
      <c r="C8" s="2692"/>
      <c r="D8" s="2692"/>
      <c r="E8" s="2692"/>
      <c r="F8" s="2692"/>
      <c r="G8" s="2692"/>
      <c r="H8" s="2692"/>
      <c r="I8" s="2692"/>
      <c r="J8" s="2692"/>
      <c r="K8" s="2692"/>
      <c r="L8" s="2692"/>
      <c r="M8" s="2692"/>
      <c r="N8" s="2692"/>
      <c r="O8" s="2692"/>
      <c r="P8" s="2692"/>
      <c r="Q8" s="2692"/>
      <c r="R8" s="2692"/>
      <c r="S8" s="2692"/>
      <c r="T8" s="2692"/>
      <c r="U8" s="2692"/>
      <c r="V8" s="2692"/>
      <c r="W8" s="2692"/>
      <c r="X8" s="2692"/>
      <c r="Y8" s="2692"/>
      <c r="Z8" s="2692"/>
      <c r="AA8" s="2692"/>
      <c r="AB8" s="2692"/>
      <c r="AC8" s="2692"/>
      <c r="AD8" s="2692"/>
      <c r="AE8" s="2692"/>
      <c r="AF8" s="2692"/>
      <c r="AG8" s="2692"/>
      <c r="AH8" s="2692"/>
      <c r="AI8" s="2692"/>
      <c r="AJ8" s="2692"/>
      <c r="AK8" s="2692"/>
      <c r="AL8" s="2692"/>
      <c r="AM8" s="2692"/>
      <c r="AN8" s="2692"/>
      <c r="AO8" s="2692"/>
      <c r="AP8" s="2692"/>
      <c r="AQ8" s="2692"/>
      <c r="AR8" s="2692"/>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c r="BP8" s="2692"/>
      <c r="BQ8" s="2692"/>
      <c r="BR8" s="2692"/>
      <c r="BS8" s="2692"/>
      <c r="BT8" s="2692"/>
      <c r="BU8" s="2692"/>
      <c r="BV8" s="2692"/>
      <c r="BW8" s="2692"/>
      <c r="BX8" s="2692"/>
      <c r="BY8" s="2692"/>
      <c r="BZ8" s="2692"/>
      <c r="CA8" s="2692"/>
      <c r="CB8" s="2692"/>
      <c r="CC8" s="2692"/>
      <c r="CD8" s="2692"/>
      <c r="CE8" s="2692"/>
      <c r="CF8" s="2692"/>
      <c r="CG8" s="2692"/>
      <c r="CH8" s="2692"/>
      <c r="CI8" s="2692"/>
      <c r="CJ8" s="2692"/>
      <c r="CK8" s="2692"/>
      <c r="CL8" s="2692"/>
      <c r="CM8" s="2692"/>
      <c r="CN8" s="2692"/>
      <c r="CO8" s="2692"/>
      <c r="CP8" s="2692"/>
      <c r="CQ8" s="2692"/>
      <c r="CR8" s="2692"/>
      <c r="CS8" s="2692"/>
      <c r="CT8" s="2692"/>
      <c r="CU8" s="2692"/>
      <c r="CV8" s="2692"/>
      <c r="CW8" s="2692"/>
      <c r="CX8" s="2692"/>
      <c r="CY8" s="2692"/>
      <c r="CZ8" s="2692"/>
      <c r="DA8" s="2692"/>
      <c r="DB8" s="2692"/>
      <c r="DC8" s="2692"/>
      <c r="DD8" s="2692"/>
      <c r="DE8" s="2692"/>
      <c r="DF8" s="2692"/>
      <c r="DG8" s="2692"/>
      <c r="DH8" s="2692"/>
      <c r="DI8" s="2692"/>
      <c r="DJ8" s="2692"/>
      <c r="DK8" s="2692"/>
      <c r="DL8" s="2692"/>
      <c r="DM8" s="2692"/>
      <c r="DN8" s="2692"/>
      <c r="DO8" s="2692"/>
      <c r="DP8" s="2692"/>
      <c r="DQ8" s="2692"/>
      <c r="DR8" s="2692"/>
      <c r="DS8" s="2692"/>
      <c r="DT8" s="2692"/>
      <c r="DU8" s="2692"/>
      <c r="DV8" s="2692"/>
      <c r="DW8" s="2692"/>
      <c r="DX8" s="2692"/>
      <c r="DY8" s="2692"/>
      <c r="DZ8" s="2692"/>
      <c r="EA8" s="2692"/>
      <c r="EB8" s="2692"/>
      <c r="EC8" s="2692"/>
      <c r="ED8" s="2692"/>
      <c r="EE8" s="2692"/>
      <c r="EF8" s="2692"/>
      <c r="EG8" s="2692"/>
      <c r="EH8" s="2692"/>
      <c r="EI8" s="2692"/>
      <c r="EJ8" s="2692"/>
      <c r="EK8" s="2692"/>
      <c r="EL8" s="2692"/>
      <c r="EM8" s="2692"/>
      <c r="EN8" s="2692"/>
      <c r="EO8" s="2692"/>
      <c r="EP8" s="2692"/>
      <c r="EQ8" s="2692"/>
      <c r="ER8" s="2692"/>
      <c r="ES8" s="2692"/>
      <c r="ET8" s="2692"/>
      <c r="EU8" s="2692"/>
      <c r="EV8" s="2692"/>
      <c r="EW8" s="2692"/>
      <c r="EX8" s="2692"/>
      <c r="EY8" s="2692"/>
      <c r="EZ8" s="2692"/>
      <c r="FA8" s="2692"/>
      <c r="FB8" s="2692"/>
      <c r="FC8" s="2692"/>
      <c r="FD8" s="2692"/>
      <c r="FE8" s="2692"/>
      <c r="FF8" s="2692"/>
      <c r="FG8" s="2692"/>
      <c r="FH8" s="2692"/>
      <c r="FI8" s="2692"/>
      <c r="FJ8" s="2692"/>
      <c r="FK8" s="2692"/>
      <c r="FL8" s="2692"/>
      <c r="FM8" s="2692"/>
      <c r="FN8" s="2692"/>
      <c r="FO8" s="2692"/>
      <c r="FP8" s="2692"/>
      <c r="FQ8" s="2692"/>
      <c r="FR8" s="2692"/>
      <c r="FS8" s="2692"/>
      <c r="FT8" s="2692"/>
      <c r="FU8" s="2692"/>
      <c r="FV8" s="2692"/>
      <c r="FW8" s="2692"/>
      <c r="FX8" s="2692"/>
      <c r="FY8" s="2692"/>
      <c r="FZ8" s="2692"/>
      <c r="GA8" s="2692"/>
      <c r="GB8" s="2692"/>
      <c r="GC8" s="2692"/>
      <c r="GD8" s="2692"/>
      <c r="GE8" s="2692"/>
      <c r="GF8" s="2692"/>
      <c r="GG8" s="2692"/>
      <c r="GH8" s="2692"/>
      <c r="GI8" s="2692"/>
      <c r="GJ8" s="2692"/>
      <c r="GK8" s="2692"/>
      <c r="GL8" s="2692"/>
      <c r="GM8" s="2692"/>
      <c r="GN8" s="2692"/>
      <c r="GO8" s="2692"/>
      <c r="GP8" s="2692"/>
      <c r="GQ8" s="2692"/>
      <c r="GR8" s="2692"/>
      <c r="GS8" s="2692"/>
      <c r="GT8" s="2692"/>
      <c r="GU8" s="2692"/>
      <c r="GV8" s="2692"/>
      <c r="GW8" s="2692"/>
      <c r="GX8" s="2692"/>
      <c r="GY8" s="2692"/>
      <c r="GZ8" s="2692"/>
      <c r="HA8" s="2692"/>
      <c r="HB8" s="2692"/>
      <c r="HC8" s="2692"/>
      <c r="HD8" s="2692"/>
      <c r="HE8" s="2692"/>
      <c r="HF8" s="2692"/>
      <c r="HG8" s="2692"/>
      <c r="HH8" s="2692"/>
      <c r="HI8" s="2692"/>
      <c r="HJ8" s="2692"/>
      <c r="HK8" s="2692"/>
      <c r="HL8" s="2692"/>
      <c r="HM8" s="2692"/>
      <c r="HN8" s="2692"/>
      <c r="HO8" s="2692"/>
      <c r="HP8" s="2692"/>
      <c r="HQ8" s="2692"/>
      <c r="HR8" s="2692"/>
      <c r="HS8" s="2692"/>
      <c r="HT8" s="2692"/>
      <c r="HU8" s="2692"/>
      <c r="HV8" s="2692"/>
      <c r="HW8" s="2692"/>
      <c r="HX8" s="2692"/>
      <c r="HY8" s="2692"/>
      <c r="HZ8" s="2692"/>
      <c r="IA8" s="2692"/>
      <c r="IB8" s="2692"/>
      <c r="IC8" s="2692"/>
      <c r="ID8" s="2692"/>
      <c r="IE8" s="2692"/>
      <c r="IF8" s="2692"/>
      <c r="IG8" s="2692"/>
      <c r="IH8" s="2692"/>
      <c r="II8" s="2692"/>
      <c r="IJ8" s="2692"/>
      <c r="IK8" s="2692"/>
      <c r="IL8" s="2692"/>
      <c r="IM8" s="2692"/>
      <c r="IN8" s="2692"/>
      <c r="IO8" s="2692"/>
      <c r="IP8" s="2692"/>
      <c r="IQ8" s="2692"/>
      <c r="IR8" s="2692"/>
      <c r="IS8" s="2692"/>
      <c r="IT8" s="2692"/>
      <c r="IU8" s="2692"/>
      <c r="IV8" s="2692"/>
    </row>
    <row r="9" spans="1:256" s="40" customFormat="1" ht="13.5" thickTop="1" x14ac:dyDescent="0.3">
      <c r="A9" s="2697"/>
      <c r="B9" s="3362" t="s">
        <v>2512</v>
      </c>
      <c r="C9" s="3362"/>
      <c r="D9" s="3362"/>
      <c r="E9" s="2699"/>
      <c r="F9" s="2710"/>
      <c r="G9" s="3362" t="s">
        <v>2513</v>
      </c>
      <c r="H9" s="3362"/>
      <c r="I9" s="3362"/>
      <c r="J9" s="2698"/>
      <c r="K9" s="2692"/>
      <c r="L9" s="2692"/>
      <c r="M9" s="2692"/>
      <c r="N9" s="2692"/>
      <c r="O9" s="2692"/>
      <c r="P9" s="2692"/>
      <c r="Q9" s="2692"/>
      <c r="R9" s="2692"/>
      <c r="S9" s="2692"/>
      <c r="T9" s="2692"/>
      <c r="U9" s="2692"/>
      <c r="V9" s="2692"/>
      <c r="W9" s="2692"/>
      <c r="X9" s="2692"/>
      <c r="Y9" s="2692"/>
      <c r="Z9" s="2692"/>
      <c r="AA9" s="2692"/>
      <c r="AB9" s="2692"/>
      <c r="AC9" s="2692"/>
      <c r="AD9" s="2692"/>
      <c r="AE9" s="2692"/>
      <c r="AF9" s="2692"/>
      <c r="AG9" s="2692"/>
      <c r="AH9" s="2692"/>
      <c r="AI9" s="2692"/>
      <c r="AJ9" s="2692"/>
      <c r="AK9" s="2692"/>
      <c r="AL9" s="2692"/>
      <c r="AM9" s="2692"/>
      <c r="AN9" s="2692"/>
      <c r="AO9" s="2692"/>
      <c r="AP9" s="2692"/>
      <c r="AQ9" s="2692"/>
      <c r="AR9" s="2692"/>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c r="BP9" s="2692"/>
      <c r="BQ9" s="2692"/>
      <c r="BR9" s="2692"/>
      <c r="BS9" s="2692"/>
      <c r="BT9" s="2692"/>
      <c r="BU9" s="2692"/>
      <c r="BV9" s="2692"/>
      <c r="BW9" s="2692"/>
      <c r="BX9" s="2692"/>
      <c r="BY9" s="2692"/>
      <c r="BZ9" s="2692"/>
      <c r="CA9" s="2692"/>
      <c r="CB9" s="2692"/>
      <c r="CC9" s="2692"/>
      <c r="CD9" s="2692"/>
      <c r="CE9" s="2692"/>
      <c r="CF9" s="2692"/>
      <c r="CG9" s="2692"/>
      <c r="CH9" s="2692"/>
      <c r="CI9" s="2692"/>
      <c r="CJ9" s="2692"/>
      <c r="CK9" s="2692"/>
      <c r="CL9" s="2692"/>
      <c r="CM9" s="2692"/>
      <c r="CN9" s="2692"/>
      <c r="CO9" s="2692"/>
      <c r="CP9" s="2692"/>
      <c r="CQ9" s="2692"/>
      <c r="CR9" s="2692"/>
      <c r="CS9" s="2692"/>
      <c r="CT9" s="2692"/>
      <c r="CU9" s="2692"/>
      <c r="CV9" s="2692"/>
      <c r="CW9" s="2692"/>
      <c r="CX9" s="2692"/>
      <c r="CY9" s="2692"/>
      <c r="CZ9" s="2692"/>
      <c r="DA9" s="2692"/>
      <c r="DB9" s="2692"/>
      <c r="DC9" s="2692"/>
      <c r="DD9" s="2692"/>
      <c r="DE9" s="2692"/>
      <c r="DF9" s="2692"/>
      <c r="DG9" s="2692"/>
      <c r="DH9" s="2692"/>
      <c r="DI9" s="2692"/>
      <c r="DJ9" s="2692"/>
      <c r="DK9" s="2692"/>
      <c r="DL9" s="2692"/>
      <c r="DM9" s="2692"/>
      <c r="DN9" s="2692"/>
      <c r="DO9" s="2692"/>
      <c r="DP9" s="2692"/>
      <c r="DQ9" s="2692"/>
      <c r="DR9" s="2692"/>
      <c r="DS9" s="2692"/>
      <c r="DT9" s="2692"/>
      <c r="DU9" s="2692"/>
      <c r="DV9" s="2692"/>
      <c r="DW9" s="2692"/>
      <c r="DX9" s="2692"/>
      <c r="DY9" s="2692"/>
      <c r="DZ9" s="2692"/>
      <c r="EA9" s="2692"/>
      <c r="EB9" s="2692"/>
      <c r="EC9" s="2692"/>
      <c r="ED9" s="2692"/>
      <c r="EE9" s="2692"/>
      <c r="EF9" s="2692"/>
      <c r="EG9" s="2692"/>
      <c r="EH9" s="2692"/>
      <c r="EI9" s="2692"/>
      <c r="EJ9" s="2692"/>
      <c r="EK9" s="2692"/>
      <c r="EL9" s="2692"/>
      <c r="EM9" s="2692"/>
      <c r="EN9" s="2692"/>
      <c r="EO9" s="2692"/>
      <c r="EP9" s="2692"/>
      <c r="EQ9" s="2692"/>
      <c r="ER9" s="2692"/>
      <c r="ES9" s="2692"/>
      <c r="ET9" s="2692"/>
      <c r="EU9" s="2692"/>
      <c r="EV9" s="2692"/>
      <c r="EW9" s="2692"/>
      <c r="EX9" s="2692"/>
      <c r="EY9" s="2692"/>
      <c r="EZ9" s="2692"/>
      <c r="FA9" s="2692"/>
      <c r="FB9" s="2692"/>
      <c r="FC9" s="2692"/>
      <c r="FD9" s="2692"/>
      <c r="FE9" s="2692"/>
      <c r="FF9" s="2692"/>
      <c r="FG9" s="2692"/>
      <c r="FH9" s="2692"/>
      <c r="FI9" s="2692"/>
      <c r="FJ9" s="2692"/>
      <c r="FK9" s="2692"/>
      <c r="FL9" s="2692"/>
      <c r="FM9" s="2692"/>
      <c r="FN9" s="2692"/>
      <c r="FO9" s="2692"/>
      <c r="FP9" s="2692"/>
      <c r="FQ9" s="2692"/>
      <c r="FR9" s="2692"/>
      <c r="FS9" s="2692"/>
      <c r="FT9" s="2692"/>
      <c r="FU9" s="2692"/>
      <c r="FV9" s="2692"/>
      <c r="FW9" s="2692"/>
      <c r="FX9" s="2692"/>
      <c r="FY9" s="2692"/>
      <c r="FZ9" s="2692"/>
      <c r="GA9" s="2692"/>
      <c r="GB9" s="2692"/>
      <c r="GC9" s="2692"/>
      <c r="GD9" s="2692"/>
      <c r="GE9" s="2692"/>
      <c r="GF9" s="2692"/>
      <c r="GG9" s="2692"/>
      <c r="GH9" s="2692"/>
      <c r="GI9" s="2692"/>
      <c r="GJ9" s="2692"/>
      <c r="GK9" s="2692"/>
      <c r="GL9" s="2692"/>
      <c r="GM9" s="2692"/>
      <c r="GN9" s="2692"/>
      <c r="GO9" s="2692"/>
      <c r="GP9" s="2692"/>
      <c r="GQ9" s="2692"/>
      <c r="GR9" s="2692"/>
      <c r="GS9" s="2692"/>
      <c r="GT9" s="2692"/>
      <c r="GU9" s="2692"/>
      <c r="GV9" s="2692"/>
      <c r="GW9" s="2692"/>
      <c r="GX9" s="2692"/>
      <c r="GY9" s="2692"/>
      <c r="GZ9" s="2692"/>
      <c r="HA9" s="2692"/>
      <c r="HB9" s="2692"/>
      <c r="HC9" s="2692"/>
      <c r="HD9" s="2692"/>
      <c r="HE9" s="2692"/>
      <c r="HF9" s="2692"/>
      <c r="HG9" s="2692"/>
      <c r="HH9" s="2692"/>
      <c r="HI9" s="2692"/>
      <c r="HJ9" s="2692"/>
      <c r="HK9" s="2692"/>
      <c r="HL9" s="2692"/>
      <c r="HM9" s="2692"/>
      <c r="HN9" s="2692"/>
      <c r="HO9" s="2692"/>
      <c r="HP9" s="2692"/>
      <c r="HQ9" s="2692"/>
      <c r="HR9" s="2692"/>
      <c r="HS9" s="2692"/>
      <c r="HT9" s="2692"/>
      <c r="HU9" s="2692"/>
      <c r="HV9" s="2692"/>
      <c r="HW9" s="2692"/>
      <c r="HX9" s="2692"/>
      <c r="HY9" s="2692"/>
      <c r="HZ9" s="2692"/>
      <c r="IA9" s="2692"/>
      <c r="IB9" s="2692"/>
      <c r="IC9" s="2692"/>
      <c r="ID9" s="2692"/>
      <c r="IE9" s="2692"/>
      <c r="IF9" s="2692"/>
      <c r="IG9" s="2692"/>
      <c r="IH9" s="2692"/>
      <c r="II9" s="2692"/>
      <c r="IJ9" s="2692"/>
      <c r="IK9" s="2692"/>
      <c r="IL9" s="2692"/>
      <c r="IM9" s="2692"/>
      <c r="IN9" s="2692"/>
      <c r="IO9" s="2692"/>
      <c r="IP9" s="2692"/>
      <c r="IQ9" s="2692"/>
      <c r="IR9" s="2692"/>
      <c r="IS9" s="2692"/>
      <c r="IT9" s="2692"/>
      <c r="IU9" s="2692"/>
      <c r="IV9" s="2692"/>
    </row>
    <row r="10" spans="1:256" s="40" customFormat="1" x14ac:dyDescent="0.35">
      <c r="A10" s="2935" t="s">
        <v>2514</v>
      </c>
      <c r="B10" s="3372" t="s">
        <v>2971</v>
      </c>
      <c r="C10" s="3372"/>
      <c r="D10" s="3372"/>
      <c r="E10" s="3372"/>
      <c r="F10" s="2935" t="s">
        <v>2515</v>
      </c>
      <c r="G10" s="3374"/>
      <c r="H10" s="3374"/>
      <c r="I10" s="3374"/>
      <c r="J10" s="3375"/>
      <c r="K10" s="2692"/>
      <c r="L10" s="2692"/>
      <c r="M10" s="2692"/>
      <c r="N10" s="2692"/>
      <c r="O10" s="2692"/>
      <c r="P10" s="2692"/>
      <c r="Q10" s="2692"/>
      <c r="R10" s="2692"/>
      <c r="S10" s="2692"/>
      <c r="T10" s="2692"/>
      <c r="U10" s="2692"/>
      <c r="V10" s="2692"/>
      <c r="W10" s="2692"/>
      <c r="X10" s="2692"/>
      <c r="Y10" s="2692"/>
      <c r="Z10" s="2692"/>
      <c r="AA10" s="2692"/>
      <c r="AB10" s="2692"/>
      <c r="AC10" s="2692"/>
      <c r="AD10" s="2692"/>
      <c r="AE10" s="2692"/>
      <c r="AF10" s="2692"/>
      <c r="AG10" s="2692"/>
      <c r="AH10" s="2692"/>
      <c r="AI10" s="2692"/>
      <c r="AJ10" s="2692"/>
      <c r="AK10" s="2692"/>
      <c r="AL10" s="2692"/>
      <c r="AM10" s="2692"/>
      <c r="AN10" s="2692"/>
      <c r="AO10" s="2692"/>
      <c r="AP10" s="2692"/>
      <c r="AQ10" s="2692"/>
      <c r="AR10" s="2692"/>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c r="BP10" s="2692"/>
      <c r="BQ10" s="2692"/>
      <c r="BR10" s="2692"/>
      <c r="BS10" s="2692"/>
      <c r="BT10" s="2692"/>
      <c r="BU10" s="2692"/>
      <c r="BV10" s="2692"/>
      <c r="BW10" s="2692"/>
      <c r="BX10" s="2692"/>
      <c r="BY10" s="2692"/>
      <c r="BZ10" s="2692"/>
      <c r="CA10" s="2692"/>
      <c r="CB10" s="2692"/>
      <c r="CC10" s="2692"/>
      <c r="CD10" s="2692"/>
      <c r="CE10" s="2692"/>
      <c r="CF10" s="2692"/>
      <c r="CG10" s="2692"/>
      <c r="CH10" s="2692"/>
      <c r="CI10" s="2692"/>
      <c r="CJ10" s="2692"/>
      <c r="CK10" s="2692"/>
      <c r="CL10" s="2692"/>
      <c r="CM10" s="2692"/>
      <c r="CN10" s="2692"/>
      <c r="CO10" s="2692"/>
      <c r="CP10" s="2692"/>
      <c r="CQ10" s="2692"/>
      <c r="CR10" s="2692"/>
      <c r="CS10" s="2692"/>
      <c r="CT10" s="2692"/>
      <c r="CU10" s="2692"/>
      <c r="CV10" s="2692"/>
      <c r="CW10" s="2692"/>
      <c r="CX10" s="2692"/>
      <c r="CY10" s="2692"/>
      <c r="CZ10" s="2692"/>
      <c r="DA10" s="2692"/>
      <c r="DB10" s="2692"/>
      <c r="DC10" s="2692"/>
      <c r="DD10" s="2692"/>
      <c r="DE10" s="2692"/>
      <c r="DF10" s="2692"/>
      <c r="DG10" s="2692"/>
      <c r="DH10" s="2692"/>
      <c r="DI10" s="2692"/>
      <c r="DJ10" s="2692"/>
      <c r="DK10" s="2692"/>
      <c r="DL10" s="2692"/>
      <c r="DM10" s="2692"/>
      <c r="DN10" s="2692"/>
      <c r="DO10" s="2692"/>
      <c r="DP10" s="2692"/>
      <c r="DQ10" s="2692"/>
      <c r="DR10" s="2692"/>
      <c r="DS10" s="2692"/>
      <c r="DT10" s="2692"/>
      <c r="DU10" s="2692"/>
      <c r="DV10" s="2692"/>
      <c r="DW10" s="2692"/>
      <c r="DX10" s="2692"/>
      <c r="DY10" s="2692"/>
      <c r="DZ10" s="2692"/>
      <c r="EA10" s="2692"/>
      <c r="EB10" s="2692"/>
      <c r="EC10" s="2692"/>
      <c r="ED10" s="2692"/>
      <c r="EE10" s="2692"/>
      <c r="EF10" s="2692"/>
      <c r="EG10" s="2692"/>
      <c r="EH10" s="2692"/>
      <c r="EI10" s="2692"/>
      <c r="EJ10" s="2692"/>
      <c r="EK10" s="2692"/>
      <c r="EL10" s="2692"/>
      <c r="EM10" s="2692"/>
      <c r="EN10" s="2692"/>
      <c r="EO10" s="2692"/>
      <c r="EP10" s="2692"/>
      <c r="EQ10" s="2692"/>
      <c r="ER10" s="2692"/>
      <c r="ES10" s="2692"/>
      <c r="ET10" s="2692"/>
      <c r="EU10" s="2692"/>
      <c r="EV10" s="2692"/>
      <c r="EW10" s="2692"/>
      <c r="EX10" s="2692"/>
      <c r="EY10" s="2692"/>
      <c r="EZ10" s="2692"/>
      <c r="FA10" s="2692"/>
      <c r="FB10" s="2692"/>
      <c r="FC10" s="2692"/>
      <c r="FD10" s="2692"/>
      <c r="FE10" s="2692"/>
      <c r="FF10" s="2692"/>
      <c r="FG10" s="2692"/>
      <c r="FH10" s="2692"/>
      <c r="FI10" s="2692"/>
      <c r="FJ10" s="2692"/>
      <c r="FK10" s="2692"/>
      <c r="FL10" s="2692"/>
      <c r="FM10" s="2692"/>
      <c r="FN10" s="2692"/>
      <c r="FO10" s="2692"/>
      <c r="FP10" s="2692"/>
      <c r="FQ10" s="2692"/>
      <c r="FR10" s="2692"/>
      <c r="FS10" s="2692"/>
      <c r="FT10" s="2692"/>
      <c r="FU10" s="2692"/>
      <c r="FV10" s="2692"/>
      <c r="FW10" s="2692"/>
      <c r="FX10" s="2692"/>
      <c r="FY10" s="2692"/>
      <c r="FZ10" s="2692"/>
      <c r="GA10" s="2692"/>
      <c r="GB10" s="2692"/>
      <c r="GC10" s="2692"/>
      <c r="GD10" s="2692"/>
      <c r="GE10" s="2692"/>
      <c r="GF10" s="2692"/>
      <c r="GG10" s="2692"/>
      <c r="GH10" s="2692"/>
      <c r="GI10" s="2692"/>
      <c r="GJ10" s="2692"/>
      <c r="GK10" s="2692"/>
      <c r="GL10" s="2692"/>
      <c r="GM10" s="2692"/>
      <c r="GN10" s="2692"/>
      <c r="GO10" s="2692"/>
      <c r="GP10" s="2692"/>
      <c r="GQ10" s="2692"/>
      <c r="GR10" s="2692"/>
      <c r="GS10" s="2692"/>
      <c r="GT10" s="2692"/>
      <c r="GU10" s="2692"/>
      <c r="GV10" s="2692"/>
      <c r="GW10" s="2692"/>
      <c r="GX10" s="2692"/>
      <c r="GY10" s="2692"/>
      <c r="GZ10" s="2692"/>
      <c r="HA10" s="2692"/>
      <c r="HB10" s="2692"/>
      <c r="HC10" s="2692"/>
      <c r="HD10" s="2692"/>
      <c r="HE10" s="2692"/>
      <c r="HF10" s="2692"/>
      <c r="HG10" s="2692"/>
      <c r="HH10" s="2692"/>
      <c r="HI10" s="2692"/>
      <c r="HJ10" s="2692"/>
      <c r="HK10" s="2692"/>
      <c r="HL10" s="2692"/>
      <c r="HM10" s="2692"/>
      <c r="HN10" s="2692"/>
      <c r="HO10" s="2692"/>
      <c r="HP10" s="2692"/>
      <c r="HQ10" s="2692"/>
      <c r="HR10" s="2692"/>
      <c r="HS10" s="2692"/>
      <c r="HT10" s="2692"/>
      <c r="HU10" s="2692"/>
      <c r="HV10" s="2692"/>
      <c r="HW10" s="2692"/>
      <c r="HX10" s="2692"/>
      <c r="HY10" s="2692"/>
      <c r="HZ10" s="2692"/>
      <c r="IA10" s="2692"/>
      <c r="IB10" s="2692"/>
      <c r="IC10" s="2692"/>
      <c r="ID10" s="2692"/>
      <c r="IE10" s="2692"/>
      <c r="IF10" s="2692"/>
      <c r="IG10" s="2692"/>
      <c r="IH10" s="2692"/>
      <c r="II10" s="2692"/>
      <c r="IJ10" s="2692"/>
      <c r="IK10" s="2692"/>
      <c r="IL10" s="2692"/>
      <c r="IM10" s="2692"/>
      <c r="IN10" s="2692"/>
      <c r="IO10" s="2692"/>
      <c r="IP10" s="2692"/>
      <c r="IQ10" s="2692"/>
      <c r="IR10" s="2692"/>
      <c r="IS10" s="2692"/>
      <c r="IT10" s="2692"/>
      <c r="IU10" s="2692"/>
      <c r="IV10" s="2692"/>
    </row>
    <row r="11" spans="1:256" s="40" customFormat="1" x14ac:dyDescent="0.35">
      <c r="A11" s="2935" t="s">
        <v>2630</v>
      </c>
      <c r="B11" s="3372"/>
      <c r="C11" s="3372"/>
      <c r="D11" s="3372"/>
      <c r="E11" s="3372"/>
      <c r="F11" s="2935" t="s">
        <v>2517</v>
      </c>
      <c r="G11" s="3374"/>
      <c r="H11" s="3374"/>
      <c r="I11" s="3374"/>
      <c r="J11" s="3375"/>
      <c r="K11" s="2692"/>
      <c r="L11" s="2692"/>
      <c r="M11" s="2692"/>
      <c r="N11" s="2692"/>
      <c r="O11" s="2692"/>
      <c r="P11" s="2692"/>
      <c r="Q11" s="2692"/>
      <c r="R11" s="2692"/>
      <c r="S11" s="2692"/>
      <c r="T11" s="2692"/>
      <c r="U11" s="2692"/>
      <c r="V11" s="2692"/>
      <c r="W11" s="2692"/>
      <c r="X11" s="2692"/>
      <c r="Y11" s="2692"/>
      <c r="Z11" s="2692"/>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6" s="23" customFormat="1" ht="14.25" customHeight="1" x14ac:dyDescent="0.35">
      <c r="A12" s="2934" t="s">
        <v>2516</v>
      </c>
      <c r="B12" s="3372"/>
      <c r="C12" s="3372"/>
      <c r="D12" s="3372"/>
      <c r="E12" s="3372"/>
      <c r="F12" s="2934" t="s">
        <v>2628</v>
      </c>
      <c r="G12" s="3370"/>
      <c r="H12" s="3370"/>
      <c r="I12" s="3370"/>
      <c r="J12" s="3371"/>
      <c r="K12" s="2775"/>
      <c r="L12" s="2775"/>
      <c r="M12" s="2775"/>
      <c r="N12" s="2775"/>
      <c r="O12" s="2775"/>
      <c r="P12" s="2775"/>
      <c r="Q12" s="2775"/>
      <c r="R12" s="2775"/>
      <c r="S12" s="2775"/>
      <c r="T12" s="2775"/>
      <c r="U12" s="2775"/>
      <c r="V12" s="2775"/>
      <c r="W12" s="2775"/>
      <c r="X12" s="2775"/>
      <c r="Y12" s="2775"/>
      <c r="Z12" s="2775"/>
      <c r="AA12" s="2775"/>
      <c r="AB12" s="2775"/>
      <c r="AC12" s="2775"/>
      <c r="AD12" s="2775"/>
      <c r="AE12" s="2775"/>
      <c r="AF12" s="2775"/>
      <c r="AG12" s="2775"/>
      <c r="AH12" s="2775"/>
      <c r="AI12" s="2775"/>
      <c r="AJ12" s="2775"/>
      <c r="AK12" s="2775"/>
      <c r="AL12" s="2775"/>
      <c r="AM12" s="2775"/>
      <c r="AN12" s="2775"/>
      <c r="AO12" s="2775"/>
      <c r="AP12" s="2775"/>
      <c r="AQ12" s="2775"/>
      <c r="AR12" s="2775"/>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c r="BP12" s="2775"/>
      <c r="BQ12" s="2775"/>
      <c r="BR12" s="2775"/>
      <c r="BS12" s="2775"/>
      <c r="BT12" s="2775"/>
      <c r="BU12" s="2775"/>
      <c r="BV12" s="2775"/>
      <c r="BW12" s="2775"/>
      <c r="BX12" s="2775"/>
      <c r="BY12" s="2775"/>
      <c r="BZ12" s="2775"/>
      <c r="CA12" s="2775"/>
      <c r="CB12" s="2775"/>
      <c r="CC12" s="2775"/>
      <c r="CD12" s="2775"/>
      <c r="CE12" s="2775"/>
      <c r="CF12" s="2775"/>
      <c r="CG12" s="2775"/>
      <c r="CH12" s="2775"/>
      <c r="CI12" s="2775"/>
      <c r="CJ12" s="2775"/>
      <c r="CK12" s="2775"/>
      <c r="CL12" s="2775"/>
      <c r="CM12" s="2775"/>
      <c r="CN12" s="2775"/>
      <c r="CO12" s="2775"/>
      <c r="CP12" s="2775"/>
      <c r="CQ12" s="2775"/>
      <c r="CR12" s="2775"/>
      <c r="CS12" s="2775"/>
      <c r="CT12" s="2775"/>
      <c r="CU12" s="2775"/>
      <c r="CV12" s="2775"/>
      <c r="CW12" s="2775"/>
      <c r="CX12" s="2775"/>
      <c r="CY12" s="2775"/>
      <c r="CZ12" s="2775"/>
      <c r="DA12" s="2775"/>
      <c r="DB12" s="2775"/>
      <c r="DC12" s="2775"/>
      <c r="DD12" s="2775"/>
      <c r="DE12" s="2775"/>
      <c r="DF12" s="2775"/>
      <c r="DG12" s="2775"/>
      <c r="DH12" s="2775"/>
      <c r="DI12" s="2775"/>
      <c r="DJ12" s="2775"/>
      <c r="DK12" s="2775"/>
      <c r="DL12" s="2775"/>
      <c r="DM12" s="2775"/>
      <c r="DN12" s="2775"/>
      <c r="DO12" s="2775"/>
      <c r="DP12" s="2775"/>
      <c r="DQ12" s="2775"/>
      <c r="DR12" s="2775"/>
      <c r="DS12" s="2775"/>
      <c r="DT12" s="2775"/>
      <c r="DU12" s="2775"/>
      <c r="DV12" s="2775"/>
      <c r="DW12" s="2775"/>
      <c r="DX12" s="2775"/>
      <c r="DY12" s="2775"/>
      <c r="DZ12" s="2775"/>
      <c r="EA12" s="2775"/>
      <c r="EB12" s="2775"/>
      <c r="EC12" s="2775"/>
      <c r="ED12" s="2775"/>
      <c r="EE12" s="2775"/>
      <c r="EF12" s="2775"/>
      <c r="EG12" s="2775"/>
      <c r="EH12" s="2775"/>
      <c r="EI12" s="2775"/>
      <c r="EJ12" s="2775"/>
      <c r="EK12" s="2775"/>
      <c r="EL12" s="2775"/>
      <c r="EM12" s="2775"/>
      <c r="EN12" s="2775"/>
      <c r="EO12" s="2775"/>
      <c r="EP12" s="2775"/>
      <c r="EQ12" s="2775"/>
      <c r="ER12" s="2775"/>
      <c r="ES12" s="2775"/>
      <c r="ET12" s="2775"/>
      <c r="EU12" s="2775"/>
      <c r="EV12" s="2775"/>
      <c r="EW12" s="2775"/>
      <c r="EX12" s="2775"/>
      <c r="EY12" s="2775"/>
      <c r="EZ12" s="2775"/>
      <c r="FA12" s="2775"/>
      <c r="FB12" s="2775"/>
      <c r="FC12" s="2775"/>
      <c r="FD12" s="2775"/>
      <c r="FE12" s="2775"/>
      <c r="FF12" s="2775"/>
      <c r="FG12" s="2775"/>
      <c r="FH12" s="2775"/>
      <c r="FI12" s="2775"/>
      <c r="FJ12" s="2775"/>
      <c r="FK12" s="2775"/>
      <c r="FL12" s="2775"/>
      <c r="FM12" s="2775"/>
      <c r="FN12" s="2775"/>
      <c r="FO12" s="2775"/>
      <c r="FP12" s="2775"/>
      <c r="FQ12" s="2775"/>
      <c r="FR12" s="2775"/>
      <c r="FS12" s="2775"/>
      <c r="FT12" s="2775"/>
      <c r="FU12" s="2775"/>
      <c r="FV12" s="2775"/>
      <c r="FW12" s="2775"/>
      <c r="FX12" s="2775"/>
      <c r="FY12" s="2775"/>
      <c r="FZ12" s="2775"/>
      <c r="GA12" s="2775"/>
      <c r="GB12" s="2775"/>
      <c r="GC12" s="2775"/>
      <c r="GD12" s="2775"/>
      <c r="GE12" s="2775"/>
      <c r="GF12" s="2775"/>
      <c r="GG12" s="2775"/>
      <c r="GH12" s="2775"/>
      <c r="GI12" s="2775"/>
      <c r="GJ12" s="2775"/>
      <c r="GK12" s="2775"/>
      <c r="GL12" s="2775"/>
      <c r="GM12" s="2775"/>
      <c r="GN12" s="2775"/>
      <c r="GO12" s="2775"/>
      <c r="GP12" s="2775"/>
      <c r="GQ12" s="2775"/>
      <c r="GR12" s="2775"/>
      <c r="GS12" s="2775"/>
      <c r="GT12" s="2775"/>
      <c r="GU12" s="2775"/>
      <c r="GV12" s="2775"/>
      <c r="GW12" s="2775"/>
      <c r="GX12" s="2775"/>
      <c r="GY12" s="2775"/>
      <c r="GZ12" s="2775"/>
      <c r="HA12" s="2775"/>
      <c r="HB12" s="2775"/>
      <c r="HC12" s="2775"/>
      <c r="HD12" s="2775"/>
      <c r="HE12" s="2775"/>
      <c r="HF12" s="2775"/>
      <c r="HG12" s="2775"/>
      <c r="HH12" s="2775"/>
      <c r="HI12" s="2775"/>
      <c r="HJ12" s="2775"/>
      <c r="HK12" s="2775"/>
      <c r="HL12" s="2775"/>
      <c r="HM12" s="2775"/>
      <c r="HN12" s="2775"/>
      <c r="HO12" s="2775"/>
      <c r="HP12" s="2775"/>
      <c r="HQ12" s="2775"/>
      <c r="HR12" s="2775"/>
      <c r="HS12" s="2775"/>
      <c r="HT12" s="2775"/>
      <c r="HU12" s="2775"/>
      <c r="HV12" s="2775"/>
      <c r="HW12" s="2775"/>
      <c r="HX12" s="2775"/>
      <c r="HY12" s="2775"/>
      <c r="HZ12" s="2775"/>
      <c r="IA12" s="2775"/>
      <c r="IB12" s="2775"/>
      <c r="IC12" s="2775"/>
      <c r="ID12" s="2775"/>
      <c r="IE12" s="2775"/>
      <c r="IF12" s="2775"/>
      <c r="IG12" s="2775"/>
      <c r="IH12" s="2775"/>
      <c r="II12" s="2775"/>
      <c r="IJ12" s="2775"/>
      <c r="IK12" s="2775"/>
      <c r="IL12" s="2775"/>
      <c r="IM12" s="2775"/>
      <c r="IN12" s="2775"/>
      <c r="IO12" s="2775"/>
      <c r="IP12" s="2775"/>
      <c r="IQ12" s="2775"/>
      <c r="IR12" s="2775"/>
      <c r="IS12" s="2775"/>
      <c r="IT12" s="2775"/>
      <c r="IU12" s="2775"/>
      <c r="IV12" s="2775"/>
    </row>
    <row r="13" spans="1:256" s="40" customFormat="1" ht="42" customHeight="1" x14ac:dyDescent="0.35">
      <c r="A13" s="2935" t="s">
        <v>2518</v>
      </c>
      <c r="B13" s="3373"/>
      <c r="C13" s="3373"/>
      <c r="D13" s="3373"/>
      <c r="E13" s="3373"/>
      <c r="F13" s="2935" t="s">
        <v>2520</v>
      </c>
      <c r="G13" s="3374"/>
      <c r="H13" s="3374"/>
      <c r="I13" s="3374"/>
      <c r="J13" s="3375"/>
      <c r="K13" s="2692"/>
      <c r="L13" s="2692"/>
      <c r="M13" s="2692"/>
      <c r="N13" s="2692"/>
      <c r="O13" s="2692"/>
      <c r="P13" s="2692"/>
      <c r="Q13" s="2692"/>
      <c r="R13" s="2692"/>
      <c r="S13" s="2692"/>
      <c r="T13" s="2692"/>
      <c r="U13" s="2692"/>
      <c r="V13" s="2692"/>
      <c r="W13" s="2692"/>
      <c r="X13" s="2692"/>
      <c r="Y13" s="2692"/>
      <c r="Z13" s="2692"/>
      <c r="AA13" s="2692"/>
      <c r="AB13" s="2692"/>
      <c r="AC13" s="2692"/>
      <c r="AD13" s="2692"/>
      <c r="AE13" s="2692"/>
      <c r="AF13" s="2692"/>
      <c r="AG13" s="2692"/>
      <c r="AH13" s="2692"/>
      <c r="AI13" s="2692"/>
      <c r="AJ13" s="2692"/>
      <c r="AK13" s="2692"/>
      <c r="AL13" s="2692"/>
      <c r="AM13" s="2692"/>
      <c r="AN13" s="2692"/>
      <c r="AO13" s="2692"/>
      <c r="AP13" s="2692"/>
      <c r="AQ13" s="2692"/>
      <c r="AR13" s="2692"/>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c r="BP13" s="2692"/>
      <c r="BQ13" s="2692"/>
      <c r="BR13" s="2692"/>
      <c r="BS13" s="2692"/>
      <c r="BT13" s="2692"/>
      <c r="BU13" s="2692"/>
      <c r="BV13" s="2692"/>
      <c r="BW13" s="2692"/>
      <c r="BX13" s="2692"/>
      <c r="BY13" s="2692"/>
      <c r="BZ13" s="2692"/>
      <c r="CA13" s="2692"/>
      <c r="CB13" s="2692"/>
      <c r="CC13" s="2692"/>
      <c r="CD13" s="2692"/>
      <c r="CE13" s="2692"/>
      <c r="CF13" s="2692"/>
      <c r="CG13" s="2692"/>
      <c r="CH13" s="2692"/>
      <c r="CI13" s="2692"/>
      <c r="CJ13" s="2692"/>
      <c r="CK13" s="2692"/>
      <c r="CL13" s="2692"/>
      <c r="CM13" s="2692"/>
      <c r="CN13" s="2692"/>
      <c r="CO13" s="2692"/>
      <c r="CP13" s="2692"/>
      <c r="CQ13" s="2692"/>
      <c r="CR13" s="2692"/>
      <c r="CS13" s="2692"/>
      <c r="CT13" s="2692"/>
      <c r="CU13" s="2692"/>
      <c r="CV13" s="2692"/>
      <c r="CW13" s="2692"/>
      <c r="CX13" s="2692"/>
      <c r="CY13" s="2692"/>
      <c r="CZ13" s="2692"/>
      <c r="DA13" s="2692"/>
      <c r="DB13" s="2692"/>
      <c r="DC13" s="2692"/>
      <c r="DD13" s="2692"/>
      <c r="DE13" s="2692"/>
      <c r="DF13" s="2692"/>
      <c r="DG13" s="2692"/>
      <c r="DH13" s="2692"/>
      <c r="DI13" s="2692"/>
      <c r="DJ13" s="2692"/>
      <c r="DK13" s="2692"/>
      <c r="DL13" s="2692"/>
      <c r="DM13" s="2692"/>
      <c r="DN13" s="2692"/>
      <c r="DO13" s="2692"/>
      <c r="DP13" s="2692"/>
      <c r="DQ13" s="2692"/>
      <c r="DR13" s="2692"/>
      <c r="DS13" s="2692"/>
      <c r="DT13" s="2692"/>
      <c r="DU13" s="2692"/>
      <c r="DV13" s="2692"/>
      <c r="DW13" s="2692"/>
      <c r="DX13" s="2692"/>
      <c r="DY13" s="2692"/>
      <c r="DZ13" s="2692"/>
      <c r="EA13" s="2692"/>
      <c r="EB13" s="2692"/>
      <c r="EC13" s="2692"/>
      <c r="ED13" s="2692"/>
      <c r="EE13" s="2692"/>
      <c r="EF13" s="2692"/>
      <c r="EG13" s="2692"/>
      <c r="EH13" s="2692"/>
      <c r="EI13" s="2692"/>
      <c r="EJ13" s="2692"/>
      <c r="EK13" s="2692"/>
      <c r="EL13" s="2692"/>
      <c r="EM13" s="2692"/>
      <c r="EN13" s="2692"/>
      <c r="EO13" s="2692"/>
      <c r="EP13" s="2692"/>
      <c r="EQ13" s="2692"/>
      <c r="ER13" s="2692"/>
      <c r="ES13" s="2692"/>
      <c r="ET13" s="2692"/>
      <c r="EU13" s="2692"/>
      <c r="EV13" s="2692"/>
      <c r="EW13" s="2692"/>
      <c r="EX13" s="2692"/>
      <c r="EY13" s="2692"/>
      <c r="EZ13" s="2692"/>
      <c r="FA13" s="2692"/>
      <c r="FB13" s="2692"/>
      <c r="FC13" s="2692"/>
      <c r="FD13" s="2692"/>
      <c r="FE13" s="2692"/>
      <c r="FF13" s="2692"/>
      <c r="FG13" s="2692"/>
      <c r="FH13" s="2692"/>
      <c r="FI13" s="2692"/>
      <c r="FJ13" s="2692"/>
      <c r="FK13" s="2692"/>
      <c r="FL13" s="2692"/>
      <c r="FM13" s="2692"/>
      <c r="FN13" s="2692"/>
      <c r="FO13" s="2692"/>
      <c r="FP13" s="2692"/>
      <c r="FQ13" s="2692"/>
      <c r="FR13" s="2692"/>
      <c r="FS13" s="2692"/>
      <c r="FT13" s="2692"/>
      <c r="FU13" s="2692"/>
      <c r="FV13" s="2692"/>
      <c r="FW13" s="2692"/>
      <c r="FX13" s="2692"/>
      <c r="FY13" s="2692"/>
      <c r="FZ13" s="2692"/>
      <c r="GA13" s="2692"/>
      <c r="GB13" s="2692"/>
      <c r="GC13" s="2692"/>
      <c r="GD13" s="2692"/>
      <c r="GE13" s="2692"/>
      <c r="GF13" s="2692"/>
      <c r="GG13" s="2692"/>
      <c r="GH13" s="2692"/>
      <c r="GI13" s="2692"/>
      <c r="GJ13" s="2692"/>
      <c r="GK13" s="2692"/>
      <c r="GL13" s="2692"/>
      <c r="GM13" s="2692"/>
      <c r="GN13" s="2692"/>
      <c r="GO13" s="2692"/>
      <c r="GP13" s="2692"/>
      <c r="GQ13" s="2692"/>
      <c r="GR13" s="2692"/>
      <c r="GS13" s="2692"/>
      <c r="GT13" s="2692"/>
      <c r="GU13" s="2692"/>
      <c r="GV13" s="2692"/>
      <c r="GW13" s="2692"/>
      <c r="GX13" s="2692"/>
      <c r="GY13" s="2692"/>
      <c r="GZ13" s="2692"/>
      <c r="HA13" s="2692"/>
      <c r="HB13" s="2692"/>
      <c r="HC13" s="2692"/>
      <c r="HD13" s="2692"/>
      <c r="HE13" s="2692"/>
      <c r="HF13" s="2692"/>
      <c r="HG13" s="2692"/>
      <c r="HH13" s="2692"/>
      <c r="HI13" s="2692"/>
      <c r="HJ13" s="2692"/>
      <c r="HK13" s="2692"/>
      <c r="HL13" s="2692"/>
      <c r="HM13" s="2692"/>
      <c r="HN13" s="2692"/>
      <c r="HO13" s="2692"/>
      <c r="HP13" s="2692"/>
      <c r="HQ13" s="2692"/>
      <c r="HR13" s="2692"/>
      <c r="HS13" s="2692"/>
      <c r="HT13" s="2692"/>
      <c r="HU13" s="2692"/>
      <c r="HV13" s="2692"/>
      <c r="HW13" s="2692"/>
      <c r="HX13" s="2692"/>
      <c r="HY13" s="2692"/>
      <c r="HZ13" s="2692"/>
      <c r="IA13" s="2692"/>
      <c r="IB13" s="2692"/>
      <c r="IC13" s="2692"/>
      <c r="ID13" s="2692"/>
      <c r="IE13" s="2692"/>
      <c r="IF13" s="2692"/>
      <c r="IG13" s="2692"/>
      <c r="IH13" s="2692"/>
      <c r="II13" s="2692"/>
      <c r="IJ13" s="2692"/>
      <c r="IK13" s="2692"/>
      <c r="IL13" s="2692"/>
      <c r="IM13" s="2692"/>
      <c r="IN13" s="2692"/>
      <c r="IO13" s="2692"/>
      <c r="IP13" s="2692"/>
      <c r="IQ13" s="2692"/>
      <c r="IR13" s="2692"/>
      <c r="IS13" s="2692"/>
      <c r="IT13" s="2692"/>
      <c r="IU13" s="2692"/>
      <c r="IV13" s="2692"/>
    </row>
    <row r="14" spans="1:256" s="40" customFormat="1" x14ac:dyDescent="0.35">
      <c r="A14" s="2935" t="s">
        <v>2519</v>
      </c>
      <c r="B14" s="3372"/>
      <c r="C14" s="3372"/>
      <c r="D14" s="3372"/>
      <c r="E14" s="3372"/>
      <c r="F14" s="2705" t="s">
        <v>2522</v>
      </c>
      <c r="G14" s="3374"/>
      <c r="H14" s="3374"/>
      <c r="I14" s="3374"/>
      <c r="J14" s="3375"/>
      <c r="K14" s="2692"/>
      <c r="L14" s="2692"/>
      <c r="M14" s="2692"/>
      <c r="N14" s="2692"/>
      <c r="O14" s="2692"/>
      <c r="P14" s="2692"/>
      <c r="Q14" s="2692"/>
      <c r="R14" s="2692"/>
      <c r="S14" s="2692"/>
      <c r="T14" s="2692"/>
      <c r="U14" s="2692"/>
      <c r="V14" s="2692"/>
      <c r="W14" s="2692"/>
      <c r="X14" s="2692"/>
      <c r="Y14" s="2692"/>
      <c r="Z14" s="2692"/>
      <c r="AA14" s="2692"/>
      <c r="AB14" s="2692"/>
      <c r="AC14" s="2692"/>
      <c r="AD14" s="2692"/>
      <c r="AE14" s="2692"/>
      <c r="AF14" s="2692"/>
      <c r="AG14" s="2692"/>
      <c r="AH14" s="2692"/>
      <c r="AI14" s="2692"/>
      <c r="AJ14" s="2692"/>
      <c r="AK14" s="2692"/>
      <c r="AL14" s="2692"/>
      <c r="AM14" s="2692"/>
      <c r="AN14" s="2692"/>
      <c r="AO14" s="2692"/>
      <c r="AP14" s="2692"/>
      <c r="AQ14" s="2692"/>
      <c r="AR14" s="2692"/>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c r="BP14" s="2692"/>
      <c r="BQ14" s="2692"/>
      <c r="BR14" s="2692"/>
      <c r="BS14" s="2692"/>
      <c r="BT14" s="2692"/>
      <c r="BU14" s="2692"/>
      <c r="BV14" s="2692"/>
      <c r="BW14" s="2692"/>
      <c r="BX14" s="2692"/>
      <c r="BY14" s="2692"/>
      <c r="BZ14" s="2692"/>
      <c r="CA14" s="2692"/>
      <c r="CB14" s="2692"/>
      <c r="CC14" s="2692"/>
      <c r="CD14" s="2692"/>
      <c r="CE14" s="2692"/>
      <c r="CF14" s="2692"/>
      <c r="CG14" s="2692"/>
      <c r="CH14" s="2692"/>
      <c r="CI14" s="2692"/>
      <c r="CJ14" s="2692"/>
      <c r="CK14" s="2692"/>
      <c r="CL14" s="2692"/>
      <c r="CM14" s="2692"/>
      <c r="CN14" s="2692"/>
      <c r="CO14" s="2692"/>
      <c r="CP14" s="2692"/>
      <c r="CQ14" s="2692"/>
      <c r="CR14" s="2692"/>
      <c r="CS14" s="2692"/>
      <c r="CT14" s="2692"/>
      <c r="CU14" s="2692"/>
      <c r="CV14" s="2692"/>
      <c r="CW14" s="2692"/>
      <c r="CX14" s="2692"/>
      <c r="CY14" s="2692"/>
      <c r="CZ14" s="2692"/>
      <c r="DA14" s="2692"/>
      <c r="DB14" s="2692"/>
      <c r="DC14" s="2692"/>
      <c r="DD14" s="2692"/>
      <c r="DE14" s="2692"/>
      <c r="DF14" s="2692"/>
      <c r="DG14" s="2692"/>
      <c r="DH14" s="2692"/>
      <c r="DI14" s="2692"/>
      <c r="DJ14" s="2692"/>
      <c r="DK14" s="2692"/>
      <c r="DL14" s="2692"/>
      <c r="DM14" s="2692"/>
      <c r="DN14" s="2692"/>
      <c r="DO14" s="2692"/>
      <c r="DP14" s="2692"/>
      <c r="DQ14" s="2692"/>
      <c r="DR14" s="2692"/>
      <c r="DS14" s="2692"/>
      <c r="DT14" s="2692"/>
      <c r="DU14" s="2692"/>
      <c r="DV14" s="2692"/>
      <c r="DW14" s="2692"/>
      <c r="DX14" s="2692"/>
      <c r="DY14" s="2692"/>
      <c r="DZ14" s="2692"/>
      <c r="EA14" s="2692"/>
      <c r="EB14" s="2692"/>
      <c r="EC14" s="2692"/>
      <c r="ED14" s="2692"/>
      <c r="EE14" s="2692"/>
      <c r="EF14" s="2692"/>
      <c r="EG14" s="2692"/>
      <c r="EH14" s="2692"/>
      <c r="EI14" s="2692"/>
      <c r="EJ14" s="2692"/>
      <c r="EK14" s="2692"/>
      <c r="EL14" s="2692"/>
      <c r="EM14" s="2692"/>
      <c r="EN14" s="2692"/>
      <c r="EO14" s="2692"/>
      <c r="EP14" s="2692"/>
      <c r="EQ14" s="2692"/>
      <c r="ER14" s="2692"/>
      <c r="ES14" s="2692"/>
      <c r="ET14" s="2692"/>
      <c r="EU14" s="2692"/>
      <c r="EV14" s="2692"/>
      <c r="EW14" s="2692"/>
      <c r="EX14" s="2692"/>
      <c r="EY14" s="2692"/>
      <c r="EZ14" s="2692"/>
      <c r="FA14" s="2692"/>
      <c r="FB14" s="2692"/>
      <c r="FC14" s="2692"/>
      <c r="FD14" s="2692"/>
      <c r="FE14" s="2692"/>
      <c r="FF14" s="2692"/>
      <c r="FG14" s="2692"/>
      <c r="FH14" s="2692"/>
      <c r="FI14" s="2692"/>
      <c r="FJ14" s="2692"/>
      <c r="FK14" s="2692"/>
      <c r="FL14" s="2692"/>
      <c r="FM14" s="2692"/>
      <c r="FN14" s="2692"/>
      <c r="FO14" s="2692"/>
      <c r="FP14" s="2692"/>
      <c r="FQ14" s="2692"/>
      <c r="FR14" s="2692"/>
      <c r="FS14" s="2692"/>
      <c r="FT14" s="2692"/>
      <c r="FU14" s="2692"/>
      <c r="FV14" s="2692"/>
      <c r="FW14" s="2692"/>
      <c r="FX14" s="2692"/>
      <c r="FY14" s="2692"/>
      <c r="FZ14" s="2692"/>
      <c r="GA14" s="2692"/>
      <c r="GB14" s="2692"/>
      <c r="GC14" s="2692"/>
      <c r="GD14" s="2692"/>
      <c r="GE14" s="2692"/>
      <c r="GF14" s="2692"/>
      <c r="GG14" s="2692"/>
      <c r="GH14" s="2692"/>
      <c r="GI14" s="2692"/>
      <c r="GJ14" s="2692"/>
      <c r="GK14" s="2692"/>
      <c r="GL14" s="2692"/>
      <c r="GM14" s="2692"/>
      <c r="GN14" s="2692"/>
      <c r="GO14" s="2692"/>
      <c r="GP14" s="2692"/>
      <c r="GQ14" s="2692"/>
      <c r="GR14" s="2692"/>
      <c r="GS14" s="2692"/>
      <c r="GT14" s="2692"/>
      <c r="GU14" s="2692"/>
      <c r="GV14" s="2692"/>
      <c r="GW14" s="2692"/>
      <c r="GX14" s="2692"/>
      <c r="GY14" s="2692"/>
      <c r="GZ14" s="2692"/>
      <c r="HA14" s="2692"/>
      <c r="HB14" s="2692"/>
      <c r="HC14" s="2692"/>
      <c r="HD14" s="2692"/>
      <c r="HE14" s="2692"/>
      <c r="HF14" s="2692"/>
      <c r="HG14" s="2692"/>
      <c r="HH14" s="2692"/>
      <c r="HI14" s="2692"/>
      <c r="HJ14" s="2692"/>
      <c r="HK14" s="2692"/>
      <c r="HL14" s="2692"/>
      <c r="HM14" s="2692"/>
      <c r="HN14" s="2692"/>
      <c r="HO14" s="2692"/>
      <c r="HP14" s="2692"/>
      <c r="HQ14" s="2692"/>
      <c r="HR14" s="2692"/>
      <c r="HS14" s="2692"/>
      <c r="HT14" s="2692"/>
      <c r="HU14" s="2692"/>
      <c r="HV14" s="2692"/>
      <c r="HW14" s="2692"/>
      <c r="HX14" s="2692"/>
      <c r="HY14" s="2692"/>
      <c r="HZ14" s="2692"/>
      <c r="IA14" s="2692"/>
      <c r="IB14" s="2692"/>
      <c r="IC14" s="2692"/>
      <c r="ID14" s="2692"/>
      <c r="IE14" s="2692"/>
      <c r="IF14" s="2692"/>
      <c r="IG14" s="2692"/>
      <c r="IH14" s="2692"/>
      <c r="II14" s="2692"/>
      <c r="IJ14" s="2692"/>
      <c r="IK14" s="2692"/>
      <c r="IL14" s="2692"/>
      <c r="IM14" s="2692"/>
      <c r="IN14" s="2692"/>
      <c r="IO14" s="2692"/>
      <c r="IP14" s="2692"/>
      <c r="IQ14" s="2692"/>
      <c r="IR14" s="2692"/>
      <c r="IS14" s="2692"/>
      <c r="IT14" s="2692"/>
      <c r="IU14" s="2692"/>
      <c r="IV14" s="2692"/>
    </row>
    <row r="15" spans="1:256" s="40" customFormat="1" x14ac:dyDescent="0.35">
      <c r="A15" s="2705" t="s">
        <v>2521</v>
      </c>
      <c r="B15" s="3372"/>
      <c r="C15" s="3372"/>
      <c r="D15" s="3372"/>
      <c r="E15" s="3372"/>
      <c r="F15" s="2705" t="s">
        <v>2629</v>
      </c>
      <c r="G15" s="3374"/>
      <c r="H15" s="3374"/>
      <c r="I15" s="3374"/>
      <c r="J15" s="3375"/>
      <c r="K15" s="2692"/>
      <c r="L15" s="2692"/>
      <c r="M15" s="2692"/>
      <c r="N15" s="2692"/>
      <c r="O15" s="2692"/>
      <c r="P15" s="2692"/>
      <c r="Q15" s="2692"/>
      <c r="R15" s="2692"/>
      <c r="S15" s="2692"/>
      <c r="T15" s="2692"/>
      <c r="U15" s="2692"/>
      <c r="V15" s="2692"/>
      <c r="W15" s="2692"/>
      <c r="X15" s="2692"/>
      <c r="Y15" s="2692"/>
      <c r="Z15" s="2692"/>
      <c r="AA15" s="2692"/>
      <c r="AB15" s="2692"/>
      <c r="AC15" s="2692"/>
      <c r="AD15" s="2692"/>
      <c r="AE15" s="2692"/>
      <c r="AF15" s="2692"/>
      <c r="AG15" s="2692"/>
      <c r="AH15" s="2692"/>
      <c r="AI15" s="2692"/>
      <c r="AJ15" s="2692"/>
      <c r="AK15" s="2692"/>
      <c r="AL15" s="2692"/>
      <c r="AM15" s="2692"/>
      <c r="AN15" s="2692"/>
      <c r="AO15" s="2692"/>
      <c r="AP15" s="2692"/>
      <c r="AQ15" s="2692"/>
      <c r="AR15" s="2692"/>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c r="BP15" s="2692"/>
      <c r="BQ15" s="2692"/>
      <c r="BR15" s="2692"/>
      <c r="BS15" s="2692"/>
      <c r="BT15" s="2692"/>
      <c r="BU15" s="2692"/>
      <c r="BV15" s="2692"/>
      <c r="BW15" s="2692"/>
      <c r="BX15" s="2692"/>
      <c r="BY15" s="2692"/>
      <c r="BZ15" s="2692"/>
      <c r="CA15" s="2692"/>
      <c r="CB15" s="2692"/>
      <c r="CC15" s="2692"/>
      <c r="CD15" s="2692"/>
      <c r="CE15" s="2692"/>
      <c r="CF15" s="2692"/>
      <c r="CG15" s="2692"/>
      <c r="CH15" s="2692"/>
      <c r="CI15" s="2692"/>
      <c r="CJ15" s="2692"/>
      <c r="CK15" s="2692"/>
      <c r="CL15" s="2692"/>
      <c r="CM15" s="2692"/>
      <c r="CN15" s="2692"/>
      <c r="CO15" s="2692"/>
      <c r="CP15" s="2692"/>
      <c r="CQ15" s="2692"/>
      <c r="CR15" s="2692"/>
      <c r="CS15" s="2692"/>
      <c r="CT15" s="2692"/>
      <c r="CU15" s="2692"/>
      <c r="CV15" s="2692"/>
      <c r="CW15" s="2692"/>
      <c r="CX15" s="2692"/>
      <c r="CY15" s="2692"/>
      <c r="CZ15" s="2692"/>
      <c r="DA15" s="2692"/>
      <c r="DB15" s="2692"/>
      <c r="DC15" s="2692"/>
      <c r="DD15" s="2692"/>
      <c r="DE15" s="2692"/>
      <c r="DF15" s="2692"/>
      <c r="DG15" s="2692"/>
      <c r="DH15" s="2692"/>
      <c r="DI15" s="2692"/>
      <c r="DJ15" s="2692"/>
      <c r="DK15" s="2692"/>
      <c r="DL15" s="2692"/>
      <c r="DM15" s="2692"/>
      <c r="DN15" s="2692"/>
      <c r="DO15" s="2692"/>
      <c r="DP15" s="2692"/>
      <c r="DQ15" s="2692"/>
      <c r="DR15" s="2692"/>
      <c r="DS15" s="2692"/>
      <c r="DT15" s="2692"/>
      <c r="DU15" s="2692"/>
      <c r="DV15" s="2692"/>
      <c r="DW15" s="2692"/>
      <c r="DX15" s="2692"/>
      <c r="DY15" s="2692"/>
      <c r="DZ15" s="2692"/>
      <c r="EA15" s="2692"/>
      <c r="EB15" s="2692"/>
      <c r="EC15" s="2692"/>
      <c r="ED15" s="2692"/>
      <c r="EE15" s="2692"/>
      <c r="EF15" s="2692"/>
      <c r="EG15" s="2692"/>
      <c r="EH15" s="2692"/>
      <c r="EI15" s="2692"/>
      <c r="EJ15" s="2692"/>
      <c r="EK15" s="2692"/>
      <c r="EL15" s="2692"/>
      <c r="EM15" s="2692"/>
      <c r="EN15" s="2692"/>
      <c r="EO15" s="2692"/>
      <c r="EP15" s="2692"/>
      <c r="EQ15" s="2692"/>
      <c r="ER15" s="2692"/>
      <c r="ES15" s="2692"/>
      <c r="ET15" s="2692"/>
      <c r="EU15" s="2692"/>
      <c r="EV15" s="2692"/>
      <c r="EW15" s="2692"/>
      <c r="EX15" s="2692"/>
      <c r="EY15" s="2692"/>
      <c r="EZ15" s="2692"/>
      <c r="FA15" s="2692"/>
      <c r="FB15" s="2692"/>
      <c r="FC15" s="2692"/>
      <c r="FD15" s="2692"/>
      <c r="FE15" s="2692"/>
      <c r="FF15" s="2692"/>
      <c r="FG15" s="2692"/>
      <c r="FH15" s="2692"/>
      <c r="FI15" s="2692"/>
      <c r="FJ15" s="2692"/>
      <c r="FK15" s="2692"/>
      <c r="FL15" s="2692"/>
      <c r="FM15" s="2692"/>
      <c r="FN15" s="2692"/>
      <c r="FO15" s="2692"/>
      <c r="FP15" s="2692"/>
      <c r="FQ15" s="2692"/>
      <c r="FR15" s="2692"/>
      <c r="FS15" s="2692"/>
      <c r="FT15" s="2692"/>
      <c r="FU15" s="2692"/>
      <c r="FV15" s="2692"/>
      <c r="FW15" s="2692"/>
      <c r="FX15" s="2692"/>
      <c r="FY15" s="2692"/>
      <c r="FZ15" s="2692"/>
      <c r="GA15" s="2692"/>
      <c r="GB15" s="2692"/>
      <c r="GC15" s="2692"/>
      <c r="GD15" s="2692"/>
      <c r="GE15" s="2692"/>
      <c r="GF15" s="2692"/>
      <c r="GG15" s="2692"/>
      <c r="GH15" s="2692"/>
      <c r="GI15" s="2692"/>
      <c r="GJ15" s="2692"/>
      <c r="GK15" s="2692"/>
      <c r="GL15" s="2692"/>
      <c r="GM15" s="2692"/>
      <c r="GN15" s="2692"/>
      <c r="GO15" s="2692"/>
      <c r="GP15" s="2692"/>
      <c r="GQ15" s="2692"/>
      <c r="GR15" s="2692"/>
      <c r="GS15" s="2692"/>
      <c r="GT15" s="2692"/>
      <c r="GU15" s="2692"/>
      <c r="GV15" s="2692"/>
      <c r="GW15" s="2692"/>
      <c r="GX15" s="2692"/>
      <c r="GY15" s="2692"/>
      <c r="GZ15" s="2692"/>
      <c r="HA15" s="2692"/>
      <c r="HB15" s="2692"/>
      <c r="HC15" s="2692"/>
      <c r="HD15" s="2692"/>
      <c r="HE15" s="2692"/>
      <c r="HF15" s="2692"/>
      <c r="HG15" s="2692"/>
      <c r="HH15" s="2692"/>
      <c r="HI15" s="2692"/>
      <c r="HJ15" s="2692"/>
      <c r="HK15" s="2692"/>
      <c r="HL15" s="2692"/>
      <c r="HM15" s="2692"/>
      <c r="HN15" s="2692"/>
      <c r="HO15" s="2692"/>
      <c r="HP15" s="2692"/>
      <c r="HQ15" s="2692"/>
      <c r="HR15" s="2692"/>
      <c r="HS15" s="2692"/>
      <c r="HT15" s="2692"/>
      <c r="HU15" s="2692"/>
      <c r="HV15" s="2692"/>
      <c r="HW15" s="2692"/>
      <c r="HX15" s="2692"/>
      <c r="HY15" s="2692"/>
      <c r="HZ15" s="2692"/>
      <c r="IA15" s="2692"/>
      <c r="IB15" s="2692"/>
      <c r="IC15" s="2692"/>
      <c r="ID15" s="2692"/>
      <c r="IE15" s="2692"/>
      <c r="IF15" s="2692"/>
      <c r="IG15" s="2692"/>
      <c r="IH15" s="2692"/>
      <c r="II15" s="2692"/>
      <c r="IJ15" s="2692"/>
      <c r="IK15" s="2692"/>
      <c r="IL15" s="2692"/>
      <c r="IM15" s="2692"/>
      <c r="IN15" s="2692"/>
      <c r="IO15" s="2692"/>
      <c r="IP15" s="2692"/>
      <c r="IQ15" s="2692"/>
      <c r="IR15" s="2692"/>
      <c r="IS15" s="2692"/>
      <c r="IT15" s="2692"/>
      <c r="IU15" s="2692"/>
      <c r="IV15" s="2692"/>
    </row>
    <row r="16" spans="1:256" s="40" customFormat="1" ht="13" x14ac:dyDescent="0.3">
      <c r="A16" s="2706" t="s">
        <v>2754</v>
      </c>
      <c r="B16" s="2760"/>
      <c r="C16" s="2760"/>
      <c r="D16" s="2760"/>
      <c r="E16" s="2760"/>
      <c r="F16" s="2705"/>
      <c r="G16" s="2772"/>
      <c r="H16" s="2772"/>
      <c r="I16" s="2772"/>
      <c r="J16" s="2773"/>
      <c r="K16" s="2692"/>
      <c r="L16" s="2692"/>
      <c r="M16" s="2692"/>
      <c r="N16" s="2692"/>
      <c r="O16" s="2692"/>
      <c r="P16" s="2692"/>
      <c r="Q16" s="2692"/>
      <c r="R16" s="2692"/>
      <c r="S16" s="2692"/>
      <c r="T16" s="2692"/>
      <c r="U16" s="2692"/>
      <c r="V16" s="2692"/>
      <c r="W16" s="2692"/>
      <c r="X16" s="2692"/>
      <c r="Y16" s="2692"/>
      <c r="Z16" s="2692"/>
      <c r="AA16" s="2692"/>
      <c r="AB16" s="2692"/>
      <c r="AC16" s="2692"/>
      <c r="AD16" s="2692"/>
      <c r="AE16" s="2692"/>
      <c r="AF16" s="2692"/>
      <c r="AG16" s="2692"/>
      <c r="AH16" s="2692"/>
      <c r="AI16" s="2692"/>
      <c r="AJ16" s="2692"/>
      <c r="AK16" s="2692"/>
      <c r="AL16" s="2692"/>
      <c r="AM16" s="2692"/>
      <c r="AN16" s="2692"/>
      <c r="AO16" s="2692"/>
      <c r="AP16" s="2692"/>
      <c r="AQ16" s="2692"/>
      <c r="AR16" s="269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c r="BP16" s="2692"/>
      <c r="BQ16" s="2692"/>
      <c r="BR16" s="2692"/>
      <c r="BS16" s="2692"/>
      <c r="BT16" s="2692"/>
      <c r="BU16" s="2692"/>
      <c r="BV16" s="2692"/>
      <c r="BW16" s="2692"/>
      <c r="BX16" s="2692"/>
      <c r="BY16" s="2692"/>
      <c r="BZ16" s="2692"/>
      <c r="CA16" s="2692"/>
      <c r="CB16" s="2692"/>
      <c r="CC16" s="2692"/>
      <c r="CD16" s="2692"/>
      <c r="CE16" s="2692"/>
      <c r="CF16" s="2692"/>
      <c r="CG16" s="2692"/>
      <c r="CH16" s="2692"/>
      <c r="CI16" s="2692"/>
      <c r="CJ16" s="2692"/>
      <c r="CK16" s="2692"/>
      <c r="CL16" s="2692"/>
      <c r="CM16" s="2692"/>
      <c r="CN16" s="2692"/>
      <c r="CO16" s="2692"/>
      <c r="CP16" s="2692"/>
      <c r="CQ16" s="2692"/>
      <c r="CR16" s="2692"/>
      <c r="CS16" s="2692"/>
      <c r="CT16" s="2692"/>
      <c r="CU16" s="2692"/>
      <c r="CV16" s="2692"/>
      <c r="CW16" s="2692"/>
      <c r="CX16" s="2692"/>
      <c r="CY16" s="2692"/>
      <c r="CZ16" s="2692"/>
      <c r="DA16" s="2692"/>
      <c r="DB16" s="2692"/>
      <c r="DC16" s="2692"/>
      <c r="DD16" s="2692"/>
      <c r="DE16" s="2692"/>
      <c r="DF16" s="2692"/>
      <c r="DG16" s="2692"/>
      <c r="DH16" s="2692"/>
      <c r="DI16" s="2692"/>
      <c r="DJ16" s="2692"/>
      <c r="DK16" s="2692"/>
      <c r="DL16" s="2692"/>
      <c r="DM16" s="2692"/>
      <c r="DN16" s="2692"/>
      <c r="DO16" s="2692"/>
      <c r="DP16" s="2692"/>
      <c r="DQ16" s="2692"/>
      <c r="DR16" s="2692"/>
      <c r="DS16" s="2692"/>
      <c r="DT16" s="2692"/>
      <c r="DU16" s="2692"/>
      <c r="DV16" s="2692"/>
      <c r="DW16" s="2692"/>
      <c r="DX16" s="2692"/>
      <c r="DY16" s="2692"/>
      <c r="DZ16" s="2692"/>
      <c r="EA16" s="2692"/>
      <c r="EB16" s="2692"/>
      <c r="EC16" s="2692"/>
      <c r="ED16" s="2692"/>
      <c r="EE16" s="2692"/>
      <c r="EF16" s="2692"/>
      <c r="EG16" s="2692"/>
      <c r="EH16" s="2692"/>
      <c r="EI16" s="2692"/>
      <c r="EJ16" s="2692"/>
      <c r="EK16" s="2692"/>
      <c r="EL16" s="2692"/>
      <c r="EM16" s="2692"/>
      <c r="EN16" s="2692"/>
      <c r="EO16" s="2692"/>
      <c r="EP16" s="2692"/>
      <c r="EQ16" s="2692"/>
      <c r="ER16" s="2692"/>
      <c r="ES16" s="2692"/>
      <c r="ET16" s="2692"/>
      <c r="EU16" s="2692"/>
      <c r="EV16" s="2692"/>
      <c r="EW16" s="2692"/>
      <c r="EX16" s="2692"/>
      <c r="EY16" s="2692"/>
      <c r="EZ16" s="2692"/>
      <c r="FA16" s="2692"/>
      <c r="FB16" s="2692"/>
      <c r="FC16" s="2692"/>
      <c r="FD16" s="2692"/>
      <c r="FE16" s="2692"/>
      <c r="FF16" s="2692"/>
      <c r="FG16" s="2692"/>
      <c r="FH16" s="2692"/>
      <c r="FI16" s="2692"/>
      <c r="FJ16" s="2692"/>
      <c r="FK16" s="2692"/>
      <c r="FL16" s="2692"/>
      <c r="FM16" s="2692"/>
      <c r="FN16" s="2692"/>
      <c r="FO16" s="2692"/>
      <c r="FP16" s="2692"/>
      <c r="FQ16" s="2692"/>
      <c r="FR16" s="2692"/>
      <c r="FS16" s="2692"/>
      <c r="FT16" s="2692"/>
      <c r="FU16" s="2692"/>
      <c r="FV16" s="2692"/>
      <c r="FW16" s="2692"/>
      <c r="FX16" s="2692"/>
      <c r="FY16" s="2692"/>
      <c r="FZ16" s="2692"/>
      <c r="GA16" s="2692"/>
      <c r="GB16" s="2692"/>
      <c r="GC16" s="2692"/>
      <c r="GD16" s="2692"/>
      <c r="GE16" s="2692"/>
      <c r="GF16" s="2692"/>
      <c r="GG16" s="2692"/>
      <c r="GH16" s="2692"/>
      <c r="GI16" s="2692"/>
      <c r="GJ16" s="2692"/>
      <c r="GK16" s="2692"/>
      <c r="GL16" s="2692"/>
      <c r="GM16" s="2692"/>
      <c r="GN16" s="2692"/>
      <c r="GO16" s="2692"/>
      <c r="GP16" s="2692"/>
      <c r="GQ16" s="2692"/>
      <c r="GR16" s="2692"/>
      <c r="GS16" s="2692"/>
      <c r="GT16" s="2692"/>
      <c r="GU16" s="2692"/>
      <c r="GV16" s="2692"/>
      <c r="GW16" s="2692"/>
      <c r="GX16" s="2692"/>
      <c r="GY16" s="2692"/>
      <c r="GZ16" s="2692"/>
      <c r="HA16" s="2692"/>
      <c r="HB16" s="2692"/>
      <c r="HC16" s="2692"/>
      <c r="HD16" s="2692"/>
      <c r="HE16" s="2692"/>
      <c r="HF16" s="2692"/>
      <c r="HG16" s="2692"/>
      <c r="HH16" s="2692"/>
      <c r="HI16" s="2692"/>
      <c r="HJ16" s="2692"/>
      <c r="HK16" s="2692"/>
      <c r="HL16" s="2692"/>
      <c r="HM16" s="2692"/>
      <c r="HN16" s="2692"/>
      <c r="HO16" s="2692"/>
      <c r="HP16" s="2692"/>
      <c r="HQ16" s="2692"/>
      <c r="HR16" s="2692"/>
      <c r="HS16" s="2692"/>
      <c r="HT16" s="2692"/>
      <c r="HU16" s="2692"/>
      <c r="HV16" s="2692"/>
      <c r="HW16" s="2692"/>
      <c r="HX16" s="2692"/>
      <c r="HY16" s="2692"/>
      <c r="HZ16" s="2692"/>
      <c r="IA16" s="2692"/>
      <c r="IB16" s="2692"/>
      <c r="IC16" s="2692"/>
      <c r="ID16" s="2692"/>
      <c r="IE16" s="2692"/>
      <c r="IF16" s="2692"/>
      <c r="IG16" s="2692"/>
      <c r="IH16" s="2692"/>
      <c r="II16" s="2692"/>
      <c r="IJ16" s="2692"/>
      <c r="IK16" s="2692"/>
      <c r="IL16" s="2692"/>
      <c r="IM16" s="2692"/>
      <c r="IN16" s="2692"/>
      <c r="IO16" s="2692"/>
      <c r="IP16" s="2692"/>
      <c r="IQ16" s="2692"/>
      <c r="IR16" s="2692"/>
      <c r="IS16" s="2692"/>
      <c r="IT16" s="2692"/>
      <c r="IU16" s="2692"/>
      <c r="IV16" s="2692"/>
    </row>
    <row r="17" spans="1:256" s="40" customFormat="1" ht="28.5" customHeight="1" thickBot="1" x14ac:dyDescent="0.35">
      <c r="A17" s="2702"/>
      <c r="B17" s="2700"/>
      <c r="C17" s="2700"/>
      <c r="D17" s="2700"/>
      <c r="E17" s="2700"/>
      <c r="F17" s="2783"/>
      <c r="G17" s="2700"/>
      <c r="H17" s="2700"/>
      <c r="I17" s="2700"/>
      <c r="J17" s="2701"/>
      <c r="K17" s="2692"/>
      <c r="L17" s="2692"/>
      <c r="M17" s="2692"/>
      <c r="N17" s="2692"/>
      <c r="O17" s="2692"/>
      <c r="P17" s="2692"/>
      <c r="Q17" s="2692"/>
      <c r="R17" s="2692"/>
      <c r="S17" s="2692"/>
      <c r="T17" s="2692"/>
      <c r="U17" s="2692"/>
      <c r="V17" s="2692"/>
      <c r="W17" s="2692"/>
      <c r="X17" s="2692"/>
      <c r="Y17" s="2692"/>
      <c r="Z17" s="2692"/>
      <c r="AA17" s="2692"/>
      <c r="AB17" s="2692"/>
      <c r="AC17" s="2692"/>
      <c r="AD17" s="2692"/>
      <c r="AE17" s="2692"/>
      <c r="AF17" s="2692"/>
      <c r="AG17" s="2692"/>
      <c r="AH17" s="2692"/>
      <c r="AI17" s="2692"/>
      <c r="AJ17" s="2692"/>
      <c r="AK17" s="2692"/>
      <c r="AL17" s="2692"/>
      <c r="AM17" s="2692"/>
      <c r="AN17" s="2692"/>
      <c r="AO17" s="2692"/>
      <c r="AP17" s="2692"/>
      <c r="AQ17" s="2692"/>
      <c r="AR17" s="2692"/>
      <c r="AS17" s="2692"/>
      <c r="AT17" s="2692"/>
      <c r="AU17" s="2692"/>
      <c r="AV17" s="2692"/>
      <c r="AW17" s="2692"/>
      <c r="AX17" s="2692"/>
      <c r="AY17" s="2692"/>
      <c r="AZ17" s="2692"/>
      <c r="BA17" s="2692"/>
      <c r="BB17" s="2692"/>
      <c r="BC17" s="2692"/>
      <c r="BD17" s="2692"/>
      <c r="BE17" s="2692"/>
      <c r="BF17" s="2692"/>
      <c r="BG17" s="2692"/>
      <c r="BH17" s="2692"/>
      <c r="BI17" s="2692"/>
      <c r="BJ17" s="2692"/>
      <c r="BK17" s="2692"/>
      <c r="BL17" s="2692"/>
      <c r="BM17" s="2692"/>
      <c r="BN17" s="2692"/>
      <c r="BO17" s="2692"/>
      <c r="BP17" s="2692"/>
      <c r="BQ17" s="2692"/>
      <c r="BR17" s="2692"/>
      <c r="BS17" s="2692"/>
      <c r="BT17" s="2692"/>
      <c r="BU17" s="2692"/>
      <c r="BV17" s="2692"/>
      <c r="BW17" s="2692"/>
      <c r="BX17" s="2692"/>
      <c r="BY17" s="2692"/>
      <c r="BZ17" s="2692"/>
      <c r="CA17" s="2692"/>
      <c r="CB17" s="2692"/>
      <c r="CC17" s="2692"/>
      <c r="CD17" s="2692"/>
      <c r="CE17" s="2692"/>
      <c r="CF17" s="2692"/>
      <c r="CG17" s="2692"/>
      <c r="CH17" s="2692"/>
      <c r="CI17" s="2692"/>
      <c r="CJ17" s="2692"/>
      <c r="CK17" s="2692"/>
      <c r="CL17" s="2692"/>
      <c r="CM17" s="2692"/>
      <c r="CN17" s="2692"/>
      <c r="CO17" s="2692"/>
      <c r="CP17" s="2692"/>
      <c r="CQ17" s="2692"/>
      <c r="CR17" s="2692"/>
      <c r="CS17" s="2692"/>
      <c r="CT17" s="2692"/>
      <c r="CU17" s="2692"/>
      <c r="CV17" s="2692"/>
      <c r="CW17" s="2692"/>
      <c r="CX17" s="2692"/>
      <c r="CY17" s="2692"/>
      <c r="CZ17" s="2692"/>
      <c r="DA17" s="2692"/>
      <c r="DB17" s="2692"/>
      <c r="DC17" s="2692"/>
      <c r="DD17" s="2692"/>
      <c r="DE17" s="2692"/>
      <c r="DF17" s="2692"/>
      <c r="DG17" s="2692"/>
      <c r="DH17" s="2692"/>
      <c r="DI17" s="2692"/>
      <c r="DJ17" s="2692"/>
      <c r="DK17" s="2692"/>
      <c r="DL17" s="2692"/>
      <c r="DM17" s="2692"/>
      <c r="DN17" s="2692"/>
      <c r="DO17" s="2692"/>
      <c r="DP17" s="2692"/>
      <c r="DQ17" s="2692"/>
      <c r="DR17" s="2692"/>
      <c r="DS17" s="2692"/>
      <c r="DT17" s="2692"/>
      <c r="DU17" s="2692"/>
      <c r="DV17" s="2692"/>
      <c r="DW17" s="2692"/>
      <c r="DX17" s="2692"/>
      <c r="DY17" s="2692"/>
      <c r="DZ17" s="2692"/>
      <c r="EA17" s="2692"/>
      <c r="EB17" s="2692"/>
      <c r="EC17" s="2692"/>
      <c r="ED17" s="2692"/>
      <c r="EE17" s="2692"/>
      <c r="EF17" s="2692"/>
      <c r="EG17" s="2692"/>
      <c r="EH17" s="2692"/>
      <c r="EI17" s="2692"/>
      <c r="EJ17" s="2692"/>
      <c r="EK17" s="2692"/>
      <c r="EL17" s="2692"/>
      <c r="EM17" s="2692"/>
      <c r="EN17" s="2692"/>
      <c r="EO17" s="2692"/>
      <c r="EP17" s="2692"/>
      <c r="EQ17" s="2692"/>
      <c r="ER17" s="2692"/>
      <c r="ES17" s="2692"/>
      <c r="ET17" s="2692"/>
      <c r="EU17" s="2692"/>
      <c r="EV17" s="2692"/>
      <c r="EW17" s="2692"/>
      <c r="EX17" s="2692"/>
      <c r="EY17" s="2692"/>
      <c r="EZ17" s="2692"/>
      <c r="FA17" s="2692"/>
      <c r="FB17" s="2692"/>
      <c r="FC17" s="2692"/>
      <c r="FD17" s="2692"/>
      <c r="FE17" s="2692"/>
      <c r="FF17" s="2692"/>
      <c r="FG17" s="2692"/>
      <c r="FH17" s="2692"/>
      <c r="FI17" s="2692"/>
      <c r="FJ17" s="2692"/>
      <c r="FK17" s="2692"/>
      <c r="FL17" s="2692"/>
      <c r="FM17" s="2692"/>
      <c r="FN17" s="2692"/>
      <c r="FO17" s="2692"/>
      <c r="FP17" s="2692"/>
      <c r="FQ17" s="2692"/>
      <c r="FR17" s="2692"/>
      <c r="FS17" s="2692"/>
      <c r="FT17" s="2692"/>
      <c r="FU17" s="2692"/>
      <c r="FV17" s="2692"/>
      <c r="FW17" s="2692"/>
      <c r="FX17" s="2692"/>
      <c r="FY17" s="2692"/>
      <c r="FZ17" s="2692"/>
      <c r="GA17" s="2692"/>
      <c r="GB17" s="2692"/>
      <c r="GC17" s="2692"/>
      <c r="GD17" s="2692"/>
      <c r="GE17" s="2692"/>
      <c r="GF17" s="2692"/>
      <c r="GG17" s="2692"/>
      <c r="GH17" s="2692"/>
      <c r="GI17" s="2692"/>
      <c r="GJ17" s="2692"/>
      <c r="GK17" s="2692"/>
      <c r="GL17" s="2692"/>
      <c r="GM17" s="2692"/>
      <c r="GN17" s="2692"/>
      <c r="GO17" s="2692"/>
      <c r="GP17" s="2692"/>
      <c r="GQ17" s="2692"/>
      <c r="GR17" s="2692"/>
      <c r="GS17" s="2692"/>
      <c r="GT17" s="2692"/>
      <c r="GU17" s="2692"/>
      <c r="GV17" s="2692"/>
      <c r="GW17" s="2692"/>
      <c r="GX17" s="2692"/>
      <c r="GY17" s="2692"/>
      <c r="GZ17" s="2692"/>
      <c r="HA17" s="2692"/>
      <c r="HB17" s="2692"/>
      <c r="HC17" s="2692"/>
      <c r="HD17" s="2692"/>
      <c r="HE17" s="2692"/>
      <c r="HF17" s="2692"/>
      <c r="HG17" s="2692"/>
      <c r="HH17" s="2692"/>
      <c r="HI17" s="2692"/>
      <c r="HJ17" s="2692"/>
      <c r="HK17" s="2692"/>
      <c r="HL17" s="2692"/>
      <c r="HM17" s="2692"/>
      <c r="HN17" s="2692"/>
      <c r="HO17" s="2692"/>
      <c r="HP17" s="2692"/>
      <c r="HQ17" s="2692"/>
      <c r="HR17" s="2692"/>
      <c r="HS17" s="2692"/>
      <c r="HT17" s="2692"/>
      <c r="HU17" s="2692"/>
      <c r="HV17" s="2692"/>
      <c r="HW17" s="2692"/>
      <c r="HX17" s="2692"/>
      <c r="HY17" s="2692"/>
      <c r="HZ17" s="2692"/>
      <c r="IA17" s="2692"/>
      <c r="IB17" s="2692"/>
      <c r="IC17" s="2692"/>
      <c r="ID17" s="2692"/>
      <c r="IE17" s="2692"/>
      <c r="IF17" s="2692"/>
      <c r="IG17" s="2692"/>
      <c r="IH17" s="2692"/>
      <c r="II17" s="2692"/>
      <c r="IJ17" s="2692"/>
      <c r="IK17" s="2692"/>
      <c r="IL17" s="2692"/>
      <c r="IM17" s="2692"/>
      <c r="IN17" s="2692"/>
      <c r="IO17" s="2692"/>
      <c r="IP17" s="2692"/>
      <c r="IQ17" s="2692"/>
      <c r="IR17" s="2692"/>
      <c r="IS17" s="2692"/>
      <c r="IT17" s="2692"/>
      <c r="IU17" s="2692"/>
      <c r="IV17" s="2692"/>
    </row>
    <row r="18" spans="1:256" s="40" customFormat="1" ht="27" customHeight="1" thickTop="1" thickBot="1" x14ac:dyDescent="0.35">
      <c r="A18" s="2697"/>
      <c r="B18" s="3362" t="s">
        <v>2523</v>
      </c>
      <c r="C18" s="3362"/>
      <c r="D18" s="3362"/>
      <c r="E18" s="2698"/>
      <c r="F18" s="3364" t="s">
        <v>2636</v>
      </c>
      <c r="G18" s="3362"/>
      <c r="H18" s="3367" t="s">
        <v>2637</v>
      </c>
      <c r="I18" s="3362"/>
      <c r="J18" s="3368"/>
      <c r="K18" s="2692"/>
      <c r="L18" s="2692"/>
      <c r="M18" s="2692"/>
      <c r="N18" s="2692"/>
      <c r="O18" s="2692"/>
      <c r="P18" s="2692"/>
      <c r="Q18" s="2692"/>
      <c r="R18" s="2692"/>
      <c r="S18" s="2692"/>
      <c r="T18" s="2692"/>
      <c r="U18" s="2692"/>
      <c r="V18" s="2692"/>
      <c r="W18" s="2692"/>
      <c r="X18" s="2692"/>
      <c r="Y18" s="2692"/>
      <c r="Z18" s="2692"/>
      <c r="AA18" s="2692"/>
      <c r="AB18" s="2692"/>
      <c r="AC18" s="2692"/>
      <c r="AD18" s="2692"/>
      <c r="AE18" s="2692"/>
      <c r="AF18" s="2692"/>
      <c r="AG18" s="2692"/>
      <c r="AH18" s="2692"/>
      <c r="AI18" s="2692"/>
      <c r="AJ18" s="2692"/>
      <c r="AK18" s="2692"/>
      <c r="AL18" s="2692"/>
      <c r="AM18" s="2692"/>
      <c r="AN18" s="2692"/>
      <c r="AO18" s="2692"/>
      <c r="AP18" s="2692"/>
      <c r="AQ18" s="2692"/>
      <c r="AR18" s="2692"/>
      <c r="AS18" s="2692"/>
      <c r="AT18" s="2692"/>
      <c r="AU18" s="2692"/>
      <c r="AV18" s="2692"/>
      <c r="AW18" s="2692"/>
      <c r="AX18" s="2692"/>
      <c r="AY18" s="2692"/>
      <c r="AZ18" s="2692"/>
      <c r="BA18" s="2692"/>
      <c r="BB18" s="2692"/>
      <c r="BC18" s="2692"/>
      <c r="BD18" s="2692"/>
      <c r="BE18" s="2692"/>
      <c r="BF18" s="2692"/>
      <c r="BG18" s="2692"/>
      <c r="BH18" s="2692"/>
      <c r="BI18" s="2692"/>
      <c r="BJ18" s="2692"/>
      <c r="BK18" s="2692"/>
      <c r="BL18" s="2692"/>
      <c r="BM18" s="2692"/>
      <c r="BN18" s="2692"/>
      <c r="BO18" s="2692"/>
      <c r="BP18" s="2692"/>
      <c r="BQ18" s="2692"/>
      <c r="BR18" s="2692"/>
      <c r="BS18" s="2692"/>
      <c r="BT18" s="2692"/>
      <c r="BU18" s="2692"/>
      <c r="BV18" s="2692"/>
      <c r="BW18" s="2692"/>
      <c r="BX18" s="2692"/>
      <c r="BY18" s="2692"/>
      <c r="BZ18" s="2692"/>
      <c r="CA18" s="2692"/>
      <c r="CB18" s="2692"/>
      <c r="CC18" s="2692"/>
      <c r="CD18" s="2692"/>
      <c r="CE18" s="2692"/>
      <c r="CF18" s="2692"/>
      <c r="CG18" s="2692"/>
      <c r="CH18" s="2692"/>
      <c r="CI18" s="2692"/>
      <c r="CJ18" s="2692"/>
      <c r="CK18" s="2692"/>
      <c r="CL18" s="2692"/>
      <c r="CM18" s="2692"/>
      <c r="CN18" s="2692"/>
      <c r="CO18" s="2692"/>
      <c r="CP18" s="2692"/>
      <c r="CQ18" s="2692"/>
      <c r="CR18" s="2692"/>
      <c r="CS18" s="2692"/>
      <c r="CT18" s="2692"/>
      <c r="CU18" s="2692"/>
      <c r="CV18" s="2692"/>
      <c r="CW18" s="2692"/>
      <c r="CX18" s="2692"/>
      <c r="CY18" s="2692"/>
      <c r="CZ18" s="2692"/>
      <c r="DA18" s="2692"/>
      <c r="DB18" s="2692"/>
      <c r="DC18" s="2692"/>
      <c r="DD18" s="2692"/>
      <c r="DE18" s="2692"/>
      <c r="DF18" s="2692"/>
      <c r="DG18" s="2692"/>
      <c r="DH18" s="2692"/>
      <c r="DI18" s="2692"/>
      <c r="DJ18" s="2692"/>
      <c r="DK18" s="2692"/>
      <c r="DL18" s="2692"/>
      <c r="DM18" s="2692"/>
      <c r="DN18" s="2692"/>
      <c r="DO18" s="2692"/>
      <c r="DP18" s="2692"/>
      <c r="DQ18" s="2692"/>
      <c r="DR18" s="2692"/>
      <c r="DS18" s="2692"/>
      <c r="DT18" s="2692"/>
      <c r="DU18" s="2692"/>
      <c r="DV18" s="2692"/>
      <c r="DW18" s="2692"/>
      <c r="DX18" s="2692"/>
      <c r="DY18" s="2692"/>
      <c r="DZ18" s="2692"/>
      <c r="EA18" s="2692"/>
      <c r="EB18" s="2692"/>
      <c r="EC18" s="2692"/>
      <c r="ED18" s="2692"/>
      <c r="EE18" s="2692"/>
      <c r="EF18" s="2692"/>
      <c r="EG18" s="2692"/>
      <c r="EH18" s="2692"/>
      <c r="EI18" s="2692"/>
      <c r="EJ18" s="2692"/>
      <c r="EK18" s="2692"/>
      <c r="EL18" s="2692"/>
      <c r="EM18" s="2692"/>
      <c r="EN18" s="2692"/>
      <c r="EO18" s="2692"/>
      <c r="EP18" s="2692"/>
      <c r="EQ18" s="2692"/>
      <c r="ER18" s="2692"/>
      <c r="ES18" s="2692"/>
      <c r="ET18" s="2692"/>
      <c r="EU18" s="2692"/>
      <c r="EV18" s="2692"/>
      <c r="EW18" s="2692"/>
      <c r="EX18" s="2692"/>
      <c r="EY18" s="2692"/>
      <c r="EZ18" s="2692"/>
      <c r="FA18" s="2692"/>
      <c r="FB18" s="2692"/>
      <c r="FC18" s="2692"/>
      <c r="FD18" s="2692"/>
      <c r="FE18" s="2692"/>
      <c r="FF18" s="2692"/>
      <c r="FG18" s="2692"/>
      <c r="FH18" s="2692"/>
      <c r="FI18" s="2692"/>
      <c r="FJ18" s="2692"/>
      <c r="FK18" s="2692"/>
      <c r="FL18" s="2692"/>
      <c r="FM18" s="2692"/>
      <c r="FN18" s="2692"/>
      <c r="FO18" s="2692"/>
      <c r="FP18" s="2692"/>
      <c r="FQ18" s="2692"/>
      <c r="FR18" s="2692"/>
      <c r="FS18" s="2692"/>
      <c r="FT18" s="2692"/>
      <c r="FU18" s="2692"/>
      <c r="FV18" s="2692"/>
      <c r="FW18" s="2692"/>
      <c r="FX18" s="2692"/>
      <c r="FY18" s="2692"/>
      <c r="FZ18" s="2692"/>
      <c r="GA18" s="2692"/>
      <c r="GB18" s="2692"/>
      <c r="GC18" s="2692"/>
      <c r="GD18" s="2692"/>
      <c r="GE18" s="2692"/>
      <c r="GF18" s="2692"/>
      <c r="GG18" s="2692"/>
      <c r="GH18" s="2692"/>
      <c r="GI18" s="2692"/>
      <c r="GJ18" s="2692"/>
      <c r="GK18" s="2692"/>
      <c r="GL18" s="2692"/>
      <c r="GM18" s="2692"/>
      <c r="GN18" s="2692"/>
      <c r="GO18" s="2692"/>
      <c r="GP18" s="2692"/>
      <c r="GQ18" s="2692"/>
      <c r="GR18" s="2692"/>
      <c r="GS18" s="2692"/>
      <c r="GT18" s="2692"/>
      <c r="GU18" s="2692"/>
      <c r="GV18" s="2692"/>
      <c r="GW18" s="2692"/>
      <c r="GX18" s="2692"/>
      <c r="GY18" s="2692"/>
      <c r="GZ18" s="2692"/>
      <c r="HA18" s="2692"/>
      <c r="HB18" s="2692"/>
      <c r="HC18" s="2692"/>
      <c r="HD18" s="2692"/>
      <c r="HE18" s="2692"/>
      <c r="HF18" s="2692"/>
      <c r="HG18" s="2692"/>
      <c r="HH18" s="2692"/>
      <c r="HI18" s="2692"/>
      <c r="HJ18" s="2692"/>
      <c r="HK18" s="2692"/>
      <c r="HL18" s="2692"/>
      <c r="HM18" s="2692"/>
      <c r="HN18" s="2692"/>
      <c r="HO18" s="2692"/>
      <c r="HP18" s="2692"/>
      <c r="HQ18" s="2692"/>
      <c r="HR18" s="2692"/>
      <c r="HS18" s="2692"/>
      <c r="HT18" s="2692"/>
      <c r="HU18" s="2692"/>
      <c r="HV18" s="2692"/>
      <c r="HW18" s="2692"/>
      <c r="HX18" s="2692"/>
      <c r="HY18" s="2692"/>
      <c r="HZ18" s="2692"/>
      <c r="IA18" s="2692"/>
      <c r="IB18" s="2692"/>
      <c r="IC18" s="2692"/>
      <c r="ID18" s="2692"/>
      <c r="IE18" s="2692"/>
      <c r="IF18" s="2692"/>
      <c r="IG18" s="2692"/>
      <c r="IH18" s="2692"/>
      <c r="II18" s="2692"/>
      <c r="IJ18" s="2692"/>
      <c r="IK18" s="2692"/>
      <c r="IL18" s="2692"/>
      <c r="IM18" s="2692"/>
      <c r="IN18" s="2692"/>
      <c r="IO18" s="2692"/>
      <c r="IP18" s="2692"/>
      <c r="IQ18" s="2692"/>
      <c r="IR18" s="2692"/>
      <c r="IS18" s="2692"/>
      <c r="IT18" s="2692"/>
      <c r="IU18" s="2692"/>
      <c r="IV18" s="2692"/>
    </row>
    <row r="19" spans="1:256" s="40" customFormat="1" ht="15.75" customHeight="1" thickBot="1" x14ac:dyDescent="0.35">
      <c r="A19" s="3008"/>
      <c r="B19" s="3365" t="s">
        <v>2524</v>
      </c>
      <c r="C19" s="3366"/>
      <c r="D19" s="2776" t="s">
        <v>2525</v>
      </c>
      <c r="E19" s="2701"/>
      <c r="F19" s="2700" t="s">
        <v>2526</v>
      </c>
      <c r="G19" s="2760"/>
      <c r="H19" s="3369"/>
      <c r="I19" s="3370"/>
      <c r="J19" s="3371"/>
      <c r="K19" s="2692"/>
      <c r="L19" s="2692"/>
      <c r="M19" s="2692"/>
      <c r="N19" s="2692"/>
      <c r="O19" s="2692"/>
      <c r="P19" s="2692"/>
      <c r="Q19" s="2692"/>
      <c r="R19" s="2692"/>
      <c r="S19" s="2692"/>
      <c r="T19" s="2692"/>
      <c r="U19" s="2692"/>
      <c r="V19" s="2692"/>
      <c r="W19" s="2692"/>
      <c r="X19" s="2692"/>
      <c r="Y19" s="2692"/>
      <c r="Z19" s="2692"/>
      <c r="AA19" s="2692"/>
      <c r="AB19" s="2692"/>
      <c r="AC19" s="2692"/>
      <c r="AD19" s="2692"/>
      <c r="AE19" s="2692"/>
      <c r="AF19" s="2692"/>
      <c r="AG19" s="2692"/>
      <c r="AH19" s="2692"/>
      <c r="AI19" s="2692"/>
      <c r="AJ19" s="2692"/>
      <c r="AK19" s="2692"/>
      <c r="AL19" s="2692"/>
      <c r="AM19" s="2692"/>
      <c r="AN19" s="2692"/>
      <c r="AO19" s="2692"/>
      <c r="AP19" s="2692"/>
      <c r="AQ19" s="2692"/>
      <c r="AR19" s="2692"/>
      <c r="AS19" s="2692"/>
      <c r="AT19" s="2692"/>
      <c r="AU19" s="2692"/>
      <c r="AV19" s="2692"/>
      <c r="AW19" s="2692"/>
      <c r="AX19" s="2692"/>
      <c r="AY19" s="2692"/>
      <c r="AZ19" s="2692"/>
      <c r="BA19" s="2692"/>
      <c r="BB19" s="2692"/>
      <c r="BC19" s="2692"/>
      <c r="BD19" s="2692"/>
      <c r="BE19" s="2692"/>
      <c r="BF19" s="2692"/>
      <c r="BG19" s="2692"/>
      <c r="BH19" s="2692"/>
      <c r="BI19" s="2692"/>
      <c r="BJ19" s="2692"/>
      <c r="BK19" s="2692"/>
      <c r="BL19" s="2692"/>
      <c r="BM19" s="2692"/>
      <c r="BN19" s="2692"/>
      <c r="BO19" s="2692"/>
      <c r="BP19" s="2692"/>
      <c r="BQ19" s="2692"/>
      <c r="BR19" s="2692"/>
      <c r="BS19" s="2692"/>
      <c r="BT19" s="2692"/>
      <c r="BU19" s="2692"/>
      <c r="BV19" s="2692"/>
      <c r="BW19" s="2692"/>
      <c r="BX19" s="2692"/>
      <c r="BY19" s="2692"/>
      <c r="BZ19" s="2692"/>
      <c r="CA19" s="2692"/>
      <c r="CB19" s="2692"/>
      <c r="CC19" s="2692"/>
      <c r="CD19" s="2692"/>
      <c r="CE19" s="2692"/>
      <c r="CF19" s="2692"/>
      <c r="CG19" s="2692"/>
      <c r="CH19" s="2692"/>
      <c r="CI19" s="2692"/>
      <c r="CJ19" s="2692"/>
      <c r="CK19" s="2692"/>
      <c r="CL19" s="2692"/>
      <c r="CM19" s="2692"/>
      <c r="CN19" s="2692"/>
      <c r="CO19" s="2692"/>
      <c r="CP19" s="2692"/>
      <c r="CQ19" s="2692"/>
      <c r="CR19" s="2692"/>
      <c r="CS19" s="2692"/>
      <c r="CT19" s="2692"/>
      <c r="CU19" s="2692"/>
      <c r="CV19" s="2692"/>
      <c r="CW19" s="2692"/>
      <c r="CX19" s="2692"/>
      <c r="CY19" s="2692"/>
      <c r="CZ19" s="2692"/>
      <c r="DA19" s="2692"/>
      <c r="DB19" s="2692"/>
      <c r="DC19" s="2692"/>
      <c r="DD19" s="2692"/>
      <c r="DE19" s="2692"/>
      <c r="DF19" s="2692"/>
      <c r="DG19" s="2692"/>
      <c r="DH19" s="2692"/>
      <c r="DI19" s="2692"/>
      <c r="DJ19" s="2692"/>
      <c r="DK19" s="2692"/>
      <c r="DL19" s="2692"/>
      <c r="DM19" s="2692"/>
      <c r="DN19" s="2692"/>
      <c r="DO19" s="2692"/>
      <c r="DP19" s="2692"/>
      <c r="DQ19" s="2692"/>
      <c r="DR19" s="2692"/>
      <c r="DS19" s="2692"/>
      <c r="DT19" s="2692"/>
      <c r="DU19" s="2692"/>
      <c r="DV19" s="2692"/>
      <c r="DW19" s="2692"/>
      <c r="DX19" s="2692"/>
      <c r="DY19" s="2692"/>
      <c r="DZ19" s="2692"/>
      <c r="EA19" s="2692"/>
      <c r="EB19" s="2692"/>
      <c r="EC19" s="2692"/>
      <c r="ED19" s="2692"/>
      <c r="EE19" s="2692"/>
      <c r="EF19" s="2692"/>
      <c r="EG19" s="2692"/>
      <c r="EH19" s="2692"/>
      <c r="EI19" s="2692"/>
      <c r="EJ19" s="2692"/>
      <c r="EK19" s="2692"/>
      <c r="EL19" s="2692"/>
      <c r="EM19" s="2692"/>
      <c r="EN19" s="2692"/>
      <c r="EO19" s="2692"/>
      <c r="EP19" s="2692"/>
      <c r="EQ19" s="2692"/>
      <c r="ER19" s="2692"/>
      <c r="ES19" s="2692"/>
      <c r="ET19" s="2692"/>
      <c r="EU19" s="2692"/>
      <c r="EV19" s="2692"/>
      <c r="EW19" s="2692"/>
      <c r="EX19" s="2692"/>
      <c r="EY19" s="2692"/>
      <c r="EZ19" s="2692"/>
      <c r="FA19" s="2692"/>
      <c r="FB19" s="2692"/>
      <c r="FC19" s="2692"/>
      <c r="FD19" s="2692"/>
      <c r="FE19" s="2692"/>
      <c r="FF19" s="2692"/>
      <c r="FG19" s="2692"/>
      <c r="FH19" s="2692"/>
      <c r="FI19" s="2692"/>
      <c r="FJ19" s="2692"/>
      <c r="FK19" s="2692"/>
      <c r="FL19" s="2692"/>
      <c r="FM19" s="2692"/>
      <c r="FN19" s="2692"/>
      <c r="FO19" s="2692"/>
      <c r="FP19" s="2692"/>
      <c r="FQ19" s="2692"/>
      <c r="FR19" s="2692"/>
      <c r="FS19" s="2692"/>
      <c r="FT19" s="2692"/>
      <c r="FU19" s="2692"/>
      <c r="FV19" s="2692"/>
      <c r="FW19" s="2692"/>
      <c r="FX19" s="2692"/>
      <c r="FY19" s="2692"/>
      <c r="FZ19" s="2692"/>
      <c r="GA19" s="2692"/>
      <c r="GB19" s="2692"/>
      <c r="GC19" s="2692"/>
      <c r="GD19" s="2692"/>
      <c r="GE19" s="2692"/>
      <c r="GF19" s="2692"/>
      <c r="GG19" s="2692"/>
      <c r="GH19" s="2692"/>
      <c r="GI19" s="2692"/>
      <c r="GJ19" s="2692"/>
      <c r="GK19" s="2692"/>
      <c r="GL19" s="2692"/>
      <c r="GM19" s="2692"/>
      <c r="GN19" s="2692"/>
      <c r="GO19" s="2692"/>
      <c r="GP19" s="2692"/>
      <c r="GQ19" s="2692"/>
      <c r="GR19" s="2692"/>
      <c r="GS19" s="2692"/>
      <c r="GT19" s="2692"/>
      <c r="GU19" s="2692"/>
      <c r="GV19" s="2692"/>
      <c r="GW19" s="2692"/>
      <c r="GX19" s="2692"/>
      <c r="GY19" s="2692"/>
      <c r="GZ19" s="2692"/>
      <c r="HA19" s="2692"/>
      <c r="HB19" s="2692"/>
      <c r="HC19" s="2692"/>
      <c r="HD19" s="2692"/>
      <c r="HE19" s="2692"/>
      <c r="HF19" s="2692"/>
      <c r="HG19" s="2692"/>
      <c r="HH19" s="2692"/>
      <c r="HI19" s="2692"/>
      <c r="HJ19" s="2692"/>
      <c r="HK19" s="2692"/>
      <c r="HL19" s="2692"/>
      <c r="HM19" s="2692"/>
      <c r="HN19" s="2692"/>
      <c r="HO19" s="2692"/>
      <c r="HP19" s="2692"/>
      <c r="HQ19" s="2692"/>
      <c r="HR19" s="2692"/>
      <c r="HS19" s="2692"/>
      <c r="HT19" s="2692"/>
      <c r="HU19" s="2692"/>
      <c r="HV19" s="2692"/>
      <c r="HW19" s="2692"/>
      <c r="HX19" s="2692"/>
      <c r="HY19" s="2692"/>
      <c r="HZ19" s="2692"/>
      <c r="IA19" s="2692"/>
      <c r="IB19" s="2692"/>
      <c r="IC19" s="2692"/>
      <c r="ID19" s="2692"/>
      <c r="IE19" s="2692"/>
      <c r="IF19" s="2692"/>
      <c r="IG19" s="2692"/>
      <c r="IH19" s="2692"/>
      <c r="II19" s="2692"/>
      <c r="IJ19" s="2692"/>
      <c r="IK19" s="2692"/>
      <c r="IL19" s="2692"/>
      <c r="IM19" s="2692"/>
      <c r="IN19" s="2692"/>
      <c r="IO19" s="2692"/>
      <c r="IP19" s="2692"/>
      <c r="IQ19" s="2692"/>
      <c r="IR19" s="2692"/>
      <c r="IS19" s="2692"/>
      <c r="IT19" s="2692"/>
      <c r="IU19" s="2692"/>
      <c r="IV19" s="2692"/>
    </row>
    <row r="20" spans="1:256" s="40" customFormat="1" ht="13" x14ac:dyDescent="0.25">
      <c r="A20" s="2935" t="s">
        <v>2527</v>
      </c>
      <c r="B20" s="3378"/>
      <c r="C20" s="3379"/>
      <c r="D20" s="2924"/>
      <c r="E20" s="2701"/>
      <c r="F20" s="2700" t="s">
        <v>2528</v>
      </c>
      <c r="G20" s="2760"/>
      <c r="H20" s="3369"/>
      <c r="I20" s="3370"/>
      <c r="J20" s="3371"/>
      <c r="K20" s="2692"/>
      <c r="L20" s="2692"/>
      <c r="M20" s="2692"/>
      <c r="N20" s="2692"/>
      <c r="O20" s="2692"/>
      <c r="P20" s="2692"/>
      <c r="Q20" s="2692"/>
      <c r="R20" s="2692"/>
      <c r="S20" s="2692"/>
      <c r="T20" s="2692"/>
      <c r="U20" s="2692"/>
      <c r="V20" s="2692"/>
      <c r="W20" s="2692"/>
      <c r="X20" s="2692"/>
      <c r="Y20" s="2692"/>
      <c r="Z20" s="2692"/>
      <c r="AA20" s="2692"/>
      <c r="AB20" s="2692"/>
      <c r="AC20" s="2692"/>
      <c r="AD20" s="2692"/>
      <c r="AE20" s="2692"/>
      <c r="AF20" s="2692"/>
      <c r="AG20" s="2692"/>
      <c r="AH20" s="2692"/>
      <c r="AI20" s="2692"/>
      <c r="AJ20" s="2692"/>
      <c r="AK20" s="2692"/>
      <c r="AL20" s="2692"/>
      <c r="AM20" s="2692"/>
      <c r="AN20" s="2692"/>
      <c r="AO20" s="2692"/>
      <c r="AP20" s="2692"/>
      <c r="AQ20" s="2692"/>
      <c r="AR20" s="2692"/>
      <c r="AS20" s="2692"/>
      <c r="AT20" s="2692"/>
      <c r="AU20" s="2692"/>
      <c r="AV20" s="2692"/>
      <c r="AW20" s="2692"/>
      <c r="AX20" s="2692"/>
      <c r="AY20" s="2692"/>
      <c r="AZ20" s="2692"/>
      <c r="BA20" s="2692"/>
      <c r="BB20" s="2692"/>
      <c r="BC20" s="2692"/>
      <c r="BD20" s="2692"/>
      <c r="BE20" s="2692"/>
      <c r="BF20" s="2692"/>
      <c r="BG20" s="2692"/>
      <c r="BH20" s="2692"/>
      <c r="BI20" s="2692"/>
      <c r="BJ20" s="2692"/>
      <c r="BK20" s="2692"/>
      <c r="BL20" s="2692"/>
      <c r="BM20" s="2692"/>
      <c r="BN20" s="2692"/>
      <c r="BO20" s="2692"/>
      <c r="BP20" s="2692"/>
      <c r="BQ20" s="2692"/>
      <c r="BR20" s="2692"/>
      <c r="BS20" s="2692"/>
      <c r="BT20" s="2692"/>
      <c r="BU20" s="2692"/>
      <c r="BV20" s="2692"/>
      <c r="BW20" s="2692"/>
      <c r="BX20" s="2692"/>
      <c r="BY20" s="2692"/>
      <c r="BZ20" s="2692"/>
      <c r="CA20" s="2692"/>
      <c r="CB20" s="2692"/>
      <c r="CC20" s="2692"/>
      <c r="CD20" s="2692"/>
      <c r="CE20" s="2692"/>
      <c r="CF20" s="2692"/>
      <c r="CG20" s="2692"/>
      <c r="CH20" s="2692"/>
      <c r="CI20" s="2692"/>
      <c r="CJ20" s="2692"/>
      <c r="CK20" s="2692"/>
      <c r="CL20" s="2692"/>
      <c r="CM20" s="2692"/>
      <c r="CN20" s="2692"/>
      <c r="CO20" s="2692"/>
      <c r="CP20" s="2692"/>
      <c r="CQ20" s="2692"/>
      <c r="CR20" s="2692"/>
      <c r="CS20" s="2692"/>
      <c r="CT20" s="2692"/>
      <c r="CU20" s="2692"/>
      <c r="CV20" s="2692"/>
      <c r="CW20" s="2692"/>
      <c r="CX20" s="2692"/>
      <c r="CY20" s="2692"/>
      <c r="CZ20" s="2692"/>
      <c r="DA20" s="2692"/>
      <c r="DB20" s="2692"/>
      <c r="DC20" s="2692"/>
      <c r="DD20" s="2692"/>
      <c r="DE20" s="2692"/>
      <c r="DF20" s="2692"/>
      <c r="DG20" s="2692"/>
      <c r="DH20" s="2692"/>
      <c r="DI20" s="2692"/>
      <c r="DJ20" s="2692"/>
      <c r="DK20" s="2692"/>
      <c r="DL20" s="2692"/>
      <c r="DM20" s="2692"/>
      <c r="DN20" s="2692"/>
      <c r="DO20" s="2692"/>
      <c r="DP20" s="2692"/>
      <c r="DQ20" s="2692"/>
      <c r="DR20" s="2692"/>
      <c r="DS20" s="2692"/>
      <c r="DT20" s="2692"/>
      <c r="DU20" s="2692"/>
      <c r="DV20" s="2692"/>
      <c r="DW20" s="2692"/>
      <c r="DX20" s="2692"/>
      <c r="DY20" s="2692"/>
      <c r="DZ20" s="2692"/>
      <c r="EA20" s="2692"/>
      <c r="EB20" s="2692"/>
      <c r="EC20" s="2692"/>
      <c r="ED20" s="2692"/>
      <c r="EE20" s="2692"/>
      <c r="EF20" s="2692"/>
      <c r="EG20" s="2692"/>
      <c r="EH20" s="2692"/>
      <c r="EI20" s="2692"/>
      <c r="EJ20" s="2692"/>
      <c r="EK20" s="2692"/>
      <c r="EL20" s="2692"/>
      <c r="EM20" s="2692"/>
      <c r="EN20" s="2692"/>
      <c r="EO20" s="2692"/>
      <c r="EP20" s="2692"/>
      <c r="EQ20" s="2692"/>
      <c r="ER20" s="2692"/>
      <c r="ES20" s="2692"/>
      <c r="ET20" s="2692"/>
      <c r="EU20" s="2692"/>
      <c r="EV20" s="2692"/>
      <c r="EW20" s="2692"/>
      <c r="EX20" s="2692"/>
      <c r="EY20" s="2692"/>
      <c r="EZ20" s="2692"/>
      <c r="FA20" s="2692"/>
      <c r="FB20" s="2692"/>
      <c r="FC20" s="2692"/>
      <c r="FD20" s="2692"/>
      <c r="FE20" s="2692"/>
      <c r="FF20" s="2692"/>
      <c r="FG20" s="2692"/>
      <c r="FH20" s="2692"/>
      <c r="FI20" s="2692"/>
      <c r="FJ20" s="2692"/>
      <c r="FK20" s="2692"/>
      <c r="FL20" s="2692"/>
      <c r="FM20" s="2692"/>
      <c r="FN20" s="2692"/>
      <c r="FO20" s="2692"/>
      <c r="FP20" s="2692"/>
      <c r="FQ20" s="2692"/>
      <c r="FR20" s="2692"/>
      <c r="FS20" s="2692"/>
      <c r="FT20" s="2692"/>
      <c r="FU20" s="2692"/>
      <c r="FV20" s="2692"/>
      <c r="FW20" s="2692"/>
      <c r="FX20" s="2692"/>
      <c r="FY20" s="2692"/>
      <c r="FZ20" s="2692"/>
      <c r="GA20" s="2692"/>
      <c r="GB20" s="2692"/>
      <c r="GC20" s="2692"/>
      <c r="GD20" s="2692"/>
      <c r="GE20" s="2692"/>
      <c r="GF20" s="2692"/>
      <c r="GG20" s="2692"/>
      <c r="GH20" s="2692"/>
      <c r="GI20" s="2692"/>
      <c r="GJ20" s="2692"/>
      <c r="GK20" s="2692"/>
      <c r="GL20" s="2692"/>
      <c r="GM20" s="2692"/>
      <c r="GN20" s="2692"/>
      <c r="GO20" s="2692"/>
      <c r="GP20" s="2692"/>
      <c r="GQ20" s="2692"/>
      <c r="GR20" s="2692"/>
      <c r="GS20" s="2692"/>
      <c r="GT20" s="2692"/>
      <c r="GU20" s="2692"/>
      <c r="GV20" s="2692"/>
      <c r="GW20" s="2692"/>
      <c r="GX20" s="2692"/>
      <c r="GY20" s="2692"/>
      <c r="GZ20" s="2692"/>
      <c r="HA20" s="2692"/>
      <c r="HB20" s="2692"/>
      <c r="HC20" s="2692"/>
      <c r="HD20" s="2692"/>
      <c r="HE20" s="2692"/>
      <c r="HF20" s="2692"/>
      <c r="HG20" s="2692"/>
      <c r="HH20" s="2692"/>
      <c r="HI20" s="2692"/>
      <c r="HJ20" s="2692"/>
      <c r="HK20" s="2692"/>
      <c r="HL20" s="2692"/>
      <c r="HM20" s="2692"/>
      <c r="HN20" s="2692"/>
      <c r="HO20" s="2692"/>
      <c r="HP20" s="2692"/>
      <c r="HQ20" s="2692"/>
      <c r="HR20" s="2692"/>
      <c r="HS20" s="2692"/>
      <c r="HT20" s="2692"/>
      <c r="HU20" s="2692"/>
      <c r="HV20" s="2692"/>
      <c r="HW20" s="2692"/>
      <c r="HX20" s="2692"/>
      <c r="HY20" s="2692"/>
      <c r="HZ20" s="2692"/>
      <c r="IA20" s="2692"/>
      <c r="IB20" s="2692"/>
      <c r="IC20" s="2692"/>
      <c r="ID20" s="2692"/>
      <c r="IE20" s="2692"/>
      <c r="IF20" s="2692"/>
      <c r="IG20" s="2692"/>
      <c r="IH20" s="2692"/>
      <c r="II20" s="2692"/>
      <c r="IJ20" s="2692"/>
      <c r="IK20" s="2692"/>
      <c r="IL20" s="2692"/>
      <c r="IM20" s="2692"/>
      <c r="IN20" s="2692"/>
      <c r="IO20" s="2692"/>
      <c r="IP20" s="2692"/>
      <c r="IQ20" s="2692"/>
      <c r="IR20" s="2692"/>
      <c r="IS20" s="2692"/>
      <c r="IT20" s="2692"/>
      <c r="IU20" s="2692"/>
      <c r="IV20" s="2692"/>
    </row>
    <row r="21" spans="1:256" s="40" customFormat="1" ht="13" x14ac:dyDescent="0.25">
      <c r="A21" s="2935" t="s">
        <v>2529</v>
      </c>
      <c r="B21" s="3380"/>
      <c r="C21" s="3381"/>
      <c r="D21" s="3376"/>
      <c r="E21" s="2701"/>
      <c r="F21" s="2700" t="s">
        <v>2530</v>
      </c>
      <c r="G21" s="2760"/>
      <c r="H21" s="3369"/>
      <c r="I21" s="3370"/>
      <c r="J21" s="3371"/>
      <c r="K21" s="2692"/>
      <c r="L21" s="2692"/>
      <c r="M21" s="2692"/>
      <c r="N21" s="2692"/>
      <c r="O21" s="2692"/>
      <c r="P21" s="2692"/>
      <c r="Q21" s="2692"/>
      <c r="R21" s="2692"/>
      <c r="S21" s="2692"/>
      <c r="T21" s="2692"/>
      <c r="U21" s="2692"/>
      <c r="V21" s="2692"/>
      <c r="W21" s="2692"/>
      <c r="X21" s="2692"/>
      <c r="Y21" s="2692"/>
      <c r="Z21" s="2692"/>
      <c r="AA21" s="2692"/>
      <c r="AB21" s="2692"/>
      <c r="AC21" s="2692"/>
      <c r="AD21" s="2692"/>
      <c r="AE21" s="2692"/>
      <c r="AF21" s="2692"/>
      <c r="AG21" s="2692"/>
      <c r="AH21" s="2692"/>
      <c r="AI21" s="2692"/>
      <c r="AJ21" s="2692"/>
      <c r="AK21" s="2692"/>
      <c r="AL21" s="2692"/>
      <c r="AM21" s="2692"/>
      <c r="AN21" s="2692"/>
      <c r="AO21" s="2692"/>
      <c r="AP21" s="2692"/>
      <c r="AQ21" s="2692"/>
      <c r="AR21" s="2692"/>
      <c r="AS21" s="2692"/>
      <c r="AT21" s="2692"/>
      <c r="AU21" s="2692"/>
      <c r="AV21" s="2692"/>
      <c r="AW21" s="2692"/>
      <c r="AX21" s="2692"/>
      <c r="AY21" s="2692"/>
      <c r="AZ21" s="2692"/>
      <c r="BA21" s="2692"/>
      <c r="BB21" s="2692"/>
      <c r="BC21" s="2692"/>
      <c r="BD21" s="2692"/>
      <c r="BE21" s="2692"/>
      <c r="BF21" s="2692"/>
      <c r="BG21" s="2692"/>
      <c r="BH21" s="2692"/>
      <c r="BI21" s="2692"/>
      <c r="BJ21" s="2692"/>
      <c r="BK21" s="2692"/>
      <c r="BL21" s="2692"/>
      <c r="BM21" s="2692"/>
      <c r="BN21" s="2692"/>
      <c r="BO21" s="2692"/>
      <c r="BP21" s="2692"/>
      <c r="BQ21" s="2692"/>
      <c r="BR21" s="2692"/>
      <c r="BS21" s="2692"/>
      <c r="BT21" s="2692"/>
      <c r="BU21" s="2692"/>
      <c r="BV21" s="2692"/>
      <c r="BW21" s="2692"/>
      <c r="BX21" s="2692"/>
      <c r="BY21" s="2692"/>
      <c r="BZ21" s="2692"/>
      <c r="CA21" s="2692"/>
      <c r="CB21" s="2692"/>
      <c r="CC21" s="2692"/>
      <c r="CD21" s="2692"/>
      <c r="CE21" s="2692"/>
      <c r="CF21" s="2692"/>
      <c r="CG21" s="2692"/>
      <c r="CH21" s="2692"/>
      <c r="CI21" s="2692"/>
      <c r="CJ21" s="2692"/>
      <c r="CK21" s="2692"/>
      <c r="CL21" s="2692"/>
      <c r="CM21" s="2692"/>
      <c r="CN21" s="2692"/>
      <c r="CO21" s="2692"/>
      <c r="CP21" s="2692"/>
      <c r="CQ21" s="2692"/>
      <c r="CR21" s="2692"/>
      <c r="CS21" s="2692"/>
      <c r="CT21" s="2692"/>
      <c r="CU21" s="2692"/>
      <c r="CV21" s="2692"/>
      <c r="CW21" s="2692"/>
      <c r="CX21" s="2692"/>
      <c r="CY21" s="2692"/>
      <c r="CZ21" s="2692"/>
      <c r="DA21" s="2692"/>
      <c r="DB21" s="2692"/>
      <c r="DC21" s="2692"/>
      <c r="DD21" s="2692"/>
      <c r="DE21" s="2692"/>
      <c r="DF21" s="2692"/>
      <c r="DG21" s="2692"/>
      <c r="DH21" s="2692"/>
      <c r="DI21" s="2692"/>
      <c r="DJ21" s="2692"/>
      <c r="DK21" s="2692"/>
      <c r="DL21" s="2692"/>
      <c r="DM21" s="2692"/>
      <c r="DN21" s="2692"/>
      <c r="DO21" s="2692"/>
      <c r="DP21" s="2692"/>
      <c r="DQ21" s="2692"/>
      <c r="DR21" s="2692"/>
      <c r="DS21" s="2692"/>
      <c r="DT21" s="2692"/>
      <c r="DU21" s="2692"/>
      <c r="DV21" s="2692"/>
      <c r="DW21" s="2692"/>
      <c r="DX21" s="2692"/>
      <c r="DY21" s="2692"/>
      <c r="DZ21" s="2692"/>
      <c r="EA21" s="2692"/>
      <c r="EB21" s="2692"/>
      <c r="EC21" s="2692"/>
      <c r="ED21" s="2692"/>
      <c r="EE21" s="2692"/>
      <c r="EF21" s="2692"/>
      <c r="EG21" s="2692"/>
      <c r="EH21" s="2692"/>
      <c r="EI21" s="2692"/>
      <c r="EJ21" s="2692"/>
      <c r="EK21" s="2692"/>
      <c r="EL21" s="2692"/>
      <c r="EM21" s="2692"/>
      <c r="EN21" s="2692"/>
      <c r="EO21" s="2692"/>
      <c r="EP21" s="2692"/>
      <c r="EQ21" s="2692"/>
      <c r="ER21" s="2692"/>
      <c r="ES21" s="2692"/>
      <c r="ET21" s="2692"/>
      <c r="EU21" s="2692"/>
      <c r="EV21" s="2692"/>
      <c r="EW21" s="2692"/>
      <c r="EX21" s="2692"/>
      <c r="EY21" s="2692"/>
      <c r="EZ21" s="2692"/>
      <c r="FA21" s="2692"/>
      <c r="FB21" s="2692"/>
      <c r="FC21" s="2692"/>
      <c r="FD21" s="2692"/>
      <c r="FE21" s="2692"/>
      <c r="FF21" s="2692"/>
      <c r="FG21" s="2692"/>
      <c r="FH21" s="2692"/>
      <c r="FI21" s="2692"/>
      <c r="FJ21" s="2692"/>
      <c r="FK21" s="2692"/>
      <c r="FL21" s="2692"/>
      <c r="FM21" s="2692"/>
      <c r="FN21" s="2692"/>
      <c r="FO21" s="2692"/>
      <c r="FP21" s="2692"/>
      <c r="FQ21" s="2692"/>
      <c r="FR21" s="2692"/>
      <c r="FS21" s="2692"/>
      <c r="FT21" s="2692"/>
      <c r="FU21" s="2692"/>
      <c r="FV21" s="2692"/>
      <c r="FW21" s="2692"/>
      <c r="FX21" s="2692"/>
      <c r="FY21" s="2692"/>
      <c r="FZ21" s="2692"/>
      <c r="GA21" s="2692"/>
      <c r="GB21" s="2692"/>
      <c r="GC21" s="2692"/>
      <c r="GD21" s="2692"/>
      <c r="GE21" s="2692"/>
      <c r="GF21" s="2692"/>
      <c r="GG21" s="2692"/>
      <c r="GH21" s="2692"/>
      <c r="GI21" s="2692"/>
      <c r="GJ21" s="2692"/>
      <c r="GK21" s="2692"/>
      <c r="GL21" s="2692"/>
      <c r="GM21" s="2692"/>
      <c r="GN21" s="2692"/>
      <c r="GO21" s="2692"/>
      <c r="GP21" s="2692"/>
      <c r="GQ21" s="2692"/>
      <c r="GR21" s="2692"/>
      <c r="GS21" s="2692"/>
      <c r="GT21" s="2692"/>
      <c r="GU21" s="2692"/>
      <c r="GV21" s="2692"/>
      <c r="GW21" s="2692"/>
      <c r="GX21" s="2692"/>
      <c r="GY21" s="2692"/>
      <c r="GZ21" s="2692"/>
      <c r="HA21" s="2692"/>
      <c r="HB21" s="2692"/>
      <c r="HC21" s="2692"/>
      <c r="HD21" s="2692"/>
      <c r="HE21" s="2692"/>
      <c r="HF21" s="2692"/>
      <c r="HG21" s="2692"/>
      <c r="HH21" s="2692"/>
      <c r="HI21" s="2692"/>
      <c r="HJ21" s="2692"/>
      <c r="HK21" s="2692"/>
      <c r="HL21" s="2692"/>
      <c r="HM21" s="2692"/>
      <c r="HN21" s="2692"/>
      <c r="HO21" s="2692"/>
      <c r="HP21" s="2692"/>
      <c r="HQ21" s="2692"/>
      <c r="HR21" s="2692"/>
      <c r="HS21" s="2692"/>
      <c r="HT21" s="2692"/>
      <c r="HU21" s="2692"/>
      <c r="HV21" s="2692"/>
      <c r="HW21" s="2692"/>
      <c r="HX21" s="2692"/>
      <c r="HY21" s="2692"/>
      <c r="HZ21" s="2692"/>
      <c r="IA21" s="2692"/>
      <c r="IB21" s="2692"/>
      <c r="IC21" s="2692"/>
      <c r="ID21" s="2692"/>
      <c r="IE21" s="2692"/>
      <c r="IF21" s="2692"/>
      <c r="IG21" s="2692"/>
      <c r="IH21" s="2692"/>
      <c r="II21" s="2692"/>
      <c r="IJ21" s="2692"/>
      <c r="IK21" s="2692"/>
      <c r="IL21" s="2692"/>
      <c r="IM21" s="2692"/>
      <c r="IN21" s="2692"/>
      <c r="IO21" s="2692"/>
      <c r="IP21" s="2692"/>
      <c r="IQ21" s="2692"/>
      <c r="IR21" s="2692"/>
      <c r="IS21" s="2692"/>
      <c r="IT21" s="2692"/>
      <c r="IU21" s="2692"/>
      <c r="IV21" s="2692"/>
    </row>
    <row r="22" spans="1:256" s="40" customFormat="1" ht="13" x14ac:dyDescent="0.25">
      <c r="A22" s="2935" t="s">
        <v>2631</v>
      </c>
      <c r="B22" s="3380"/>
      <c r="C22" s="3381"/>
      <c r="D22" s="3377"/>
      <c r="E22" s="2701"/>
      <c r="F22" s="2700" t="s">
        <v>2531</v>
      </c>
      <c r="G22" s="2760"/>
      <c r="H22" s="3369"/>
      <c r="I22" s="3370"/>
      <c r="J22" s="3371"/>
      <c r="K22" s="2692"/>
      <c r="L22" s="2692"/>
      <c r="M22" s="2692"/>
      <c r="N22" s="2692"/>
      <c r="O22" s="2692"/>
      <c r="P22" s="2692"/>
      <c r="Q22" s="2692"/>
      <c r="R22" s="2692"/>
      <c r="S22" s="2692"/>
      <c r="T22" s="2692"/>
      <c r="U22" s="2692"/>
      <c r="V22" s="2692"/>
      <c r="W22" s="2692"/>
      <c r="X22" s="2692"/>
      <c r="Y22" s="2692"/>
      <c r="Z22" s="2692"/>
      <c r="AA22" s="2692"/>
      <c r="AB22" s="2692"/>
      <c r="AC22" s="2692"/>
      <c r="AD22" s="2692"/>
      <c r="AE22" s="2692"/>
      <c r="AF22" s="2692"/>
      <c r="AG22" s="2692"/>
      <c r="AH22" s="2692"/>
      <c r="AI22" s="2692"/>
      <c r="AJ22" s="2692"/>
      <c r="AK22" s="2692"/>
      <c r="AL22" s="2692"/>
      <c r="AM22" s="2692"/>
      <c r="AN22" s="2692"/>
      <c r="AO22" s="2692"/>
      <c r="AP22" s="2692"/>
      <c r="AQ22" s="2692"/>
      <c r="AR22" s="2692"/>
      <c r="AS22" s="2692"/>
      <c r="AT22" s="2692"/>
      <c r="AU22" s="2692"/>
      <c r="AV22" s="2692"/>
      <c r="AW22" s="2692"/>
      <c r="AX22" s="2692"/>
      <c r="AY22" s="2692"/>
      <c r="AZ22" s="2692"/>
      <c r="BA22" s="2692"/>
      <c r="BB22" s="2692"/>
      <c r="BC22" s="2692"/>
      <c r="BD22" s="2692"/>
      <c r="BE22" s="2692"/>
      <c r="BF22" s="2692"/>
      <c r="BG22" s="2692"/>
      <c r="BH22" s="2692"/>
      <c r="BI22" s="2692"/>
      <c r="BJ22" s="2692"/>
      <c r="BK22" s="2692"/>
      <c r="BL22" s="2692"/>
      <c r="BM22" s="2692"/>
      <c r="BN22" s="2692"/>
      <c r="BO22" s="2692"/>
      <c r="BP22" s="2692"/>
      <c r="BQ22" s="2692"/>
      <c r="BR22" s="2692"/>
      <c r="BS22" s="2692"/>
      <c r="BT22" s="2692"/>
      <c r="BU22" s="2692"/>
      <c r="BV22" s="2692"/>
      <c r="BW22" s="2692"/>
      <c r="BX22" s="2692"/>
      <c r="BY22" s="2692"/>
      <c r="BZ22" s="2692"/>
      <c r="CA22" s="2692"/>
      <c r="CB22" s="2692"/>
      <c r="CC22" s="2692"/>
      <c r="CD22" s="2692"/>
      <c r="CE22" s="2692"/>
      <c r="CF22" s="2692"/>
      <c r="CG22" s="2692"/>
      <c r="CH22" s="2692"/>
      <c r="CI22" s="2692"/>
      <c r="CJ22" s="2692"/>
      <c r="CK22" s="2692"/>
      <c r="CL22" s="2692"/>
      <c r="CM22" s="2692"/>
      <c r="CN22" s="2692"/>
      <c r="CO22" s="2692"/>
      <c r="CP22" s="2692"/>
      <c r="CQ22" s="2692"/>
      <c r="CR22" s="2692"/>
      <c r="CS22" s="2692"/>
      <c r="CT22" s="2692"/>
      <c r="CU22" s="2692"/>
      <c r="CV22" s="2692"/>
      <c r="CW22" s="2692"/>
      <c r="CX22" s="2692"/>
      <c r="CY22" s="2692"/>
      <c r="CZ22" s="2692"/>
      <c r="DA22" s="2692"/>
      <c r="DB22" s="2692"/>
      <c r="DC22" s="2692"/>
      <c r="DD22" s="2692"/>
      <c r="DE22" s="2692"/>
      <c r="DF22" s="2692"/>
      <c r="DG22" s="2692"/>
      <c r="DH22" s="2692"/>
      <c r="DI22" s="2692"/>
      <c r="DJ22" s="2692"/>
      <c r="DK22" s="2692"/>
      <c r="DL22" s="2692"/>
      <c r="DM22" s="2692"/>
      <c r="DN22" s="2692"/>
      <c r="DO22" s="2692"/>
      <c r="DP22" s="2692"/>
      <c r="DQ22" s="2692"/>
      <c r="DR22" s="2692"/>
      <c r="DS22" s="2692"/>
      <c r="DT22" s="2692"/>
      <c r="DU22" s="2692"/>
      <c r="DV22" s="2692"/>
      <c r="DW22" s="2692"/>
      <c r="DX22" s="2692"/>
      <c r="DY22" s="2692"/>
      <c r="DZ22" s="2692"/>
      <c r="EA22" s="2692"/>
      <c r="EB22" s="2692"/>
      <c r="EC22" s="2692"/>
      <c r="ED22" s="2692"/>
      <c r="EE22" s="2692"/>
      <c r="EF22" s="2692"/>
      <c r="EG22" s="2692"/>
      <c r="EH22" s="2692"/>
      <c r="EI22" s="2692"/>
      <c r="EJ22" s="2692"/>
      <c r="EK22" s="2692"/>
      <c r="EL22" s="2692"/>
      <c r="EM22" s="2692"/>
      <c r="EN22" s="2692"/>
      <c r="EO22" s="2692"/>
      <c r="EP22" s="2692"/>
      <c r="EQ22" s="2692"/>
      <c r="ER22" s="2692"/>
      <c r="ES22" s="2692"/>
      <c r="ET22" s="2692"/>
      <c r="EU22" s="2692"/>
      <c r="EV22" s="2692"/>
      <c r="EW22" s="2692"/>
      <c r="EX22" s="2692"/>
      <c r="EY22" s="2692"/>
      <c r="EZ22" s="2692"/>
      <c r="FA22" s="2692"/>
      <c r="FB22" s="2692"/>
      <c r="FC22" s="2692"/>
      <c r="FD22" s="2692"/>
      <c r="FE22" s="2692"/>
      <c r="FF22" s="2692"/>
      <c r="FG22" s="2692"/>
      <c r="FH22" s="2692"/>
      <c r="FI22" s="2692"/>
      <c r="FJ22" s="2692"/>
      <c r="FK22" s="2692"/>
      <c r="FL22" s="2692"/>
      <c r="FM22" s="2692"/>
      <c r="FN22" s="2692"/>
      <c r="FO22" s="2692"/>
      <c r="FP22" s="2692"/>
      <c r="FQ22" s="2692"/>
      <c r="FR22" s="2692"/>
      <c r="FS22" s="2692"/>
      <c r="FT22" s="2692"/>
      <c r="FU22" s="2692"/>
      <c r="FV22" s="2692"/>
      <c r="FW22" s="2692"/>
      <c r="FX22" s="2692"/>
      <c r="FY22" s="2692"/>
      <c r="FZ22" s="2692"/>
      <c r="GA22" s="2692"/>
      <c r="GB22" s="2692"/>
      <c r="GC22" s="2692"/>
      <c r="GD22" s="2692"/>
      <c r="GE22" s="2692"/>
      <c r="GF22" s="2692"/>
      <c r="GG22" s="2692"/>
      <c r="GH22" s="2692"/>
      <c r="GI22" s="2692"/>
      <c r="GJ22" s="2692"/>
      <c r="GK22" s="2692"/>
      <c r="GL22" s="2692"/>
      <c r="GM22" s="2692"/>
      <c r="GN22" s="2692"/>
      <c r="GO22" s="2692"/>
      <c r="GP22" s="2692"/>
      <c r="GQ22" s="2692"/>
      <c r="GR22" s="2692"/>
      <c r="GS22" s="2692"/>
      <c r="GT22" s="2692"/>
      <c r="GU22" s="2692"/>
      <c r="GV22" s="2692"/>
      <c r="GW22" s="2692"/>
      <c r="GX22" s="2692"/>
      <c r="GY22" s="2692"/>
      <c r="GZ22" s="2692"/>
      <c r="HA22" s="2692"/>
      <c r="HB22" s="2692"/>
      <c r="HC22" s="2692"/>
      <c r="HD22" s="2692"/>
      <c r="HE22" s="2692"/>
      <c r="HF22" s="2692"/>
      <c r="HG22" s="2692"/>
      <c r="HH22" s="2692"/>
      <c r="HI22" s="2692"/>
      <c r="HJ22" s="2692"/>
      <c r="HK22" s="2692"/>
      <c r="HL22" s="2692"/>
      <c r="HM22" s="2692"/>
      <c r="HN22" s="2692"/>
      <c r="HO22" s="2692"/>
      <c r="HP22" s="2692"/>
      <c r="HQ22" s="2692"/>
      <c r="HR22" s="2692"/>
      <c r="HS22" s="2692"/>
      <c r="HT22" s="2692"/>
      <c r="HU22" s="2692"/>
      <c r="HV22" s="2692"/>
      <c r="HW22" s="2692"/>
      <c r="HX22" s="2692"/>
      <c r="HY22" s="2692"/>
      <c r="HZ22" s="2692"/>
      <c r="IA22" s="2692"/>
      <c r="IB22" s="2692"/>
      <c r="IC22" s="2692"/>
      <c r="ID22" s="2692"/>
      <c r="IE22" s="2692"/>
      <c r="IF22" s="2692"/>
      <c r="IG22" s="2692"/>
      <c r="IH22" s="2692"/>
      <c r="II22" s="2692"/>
      <c r="IJ22" s="2692"/>
      <c r="IK22" s="2692"/>
      <c r="IL22" s="2692"/>
      <c r="IM22" s="2692"/>
      <c r="IN22" s="2692"/>
      <c r="IO22" s="2692"/>
      <c r="IP22" s="2692"/>
      <c r="IQ22" s="2692"/>
      <c r="IR22" s="2692"/>
      <c r="IS22" s="2692"/>
      <c r="IT22" s="2692"/>
      <c r="IU22" s="2692"/>
      <c r="IV22" s="2692"/>
    </row>
    <row r="23" spans="1:256" s="40" customFormat="1" ht="13" x14ac:dyDescent="0.25">
      <c r="A23" s="2935" t="s">
        <v>2632</v>
      </c>
      <c r="B23" s="3380"/>
      <c r="C23" s="3381"/>
      <c r="D23" s="2924"/>
      <c r="E23" s="2925"/>
      <c r="F23" s="2700" t="s">
        <v>2634</v>
      </c>
      <c r="G23" s="2760"/>
      <c r="H23" s="3369"/>
      <c r="I23" s="3370"/>
      <c r="J23" s="3371"/>
      <c r="K23" s="2692"/>
      <c r="L23" s="2692"/>
      <c r="M23" s="2692"/>
      <c r="N23" s="2692"/>
      <c r="O23" s="2692"/>
      <c r="P23" s="2692"/>
      <c r="Q23" s="2692"/>
      <c r="R23" s="2692"/>
      <c r="S23" s="2692"/>
      <c r="T23" s="2692"/>
      <c r="U23" s="2692"/>
      <c r="V23" s="2692"/>
      <c r="W23" s="2692"/>
      <c r="X23" s="2692"/>
      <c r="Y23" s="2692"/>
      <c r="Z23" s="2692"/>
      <c r="AA23" s="2692"/>
      <c r="AB23" s="2692"/>
      <c r="AC23" s="2692"/>
      <c r="AD23" s="2692"/>
      <c r="AE23" s="2692"/>
      <c r="AF23" s="2692"/>
      <c r="AG23" s="2692"/>
      <c r="AH23" s="2692"/>
      <c r="AI23" s="2692"/>
      <c r="AJ23" s="2692"/>
      <c r="AK23" s="2692"/>
      <c r="AL23" s="2692"/>
      <c r="AM23" s="2692"/>
      <c r="AN23" s="2692"/>
      <c r="AO23" s="2692"/>
      <c r="AP23" s="2692"/>
      <c r="AQ23" s="2692"/>
      <c r="AR23" s="2692"/>
      <c r="AS23" s="2692"/>
      <c r="AT23" s="2692"/>
      <c r="AU23" s="2692"/>
      <c r="AV23" s="2692"/>
      <c r="AW23" s="2692"/>
      <c r="AX23" s="2692"/>
      <c r="AY23" s="2692"/>
      <c r="AZ23" s="2692"/>
      <c r="BA23" s="2692"/>
      <c r="BB23" s="2692"/>
      <c r="BC23" s="2692"/>
      <c r="BD23" s="2692"/>
      <c r="BE23" s="2692"/>
      <c r="BF23" s="2692"/>
      <c r="BG23" s="2692"/>
      <c r="BH23" s="2692"/>
      <c r="BI23" s="2692"/>
      <c r="BJ23" s="2692"/>
      <c r="BK23" s="2692"/>
      <c r="BL23" s="2692"/>
      <c r="BM23" s="2692"/>
      <c r="BN23" s="2692"/>
      <c r="BO23" s="2692"/>
      <c r="BP23" s="2692"/>
      <c r="BQ23" s="2692"/>
      <c r="BR23" s="2692"/>
      <c r="BS23" s="2692"/>
      <c r="BT23" s="2692"/>
      <c r="BU23" s="2692"/>
      <c r="BV23" s="2692"/>
      <c r="BW23" s="2692"/>
      <c r="BX23" s="2692"/>
      <c r="BY23" s="2692"/>
      <c r="BZ23" s="2692"/>
      <c r="CA23" s="2692"/>
      <c r="CB23" s="2692"/>
      <c r="CC23" s="2692"/>
      <c r="CD23" s="2692"/>
      <c r="CE23" s="2692"/>
      <c r="CF23" s="2692"/>
      <c r="CG23" s="2692"/>
      <c r="CH23" s="2692"/>
      <c r="CI23" s="2692"/>
      <c r="CJ23" s="2692"/>
      <c r="CK23" s="2692"/>
      <c r="CL23" s="2692"/>
      <c r="CM23" s="2692"/>
      <c r="CN23" s="2692"/>
      <c r="CO23" s="2692"/>
      <c r="CP23" s="2692"/>
      <c r="CQ23" s="2692"/>
      <c r="CR23" s="2692"/>
      <c r="CS23" s="2692"/>
      <c r="CT23" s="2692"/>
      <c r="CU23" s="2692"/>
      <c r="CV23" s="2692"/>
      <c r="CW23" s="2692"/>
      <c r="CX23" s="2692"/>
      <c r="CY23" s="2692"/>
      <c r="CZ23" s="2692"/>
      <c r="DA23" s="2692"/>
      <c r="DB23" s="2692"/>
      <c r="DC23" s="2692"/>
      <c r="DD23" s="2692"/>
      <c r="DE23" s="2692"/>
      <c r="DF23" s="2692"/>
      <c r="DG23" s="2692"/>
      <c r="DH23" s="2692"/>
      <c r="DI23" s="2692"/>
      <c r="DJ23" s="2692"/>
      <c r="DK23" s="2692"/>
      <c r="DL23" s="2692"/>
      <c r="DM23" s="2692"/>
      <c r="DN23" s="2692"/>
      <c r="DO23" s="2692"/>
      <c r="DP23" s="2692"/>
      <c r="DQ23" s="2692"/>
      <c r="DR23" s="2692"/>
      <c r="DS23" s="2692"/>
      <c r="DT23" s="2692"/>
      <c r="DU23" s="2692"/>
      <c r="DV23" s="2692"/>
      <c r="DW23" s="2692"/>
      <c r="DX23" s="2692"/>
      <c r="DY23" s="2692"/>
      <c r="DZ23" s="2692"/>
      <c r="EA23" s="2692"/>
      <c r="EB23" s="2692"/>
      <c r="EC23" s="2692"/>
      <c r="ED23" s="2692"/>
      <c r="EE23" s="2692"/>
      <c r="EF23" s="2692"/>
      <c r="EG23" s="2692"/>
      <c r="EH23" s="2692"/>
      <c r="EI23" s="2692"/>
      <c r="EJ23" s="2692"/>
      <c r="EK23" s="2692"/>
      <c r="EL23" s="2692"/>
      <c r="EM23" s="2692"/>
      <c r="EN23" s="2692"/>
      <c r="EO23" s="2692"/>
      <c r="EP23" s="2692"/>
      <c r="EQ23" s="2692"/>
      <c r="ER23" s="2692"/>
      <c r="ES23" s="2692"/>
      <c r="ET23" s="2692"/>
      <c r="EU23" s="2692"/>
      <c r="EV23" s="2692"/>
      <c r="EW23" s="2692"/>
      <c r="EX23" s="2692"/>
      <c r="EY23" s="2692"/>
      <c r="EZ23" s="2692"/>
      <c r="FA23" s="2692"/>
      <c r="FB23" s="2692"/>
      <c r="FC23" s="2692"/>
      <c r="FD23" s="2692"/>
      <c r="FE23" s="2692"/>
      <c r="FF23" s="2692"/>
      <c r="FG23" s="2692"/>
      <c r="FH23" s="2692"/>
      <c r="FI23" s="2692"/>
      <c r="FJ23" s="2692"/>
      <c r="FK23" s="2692"/>
      <c r="FL23" s="2692"/>
      <c r="FM23" s="2692"/>
      <c r="FN23" s="2692"/>
      <c r="FO23" s="2692"/>
      <c r="FP23" s="2692"/>
      <c r="FQ23" s="2692"/>
      <c r="FR23" s="2692"/>
      <c r="FS23" s="2692"/>
      <c r="FT23" s="2692"/>
      <c r="FU23" s="2692"/>
      <c r="FV23" s="2692"/>
      <c r="FW23" s="2692"/>
      <c r="FX23" s="2692"/>
      <c r="FY23" s="2692"/>
      <c r="FZ23" s="2692"/>
      <c r="GA23" s="2692"/>
      <c r="GB23" s="2692"/>
      <c r="GC23" s="2692"/>
      <c r="GD23" s="2692"/>
      <c r="GE23" s="2692"/>
      <c r="GF23" s="2692"/>
      <c r="GG23" s="2692"/>
      <c r="GH23" s="2692"/>
      <c r="GI23" s="2692"/>
      <c r="GJ23" s="2692"/>
      <c r="GK23" s="2692"/>
      <c r="GL23" s="2692"/>
      <c r="GM23" s="2692"/>
      <c r="GN23" s="2692"/>
      <c r="GO23" s="2692"/>
      <c r="GP23" s="2692"/>
      <c r="GQ23" s="2692"/>
      <c r="GR23" s="2692"/>
      <c r="GS23" s="2692"/>
      <c r="GT23" s="2692"/>
      <c r="GU23" s="2692"/>
      <c r="GV23" s="2692"/>
      <c r="GW23" s="2692"/>
      <c r="GX23" s="2692"/>
      <c r="GY23" s="2692"/>
      <c r="GZ23" s="2692"/>
      <c r="HA23" s="2692"/>
      <c r="HB23" s="2692"/>
      <c r="HC23" s="2692"/>
      <c r="HD23" s="2692"/>
      <c r="HE23" s="2692"/>
      <c r="HF23" s="2692"/>
      <c r="HG23" s="2692"/>
      <c r="HH23" s="2692"/>
      <c r="HI23" s="2692"/>
      <c r="HJ23" s="2692"/>
      <c r="HK23" s="2692"/>
      <c r="HL23" s="2692"/>
      <c r="HM23" s="2692"/>
      <c r="HN23" s="2692"/>
      <c r="HO23" s="2692"/>
      <c r="HP23" s="2692"/>
      <c r="HQ23" s="2692"/>
      <c r="HR23" s="2692"/>
      <c r="HS23" s="2692"/>
      <c r="HT23" s="2692"/>
      <c r="HU23" s="2692"/>
      <c r="HV23" s="2692"/>
      <c r="HW23" s="2692"/>
      <c r="HX23" s="2692"/>
      <c r="HY23" s="2692"/>
      <c r="HZ23" s="2692"/>
      <c r="IA23" s="2692"/>
      <c r="IB23" s="2692"/>
      <c r="IC23" s="2692"/>
      <c r="ID23" s="2692"/>
      <c r="IE23" s="2692"/>
      <c r="IF23" s="2692"/>
      <c r="IG23" s="2692"/>
      <c r="IH23" s="2692"/>
      <c r="II23" s="2692"/>
      <c r="IJ23" s="2692"/>
      <c r="IK23" s="2692"/>
      <c r="IL23" s="2692"/>
      <c r="IM23" s="2692"/>
      <c r="IN23" s="2692"/>
      <c r="IO23" s="2692"/>
      <c r="IP23" s="2692"/>
      <c r="IQ23" s="2692"/>
      <c r="IR23" s="2692"/>
      <c r="IS23" s="2692"/>
      <c r="IT23" s="2692"/>
      <c r="IU23" s="2692"/>
      <c r="IV23" s="2692"/>
    </row>
    <row r="24" spans="1:256" s="40" customFormat="1" ht="13.5" thickBot="1" x14ac:dyDescent="0.3">
      <c r="A24" s="2935" t="s">
        <v>2633</v>
      </c>
      <c r="B24" s="3382"/>
      <c r="C24" s="3383"/>
      <c r="D24" s="2926"/>
      <c r="E24" s="2701"/>
      <c r="F24" s="2700" t="s">
        <v>2635</v>
      </c>
      <c r="G24" s="2760"/>
      <c r="H24" s="3369"/>
      <c r="I24" s="3370"/>
      <c r="J24" s="3371"/>
      <c r="K24" s="2692"/>
      <c r="L24" s="2692"/>
      <c r="M24" s="2692"/>
      <c r="N24" s="2692"/>
      <c r="O24" s="2692"/>
      <c r="P24" s="2692"/>
      <c r="Q24" s="2692"/>
      <c r="R24" s="2692"/>
      <c r="S24" s="2692"/>
      <c r="T24" s="2692"/>
      <c r="U24" s="2692"/>
      <c r="V24" s="2692"/>
      <c r="W24" s="2692"/>
      <c r="X24" s="2692"/>
      <c r="Y24" s="2692"/>
      <c r="Z24" s="2692"/>
      <c r="AA24" s="2692"/>
      <c r="AB24" s="2692"/>
      <c r="AC24" s="2692"/>
      <c r="AD24" s="2692"/>
      <c r="AE24" s="2692"/>
      <c r="AF24" s="2692"/>
      <c r="AG24" s="2692"/>
      <c r="AH24" s="2692"/>
      <c r="AI24" s="2692"/>
      <c r="AJ24" s="2692"/>
      <c r="AK24" s="2692"/>
      <c r="AL24" s="2692"/>
      <c r="AM24" s="2692"/>
      <c r="AN24" s="2692"/>
      <c r="AO24" s="2692"/>
      <c r="AP24" s="2692"/>
      <c r="AQ24" s="2692"/>
      <c r="AR24" s="2692"/>
      <c r="AS24" s="2692"/>
      <c r="AT24" s="2692"/>
      <c r="AU24" s="2692"/>
      <c r="AV24" s="2692"/>
      <c r="AW24" s="2692"/>
      <c r="AX24" s="2692"/>
      <c r="AY24" s="2692"/>
      <c r="AZ24" s="2692"/>
      <c r="BA24" s="2692"/>
      <c r="BB24" s="2692"/>
      <c r="BC24" s="2692"/>
      <c r="BD24" s="2692"/>
      <c r="BE24" s="2692"/>
      <c r="BF24" s="2692"/>
      <c r="BG24" s="2692"/>
      <c r="BH24" s="2692"/>
      <c r="BI24" s="2692"/>
      <c r="BJ24" s="2692"/>
      <c r="BK24" s="2692"/>
      <c r="BL24" s="2692"/>
      <c r="BM24" s="2692"/>
      <c r="BN24" s="2692"/>
      <c r="BO24" s="2692"/>
      <c r="BP24" s="2692"/>
      <c r="BQ24" s="2692"/>
      <c r="BR24" s="2692"/>
      <c r="BS24" s="2692"/>
      <c r="BT24" s="2692"/>
      <c r="BU24" s="2692"/>
      <c r="BV24" s="2692"/>
      <c r="BW24" s="2692"/>
      <c r="BX24" s="2692"/>
      <c r="BY24" s="2692"/>
      <c r="BZ24" s="2692"/>
      <c r="CA24" s="2692"/>
      <c r="CB24" s="2692"/>
      <c r="CC24" s="2692"/>
      <c r="CD24" s="2692"/>
      <c r="CE24" s="2692"/>
      <c r="CF24" s="2692"/>
      <c r="CG24" s="2692"/>
      <c r="CH24" s="2692"/>
      <c r="CI24" s="2692"/>
      <c r="CJ24" s="2692"/>
      <c r="CK24" s="2692"/>
      <c r="CL24" s="2692"/>
      <c r="CM24" s="2692"/>
      <c r="CN24" s="2692"/>
      <c r="CO24" s="2692"/>
      <c r="CP24" s="2692"/>
      <c r="CQ24" s="2692"/>
      <c r="CR24" s="2692"/>
      <c r="CS24" s="2692"/>
      <c r="CT24" s="2692"/>
      <c r="CU24" s="2692"/>
      <c r="CV24" s="2692"/>
      <c r="CW24" s="2692"/>
      <c r="CX24" s="2692"/>
      <c r="CY24" s="2692"/>
      <c r="CZ24" s="2692"/>
      <c r="DA24" s="2692"/>
      <c r="DB24" s="2692"/>
      <c r="DC24" s="2692"/>
      <c r="DD24" s="2692"/>
      <c r="DE24" s="2692"/>
      <c r="DF24" s="2692"/>
      <c r="DG24" s="2692"/>
      <c r="DH24" s="2692"/>
      <c r="DI24" s="2692"/>
      <c r="DJ24" s="2692"/>
      <c r="DK24" s="2692"/>
      <c r="DL24" s="2692"/>
      <c r="DM24" s="2692"/>
      <c r="DN24" s="2692"/>
      <c r="DO24" s="2692"/>
      <c r="DP24" s="2692"/>
      <c r="DQ24" s="2692"/>
      <c r="DR24" s="2692"/>
      <c r="DS24" s="2692"/>
      <c r="DT24" s="2692"/>
      <c r="DU24" s="2692"/>
      <c r="DV24" s="2692"/>
      <c r="DW24" s="2692"/>
      <c r="DX24" s="2692"/>
      <c r="DY24" s="2692"/>
      <c r="DZ24" s="2692"/>
      <c r="EA24" s="2692"/>
      <c r="EB24" s="2692"/>
      <c r="EC24" s="2692"/>
      <c r="ED24" s="2692"/>
      <c r="EE24" s="2692"/>
      <c r="EF24" s="2692"/>
      <c r="EG24" s="2692"/>
      <c r="EH24" s="2692"/>
      <c r="EI24" s="2692"/>
      <c r="EJ24" s="2692"/>
      <c r="EK24" s="2692"/>
      <c r="EL24" s="2692"/>
      <c r="EM24" s="2692"/>
      <c r="EN24" s="2692"/>
      <c r="EO24" s="2692"/>
      <c r="EP24" s="2692"/>
      <c r="EQ24" s="2692"/>
      <c r="ER24" s="2692"/>
      <c r="ES24" s="2692"/>
      <c r="ET24" s="2692"/>
      <c r="EU24" s="2692"/>
      <c r="EV24" s="2692"/>
      <c r="EW24" s="2692"/>
      <c r="EX24" s="2692"/>
      <c r="EY24" s="2692"/>
      <c r="EZ24" s="2692"/>
      <c r="FA24" s="2692"/>
      <c r="FB24" s="2692"/>
      <c r="FC24" s="2692"/>
      <c r="FD24" s="2692"/>
      <c r="FE24" s="2692"/>
      <c r="FF24" s="2692"/>
      <c r="FG24" s="2692"/>
      <c r="FH24" s="2692"/>
      <c r="FI24" s="2692"/>
      <c r="FJ24" s="2692"/>
      <c r="FK24" s="2692"/>
      <c r="FL24" s="2692"/>
      <c r="FM24" s="2692"/>
      <c r="FN24" s="2692"/>
      <c r="FO24" s="2692"/>
      <c r="FP24" s="2692"/>
      <c r="FQ24" s="2692"/>
      <c r="FR24" s="2692"/>
      <c r="FS24" s="2692"/>
      <c r="FT24" s="2692"/>
      <c r="FU24" s="2692"/>
      <c r="FV24" s="2692"/>
      <c r="FW24" s="2692"/>
      <c r="FX24" s="2692"/>
      <c r="FY24" s="2692"/>
      <c r="FZ24" s="2692"/>
      <c r="GA24" s="2692"/>
      <c r="GB24" s="2692"/>
      <c r="GC24" s="2692"/>
      <c r="GD24" s="2692"/>
      <c r="GE24" s="2692"/>
      <c r="GF24" s="2692"/>
      <c r="GG24" s="2692"/>
      <c r="GH24" s="2692"/>
      <c r="GI24" s="2692"/>
      <c r="GJ24" s="2692"/>
      <c r="GK24" s="2692"/>
      <c r="GL24" s="2692"/>
      <c r="GM24" s="2692"/>
      <c r="GN24" s="2692"/>
      <c r="GO24" s="2692"/>
      <c r="GP24" s="2692"/>
      <c r="GQ24" s="2692"/>
      <c r="GR24" s="2692"/>
      <c r="GS24" s="2692"/>
      <c r="GT24" s="2692"/>
      <c r="GU24" s="2692"/>
      <c r="GV24" s="2692"/>
      <c r="GW24" s="2692"/>
      <c r="GX24" s="2692"/>
      <c r="GY24" s="2692"/>
      <c r="GZ24" s="2692"/>
      <c r="HA24" s="2692"/>
      <c r="HB24" s="2692"/>
      <c r="HC24" s="2692"/>
      <c r="HD24" s="2692"/>
      <c r="HE24" s="2692"/>
      <c r="HF24" s="2692"/>
      <c r="HG24" s="2692"/>
      <c r="HH24" s="2692"/>
      <c r="HI24" s="2692"/>
      <c r="HJ24" s="2692"/>
      <c r="HK24" s="2692"/>
      <c r="HL24" s="2692"/>
      <c r="HM24" s="2692"/>
      <c r="HN24" s="2692"/>
      <c r="HO24" s="2692"/>
      <c r="HP24" s="2692"/>
      <c r="HQ24" s="2692"/>
      <c r="HR24" s="2692"/>
      <c r="HS24" s="2692"/>
      <c r="HT24" s="2692"/>
      <c r="HU24" s="2692"/>
      <c r="HV24" s="2692"/>
      <c r="HW24" s="2692"/>
      <c r="HX24" s="2692"/>
      <c r="HY24" s="2692"/>
      <c r="HZ24" s="2692"/>
      <c r="IA24" s="2692"/>
      <c r="IB24" s="2692"/>
      <c r="IC24" s="2692"/>
      <c r="ID24" s="2692"/>
      <c r="IE24" s="2692"/>
      <c r="IF24" s="2692"/>
      <c r="IG24" s="2692"/>
      <c r="IH24" s="2692"/>
      <c r="II24" s="2692"/>
      <c r="IJ24" s="2692"/>
      <c r="IK24" s="2692"/>
      <c r="IL24" s="2692"/>
      <c r="IM24" s="2692"/>
      <c r="IN24" s="2692"/>
      <c r="IO24" s="2692"/>
      <c r="IP24" s="2692"/>
      <c r="IQ24" s="2692"/>
      <c r="IR24" s="2692"/>
      <c r="IS24" s="2692"/>
      <c r="IT24" s="2692"/>
      <c r="IU24" s="2692"/>
      <c r="IV24" s="2692"/>
    </row>
    <row r="25" spans="1:256" s="40" customFormat="1" ht="16" thickBot="1" x14ac:dyDescent="0.4">
      <c r="A25" s="2702"/>
      <c r="B25" s="2951"/>
      <c r="C25" s="2700"/>
      <c r="D25" s="2700"/>
      <c r="E25" s="2701"/>
      <c r="F25" s="2700"/>
      <c r="G25" s="2700"/>
      <c r="H25" s="2777"/>
      <c r="I25" s="2708"/>
      <c r="J25" s="2709"/>
      <c r="K25" s="2692"/>
      <c r="L25" s="2692"/>
      <c r="M25" s="2692"/>
      <c r="N25" s="2692"/>
      <c r="O25" s="2692"/>
      <c r="P25" s="2692"/>
      <c r="Q25" s="2692"/>
      <c r="R25" s="2692"/>
      <c r="S25" s="2692"/>
      <c r="T25" s="2692"/>
      <c r="U25" s="2692"/>
      <c r="V25" s="2692"/>
      <c r="W25" s="2692"/>
      <c r="X25" s="2692"/>
      <c r="Y25" s="2692"/>
      <c r="Z25" s="2692"/>
      <c r="AA25" s="2692"/>
      <c r="AB25" s="2692"/>
      <c r="AC25" s="2692"/>
      <c r="AD25" s="2692"/>
      <c r="AE25" s="2692"/>
      <c r="AF25" s="2692"/>
      <c r="AG25" s="2692"/>
      <c r="AH25" s="2692"/>
      <c r="AI25" s="2692"/>
      <c r="AJ25" s="2692"/>
      <c r="AK25" s="2692"/>
      <c r="AL25" s="2692"/>
      <c r="AM25" s="2692"/>
      <c r="AN25" s="2692"/>
      <c r="AO25" s="2692"/>
      <c r="AP25" s="2692"/>
      <c r="AQ25" s="2692"/>
      <c r="AR25" s="2692"/>
      <c r="AS25" s="2692"/>
      <c r="AT25" s="2692"/>
      <c r="AU25" s="2692"/>
      <c r="AV25" s="2692"/>
      <c r="AW25" s="2692"/>
      <c r="AX25" s="2692"/>
      <c r="AY25" s="2692"/>
      <c r="AZ25" s="2692"/>
      <c r="BA25" s="2692"/>
      <c r="BB25" s="2692"/>
      <c r="BC25" s="2692"/>
      <c r="BD25" s="2692"/>
      <c r="BE25" s="2692"/>
      <c r="BF25" s="2692"/>
      <c r="BG25" s="2692"/>
      <c r="BH25" s="2692"/>
      <c r="BI25" s="2692"/>
      <c r="BJ25" s="2692"/>
      <c r="BK25" s="2692"/>
      <c r="BL25" s="2692"/>
      <c r="BM25" s="2692"/>
      <c r="BN25" s="2692"/>
      <c r="BO25" s="2692"/>
      <c r="BP25" s="2692"/>
      <c r="BQ25" s="2692"/>
      <c r="BR25" s="2692"/>
      <c r="BS25" s="2692"/>
      <c r="BT25" s="2692"/>
      <c r="BU25" s="2692"/>
      <c r="BV25" s="2692"/>
      <c r="BW25" s="2692"/>
      <c r="BX25" s="2692"/>
      <c r="BY25" s="2692"/>
      <c r="BZ25" s="2692"/>
      <c r="CA25" s="2692"/>
      <c r="CB25" s="2692"/>
      <c r="CC25" s="2692"/>
      <c r="CD25" s="2692"/>
      <c r="CE25" s="2692"/>
      <c r="CF25" s="2692"/>
      <c r="CG25" s="2692"/>
      <c r="CH25" s="2692"/>
      <c r="CI25" s="2692"/>
      <c r="CJ25" s="2692"/>
      <c r="CK25" s="2692"/>
      <c r="CL25" s="2692"/>
      <c r="CM25" s="2692"/>
      <c r="CN25" s="2692"/>
      <c r="CO25" s="2692"/>
      <c r="CP25" s="2692"/>
      <c r="CQ25" s="2692"/>
      <c r="CR25" s="2692"/>
      <c r="CS25" s="2692"/>
      <c r="CT25" s="2692"/>
      <c r="CU25" s="2692"/>
      <c r="CV25" s="2692"/>
      <c r="CW25" s="2692"/>
      <c r="CX25" s="2692"/>
      <c r="CY25" s="2692"/>
      <c r="CZ25" s="2692"/>
      <c r="DA25" s="2692"/>
      <c r="DB25" s="2692"/>
      <c r="DC25" s="2692"/>
      <c r="DD25" s="2692"/>
      <c r="DE25" s="2692"/>
      <c r="DF25" s="2692"/>
      <c r="DG25" s="2692"/>
      <c r="DH25" s="2692"/>
      <c r="DI25" s="2692"/>
      <c r="DJ25" s="2692"/>
      <c r="DK25" s="2692"/>
      <c r="DL25" s="2692"/>
      <c r="DM25" s="2692"/>
      <c r="DN25" s="2692"/>
      <c r="DO25" s="2692"/>
      <c r="DP25" s="2692"/>
      <c r="DQ25" s="2692"/>
      <c r="DR25" s="2692"/>
      <c r="DS25" s="2692"/>
      <c r="DT25" s="2692"/>
      <c r="DU25" s="2692"/>
      <c r="DV25" s="2692"/>
      <c r="DW25" s="2692"/>
      <c r="DX25" s="2692"/>
      <c r="DY25" s="2692"/>
      <c r="DZ25" s="2692"/>
      <c r="EA25" s="2692"/>
      <c r="EB25" s="2692"/>
      <c r="EC25" s="2692"/>
      <c r="ED25" s="2692"/>
      <c r="EE25" s="2692"/>
      <c r="EF25" s="2692"/>
      <c r="EG25" s="2692"/>
      <c r="EH25" s="2692"/>
      <c r="EI25" s="2692"/>
      <c r="EJ25" s="2692"/>
      <c r="EK25" s="2692"/>
      <c r="EL25" s="2692"/>
      <c r="EM25" s="2692"/>
      <c r="EN25" s="2692"/>
      <c r="EO25" s="2692"/>
      <c r="EP25" s="2692"/>
      <c r="EQ25" s="2692"/>
      <c r="ER25" s="2692"/>
      <c r="ES25" s="2692"/>
      <c r="ET25" s="2692"/>
      <c r="EU25" s="2692"/>
      <c r="EV25" s="2692"/>
      <c r="EW25" s="2692"/>
      <c r="EX25" s="2692"/>
      <c r="EY25" s="2692"/>
      <c r="EZ25" s="2692"/>
      <c r="FA25" s="2692"/>
      <c r="FB25" s="2692"/>
      <c r="FC25" s="2692"/>
      <c r="FD25" s="2692"/>
      <c r="FE25" s="2692"/>
      <c r="FF25" s="2692"/>
      <c r="FG25" s="2692"/>
      <c r="FH25" s="2692"/>
      <c r="FI25" s="2692"/>
      <c r="FJ25" s="2692"/>
      <c r="FK25" s="2692"/>
      <c r="FL25" s="2692"/>
      <c r="FM25" s="2692"/>
      <c r="FN25" s="2692"/>
      <c r="FO25" s="2692"/>
      <c r="FP25" s="2692"/>
      <c r="FQ25" s="2692"/>
      <c r="FR25" s="2692"/>
      <c r="FS25" s="2692"/>
      <c r="FT25" s="2692"/>
      <c r="FU25" s="2692"/>
      <c r="FV25" s="2692"/>
      <c r="FW25" s="2692"/>
      <c r="FX25" s="2692"/>
      <c r="FY25" s="2692"/>
      <c r="FZ25" s="2692"/>
      <c r="GA25" s="2692"/>
      <c r="GB25" s="2692"/>
      <c r="GC25" s="2692"/>
      <c r="GD25" s="2692"/>
      <c r="GE25" s="2692"/>
      <c r="GF25" s="2692"/>
      <c r="GG25" s="2692"/>
      <c r="GH25" s="2692"/>
      <c r="GI25" s="2692"/>
      <c r="GJ25" s="2692"/>
      <c r="GK25" s="2692"/>
      <c r="GL25" s="2692"/>
      <c r="GM25" s="2692"/>
      <c r="GN25" s="2692"/>
      <c r="GO25" s="2692"/>
      <c r="GP25" s="2692"/>
      <c r="GQ25" s="2692"/>
      <c r="GR25" s="2692"/>
      <c r="GS25" s="2692"/>
      <c r="GT25" s="2692"/>
      <c r="GU25" s="2692"/>
      <c r="GV25" s="2692"/>
      <c r="GW25" s="2692"/>
      <c r="GX25" s="2692"/>
      <c r="GY25" s="2692"/>
      <c r="GZ25" s="2692"/>
      <c r="HA25" s="2692"/>
      <c r="HB25" s="2692"/>
      <c r="HC25" s="2692"/>
      <c r="HD25" s="2692"/>
      <c r="HE25" s="2692"/>
      <c r="HF25" s="2692"/>
      <c r="HG25" s="2692"/>
      <c r="HH25" s="2692"/>
      <c r="HI25" s="2692"/>
      <c r="HJ25" s="2692"/>
      <c r="HK25" s="2692"/>
      <c r="HL25" s="2692"/>
      <c r="HM25" s="2692"/>
      <c r="HN25" s="2692"/>
      <c r="HO25" s="2692"/>
      <c r="HP25" s="2692"/>
      <c r="HQ25" s="2692"/>
      <c r="HR25" s="2692"/>
      <c r="HS25" s="2692"/>
      <c r="HT25" s="2692"/>
      <c r="HU25" s="2692"/>
      <c r="HV25" s="2692"/>
      <c r="HW25" s="2692"/>
      <c r="HX25" s="2692"/>
      <c r="HY25" s="2692"/>
      <c r="HZ25" s="2692"/>
      <c r="IA25" s="2692"/>
      <c r="IB25" s="2692"/>
      <c r="IC25" s="2692"/>
      <c r="ID25" s="2692"/>
      <c r="IE25" s="2692"/>
      <c r="IF25" s="2692"/>
      <c r="IG25" s="2692"/>
      <c r="IH25" s="2692"/>
      <c r="II25" s="2692"/>
      <c r="IJ25" s="2692"/>
      <c r="IK25" s="2692"/>
      <c r="IL25" s="2692"/>
      <c r="IM25" s="2692"/>
      <c r="IN25" s="2692"/>
      <c r="IO25" s="2692"/>
      <c r="IP25" s="2692"/>
      <c r="IQ25" s="2692"/>
      <c r="IR25" s="2692"/>
      <c r="IS25" s="2692"/>
      <c r="IT25" s="2692"/>
      <c r="IU25" s="2692"/>
      <c r="IV25" s="2692"/>
    </row>
    <row r="26" spans="1:256" s="40" customFormat="1" ht="13.5" thickTop="1" x14ac:dyDescent="0.3">
      <c r="A26" s="2697"/>
      <c r="B26" s="3362" t="s">
        <v>2532</v>
      </c>
      <c r="C26" s="3362"/>
      <c r="D26" s="3362"/>
      <c r="E26" s="2698"/>
      <c r="F26" s="2699"/>
      <c r="G26" s="3394" t="s">
        <v>2533</v>
      </c>
      <c r="H26" s="3394"/>
      <c r="I26" s="3394"/>
      <c r="J26" s="2704"/>
      <c r="K26" s="2692"/>
      <c r="L26" s="2692"/>
      <c r="M26" s="2692"/>
      <c r="N26" s="2692"/>
      <c r="O26" s="2692"/>
      <c r="P26" s="2692"/>
      <c r="Q26" s="2692"/>
      <c r="R26" s="2692"/>
      <c r="S26" s="2692"/>
      <c r="T26" s="2692"/>
      <c r="U26" s="2692"/>
      <c r="V26" s="2692"/>
      <c r="W26" s="2692"/>
      <c r="X26" s="2692"/>
      <c r="Y26" s="2692"/>
      <c r="Z26" s="2692"/>
      <c r="AA26" s="2692"/>
      <c r="AB26" s="2692"/>
      <c r="AC26" s="2692"/>
      <c r="AD26" s="2692"/>
      <c r="AE26" s="2692"/>
      <c r="AF26" s="2692"/>
      <c r="AG26" s="2692"/>
      <c r="AH26" s="2692"/>
      <c r="AI26" s="2692"/>
      <c r="AJ26" s="2692"/>
      <c r="AK26" s="2692"/>
      <c r="AL26" s="2692"/>
      <c r="AM26" s="2692"/>
      <c r="AN26" s="2692"/>
      <c r="AO26" s="2692"/>
      <c r="AP26" s="2692"/>
      <c r="AQ26" s="2692"/>
      <c r="AR26" s="2692"/>
      <c r="AS26" s="2692"/>
      <c r="AT26" s="2692"/>
      <c r="AU26" s="2692"/>
      <c r="AV26" s="2692"/>
      <c r="AW26" s="2692"/>
      <c r="AX26" s="2692"/>
      <c r="AY26" s="2692"/>
      <c r="AZ26" s="2692"/>
      <c r="BA26" s="2692"/>
      <c r="BB26" s="2692"/>
      <c r="BC26" s="2692"/>
      <c r="BD26" s="2692"/>
      <c r="BE26" s="2692"/>
      <c r="BF26" s="2692"/>
      <c r="BG26" s="2692"/>
      <c r="BH26" s="2692"/>
      <c r="BI26" s="2692"/>
      <c r="BJ26" s="2692"/>
      <c r="BK26" s="2692"/>
      <c r="BL26" s="2692"/>
      <c r="BM26" s="2692"/>
      <c r="BN26" s="2692"/>
      <c r="BO26" s="2692"/>
      <c r="BP26" s="2692"/>
      <c r="BQ26" s="2692"/>
      <c r="BR26" s="2692"/>
      <c r="BS26" s="2692"/>
      <c r="BT26" s="2692"/>
      <c r="BU26" s="2692"/>
      <c r="BV26" s="2692"/>
      <c r="BW26" s="2692"/>
      <c r="BX26" s="2692"/>
      <c r="BY26" s="2692"/>
      <c r="BZ26" s="2692"/>
      <c r="CA26" s="2692"/>
      <c r="CB26" s="2692"/>
      <c r="CC26" s="2692"/>
      <c r="CD26" s="2692"/>
      <c r="CE26" s="2692"/>
      <c r="CF26" s="2692"/>
      <c r="CG26" s="2692"/>
      <c r="CH26" s="2692"/>
      <c r="CI26" s="2692"/>
      <c r="CJ26" s="2692"/>
      <c r="CK26" s="2692"/>
      <c r="CL26" s="2692"/>
      <c r="CM26" s="2692"/>
      <c r="CN26" s="2692"/>
      <c r="CO26" s="2692"/>
      <c r="CP26" s="2692"/>
      <c r="CQ26" s="2692"/>
      <c r="CR26" s="2692"/>
      <c r="CS26" s="2692"/>
      <c r="CT26" s="2692"/>
      <c r="CU26" s="2692"/>
      <c r="CV26" s="2692"/>
      <c r="CW26" s="2692"/>
      <c r="CX26" s="2692"/>
      <c r="CY26" s="2692"/>
      <c r="CZ26" s="2692"/>
      <c r="DA26" s="2692"/>
      <c r="DB26" s="2692"/>
      <c r="DC26" s="2692"/>
      <c r="DD26" s="2692"/>
      <c r="DE26" s="2692"/>
      <c r="DF26" s="2692"/>
      <c r="DG26" s="2692"/>
      <c r="DH26" s="2692"/>
      <c r="DI26" s="2692"/>
      <c r="DJ26" s="2692"/>
      <c r="DK26" s="2692"/>
      <c r="DL26" s="2692"/>
      <c r="DM26" s="2692"/>
      <c r="DN26" s="2692"/>
      <c r="DO26" s="2692"/>
      <c r="DP26" s="2692"/>
      <c r="DQ26" s="2692"/>
      <c r="DR26" s="2692"/>
      <c r="DS26" s="2692"/>
      <c r="DT26" s="2692"/>
      <c r="DU26" s="2692"/>
      <c r="DV26" s="2692"/>
      <c r="DW26" s="2692"/>
      <c r="DX26" s="2692"/>
      <c r="DY26" s="2692"/>
      <c r="DZ26" s="2692"/>
      <c r="EA26" s="2692"/>
      <c r="EB26" s="2692"/>
      <c r="EC26" s="2692"/>
      <c r="ED26" s="2692"/>
      <c r="EE26" s="2692"/>
      <c r="EF26" s="2692"/>
      <c r="EG26" s="2692"/>
      <c r="EH26" s="2692"/>
      <c r="EI26" s="2692"/>
      <c r="EJ26" s="2692"/>
      <c r="EK26" s="2692"/>
      <c r="EL26" s="2692"/>
      <c r="EM26" s="2692"/>
      <c r="EN26" s="2692"/>
      <c r="EO26" s="2692"/>
      <c r="EP26" s="2692"/>
      <c r="EQ26" s="2692"/>
      <c r="ER26" s="2692"/>
      <c r="ES26" s="2692"/>
      <c r="ET26" s="2692"/>
      <c r="EU26" s="2692"/>
      <c r="EV26" s="2692"/>
      <c r="EW26" s="2692"/>
      <c r="EX26" s="2692"/>
      <c r="EY26" s="2692"/>
      <c r="EZ26" s="2692"/>
      <c r="FA26" s="2692"/>
      <c r="FB26" s="2692"/>
      <c r="FC26" s="2692"/>
      <c r="FD26" s="2692"/>
      <c r="FE26" s="2692"/>
      <c r="FF26" s="2692"/>
      <c r="FG26" s="2692"/>
      <c r="FH26" s="2692"/>
      <c r="FI26" s="2692"/>
      <c r="FJ26" s="2692"/>
      <c r="FK26" s="2692"/>
      <c r="FL26" s="2692"/>
      <c r="FM26" s="2692"/>
      <c r="FN26" s="2692"/>
      <c r="FO26" s="2692"/>
      <c r="FP26" s="2692"/>
      <c r="FQ26" s="2692"/>
      <c r="FR26" s="2692"/>
      <c r="FS26" s="2692"/>
      <c r="FT26" s="2692"/>
      <c r="FU26" s="2692"/>
      <c r="FV26" s="2692"/>
      <c r="FW26" s="2692"/>
      <c r="FX26" s="2692"/>
      <c r="FY26" s="2692"/>
      <c r="FZ26" s="2692"/>
      <c r="GA26" s="2692"/>
      <c r="GB26" s="2692"/>
      <c r="GC26" s="2692"/>
      <c r="GD26" s="2692"/>
      <c r="GE26" s="2692"/>
      <c r="GF26" s="2692"/>
      <c r="GG26" s="2692"/>
      <c r="GH26" s="2692"/>
      <c r="GI26" s="2692"/>
      <c r="GJ26" s="2692"/>
      <c r="GK26" s="2692"/>
      <c r="GL26" s="2692"/>
      <c r="GM26" s="2692"/>
      <c r="GN26" s="2692"/>
      <c r="GO26" s="2692"/>
      <c r="GP26" s="2692"/>
      <c r="GQ26" s="2692"/>
      <c r="GR26" s="2692"/>
      <c r="GS26" s="2692"/>
      <c r="GT26" s="2692"/>
      <c r="GU26" s="2692"/>
      <c r="GV26" s="2692"/>
      <c r="GW26" s="2692"/>
      <c r="GX26" s="2692"/>
      <c r="GY26" s="2692"/>
      <c r="GZ26" s="2692"/>
      <c r="HA26" s="2692"/>
      <c r="HB26" s="2692"/>
      <c r="HC26" s="2692"/>
      <c r="HD26" s="2692"/>
      <c r="HE26" s="2692"/>
      <c r="HF26" s="2692"/>
      <c r="HG26" s="2692"/>
      <c r="HH26" s="2692"/>
      <c r="HI26" s="2692"/>
      <c r="HJ26" s="2692"/>
      <c r="HK26" s="2692"/>
      <c r="HL26" s="2692"/>
      <c r="HM26" s="2692"/>
      <c r="HN26" s="2692"/>
      <c r="HO26" s="2692"/>
      <c r="HP26" s="2692"/>
      <c r="HQ26" s="2692"/>
      <c r="HR26" s="2692"/>
      <c r="HS26" s="2692"/>
      <c r="HT26" s="2692"/>
      <c r="HU26" s="2692"/>
      <c r="HV26" s="2692"/>
      <c r="HW26" s="2692"/>
      <c r="HX26" s="2692"/>
      <c r="HY26" s="2692"/>
      <c r="HZ26" s="2692"/>
      <c r="IA26" s="2692"/>
      <c r="IB26" s="2692"/>
      <c r="IC26" s="2692"/>
      <c r="ID26" s="2692"/>
      <c r="IE26" s="2692"/>
      <c r="IF26" s="2692"/>
      <c r="IG26" s="2692"/>
      <c r="IH26" s="2692"/>
      <c r="II26" s="2692"/>
      <c r="IJ26" s="2692"/>
      <c r="IK26" s="2692"/>
      <c r="IL26" s="2692"/>
      <c r="IM26" s="2692"/>
      <c r="IN26" s="2692"/>
      <c r="IO26" s="2692"/>
      <c r="IP26" s="2692"/>
      <c r="IQ26" s="2692"/>
      <c r="IR26" s="2692"/>
      <c r="IS26" s="2692"/>
      <c r="IT26" s="2692"/>
      <c r="IU26" s="2692"/>
      <c r="IV26" s="2692"/>
    </row>
    <row r="27" spans="1:256" s="40" customFormat="1" ht="15.75" customHeight="1" x14ac:dyDescent="0.25">
      <c r="A27" s="2935" t="s">
        <v>2534</v>
      </c>
      <c r="B27" s="3370"/>
      <c r="C27" s="3370"/>
      <c r="D27" s="3370"/>
      <c r="E27" s="3371"/>
      <c r="F27" s="40" t="s">
        <v>2863</v>
      </c>
      <c r="G27" s="3386"/>
      <c r="H27" s="3386"/>
      <c r="I27" s="3386"/>
      <c r="J27" s="3387"/>
      <c r="K27" s="2692"/>
      <c r="L27" s="2692"/>
      <c r="M27" s="2692"/>
      <c r="N27" s="2692"/>
      <c r="O27" s="2692"/>
      <c r="P27" s="2692"/>
      <c r="Q27" s="2692"/>
      <c r="R27" s="2692"/>
      <c r="S27" s="2692"/>
      <c r="T27" s="2692"/>
      <c r="U27" s="2692"/>
      <c r="V27" s="2692"/>
      <c r="W27" s="2692"/>
      <c r="X27" s="2692"/>
      <c r="Y27" s="2692"/>
      <c r="Z27" s="2692"/>
      <c r="AA27" s="2692"/>
      <c r="AB27" s="2692"/>
      <c r="AC27" s="2692"/>
      <c r="AD27" s="2692"/>
      <c r="AE27" s="2692"/>
      <c r="AF27" s="2692"/>
      <c r="AG27" s="2692"/>
      <c r="AH27" s="2692"/>
      <c r="AI27" s="2692"/>
      <c r="AJ27" s="2692"/>
      <c r="AK27" s="2692"/>
      <c r="AL27" s="2692"/>
      <c r="AM27" s="2692"/>
      <c r="AN27" s="2692"/>
      <c r="AO27" s="2692"/>
      <c r="AP27" s="2692"/>
      <c r="AQ27" s="2692"/>
      <c r="AR27" s="2692"/>
      <c r="AS27" s="2692"/>
      <c r="AT27" s="2692"/>
      <c r="AU27" s="2692"/>
      <c r="AV27" s="2692"/>
      <c r="AW27" s="2692"/>
      <c r="AX27" s="2692"/>
      <c r="AY27" s="2692"/>
      <c r="AZ27" s="2692"/>
      <c r="BA27" s="2692"/>
      <c r="BB27" s="2692"/>
      <c r="BC27" s="2692"/>
      <c r="BD27" s="2692"/>
      <c r="BE27" s="2692"/>
      <c r="BF27" s="2692"/>
      <c r="BG27" s="2692"/>
      <c r="BH27" s="2692"/>
      <c r="BI27" s="2692"/>
      <c r="BJ27" s="2692"/>
      <c r="BK27" s="2692"/>
      <c r="BL27" s="2692"/>
      <c r="BM27" s="2692"/>
      <c r="BN27" s="2692"/>
      <c r="BO27" s="2692"/>
      <c r="BP27" s="2692"/>
      <c r="BQ27" s="2692"/>
      <c r="BR27" s="2692"/>
      <c r="BS27" s="2692"/>
      <c r="BT27" s="2692"/>
      <c r="BU27" s="2692"/>
      <c r="BV27" s="2692"/>
      <c r="BW27" s="2692"/>
      <c r="BX27" s="2692"/>
      <c r="BY27" s="2692"/>
      <c r="BZ27" s="2692"/>
      <c r="CA27" s="2692"/>
      <c r="CB27" s="2692"/>
      <c r="CC27" s="2692"/>
      <c r="CD27" s="2692"/>
      <c r="CE27" s="2692"/>
      <c r="CF27" s="2692"/>
      <c r="CG27" s="2692"/>
      <c r="CH27" s="2692"/>
      <c r="CI27" s="2692"/>
      <c r="CJ27" s="2692"/>
      <c r="CK27" s="2692"/>
      <c r="CL27" s="2692"/>
      <c r="CM27" s="2692"/>
      <c r="CN27" s="2692"/>
      <c r="CO27" s="2692"/>
      <c r="CP27" s="2692"/>
      <c r="CQ27" s="2692"/>
      <c r="CR27" s="2692"/>
      <c r="CS27" s="2692"/>
      <c r="CT27" s="2692"/>
      <c r="CU27" s="2692"/>
      <c r="CV27" s="2692"/>
      <c r="CW27" s="2692"/>
      <c r="CX27" s="2692"/>
      <c r="CY27" s="2692"/>
      <c r="CZ27" s="2692"/>
      <c r="DA27" s="2692"/>
      <c r="DB27" s="2692"/>
      <c r="DC27" s="2692"/>
      <c r="DD27" s="2692"/>
      <c r="DE27" s="2692"/>
      <c r="DF27" s="2692"/>
      <c r="DG27" s="2692"/>
      <c r="DH27" s="2692"/>
      <c r="DI27" s="2692"/>
      <c r="DJ27" s="2692"/>
      <c r="DK27" s="2692"/>
      <c r="DL27" s="2692"/>
      <c r="DM27" s="2692"/>
      <c r="DN27" s="2692"/>
      <c r="DO27" s="2692"/>
      <c r="DP27" s="2692"/>
      <c r="DQ27" s="2692"/>
      <c r="DR27" s="2692"/>
      <c r="DS27" s="2692"/>
      <c r="DT27" s="2692"/>
      <c r="DU27" s="2692"/>
      <c r="DV27" s="2692"/>
      <c r="DW27" s="2692"/>
      <c r="DX27" s="2692"/>
      <c r="DY27" s="2692"/>
      <c r="DZ27" s="2692"/>
      <c r="EA27" s="2692"/>
      <c r="EB27" s="2692"/>
      <c r="EC27" s="2692"/>
      <c r="ED27" s="2692"/>
      <c r="EE27" s="2692"/>
      <c r="EF27" s="2692"/>
      <c r="EG27" s="2692"/>
      <c r="EH27" s="2692"/>
      <c r="EI27" s="2692"/>
      <c r="EJ27" s="2692"/>
      <c r="EK27" s="2692"/>
      <c r="EL27" s="2692"/>
      <c r="EM27" s="2692"/>
      <c r="EN27" s="2692"/>
      <c r="EO27" s="2692"/>
      <c r="EP27" s="2692"/>
      <c r="EQ27" s="2692"/>
      <c r="ER27" s="2692"/>
      <c r="ES27" s="2692"/>
      <c r="ET27" s="2692"/>
      <c r="EU27" s="2692"/>
      <c r="EV27" s="2692"/>
      <c r="EW27" s="2692"/>
      <c r="EX27" s="2692"/>
      <c r="EY27" s="2692"/>
      <c r="EZ27" s="2692"/>
      <c r="FA27" s="2692"/>
      <c r="FB27" s="2692"/>
      <c r="FC27" s="2692"/>
      <c r="FD27" s="2692"/>
      <c r="FE27" s="2692"/>
      <c r="FF27" s="2692"/>
      <c r="FG27" s="2692"/>
      <c r="FH27" s="2692"/>
      <c r="FI27" s="2692"/>
      <c r="FJ27" s="2692"/>
      <c r="FK27" s="2692"/>
      <c r="FL27" s="2692"/>
      <c r="FM27" s="2692"/>
      <c r="FN27" s="2692"/>
      <c r="FO27" s="2692"/>
      <c r="FP27" s="2692"/>
      <c r="FQ27" s="2692"/>
      <c r="FR27" s="2692"/>
      <c r="FS27" s="2692"/>
      <c r="FT27" s="2692"/>
      <c r="FU27" s="2692"/>
      <c r="FV27" s="2692"/>
      <c r="FW27" s="2692"/>
      <c r="FX27" s="2692"/>
      <c r="FY27" s="2692"/>
      <c r="FZ27" s="2692"/>
      <c r="GA27" s="2692"/>
      <c r="GB27" s="2692"/>
      <c r="GC27" s="2692"/>
      <c r="GD27" s="2692"/>
      <c r="GE27" s="2692"/>
      <c r="GF27" s="2692"/>
      <c r="GG27" s="2692"/>
      <c r="GH27" s="2692"/>
      <c r="GI27" s="2692"/>
      <c r="GJ27" s="2692"/>
      <c r="GK27" s="2692"/>
      <c r="GL27" s="2692"/>
      <c r="GM27" s="2692"/>
      <c r="GN27" s="2692"/>
      <c r="GO27" s="2692"/>
      <c r="GP27" s="2692"/>
      <c r="GQ27" s="2692"/>
      <c r="GR27" s="2692"/>
      <c r="GS27" s="2692"/>
      <c r="GT27" s="2692"/>
      <c r="GU27" s="2692"/>
      <c r="GV27" s="2692"/>
      <c r="GW27" s="2692"/>
      <c r="GX27" s="2692"/>
      <c r="GY27" s="2692"/>
      <c r="GZ27" s="2692"/>
      <c r="HA27" s="2692"/>
      <c r="HB27" s="2692"/>
      <c r="HC27" s="2692"/>
      <c r="HD27" s="2692"/>
      <c r="HE27" s="2692"/>
      <c r="HF27" s="2692"/>
      <c r="HG27" s="2692"/>
      <c r="HH27" s="2692"/>
      <c r="HI27" s="2692"/>
      <c r="HJ27" s="2692"/>
      <c r="HK27" s="2692"/>
      <c r="HL27" s="2692"/>
      <c r="HM27" s="2692"/>
      <c r="HN27" s="2692"/>
      <c r="HO27" s="2692"/>
      <c r="HP27" s="2692"/>
      <c r="HQ27" s="2692"/>
      <c r="HR27" s="2692"/>
      <c r="HS27" s="2692"/>
      <c r="HT27" s="2692"/>
      <c r="HU27" s="2692"/>
      <c r="HV27" s="2692"/>
      <c r="HW27" s="2692"/>
      <c r="HX27" s="2692"/>
      <c r="HY27" s="2692"/>
      <c r="HZ27" s="2692"/>
      <c r="IA27" s="2692"/>
      <c r="IB27" s="2692"/>
      <c r="IC27" s="2692"/>
      <c r="ID27" s="2692"/>
      <c r="IE27" s="2692"/>
      <c r="IF27" s="2692"/>
      <c r="IG27" s="2692"/>
      <c r="IH27" s="2692"/>
      <c r="II27" s="2692"/>
      <c r="IJ27" s="2692"/>
      <c r="IK27" s="2692"/>
      <c r="IL27" s="2692"/>
      <c r="IM27" s="2692"/>
      <c r="IN27" s="2692"/>
      <c r="IO27" s="2692"/>
      <c r="IP27" s="2692"/>
      <c r="IQ27" s="2692"/>
      <c r="IR27" s="2692"/>
      <c r="IS27" s="2692"/>
      <c r="IT27" s="2692"/>
      <c r="IU27" s="2692"/>
      <c r="IV27" s="2692"/>
    </row>
    <row r="28" spans="1:256" s="40" customFormat="1" ht="15" customHeight="1" x14ac:dyDescent="0.25">
      <c r="A28" s="2935" t="s">
        <v>2535</v>
      </c>
      <c r="B28" s="3370"/>
      <c r="C28" s="3370"/>
      <c r="D28" s="3370"/>
      <c r="E28" s="3371"/>
      <c r="F28" s="2778" t="s">
        <v>2864</v>
      </c>
      <c r="G28" s="3386"/>
      <c r="H28" s="3386"/>
      <c r="I28" s="3386"/>
      <c r="J28" s="3387"/>
      <c r="K28" s="2692"/>
      <c r="L28" s="2692"/>
      <c r="M28" s="2692"/>
      <c r="N28" s="2692"/>
      <c r="O28" s="2692"/>
      <c r="P28" s="2692"/>
      <c r="Q28" s="2692"/>
      <c r="R28" s="2692"/>
      <c r="S28" s="2692"/>
      <c r="T28" s="2692"/>
      <c r="U28" s="2692"/>
      <c r="V28" s="2692"/>
      <c r="W28" s="2692"/>
      <c r="X28" s="2692"/>
      <c r="Y28" s="2692"/>
      <c r="Z28" s="2692"/>
      <c r="AA28" s="2692"/>
      <c r="AB28" s="2692"/>
      <c r="AC28" s="2692"/>
      <c r="AD28" s="2692"/>
      <c r="AE28" s="2692"/>
      <c r="AF28" s="2692"/>
      <c r="AG28" s="2692"/>
      <c r="AH28" s="2692"/>
      <c r="AI28" s="2692"/>
      <c r="AJ28" s="2692"/>
      <c r="AK28" s="2692"/>
      <c r="AL28" s="2692"/>
      <c r="AM28" s="2692"/>
      <c r="AN28" s="2692"/>
      <c r="AO28" s="2692"/>
      <c r="AP28" s="2692"/>
      <c r="AQ28" s="2692"/>
      <c r="AR28" s="2692"/>
      <c r="AS28" s="2692"/>
      <c r="AT28" s="2692"/>
      <c r="AU28" s="2692"/>
      <c r="AV28" s="2692"/>
      <c r="AW28" s="2692"/>
      <c r="AX28" s="2692"/>
      <c r="AY28" s="2692"/>
      <c r="AZ28" s="2692"/>
      <c r="BA28" s="2692"/>
      <c r="BB28" s="2692"/>
      <c r="BC28" s="2692"/>
      <c r="BD28" s="2692"/>
      <c r="BE28" s="2692"/>
      <c r="BF28" s="2692"/>
      <c r="BG28" s="2692"/>
      <c r="BH28" s="2692"/>
      <c r="BI28" s="2692"/>
      <c r="BJ28" s="2692"/>
      <c r="BK28" s="2692"/>
      <c r="BL28" s="2692"/>
      <c r="BM28" s="2692"/>
      <c r="BN28" s="2692"/>
      <c r="BO28" s="2692"/>
      <c r="BP28" s="2692"/>
      <c r="BQ28" s="2692"/>
      <c r="BR28" s="2692"/>
      <c r="BS28" s="2692"/>
      <c r="BT28" s="2692"/>
      <c r="BU28" s="2692"/>
      <c r="BV28" s="2692"/>
      <c r="BW28" s="2692"/>
      <c r="BX28" s="2692"/>
      <c r="BY28" s="2692"/>
      <c r="BZ28" s="2692"/>
      <c r="CA28" s="2692"/>
      <c r="CB28" s="2692"/>
      <c r="CC28" s="2692"/>
      <c r="CD28" s="2692"/>
      <c r="CE28" s="2692"/>
      <c r="CF28" s="2692"/>
      <c r="CG28" s="2692"/>
      <c r="CH28" s="2692"/>
      <c r="CI28" s="2692"/>
      <c r="CJ28" s="2692"/>
      <c r="CK28" s="2692"/>
      <c r="CL28" s="2692"/>
      <c r="CM28" s="2692"/>
      <c r="CN28" s="2692"/>
      <c r="CO28" s="2692"/>
      <c r="CP28" s="2692"/>
      <c r="CQ28" s="2692"/>
      <c r="CR28" s="2692"/>
      <c r="CS28" s="2692"/>
      <c r="CT28" s="2692"/>
      <c r="CU28" s="2692"/>
      <c r="CV28" s="2692"/>
      <c r="CW28" s="2692"/>
      <c r="CX28" s="2692"/>
      <c r="CY28" s="2692"/>
      <c r="CZ28" s="2692"/>
      <c r="DA28" s="2692"/>
      <c r="DB28" s="2692"/>
      <c r="DC28" s="2692"/>
      <c r="DD28" s="2692"/>
      <c r="DE28" s="2692"/>
      <c r="DF28" s="2692"/>
      <c r="DG28" s="2692"/>
      <c r="DH28" s="2692"/>
      <c r="DI28" s="2692"/>
      <c r="DJ28" s="2692"/>
      <c r="DK28" s="2692"/>
      <c r="DL28" s="2692"/>
      <c r="DM28" s="2692"/>
      <c r="DN28" s="2692"/>
      <c r="DO28" s="2692"/>
      <c r="DP28" s="2692"/>
      <c r="DQ28" s="2692"/>
      <c r="DR28" s="2692"/>
      <c r="DS28" s="2692"/>
      <c r="DT28" s="2692"/>
      <c r="DU28" s="2692"/>
      <c r="DV28" s="2692"/>
      <c r="DW28" s="2692"/>
      <c r="DX28" s="2692"/>
      <c r="DY28" s="2692"/>
      <c r="DZ28" s="2692"/>
      <c r="EA28" s="2692"/>
      <c r="EB28" s="2692"/>
      <c r="EC28" s="2692"/>
      <c r="ED28" s="2692"/>
      <c r="EE28" s="2692"/>
      <c r="EF28" s="2692"/>
      <c r="EG28" s="2692"/>
      <c r="EH28" s="2692"/>
      <c r="EI28" s="2692"/>
      <c r="EJ28" s="2692"/>
      <c r="EK28" s="2692"/>
      <c r="EL28" s="2692"/>
      <c r="EM28" s="2692"/>
      <c r="EN28" s="2692"/>
      <c r="EO28" s="2692"/>
      <c r="EP28" s="2692"/>
      <c r="EQ28" s="2692"/>
      <c r="ER28" s="2692"/>
      <c r="ES28" s="2692"/>
      <c r="ET28" s="2692"/>
      <c r="EU28" s="2692"/>
      <c r="EV28" s="2692"/>
      <c r="EW28" s="2692"/>
      <c r="EX28" s="2692"/>
      <c r="EY28" s="2692"/>
      <c r="EZ28" s="2692"/>
      <c r="FA28" s="2692"/>
      <c r="FB28" s="2692"/>
      <c r="FC28" s="2692"/>
      <c r="FD28" s="2692"/>
      <c r="FE28" s="2692"/>
      <c r="FF28" s="2692"/>
      <c r="FG28" s="2692"/>
      <c r="FH28" s="2692"/>
      <c r="FI28" s="2692"/>
      <c r="FJ28" s="2692"/>
      <c r="FK28" s="2692"/>
      <c r="FL28" s="2692"/>
      <c r="FM28" s="2692"/>
      <c r="FN28" s="2692"/>
      <c r="FO28" s="2692"/>
      <c r="FP28" s="2692"/>
      <c r="FQ28" s="2692"/>
      <c r="FR28" s="2692"/>
      <c r="FS28" s="2692"/>
      <c r="FT28" s="2692"/>
      <c r="FU28" s="2692"/>
      <c r="FV28" s="2692"/>
      <c r="FW28" s="2692"/>
      <c r="FX28" s="2692"/>
      <c r="FY28" s="2692"/>
      <c r="FZ28" s="2692"/>
      <c r="GA28" s="2692"/>
      <c r="GB28" s="2692"/>
      <c r="GC28" s="2692"/>
      <c r="GD28" s="2692"/>
      <c r="GE28" s="2692"/>
      <c r="GF28" s="2692"/>
      <c r="GG28" s="2692"/>
      <c r="GH28" s="2692"/>
      <c r="GI28" s="2692"/>
      <c r="GJ28" s="2692"/>
      <c r="GK28" s="2692"/>
      <c r="GL28" s="2692"/>
      <c r="GM28" s="2692"/>
      <c r="GN28" s="2692"/>
      <c r="GO28" s="2692"/>
      <c r="GP28" s="2692"/>
      <c r="GQ28" s="2692"/>
      <c r="GR28" s="2692"/>
      <c r="GS28" s="2692"/>
      <c r="GT28" s="2692"/>
      <c r="GU28" s="2692"/>
      <c r="GV28" s="2692"/>
      <c r="GW28" s="2692"/>
      <c r="GX28" s="2692"/>
      <c r="GY28" s="2692"/>
      <c r="GZ28" s="2692"/>
      <c r="HA28" s="2692"/>
      <c r="HB28" s="2692"/>
      <c r="HC28" s="2692"/>
      <c r="HD28" s="2692"/>
      <c r="HE28" s="2692"/>
      <c r="HF28" s="2692"/>
      <c r="HG28" s="2692"/>
      <c r="HH28" s="2692"/>
      <c r="HI28" s="2692"/>
      <c r="HJ28" s="2692"/>
      <c r="HK28" s="2692"/>
      <c r="HL28" s="2692"/>
      <c r="HM28" s="2692"/>
      <c r="HN28" s="2692"/>
      <c r="HO28" s="2692"/>
      <c r="HP28" s="2692"/>
      <c r="HQ28" s="2692"/>
      <c r="HR28" s="2692"/>
      <c r="HS28" s="2692"/>
      <c r="HT28" s="2692"/>
      <c r="HU28" s="2692"/>
      <c r="HV28" s="2692"/>
      <c r="HW28" s="2692"/>
      <c r="HX28" s="2692"/>
      <c r="HY28" s="2692"/>
      <c r="HZ28" s="2692"/>
      <c r="IA28" s="2692"/>
      <c r="IB28" s="2692"/>
      <c r="IC28" s="2692"/>
      <c r="ID28" s="2692"/>
      <c r="IE28" s="2692"/>
      <c r="IF28" s="2692"/>
      <c r="IG28" s="2692"/>
      <c r="IH28" s="2692"/>
      <c r="II28" s="2692"/>
      <c r="IJ28" s="2692"/>
      <c r="IK28" s="2692"/>
      <c r="IL28" s="2692"/>
      <c r="IM28" s="2692"/>
      <c r="IN28" s="2692"/>
      <c r="IO28" s="2692"/>
      <c r="IP28" s="2692"/>
      <c r="IQ28" s="2692"/>
      <c r="IR28" s="2692"/>
      <c r="IS28" s="2692"/>
      <c r="IT28" s="2692"/>
      <c r="IU28" s="2692"/>
      <c r="IV28" s="2692"/>
    </row>
    <row r="29" spans="1:256" s="40" customFormat="1" ht="13" x14ac:dyDescent="0.25">
      <c r="A29" s="2935" t="s">
        <v>2537</v>
      </c>
      <c r="B29" s="3370"/>
      <c r="C29" s="3370"/>
      <c r="D29" s="3370"/>
      <c r="E29" s="3371"/>
      <c r="F29" s="2778" t="s">
        <v>2755</v>
      </c>
      <c r="G29" s="3386"/>
      <c r="H29" s="3386"/>
      <c r="I29" s="3386"/>
      <c r="J29" s="3387"/>
      <c r="K29" s="2692"/>
      <c r="L29" s="2692"/>
      <c r="M29" s="2692"/>
      <c r="N29" s="2692"/>
      <c r="O29" s="2692"/>
      <c r="P29" s="2692"/>
      <c r="Q29" s="2692"/>
      <c r="R29" s="2692"/>
      <c r="S29" s="2692"/>
      <c r="T29" s="2692"/>
      <c r="U29" s="2692"/>
      <c r="V29" s="2692"/>
      <c r="W29" s="2692"/>
      <c r="X29" s="2692"/>
      <c r="Y29" s="2692"/>
      <c r="Z29" s="2692"/>
      <c r="AA29" s="2692"/>
      <c r="AB29" s="2692"/>
      <c r="AC29" s="2692"/>
      <c r="AD29" s="2692"/>
      <c r="AE29" s="2692"/>
      <c r="AF29" s="2692"/>
      <c r="AG29" s="2692"/>
      <c r="AH29" s="2692"/>
      <c r="AI29" s="2692"/>
      <c r="AJ29" s="2692"/>
      <c r="AK29" s="2692"/>
      <c r="AL29" s="2692"/>
      <c r="AM29" s="2692"/>
      <c r="AN29" s="2692"/>
      <c r="AO29" s="2692"/>
      <c r="AP29" s="2692"/>
      <c r="AQ29" s="2692"/>
      <c r="AR29" s="2692"/>
      <c r="AS29" s="2692"/>
      <c r="AT29" s="2692"/>
      <c r="AU29" s="2692"/>
      <c r="AV29" s="2692"/>
      <c r="AW29" s="2692"/>
      <c r="AX29" s="2692"/>
      <c r="AY29" s="2692"/>
      <c r="AZ29" s="2692"/>
      <c r="BA29" s="2692"/>
      <c r="BB29" s="2692"/>
      <c r="BC29" s="2692"/>
      <c r="BD29" s="2692"/>
      <c r="BE29" s="2692"/>
      <c r="BF29" s="2692"/>
      <c r="BG29" s="2692"/>
      <c r="BH29" s="2692"/>
      <c r="BI29" s="2692"/>
      <c r="BJ29" s="2692"/>
      <c r="BK29" s="2692"/>
      <c r="BL29" s="2692"/>
      <c r="BM29" s="2692"/>
      <c r="BN29" s="2692"/>
      <c r="BO29" s="2692"/>
      <c r="BP29" s="2692"/>
      <c r="BQ29" s="2692"/>
      <c r="BR29" s="2692"/>
      <c r="BS29" s="2692"/>
      <c r="BT29" s="2692"/>
      <c r="BU29" s="2692"/>
      <c r="BV29" s="2692"/>
      <c r="BW29" s="2692"/>
      <c r="BX29" s="2692"/>
      <c r="BY29" s="2692"/>
      <c r="BZ29" s="2692"/>
      <c r="CA29" s="2692"/>
      <c r="CB29" s="2692"/>
      <c r="CC29" s="2692"/>
      <c r="CD29" s="2692"/>
      <c r="CE29" s="2692"/>
      <c r="CF29" s="2692"/>
      <c r="CG29" s="2692"/>
      <c r="CH29" s="2692"/>
      <c r="CI29" s="2692"/>
      <c r="CJ29" s="2692"/>
      <c r="CK29" s="2692"/>
      <c r="CL29" s="2692"/>
      <c r="CM29" s="2692"/>
      <c r="CN29" s="2692"/>
      <c r="CO29" s="2692"/>
      <c r="CP29" s="2692"/>
      <c r="CQ29" s="2692"/>
      <c r="CR29" s="2692"/>
      <c r="CS29" s="2692"/>
      <c r="CT29" s="2692"/>
      <c r="CU29" s="2692"/>
      <c r="CV29" s="2692"/>
      <c r="CW29" s="2692"/>
      <c r="CX29" s="2692"/>
      <c r="CY29" s="2692"/>
      <c r="CZ29" s="2692"/>
      <c r="DA29" s="2692"/>
      <c r="DB29" s="2692"/>
      <c r="DC29" s="2692"/>
      <c r="DD29" s="2692"/>
      <c r="DE29" s="2692"/>
      <c r="DF29" s="2692"/>
      <c r="DG29" s="2692"/>
      <c r="DH29" s="2692"/>
      <c r="DI29" s="2692"/>
      <c r="DJ29" s="2692"/>
      <c r="DK29" s="2692"/>
      <c r="DL29" s="2692"/>
      <c r="DM29" s="2692"/>
      <c r="DN29" s="2692"/>
      <c r="DO29" s="2692"/>
      <c r="DP29" s="2692"/>
      <c r="DQ29" s="2692"/>
      <c r="DR29" s="2692"/>
      <c r="DS29" s="2692"/>
      <c r="DT29" s="2692"/>
      <c r="DU29" s="2692"/>
      <c r="DV29" s="2692"/>
      <c r="DW29" s="2692"/>
      <c r="DX29" s="2692"/>
      <c r="DY29" s="2692"/>
      <c r="DZ29" s="2692"/>
      <c r="EA29" s="2692"/>
      <c r="EB29" s="2692"/>
      <c r="EC29" s="2692"/>
      <c r="ED29" s="2692"/>
      <c r="EE29" s="2692"/>
      <c r="EF29" s="2692"/>
      <c r="EG29" s="2692"/>
      <c r="EH29" s="2692"/>
      <c r="EI29" s="2692"/>
      <c r="EJ29" s="2692"/>
      <c r="EK29" s="2692"/>
      <c r="EL29" s="2692"/>
      <c r="EM29" s="2692"/>
      <c r="EN29" s="2692"/>
      <c r="EO29" s="2692"/>
      <c r="EP29" s="2692"/>
      <c r="EQ29" s="2692"/>
      <c r="ER29" s="2692"/>
      <c r="ES29" s="2692"/>
      <c r="ET29" s="2692"/>
      <c r="EU29" s="2692"/>
      <c r="EV29" s="2692"/>
      <c r="EW29" s="2692"/>
      <c r="EX29" s="2692"/>
      <c r="EY29" s="2692"/>
      <c r="EZ29" s="2692"/>
      <c r="FA29" s="2692"/>
      <c r="FB29" s="2692"/>
      <c r="FC29" s="2692"/>
      <c r="FD29" s="2692"/>
      <c r="FE29" s="2692"/>
      <c r="FF29" s="2692"/>
      <c r="FG29" s="2692"/>
      <c r="FH29" s="2692"/>
      <c r="FI29" s="2692"/>
      <c r="FJ29" s="2692"/>
      <c r="FK29" s="2692"/>
      <c r="FL29" s="2692"/>
      <c r="FM29" s="2692"/>
      <c r="FN29" s="2692"/>
      <c r="FO29" s="2692"/>
      <c r="FP29" s="2692"/>
      <c r="FQ29" s="2692"/>
      <c r="FR29" s="2692"/>
      <c r="FS29" s="2692"/>
      <c r="FT29" s="2692"/>
      <c r="FU29" s="2692"/>
      <c r="FV29" s="2692"/>
      <c r="FW29" s="2692"/>
      <c r="FX29" s="2692"/>
      <c r="FY29" s="2692"/>
      <c r="FZ29" s="2692"/>
      <c r="GA29" s="2692"/>
      <c r="GB29" s="2692"/>
      <c r="GC29" s="2692"/>
      <c r="GD29" s="2692"/>
      <c r="GE29" s="2692"/>
      <c r="GF29" s="2692"/>
      <c r="GG29" s="2692"/>
      <c r="GH29" s="2692"/>
      <c r="GI29" s="2692"/>
      <c r="GJ29" s="2692"/>
      <c r="GK29" s="2692"/>
      <c r="GL29" s="2692"/>
      <c r="GM29" s="2692"/>
      <c r="GN29" s="2692"/>
      <c r="GO29" s="2692"/>
      <c r="GP29" s="2692"/>
      <c r="GQ29" s="2692"/>
      <c r="GR29" s="2692"/>
      <c r="GS29" s="2692"/>
      <c r="GT29" s="2692"/>
      <c r="GU29" s="2692"/>
      <c r="GV29" s="2692"/>
      <c r="GW29" s="2692"/>
      <c r="GX29" s="2692"/>
      <c r="GY29" s="2692"/>
      <c r="GZ29" s="2692"/>
      <c r="HA29" s="2692"/>
      <c r="HB29" s="2692"/>
      <c r="HC29" s="2692"/>
      <c r="HD29" s="2692"/>
      <c r="HE29" s="2692"/>
      <c r="HF29" s="2692"/>
      <c r="HG29" s="2692"/>
      <c r="HH29" s="2692"/>
      <c r="HI29" s="2692"/>
      <c r="HJ29" s="2692"/>
      <c r="HK29" s="2692"/>
      <c r="HL29" s="2692"/>
      <c r="HM29" s="2692"/>
      <c r="HN29" s="2692"/>
      <c r="HO29" s="2692"/>
      <c r="HP29" s="2692"/>
      <c r="HQ29" s="2692"/>
      <c r="HR29" s="2692"/>
      <c r="HS29" s="2692"/>
      <c r="HT29" s="2692"/>
      <c r="HU29" s="2692"/>
      <c r="HV29" s="2692"/>
      <c r="HW29" s="2692"/>
      <c r="HX29" s="2692"/>
      <c r="HY29" s="2692"/>
      <c r="HZ29" s="2692"/>
      <c r="IA29" s="2692"/>
      <c r="IB29" s="2692"/>
      <c r="IC29" s="2692"/>
      <c r="ID29" s="2692"/>
      <c r="IE29" s="2692"/>
      <c r="IF29" s="2692"/>
      <c r="IG29" s="2692"/>
      <c r="IH29" s="2692"/>
      <c r="II29" s="2692"/>
      <c r="IJ29" s="2692"/>
      <c r="IK29" s="2692"/>
      <c r="IL29" s="2692"/>
      <c r="IM29" s="2692"/>
      <c r="IN29" s="2692"/>
      <c r="IO29" s="2692"/>
      <c r="IP29" s="2692"/>
      <c r="IQ29" s="2692"/>
      <c r="IR29" s="2692"/>
      <c r="IS29" s="2692"/>
      <c r="IT29" s="2692"/>
      <c r="IU29" s="2692"/>
      <c r="IV29" s="2692"/>
    </row>
    <row r="30" spans="1:256" s="40" customFormat="1" ht="13" x14ac:dyDescent="0.3">
      <c r="A30" s="2705" t="s">
        <v>2539</v>
      </c>
      <c r="B30" s="3370"/>
      <c r="C30" s="3370"/>
      <c r="D30" s="3370"/>
      <c r="E30" s="3371"/>
      <c r="F30" s="2778" t="s">
        <v>2756</v>
      </c>
      <c r="G30" s="3000"/>
      <c r="H30" s="3000"/>
      <c r="I30" s="3000"/>
      <c r="J30" s="2933"/>
      <c r="K30" s="2692"/>
      <c r="M30" s="2692"/>
      <c r="N30" s="2692"/>
      <c r="O30" s="2692"/>
      <c r="P30" s="2692"/>
      <c r="Q30" s="2692"/>
      <c r="R30" s="2692"/>
      <c r="S30" s="2692"/>
      <c r="T30" s="2692"/>
      <c r="U30" s="2692"/>
      <c r="V30" s="2692"/>
      <c r="W30" s="2692"/>
      <c r="X30" s="2692"/>
      <c r="Y30" s="2692"/>
      <c r="Z30" s="2692"/>
      <c r="AA30" s="2692"/>
      <c r="AB30" s="2692"/>
      <c r="AC30" s="2692"/>
      <c r="AD30" s="2692"/>
      <c r="AE30" s="2692"/>
      <c r="AF30" s="2692"/>
      <c r="AG30" s="2692"/>
      <c r="AH30" s="2692"/>
      <c r="AI30" s="2692"/>
      <c r="AJ30" s="2692"/>
      <c r="AK30" s="2692"/>
      <c r="AL30" s="2692"/>
      <c r="AM30" s="2692"/>
      <c r="AN30" s="2692"/>
      <c r="AO30" s="2692"/>
      <c r="AP30" s="2692"/>
      <c r="AQ30" s="2692"/>
      <c r="AR30" s="2692"/>
      <c r="AS30" s="2692"/>
      <c r="AT30" s="2692"/>
      <c r="AU30" s="2692"/>
      <c r="AV30" s="2692"/>
      <c r="AW30" s="2692"/>
      <c r="AX30" s="2692"/>
      <c r="AY30" s="2692"/>
      <c r="AZ30" s="2692"/>
      <c r="BA30" s="2692"/>
      <c r="BB30" s="2692"/>
      <c r="BC30" s="2692"/>
      <c r="BD30" s="2692"/>
      <c r="BE30" s="2692"/>
      <c r="BF30" s="2692"/>
      <c r="BG30" s="2692"/>
      <c r="BH30" s="2692"/>
      <c r="BI30" s="2692"/>
      <c r="BJ30" s="2692"/>
      <c r="BK30" s="2692"/>
      <c r="BL30" s="2692"/>
      <c r="BM30" s="2692"/>
      <c r="BN30" s="2692"/>
      <c r="BO30" s="2692"/>
      <c r="BP30" s="2692"/>
      <c r="BQ30" s="2692"/>
      <c r="BR30" s="2692"/>
      <c r="BS30" s="2692"/>
      <c r="BT30" s="2692"/>
      <c r="BU30" s="2692"/>
      <c r="BV30" s="2692"/>
      <c r="BW30" s="2692"/>
      <c r="BX30" s="2692"/>
      <c r="BY30" s="2692"/>
      <c r="BZ30" s="2692"/>
      <c r="CA30" s="2692"/>
      <c r="CB30" s="2692"/>
      <c r="CC30" s="2692"/>
      <c r="CD30" s="2692"/>
      <c r="CE30" s="2692"/>
      <c r="CF30" s="2692"/>
      <c r="CG30" s="2692"/>
      <c r="CH30" s="2692"/>
      <c r="CI30" s="2692"/>
      <c r="CJ30" s="2692"/>
      <c r="CK30" s="2692"/>
      <c r="CL30" s="2692"/>
      <c r="CM30" s="2692"/>
      <c r="CN30" s="2692"/>
      <c r="CO30" s="2692"/>
      <c r="CP30" s="2692"/>
      <c r="CQ30" s="2692"/>
      <c r="CR30" s="2692"/>
      <c r="CS30" s="2692"/>
      <c r="CT30" s="2692"/>
      <c r="CU30" s="2692"/>
      <c r="CV30" s="2692"/>
      <c r="CW30" s="2692"/>
      <c r="CX30" s="2692"/>
      <c r="CY30" s="2692"/>
      <c r="CZ30" s="2692"/>
      <c r="DA30" s="2692"/>
      <c r="DB30" s="2692"/>
      <c r="DC30" s="2692"/>
      <c r="DD30" s="2692"/>
      <c r="DE30" s="2692"/>
      <c r="DF30" s="2692"/>
      <c r="DG30" s="2692"/>
      <c r="DH30" s="2692"/>
      <c r="DI30" s="2692"/>
      <c r="DJ30" s="2692"/>
      <c r="DK30" s="2692"/>
      <c r="DL30" s="2692"/>
      <c r="DM30" s="2692"/>
      <c r="DN30" s="2692"/>
      <c r="DO30" s="2692"/>
      <c r="DP30" s="2692"/>
      <c r="DQ30" s="2692"/>
      <c r="DR30" s="2692"/>
      <c r="DS30" s="2692"/>
      <c r="DT30" s="2692"/>
      <c r="DU30" s="2692"/>
      <c r="DV30" s="2692"/>
      <c r="DW30" s="2692"/>
      <c r="DX30" s="2692"/>
      <c r="DY30" s="2692"/>
      <c r="DZ30" s="2692"/>
      <c r="EA30" s="2692"/>
      <c r="EB30" s="2692"/>
      <c r="EC30" s="2692"/>
      <c r="ED30" s="2692"/>
      <c r="EE30" s="2692"/>
      <c r="EF30" s="2692"/>
      <c r="EG30" s="2692"/>
      <c r="EH30" s="2692"/>
      <c r="EI30" s="2692"/>
      <c r="EJ30" s="2692"/>
      <c r="EK30" s="2692"/>
      <c r="EL30" s="2692"/>
      <c r="EM30" s="2692"/>
      <c r="EN30" s="2692"/>
      <c r="EO30" s="2692"/>
      <c r="EP30" s="2692"/>
      <c r="EQ30" s="2692"/>
      <c r="ER30" s="2692"/>
      <c r="ES30" s="2692"/>
      <c r="ET30" s="2692"/>
      <c r="EU30" s="2692"/>
      <c r="EV30" s="2692"/>
      <c r="EW30" s="2692"/>
      <c r="EX30" s="2692"/>
      <c r="EY30" s="2692"/>
      <c r="EZ30" s="2692"/>
      <c r="FA30" s="2692"/>
      <c r="FB30" s="2692"/>
      <c r="FC30" s="2692"/>
      <c r="FD30" s="2692"/>
      <c r="FE30" s="2692"/>
      <c r="FF30" s="2692"/>
      <c r="FG30" s="2692"/>
      <c r="FH30" s="2692"/>
      <c r="FI30" s="2692"/>
      <c r="FJ30" s="2692"/>
      <c r="FK30" s="2692"/>
      <c r="FL30" s="2692"/>
      <c r="FM30" s="2692"/>
      <c r="FN30" s="2692"/>
      <c r="FO30" s="2692"/>
      <c r="FP30" s="2692"/>
      <c r="FQ30" s="2692"/>
      <c r="FR30" s="2692"/>
      <c r="FS30" s="2692"/>
      <c r="FT30" s="2692"/>
      <c r="FU30" s="2692"/>
      <c r="FV30" s="2692"/>
      <c r="FW30" s="2692"/>
      <c r="FX30" s="2692"/>
      <c r="FY30" s="2692"/>
      <c r="FZ30" s="2692"/>
      <c r="GA30" s="2692"/>
      <c r="GB30" s="2692"/>
      <c r="GC30" s="2692"/>
      <c r="GD30" s="2692"/>
      <c r="GE30" s="2692"/>
      <c r="GF30" s="2692"/>
      <c r="GG30" s="2692"/>
      <c r="GH30" s="2692"/>
      <c r="GI30" s="2692"/>
      <c r="GJ30" s="2692"/>
      <c r="GK30" s="2692"/>
      <c r="GL30" s="2692"/>
      <c r="GM30" s="2692"/>
      <c r="GN30" s="2692"/>
      <c r="GO30" s="2692"/>
      <c r="GP30" s="2692"/>
      <c r="GQ30" s="2692"/>
      <c r="GR30" s="2692"/>
      <c r="GS30" s="2692"/>
      <c r="GT30" s="2692"/>
      <c r="GU30" s="2692"/>
      <c r="GV30" s="2692"/>
      <c r="GW30" s="2692"/>
      <c r="GX30" s="2692"/>
      <c r="GY30" s="2692"/>
      <c r="GZ30" s="2692"/>
      <c r="HA30" s="2692"/>
      <c r="HB30" s="2692"/>
      <c r="HC30" s="2692"/>
      <c r="HD30" s="2692"/>
      <c r="HE30" s="2692"/>
      <c r="HF30" s="2692"/>
      <c r="HG30" s="2692"/>
      <c r="HH30" s="2692"/>
      <c r="HI30" s="2692"/>
      <c r="HJ30" s="2692"/>
      <c r="HK30" s="2692"/>
      <c r="HL30" s="2692"/>
      <c r="HM30" s="2692"/>
      <c r="HN30" s="2692"/>
      <c r="HO30" s="2692"/>
      <c r="HP30" s="2692"/>
      <c r="HQ30" s="2692"/>
      <c r="HR30" s="2692"/>
      <c r="HS30" s="2692"/>
      <c r="HT30" s="2692"/>
      <c r="HU30" s="2692"/>
      <c r="HV30" s="2692"/>
      <c r="HW30" s="2692"/>
      <c r="HX30" s="2692"/>
      <c r="HY30" s="2692"/>
      <c r="HZ30" s="2692"/>
      <c r="IA30" s="2692"/>
      <c r="IB30" s="2692"/>
      <c r="IC30" s="2692"/>
      <c r="ID30" s="2692"/>
      <c r="IE30" s="2692"/>
      <c r="IF30" s="2692"/>
      <c r="IG30" s="2692"/>
      <c r="IH30" s="2692"/>
      <c r="II30" s="2692"/>
      <c r="IJ30" s="2692"/>
      <c r="IK30" s="2692"/>
      <c r="IL30" s="2692"/>
      <c r="IM30" s="2692"/>
      <c r="IN30" s="2692"/>
      <c r="IO30" s="2692"/>
      <c r="IP30" s="2692"/>
      <c r="IQ30" s="2692"/>
      <c r="IR30" s="2692"/>
      <c r="IS30" s="2692"/>
      <c r="IT30" s="2692"/>
      <c r="IU30" s="2692"/>
      <c r="IV30" s="2692"/>
    </row>
    <row r="31" spans="1:256" s="40" customFormat="1" ht="24" customHeight="1" x14ac:dyDescent="0.3">
      <c r="A31" s="2705" t="s">
        <v>2540</v>
      </c>
      <c r="B31" s="3370"/>
      <c r="C31" s="3370"/>
      <c r="D31" s="3370"/>
      <c r="E31" s="3371"/>
      <c r="F31" s="3388" t="s">
        <v>2536</v>
      </c>
      <c r="G31" s="3389"/>
      <c r="H31" s="3000"/>
      <c r="I31" s="3000"/>
      <c r="J31" s="2933"/>
      <c r="K31" s="2692"/>
      <c r="M31" s="2692"/>
      <c r="N31" s="2692"/>
      <c r="O31" s="2692"/>
      <c r="P31" s="2692"/>
      <c r="Q31" s="2692"/>
      <c r="R31" s="2692"/>
      <c r="S31" s="2692"/>
      <c r="T31" s="2692"/>
      <c r="U31" s="2692"/>
      <c r="V31" s="2692"/>
      <c r="W31" s="2692"/>
      <c r="X31" s="2692"/>
      <c r="Y31" s="2692"/>
      <c r="Z31" s="2692"/>
      <c r="AA31" s="2692"/>
      <c r="AB31" s="2692"/>
      <c r="AC31" s="2692"/>
      <c r="AD31" s="2692"/>
      <c r="AE31" s="2692"/>
      <c r="AF31" s="2692"/>
      <c r="AG31" s="2692"/>
      <c r="AH31" s="2692"/>
      <c r="AI31" s="2692"/>
      <c r="AJ31" s="2692"/>
      <c r="AK31" s="2692"/>
      <c r="AL31" s="2692"/>
      <c r="AM31" s="2692"/>
      <c r="AN31" s="2692"/>
      <c r="AO31" s="2692"/>
      <c r="AP31" s="2692"/>
      <c r="AQ31" s="2692"/>
      <c r="AR31" s="2692"/>
      <c r="AS31" s="2692"/>
      <c r="AT31" s="2692"/>
      <c r="AU31" s="2692"/>
      <c r="AV31" s="2692"/>
      <c r="AW31" s="2692"/>
      <c r="AX31" s="2692"/>
      <c r="AY31" s="2692"/>
      <c r="AZ31" s="2692"/>
      <c r="BA31" s="2692"/>
      <c r="BB31" s="2692"/>
      <c r="BC31" s="2692"/>
      <c r="BD31" s="2692"/>
      <c r="BE31" s="2692"/>
      <c r="BF31" s="2692"/>
      <c r="BG31" s="2692"/>
      <c r="BH31" s="2692"/>
      <c r="BI31" s="2692"/>
      <c r="BJ31" s="2692"/>
      <c r="BK31" s="2692"/>
      <c r="BL31" s="2692"/>
      <c r="BM31" s="2692"/>
      <c r="BN31" s="2692"/>
      <c r="BO31" s="2692"/>
      <c r="BP31" s="2692"/>
      <c r="BQ31" s="2692"/>
      <c r="BR31" s="2692"/>
      <c r="BS31" s="2692"/>
      <c r="BT31" s="2692"/>
      <c r="BU31" s="2692"/>
      <c r="BV31" s="2692"/>
      <c r="BW31" s="2692"/>
      <c r="BX31" s="2692"/>
      <c r="BY31" s="2692"/>
      <c r="BZ31" s="2692"/>
      <c r="CA31" s="2692"/>
      <c r="CB31" s="2692"/>
      <c r="CC31" s="2692"/>
      <c r="CD31" s="2692"/>
      <c r="CE31" s="2692"/>
      <c r="CF31" s="2692"/>
      <c r="CG31" s="2692"/>
      <c r="CH31" s="2692"/>
      <c r="CI31" s="2692"/>
      <c r="CJ31" s="2692"/>
      <c r="CK31" s="2692"/>
      <c r="CL31" s="2692"/>
      <c r="CM31" s="2692"/>
      <c r="CN31" s="2692"/>
      <c r="CO31" s="2692"/>
      <c r="CP31" s="2692"/>
      <c r="CQ31" s="2692"/>
      <c r="CR31" s="2692"/>
      <c r="CS31" s="2692"/>
      <c r="CT31" s="2692"/>
      <c r="CU31" s="2692"/>
      <c r="CV31" s="2692"/>
      <c r="CW31" s="2692"/>
      <c r="CX31" s="2692"/>
      <c r="CY31" s="2692"/>
      <c r="CZ31" s="2692"/>
      <c r="DA31" s="2692"/>
      <c r="DB31" s="2692"/>
      <c r="DC31" s="2692"/>
      <c r="DD31" s="2692"/>
      <c r="DE31" s="2692"/>
      <c r="DF31" s="2692"/>
      <c r="DG31" s="2692"/>
      <c r="DH31" s="2692"/>
      <c r="DI31" s="2692"/>
      <c r="DJ31" s="2692"/>
      <c r="DK31" s="2692"/>
      <c r="DL31" s="2692"/>
      <c r="DM31" s="2692"/>
      <c r="DN31" s="2692"/>
      <c r="DO31" s="2692"/>
      <c r="DP31" s="2692"/>
      <c r="DQ31" s="2692"/>
      <c r="DR31" s="2692"/>
      <c r="DS31" s="2692"/>
      <c r="DT31" s="2692"/>
      <c r="DU31" s="2692"/>
      <c r="DV31" s="2692"/>
      <c r="DW31" s="2692"/>
      <c r="DX31" s="2692"/>
      <c r="DY31" s="2692"/>
      <c r="DZ31" s="2692"/>
      <c r="EA31" s="2692"/>
      <c r="EB31" s="2692"/>
      <c r="EC31" s="2692"/>
      <c r="ED31" s="2692"/>
      <c r="EE31" s="2692"/>
      <c r="EF31" s="2692"/>
      <c r="EG31" s="2692"/>
      <c r="EH31" s="2692"/>
      <c r="EI31" s="2692"/>
      <c r="EJ31" s="2692"/>
      <c r="EK31" s="2692"/>
      <c r="EL31" s="2692"/>
      <c r="EM31" s="2692"/>
      <c r="EN31" s="2692"/>
      <c r="EO31" s="2692"/>
      <c r="EP31" s="2692"/>
      <c r="EQ31" s="2692"/>
      <c r="ER31" s="2692"/>
      <c r="ES31" s="2692"/>
      <c r="ET31" s="2692"/>
      <c r="EU31" s="2692"/>
      <c r="EV31" s="2692"/>
      <c r="EW31" s="2692"/>
      <c r="EX31" s="2692"/>
      <c r="EY31" s="2692"/>
      <c r="EZ31" s="2692"/>
      <c r="FA31" s="2692"/>
      <c r="FB31" s="2692"/>
      <c r="FC31" s="2692"/>
      <c r="FD31" s="2692"/>
      <c r="FE31" s="2692"/>
      <c r="FF31" s="2692"/>
      <c r="FG31" s="2692"/>
      <c r="FH31" s="2692"/>
      <c r="FI31" s="2692"/>
      <c r="FJ31" s="2692"/>
      <c r="FK31" s="2692"/>
      <c r="FL31" s="2692"/>
      <c r="FM31" s="2692"/>
      <c r="FN31" s="2692"/>
      <c r="FO31" s="2692"/>
      <c r="FP31" s="2692"/>
      <c r="FQ31" s="2692"/>
      <c r="FR31" s="2692"/>
      <c r="FS31" s="2692"/>
      <c r="FT31" s="2692"/>
      <c r="FU31" s="2692"/>
      <c r="FV31" s="2692"/>
      <c r="FW31" s="2692"/>
      <c r="FX31" s="2692"/>
      <c r="FY31" s="2692"/>
      <c r="FZ31" s="2692"/>
      <c r="GA31" s="2692"/>
      <c r="GB31" s="2692"/>
      <c r="GC31" s="2692"/>
      <c r="GD31" s="2692"/>
      <c r="GE31" s="2692"/>
      <c r="GF31" s="2692"/>
      <c r="GG31" s="2692"/>
      <c r="GH31" s="2692"/>
      <c r="GI31" s="2692"/>
      <c r="GJ31" s="2692"/>
      <c r="GK31" s="2692"/>
      <c r="GL31" s="2692"/>
      <c r="GM31" s="2692"/>
      <c r="GN31" s="2692"/>
      <c r="GO31" s="2692"/>
      <c r="GP31" s="2692"/>
      <c r="GQ31" s="2692"/>
      <c r="GR31" s="2692"/>
      <c r="GS31" s="2692"/>
      <c r="GT31" s="2692"/>
      <c r="GU31" s="2692"/>
      <c r="GV31" s="2692"/>
      <c r="GW31" s="2692"/>
      <c r="GX31" s="2692"/>
      <c r="GY31" s="2692"/>
      <c r="GZ31" s="2692"/>
      <c r="HA31" s="2692"/>
      <c r="HB31" s="2692"/>
      <c r="HC31" s="2692"/>
      <c r="HD31" s="2692"/>
      <c r="HE31" s="2692"/>
      <c r="HF31" s="2692"/>
      <c r="HG31" s="2692"/>
      <c r="HH31" s="2692"/>
      <c r="HI31" s="2692"/>
      <c r="HJ31" s="2692"/>
      <c r="HK31" s="2692"/>
      <c r="HL31" s="2692"/>
      <c r="HM31" s="2692"/>
      <c r="HN31" s="2692"/>
      <c r="HO31" s="2692"/>
      <c r="HP31" s="2692"/>
      <c r="HQ31" s="2692"/>
      <c r="HR31" s="2692"/>
      <c r="HS31" s="2692"/>
      <c r="HT31" s="2692"/>
      <c r="HU31" s="2692"/>
      <c r="HV31" s="2692"/>
      <c r="HW31" s="2692"/>
      <c r="HX31" s="2692"/>
      <c r="HY31" s="2692"/>
      <c r="HZ31" s="2692"/>
      <c r="IA31" s="2692"/>
      <c r="IB31" s="2692"/>
      <c r="IC31" s="2692"/>
      <c r="ID31" s="2692"/>
      <c r="IE31" s="2692"/>
      <c r="IF31" s="2692"/>
      <c r="IG31" s="2692"/>
      <c r="IH31" s="2692"/>
      <c r="II31" s="2692"/>
      <c r="IJ31" s="2692"/>
      <c r="IK31" s="2692"/>
      <c r="IL31" s="2692"/>
      <c r="IM31" s="2692"/>
      <c r="IN31" s="2692"/>
      <c r="IO31" s="2692"/>
      <c r="IP31" s="2692"/>
      <c r="IQ31" s="2692"/>
      <c r="IR31" s="2692"/>
      <c r="IS31" s="2692"/>
      <c r="IT31" s="2692"/>
      <c r="IU31" s="2692"/>
      <c r="IV31" s="2692"/>
    </row>
    <row r="32" spans="1:256" s="40" customFormat="1" ht="13" x14ac:dyDescent="0.25">
      <c r="A32" s="2706" t="s">
        <v>2541</v>
      </c>
      <c r="B32" s="3370"/>
      <c r="C32" s="3370"/>
      <c r="D32" s="3370"/>
      <c r="E32" s="3371"/>
      <c r="F32" s="2778" t="s">
        <v>2538</v>
      </c>
      <c r="G32" s="3000"/>
      <c r="H32" s="3001"/>
      <c r="I32" s="3001"/>
      <c r="J32" s="3002"/>
      <c r="K32" s="2692"/>
      <c r="L32" s="2692"/>
      <c r="M32" s="2692"/>
      <c r="N32" s="2692"/>
      <c r="O32" s="2692"/>
      <c r="P32" s="2692"/>
      <c r="Q32" s="2692"/>
      <c r="R32" s="2692"/>
      <c r="S32" s="2692"/>
      <c r="T32" s="2692"/>
      <c r="U32" s="2692"/>
      <c r="V32" s="2692"/>
      <c r="W32" s="2692"/>
      <c r="X32" s="2692"/>
      <c r="Y32" s="2692"/>
      <c r="Z32" s="2692"/>
      <c r="AA32" s="2692"/>
      <c r="AB32" s="2692"/>
      <c r="AC32" s="2692"/>
      <c r="AD32" s="2692"/>
      <c r="AE32" s="2692"/>
      <c r="AF32" s="2692"/>
      <c r="AG32" s="2692"/>
      <c r="AH32" s="2692"/>
      <c r="AI32" s="2692"/>
      <c r="AJ32" s="2692"/>
      <c r="AK32" s="2692"/>
      <c r="AL32" s="2692"/>
      <c r="AM32" s="2692"/>
      <c r="AN32" s="2692"/>
      <c r="AO32" s="2692"/>
      <c r="AP32" s="2692"/>
      <c r="AQ32" s="2692"/>
      <c r="AR32" s="2692"/>
      <c r="AS32" s="2692"/>
      <c r="AT32" s="2692"/>
      <c r="AU32" s="2692"/>
      <c r="AV32" s="2692"/>
      <c r="AW32" s="2692"/>
      <c r="AX32" s="2692"/>
      <c r="AY32" s="2692"/>
      <c r="AZ32" s="2692"/>
      <c r="BA32" s="2692"/>
      <c r="BB32" s="2692"/>
      <c r="BC32" s="2692"/>
      <c r="BD32" s="2692"/>
      <c r="BE32" s="2692"/>
      <c r="BF32" s="2692"/>
      <c r="BG32" s="2692"/>
      <c r="BH32" s="2692"/>
      <c r="BI32" s="2692"/>
      <c r="BJ32" s="2692"/>
      <c r="BK32" s="2692"/>
      <c r="BL32" s="2692"/>
      <c r="BM32" s="2692"/>
      <c r="BN32" s="2692"/>
      <c r="BO32" s="2692"/>
      <c r="BP32" s="2692"/>
      <c r="BQ32" s="2692"/>
      <c r="BR32" s="2692"/>
      <c r="BS32" s="2692"/>
      <c r="BT32" s="2692"/>
      <c r="BU32" s="2692"/>
      <c r="BV32" s="2692"/>
      <c r="BW32" s="2692"/>
      <c r="BX32" s="2692"/>
      <c r="BY32" s="2692"/>
      <c r="BZ32" s="2692"/>
      <c r="CA32" s="2692"/>
      <c r="CB32" s="2692"/>
      <c r="CC32" s="2692"/>
      <c r="CD32" s="2692"/>
      <c r="CE32" s="2692"/>
      <c r="CF32" s="2692"/>
      <c r="CG32" s="2692"/>
      <c r="CH32" s="2692"/>
      <c r="CI32" s="2692"/>
      <c r="CJ32" s="2692"/>
      <c r="CK32" s="2692"/>
      <c r="CL32" s="2692"/>
      <c r="CM32" s="2692"/>
      <c r="CN32" s="2692"/>
      <c r="CO32" s="2692"/>
      <c r="CP32" s="2692"/>
      <c r="CQ32" s="2692"/>
      <c r="CR32" s="2692"/>
      <c r="CS32" s="2692"/>
      <c r="CT32" s="2692"/>
      <c r="CU32" s="2692"/>
      <c r="CV32" s="2692"/>
      <c r="CW32" s="2692"/>
      <c r="CX32" s="2692"/>
      <c r="CY32" s="2692"/>
      <c r="CZ32" s="2692"/>
      <c r="DA32" s="2692"/>
      <c r="DB32" s="2692"/>
      <c r="DC32" s="2692"/>
      <c r="DD32" s="2692"/>
      <c r="DE32" s="2692"/>
      <c r="DF32" s="2692"/>
      <c r="DG32" s="2692"/>
      <c r="DH32" s="2692"/>
      <c r="DI32" s="2692"/>
      <c r="DJ32" s="2692"/>
      <c r="DK32" s="2692"/>
      <c r="DL32" s="2692"/>
      <c r="DM32" s="2692"/>
      <c r="DN32" s="2692"/>
      <c r="DO32" s="2692"/>
      <c r="DP32" s="2692"/>
      <c r="DQ32" s="2692"/>
      <c r="DR32" s="2692"/>
      <c r="DS32" s="2692"/>
      <c r="DT32" s="2692"/>
      <c r="DU32" s="2692"/>
      <c r="DV32" s="2692"/>
      <c r="DW32" s="2692"/>
      <c r="DX32" s="2692"/>
      <c r="DY32" s="2692"/>
      <c r="DZ32" s="2692"/>
      <c r="EA32" s="2692"/>
      <c r="EB32" s="2692"/>
      <c r="EC32" s="2692"/>
      <c r="ED32" s="2692"/>
      <c r="EE32" s="2692"/>
      <c r="EF32" s="2692"/>
      <c r="EG32" s="2692"/>
      <c r="EH32" s="2692"/>
      <c r="EI32" s="2692"/>
      <c r="EJ32" s="2692"/>
      <c r="EK32" s="2692"/>
      <c r="EL32" s="2692"/>
      <c r="EM32" s="2692"/>
      <c r="EN32" s="2692"/>
      <c r="EO32" s="2692"/>
      <c r="EP32" s="2692"/>
      <c r="EQ32" s="2692"/>
      <c r="ER32" s="2692"/>
      <c r="ES32" s="2692"/>
      <c r="ET32" s="2692"/>
      <c r="EU32" s="2692"/>
      <c r="EV32" s="2692"/>
      <c r="EW32" s="2692"/>
      <c r="EX32" s="2692"/>
      <c r="EY32" s="2692"/>
      <c r="EZ32" s="2692"/>
      <c r="FA32" s="2692"/>
      <c r="FB32" s="2692"/>
      <c r="FC32" s="2692"/>
      <c r="FD32" s="2692"/>
      <c r="FE32" s="2692"/>
      <c r="FF32" s="2692"/>
      <c r="FG32" s="2692"/>
      <c r="FH32" s="2692"/>
      <c r="FI32" s="2692"/>
      <c r="FJ32" s="2692"/>
      <c r="FK32" s="2692"/>
      <c r="FL32" s="2692"/>
      <c r="FM32" s="2692"/>
      <c r="FN32" s="2692"/>
      <c r="FO32" s="2692"/>
      <c r="FP32" s="2692"/>
      <c r="FQ32" s="2692"/>
      <c r="FR32" s="2692"/>
      <c r="FS32" s="2692"/>
      <c r="FT32" s="2692"/>
      <c r="FU32" s="2692"/>
      <c r="FV32" s="2692"/>
      <c r="FW32" s="2692"/>
      <c r="FX32" s="2692"/>
      <c r="FY32" s="2692"/>
      <c r="FZ32" s="2692"/>
      <c r="GA32" s="2692"/>
      <c r="GB32" s="2692"/>
      <c r="GC32" s="2692"/>
      <c r="GD32" s="2692"/>
      <c r="GE32" s="2692"/>
      <c r="GF32" s="2692"/>
      <c r="GG32" s="2692"/>
      <c r="GH32" s="2692"/>
      <c r="GI32" s="2692"/>
      <c r="GJ32" s="2692"/>
      <c r="GK32" s="2692"/>
      <c r="GL32" s="2692"/>
      <c r="GM32" s="2692"/>
      <c r="GN32" s="2692"/>
      <c r="GO32" s="2692"/>
      <c r="GP32" s="2692"/>
      <c r="GQ32" s="2692"/>
      <c r="GR32" s="2692"/>
      <c r="GS32" s="2692"/>
      <c r="GT32" s="2692"/>
      <c r="GU32" s="2692"/>
      <c r="GV32" s="2692"/>
      <c r="GW32" s="2692"/>
      <c r="GX32" s="2692"/>
      <c r="GY32" s="2692"/>
      <c r="GZ32" s="2692"/>
      <c r="HA32" s="2692"/>
      <c r="HB32" s="2692"/>
      <c r="HC32" s="2692"/>
      <c r="HD32" s="2692"/>
      <c r="HE32" s="2692"/>
      <c r="HF32" s="2692"/>
      <c r="HG32" s="2692"/>
      <c r="HH32" s="2692"/>
      <c r="HI32" s="2692"/>
      <c r="HJ32" s="2692"/>
      <c r="HK32" s="2692"/>
      <c r="HL32" s="2692"/>
      <c r="HM32" s="2692"/>
      <c r="HN32" s="2692"/>
      <c r="HO32" s="2692"/>
      <c r="HP32" s="2692"/>
      <c r="HQ32" s="2692"/>
      <c r="HR32" s="2692"/>
      <c r="HS32" s="2692"/>
      <c r="HT32" s="2692"/>
      <c r="HU32" s="2692"/>
      <c r="HV32" s="2692"/>
      <c r="HW32" s="2692"/>
      <c r="HX32" s="2692"/>
      <c r="HY32" s="2692"/>
      <c r="HZ32" s="2692"/>
      <c r="IA32" s="2692"/>
      <c r="IB32" s="2692"/>
      <c r="IC32" s="2692"/>
      <c r="ID32" s="2692"/>
      <c r="IE32" s="2692"/>
      <c r="IF32" s="2692"/>
      <c r="IG32" s="2692"/>
      <c r="IH32" s="2692"/>
      <c r="II32" s="2692"/>
      <c r="IJ32" s="2692"/>
      <c r="IK32" s="2692"/>
      <c r="IL32" s="2692"/>
      <c r="IM32" s="2692"/>
      <c r="IN32" s="2692"/>
      <c r="IO32" s="2692"/>
      <c r="IP32" s="2692"/>
      <c r="IQ32" s="2692"/>
      <c r="IR32" s="2692"/>
      <c r="IS32" s="2692"/>
      <c r="IT32" s="2692"/>
      <c r="IU32" s="2692"/>
      <c r="IV32" s="2692"/>
    </row>
    <row r="33" spans="1:256" s="40" customFormat="1" ht="13.5" thickBot="1" x14ac:dyDescent="0.35">
      <c r="A33" s="2707"/>
      <c r="B33" s="2708"/>
      <c r="C33" s="2708"/>
      <c r="D33" s="2708"/>
      <c r="E33" s="2709"/>
      <c r="F33" s="2708"/>
      <c r="G33" s="2708"/>
      <c r="H33" s="2708"/>
      <c r="I33" s="2708"/>
      <c r="J33" s="2709"/>
      <c r="K33" s="2692"/>
      <c r="L33" s="2692"/>
      <c r="M33" s="2692"/>
      <c r="N33" s="2692"/>
      <c r="O33" s="2692"/>
      <c r="P33" s="2692"/>
      <c r="Q33" s="2692"/>
      <c r="R33" s="2692"/>
      <c r="S33" s="2692"/>
      <c r="T33" s="2692"/>
      <c r="U33" s="2692"/>
      <c r="V33" s="2692"/>
      <c r="W33" s="2692"/>
      <c r="X33" s="2692"/>
      <c r="Y33" s="2692"/>
      <c r="Z33" s="2692"/>
      <c r="AA33" s="2692"/>
      <c r="AB33" s="2692"/>
      <c r="AC33" s="2692"/>
      <c r="AD33" s="2692"/>
      <c r="AE33" s="2692"/>
      <c r="AF33" s="2692"/>
      <c r="AG33" s="2692"/>
      <c r="AH33" s="2692"/>
      <c r="AI33" s="2692"/>
      <c r="AJ33" s="2692"/>
      <c r="AK33" s="2692"/>
      <c r="AL33" s="2692"/>
      <c r="AM33" s="2692"/>
      <c r="AN33" s="2692"/>
      <c r="AO33" s="2692"/>
      <c r="AP33" s="2692"/>
      <c r="AQ33" s="2692"/>
      <c r="AR33" s="2692"/>
      <c r="AS33" s="2692"/>
      <c r="AT33" s="2692"/>
      <c r="AU33" s="2692"/>
      <c r="AV33" s="2692"/>
      <c r="AW33" s="2692"/>
      <c r="AX33" s="2692"/>
      <c r="AY33" s="2692"/>
      <c r="AZ33" s="2692"/>
      <c r="BA33" s="2692"/>
      <c r="BB33" s="2692"/>
      <c r="BC33" s="2692"/>
      <c r="BD33" s="2692"/>
      <c r="BE33" s="2692"/>
      <c r="BF33" s="2692"/>
      <c r="BG33" s="2692"/>
      <c r="BH33" s="2692"/>
      <c r="BI33" s="2692"/>
      <c r="BJ33" s="2692"/>
      <c r="BK33" s="2692"/>
      <c r="BL33" s="2692"/>
      <c r="BM33" s="2692"/>
      <c r="BN33" s="2692"/>
      <c r="BO33" s="2692"/>
      <c r="BP33" s="2692"/>
      <c r="BQ33" s="2692"/>
      <c r="BR33" s="2692"/>
      <c r="BS33" s="2692"/>
      <c r="BT33" s="2692"/>
      <c r="BU33" s="2692"/>
      <c r="BV33" s="2692"/>
      <c r="BW33" s="2692"/>
      <c r="BX33" s="2692"/>
      <c r="BY33" s="2692"/>
      <c r="BZ33" s="2692"/>
      <c r="CA33" s="2692"/>
      <c r="CB33" s="2692"/>
      <c r="CC33" s="2692"/>
      <c r="CD33" s="2692"/>
      <c r="CE33" s="2692"/>
      <c r="CF33" s="2692"/>
      <c r="CG33" s="2692"/>
      <c r="CH33" s="2692"/>
      <c r="CI33" s="2692"/>
      <c r="CJ33" s="2692"/>
      <c r="CK33" s="2692"/>
      <c r="CL33" s="2692"/>
      <c r="CM33" s="2692"/>
      <c r="CN33" s="2692"/>
      <c r="CO33" s="2692"/>
      <c r="CP33" s="2692"/>
      <c r="CQ33" s="2692"/>
      <c r="CR33" s="2692"/>
      <c r="CS33" s="2692"/>
      <c r="CT33" s="2692"/>
      <c r="CU33" s="2692"/>
      <c r="CV33" s="2692"/>
      <c r="CW33" s="2692"/>
      <c r="CX33" s="2692"/>
      <c r="CY33" s="2692"/>
      <c r="CZ33" s="2692"/>
      <c r="DA33" s="2692"/>
      <c r="DB33" s="2692"/>
      <c r="DC33" s="2692"/>
      <c r="DD33" s="2692"/>
      <c r="DE33" s="2692"/>
      <c r="DF33" s="2692"/>
      <c r="DG33" s="2692"/>
      <c r="DH33" s="2692"/>
      <c r="DI33" s="2692"/>
      <c r="DJ33" s="2692"/>
      <c r="DK33" s="2692"/>
      <c r="DL33" s="2692"/>
      <c r="DM33" s="2692"/>
      <c r="DN33" s="2692"/>
      <c r="DO33" s="2692"/>
      <c r="DP33" s="2692"/>
      <c r="DQ33" s="2692"/>
      <c r="DR33" s="2692"/>
      <c r="DS33" s="2692"/>
      <c r="DT33" s="2692"/>
      <c r="DU33" s="2692"/>
      <c r="DV33" s="2692"/>
      <c r="DW33" s="2692"/>
      <c r="DX33" s="2692"/>
      <c r="DY33" s="2692"/>
      <c r="DZ33" s="2692"/>
      <c r="EA33" s="2692"/>
      <c r="EB33" s="2692"/>
      <c r="EC33" s="2692"/>
      <c r="ED33" s="2692"/>
      <c r="EE33" s="2692"/>
      <c r="EF33" s="2692"/>
      <c r="EG33" s="2692"/>
      <c r="EH33" s="2692"/>
      <c r="EI33" s="2692"/>
      <c r="EJ33" s="2692"/>
      <c r="EK33" s="2692"/>
      <c r="EL33" s="2692"/>
      <c r="EM33" s="2692"/>
      <c r="EN33" s="2692"/>
      <c r="EO33" s="2692"/>
      <c r="EP33" s="2692"/>
      <c r="EQ33" s="2692"/>
      <c r="ER33" s="2692"/>
      <c r="ES33" s="2692"/>
      <c r="ET33" s="2692"/>
      <c r="EU33" s="2692"/>
      <c r="EV33" s="2692"/>
      <c r="EW33" s="2692"/>
      <c r="EX33" s="2692"/>
      <c r="EY33" s="2692"/>
      <c r="EZ33" s="2692"/>
      <c r="FA33" s="2692"/>
      <c r="FB33" s="2692"/>
      <c r="FC33" s="2692"/>
      <c r="FD33" s="2692"/>
      <c r="FE33" s="2692"/>
      <c r="FF33" s="2692"/>
      <c r="FG33" s="2692"/>
      <c r="FH33" s="2692"/>
      <c r="FI33" s="2692"/>
      <c r="FJ33" s="2692"/>
      <c r="FK33" s="2692"/>
      <c r="FL33" s="2692"/>
      <c r="FM33" s="2692"/>
      <c r="FN33" s="2692"/>
      <c r="FO33" s="2692"/>
      <c r="FP33" s="2692"/>
      <c r="FQ33" s="2692"/>
      <c r="FR33" s="2692"/>
      <c r="FS33" s="2692"/>
      <c r="FT33" s="2692"/>
      <c r="FU33" s="2692"/>
      <c r="FV33" s="2692"/>
      <c r="FW33" s="2692"/>
      <c r="FX33" s="2692"/>
      <c r="FY33" s="2692"/>
      <c r="FZ33" s="2692"/>
      <c r="GA33" s="2692"/>
      <c r="GB33" s="2692"/>
      <c r="GC33" s="2692"/>
      <c r="GD33" s="2692"/>
      <c r="GE33" s="2692"/>
      <c r="GF33" s="2692"/>
      <c r="GG33" s="2692"/>
      <c r="GH33" s="2692"/>
      <c r="GI33" s="2692"/>
      <c r="GJ33" s="2692"/>
      <c r="GK33" s="2692"/>
      <c r="GL33" s="2692"/>
      <c r="GM33" s="2692"/>
      <c r="GN33" s="2692"/>
      <c r="GO33" s="2692"/>
      <c r="GP33" s="2692"/>
      <c r="GQ33" s="2692"/>
      <c r="GR33" s="2692"/>
      <c r="GS33" s="2692"/>
      <c r="GT33" s="2692"/>
      <c r="GU33" s="2692"/>
      <c r="GV33" s="2692"/>
      <c r="GW33" s="2692"/>
      <c r="GX33" s="2692"/>
      <c r="GY33" s="2692"/>
      <c r="GZ33" s="2692"/>
      <c r="HA33" s="2692"/>
      <c r="HB33" s="2692"/>
      <c r="HC33" s="2692"/>
      <c r="HD33" s="2692"/>
      <c r="HE33" s="2692"/>
      <c r="HF33" s="2692"/>
      <c r="HG33" s="2692"/>
      <c r="HH33" s="2692"/>
      <c r="HI33" s="2692"/>
      <c r="HJ33" s="2692"/>
      <c r="HK33" s="2692"/>
      <c r="HL33" s="2692"/>
      <c r="HM33" s="2692"/>
      <c r="HN33" s="2692"/>
      <c r="HO33" s="2692"/>
      <c r="HP33" s="2692"/>
      <c r="HQ33" s="2692"/>
      <c r="HR33" s="2692"/>
      <c r="HS33" s="2692"/>
      <c r="HT33" s="2692"/>
      <c r="HU33" s="2692"/>
      <c r="HV33" s="2692"/>
      <c r="HW33" s="2692"/>
      <c r="HX33" s="2692"/>
      <c r="HY33" s="2692"/>
      <c r="HZ33" s="2692"/>
      <c r="IA33" s="2692"/>
      <c r="IB33" s="2692"/>
      <c r="IC33" s="2692"/>
      <c r="ID33" s="2692"/>
      <c r="IE33" s="2692"/>
      <c r="IF33" s="2692"/>
      <c r="IG33" s="2692"/>
      <c r="IH33" s="2692"/>
      <c r="II33" s="2692"/>
      <c r="IJ33" s="2692"/>
      <c r="IK33" s="2692"/>
      <c r="IL33" s="2692"/>
      <c r="IM33" s="2692"/>
      <c r="IN33" s="2692"/>
      <c r="IO33" s="2692"/>
      <c r="IP33" s="2692"/>
      <c r="IQ33" s="2692"/>
      <c r="IR33" s="2692"/>
      <c r="IS33" s="2692"/>
      <c r="IT33" s="2692"/>
      <c r="IU33" s="2692"/>
      <c r="IV33" s="2692"/>
    </row>
    <row r="34" spans="1:256" s="40" customFormat="1" ht="14" thickTop="1" thickBot="1" x14ac:dyDescent="0.35">
      <c r="A34" s="2702"/>
      <c r="B34" s="3362" t="s">
        <v>2542</v>
      </c>
      <c r="C34" s="3362"/>
      <c r="D34" s="3362"/>
      <c r="E34" s="2932"/>
      <c r="F34" s="2710"/>
      <c r="G34" s="3362" t="s">
        <v>2757</v>
      </c>
      <c r="H34" s="3362"/>
      <c r="I34" s="3362"/>
      <c r="J34" s="2698"/>
      <c r="K34" s="2692"/>
      <c r="L34" s="2692"/>
      <c r="M34" s="2692"/>
      <c r="N34" s="2692"/>
      <c r="O34" s="2692"/>
      <c r="P34" s="2692"/>
      <c r="Q34" s="2692"/>
      <c r="R34" s="2692"/>
      <c r="S34" s="2692"/>
      <c r="T34" s="2692"/>
      <c r="U34" s="2692"/>
      <c r="V34" s="2692"/>
      <c r="W34" s="2692"/>
      <c r="X34" s="2692"/>
      <c r="Y34" s="2692"/>
      <c r="Z34" s="2692"/>
      <c r="AA34" s="2692"/>
      <c r="AB34" s="2692"/>
      <c r="AC34" s="2692"/>
      <c r="AD34" s="2692"/>
      <c r="AE34" s="2692"/>
      <c r="AF34" s="2692"/>
      <c r="AG34" s="2692"/>
      <c r="AH34" s="2692"/>
      <c r="AI34" s="2692"/>
      <c r="AJ34" s="2692"/>
      <c r="AK34" s="2692"/>
      <c r="AL34" s="2692"/>
      <c r="AM34" s="2692"/>
      <c r="AN34" s="2692"/>
      <c r="AO34" s="2692"/>
      <c r="AP34" s="2692"/>
      <c r="AQ34" s="2692"/>
      <c r="AR34" s="2692"/>
      <c r="AS34" s="2692"/>
      <c r="AT34" s="2692"/>
      <c r="AU34" s="2692"/>
      <c r="AV34" s="2692"/>
      <c r="AW34" s="2692"/>
      <c r="AX34" s="2692"/>
      <c r="AY34" s="2692"/>
      <c r="AZ34" s="2692"/>
      <c r="BA34" s="2692"/>
      <c r="BB34" s="2692"/>
      <c r="BC34" s="2692"/>
      <c r="BD34" s="2692"/>
      <c r="BE34" s="2692"/>
      <c r="BF34" s="2692"/>
      <c r="BG34" s="2692"/>
      <c r="BH34" s="2692"/>
      <c r="BI34" s="2692"/>
      <c r="BJ34" s="2692"/>
      <c r="BK34" s="2692"/>
      <c r="BL34" s="2692"/>
      <c r="BM34" s="2692"/>
      <c r="BN34" s="2692"/>
      <c r="BO34" s="2692"/>
      <c r="BP34" s="2692"/>
      <c r="BQ34" s="2692"/>
      <c r="BR34" s="2692"/>
      <c r="BS34" s="2692"/>
      <c r="BT34" s="2692"/>
      <c r="BU34" s="2692"/>
      <c r="BV34" s="2692"/>
      <c r="BW34" s="2692"/>
      <c r="BX34" s="2692"/>
      <c r="BY34" s="2692"/>
      <c r="BZ34" s="2692"/>
      <c r="CA34" s="2692"/>
      <c r="CB34" s="2692"/>
      <c r="CC34" s="2692"/>
      <c r="CD34" s="2692"/>
      <c r="CE34" s="2692"/>
      <c r="CF34" s="2692"/>
      <c r="CG34" s="2692"/>
      <c r="CH34" s="2692"/>
      <c r="CI34" s="2692"/>
      <c r="CJ34" s="2692"/>
      <c r="CK34" s="2692"/>
      <c r="CL34" s="2692"/>
      <c r="CM34" s="2692"/>
      <c r="CN34" s="2692"/>
      <c r="CO34" s="2692"/>
      <c r="CP34" s="2692"/>
      <c r="CQ34" s="2692"/>
      <c r="CR34" s="2692"/>
      <c r="CS34" s="2692"/>
      <c r="CT34" s="2692"/>
      <c r="CU34" s="2692"/>
      <c r="CV34" s="2692"/>
      <c r="CW34" s="2692"/>
      <c r="CX34" s="2692"/>
      <c r="CY34" s="2692"/>
      <c r="CZ34" s="2692"/>
      <c r="DA34" s="2692"/>
      <c r="DB34" s="2692"/>
      <c r="DC34" s="2692"/>
      <c r="DD34" s="2692"/>
      <c r="DE34" s="2692"/>
      <c r="DF34" s="2692"/>
      <c r="DG34" s="2692"/>
      <c r="DH34" s="2692"/>
      <c r="DI34" s="2692"/>
      <c r="DJ34" s="2692"/>
      <c r="DK34" s="2692"/>
      <c r="DL34" s="2692"/>
      <c r="DM34" s="2692"/>
      <c r="DN34" s="2692"/>
      <c r="DO34" s="2692"/>
      <c r="DP34" s="2692"/>
      <c r="DQ34" s="2692"/>
      <c r="DR34" s="2692"/>
      <c r="DS34" s="2692"/>
      <c r="DT34" s="2692"/>
      <c r="DU34" s="2692"/>
      <c r="DV34" s="2692"/>
      <c r="DW34" s="2692"/>
      <c r="DX34" s="2692"/>
      <c r="DY34" s="2692"/>
      <c r="DZ34" s="2692"/>
      <c r="EA34" s="2692"/>
      <c r="EB34" s="2692"/>
      <c r="EC34" s="2692"/>
      <c r="ED34" s="2692"/>
      <c r="EE34" s="2692"/>
      <c r="EF34" s="2692"/>
      <c r="EG34" s="2692"/>
      <c r="EH34" s="2692"/>
      <c r="EI34" s="2692"/>
      <c r="EJ34" s="2692"/>
      <c r="EK34" s="2692"/>
      <c r="EL34" s="2692"/>
      <c r="EM34" s="2692"/>
      <c r="EN34" s="2692"/>
      <c r="EO34" s="2692"/>
      <c r="EP34" s="2692"/>
      <c r="EQ34" s="2692"/>
      <c r="ER34" s="2692"/>
      <c r="ES34" s="2692"/>
      <c r="ET34" s="2692"/>
      <c r="EU34" s="2692"/>
      <c r="EV34" s="2692"/>
      <c r="EW34" s="2692"/>
      <c r="EX34" s="2692"/>
      <c r="EY34" s="2692"/>
      <c r="EZ34" s="2692"/>
      <c r="FA34" s="2692"/>
      <c r="FB34" s="2692"/>
      <c r="FC34" s="2692"/>
      <c r="FD34" s="2692"/>
      <c r="FE34" s="2692"/>
      <c r="FF34" s="2692"/>
      <c r="FG34" s="2692"/>
      <c r="FH34" s="2692"/>
      <c r="FI34" s="2692"/>
      <c r="FJ34" s="2692"/>
      <c r="FK34" s="2692"/>
      <c r="FL34" s="2692"/>
      <c r="FM34" s="2692"/>
      <c r="FN34" s="2692"/>
      <c r="FO34" s="2692"/>
      <c r="FP34" s="2692"/>
      <c r="FQ34" s="2692"/>
      <c r="FR34" s="2692"/>
      <c r="FS34" s="2692"/>
      <c r="FT34" s="2692"/>
      <c r="FU34" s="2692"/>
      <c r="FV34" s="2692"/>
      <c r="FW34" s="2692"/>
      <c r="FX34" s="2692"/>
      <c r="FY34" s="2692"/>
      <c r="FZ34" s="2692"/>
      <c r="GA34" s="2692"/>
      <c r="GB34" s="2692"/>
      <c r="GC34" s="2692"/>
      <c r="GD34" s="2692"/>
      <c r="GE34" s="2692"/>
      <c r="GF34" s="2692"/>
      <c r="GG34" s="2692"/>
      <c r="GH34" s="2692"/>
      <c r="GI34" s="2692"/>
      <c r="GJ34" s="2692"/>
      <c r="GK34" s="2692"/>
      <c r="GL34" s="2692"/>
      <c r="GM34" s="2692"/>
      <c r="GN34" s="2692"/>
      <c r="GO34" s="2692"/>
      <c r="GP34" s="2692"/>
      <c r="GQ34" s="2692"/>
      <c r="GR34" s="2692"/>
      <c r="GS34" s="2692"/>
      <c r="GT34" s="2692"/>
      <c r="GU34" s="2692"/>
      <c r="GV34" s="2692"/>
      <c r="GW34" s="2692"/>
      <c r="GX34" s="2692"/>
      <c r="GY34" s="2692"/>
      <c r="GZ34" s="2692"/>
      <c r="HA34" s="2692"/>
      <c r="HB34" s="2692"/>
      <c r="HC34" s="2692"/>
      <c r="HD34" s="2692"/>
      <c r="HE34" s="2692"/>
      <c r="HF34" s="2692"/>
      <c r="HG34" s="2692"/>
      <c r="HH34" s="2692"/>
      <c r="HI34" s="2692"/>
      <c r="HJ34" s="2692"/>
      <c r="HK34" s="2692"/>
      <c r="HL34" s="2692"/>
      <c r="HM34" s="2692"/>
      <c r="HN34" s="2692"/>
      <c r="HO34" s="2692"/>
      <c r="HP34" s="2692"/>
      <c r="HQ34" s="2692"/>
      <c r="HR34" s="2692"/>
      <c r="HS34" s="2692"/>
      <c r="HT34" s="2692"/>
      <c r="HU34" s="2692"/>
      <c r="HV34" s="2692"/>
      <c r="HW34" s="2692"/>
      <c r="HX34" s="2692"/>
      <c r="HY34" s="2692"/>
      <c r="HZ34" s="2692"/>
      <c r="IA34" s="2692"/>
      <c r="IB34" s="2692"/>
      <c r="IC34" s="2692"/>
      <c r="ID34" s="2692"/>
      <c r="IE34" s="2692"/>
      <c r="IF34" s="2692"/>
      <c r="IG34" s="2692"/>
      <c r="IH34" s="2692"/>
      <c r="II34" s="2692"/>
      <c r="IJ34" s="2692"/>
      <c r="IK34" s="2692"/>
      <c r="IL34" s="2692"/>
      <c r="IM34" s="2692"/>
      <c r="IN34" s="2692"/>
      <c r="IO34" s="2692"/>
      <c r="IP34" s="2692"/>
      <c r="IQ34" s="2692"/>
      <c r="IR34" s="2692"/>
      <c r="IS34" s="2692"/>
      <c r="IT34" s="2692"/>
      <c r="IU34" s="2692"/>
      <c r="IV34" s="2692"/>
    </row>
    <row r="35" spans="1:256" s="40" customFormat="1" ht="13" x14ac:dyDescent="0.3">
      <c r="A35" s="2952"/>
      <c r="B35" s="3003">
        <v>2016</v>
      </c>
      <c r="C35" s="3003">
        <v>2017</v>
      </c>
      <c r="D35" s="3003">
        <v>2018</v>
      </c>
      <c r="E35" s="3003">
        <v>2019</v>
      </c>
      <c r="F35" s="2778"/>
      <c r="G35" s="3384"/>
      <c r="H35" s="3384"/>
      <c r="I35" s="3384"/>
      <c r="J35" s="3385"/>
      <c r="K35" s="2692"/>
      <c r="L35" s="2692"/>
      <c r="M35" s="2692"/>
      <c r="N35" s="2692"/>
      <c r="O35" s="2692"/>
      <c r="P35" s="2692"/>
      <c r="Q35" s="2692"/>
      <c r="R35" s="2692"/>
      <c r="S35" s="2692"/>
      <c r="T35" s="2692"/>
      <c r="U35" s="2692"/>
      <c r="V35" s="2692"/>
      <c r="W35" s="2692"/>
      <c r="X35" s="2692"/>
      <c r="Y35" s="2692"/>
      <c r="Z35" s="2692"/>
      <c r="AA35" s="2692"/>
      <c r="AB35" s="2692"/>
      <c r="AC35" s="2692"/>
      <c r="AD35" s="2692"/>
      <c r="AE35" s="2692"/>
      <c r="AF35" s="2692"/>
      <c r="AG35" s="2692"/>
      <c r="AH35" s="2692"/>
      <c r="AI35" s="2692"/>
      <c r="AJ35" s="2692"/>
      <c r="AK35" s="2692"/>
      <c r="AL35" s="2692"/>
      <c r="AM35" s="2692"/>
      <c r="AN35" s="2692"/>
      <c r="AO35" s="2692"/>
      <c r="AP35" s="2692"/>
      <c r="AQ35" s="2692"/>
      <c r="AR35" s="2692"/>
      <c r="AS35" s="2692"/>
      <c r="AT35" s="2692"/>
      <c r="AU35" s="2692"/>
      <c r="AV35" s="2692"/>
      <c r="AW35" s="2692"/>
      <c r="AX35" s="2692"/>
      <c r="AY35" s="2692"/>
      <c r="AZ35" s="2692"/>
      <c r="BA35" s="2692"/>
      <c r="BB35" s="2692"/>
      <c r="BC35" s="2692"/>
      <c r="BD35" s="2692"/>
      <c r="BE35" s="2692"/>
      <c r="BF35" s="2692"/>
      <c r="BG35" s="2692"/>
      <c r="BH35" s="2692"/>
      <c r="BI35" s="2692"/>
      <c r="BJ35" s="2692"/>
      <c r="BK35" s="2692"/>
      <c r="BL35" s="2692"/>
      <c r="BM35" s="2692"/>
      <c r="BN35" s="2692"/>
      <c r="BO35" s="2692"/>
      <c r="BP35" s="2692"/>
      <c r="BQ35" s="2692"/>
      <c r="BR35" s="2692"/>
      <c r="BS35" s="2692"/>
      <c r="BT35" s="2692"/>
      <c r="BU35" s="2692"/>
      <c r="BV35" s="2692"/>
      <c r="BW35" s="2692"/>
      <c r="BX35" s="2692"/>
      <c r="BY35" s="2692"/>
      <c r="BZ35" s="2692"/>
      <c r="CA35" s="2692"/>
      <c r="CB35" s="2692"/>
      <c r="CC35" s="2692"/>
      <c r="CD35" s="2692"/>
      <c r="CE35" s="2692"/>
      <c r="CF35" s="2692"/>
      <c r="CG35" s="2692"/>
      <c r="CH35" s="2692"/>
      <c r="CI35" s="2692"/>
      <c r="CJ35" s="2692"/>
      <c r="CK35" s="2692"/>
      <c r="CL35" s="2692"/>
      <c r="CM35" s="2692"/>
      <c r="CN35" s="2692"/>
      <c r="CO35" s="2692"/>
      <c r="CP35" s="2692"/>
      <c r="CQ35" s="2692"/>
      <c r="CR35" s="2692"/>
      <c r="CS35" s="2692"/>
      <c r="CT35" s="2692"/>
      <c r="CU35" s="2692"/>
      <c r="CV35" s="2692"/>
      <c r="CW35" s="2692"/>
      <c r="CX35" s="2692"/>
      <c r="CY35" s="2692"/>
      <c r="CZ35" s="2692"/>
      <c r="DA35" s="2692"/>
      <c r="DB35" s="2692"/>
      <c r="DC35" s="2692"/>
      <c r="DD35" s="2692"/>
      <c r="DE35" s="2692"/>
      <c r="DF35" s="2692"/>
      <c r="DG35" s="2692"/>
      <c r="DH35" s="2692"/>
      <c r="DI35" s="2692"/>
      <c r="DJ35" s="2692"/>
      <c r="DK35" s="2692"/>
      <c r="DL35" s="2692"/>
      <c r="DM35" s="2692"/>
      <c r="DN35" s="2692"/>
      <c r="DO35" s="2692"/>
      <c r="DP35" s="2692"/>
      <c r="DQ35" s="2692"/>
      <c r="DR35" s="2692"/>
      <c r="DS35" s="2692"/>
      <c r="DT35" s="2692"/>
      <c r="DU35" s="2692"/>
      <c r="DV35" s="2692"/>
      <c r="DW35" s="2692"/>
      <c r="DX35" s="2692"/>
      <c r="DY35" s="2692"/>
      <c r="DZ35" s="2692"/>
      <c r="EA35" s="2692"/>
      <c r="EB35" s="2692"/>
      <c r="EC35" s="2692"/>
      <c r="ED35" s="2692"/>
      <c r="EE35" s="2692"/>
      <c r="EF35" s="2692"/>
      <c r="EG35" s="2692"/>
      <c r="EH35" s="2692"/>
      <c r="EI35" s="2692"/>
      <c r="EJ35" s="2692"/>
      <c r="EK35" s="2692"/>
      <c r="EL35" s="2692"/>
      <c r="EM35" s="2692"/>
      <c r="EN35" s="2692"/>
      <c r="EO35" s="2692"/>
      <c r="EP35" s="2692"/>
      <c r="EQ35" s="2692"/>
      <c r="ER35" s="2692"/>
      <c r="ES35" s="2692"/>
      <c r="ET35" s="2692"/>
      <c r="EU35" s="2692"/>
      <c r="EV35" s="2692"/>
      <c r="EW35" s="2692"/>
      <c r="EX35" s="2692"/>
      <c r="EY35" s="2692"/>
      <c r="EZ35" s="2692"/>
      <c r="FA35" s="2692"/>
      <c r="FB35" s="2692"/>
      <c r="FC35" s="2692"/>
      <c r="FD35" s="2692"/>
      <c r="FE35" s="2692"/>
      <c r="FF35" s="2692"/>
      <c r="FG35" s="2692"/>
      <c r="FH35" s="2692"/>
      <c r="FI35" s="2692"/>
      <c r="FJ35" s="2692"/>
      <c r="FK35" s="2692"/>
      <c r="FL35" s="2692"/>
      <c r="FM35" s="2692"/>
      <c r="FN35" s="2692"/>
      <c r="FO35" s="2692"/>
      <c r="FP35" s="2692"/>
      <c r="FQ35" s="2692"/>
      <c r="FR35" s="2692"/>
      <c r="FS35" s="2692"/>
      <c r="FT35" s="2692"/>
      <c r="FU35" s="2692"/>
      <c r="FV35" s="2692"/>
      <c r="FW35" s="2692"/>
      <c r="FX35" s="2692"/>
      <c r="FY35" s="2692"/>
      <c r="FZ35" s="2692"/>
      <c r="GA35" s="2692"/>
      <c r="GB35" s="2692"/>
      <c r="GC35" s="2692"/>
      <c r="GD35" s="2692"/>
      <c r="GE35" s="2692"/>
      <c r="GF35" s="2692"/>
      <c r="GG35" s="2692"/>
      <c r="GH35" s="2692"/>
      <c r="GI35" s="2692"/>
      <c r="GJ35" s="2692"/>
      <c r="GK35" s="2692"/>
      <c r="GL35" s="2692"/>
      <c r="GM35" s="2692"/>
      <c r="GN35" s="2692"/>
      <c r="GO35" s="2692"/>
      <c r="GP35" s="2692"/>
      <c r="GQ35" s="2692"/>
      <c r="GR35" s="2692"/>
      <c r="GS35" s="2692"/>
      <c r="GT35" s="2692"/>
      <c r="GU35" s="2692"/>
      <c r="GV35" s="2692"/>
      <c r="GW35" s="2692"/>
      <c r="GX35" s="2692"/>
      <c r="GY35" s="2692"/>
      <c r="GZ35" s="2692"/>
      <c r="HA35" s="2692"/>
      <c r="HB35" s="2692"/>
      <c r="HC35" s="2692"/>
      <c r="HD35" s="2692"/>
      <c r="HE35" s="2692"/>
      <c r="HF35" s="2692"/>
      <c r="HG35" s="2692"/>
      <c r="HH35" s="2692"/>
      <c r="HI35" s="2692"/>
      <c r="HJ35" s="2692"/>
      <c r="HK35" s="2692"/>
      <c r="HL35" s="2692"/>
      <c r="HM35" s="2692"/>
      <c r="HN35" s="2692"/>
      <c r="HO35" s="2692"/>
      <c r="HP35" s="2692"/>
      <c r="HQ35" s="2692"/>
      <c r="HR35" s="2692"/>
      <c r="HS35" s="2692"/>
      <c r="HT35" s="2692"/>
      <c r="HU35" s="2692"/>
      <c r="HV35" s="2692"/>
      <c r="HW35" s="2692"/>
      <c r="HX35" s="2692"/>
      <c r="HY35" s="2692"/>
      <c r="HZ35" s="2692"/>
      <c r="IA35" s="2692"/>
      <c r="IB35" s="2692"/>
      <c r="IC35" s="2692"/>
      <c r="ID35" s="2692"/>
      <c r="IE35" s="2692"/>
      <c r="IF35" s="2692"/>
      <c r="IG35" s="2692"/>
      <c r="IH35" s="2692"/>
      <c r="II35" s="2692"/>
      <c r="IJ35" s="2692"/>
      <c r="IK35" s="2692"/>
      <c r="IL35" s="2692"/>
      <c r="IM35" s="2692"/>
      <c r="IN35" s="2692"/>
      <c r="IO35" s="2692"/>
      <c r="IP35" s="2692"/>
      <c r="IQ35" s="2692"/>
      <c r="IR35" s="2692"/>
      <c r="IS35" s="2692"/>
      <c r="IT35" s="2692"/>
      <c r="IU35" s="2692"/>
      <c r="IV35" s="2692"/>
    </row>
    <row r="36" spans="1:256" s="40" customFormat="1" ht="13" x14ac:dyDescent="0.3">
      <c r="A36" s="2711" t="s">
        <v>2543</v>
      </c>
      <c r="B36" s="3004"/>
      <c r="C36" s="2958"/>
      <c r="D36" s="2958"/>
      <c r="E36" s="2958"/>
      <c r="F36" s="2935" t="s">
        <v>2548</v>
      </c>
      <c r="G36" s="3384"/>
      <c r="H36" s="3384"/>
      <c r="I36" s="3384"/>
      <c r="J36" s="3385"/>
      <c r="K36" s="2692"/>
      <c r="L36" s="2692"/>
      <c r="M36" s="2692"/>
      <c r="N36" s="2692"/>
      <c r="O36" s="2692"/>
      <c r="P36" s="2692"/>
      <c r="Q36" s="2692"/>
      <c r="R36" s="2692"/>
      <c r="S36" s="2692"/>
      <c r="T36" s="2692"/>
      <c r="U36" s="2692"/>
      <c r="V36" s="2692"/>
      <c r="W36" s="2692"/>
      <c r="X36" s="2692"/>
      <c r="Y36" s="2692"/>
      <c r="Z36" s="2692"/>
      <c r="AA36" s="2692"/>
      <c r="AB36" s="2692"/>
      <c r="AC36" s="2692"/>
      <c r="AD36" s="2692"/>
      <c r="AE36" s="2692"/>
      <c r="AF36" s="2692"/>
      <c r="AG36" s="2692"/>
      <c r="AH36" s="2692"/>
      <c r="AI36" s="2692"/>
      <c r="AJ36" s="2692"/>
      <c r="AK36" s="2692"/>
      <c r="AL36" s="2692"/>
      <c r="AM36" s="2692"/>
      <c r="AN36" s="2692"/>
      <c r="AO36" s="2692"/>
      <c r="AP36" s="2692"/>
      <c r="AQ36" s="2692"/>
      <c r="AR36" s="2692"/>
      <c r="AS36" s="2692"/>
      <c r="AT36" s="2692"/>
      <c r="AU36" s="2692"/>
      <c r="AV36" s="2692"/>
      <c r="AW36" s="2692"/>
      <c r="AX36" s="2692"/>
      <c r="AY36" s="2692"/>
      <c r="AZ36" s="2692"/>
      <c r="BA36" s="2692"/>
      <c r="BB36" s="2692"/>
      <c r="BC36" s="2692"/>
      <c r="BD36" s="2692"/>
      <c r="BE36" s="2692"/>
      <c r="BF36" s="2692"/>
      <c r="BG36" s="2692"/>
      <c r="BH36" s="2692"/>
      <c r="BI36" s="2692"/>
      <c r="BJ36" s="2692"/>
      <c r="BK36" s="2692"/>
      <c r="BL36" s="2692"/>
      <c r="BM36" s="2692"/>
      <c r="BN36" s="2692"/>
      <c r="BO36" s="2692"/>
      <c r="BP36" s="2692"/>
      <c r="BQ36" s="2692"/>
      <c r="BR36" s="2692"/>
      <c r="BS36" s="2692"/>
      <c r="BT36" s="2692"/>
      <c r="BU36" s="2692"/>
      <c r="BV36" s="2692"/>
      <c r="BW36" s="2692"/>
      <c r="BX36" s="2692"/>
      <c r="BY36" s="2692"/>
      <c r="BZ36" s="2692"/>
      <c r="CA36" s="2692"/>
      <c r="CB36" s="2692"/>
      <c r="CC36" s="2692"/>
      <c r="CD36" s="2692"/>
      <c r="CE36" s="2692"/>
      <c r="CF36" s="2692"/>
      <c r="CG36" s="2692"/>
      <c r="CH36" s="2692"/>
      <c r="CI36" s="2692"/>
      <c r="CJ36" s="2692"/>
      <c r="CK36" s="2692"/>
      <c r="CL36" s="2692"/>
      <c r="CM36" s="2692"/>
      <c r="CN36" s="2692"/>
      <c r="CO36" s="2692"/>
      <c r="CP36" s="2692"/>
      <c r="CQ36" s="2692"/>
      <c r="CR36" s="2692"/>
      <c r="CS36" s="2692"/>
      <c r="CT36" s="2692"/>
      <c r="CU36" s="2692"/>
      <c r="CV36" s="2692"/>
      <c r="CW36" s="2692"/>
      <c r="CX36" s="2692"/>
      <c r="CY36" s="2692"/>
      <c r="CZ36" s="2692"/>
      <c r="DA36" s="2692"/>
      <c r="DB36" s="2692"/>
      <c r="DC36" s="2692"/>
      <c r="DD36" s="2692"/>
      <c r="DE36" s="2692"/>
      <c r="DF36" s="2692"/>
      <c r="DG36" s="2692"/>
      <c r="DH36" s="2692"/>
      <c r="DI36" s="2692"/>
      <c r="DJ36" s="2692"/>
      <c r="DK36" s="2692"/>
      <c r="DL36" s="2692"/>
      <c r="DM36" s="2692"/>
      <c r="DN36" s="2692"/>
      <c r="DO36" s="2692"/>
      <c r="DP36" s="2692"/>
      <c r="DQ36" s="2692"/>
      <c r="DR36" s="2692"/>
      <c r="DS36" s="2692"/>
      <c r="DT36" s="2692"/>
      <c r="DU36" s="2692"/>
      <c r="DV36" s="2692"/>
      <c r="DW36" s="2692"/>
      <c r="DX36" s="2692"/>
      <c r="DY36" s="2692"/>
      <c r="DZ36" s="2692"/>
      <c r="EA36" s="2692"/>
      <c r="EB36" s="2692"/>
      <c r="EC36" s="2692"/>
      <c r="ED36" s="2692"/>
      <c r="EE36" s="2692"/>
      <c r="EF36" s="2692"/>
      <c r="EG36" s="2692"/>
      <c r="EH36" s="2692"/>
      <c r="EI36" s="2692"/>
      <c r="EJ36" s="2692"/>
      <c r="EK36" s="2692"/>
      <c r="EL36" s="2692"/>
      <c r="EM36" s="2692"/>
      <c r="EN36" s="2692"/>
      <c r="EO36" s="2692"/>
      <c r="EP36" s="2692"/>
      <c r="EQ36" s="2692"/>
      <c r="ER36" s="2692"/>
      <c r="ES36" s="2692"/>
      <c r="ET36" s="2692"/>
      <c r="EU36" s="2692"/>
      <c r="EV36" s="2692"/>
      <c r="EW36" s="2692"/>
      <c r="EX36" s="2692"/>
      <c r="EY36" s="2692"/>
      <c r="EZ36" s="2692"/>
      <c r="FA36" s="2692"/>
      <c r="FB36" s="2692"/>
      <c r="FC36" s="2692"/>
      <c r="FD36" s="2692"/>
      <c r="FE36" s="2692"/>
      <c r="FF36" s="2692"/>
      <c r="FG36" s="2692"/>
      <c r="FH36" s="2692"/>
      <c r="FI36" s="2692"/>
      <c r="FJ36" s="2692"/>
      <c r="FK36" s="2692"/>
      <c r="FL36" s="2692"/>
      <c r="FM36" s="2692"/>
      <c r="FN36" s="2692"/>
      <c r="FO36" s="2692"/>
      <c r="FP36" s="2692"/>
      <c r="FQ36" s="2692"/>
      <c r="FR36" s="2692"/>
      <c r="FS36" s="2692"/>
      <c r="FT36" s="2692"/>
      <c r="FU36" s="2692"/>
      <c r="FV36" s="2692"/>
      <c r="FW36" s="2692"/>
      <c r="FX36" s="2692"/>
      <c r="FY36" s="2692"/>
      <c r="FZ36" s="2692"/>
      <c r="GA36" s="2692"/>
      <c r="GB36" s="2692"/>
      <c r="GC36" s="2692"/>
      <c r="GD36" s="2692"/>
      <c r="GE36" s="2692"/>
      <c r="GF36" s="2692"/>
      <c r="GG36" s="2692"/>
      <c r="GH36" s="2692"/>
      <c r="GI36" s="2692"/>
      <c r="GJ36" s="2692"/>
      <c r="GK36" s="2692"/>
      <c r="GL36" s="2692"/>
      <c r="GM36" s="2692"/>
      <c r="GN36" s="2692"/>
      <c r="GO36" s="2692"/>
      <c r="GP36" s="2692"/>
      <c r="GQ36" s="2692"/>
      <c r="GR36" s="2692"/>
      <c r="GS36" s="2692"/>
      <c r="GT36" s="2692"/>
      <c r="GU36" s="2692"/>
      <c r="GV36" s="2692"/>
      <c r="GW36" s="2692"/>
      <c r="GX36" s="2692"/>
      <c r="GY36" s="2692"/>
      <c r="GZ36" s="2692"/>
      <c r="HA36" s="2692"/>
      <c r="HB36" s="2692"/>
      <c r="HC36" s="2692"/>
      <c r="HD36" s="2692"/>
      <c r="HE36" s="2692"/>
      <c r="HF36" s="2692"/>
      <c r="HG36" s="2692"/>
      <c r="HH36" s="2692"/>
      <c r="HI36" s="2692"/>
      <c r="HJ36" s="2692"/>
      <c r="HK36" s="2692"/>
      <c r="HL36" s="2692"/>
      <c r="HM36" s="2692"/>
      <c r="HN36" s="2692"/>
      <c r="HO36" s="2692"/>
      <c r="HP36" s="2692"/>
      <c r="HQ36" s="2692"/>
      <c r="HR36" s="2692"/>
      <c r="HS36" s="2692"/>
      <c r="HT36" s="2692"/>
      <c r="HU36" s="2692"/>
      <c r="HV36" s="2692"/>
      <c r="HW36" s="2692"/>
      <c r="HX36" s="2692"/>
      <c r="HY36" s="2692"/>
      <c r="HZ36" s="2692"/>
      <c r="IA36" s="2692"/>
      <c r="IB36" s="2692"/>
      <c r="IC36" s="2692"/>
      <c r="ID36" s="2692"/>
      <c r="IE36" s="2692"/>
      <c r="IF36" s="2692"/>
      <c r="IG36" s="2692"/>
      <c r="IH36" s="2692"/>
      <c r="II36" s="2692"/>
      <c r="IJ36" s="2692"/>
      <c r="IK36" s="2692"/>
      <c r="IL36" s="2692"/>
      <c r="IM36" s="2692"/>
      <c r="IN36" s="2692"/>
      <c r="IO36" s="2692"/>
      <c r="IP36" s="2692"/>
      <c r="IQ36" s="2692"/>
      <c r="IR36" s="2692"/>
      <c r="IS36" s="2692"/>
      <c r="IT36" s="2692"/>
      <c r="IU36" s="2692"/>
      <c r="IV36" s="2692"/>
    </row>
    <row r="37" spans="1:256" s="40" customFormat="1" ht="12.75" customHeight="1" thickBot="1" x14ac:dyDescent="0.35">
      <c r="A37" s="2712" t="s">
        <v>2544</v>
      </c>
      <c r="B37" s="3005"/>
      <c r="C37" s="3006"/>
      <c r="D37" s="3006"/>
      <c r="E37" s="3006"/>
      <c r="F37" s="3007"/>
      <c r="G37" s="3384"/>
      <c r="H37" s="3384"/>
      <c r="I37" s="3384"/>
      <c r="J37" s="3385"/>
      <c r="K37" s="2692"/>
      <c r="L37" s="2692"/>
      <c r="M37" s="2692"/>
      <c r="N37" s="2692"/>
      <c r="O37" s="2692"/>
      <c r="P37" s="2692"/>
      <c r="Q37" s="2692"/>
      <c r="R37" s="2692"/>
      <c r="S37" s="2692"/>
      <c r="T37" s="2692"/>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692"/>
      <c r="AP37" s="2692"/>
      <c r="AQ37" s="2692"/>
      <c r="AR37" s="2692"/>
      <c r="AS37" s="2692"/>
      <c r="AT37" s="2692"/>
      <c r="AU37" s="2692"/>
      <c r="AV37" s="2692"/>
      <c r="AW37" s="2692"/>
      <c r="AX37" s="2692"/>
      <c r="AY37" s="2692"/>
      <c r="AZ37" s="2692"/>
      <c r="BA37" s="2692"/>
      <c r="BB37" s="2692"/>
      <c r="BC37" s="2692"/>
      <c r="BD37" s="2692"/>
      <c r="BE37" s="2692"/>
      <c r="BF37" s="2692"/>
      <c r="BG37" s="2692"/>
      <c r="BH37" s="2692"/>
      <c r="BI37" s="2692"/>
      <c r="BJ37" s="2692"/>
      <c r="BK37" s="2692"/>
      <c r="BL37" s="2692"/>
      <c r="BM37" s="2692"/>
      <c r="BN37" s="2692"/>
      <c r="BO37" s="2692"/>
      <c r="BP37" s="2692"/>
      <c r="BQ37" s="2692"/>
      <c r="BR37" s="2692"/>
      <c r="BS37" s="2692"/>
      <c r="BT37" s="2692"/>
      <c r="BU37" s="2692"/>
      <c r="BV37" s="2692"/>
      <c r="BW37" s="2692"/>
      <c r="BX37" s="2692"/>
      <c r="BY37" s="2692"/>
      <c r="BZ37" s="2692"/>
      <c r="CA37" s="2692"/>
      <c r="CB37" s="2692"/>
      <c r="CC37" s="2692"/>
      <c r="CD37" s="2692"/>
      <c r="CE37" s="2692"/>
      <c r="CF37" s="2692"/>
      <c r="CG37" s="2692"/>
      <c r="CH37" s="2692"/>
      <c r="CI37" s="2692"/>
      <c r="CJ37" s="2692"/>
      <c r="CK37" s="2692"/>
      <c r="CL37" s="2692"/>
      <c r="CM37" s="2692"/>
      <c r="CN37" s="2692"/>
      <c r="CO37" s="2692"/>
      <c r="CP37" s="2692"/>
      <c r="CQ37" s="2692"/>
      <c r="CR37" s="2692"/>
      <c r="CS37" s="2692"/>
      <c r="CT37" s="2692"/>
      <c r="CU37" s="2692"/>
      <c r="CV37" s="2692"/>
      <c r="CW37" s="2692"/>
      <c r="CX37" s="2692"/>
      <c r="CY37" s="2692"/>
      <c r="CZ37" s="2692"/>
      <c r="DA37" s="2692"/>
      <c r="DB37" s="2692"/>
      <c r="DC37" s="2692"/>
      <c r="DD37" s="2692"/>
      <c r="DE37" s="2692"/>
      <c r="DF37" s="2692"/>
      <c r="DG37" s="2692"/>
      <c r="DH37" s="2692"/>
      <c r="DI37" s="2692"/>
      <c r="DJ37" s="2692"/>
      <c r="DK37" s="2692"/>
      <c r="DL37" s="2692"/>
      <c r="DM37" s="2692"/>
      <c r="DN37" s="2692"/>
      <c r="DO37" s="2692"/>
      <c r="DP37" s="2692"/>
      <c r="DQ37" s="2692"/>
      <c r="DR37" s="2692"/>
      <c r="DS37" s="2692"/>
      <c r="DT37" s="2692"/>
      <c r="DU37" s="2692"/>
      <c r="DV37" s="2692"/>
      <c r="DW37" s="2692"/>
      <c r="DX37" s="2692"/>
      <c r="DY37" s="2692"/>
      <c r="DZ37" s="2692"/>
      <c r="EA37" s="2692"/>
      <c r="EB37" s="2692"/>
      <c r="EC37" s="2692"/>
      <c r="ED37" s="2692"/>
      <c r="EE37" s="2692"/>
      <c r="EF37" s="2692"/>
      <c r="EG37" s="2692"/>
      <c r="EH37" s="2692"/>
      <c r="EI37" s="2692"/>
      <c r="EJ37" s="2692"/>
      <c r="EK37" s="2692"/>
      <c r="EL37" s="2692"/>
      <c r="EM37" s="2692"/>
      <c r="EN37" s="2692"/>
      <c r="EO37" s="2692"/>
      <c r="EP37" s="2692"/>
      <c r="EQ37" s="2692"/>
      <c r="ER37" s="2692"/>
      <c r="ES37" s="2692"/>
      <c r="ET37" s="2692"/>
      <c r="EU37" s="2692"/>
      <c r="EV37" s="2692"/>
      <c r="EW37" s="2692"/>
      <c r="EX37" s="2692"/>
      <c r="EY37" s="2692"/>
      <c r="EZ37" s="2692"/>
      <c r="FA37" s="2692"/>
      <c r="FB37" s="2692"/>
      <c r="FC37" s="2692"/>
      <c r="FD37" s="2692"/>
      <c r="FE37" s="2692"/>
      <c r="FF37" s="2692"/>
      <c r="FG37" s="2692"/>
      <c r="FH37" s="2692"/>
      <c r="FI37" s="2692"/>
      <c r="FJ37" s="2692"/>
      <c r="FK37" s="2692"/>
      <c r="FL37" s="2692"/>
      <c r="FM37" s="2692"/>
      <c r="FN37" s="2692"/>
      <c r="FO37" s="2692"/>
      <c r="FP37" s="2692"/>
      <c r="FQ37" s="2692"/>
      <c r="FR37" s="2692"/>
      <c r="FS37" s="2692"/>
      <c r="FT37" s="2692"/>
      <c r="FU37" s="2692"/>
      <c r="FV37" s="2692"/>
      <c r="FW37" s="2692"/>
      <c r="FX37" s="2692"/>
      <c r="FY37" s="2692"/>
      <c r="FZ37" s="2692"/>
      <c r="GA37" s="2692"/>
      <c r="GB37" s="2692"/>
      <c r="GC37" s="2692"/>
      <c r="GD37" s="2692"/>
      <c r="GE37" s="2692"/>
      <c r="GF37" s="2692"/>
      <c r="GG37" s="2692"/>
      <c r="GH37" s="2692"/>
      <c r="GI37" s="2692"/>
      <c r="GJ37" s="2692"/>
      <c r="GK37" s="2692"/>
      <c r="GL37" s="2692"/>
      <c r="GM37" s="2692"/>
      <c r="GN37" s="2692"/>
      <c r="GO37" s="2692"/>
      <c r="GP37" s="2692"/>
      <c r="GQ37" s="2692"/>
      <c r="GR37" s="2692"/>
      <c r="GS37" s="2692"/>
      <c r="GT37" s="2692"/>
      <c r="GU37" s="2692"/>
      <c r="GV37" s="2692"/>
      <c r="GW37" s="2692"/>
      <c r="GX37" s="2692"/>
      <c r="GY37" s="2692"/>
      <c r="GZ37" s="2692"/>
      <c r="HA37" s="2692"/>
      <c r="HB37" s="2692"/>
      <c r="HC37" s="2692"/>
      <c r="HD37" s="2692"/>
      <c r="HE37" s="2692"/>
      <c r="HF37" s="2692"/>
      <c r="HG37" s="2692"/>
      <c r="HH37" s="2692"/>
      <c r="HI37" s="2692"/>
      <c r="HJ37" s="2692"/>
      <c r="HK37" s="2692"/>
      <c r="HL37" s="2692"/>
      <c r="HM37" s="2692"/>
      <c r="HN37" s="2692"/>
      <c r="HO37" s="2692"/>
      <c r="HP37" s="2692"/>
      <c r="HQ37" s="2692"/>
      <c r="HR37" s="2692"/>
      <c r="HS37" s="2692"/>
      <c r="HT37" s="2692"/>
      <c r="HU37" s="2692"/>
      <c r="HV37" s="2692"/>
      <c r="HW37" s="2692"/>
      <c r="HX37" s="2692"/>
      <c r="HY37" s="2692"/>
      <c r="HZ37" s="2692"/>
      <c r="IA37" s="2692"/>
      <c r="IB37" s="2692"/>
      <c r="IC37" s="2692"/>
      <c r="ID37" s="2692"/>
      <c r="IE37" s="2692"/>
      <c r="IF37" s="2692"/>
      <c r="IG37" s="2692"/>
      <c r="IH37" s="2692"/>
      <c r="II37" s="2692"/>
      <c r="IJ37" s="2692"/>
      <c r="IK37" s="2692"/>
      <c r="IL37" s="2692"/>
      <c r="IM37" s="2692"/>
      <c r="IN37" s="2692"/>
      <c r="IO37" s="2692"/>
      <c r="IP37" s="2692"/>
      <c r="IQ37" s="2692"/>
      <c r="IR37" s="2692"/>
      <c r="IS37" s="2692"/>
      <c r="IT37" s="2692"/>
      <c r="IU37" s="2692"/>
      <c r="IV37" s="2692"/>
    </row>
    <row r="38" spans="1:256" s="40" customFormat="1" ht="13" x14ac:dyDescent="0.3">
      <c r="A38" s="2953" t="s">
        <v>2545</v>
      </c>
      <c r="B38" s="2703"/>
      <c r="C38" s="2700"/>
      <c r="D38" s="2700"/>
      <c r="E38" s="2700"/>
      <c r="F38" s="2935"/>
      <c r="G38" s="3384"/>
      <c r="H38" s="3384"/>
      <c r="I38" s="3384"/>
      <c r="J38" s="3385"/>
      <c r="K38" s="2692"/>
      <c r="L38" s="2692"/>
      <c r="M38" s="2692"/>
      <c r="N38" s="2692"/>
      <c r="O38" s="2692"/>
      <c r="P38" s="2692"/>
      <c r="Q38" s="2692"/>
      <c r="R38" s="2692"/>
      <c r="S38" s="2692"/>
      <c r="T38" s="2692"/>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692"/>
      <c r="AP38" s="2692"/>
      <c r="AQ38" s="2692"/>
      <c r="AR38" s="2692"/>
      <c r="AS38" s="2692"/>
      <c r="AT38" s="2692"/>
      <c r="AU38" s="2692"/>
      <c r="AV38" s="2692"/>
      <c r="AW38" s="2692"/>
      <c r="AX38" s="2692"/>
      <c r="AY38" s="2692"/>
      <c r="AZ38" s="2692"/>
      <c r="BA38" s="2692"/>
      <c r="BB38" s="2692"/>
      <c r="BC38" s="2692"/>
      <c r="BD38" s="2692"/>
      <c r="BE38" s="2692"/>
      <c r="BF38" s="2692"/>
      <c r="BG38" s="2692"/>
      <c r="BH38" s="2692"/>
      <c r="BI38" s="2692"/>
      <c r="BJ38" s="2692"/>
      <c r="BK38" s="2692"/>
      <c r="BL38" s="2692"/>
      <c r="BM38" s="2692"/>
      <c r="BN38" s="2692"/>
      <c r="BO38" s="2692"/>
      <c r="BP38" s="2692"/>
      <c r="BQ38" s="2692"/>
      <c r="BR38" s="2692"/>
      <c r="BS38" s="2692"/>
      <c r="BT38" s="2692"/>
      <c r="BU38" s="2692"/>
      <c r="BV38" s="2692"/>
      <c r="BW38" s="2692"/>
      <c r="BX38" s="2692"/>
      <c r="BY38" s="2692"/>
      <c r="BZ38" s="2692"/>
      <c r="CA38" s="2692"/>
      <c r="CB38" s="2692"/>
      <c r="CC38" s="2692"/>
      <c r="CD38" s="2692"/>
      <c r="CE38" s="2692"/>
      <c r="CF38" s="2692"/>
      <c r="CG38" s="2692"/>
      <c r="CH38" s="2692"/>
      <c r="CI38" s="2692"/>
      <c r="CJ38" s="2692"/>
      <c r="CK38" s="2692"/>
      <c r="CL38" s="2692"/>
      <c r="CM38" s="2692"/>
      <c r="CN38" s="2692"/>
      <c r="CO38" s="2692"/>
      <c r="CP38" s="2692"/>
      <c r="CQ38" s="2692"/>
      <c r="CR38" s="2692"/>
      <c r="CS38" s="2692"/>
      <c r="CT38" s="2692"/>
      <c r="CU38" s="2692"/>
      <c r="CV38" s="2692"/>
      <c r="CW38" s="2692"/>
      <c r="CX38" s="2692"/>
      <c r="CY38" s="2692"/>
      <c r="CZ38" s="2692"/>
      <c r="DA38" s="2692"/>
      <c r="DB38" s="2692"/>
      <c r="DC38" s="2692"/>
      <c r="DD38" s="2692"/>
      <c r="DE38" s="2692"/>
      <c r="DF38" s="2692"/>
      <c r="DG38" s="2692"/>
      <c r="DH38" s="2692"/>
      <c r="DI38" s="2692"/>
      <c r="DJ38" s="2692"/>
      <c r="DK38" s="2692"/>
      <c r="DL38" s="2692"/>
      <c r="DM38" s="2692"/>
      <c r="DN38" s="2692"/>
      <c r="DO38" s="2692"/>
      <c r="DP38" s="2692"/>
      <c r="DQ38" s="2692"/>
      <c r="DR38" s="2692"/>
      <c r="DS38" s="2692"/>
      <c r="DT38" s="2692"/>
      <c r="DU38" s="2692"/>
      <c r="DV38" s="2692"/>
      <c r="DW38" s="2692"/>
      <c r="DX38" s="2692"/>
      <c r="DY38" s="2692"/>
      <c r="DZ38" s="2692"/>
      <c r="EA38" s="2692"/>
      <c r="EB38" s="2692"/>
      <c r="EC38" s="2692"/>
      <c r="ED38" s="2692"/>
      <c r="EE38" s="2692"/>
      <c r="EF38" s="2692"/>
      <c r="EG38" s="2692"/>
      <c r="EH38" s="2692"/>
      <c r="EI38" s="2692"/>
      <c r="EJ38" s="2692"/>
      <c r="EK38" s="2692"/>
      <c r="EL38" s="2692"/>
      <c r="EM38" s="2692"/>
      <c r="EN38" s="2692"/>
      <c r="EO38" s="2692"/>
      <c r="EP38" s="2692"/>
      <c r="EQ38" s="2692"/>
      <c r="ER38" s="2692"/>
      <c r="ES38" s="2692"/>
      <c r="ET38" s="2692"/>
      <c r="EU38" s="2692"/>
      <c r="EV38" s="2692"/>
      <c r="EW38" s="2692"/>
      <c r="EX38" s="2692"/>
      <c r="EY38" s="2692"/>
      <c r="EZ38" s="2692"/>
      <c r="FA38" s="2692"/>
      <c r="FB38" s="2692"/>
      <c r="FC38" s="2692"/>
      <c r="FD38" s="2692"/>
      <c r="FE38" s="2692"/>
      <c r="FF38" s="2692"/>
      <c r="FG38" s="2692"/>
      <c r="FH38" s="2692"/>
      <c r="FI38" s="2692"/>
      <c r="FJ38" s="2692"/>
      <c r="FK38" s="2692"/>
      <c r="FL38" s="2692"/>
      <c r="FM38" s="2692"/>
      <c r="FN38" s="2692"/>
      <c r="FO38" s="2692"/>
      <c r="FP38" s="2692"/>
      <c r="FQ38" s="2692"/>
      <c r="FR38" s="2692"/>
      <c r="FS38" s="2692"/>
      <c r="FT38" s="2692"/>
      <c r="FU38" s="2692"/>
      <c r="FV38" s="2692"/>
      <c r="FW38" s="2692"/>
      <c r="FX38" s="2692"/>
      <c r="FY38" s="2692"/>
      <c r="FZ38" s="2692"/>
      <c r="GA38" s="2692"/>
      <c r="GB38" s="2692"/>
      <c r="GC38" s="2692"/>
      <c r="GD38" s="2692"/>
      <c r="GE38" s="2692"/>
      <c r="GF38" s="2692"/>
      <c r="GG38" s="2692"/>
      <c r="GH38" s="2692"/>
      <c r="GI38" s="2692"/>
      <c r="GJ38" s="2692"/>
      <c r="GK38" s="2692"/>
      <c r="GL38" s="2692"/>
      <c r="GM38" s="2692"/>
      <c r="GN38" s="2692"/>
      <c r="GO38" s="2692"/>
      <c r="GP38" s="2692"/>
      <c r="GQ38" s="2692"/>
      <c r="GR38" s="2692"/>
      <c r="GS38" s="2692"/>
      <c r="GT38" s="2692"/>
      <c r="GU38" s="2692"/>
      <c r="GV38" s="2692"/>
      <c r="GW38" s="2692"/>
      <c r="GX38" s="2692"/>
      <c r="GY38" s="2692"/>
      <c r="GZ38" s="2692"/>
      <c r="HA38" s="2692"/>
      <c r="HB38" s="2692"/>
      <c r="HC38" s="2692"/>
      <c r="HD38" s="2692"/>
      <c r="HE38" s="2692"/>
      <c r="HF38" s="2692"/>
      <c r="HG38" s="2692"/>
      <c r="HH38" s="2692"/>
      <c r="HI38" s="2692"/>
      <c r="HJ38" s="2692"/>
      <c r="HK38" s="2692"/>
      <c r="HL38" s="2692"/>
      <c r="HM38" s="2692"/>
      <c r="HN38" s="2692"/>
      <c r="HO38" s="2692"/>
      <c r="HP38" s="2692"/>
      <c r="HQ38" s="2692"/>
      <c r="HR38" s="2692"/>
      <c r="HS38" s="2692"/>
      <c r="HT38" s="2692"/>
      <c r="HU38" s="2692"/>
      <c r="HV38" s="2692"/>
      <c r="HW38" s="2692"/>
      <c r="HX38" s="2692"/>
      <c r="HY38" s="2692"/>
      <c r="HZ38" s="2692"/>
      <c r="IA38" s="2692"/>
      <c r="IB38" s="2692"/>
      <c r="IC38" s="2692"/>
      <c r="ID38" s="2692"/>
      <c r="IE38" s="2692"/>
      <c r="IF38" s="2692"/>
      <c r="IG38" s="2692"/>
      <c r="IH38" s="2692"/>
      <c r="II38" s="2692"/>
      <c r="IJ38" s="2692"/>
      <c r="IK38" s="2692"/>
      <c r="IL38" s="2692"/>
      <c r="IM38" s="2692"/>
      <c r="IN38" s="2692"/>
      <c r="IO38" s="2692"/>
      <c r="IP38" s="2692"/>
      <c r="IQ38" s="2692"/>
      <c r="IR38" s="2692"/>
      <c r="IS38" s="2692"/>
      <c r="IT38" s="2692"/>
      <c r="IU38" s="2692"/>
      <c r="IV38" s="2692"/>
    </row>
    <row r="39" spans="1:256" s="40" customFormat="1" ht="13" x14ac:dyDescent="0.3">
      <c r="A39" s="2935" t="s">
        <v>2546</v>
      </c>
      <c r="B39" s="2703"/>
      <c r="C39" s="2760"/>
      <c r="D39" s="2700"/>
      <c r="E39" s="2700"/>
      <c r="F39" s="2935"/>
      <c r="G39" s="3384"/>
      <c r="H39" s="3384"/>
      <c r="I39" s="3384"/>
      <c r="J39" s="3385"/>
      <c r="K39" s="2692"/>
      <c r="L39" s="2692"/>
      <c r="M39" s="2692"/>
      <c r="N39" s="2692"/>
      <c r="O39" s="2692"/>
      <c r="P39" s="2692"/>
      <c r="Q39" s="2692"/>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692"/>
      <c r="AP39" s="2692"/>
      <c r="AQ39" s="2692"/>
      <c r="AR39" s="2692"/>
      <c r="AS39" s="2692"/>
      <c r="AT39" s="2692"/>
      <c r="AU39" s="2692"/>
      <c r="AV39" s="2692"/>
      <c r="AW39" s="2692"/>
      <c r="AX39" s="2692"/>
      <c r="AY39" s="2692"/>
      <c r="AZ39" s="2692"/>
      <c r="BA39" s="2692"/>
      <c r="BB39" s="2692"/>
      <c r="BC39" s="2692"/>
      <c r="BD39" s="2692"/>
      <c r="BE39" s="2692"/>
      <c r="BF39" s="2692"/>
      <c r="BG39" s="2692"/>
      <c r="BH39" s="2692"/>
      <c r="BI39" s="2692"/>
      <c r="BJ39" s="2692"/>
      <c r="BK39" s="2692"/>
      <c r="BL39" s="2692"/>
      <c r="BM39" s="2692"/>
      <c r="BN39" s="2692"/>
      <c r="BO39" s="2692"/>
      <c r="BP39" s="2692"/>
      <c r="BQ39" s="2692"/>
      <c r="BR39" s="2692"/>
      <c r="BS39" s="2692"/>
      <c r="BT39" s="2692"/>
      <c r="BU39" s="2692"/>
      <c r="BV39" s="2692"/>
      <c r="BW39" s="2692"/>
      <c r="BX39" s="2692"/>
      <c r="BY39" s="2692"/>
      <c r="BZ39" s="2692"/>
      <c r="CA39" s="2692"/>
      <c r="CB39" s="2692"/>
      <c r="CC39" s="2692"/>
      <c r="CD39" s="2692"/>
      <c r="CE39" s="2692"/>
      <c r="CF39" s="2692"/>
      <c r="CG39" s="2692"/>
      <c r="CH39" s="2692"/>
      <c r="CI39" s="2692"/>
      <c r="CJ39" s="2692"/>
      <c r="CK39" s="2692"/>
      <c r="CL39" s="2692"/>
      <c r="CM39" s="2692"/>
      <c r="CN39" s="2692"/>
      <c r="CO39" s="2692"/>
      <c r="CP39" s="2692"/>
      <c r="CQ39" s="2692"/>
      <c r="CR39" s="2692"/>
      <c r="CS39" s="2692"/>
      <c r="CT39" s="2692"/>
      <c r="CU39" s="2692"/>
      <c r="CV39" s="2692"/>
      <c r="CW39" s="2692"/>
      <c r="CX39" s="2692"/>
      <c r="CY39" s="2692"/>
      <c r="CZ39" s="2692"/>
      <c r="DA39" s="2692"/>
      <c r="DB39" s="2692"/>
      <c r="DC39" s="2692"/>
      <c r="DD39" s="2692"/>
      <c r="DE39" s="2692"/>
      <c r="DF39" s="2692"/>
      <c r="DG39" s="2692"/>
      <c r="DH39" s="2692"/>
      <c r="DI39" s="2692"/>
      <c r="DJ39" s="2692"/>
      <c r="DK39" s="2692"/>
      <c r="DL39" s="2692"/>
      <c r="DM39" s="2692"/>
      <c r="DN39" s="2692"/>
      <c r="DO39" s="2692"/>
      <c r="DP39" s="2692"/>
      <c r="DQ39" s="2692"/>
      <c r="DR39" s="2692"/>
      <c r="DS39" s="2692"/>
      <c r="DT39" s="2692"/>
      <c r="DU39" s="2692"/>
      <c r="DV39" s="2692"/>
      <c r="DW39" s="2692"/>
      <c r="DX39" s="2692"/>
      <c r="DY39" s="2692"/>
      <c r="DZ39" s="2692"/>
      <c r="EA39" s="2692"/>
      <c r="EB39" s="2692"/>
      <c r="EC39" s="2692"/>
      <c r="ED39" s="2692"/>
      <c r="EE39" s="2692"/>
      <c r="EF39" s="2692"/>
      <c r="EG39" s="2692"/>
      <c r="EH39" s="2692"/>
      <c r="EI39" s="2692"/>
      <c r="EJ39" s="2692"/>
      <c r="EK39" s="2692"/>
      <c r="EL39" s="2692"/>
      <c r="EM39" s="2692"/>
      <c r="EN39" s="2692"/>
      <c r="EO39" s="2692"/>
      <c r="EP39" s="2692"/>
      <c r="EQ39" s="2692"/>
      <c r="ER39" s="2692"/>
      <c r="ES39" s="2692"/>
      <c r="ET39" s="2692"/>
      <c r="EU39" s="2692"/>
      <c r="EV39" s="2692"/>
      <c r="EW39" s="2692"/>
      <c r="EX39" s="2692"/>
      <c r="EY39" s="2692"/>
      <c r="EZ39" s="2692"/>
      <c r="FA39" s="2692"/>
      <c r="FB39" s="2692"/>
      <c r="FC39" s="2692"/>
      <c r="FD39" s="2692"/>
      <c r="FE39" s="2692"/>
      <c r="FF39" s="2692"/>
      <c r="FG39" s="2692"/>
      <c r="FH39" s="2692"/>
      <c r="FI39" s="2692"/>
      <c r="FJ39" s="2692"/>
      <c r="FK39" s="2692"/>
      <c r="FL39" s="2692"/>
      <c r="FM39" s="2692"/>
      <c r="FN39" s="2692"/>
      <c r="FO39" s="2692"/>
      <c r="FP39" s="2692"/>
      <c r="FQ39" s="2692"/>
      <c r="FR39" s="2692"/>
      <c r="FS39" s="2692"/>
      <c r="FT39" s="2692"/>
      <c r="FU39" s="2692"/>
      <c r="FV39" s="2692"/>
      <c r="FW39" s="2692"/>
      <c r="FX39" s="2692"/>
      <c r="FY39" s="2692"/>
      <c r="FZ39" s="2692"/>
      <c r="GA39" s="2692"/>
      <c r="GB39" s="2692"/>
      <c r="GC39" s="2692"/>
      <c r="GD39" s="2692"/>
      <c r="GE39" s="2692"/>
      <c r="GF39" s="2692"/>
      <c r="GG39" s="2692"/>
      <c r="GH39" s="2692"/>
      <c r="GI39" s="2692"/>
      <c r="GJ39" s="2692"/>
      <c r="GK39" s="2692"/>
      <c r="GL39" s="2692"/>
      <c r="GM39" s="2692"/>
      <c r="GN39" s="2692"/>
      <c r="GO39" s="2692"/>
      <c r="GP39" s="2692"/>
      <c r="GQ39" s="2692"/>
      <c r="GR39" s="2692"/>
      <c r="GS39" s="2692"/>
      <c r="GT39" s="2692"/>
      <c r="GU39" s="2692"/>
      <c r="GV39" s="2692"/>
      <c r="GW39" s="2692"/>
      <c r="GX39" s="2692"/>
      <c r="GY39" s="2692"/>
      <c r="GZ39" s="2692"/>
      <c r="HA39" s="2692"/>
      <c r="HB39" s="2692"/>
      <c r="HC39" s="2692"/>
      <c r="HD39" s="2692"/>
      <c r="HE39" s="2692"/>
      <c r="HF39" s="2692"/>
      <c r="HG39" s="2692"/>
      <c r="HH39" s="2692"/>
      <c r="HI39" s="2692"/>
      <c r="HJ39" s="2692"/>
      <c r="HK39" s="2692"/>
      <c r="HL39" s="2692"/>
      <c r="HM39" s="2692"/>
      <c r="HN39" s="2692"/>
      <c r="HO39" s="2692"/>
      <c r="HP39" s="2692"/>
      <c r="HQ39" s="2692"/>
      <c r="HR39" s="2692"/>
      <c r="HS39" s="2692"/>
      <c r="HT39" s="2692"/>
      <c r="HU39" s="2692"/>
      <c r="HV39" s="2692"/>
      <c r="HW39" s="2692"/>
      <c r="HX39" s="2692"/>
      <c r="HY39" s="2692"/>
      <c r="HZ39" s="2692"/>
      <c r="IA39" s="2692"/>
      <c r="IB39" s="2692"/>
      <c r="IC39" s="2692"/>
      <c r="ID39" s="2692"/>
      <c r="IE39" s="2692"/>
      <c r="IF39" s="2692"/>
      <c r="IG39" s="2692"/>
      <c r="IH39" s="2692"/>
      <c r="II39" s="2692"/>
      <c r="IJ39" s="2692"/>
      <c r="IK39" s="2692"/>
      <c r="IL39" s="2692"/>
      <c r="IM39" s="2692"/>
      <c r="IN39" s="2692"/>
      <c r="IO39" s="2692"/>
      <c r="IP39" s="2692"/>
      <c r="IQ39" s="2692"/>
      <c r="IR39" s="2692"/>
      <c r="IS39" s="2692"/>
      <c r="IT39" s="2692"/>
      <c r="IU39" s="2692"/>
      <c r="IV39" s="2692"/>
    </row>
    <row r="40" spans="1:256" s="40" customFormat="1" ht="13" x14ac:dyDescent="0.3">
      <c r="A40" s="2935" t="s">
        <v>2547</v>
      </c>
      <c r="B40" s="2739"/>
      <c r="C40" s="2760"/>
      <c r="D40" s="2700"/>
      <c r="E40" s="2701"/>
      <c r="F40" s="43"/>
      <c r="G40" s="3384"/>
      <c r="H40" s="3384"/>
      <c r="I40" s="3384"/>
      <c r="J40" s="3385"/>
      <c r="K40" s="2692"/>
      <c r="L40" s="2692"/>
      <c r="M40" s="2692"/>
      <c r="N40" s="2692"/>
      <c r="O40" s="2692"/>
      <c r="P40" s="2692"/>
      <c r="Q40" s="2692"/>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692"/>
      <c r="AP40" s="2692"/>
      <c r="AQ40" s="2692"/>
      <c r="AR40" s="2692"/>
      <c r="AS40" s="2692"/>
      <c r="AT40" s="2692"/>
      <c r="AU40" s="2692"/>
      <c r="AV40" s="2692"/>
      <c r="AW40" s="2692"/>
      <c r="AX40" s="2692"/>
      <c r="AY40" s="2692"/>
      <c r="AZ40" s="2692"/>
      <c r="BA40" s="2692"/>
      <c r="BB40" s="2692"/>
      <c r="BC40" s="2692"/>
      <c r="BD40" s="2692"/>
      <c r="BE40" s="2692"/>
      <c r="BF40" s="2692"/>
      <c r="BG40" s="2692"/>
      <c r="BH40" s="2692"/>
      <c r="BI40" s="2692"/>
      <c r="BJ40" s="2692"/>
      <c r="BK40" s="2692"/>
      <c r="BL40" s="2692"/>
      <c r="BM40" s="2692"/>
      <c r="BN40" s="2692"/>
      <c r="BO40" s="2692"/>
      <c r="BP40" s="2692"/>
      <c r="BQ40" s="2692"/>
      <c r="BR40" s="2692"/>
      <c r="BS40" s="2692"/>
      <c r="BT40" s="2692"/>
      <c r="BU40" s="2692"/>
      <c r="BV40" s="2692"/>
      <c r="BW40" s="2692"/>
      <c r="BX40" s="2692"/>
      <c r="BY40" s="2692"/>
      <c r="BZ40" s="2692"/>
      <c r="CA40" s="2692"/>
      <c r="CB40" s="2692"/>
      <c r="CC40" s="2692"/>
      <c r="CD40" s="2692"/>
      <c r="CE40" s="2692"/>
      <c r="CF40" s="2692"/>
      <c r="CG40" s="2692"/>
      <c r="CH40" s="2692"/>
      <c r="CI40" s="2692"/>
      <c r="CJ40" s="2692"/>
      <c r="CK40" s="2692"/>
      <c r="CL40" s="2692"/>
      <c r="CM40" s="2692"/>
      <c r="CN40" s="2692"/>
      <c r="CO40" s="2692"/>
      <c r="CP40" s="2692"/>
      <c r="CQ40" s="2692"/>
      <c r="CR40" s="2692"/>
      <c r="CS40" s="2692"/>
      <c r="CT40" s="2692"/>
      <c r="CU40" s="2692"/>
      <c r="CV40" s="2692"/>
      <c r="CW40" s="2692"/>
      <c r="CX40" s="2692"/>
      <c r="CY40" s="2692"/>
      <c r="CZ40" s="2692"/>
      <c r="DA40" s="2692"/>
      <c r="DB40" s="2692"/>
      <c r="DC40" s="2692"/>
      <c r="DD40" s="2692"/>
      <c r="DE40" s="2692"/>
      <c r="DF40" s="2692"/>
      <c r="DG40" s="2692"/>
      <c r="DH40" s="2692"/>
      <c r="DI40" s="2692"/>
      <c r="DJ40" s="2692"/>
      <c r="DK40" s="2692"/>
      <c r="DL40" s="2692"/>
      <c r="DM40" s="2692"/>
      <c r="DN40" s="2692"/>
      <c r="DO40" s="2692"/>
      <c r="DP40" s="2692"/>
      <c r="DQ40" s="2692"/>
      <c r="DR40" s="2692"/>
      <c r="DS40" s="2692"/>
      <c r="DT40" s="2692"/>
      <c r="DU40" s="2692"/>
      <c r="DV40" s="2692"/>
      <c r="DW40" s="2692"/>
      <c r="DX40" s="2692"/>
      <c r="DY40" s="2692"/>
      <c r="DZ40" s="2692"/>
      <c r="EA40" s="2692"/>
      <c r="EB40" s="2692"/>
      <c r="EC40" s="2692"/>
      <c r="ED40" s="2692"/>
      <c r="EE40" s="2692"/>
      <c r="EF40" s="2692"/>
      <c r="EG40" s="2692"/>
      <c r="EH40" s="2692"/>
      <c r="EI40" s="2692"/>
      <c r="EJ40" s="2692"/>
      <c r="EK40" s="2692"/>
      <c r="EL40" s="2692"/>
      <c r="EM40" s="2692"/>
      <c r="EN40" s="2692"/>
      <c r="EO40" s="2692"/>
      <c r="EP40" s="2692"/>
      <c r="EQ40" s="2692"/>
      <c r="ER40" s="2692"/>
      <c r="ES40" s="2692"/>
      <c r="ET40" s="2692"/>
      <c r="EU40" s="2692"/>
      <c r="EV40" s="2692"/>
      <c r="EW40" s="2692"/>
      <c r="EX40" s="2692"/>
      <c r="EY40" s="2692"/>
      <c r="EZ40" s="2692"/>
      <c r="FA40" s="2692"/>
      <c r="FB40" s="2692"/>
      <c r="FC40" s="2692"/>
      <c r="FD40" s="2692"/>
      <c r="FE40" s="2692"/>
      <c r="FF40" s="2692"/>
      <c r="FG40" s="2692"/>
      <c r="FH40" s="2692"/>
      <c r="FI40" s="2692"/>
      <c r="FJ40" s="2692"/>
      <c r="FK40" s="2692"/>
      <c r="FL40" s="2692"/>
      <c r="FM40" s="2692"/>
      <c r="FN40" s="2692"/>
      <c r="FO40" s="2692"/>
      <c r="FP40" s="2692"/>
      <c r="FQ40" s="2692"/>
      <c r="FR40" s="2692"/>
      <c r="FS40" s="2692"/>
      <c r="FT40" s="2692"/>
      <c r="FU40" s="2692"/>
      <c r="FV40" s="2692"/>
      <c r="FW40" s="2692"/>
      <c r="FX40" s="2692"/>
      <c r="FY40" s="2692"/>
      <c r="FZ40" s="2692"/>
      <c r="GA40" s="2692"/>
      <c r="GB40" s="2692"/>
      <c r="GC40" s="2692"/>
      <c r="GD40" s="2692"/>
      <c r="GE40" s="2692"/>
      <c r="GF40" s="2692"/>
      <c r="GG40" s="2692"/>
      <c r="GH40" s="2692"/>
      <c r="GI40" s="2692"/>
      <c r="GJ40" s="2692"/>
      <c r="GK40" s="2692"/>
      <c r="GL40" s="2692"/>
      <c r="GM40" s="2692"/>
      <c r="GN40" s="2692"/>
      <c r="GO40" s="2692"/>
      <c r="GP40" s="2692"/>
      <c r="GQ40" s="2692"/>
      <c r="GR40" s="2692"/>
      <c r="GS40" s="2692"/>
      <c r="GT40" s="2692"/>
      <c r="GU40" s="2692"/>
      <c r="GV40" s="2692"/>
      <c r="GW40" s="2692"/>
      <c r="GX40" s="2692"/>
      <c r="GY40" s="2692"/>
      <c r="GZ40" s="2692"/>
      <c r="HA40" s="2692"/>
      <c r="HB40" s="2692"/>
      <c r="HC40" s="2692"/>
      <c r="HD40" s="2692"/>
      <c r="HE40" s="2692"/>
      <c r="HF40" s="2692"/>
      <c r="HG40" s="2692"/>
      <c r="HH40" s="2692"/>
      <c r="HI40" s="2692"/>
      <c r="HJ40" s="2692"/>
      <c r="HK40" s="2692"/>
      <c r="HL40" s="2692"/>
      <c r="HM40" s="2692"/>
      <c r="HN40" s="2692"/>
      <c r="HO40" s="2692"/>
      <c r="HP40" s="2692"/>
      <c r="HQ40" s="2692"/>
      <c r="HR40" s="2692"/>
      <c r="HS40" s="2692"/>
      <c r="HT40" s="2692"/>
      <c r="HU40" s="2692"/>
      <c r="HV40" s="2692"/>
      <c r="HW40" s="2692"/>
      <c r="HX40" s="2692"/>
      <c r="HY40" s="2692"/>
      <c r="HZ40" s="2692"/>
      <c r="IA40" s="2692"/>
      <c r="IB40" s="2692"/>
      <c r="IC40" s="2692"/>
      <c r="ID40" s="2692"/>
      <c r="IE40" s="2692"/>
      <c r="IF40" s="2692"/>
      <c r="IG40" s="2692"/>
      <c r="IH40" s="2692"/>
      <c r="II40" s="2692"/>
      <c r="IJ40" s="2692"/>
      <c r="IK40" s="2692"/>
      <c r="IL40" s="2692"/>
      <c r="IM40" s="2692"/>
      <c r="IN40" s="2692"/>
      <c r="IO40" s="2692"/>
      <c r="IP40" s="2692"/>
      <c r="IQ40" s="2692"/>
      <c r="IR40" s="2692"/>
      <c r="IS40" s="2692"/>
      <c r="IT40" s="2692"/>
      <c r="IU40" s="2692"/>
      <c r="IV40" s="2692"/>
    </row>
    <row r="41" spans="1:256" s="40" customFormat="1" ht="13" x14ac:dyDescent="0.3">
      <c r="A41" s="3392" t="s">
        <v>2549</v>
      </c>
      <c r="B41" s="3393"/>
      <c r="C41" s="2760"/>
      <c r="D41" s="2700"/>
      <c r="E41" s="2701"/>
      <c r="F41" s="43"/>
      <c r="G41" s="3384"/>
      <c r="H41" s="3384"/>
      <c r="I41" s="3384"/>
      <c r="J41" s="3385"/>
      <c r="K41" s="2692"/>
      <c r="L41" s="2692"/>
      <c r="M41" s="2692"/>
      <c r="N41" s="2692"/>
      <c r="O41" s="2692"/>
      <c r="P41" s="2692"/>
      <c r="Q41" s="2692"/>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692"/>
      <c r="AP41" s="2692"/>
      <c r="AQ41" s="2692"/>
      <c r="AR41" s="2692"/>
      <c r="AS41" s="2692"/>
      <c r="AT41" s="2692"/>
      <c r="AU41" s="2692"/>
      <c r="AV41" s="2692"/>
      <c r="AW41" s="2692"/>
      <c r="AX41" s="2692"/>
      <c r="AY41" s="2692"/>
      <c r="AZ41" s="2692"/>
      <c r="BA41" s="2692"/>
      <c r="BB41" s="2692"/>
      <c r="BC41" s="2692"/>
      <c r="BD41" s="2692"/>
      <c r="BE41" s="2692"/>
      <c r="BF41" s="2692"/>
      <c r="BG41" s="2692"/>
      <c r="BH41" s="2692"/>
      <c r="BI41" s="2692"/>
      <c r="BJ41" s="2692"/>
      <c r="BK41" s="2692"/>
      <c r="BL41" s="2692"/>
      <c r="BM41" s="2692"/>
      <c r="BN41" s="2692"/>
      <c r="BO41" s="2692"/>
      <c r="BP41" s="2692"/>
      <c r="BQ41" s="2692"/>
      <c r="BR41" s="2692"/>
      <c r="BS41" s="2692"/>
      <c r="BT41" s="2692"/>
      <c r="BU41" s="2692"/>
      <c r="BV41" s="2692"/>
      <c r="BW41" s="2692"/>
      <c r="BX41" s="2692"/>
      <c r="BY41" s="2692"/>
      <c r="BZ41" s="2692"/>
      <c r="CA41" s="2692"/>
      <c r="CB41" s="2692"/>
      <c r="CC41" s="2692"/>
      <c r="CD41" s="2692"/>
      <c r="CE41" s="2692"/>
      <c r="CF41" s="2692"/>
      <c r="CG41" s="2692"/>
      <c r="CH41" s="2692"/>
      <c r="CI41" s="2692"/>
      <c r="CJ41" s="2692"/>
      <c r="CK41" s="2692"/>
      <c r="CL41" s="2692"/>
      <c r="CM41" s="2692"/>
      <c r="CN41" s="2692"/>
      <c r="CO41" s="2692"/>
      <c r="CP41" s="2692"/>
      <c r="CQ41" s="2692"/>
      <c r="CR41" s="2692"/>
      <c r="CS41" s="2692"/>
      <c r="CT41" s="2692"/>
      <c r="CU41" s="2692"/>
      <c r="CV41" s="2692"/>
      <c r="CW41" s="2692"/>
      <c r="CX41" s="2692"/>
      <c r="CY41" s="2692"/>
      <c r="CZ41" s="2692"/>
      <c r="DA41" s="2692"/>
      <c r="DB41" s="2692"/>
      <c r="DC41" s="2692"/>
      <c r="DD41" s="2692"/>
      <c r="DE41" s="2692"/>
      <c r="DF41" s="2692"/>
      <c r="DG41" s="2692"/>
      <c r="DH41" s="2692"/>
      <c r="DI41" s="2692"/>
      <c r="DJ41" s="2692"/>
      <c r="DK41" s="2692"/>
      <c r="DL41" s="2692"/>
      <c r="DM41" s="2692"/>
      <c r="DN41" s="2692"/>
      <c r="DO41" s="2692"/>
      <c r="DP41" s="2692"/>
      <c r="DQ41" s="2692"/>
      <c r="DR41" s="2692"/>
      <c r="DS41" s="2692"/>
      <c r="DT41" s="2692"/>
      <c r="DU41" s="2692"/>
      <c r="DV41" s="2692"/>
      <c r="DW41" s="2692"/>
      <c r="DX41" s="2692"/>
      <c r="DY41" s="2692"/>
      <c r="DZ41" s="2692"/>
      <c r="EA41" s="2692"/>
      <c r="EB41" s="2692"/>
      <c r="EC41" s="2692"/>
      <c r="ED41" s="2692"/>
      <c r="EE41" s="2692"/>
      <c r="EF41" s="2692"/>
      <c r="EG41" s="2692"/>
      <c r="EH41" s="2692"/>
      <c r="EI41" s="2692"/>
      <c r="EJ41" s="2692"/>
      <c r="EK41" s="2692"/>
      <c r="EL41" s="2692"/>
      <c r="EM41" s="2692"/>
      <c r="EN41" s="2692"/>
      <c r="EO41" s="2692"/>
      <c r="EP41" s="2692"/>
      <c r="EQ41" s="2692"/>
      <c r="ER41" s="2692"/>
      <c r="ES41" s="2692"/>
      <c r="ET41" s="2692"/>
      <c r="EU41" s="2692"/>
      <c r="EV41" s="2692"/>
      <c r="EW41" s="2692"/>
      <c r="EX41" s="2692"/>
      <c r="EY41" s="2692"/>
      <c r="EZ41" s="2692"/>
      <c r="FA41" s="2692"/>
      <c r="FB41" s="2692"/>
      <c r="FC41" s="2692"/>
      <c r="FD41" s="2692"/>
      <c r="FE41" s="2692"/>
      <c r="FF41" s="2692"/>
      <c r="FG41" s="2692"/>
      <c r="FH41" s="2692"/>
      <c r="FI41" s="2692"/>
      <c r="FJ41" s="2692"/>
      <c r="FK41" s="2692"/>
      <c r="FL41" s="2692"/>
      <c r="FM41" s="2692"/>
      <c r="FN41" s="2692"/>
      <c r="FO41" s="2692"/>
      <c r="FP41" s="2692"/>
      <c r="FQ41" s="2692"/>
      <c r="FR41" s="2692"/>
      <c r="FS41" s="2692"/>
      <c r="FT41" s="2692"/>
      <c r="FU41" s="2692"/>
      <c r="FV41" s="2692"/>
      <c r="FW41" s="2692"/>
      <c r="FX41" s="2692"/>
      <c r="FY41" s="2692"/>
      <c r="FZ41" s="2692"/>
      <c r="GA41" s="2692"/>
      <c r="GB41" s="2692"/>
      <c r="GC41" s="2692"/>
      <c r="GD41" s="2692"/>
      <c r="GE41" s="2692"/>
      <c r="GF41" s="2692"/>
      <c r="GG41" s="2692"/>
      <c r="GH41" s="2692"/>
      <c r="GI41" s="2692"/>
      <c r="GJ41" s="2692"/>
      <c r="GK41" s="2692"/>
      <c r="GL41" s="2692"/>
      <c r="GM41" s="2692"/>
      <c r="GN41" s="2692"/>
      <c r="GO41" s="2692"/>
      <c r="GP41" s="2692"/>
      <c r="GQ41" s="2692"/>
      <c r="GR41" s="2692"/>
      <c r="GS41" s="2692"/>
      <c r="GT41" s="2692"/>
      <c r="GU41" s="2692"/>
      <c r="GV41" s="2692"/>
      <c r="GW41" s="2692"/>
      <c r="GX41" s="2692"/>
      <c r="GY41" s="2692"/>
      <c r="GZ41" s="2692"/>
      <c r="HA41" s="2692"/>
      <c r="HB41" s="2692"/>
      <c r="HC41" s="2692"/>
      <c r="HD41" s="2692"/>
      <c r="HE41" s="2692"/>
      <c r="HF41" s="2692"/>
      <c r="HG41" s="2692"/>
      <c r="HH41" s="2692"/>
      <c r="HI41" s="2692"/>
      <c r="HJ41" s="2692"/>
      <c r="HK41" s="2692"/>
      <c r="HL41" s="2692"/>
      <c r="HM41" s="2692"/>
      <c r="HN41" s="2692"/>
      <c r="HO41" s="2692"/>
      <c r="HP41" s="2692"/>
      <c r="HQ41" s="2692"/>
      <c r="HR41" s="2692"/>
      <c r="HS41" s="2692"/>
      <c r="HT41" s="2692"/>
      <c r="HU41" s="2692"/>
      <c r="HV41" s="2692"/>
      <c r="HW41" s="2692"/>
      <c r="HX41" s="2692"/>
      <c r="HY41" s="2692"/>
      <c r="HZ41" s="2692"/>
      <c r="IA41" s="2692"/>
      <c r="IB41" s="2692"/>
      <c r="IC41" s="2692"/>
      <c r="ID41" s="2692"/>
      <c r="IE41" s="2692"/>
      <c r="IF41" s="2692"/>
      <c r="IG41" s="2692"/>
      <c r="IH41" s="2692"/>
      <c r="II41" s="2692"/>
      <c r="IJ41" s="2692"/>
      <c r="IK41" s="2692"/>
      <c r="IL41" s="2692"/>
      <c r="IM41" s="2692"/>
      <c r="IN41" s="2692"/>
      <c r="IO41" s="2692"/>
      <c r="IP41" s="2692"/>
      <c r="IQ41" s="2692"/>
      <c r="IR41" s="2692"/>
      <c r="IS41" s="2692"/>
      <c r="IT41" s="2692"/>
      <c r="IU41" s="2692"/>
      <c r="IV41" s="2692"/>
    </row>
    <row r="42" spans="1:256" s="40" customFormat="1" ht="13" x14ac:dyDescent="0.3">
      <c r="A42" s="2954" t="s">
        <v>2550</v>
      </c>
      <c r="B42" s="2955"/>
      <c r="C42" s="2760"/>
      <c r="D42" s="2700"/>
      <c r="E42" s="2701"/>
      <c r="F42" s="2956"/>
      <c r="G42" s="3390"/>
      <c r="H42" s="3390"/>
      <c r="I42" s="3390"/>
      <c r="J42" s="3391"/>
      <c r="K42" s="2692"/>
      <c r="L42" s="2692"/>
      <c r="M42" s="2692"/>
      <c r="N42" s="2692"/>
      <c r="O42" s="2692"/>
      <c r="P42" s="2692"/>
      <c r="Q42" s="2692"/>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692"/>
      <c r="AP42" s="2692"/>
      <c r="AQ42" s="2692"/>
      <c r="AR42" s="2692"/>
      <c r="AS42" s="2692"/>
      <c r="AT42" s="2692"/>
      <c r="AU42" s="2692"/>
      <c r="AV42" s="2692"/>
      <c r="AW42" s="2692"/>
      <c r="AX42" s="2692"/>
      <c r="AY42" s="2692"/>
      <c r="AZ42" s="2692"/>
      <c r="BA42" s="2692"/>
      <c r="BB42" s="2692"/>
      <c r="BC42" s="2692"/>
      <c r="BD42" s="2692"/>
      <c r="BE42" s="2692"/>
      <c r="BF42" s="2692"/>
      <c r="BG42" s="2692"/>
      <c r="BH42" s="2692"/>
      <c r="BI42" s="2692"/>
      <c r="BJ42" s="2692"/>
      <c r="BK42" s="2692"/>
      <c r="BL42" s="2692"/>
      <c r="BM42" s="2692"/>
      <c r="BN42" s="2692"/>
      <c r="BO42" s="2692"/>
      <c r="BP42" s="2692"/>
      <c r="BQ42" s="2692"/>
      <c r="BR42" s="2692"/>
      <c r="BS42" s="2692"/>
      <c r="BT42" s="2692"/>
      <c r="BU42" s="2692"/>
      <c r="BV42" s="2692"/>
      <c r="BW42" s="2692"/>
      <c r="BX42" s="2692"/>
      <c r="BY42" s="2692"/>
      <c r="BZ42" s="2692"/>
      <c r="CA42" s="2692"/>
      <c r="CB42" s="2692"/>
      <c r="CC42" s="2692"/>
      <c r="CD42" s="2692"/>
      <c r="CE42" s="2692"/>
      <c r="CF42" s="2692"/>
      <c r="CG42" s="2692"/>
      <c r="CH42" s="2692"/>
      <c r="CI42" s="2692"/>
      <c r="CJ42" s="2692"/>
      <c r="CK42" s="2692"/>
      <c r="CL42" s="2692"/>
      <c r="CM42" s="2692"/>
      <c r="CN42" s="2692"/>
      <c r="CO42" s="2692"/>
      <c r="CP42" s="2692"/>
      <c r="CQ42" s="2692"/>
      <c r="CR42" s="2692"/>
      <c r="CS42" s="2692"/>
      <c r="CT42" s="2692"/>
      <c r="CU42" s="2692"/>
      <c r="CV42" s="2692"/>
      <c r="CW42" s="2692"/>
      <c r="CX42" s="2692"/>
      <c r="CY42" s="2692"/>
      <c r="CZ42" s="2692"/>
      <c r="DA42" s="2692"/>
      <c r="DB42" s="2692"/>
      <c r="DC42" s="2692"/>
      <c r="DD42" s="2692"/>
      <c r="DE42" s="2692"/>
      <c r="DF42" s="2692"/>
      <c r="DG42" s="2692"/>
      <c r="DH42" s="2692"/>
      <c r="DI42" s="2692"/>
      <c r="DJ42" s="2692"/>
      <c r="DK42" s="2692"/>
      <c r="DL42" s="2692"/>
      <c r="DM42" s="2692"/>
      <c r="DN42" s="2692"/>
      <c r="DO42" s="2692"/>
      <c r="DP42" s="2692"/>
      <c r="DQ42" s="2692"/>
      <c r="DR42" s="2692"/>
      <c r="DS42" s="2692"/>
      <c r="DT42" s="2692"/>
      <c r="DU42" s="2692"/>
      <c r="DV42" s="2692"/>
      <c r="DW42" s="2692"/>
      <c r="DX42" s="2692"/>
      <c r="DY42" s="2692"/>
      <c r="DZ42" s="2692"/>
      <c r="EA42" s="2692"/>
      <c r="EB42" s="2692"/>
      <c r="EC42" s="2692"/>
      <c r="ED42" s="2692"/>
      <c r="EE42" s="2692"/>
      <c r="EF42" s="2692"/>
      <c r="EG42" s="2692"/>
      <c r="EH42" s="2692"/>
      <c r="EI42" s="2692"/>
      <c r="EJ42" s="2692"/>
      <c r="EK42" s="2692"/>
      <c r="EL42" s="2692"/>
      <c r="EM42" s="2692"/>
      <c r="EN42" s="2692"/>
      <c r="EO42" s="2692"/>
      <c r="EP42" s="2692"/>
      <c r="EQ42" s="2692"/>
      <c r="ER42" s="2692"/>
      <c r="ES42" s="2692"/>
      <c r="ET42" s="2692"/>
      <c r="EU42" s="2692"/>
      <c r="EV42" s="2692"/>
      <c r="EW42" s="2692"/>
      <c r="EX42" s="2692"/>
      <c r="EY42" s="2692"/>
      <c r="EZ42" s="2692"/>
      <c r="FA42" s="2692"/>
      <c r="FB42" s="2692"/>
      <c r="FC42" s="2692"/>
      <c r="FD42" s="2692"/>
      <c r="FE42" s="2692"/>
      <c r="FF42" s="2692"/>
      <c r="FG42" s="2692"/>
      <c r="FH42" s="2692"/>
      <c r="FI42" s="2692"/>
      <c r="FJ42" s="2692"/>
      <c r="FK42" s="2692"/>
      <c r="FL42" s="2692"/>
      <c r="FM42" s="2692"/>
      <c r="FN42" s="2692"/>
      <c r="FO42" s="2692"/>
      <c r="FP42" s="2692"/>
      <c r="FQ42" s="2692"/>
      <c r="FR42" s="2692"/>
      <c r="FS42" s="2692"/>
      <c r="FT42" s="2692"/>
      <c r="FU42" s="2692"/>
      <c r="FV42" s="2692"/>
      <c r="FW42" s="2692"/>
      <c r="FX42" s="2692"/>
      <c r="FY42" s="2692"/>
      <c r="FZ42" s="2692"/>
      <c r="GA42" s="2692"/>
      <c r="GB42" s="2692"/>
      <c r="GC42" s="2692"/>
      <c r="GD42" s="2692"/>
      <c r="GE42" s="2692"/>
      <c r="GF42" s="2692"/>
      <c r="GG42" s="2692"/>
      <c r="GH42" s="2692"/>
      <c r="GI42" s="2692"/>
      <c r="GJ42" s="2692"/>
      <c r="GK42" s="2692"/>
      <c r="GL42" s="2692"/>
      <c r="GM42" s="2692"/>
      <c r="GN42" s="2692"/>
      <c r="GO42" s="2692"/>
      <c r="GP42" s="2692"/>
      <c r="GQ42" s="2692"/>
      <c r="GR42" s="2692"/>
      <c r="GS42" s="2692"/>
      <c r="GT42" s="2692"/>
      <c r="GU42" s="2692"/>
      <c r="GV42" s="2692"/>
      <c r="GW42" s="2692"/>
      <c r="GX42" s="2692"/>
      <c r="GY42" s="2692"/>
      <c r="GZ42" s="2692"/>
      <c r="HA42" s="2692"/>
      <c r="HB42" s="2692"/>
      <c r="HC42" s="2692"/>
      <c r="HD42" s="2692"/>
      <c r="HE42" s="2692"/>
      <c r="HF42" s="2692"/>
      <c r="HG42" s="2692"/>
      <c r="HH42" s="2692"/>
      <c r="HI42" s="2692"/>
      <c r="HJ42" s="2692"/>
      <c r="HK42" s="2692"/>
      <c r="HL42" s="2692"/>
      <c r="HM42" s="2692"/>
      <c r="HN42" s="2692"/>
      <c r="HO42" s="2692"/>
      <c r="HP42" s="2692"/>
      <c r="HQ42" s="2692"/>
      <c r="HR42" s="2692"/>
      <c r="HS42" s="2692"/>
      <c r="HT42" s="2692"/>
      <c r="HU42" s="2692"/>
      <c r="HV42" s="2692"/>
      <c r="HW42" s="2692"/>
      <c r="HX42" s="2692"/>
      <c r="HY42" s="2692"/>
      <c r="HZ42" s="2692"/>
      <c r="IA42" s="2692"/>
      <c r="IB42" s="2692"/>
      <c r="IC42" s="2692"/>
      <c r="ID42" s="2692"/>
      <c r="IE42" s="2692"/>
      <c r="IF42" s="2692"/>
      <c r="IG42" s="2692"/>
      <c r="IH42" s="2692"/>
      <c r="II42" s="2692"/>
      <c r="IJ42" s="2692"/>
      <c r="IK42" s="2692"/>
      <c r="IL42" s="2692"/>
      <c r="IM42" s="2692"/>
      <c r="IN42" s="2692"/>
      <c r="IO42" s="2692"/>
      <c r="IP42" s="2692"/>
      <c r="IQ42" s="2692"/>
      <c r="IR42" s="2692"/>
      <c r="IS42" s="2692"/>
      <c r="IT42" s="2692"/>
      <c r="IU42" s="2692"/>
      <c r="IV42" s="2692"/>
    </row>
    <row r="43" spans="1:256" s="40" customFormat="1" ht="13" x14ac:dyDescent="0.3">
      <c r="A43" s="2935" t="s">
        <v>2551</v>
      </c>
      <c r="B43" s="2703"/>
      <c r="C43" s="2760"/>
      <c r="D43" s="2700"/>
      <c r="E43" s="2701"/>
      <c r="F43" s="2703" t="s">
        <v>2552</v>
      </c>
      <c r="G43" s="3384"/>
      <c r="H43" s="3384"/>
      <c r="I43" s="3384"/>
      <c r="J43" s="3385"/>
      <c r="K43" s="2692"/>
      <c r="L43" s="2692"/>
      <c r="M43" s="2692"/>
      <c r="N43" s="2692"/>
      <c r="O43" s="2692"/>
      <c r="P43" s="2692"/>
      <c r="Q43" s="2692"/>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692"/>
      <c r="AP43" s="2692"/>
      <c r="AQ43" s="2692"/>
      <c r="AR43" s="2692"/>
      <c r="AS43" s="2692"/>
      <c r="AT43" s="2692"/>
      <c r="AU43" s="2692"/>
      <c r="AV43" s="2692"/>
      <c r="AW43" s="2692"/>
      <c r="AX43" s="2692"/>
      <c r="AY43" s="2692"/>
      <c r="AZ43" s="2692"/>
      <c r="BA43" s="2692"/>
      <c r="BB43" s="2692"/>
      <c r="BC43" s="2692"/>
      <c r="BD43" s="2692"/>
      <c r="BE43" s="2692"/>
      <c r="BF43" s="2692"/>
      <c r="BG43" s="2692"/>
      <c r="BH43" s="2692"/>
      <c r="BI43" s="2692"/>
      <c r="BJ43" s="2692"/>
      <c r="BK43" s="2692"/>
      <c r="BL43" s="2692"/>
      <c r="BM43" s="2692"/>
      <c r="BN43" s="2692"/>
      <c r="BO43" s="2692"/>
      <c r="BP43" s="2692"/>
      <c r="BQ43" s="2692"/>
      <c r="BR43" s="2692"/>
      <c r="BS43" s="2692"/>
      <c r="BT43" s="2692"/>
      <c r="BU43" s="2692"/>
      <c r="BV43" s="2692"/>
      <c r="BW43" s="2692"/>
      <c r="BX43" s="2692"/>
      <c r="BY43" s="2692"/>
      <c r="BZ43" s="2692"/>
      <c r="CA43" s="2692"/>
      <c r="CB43" s="2692"/>
      <c r="CC43" s="2692"/>
      <c r="CD43" s="2692"/>
      <c r="CE43" s="2692"/>
      <c r="CF43" s="2692"/>
      <c r="CG43" s="2692"/>
      <c r="CH43" s="2692"/>
      <c r="CI43" s="2692"/>
      <c r="CJ43" s="2692"/>
      <c r="CK43" s="2692"/>
      <c r="CL43" s="2692"/>
      <c r="CM43" s="2692"/>
      <c r="CN43" s="2692"/>
      <c r="CO43" s="2692"/>
      <c r="CP43" s="2692"/>
      <c r="CQ43" s="2692"/>
      <c r="CR43" s="2692"/>
      <c r="CS43" s="2692"/>
      <c r="CT43" s="2692"/>
      <c r="CU43" s="2692"/>
      <c r="CV43" s="2692"/>
      <c r="CW43" s="2692"/>
      <c r="CX43" s="2692"/>
      <c r="CY43" s="2692"/>
      <c r="CZ43" s="2692"/>
      <c r="DA43" s="2692"/>
      <c r="DB43" s="2692"/>
      <c r="DC43" s="2692"/>
      <c r="DD43" s="2692"/>
      <c r="DE43" s="2692"/>
      <c r="DF43" s="2692"/>
      <c r="DG43" s="2692"/>
      <c r="DH43" s="2692"/>
      <c r="DI43" s="2692"/>
      <c r="DJ43" s="2692"/>
      <c r="DK43" s="2692"/>
      <c r="DL43" s="2692"/>
      <c r="DM43" s="2692"/>
      <c r="DN43" s="2692"/>
      <c r="DO43" s="2692"/>
      <c r="DP43" s="2692"/>
      <c r="DQ43" s="2692"/>
      <c r="DR43" s="2692"/>
      <c r="DS43" s="2692"/>
      <c r="DT43" s="2692"/>
      <c r="DU43" s="2692"/>
      <c r="DV43" s="2692"/>
      <c r="DW43" s="2692"/>
      <c r="DX43" s="2692"/>
      <c r="DY43" s="2692"/>
      <c r="DZ43" s="2692"/>
      <c r="EA43" s="2692"/>
      <c r="EB43" s="2692"/>
      <c r="EC43" s="2692"/>
      <c r="ED43" s="2692"/>
      <c r="EE43" s="2692"/>
      <c r="EF43" s="2692"/>
      <c r="EG43" s="2692"/>
      <c r="EH43" s="2692"/>
      <c r="EI43" s="2692"/>
      <c r="EJ43" s="2692"/>
      <c r="EK43" s="2692"/>
      <c r="EL43" s="2692"/>
      <c r="EM43" s="2692"/>
      <c r="EN43" s="2692"/>
      <c r="EO43" s="2692"/>
      <c r="EP43" s="2692"/>
      <c r="EQ43" s="2692"/>
      <c r="ER43" s="2692"/>
      <c r="ES43" s="2692"/>
      <c r="ET43" s="2692"/>
      <c r="EU43" s="2692"/>
      <c r="EV43" s="2692"/>
      <c r="EW43" s="2692"/>
      <c r="EX43" s="2692"/>
      <c r="EY43" s="2692"/>
      <c r="EZ43" s="2692"/>
      <c r="FA43" s="2692"/>
      <c r="FB43" s="2692"/>
      <c r="FC43" s="2692"/>
      <c r="FD43" s="2692"/>
      <c r="FE43" s="2692"/>
      <c r="FF43" s="2692"/>
      <c r="FG43" s="2692"/>
      <c r="FH43" s="2692"/>
      <c r="FI43" s="2692"/>
      <c r="FJ43" s="2692"/>
      <c r="FK43" s="2692"/>
      <c r="FL43" s="2692"/>
      <c r="FM43" s="2692"/>
      <c r="FN43" s="2692"/>
      <c r="FO43" s="2692"/>
      <c r="FP43" s="2692"/>
      <c r="FQ43" s="2692"/>
      <c r="FR43" s="2692"/>
      <c r="FS43" s="2692"/>
      <c r="FT43" s="2692"/>
      <c r="FU43" s="2692"/>
      <c r="FV43" s="2692"/>
      <c r="FW43" s="2692"/>
      <c r="FX43" s="2692"/>
      <c r="FY43" s="2692"/>
      <c r="FZ43" s="2692"/>
      <c r="GA43" s="2692"/>
      <c r="GB43" s="2692"/>
      <c r="GC43" s="2692"/>
      <c r="GD43" s="2692"/>
      <c r="GE43" s="2692"/>
      <c r="GF43" s="2692"/>
      <c r="GG43" s="2692"/>
      <c r="GH43" s="2692"/>
      <c r="GI43" s="2692"/>
      <c r="GJ43" s="2692"/>
      <c r="GK43" s="2692"/>
      <c r="GL43" s="2692"/>
      <c r="GM43" s="2692"/>
      <c r="GN43" s="2692"/>
      <c r="GO43" s="2692"/>
      <c r="GP43" s="2692"/>
      <c r="GQ43" s="2692"/>
      <c r="GR43" s="2692"/>
      <c r="GS43" s="2692"/>
      <c r="GT43" s="2692"/>
      <c r="GU43" s="2692"/>
      <c r="GV43" s="2692"/>
      <c r="GW43" s="2692"/>
      <c r="GX43" s="2692"/>
      <c r="GY43" s="2692"/>
      <c r="GZ43" s="2692"/>
      <c r="HA43" s="2692"/>
      <c r="HB43" s="2692"/>
      <c r="HC43" s="2692"/>
      <c r="HD43" s="2692"/>
      <c r="HE43" s="2692"/>
      <c r="HF43" s="2692"/>
      <c r="HG43" s="2692"/>
      <c r="HH43" s="2692"/>
      <c r="HI43" s="2692"/>
      <c r="HJ43" s="2692"/>
      <c r="HK43" s="2692"/>
      <c r="HL43" s="2692"/>
      <c r="HM43" s="2692"/>
      <c r="HN43" s="2692"/>
      <c r="HO43" s="2692"/>
      <c r="HP43" s="2692"/>
      <c r="HQ43" s="2692"/>
      <c r="HR43" s="2692"/>
      <c r="HS43" s="2692"/>
      <c r="HT43" s="2692"/>
      <c r="HU43" s="2692"/>
      <c r="HV43" s="2692"/>
      <c r="HW43" s="2692"/>
      <c r="HX43" s="2692"/>
      <c r="HY43" s="2692"/>
      <c r="HZ43" s="2692"/>
      <c r="IA43" s="2692"/>
      <c r="IB43" s="2692"/>
      <c r="IC43" s="2692"/>
      <c r="ID43" s="2692"/>
      <c r="IE43" s="2692"/>
      <c r="IF43" s="2692"/>
      <c r="IG43" s="2692"/>
      <c r="IH43" s="2692"/>
      <c r="II43" s="2692"/>
      <c r="IJ43" s="2692"/>
      <c r="IK43" s="2692"/>
      <c r="IL43" s="2692"/>
      <c r="IM43" s="2692"/>
      <c r="IN43" s="2692"/>
      <c r="IO43" s="2692"/>
      <c r="IP43" s="2692"/>
      <c r="IQ43" s="2692"/>
      <c r="IR43" s="2692"/>
      <c r="IS43" s="2692"/>
      <c r="IT43" s="2692"/>
      <c r="IU43" s="2692"/>
      <c r="IV43" s="2692"/>
    </row>
    <row r="44" spans="1:256" s="40" customFormat="1" ht="13" x14ac:dyDescent="0.3">
      <c r="A44" s="2935" t="s">
        <v>2553</v>
      </c>
      <c r="B44" s="2703"/>
      <c r="C44" s="2760"/>
      <c r="D44" s="2700"/>
      <c r="E44" s="2701"/>
      <c r="F44" s="2703"/>
      <c r="G44" s="3384"/>
      <c r="H44" s="3384"/>
      <c r="I44" s="3384"/>
      <c r="J44" s="3385"/>
      <c r="K44" s="2692"/>
      <c r="L44" s="2692"/>
      <c r="M44" s="2692"/>
      <c r="N44" s="2692"/>
      <c r="O44" s="2692"/>
      <c r="P44" s="2692"/>
      <c r="Q44" s="2692"/>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692"/>
      <c r="AP44" s="2692"/>
      <c r="AQ44" s="2692"/>
      <c r="AR44" s="2692"/>
      <c r="AS44" s="2692"/>
      <c r="AT44" s="2692"/>
      <c r="AU44" s="2692"/>
      <c r="AV44" s="2692"/>
      <c r="AW44" s="2692"/>
      <c r="AX44" s="2692"/>
      <c r="AY44" s="2692"/>
      <c r="AZ44" s="2692"/>
      <c r="BA44" s="2692"/>
      <c r="BB44" s="2692"/>
      <c r="BC44" s="2692"/>
      <c r="BD44" s="2692"/>
      <c r="BE44" s="2692"/>
      <c r="BF44" s="2692"/>
      <c r="BG44" s="2692"/>
      <c r="BH44" s="2692"/>
      <c r="BI44" s="2692"/>
      <c r="BJ44" s="2692"/>
      <c r="BK44" s="2692"/>
      <c r="BL44" s="2692"/>
      <c r="BM44" s="2692"/>
      <c r="BN44" s="2692"/>
      <c r="BO44" s="2692"/>
      <c r="BP44" s="2692"/>
      <c r="BQ44" s="2692"/>
      <c r="BR44" s="2692"/>
      <c r="BS44" s="2692"/>
      <c r="BT44" s="2692"/>
      <c r="BU44" s="2692"/>
      <c r="BV44" s="2692"/>
      <c r="BW44" s="2692"/>
      <c r="BX44" s="2692"/>
      <c r="BY44" s="2692"/>
      <c r="BZ44" s="2692"/>
      <c r="CA44" s="2692"/>
      <c r="CB44" s="2692"/>
      <c r="CC44" s="2692"/>
      <c r="CD44" s="2692"/>
      <c r="CE44" s="2692"/>
      <c r="CF44" s="2692"/>
      <c r="CG44" s="2692"/>
      <c r="CH44" s="2692"/>
      <c r="CI44" s="2692"/>
      <c r="CJ44" s="2692"/>
      <c r="CK44" s="2692"/>
      <c r="CL44" s="2692"/>
      <c r="CM44" s="2692"/>
      <c r="CN44" s="2692"/>
      <c r="CO44" s="2692"/>
      <c r="CP44" s="2692"/>
      <c r="CQ44" s="2692"/>
      <c r="CR44" s="2692"/>
      <c r="CS44" s="2692"/>
      <c r="CT44" s="2692"/>
      <c r="CU44" s="2692"/>
      <c r="CV44" s="2692"/>
      <c r="CW44" s="2692"/>
      <c r="CX44" s="2692"/>
      <c r="CY44" s="2692"/>
      <c r="CZ44" s="2692"/>
      <c r="DA44" s="2692"/>
      <c r="DB44" s="2692"/>
      <c r="DC44" s="2692"/>
      <c r="DD44" s="2692"/>
      <c r="DE44" s="2692"/>
      <c r="DF44" s="2692"/>
      <c r="DG44" s="2692"/>
      <c r="DH44" s="2692"/>
      <c r="DI44" s="2692"/>
      <c r="DJ44" s="2692"/>
      <c r="DK44" s="2692"/>
      <c r="DL44" s="2692"/>
      <c r="DM44" s="2692"/>
      <c r="DN44" s="2692"/>
      <c r="DO44" s="2692"/>
      <c r="DP44" s="2692"/>
      <c r="DQ44" s="2692"/>
      <c r="DR44" s="2692"/>
      <c r="DS44" s="2692"/>
      <c r="DT44" s="2692"/>
      <c r="DU44" s="2692"/>
      <c r="DV44" s="2692"/>
      <c r="DW44" s="2692"/>
      <c r="DX44" s="2692"/>
      <c r="DY44" s="2692"/>
      <c r="DZ44" s="2692"/>
      <c r="EA44" s="2692"/>
      <c r="EB44" s="2692"/>
      <c r="EC44" s="2692"/>
      <c r="ED44" s="2692"/>
      <c r="EE44" s="2692"/>
      <c r="EF44" s="2692"/>
      <c r="EG44" s="2692"/>
      <c r="EH44" s="2692"/>
      <c r="EI44" s="2692"/>
      <c r="EJ44" s="2692"/>
      <c r="EK44" s="2692"/>
      <c r="EL44" s="2692"/>
      <c r="EM44" s="2692"/>
      <c r="EN44" s="2692"/>
      <c r="EO44" s="2692"/>
      <c r="EP44" s="2692"/>
      <c r="EQ44" s="2692"/>
      <c r="ER44" s="2692"/>
      <c r="ES44" s="2692"/>
      <c r="ET44" s="2692"/>
      <c r="EU44" s="2692"/>
      <c r="EV44" s="2692"/>
      <c r="EW44" s="2692"/>
      <c r="EX44" s="2692"/>
      <c r="EY44" s="2692"/>
      <c r="EZ44" s="2692"/>
      <c r="FA44" s="2692"/>
      <c r="FB44" s="2692"/>
      <c r="FC44" s="2692"/>
      <c r="FD44" s="2692"/>
      <c r="FE44" s="2692"/>
      <c r="FF44" s="2692"/>
      <c r="FG44" s="2692"/>
      <c r="FH44" s="2692"/>
      <c r="FI44" s="2692"/>
      <c r="FJ44" s="2692"/>
      <c r="FK44" s="2692"/>
      <c r="FL44" s="2692"/>
      <c r="FM44" s="2692"/>
      <c r="FN44" s="2692"/>
      <c r="FO44" s="2692"/>
      <c r="FP44" s="2692"/>
      <c r="FQ44" s="2692"/>
      <c r="FR44" s="2692"/>
      <c r="FS44" s="2692"/>
      <c r="FT44" s="2692"/>
      <c r="FU44" s="2692"/>
      <c r="FV44" s="2692"/>
      <c r="FW44" s="2692"/>
      <c r="FX44" s="2692"/>
      <c r="FY44" s="2692"/>
      <c r="FZ44" s="2692"/>
      <c r="GA44" s="2692"/>
      <c r="GB44" s="2692"/>
      <c r="GC44" s="2692"/>
      <c r="GD44" s="2692"/>
      <c r="GE44" s="2692"/>
      <c r="GF44" s="2692"/>
      <c r="GG44" s="2692"/>
      <c r="GH44" s="2692"/>
      <c r="GI44" s="2692"/>
      <c r="GJ44" s="2692"/>
      <c r="GK44" s="2692"/>
      <c r="GL44" s="2692"/>
      <c r="GM44" s="2692"/>
      <c r="GN44" s="2692"/>
      <c r="GO44" s="2692"/>
      <c r="GP44" s="2692"/>
      <c r="GQ44" s="2692"/>
      <c r="GR44" s="2692"/>
      <c r="GS44" s="2692"/>
      <c r="GT44" s="2692"/>
      <c r="GU44" s="2692"/>
      <c r="GV44" s="2692"/>
      <c r="GW44" s="2692"/>
      <c r="GX44" s="2692"/>
      <c r="GY44" s="2692"/>
      <c r="GZ44" s="2692"/>
      <c r="HA44" s="2692"/>
      <c r="HB44" s="2692"/>
      <c r="HC44" s="2692"/>
      <c r="HD44" s="2692"/>
      <c r="HE44" s="2692"/>
      <c r="HF44" s="2692"/>
      <c r="HG44" s="2692"/>
      <c r="HH44" s="2692"/>
      <c r="HI44" s="2692"/>
      <c r="HJ44" s="2692"/>
      <c r="HK44" s="2692"/>
      <c r="HL44" s="2692"/>
      <c r="HM44" s="2692"/>
      <c r="HN44" s="2692"/>
      <c r="HO44" s="2692"/>
      <c r="HP44" s="2692"/>
      <c r="HQ44" s="2692"/>
      <c r="HR44" s="2692"/>
      <c r="HS44" s="2692"/>
      <c r="HT44" s="2692"/>
      <c r="HU44" s="2692"/>
      <c r="HV44" s="2692"/>
      <c r="HW44" s="2692"/>
      <c r="HX44" s="2692"/>
      <c r="HY44" s="2692"/>
      <c r="HZ44" s="2692"/>
      <c r="IA44" s="2692"/>
      <c r="IB44" s="2692"/>
      <c r="IC44" s="2692"/>
      <c r="ID44" s="2692"/>
      <c r="IE44" s="2692"/>
      <c r="IF44" s="2692"/>
      <c r="IG44" s="2692"/>
      <c r="IH44" s="2692"/>
      <c r="II44" s="2692"/>
      <c r="IJ44" s="2692"/>
      <c r="IK44" s="2692"/>
      <c r="IL44" s="2692"/>
      <c r="IM44" s="2692"/>
      <c r="IN44" s="2692"/>
      <c r="IO44" s="2692"/>
      <c r="IP44" s="2692"/>
      <c r="IQ44" s="2692"/>
      <c r="IR44" s="2692"/>
      <c r="IS44" s="2692"/>
      <c r="IT44" s="2692"/>
      <c r="IU44" s="2692"/>
      <c r="IV44" s="2692"/>
    </row>
    <row r="45" spans="1:256" s="40" customFormat="1" ht="13" x14ac:dyDescent="0.3">
      <c r="A45" s="2934" t="s">
        <v>2554</v>
      </c>
      <c r="B45" s="2703"/>
      <c r="C45" s="2700"/>
      <c r="D45" s="2700"/>
      <c r="E45" s="2701"/>
      <c r="F45" s="2703"/>
      <c r="G45" s="3384"/>
      <c r="H45" s="3384"/>
      <c r="I45" s="3384"/>
      <c r="J45" s="3385"/>
      <c r="K45" s="2692"/>
      <c r="L45" s="2692"/>
      <c r="M45" s="2692"/>
      <c r="N45" s="2692"/>
      <c r="O45" s="2692"/>
      <c r="P45" s="2692"/>
      <c r="Q45" s="2692"/>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692"/>
      <c r="AP45" s="2692"/>
      <c r="AQ45" s="2692"/>
      <c r="AR45" s="2692"/>
      <c r="AS45" s="2692"/>
      <c r="AT45" s="2692"/>
      <c r="AU45" s="2692"/>
      <c r="AV45" s="2692"/>
      <c r="AW45" s="2692"/>
      <c r="AX45" s="2692"/>
      <c r="AY45" s="2692"/>
      <c r="AZ45" s="2692"/>
      <c r="BA45" s="2692"/>
      <c r="BB45" s="2692"/>
      <c r="BC45" s="2692"/>
      <c r="BD45" s="2692"/>
      <c r="BE45" s="2692"/>
      <c r="BF45" s="2692"/>
      <c r="BG45" s="2692"/>
      <c r="BH45" s="2692"/>
      <c r="BI45" s="2692"/>
      <c r="BJ45" s="2692"/>
      <c r="BK45" s="2692"/>
      <c r="BL45" s="2692"/>
      <c r="BM45" s="2692"/>
      <c r="BN45" s="2692"/>
      <c r="BO45" s="2692"/>
      <c r="BP45" s="2692"/>
      <c r="BQ45" s="2692"/>
      <c r="BR45" s="2692"/>
      <c r="BS45" s="2692"/>
      <c r="BT45" s="2692"/>
      <c r="BU45" s="2692"/>
      <c r="BV45" s="2692"/>
      <c r="BW45" s="2692"/>
      <c r="BX45" s="2692"/>
      <c r="BY45" s="2692"/>
      <c r="BZ45" s="2692"/>
      <c r="CA45" s="2692"/>
      <c r="CB45" s="2692"/>
      <c r="CC45" s="2692"/>
      <c r="CD45" s="2692"/>
      <c r="CE45" s="2692"/>
      <c r="CF45" s="2692"/>
      <c r="CG45" s="2692"/>
      <c r="CH45" s="2692"/>
      <c r="CI45" s="2692"/>
      <c r="CJ45" s="2692"/>
      <c r="CK45" s="2692"/>
      <c r="CL45" s="2692"/>
      <c r="CM45" s="2692"/>
      <c r="CN45" s="2692"/>
      <c r="CO45" s="2692"/>
      <c r="CP45" s="2692"/>
      <c r="CQ45" s="2692"/>
      <c r="CR45" s="2692"/>
      <c r="CS45" s="2692"/>
      <c r="CT45" s="2692"/>
      <c r="CU45" s="2692"/>
      <c r="CV45" s="2692"/>
      <c r="CW45" s="2692"/>
      <c r="CX45" s="2692"/>
      <c r="CY45" s="2692"/>
      <c r="CZ45" s="2692"/>
      <c r="DA45" s="2692"/>
      <c r="DB45" s="2692"/>
      <c r="DC45" s="2692"/>
      <c r="DD45" s="2692"/>
      <c r="DE45" s="2692"/>
      <c r="DF45" s="2692"/>
      <c r="DG45" s="2692"/>
      <c r="DH45" s="2692"/>
      <c r="DI45" s="2692"/>
      <c r="DJ45" s="2692"/>
      <c r="DK45" s="2692"/>
      <c r="DL45" s="2692"/>
      <c r="DM45" s="2692"/>
      <c r="DN45" s="2692"/>
      <c r="DO45" s="2692"/>
      <c r="DP45" s="2692"/>
      <c r="DQ45" s="2692"/>
      <c r="DR45" s="2692"/>
      <c r="DS45" s="2692"/>
      <c r="DT45" s="2692"/>
      <c r="DU45" s="2692"/>
      <c r="DV45" s="2692"/>
      <c r="DW45" s="2692"/>
      <c r="DX45" s="2692"/>
      <c r="DY45" s="2692"/>
      <c r="DZ45" s="2692"/>
      <c r="EA45" s="2692"/>
      <c r="EB45" s="2692"/>
      <c r="EC45" s="2692"/>
      <c r="ED45" s="2692"/>
      <c r="EE45" s="2692"/>
      <c r="EF45" s="2692"/>
      <c r="EG45" s="2692"/>
      <c r="EH45" s="2692"/>
      <c r="EI45" s="2692"/>
      <c r="EJ45" s="2692"/>
      <c r="EK45" s="2692"/>
      <c r="EL45" s="2692"/>
      <c r="EM45" s="2692"/>
      <c r="EN45" s="2692"/>
      <c r="EO45" s="2692"/>
      <c r="EP45" s="2692"/>
      <c r="EQ45" s="2692"/>
      <c r="ER45" s="2692"/>
      <c r="ES45" s="2692"/>
      <c r="ET45" s="2692"/>
      <c r="EU45" s="2692"/>
      <c r="EV45" s="2692"/>
      <c r="EW45" s="2692"/>
      <c r="EX45" s="2692"/>
      <c r="EY45" s="2692"/>
      <c r="EZ45" s="2692"/>
      <c r="FA45" s="2692"/>
      <c r="FB45" s="2692"/>
      <c r="FC45" s="2692"/>
      <c r="FD45" s="2692"/>
      <c r="FE45" s="2692"/>
      <c r="FF45" s="2692"/>
      <c r="FG45" s="2692"/>
      <c r="FH45" s="2692"/>
      <c r="FI45" s="2692"/>
      <c r="FJ45" s="2692"/>
      <c r="FK45" s="2692"/>
      <c r="FL45" s="2692"/>
      <c r="FM45" s="2692"/>
      <c r="FN45" s="2692"/>
      <c r="FO45" s="2692"/>
      <c r="FP45" s="2692"/>
      <c r="FQ45" s="2692"/>
      <c r="FR45" s="2692"/>
      <c r="FS45" s="2692"/>
      <c r="FT45" s="2692"/>
      <c r="FU45" s="2692"/>
      <c r="FV45" s="2692"/>
      <c r="FW45" s="2692"/>
      <c r="FX45" s="2692"/>
      <c r="FY45" s="2692"/>
      <c r="FZ45" s="2692"/>
      <c r="GA45" s="2692"/>
      <c r="GB45" s="2692"/>
      <c r="GC45" s="2692"/>
      <c r="GD45" s="2692"/>
      <c r="GE45" s="2692"/>
      <c r="GF45" s="2692"/>
      <c r="GG45" s="2692"/>
      <c r="GH45" s="2692"/>
      <c r="GI45" s="2692"/>
      <c r="GJ45" s="2692"/>
      <c r="GK45" s="2692"/>
      <c r="GL45" s="2692"/>
      <c r="GM45" s="2692"/>
      <c r="GN45" s="2692"/>
      <c r="GO45" s="2692"/>
      <c r="GP45" s="2692"/>
      <c r="GQ45" s="2692"/>
      <c r="GR45" s="2692"/>
      <c r="GS45" s="2692"/>
      <c r="GT45" s="2692"/>
      <c r="GU45" s="2692"/>
      <c r="GV45" s="2692"/>
      <c r="GW45" s="2692"/>
      <c r="GX45" s="2692"/>
      <c r="GY45" s="2692"/>
      <c r="GZ45" s="2692"/>
      <c r="HA45" s="2692"/>
      <c r="HB45" s="2692"/>
      <c r="HC45" s="2692"/>
      <c r="HD45" s="2692"/>
      <c r="HE45" s="2692"/>
      <c r="HF45" s="2692"/>
      <c r="HG45" s="2692"/>
      <c r="HH45" s="2692"/>
      <c r="HI45" s="2692"/>
      <c r="HJ45" s="2692"/>
      <c r="HK45" s="2692"/>
      <c r="HL45" s="2692"/>
      <c r="HM45" s="2692"/>
      <c r="HN45" s="2692"/>
      <c r="HO45" s="2692"/>
      <c r="HP45" s="2692"/>
      <c r="HQ45" s="2692"/>
      <c r="HR45" s="2692"/>
      <c r="HS45" s="2692"/>
      <c r="HT45" s="2692"/>
      <c r="HU45" s="2692"/>
      <c r="HV45" s="2692"/>
      <c r="HW45" s="2692"/>
      <c r="HX45" s="2692"/>
      <c r="HY45" s="2692"/>
      <c r="HZ45" s="2692"/>
      <c r="IA45" s="2692"/>
      <c r="IB45" s="2692"/>
      <c r="IC45" s="2692"/>
      <c r="ID45" s="2692"/>
      <c r="IE45" s="2692"/>
      <c r="IF45" s="2692"/>
      <c r="IG45" s="2692"/>
      <c r="IH45" s="2692"/>
      <c r="II45" s="2692"/>
      <c r="IJ45" s="2692"/>
      <c r="IK45" s="2692"/>
      <c r="IL45" s="2692"/>
      <c r="IM45" s="2692"/>
      <c r="IN45" s="2692"/>
      <c r="IO45" s="2692"/>
      <c r="IP45" s="2692"/>
      <c r="IQ45" s="2692"/>
      <c r="IR45" s="2692"/>
      <c r="IS45" s="2692"/>
      <c r="IT45" s="2692"/>
      <c r="IU45" s="2692"/>
      <c r="IV45" s="2692"/>
    </row>
    <row r="46" spans="1:256" s="40" customFormat="1" ht="13" x14ac:dyDescent="0.3">
      <c r="A46" s="2935" t="s">
        <v>2548</v>
      </c>
      <c r="B46" s="3384"/>
      <c r="C46" s="3384"/>
      <c r="D46" s="3384"/>
      <c r="E46" s="3385"/>
      <c r="F46" s="2700"/>
      <c r="G46" s="3384"/>
      <c r="H46" s="3384"/>
      <c r="I46" s="3384"/>
      <c r="J46" s="3385"/>
      <c r="K46" s="2692"/>
      <c r="L46" s="2692"/>
      <c r="M46" s="2692"/>
      <c r="N46" s="2692"/>
      <c r="O46" s="2692"/>
      <c r="P46" s="2692"/>
      <c r="Q46" s="2692"/>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692"/>
      <c r="AP46" s="2692"/>
      <c r="AQ46" s="2692"/>
      <c r="AR46" s="2692"/>
      <c r="AS46" s="2692"/>
      <c r="AT46" s="2692"/>
      <c r="AU46" s="2692"/>
      <c r="AV46" s="2692"/>
      <c r="AW46" s="2692"/>
      <c r="AX46" s="2692"/>
      <c r="AY46" s="2692"/>
      <c r="AZ46" s="2692"/>
      <c r="BA46" s="2692"/>
      <c r="BB46" s="2692"/>
      <c r="BC46" s="2692"/>
      <c r="BD46" s="2692"/>
      <c r="BE46" s="2692"/>
      <c r="BF46" s="2692"/>
      <c r="BG46" s="2692"/>
      <c r="BH46" s="2692"/>
      <c r="BI46" s="2692"/>
      <c r="BJ46" s="2692"/>
      <c r="BK46" s="2692"/>
      <c r="BL46" s="2692"/>
      <c r="BM46" s="2692"/>
      <c r="BN46" s="2692"/>
      <c r="BO46" s="2692"/>
      <c r="BP46" s="2692"/>
      <c r="BQ46" s="2692"/>
      <c r="BR46" s="2692"/>
      <c r="BS46" s="2692"/>
      <c r="BT46" s="2692"/>
      <c r="BU46" s="2692"/>
      <c r="BV46" s="2692"/>
      <c r="BW46" s="2692"/>
      <c r="BX46" s="2692"/>
      <c r="BY46" s="2692"/>
      <c r="BZ46" s="2692"/>
      <c r="CA46" s="2692"/>
      <c r="CB46" s="2692"/>
      <c r="CC46" s="2692"/>
      <c r="CD46" s="2692"/>
      <c r="CE46" s="2692"/>
      <c r="CF46" s="2692"/>
      <c r="CG46" s="2692"/>
      <c r="CH46" s="2692"/>
      <c r="CI46" s="2692"/>
      <c r="CJ46" s="2692"/>
      <c r="CK46" s="2692"/>
      <c r="CL46" s="2692"/>
      <c r="CM46" s="2692"/>
      <c r="CN46" s="2692"/>
      <c r="CO46" s="2692"/>
      <c r="CP46" s="2692"/>
      <c r="CQ46" s="2692"/>
      <c r="CR46" s="2692"/>
      <c r="CS46" s="2692"/>
      <c r="CT46" s="2692"/>
      <c r="CU46" s="2692"/>
      <c r="CV46" s="2692"/>
      <c r="CW46" s="2692"/>
      <c r="CX46" s="2692"/>
      <c r="CY46" s="2692"/>
      <c r="CZ46" s="2692"/>
      <c r="DA46" s="2692"/>
      <c r="DB46" s="2692"/>
      <c r="DC46" s="2692"/>
      <c r="DD46" s="2692"/>
      <c r="DE46" s="2692"/>
      <c r="DF46" s="2692"/>
      <c r="DG46" s="2692"/>
      <c r="DH46" s="2692"/>
      <c r="DI46" s="2692"/>
      <c r="DJ46" s="2692"/>
      <c r="DK46" s="2692"/>
      <c r="DL46" s="2692"/>
      <c r="DM46" s="2692"/>
      <c r="DN46" s="2692"/>
      <c r="DO46" s="2692"/>
      <c r="DP46" s="2692"/>
      <c r="DQ46" s="2692"/>
      <c r="DR46" s="2692"/>
      <c r="DS46" s="2692"/>
      <c r="DT46" s="2692"/>
      <c r="DU46" s="2692"/>
      <c r="DV46" s="2692"/>
      <c r="DW46" s="2692"/>
      <c r="DX46" s="2692"/>
      <c r="DY46" s="2692"/>
      <c r="DZ46" s="2692"/>
      <c r="EA46" s="2692"/>
      <c r="EB46" s="2692"/>
      <c r="EC46" s="2692"/>
      <c r="ED46" s="2692"/>
      <c r="EE46" s="2692"/>
      <c r="EF46" s="2692"/>
      <c r="EG46" s="2692"/>
      <c r="EH46" s="2692"/>
      <c r="EI46" s="2692"/>
      <c r="EJ46" s="2692"/>
      <c r="EK46" s="2692"/>
      <c r="EL46" s="2692"/>
      <c r="EM46" s="2692"/>
      <c r="EN46" s="2692"/>
      <c r="EO46" s="2692"/>
      <c r="EP46" s="2692"/>
      <c r="EQ46" s="2692"/>
      <c r="ER46" s="2692"/>
      <c r="ES46" s="2692"/>
      <c r="ET46" s="2692"/>
      <c r="EU46" s="2692"/>
      <c r="EV46" s="2692"/>
      <c r="EW46" s="2692"/>
      <c r="EX46" s="2692"/>
      <c r="EY46" s="2692"/>
      <c r="EZ46" s="2692"/>
      <c r="FA46" s="2692"/>
      <c r="FB46" s="2692"/>
      <c r="FC46" s="2692"/>
      <c r="FD46" s="2692"/>
      <c r="FE46" s="2692"/>
      <c r="FF46" s="2692"/>
      <c r="FG46" s="2692"/>
      <c r="FH46" s="2692"/>
      <c r="FI46" s="2692"/>
      <c r="FJ46" s="2692"/>
      <c r="FK46" s="2692"/>
      <c r="FL46" s="2692"/>
      <c r="FM46" s="2692"/>
      <c r="FN46" s="2692"/>
      <c r="FO46" s="2692"/>
      <c r="FP46" s="2692"/>
      <c r="FQ46" s="2692"/>
      <c r="FR46" s="2692"/>
      <c r="FS46" s="2692"/>
      <c r="FT46" s="2692"/>
      <c r="FU46" s="2692"/>
      <c r="FV46" s="2692"/>
      <c r="FW46" s="2692"/>
      <c r="FX46" s="2692"/>
      <c r="FY46" s="2692"/>
      <c r="FZ46" s="2692"/>
      <c r="GA46" s="2692"/>
      <c r="GB46" s="2692"/>
      <c r="GC46" s="2692"/>
      <c r="GD46" s="2692"/>
      <c r="GE46" s="2692"/>
      <c r="GF46" s="2692"/>
      <c r="GG46" s="2692"/>
      <c r="GH46" s="2692"/>
      <c r="GI46" s="2692"/>
      <c r="GJ46" s="2692"/>
      <c r="GK46" s="2692"/>
      <c r="GL46" s="2692"/>
      <c r="GM46" s="2692"/>
      <c r="GN46" s="2692"/>
      <c r="GO46" s="2692"/>
      <c r="GP46" s="2692"/>
      <c r="GQ46" s="2692"/>
      <c r="GR46" s="2692"/>
      <c r="GS46" s="2692"/>
      <c r="GT46" s="2692"/>
      <c r="GU46" s="2692"/>
      <c r="GV46" s="2692"/>
      <c r="GW46" s="2692"/>
      <c r="GX46" s="2692"/>
      <c r="GY46" s="2692"/>
      <c r="GZ46" s="2692"/>
      <c r="HA46" s="2692"/>
      <c r="HB46" s="2692"/>
      <c r="HC46" s="2692"/>
      <c r="HD46" s="2692"/>
      <c r="HE46" s="2692"/>
      <c r="HF46" s="2692"/>
      <c r="HG46" s="2692"/>
      <c r="HH46" s="2692"/>
      <c r="HI46" s="2692"/>
      <c r="HJ46" s="2692"/>
      <c r="HK46" s="2692"/>
      <c r="HL46" s="2692"/>
      <c r="HM46" s="2692"/>
      <c r="HN46" s="2692"/>
      <c r="HO46" s="2692"/>
      <c r="HP46" s="2692"/>
      <c r="HQ46" s="2692"/>
      <c r="HR46" s="2692"/>
      <c r="HS46" s="2692"/>
      <c r="HT46" s="2692"/>
      <c r="HU46" s="2692"/>
      <c r="HV46" s="2692"/>
      <c r="HW46" s="2692"/>
      <c r="HX46" s="2692"/>
      <c r="HY46" s="2692"/>
      <c r="HZ46" s="2692"/>
      <c r="IA46" s="2692"/>
      <c r="IB46" s="2692"/>
      <c r="IC46" s="2692"/>
      <c r="ID46" s="2692"/>
      <c r="IE46" s="2692"/>
      <c r="IF46" s="2692"/>
      <c r="IG46" s="2692"/>
      <c r="IH46" s="2692"/>
      <c r="II46" s="2692"/>
      <c r="IJ46" s="2692"/>
      <c r="IK46" s="2692"/>
      <c r="IL46" s="2692"/>
      <c r="IM46" s="2692"/>
      <c r="IN46" s="2692"/>
      <c r="IO46" s="2692"/>
      <c r="IP46" s="2692"/>
      <c r="IQ46" s="2692"/>
      <c r="IR46" s="2692"/>
      <c r="IS46" s="2692"/>
      <c r="IT46" s="2692"/>
      <c r="IU46" s="2692"/>
      <c r="IV46" s="2692"/>
    </row>
    <row r="47" spans="1:256" s="40" customFormat="1" ht="13" x14ac:dyDescent="0.3">
      <c r="A47" s="2935"/>
      <c r="B47" s="3384"/>
      <c r="C47" s="3384"/>
      <c r="D47" s="3384"/>
      <c r="E47" s="3385"/>
      <c r="F47" s="2700"/>
      <c r="G47" s="3384"/>
      <c r="H47" s="3384"/>
      <c r="I47" s="3384"/>
      <c r="J47" s="3385"/>
      <c r="K47" s="2692"/>
      <c r="L47" s="2692"/>
      <c r="M47" s="2692"/>
      <c r="N47" s="2692"/>
      <c r="O47" s="2692"/>
      <c r="P47" s="2692"/>
      <c r="Q47" s="2692"/>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692"/>
      <c r="AP47" s="2692"/>
      <c r="AQ47" s="2692"/>
      <c r="AR47" s="2692"/>
      <c r="AS47" s="2692"/>
      <c r="AT47" s="2692"/>
      <c r="AU47" s="2692"/>
      <c r="AV47" s="2692"/>
      <c r="AW47" s="2692"/>
      <c r="AX47" s="2692"/>
      <c r="AY47" s="2692"/>
      <c r="AZ47" s="2692"/>
      <c r="BA47" s="2692"/>
      <c r="BB47" s="2692"/>
      <c r="BC47" s="2692"/>
      <c r="BD47" s="2692"/>
      <c r="BE47" s="2692"/>
      <c r="BF47" s="2692"/>
      <c r="BG47" s="2692"/>
      <c r="BH47" s="2692"/>
      <c r="BI47" s="2692"/>
      <c r="BJ47" s="2692"/>
      <c r="BK47" s="2692"/>
      <c r="BL47" s="2692"/>
      <c r="BM47" s="2692"/>
      <c r="BN47" s="2692"/>
      <c r="BO47" s="2692"/>
      <c r="BP47" s="2692"/>
      <c r="BQ47" s="2692"/>
      <c r="BR47" s="2692"/>
      <c r="BS47" s="2692"/>
      <c r="BT47" s="2692"/>
      <c r="BU47" s="2692"/>
      <c r="BV47" s="2692"/>
      <c r="BW47" s="2692"/>
      <c r="BX47" s="2692"/>
      <c r="BY47" s="2692"/>
      <c r="BZ47" s="2692"/>
      <c r="CA47" s="2692"/>
      <c r="CB47" s="2692"/>
      <c r="CC47" s="2692"/>
      <c r="CD47" s="2692"/>
      <c r="CE47" s="2692"/>
      <c r="CF47" s="2692"/>
      <c r="CG47" s="2692"/>
      <c r="CH47" s="2692"/>
      <c r="CI47" s="2692"/>
      <c r="CJ47" s="2692"/>
      <c r="CK47" s="2692"/>
      <c r="CL47" s="2692"/>
      <c r="CM47" s="2692"/>
      <c r="CN47" s="2692"/>
      <c r="CO47" s="2692"/>
      <c r="CP47" s="2692"/>
      <c r="CQ47" s="2692"/>
      <c r="CR47" s="2692"/>
      <c r="CS47" s="2692"/>
      <c r="CT47" s="2692"/>
      <c r="CU47" s="2692"/>
      <c r="CV47" s="2692"/>
      <c r="CW47" s="2692"/>
      <c r="CX47" s="2692"/>
      <c r="CY47" s="2692"/>
      <c r="CZ47" s="2692"/>
      <c r="DA47" s="2692"/>
      <c r="DB47" s="2692"/>
      <c r="DC47" s="2692"/>
      <c r="DD47" s="2692"/>
      <c r="DE47" s="2692"/>
      <c r="DF47" s="2692"/>
      <c r="DG47" s="2692"/>
      <c r="DH47" s="2692"/>
      <c r="DI47" s="2692"/>
      <c r="DJ47" s="2692"/>
      <c r="DK47" s="2692"/>
      <c r="DL47" s="2692"/>
      <c r="DM47" s="2692"/>
      <c r="DN47" s="2692"/>
      <c r="DO47" s="2692"/>
      <c r="DP47" s="2692"/>
      <c r="DQ47" s="2692"/>
      <c r="DR47" s="2692"/>
      <c r="DS47" s="2692"/>
      <c r="DT47" s="2692"/>
      <c r="DU47" s="2692"/>
      <c r="DV47" s="2692"/>
      <c r="DW47" s="2692"/>
      <c r="DX47" s="2692"/>
      <c r="DY47" s="2692"/>
      <c r="DZ47" s="2692"/>
      <c r="EA47" s="2692"/>
      <c r="EB47" s="2692"/>
      <c r="EC47" s="2692"/>
      <c r="ED47" s="2692"/>
      <c r="EE47" s="2692"/>
      <c r="EF47" s="2692"/>
      <c r="EG47" s="2692"/>
      <c r="EH47" s="2692"/>
      <c r="EI47" s="2692"/>
      <c r="EJ47" s="2692"/>
      <c r="EK47" s="2692"/>
      <c r="EL47" s="2692"/>
      <c r="EM47" s="2692"/>
      <c r="EN47" s="2692"/>
      <c r="EO47" s="2692"/>
      <c r="EP47" s="2692"/>
      <c r="EQ47" s="2692"/>
      <c r="ER47" s="2692"/>
      <c r="ES47" s="2692"/>
      <c r="ET47" s="2692"/>
      <c r="EU47" s="2692"/>
      <c r="EV47" s="2692"/>
      <c r="EW47" s="2692"/>
      <c r="EX47" s="2692"/>
      <c r="EY47" s="2692"/>
      <c r="EZ47" s="2692"/>
      <c r="FA47" s="2692"/>
      <c r="FB47" s="2692"/>
      <c r="FC47" s="2692"/>
      <c r="FD47" s="2692"/>
      <c r="FE47" s="2692"/>
      <c r="FF47" s="2692"/>
      <c r="FG47" s="2692"/>
      <c r="FH47" s="2692"/>
      <c r="FI47" s="2692"/>
      <c r="FJ47" s="2692"/>
      <c r="FK47" s="2692"/>
      <c r="FL47" s="2692"/>
      <c r="FM47" s="2692"/>
      <c r="FN47" s="2692"/>
      <c r="FO47" s="2692"/>
      <c r="FP47" s="2692"/>
      <c r="FQ47" s="2692"/>
      <c r="FR47" s="2692"/>
      <c r="FS47" s="2692"/>
      <c r="FT47" s="2692"/>
      <c r="FU47" s="2692"/>
      <c r="FV47" s="2692"/>
      <c r="FW47" s="2692"/>
      <c r="FX47" s="2692"/>
      <c r="FY47" s="2692"/>
      <c r="FZ47" s="2692"/>
      <c r="GA47" s="2692"/>
      <c r="GB47" s="2692"/>
      <c r="GC47" s="2692"/>
      <c r="GD47" s="2692"/>
      <c r="GE47" s="2692"/>
      <c r="GF47" s="2692"/>
      <c r="GG47" s="2692"/>
      <c r="GH47" s="2692"/>
      <c r="GI47" s="2692"/>
      <c r="GJ47" s="2692"/>
      <c r="GK47" s="2692"/>
      <c r="GL47" s="2692"/>
      <c r="GM47" s="2692"/>
      <c r="GN47" s="2692"/>
      <c r="GO47" s="2692"/>
      <c r="GP47" s="2692"/>
      <c r="GQ47" s="2692"/>
      <c r="GR47" s="2692"/>
      <c r="GS47" s="2692"/>
      <c r="GT47" s="2692"/>
      <c r="GU47" s="2692"/>
      <c r="GV47" s="2692"/>
      <c r="GW47" s="2692"/>
      <c r="GX47" s="2692"/>
      <c r="GY47" s="2692"/>
      <c r="GZ47" s="2692"/>
      <c r="HA47" s="2692"/>
      <c r="HB47" s="2692"/>
      <c r="HC47" s="2692"/>
      <c r="HD47" s="2692"/>
      <c r="HE47" s="2692"/>
      <c r="HF47" s="2692"/>
      <c r="HG47" s="2692"/>
      <c r="HH47" s="2692"/>
      <c r="HI47" s="2692"/>
      <c r="HJ47" s="2692"/>
      <c r="HK47" s="2692"/>
      <c r="HL47" s="2692"/>
      <c r="HM47" s="2692"/>
      <c r="HN47" s="2692"/>
      <c r="HO47" s="2692"/>
      <c r="HP47" s="2692"/>
      <c r="HQ47" s="2692"/>
      <c r="HR47" s="2692"/>
      <c r="HS47" s="2692"/>
      <c r="HT47" s="2692"/>
      <c r="HU47" s="2692"/>
      <c r="HV47" s="2692"/>
      <c r="HW47" s="2692"/>
      <c r="HX47" s="2692"/>
      <c r="HY47" s="2692"/>
      <c r="HZ47" s="2692"/>
      <c r="IA47" s="2692"/>
      <c r="IB47" s="2692"/>
      <c r="IC47" s="2692"/>
      <c r="ID47" s="2692"/>
      <c r="IE47" s="2692"/>
      <c r="IF47" s="2692"/>
      <c r="IG47" s="2692"/>
      <c r="IH47" s="2692"/>
      <c r="II47" s="2692"/>
      <c r="IJ47" s="2692"/>
      <c r="IK47" s="2692"/>
      <c r="IL47" s="2692"/>
      <c r="IM47" s="2692"/>
      <c r="IN47" s="2692"/>
      <c r="IO47" s="2692"/>
      <c r="IP47" s="2692"/>
      <c r="IQ47" s="2692"/>
      <c r="IR47" s="2692"/>
      <c r="IS47" s="2692"/>
      <c r="IT47" s="2692"/>
      <c r="IU47" s="2692"/>
      <c r="IV47" s="2692"/>
    </row>
    <row r="48" spans="1:256" s="40" customFormat="1" ht="13" x14ac:dyDescent="0.3">
      <c r="A48" s="2935"/>
      <c r="B48" s="3384"/>
      <c r="C48" s="3384"/>
      <c r="D48" s="3384"/>
      <c r="E48" s="3385"/>
      <c r="F48" s="2700"/>
      <c r="G48" s="3384"/>
      <c r="H48" s="3384"/>
      <c r="I48" s="3384"/>
      <c r="J48" s="3385"/>
      <c r="K48" s="2692"/>
      <c r="L48" s="2692"/>
      <c r="M48" s="2692"/>
      <c r="N48" s="2692"/>
      <c r="O48" s="2692"/>
      <c r="P48" s="2692"/>
      <c r="Q48" s="2692"/>
      <c r="R48" s="2692"/>
      <c r="S48" s="2692"/>
      <c r="T48" s="2692"/>
      <c r="U48" s="2692"/>
      <c r="V48" s="2692"/>
      <c r="W48" s="2692"/>
      <c r="X48" s="2692"/>
      <c r="Y48" s="2692"/>
      <c r="Z48" s="2692"/>
      <c r="AA48" s="2692"/>
      <c r="AB48" s="2692"/>
      <c r="AC48" s="2692"/>
      <c r="AD48" s="2692"/>
      <c r="AE48" s="2692"/>
      <c r="AF48" s="2692"/>
      <c r="AG48" s="2692"/>
      <c r="AH48" s="2692"/>
      <c r="AI48" s="2692"/>
      <c r="AJ48" s="2692"/>
      <c r="AK48" s="2692"/>
      <c r="AL48" s="2692"/>
      <c r="AM48" s="2692"/>
      <c r="AN48" s="2692"/>
      <c r="AO48" s="2692"/>
      <c r="AP48" s="2692"/>
      <c r="AQ48" s="2692"/>
      <c r="AR48" s="2692"/>
      <c r="AS48" s="2692"/>
      <c r="AT48" s="2692"/>
      <c r="AU48" s="2692"/>
      <c r="AV48" s="2692"/>
      <c r="AW48" s="2692"/>
      <c r="AX48" s="2692"/>
      <c r="AY48" s="2692"/>
      <c r="AZ48" s="2692"/>
      <c r="BA48" s="2692"/>
      <c r="BB48" s="2692"/>
      <c r="BC48" s="2692"/>
      <c r="BD48" s="2692"/>
      <c r="BE48" s="2692"/>
      <c r="BF48" s="2692"/>
      <c r="BG48" s="2692"/>
      <c r="BH48" s="2692"/>
      <c r="BI48" s="2692"/>
      <c r="BJ48" s="2692"/>
      <c r="BK48" s="2692"/>
      <c r="BL48" s="2692"/>
      <c r="BM48" s="2692"/>
      <c r="BN48" s="2692"/>
      <c r="BO48" s="2692"/>
      <c r="BP48" s="2692"/>
      <c r="BQ48" s="2692"/>
      <c r="BR48" s="2692"/>
      <c r="BS48" s="2692"/>
      <c r="BT48" s="2692"/>
      <c r="BU48" s="2692"/>
      <c r="BV48" s="2692"/>
      <c r="BW48" s="2692"/>
      <c r="BX48" s="2692"/>
      <c r="BY48" s="2692"/>
      <c r="BZ48" s="2692"/>
      <c r="CA48" s="2692"/>
      <c r="CB48" s="2692"/>
      <c r="CC48" s="2692"/>
      <c r="CD48" s="2692"/>
      <c r="CE48" s="2692"/>
      <c r="CF48" s="2692"/>
      <c r="CG48" s="2692"/>
      <c r="CH48" s="2692"/>
      <c r="CI48" s="2692"/>
      <c r="CJ48" s="2692"/>
      <c r="CK48" s="2692"/>
      <c r="CL48" s="2692"/>
      <c r="CM48" s="2692"/>
      <c r="CN48" s="2692"/>
      <c r="CO48" s="2692"/>
      <c r="CP48" s="2692"/>
      <c r="CQ48" s="2692"/>
      <c r="CR48" s="2692"/>
      <c r="CS48" s="2692"/>
      <c r="CT48" s="2692"/>
      <c r="CU48" s="2692"/>
      <c r="CV48" s="2692"/>
      <c r="CW48" s="2692"/>
      <c r="CX48" s="2692"/>
      <c r="CY48" s="2692"/>
      <c r="CZ48" s="2692"/>
      <c r="DA48" s="2692"/>
      <c r="DB48" s="2692"/>
      <c r="DC48" s="2692"/>
      <c r="DD48" s="2692"/>
      <c r="DE48" s="2692"/>
      <c r="DF48" s="2692"/>
      <c r="DG48" s="2692"/>
      <c r="DH48" s="2692"/>
      <c r="DI48" s="2692"/>
      <c r="DJ48" s="2692"/>
      <c r="DK48" s="2692"/>
      <c r="DL48" s="2692"/>
      <c r="DM48" s="2692"/>
      <c r="DN48" s="2692"/>
      <c r="DO48" s="2692"/>
      <c r="DP48" s="2692"/>
      <c r="DQ48" s="2692"/>
      <c r="DR48" s="2692"/>
      <c r="DS48" s="2692"/>
      <c r="DT48" s="2692"/>
      <c r="DU48" s="2692"/>
      <c r="DV48" s="2692"/>
      <c r="DW48" s="2692"/>
      <c r="DX48" s="2692"/>
      <c r="DY48" s="2692"/>
      <c r="DZ48" s="2692"/>
      <c r="EA48" s="2692"/>
      <c r="EB48" s="2692"/>
      <c r="EC48" s="2692"/>
      <c r="ED48" s="2692"/>
      <c r="EE48" s="2692"/>
      <c r="EF48" s="2692"/>
      <c r="EG48" s="2692"/>
      <c r="EH48" s="2692"/>
      <c r="EI48" s="2692"/>
      <c r="EJ48" s="2692"/>
      <c r="EK48" s="2692"/>
      <c r="EL48" s="2692"/>
      <c r="EM48" s="2692"/>
      <c r="EN48" s="2692"/>
      <c r="EO48" s="2692"/>
      <c r="EP48" s="2692"/>
      <c r="EQ48" s="2692"/>
      <c r="ER48" s="2692"/>
      <c r="ES48" s="2692"/>
      <c r="ET48" s="2692"/>
      <c r="EU48" s="2692"/>
      <c r="EV48" s="2692"/>
      <c r="EW48" s="2692"/>
      <c r="EX48" s="2692"/>
      <c r="EY48" s="2692"/>
      <c r="EZ48" s="2692"/>
      <c r="FA48" s="2692"/>
      <c r="FB48" s="2692"/>
      <c r="FC48" s="2692"/>
      <c r="FD48" s="2692"/>
      <c r="FE48" s="2692"/>
      <c r="FF48" s="2692"/>
      <c r="FG48" s="2692"/>
      <c r="FH48" s="2692"/>
      <c r="FI48" s="2692"/>
      <c r="FJ48" s="2692"/>
      <c r="FK48" s="2692"/>
      <c r="FL48" s="2692"/>
      <c r="FM48" s="2692"/>
      <c r="FN48" s="2692"/>
      <c r="FO48" s="2692"/>
      <c r="FP48" s="2692"/>
      <c r="FQ48" s="2692"/>
      <c r="FR48" s="2692"/>
      <c r="FS48" s="2692"/>
      <c r="FT48" s="2692"/>
      <c r="FU48" s="2692"/>
      <c r="FV48" s="2692"/>
      <c r="FW48" s="2692"/>
      <c r="FX48" s="2692"/>
      <c r="FY48" s="2692"/>
      <c r="FZ48" s="2692"/>
      <c r="GA48" s="2692"/>
      <c r="GB48" s="2692"/>
      <c r="GC48" s="2692"/>
      <c r="GD48" s="2692"/>
      <c r="GE48" s="2692"/>
      <c r="GF48" s="2692"/>
      <c r="GG48" s="2692"/>
      <c r="GH48" s="2692"/>
      <c r="GI48" s="2692"/>
      <c r="GJ48" s="2692"/>
      <c r="GK48" s="2692"/>
      <c r="GL48" s="2692"/>
      <c r="GM48" s="2692"/>
      <c r="GN48" s="2692"/>
      <c r="GO48" s="2692"/>
      <c r="GP48" s="2692"/>
      <c r="GQ48" s="2692"/>
      <c r="GR48" s="2692"/>
      <c r="GS48" s="2692"/>
      <c r="GT48" s="2692"/>
      <c r="GU48" s="2692"/>
      <c r="GV48" s="2692"/>
      <c r="GW48" s="2692"/>
      <c r="GX48" s="2692"/>
      <c r="GY48" s="2692"/>
      <c r="GZ48" s="2692"/>
      <c r="HA48" s="2692"/>
      <c r="HB48" s="2692"/>
      <c r="HC48" s="2692"/>
      <c r="HD48" s="2692"/>
      <c r="HE48" s="2692"/>
      <c r="HF48" s="2692"/>
      <c r="HG48" s="2692"/>
      <c r="HH48" s="2692"/>
      <c r="HI48" s="2692"/>
      <c r="HJ48" s="2692"/>
      <c r="HK48" s="2692"/>
      <c r="HL48" s="2692"/>
      <c r="HM48" s="2692"/>
      <c r="HN48" s="2692"/>
      <c r="HO48" s="2692"/>
      <c r="HP48" s="2692"/>
      <c r="HQ48" s="2692"/>
      <c r="HR48" s="2692"/>
      <c r="HS48" s="2692"/>
      <c r="HT48" s="2692"/>
      <c r="HU48" s="2692"/>
      <c r="HV48" s="2692"/>
      <c r="HW48" s="2692"/>
      <c r="HX48" s="2692"/>
      <c r="HY48" s="2692"/>
      <c r="HZ48" s="2692"/>
      <c r="IA48" s="2692"/>
      <c r="IB48" s="2692"/>
      <c r="IC48" s="2692"/>
      <c r="ID48" s="2692"/>
      <c r="IE48" s="2692"/>
      <c r="IF48" s="2692"/>
      <c r="IG48" s="2692"/>
      <c r="IH48" s="2692"/>
      <c r="II48" s="2692"/>
      <c r="IJ48" s="2692"/>
      <c r="IK48" s="2692"/>
      <c r="IL48" s="2692"/>
      <c r="IM48" s="2692"/>
      <c r="IN48" s="2692"/>
      <c r="IO48" s="2692"/>
      <c r="IP48" s="2692"/>
      <c r="IQ48" s="2692"/>
      <c r="IR48" s="2692"/>
      <c r="IS48" s="2692"/>
      <c r="IT48" s="2692"/>
      <c r="IU48" s="2692"/>
      <c r="IV48" s="2692"/>
    </row>
    <row r="49" spans="1:256" s="40" customFormat="1" ht="13" x14ac:dyDescent="0.3">
      <c r="A49" s="2705" t="s">
        <v>2555</v>
      </c>
      <c r="B49" s="3384"/>
      <c r="C49" s="3384"/>
      <c r="D49" s="3384"/>
      <c r="E49" s="3385"/>
      <c r="F49" s="2700"/>
      <c r="G49" s="3384"/>
      <c r="H49" s="3384"/>
      <c r="I49" s="3384"/>
      <c r="J49" s="3385"/>
      <c r="K49" s="2692"/>
      <c r="L49" s="2692"/>
      <c r="M49" s="2692"/>
      <c r="N49" s="2692"/>
      <c r="O49" s="2692"/>
      <c r="P49" s="2692"/>
      <c r="Q49" s="2692"/>
      <c r="R49" s="2692"/>
      <c r="S49" s="2692"/>
      <c r="T49" s="2692"/>
      <c r="U49" s="2692"/>
      <c r="V49" s="2692"/>
      <c r="W49" s="2692"/>
      <c r="X49" s="2692"/>
      <c r="Y49" s="2692"/>
      <c r="Z49" s="2692"/>
      <c r="AA49" s="2692"/>
      <c r="AB49" s="2692"/>
      <c r="AC49" s="2692"/>
      <c r="AD49" s="2692"/>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2"/>
      <c r="BC49" s="2692"/>
      <c r="BD49" s="2692"/>
      <c r="BE49" s="2692"/>
      <c r="BF49" s="2692"/>
      <c r="BG49" s="2692"/>
      <c r="BH49" s="2692"/>
      <c r="BI49" s="2692"/>
      <c r="BJ49" s="2692"/>
      <c r="BK49" s="2692"/>
      <c r="BL49" s="2692"/>
      <c r="BM49" s="2692"/>
      <c r="BN49" s="2692"/>
      <c r="BO49" s="2692"/>
      <c r="BP49" s="2692"/>
      <c r="BQ49" s="2692"/>
      <c r="BR49" s="2692"/>
      <c r="BS49" s="2692"/>
      <c r="BT49" s="2692"/>
      <c r="BU49" s="2692"/>
      <c r="BV49" s="2692"/>
      <c r="BW49" s="2692"/>
      <c r="BX49" s="2692"/>
      <c r="BY49" s="2692"/>
      <c r="BZ49" s="2692"/>
      <c r="CA49" s="2692"/>
      <c r="CB49" s="2692"/>
      <c r="CC49" s="2692"/>
      <c r="CD49" s="2692"/>
      <c r="CE49" s="2692"/>
      <c r="CF49" s="2692"/>
      <c r="CG49" s="2692"/>
      <c r="CH49" s="2692"/>
      <c r="CI49" s="2692"/>
      <c r="CJ49" s="2692"/>
      <c r="CK49" s="2692"/>
      <c r="CL49" s="2692"/>
      <c r="CM49" s="2692"/>
      <c r="CN49" s="2692"/>
      <c r="CO49" s="2692"/>
      <c r="CP49" s="2692"/>
      <c r="CQ49" s="2692"/>
      <c r="CR49" s="2692"/>
      <c r="CS49" s="2692"/>
      <c r="CT49" s="2692"/>
      <c r="CU49" s="2692"/>
      <c r="CV49" s="2692"/>
      <c r="CW49" s="2692"/>
      <c r="CX49" s="2692"/>
      <c r="CY49" s="2692"/>
      <c r="CZ49" s="2692"/>
      <c r="DA49" s="2692"/>
      <c r="DB49" s="2692"/>
      <c r="DC49" s="2692"/>
      <c r="DD49" s="2692"/>
      <c r="DE49" s="2692"/>
      <c r="DF49" s="2692"/>
      <c r="DG49" s="2692"/>
      <c r="DH49" s="2692"/>
      <c r="DI49" s="2692"/>
      <c r="DJ49" s="2692"/>
      <c r="DK49" s="2692"/>
      <c r="DL49" s="2692"/>
      <c r="DM49" s="2692"/>
      <c r="DN49" s="2692"/>
      <c r="DO49" s="2692"/>
      <c r="DP49" s="2692"/>
      <c r="DQ49" s="2692"/>
      <c r="DR49" s="2692"/>
      <c r="DS49" s="2692"/>
      <c r="DT49" s="2692"/>
      <c r="DU49" s="2692"/>
      <c r="DV49" s="2692"/>
      <c r="DW49" s="2692"/>
      <c r="DX49" s="2692"/>
      <c r="DY49" s="2692"/>
      <c r="DZ49" s="2692"/>
      <c r="EA49" s="2692"/>
      <c r="EB49" s="2692"/>
      <c r="EC49" s="2692"/>
      <c r="ED49" s="2692"/>
      <c r="EE49" s="2692"/>
      <c r="EF49" s="2692"/>
      <c r="EG49" s="2692"/>
      <c r="EH49" s="2692"/>
      <c r="EI49" s="2692"/>
      <c r="EJ49" s="2692"/>
      <c r="EK49" s="2692"/>
      <c r="EL49" s="2692"/>
      <c r="EM49" s="2692"/>
      <c r="EN49" s="2692"/>
      <c r="EO49" s="2692"/>
      <c r="EP49" s="2692"/>
      <c r="EQ49" s="2692"/>
      <c r="ER49" s="2692"/>
      <c r="ES49" s="2692"/>
      <c r="ET49" s="2692"/>
      <c r="EU49" s="2692"/>
      <c r="EV49" s="2692"/>
      <c r="EW49" s="2692"/>
      <c r="EX49" s="2692"/>
      <c r="EY49" s="2692"/>
      <c r="EZ49" s="2692"/>
      <c r="FA49" s="2692"/>
      <c r="FB49" s="2692"/>
      <c r="FC49" s="2692"/>
      <c r="FD49" s="2692"/>
      <c r="FE49" s="2692"/>
      <c r="FF49" s="2692"/>
      <c r="FG49" s="2692"/>
      <c r="FH49" s="2692"/>
      <c r="FI49" s="2692"/>
      <c r="FJ49" s="2692"/>
      <c r="FK49" s="2692"/>
      <c r="FL49" s="2692"/>
      <c r="FM49" s="2692"/>
      <c r="FN49" s="2692"/>
      <c r="FO49" s="2692"/>
      <c r="FP49" s="2692"/>
      <c r="FQ49" s="2692"/>
      <c r="FR49" s="2692"/>
      <c r="FS49" s="2692"/>
      <c r="FT49" s="2692"/>
      <c r="FU49" s="2692"/>
      <c r="FV49" s="2692"/>
      <c r="FW49" s="2692"/>
      <c r="FX49" s="2692"/>
      <c r="FY49" s="2692"/>
      <c r="FZ49" s="2692"/>
      <c r="GA49" s="2692"/>
      <c r="GB49" s="2692"/>
      <c r="GC49" s="2692"/>
      <c r="GD49" s="2692"/>
      <c r="GE49" s="2692"/>
      <c r="GF49" s="2692"/>
      <c r="GG49" s="2692"/>
      <c r="GH49" s="2692"/>
      <c r="GI49" s="2692"/>
      <c r="GJ49" s="2692"/>
      <c r="GK49" s="2692"/>
      <c r="GL49" s="2692"/>
      <c r="GM49" s="2692"/>
      <c r="GN49" s="2692"/>
      <c r="GO49" s="2692"/>
      <c r="GP49" s="2692"/>
      <c r="GQ49" s="2692"/>
      <c r="GR49" s="2692"/>
      <c r="GS49" s="2692"/>
      <c r="GT49" s="2692"/>
      <c r="GU49" s="2692"/>
      <c r="GV49" s="2692"/>
      <c r="GW49" s="2692"/>
      <c r="GX49" s="2692"/>
      <c r="GY49" s="2692"/>
      <c r="GZ49" s="2692"/>
      <c r="HA49" s="2692"/>
      <c r="HB49" s="2692"/>
      <c r="HC49" s="2692"/>
      <c r="HD49" s="2692"/>
      <c r="HE49" s="2692"/>
      <c r="HF49" s="2692"/>
      <c r="HG49" s="2692"/>
      <c r="HH49" s="2692"/>
      <c r="HI49" s="2692"/>
      <c r="HJ49" s="2692"/>
      <c r="HK49" s="2692"/>
      <c r="HL49" s="2692"/>
      <c r="HM49" s="2692"/>
      <c r="HN49" s="2692"/>
      <c r="HO49" s="2692"/>
      <c r="HP49" s="2692"/>
      <c r="HQ49" s="2692"/>
      <c r="HR49" s="2692"/>
      <c r="HS49" s="2692"/>
      <c r="HT49" s="2692"/>
      <c r="HU49" s="2692"/>
      <c r="HV49" s="2692"/>
      <c r="HW49" s="2692"/>
      <c r="HX49" s="2692"/>
      <c r="HY49" s="2692"/>
      <c r="HZ49" s="2692"/>
      <c r="IA49" s="2692"/>
      <c r="IB49" s="2692"/>
      <c r="IC49" s="2692"/>
      <c r="ID49" s="2692"/>
      <c r="IE49" s="2692"/>
      <c r="IF49" s="2692"/>
      <c r="IG49" s="2692"/>
      <c r="IH49" s="2692"/>
      <c r="II49" s="2692"/>
      <c r="IJ49" s="2692"/>
      <c r="IK49" s="2692"/>
      <c r="IL49" s="2692"/>
      <c r="IM49" s="2692"/>
      <c r="IN49" s="2692"/>
      <c r="IO49" s="2692"/>
      <c r="IP49" s="2692"/>
      <c r="IQ49" s="2692"/>
      <c r="IR49" s="2692"/>
      <c r="IS49" s="2692"/>
      <c r="IT49" s="2692"/>
      <c r="IU49" s="2692"/>
      <c r="IV49" s="2692"/>
    </row>
    <row r="50" spans="1:256" s="40" customFormat="1" ht="15" x14ac:dyDescent="0.3">
      <c r="A50" s="2957"/>
      <c r="B50" s="3384"/>
      <c r="C50" s="3384"/>
      <c r="D50" s="3384"/>
      <c r="E50" s="3385"/>
      <c r="F50" s="2700"/>
      <c r="G50" s="3384"/>
      <c r="H50" s="3384"/>
      <c r="I50" s="3384"/>
      <c r="J50" s="3385"/>
      <c r="K50" s="2692"/>
      <c r="L50" s="2692"/>
      <c r="M50" s="2692"/>
      <c r="N50" s="2692"/>
      <c r="O50" s="2692"/>
      <c r="P50" s="2692"/>
      <c r="Q50" s="2692"/>
      <c r="R50" s="2692"/>
      <c r="S50" s="2692"/>
      <c r="T50" s="2692"/>
      <c r="U50" s="2692"/>
      <c r="V50" s="2692"/>
      <c r="W50" s="2692"/>
      <c r="X50" s="2692"/>
      <c r="Y50" s="2692"/>
      <c r="Z50" s="2692"/>
      <c r="AA50" s="2692"/>
      <c r="AB50" s="2692"/>
      <c r="AC50" s="2692"/>
      <c r="AD50" s="2692"/>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2"/>
      <c r="BC50" s="2692"/>
      <c r="BD50" s="2692"/>
      <c r="BE50" s="2692"/>
      <c r="BF50" s="2692"/>
      <c r="BG50" s="2692"/>
      <c r="BH50" s="2692"/>
      <c r="BI50" s="2692"/>
      <c r="BJ50" s="2692"/>
      <c r="BK50" s="2692"/>
      <c r="BL50" s="2692"/>
      <c r="BM50" s="2692"/>
      <c r="BN50" s="2692"/>
      <c r="BO50" s="2692"/>
      <c r="BP50" s="2692"/>
      <c r="BQ50" s="2692"/>
      <c r="BR50" s="2692"/>
      <c r="BS50" s="2692"/>
      <c r="BT50" s="2692"/>
      <c r="BU50" s="2692"/>
      <c r="BV50" s="2692"/>
      <c r="BW50" s="2692"/>
      <c r="BX50" s="2692"/>
      <c r="BY50" s="2692"/>
      <c r="BZ50" s="2692"/>
      <c r="CA50" s="2692"/>
      <c r="CB50" s="2692"/>
      <c r="CC50" s="2692"/>
      <c r="CD50" s="2692"/>
      <c r="CE50" s="2692"/>
      <c r="CF50" s="2692"/>
      <c r="CG50" s="2692"/>
      <c r="CH50" s="2692"/>
      <c r="CI50" s="2692"/>
      <c r="CJ50" s="2692"/>
      <c r="CK50" s="2692"/>
      <c r="CL50" s="2692"/>
      <c r="CM50" s="2692"/>
      <c r="CN50" s="2692"/>
      <c r="CO50" s="2692"/>
      <c r="CP50" s="2692"/>
      <c r="CQ50" s="2692"/>
      <c r="CR50" s="2692"/>
      <c r="CS50" s="2692"/>
      <c r="CT50" s="2692"/>
      <c r="CU50" s="2692"/>
      <c r="CV50" s="2692"/>
      <c r="CW50" s="2692"/>
      <c r="CX50" s="2692"/>
      <c r="CY50" s="2692"/>
      <c r="CZ50" s="2692"/>
      <c r="DA50" s="2692"/>
      <c r="DB50" s="2692"/>
      <c r="DC50" s="2692"/>
      <c r="DD50" s="2692"/>
      <c r="DE50" s="2692"/>
      <c r="DF50" s="2692"/>
      <c r="DG50" s="2692"/>
      <c r="DH50" s="2692"/>
      <c r="DI50" s="2692"/>
      <c r="DJ50" s="2692"/>
      <c r="DK50" s="2692"/>
      <c r="DL50" s="2692"/>
      <c r="DM50" s="2692"/>
      <c r="DN50" s="2692"/>
      <c r="DO50" s="2692"/>
      <c r="DP50" s="2692"/>
      <c r="DQ50" s="2692"/>
      <c r="DR50" s="2692"/>
      <c r="DS50" s="2692"/>
      <c r="DT50" s="2692"/>
      <c r="DU50" s="2692"/>
      <c r="DV50" s="2692"/>
      <c r="DW50" s="2692"/>
      <c r="DX50" s="2692"/>
      <c r="DY50" s="2692"/>
      <c r="DZ50" s="2692"/>
      <c r="EA50" s="2692"/>
      <c r="EB50" s="2692"/>
      <c r="EC50" s="2692"/>
      <c r="ED50" s="2692"/>
      <c r="EE50" s="2692"/>
      <c r="EF50" s="2692"/>
      <c r="EG50" s="2692"/>
      <c r="EH50" s="2692"/>
      <c r="EI50" s="2692"/>
      <c r="EJ50" s="2692"/>
      <c r="EK50" s="2692"/>
      <c r="EL50" s="2692"/>
      <c r="EM50" s="2692"/>
      <c r="EN50" s="2692"/>
      <c r="EO50" s="2692"/>
      <c r="EP50" s="2692"/>
      <c r="EQ50" s="2692"/>
      <c r="ER50" s="2692"/>
      <c r="ES50" s="2692"/>
      <c r="ET50" s="2692"/>
      <c r="EU50" s="2692"/>
      <c r="EV50" s="2692"/>
      <c r="EW50" s="2692"/>
      <c r="EX50" s="2692"/>
      <c r="EY50" s="2692"/>
      <c r="EZ50" s="2692"/>
      <c r="FA50" s="2692"/>
      <c r="FB50" s="2692"/>
      <c r="FC50" s="2692"/>
      <c r="FD50" s="2692"/>
      <c r="FE50" s="2692"/>
      <c r="FF50" s="2692"/>
      <c r="FG50" s="2692"/>
      <c r="FH50" s="2692"/>
      <c r="FI50" s="2692"/>
      <c r="FJ50" s="2692"/>
      <c r="FK50" s="2692"/>
      <c r="FL50" s="2692"/>
      <c r="FM50" s="2692"/>
      <c r="FN50" s="2692"/>
      <c r="FO50" s="2692"/>
      <c r="FP50" s="2692"/>
      <c r="FQ50" s="2692"/>
      <c r="FR50" s="2692"/>
      <c r="FS50" s="2692"/>
      <c r="FT50" s="2692"/>
      <c r="FU50" s="2692"/>
      <c r="FV50" s="2692"/>
      <c r="FW50" s="2692"/>
      <c r="FX50" s="2692"/>
      <c r="FY50" s="2692"/>
      <c r="FZ50" s="2692"/>
      <c r="GA50" s="2692"/>
      <c r="GB50" s="2692"/>
      <c r="GC50" s="2692"/>
      <c r="GD50" s="2692"/>
      <c r="GE50" s="2692"/>
      <c r="GF50" s="2692"/>
      <c r="GG50" s="2692"/>
      <c r="GH50" s="2692"/>
      <c r="GI50" s="2692"/>
      <c r="GJ50" s="2692"/>
      <c r="GK50" s="2692"/>
      <c r="GL50" s="2692"/>
      <c r="GM50" s="2692"/>
      <c r="GN50" s="2692"/>
      <c r="GO50" s="2692"/>
      <c r="GP50" s="2692"/>
      <c r="GQ50" s="2692"/>
      <c r="GR50" s="2692"/>
      <c r="GS50" s="2692"/>
      <c r="GT50" s="2692"/>
      <c r="GU50" s="2692"/>
      <c r="GV50" s="2692"/>
      <c r="GW50" s="2692"/>
      <c r="GX50" s="2692"/>
      <c r="GY50" s="2692"/>
      <c r="GZ50" s="2692"/>
      <c r="HA50" s="2692"/>
      <c r="HB50" s="2692"/>
      <c r="HC50" s="2692"/>
      <c r="HD50" s="2692"/>
      <c r="HE50" s="2692"/>
      <c r="HF50" s="2692"/>
      <c r="HG50" s="2692"/>
      <c r="HH50" s="2692"/>
      <c r="HI50" s="2692"/>
      <c r="HJ50" s="2692"/>
      <c r="HK50" s="2692"/>
      <c r="HL50" s="2692"/>
      <c r="HM50" s="2692"/>
      <c r="HN50" s="2692"/>
      <c r="HO50" s="2692"/>
      <c r="HP50" s="2692"/>
      <c r="HQ50" s="2692"/>
      <c r="HR50" s="2692"/>
      <c r="HS50" s="2692"/>
      <c r="HT50" s="2692"/>
      <c r="HU50" s="2692"/>
      <c r="HV50" s="2692"/>
      <c r="HW50" s="2692"/>
      <c r="HX50" s="2692"/>
      <c r="HY50" s="2692"/>
      <c r="HZ50" s="2692"/>
      <c r="IA50" s="2692"/>
      <c r="IB50" s="2692"/>
      <c r="IC50" s="2692"/>
      <c r="ID50" s="2692"/>
      <c r="IE50" s="2692"/>
      <c r="IF50" s="2692"/>
      <c r="IG50" s="2692"/>
      <c r="IH50" s="2692"/>
      <c r="II50" s="2692"/>
      <c r="IJ50" s="2692"/>
      <c r="IK50" s="2692"/>
      <c r="IL50" s="2692"/>
      <c r="IM50" s="2692"/>
      <c r="IN50" s="2692"/>
      <c r="IO50" s="2692"/>
      <c r="IP50" s="2692"/>
      <c r="IQ50" s="2692"/>
      <c r="IR50" s="2692"/>
      <c r="IS50" s="2692"/>
      <c r="IT50" s="2692"/>
      <c r="IU50" s="2692"/>
      <c r="IV50" s="2692"/>
    </row>
    <row r="51" spans="1:256" s="40" customFormat="1" ht="15.5" thickBot="1" x14ac:dyDescent="0.35">
      <c r="A51" s="2957"/>
      <c r="B51" s="2700"/>
      <c r="C51" s="2700"/>
      <c r="D51" s="2700"/>
      <c r="E51" s="2709"/>
      <c r="F51" s="2700"/>
      <c r="G51" s="2700"/>
      <c r="H51" s="2700"/>
      <c r="I51" s="2700"/>
      <c r="J51" s="2701"/>
      <c r="K51" s="2692"/>
      <c r="L51" s="2692"/>
      <c r="M51" s="2692"/>
      <c r="N51" s="2692"/>
      <c r="O51" s="2692"/>
      <c r="P51" s="2692"/>
      <c r="Q51" s="2692"/>
      <c r="R51" s="2692"/>
      <c r="S51" s="2692"/>
      <c r="T51" s="2692"/>
      <c r="U51" s="2692"/>
      <c r="V51" s="2692"/>
      <c r="W51" s="2692"/>
      <c r="X51" s="2692"/>
      <c r="Y51" s="2692"/>
      <c r="Z51" s="2692"/>
      <c r="AA51" s="2692"/>
      <c r="AB51" s="2692"/>
      <c r="AC51" s="2692"/>
      <c r="AD51" s="2692"/>
      <c r="AE51" s="2692"/>
      <c r="AF51" s="2692"/>
      <c r="AG51" s="2692"/>
      <c r="AH51" s="2692"/>
      <c r="AI51" s="2692"/>
      <c r="AJ51" s="2692"/>
      <c r="AK51" s="2692"/>
      <c r="AL51" s="2692"/>
      <c r="AM51" s="2692"/>
      <c r="AN51" s="2692"/>
      <c r="AO51" s="2692"/>
      <c r="AP51" s="2692"/>
      <c r="AQ51" s="2692"/>
      <c r="AR51" s="2692"/>
      <c r="AS51" s="2692"/>
      <c r="AT51" s="2692"/>
      <c r="AU51" s="2692"/>
      <c r="AV51" s="2692"/>
      <c r="AW51" s="2692"/>
      <c r="AX51" s="2692"/>
      <c r="AY51" s="2692"/>
      <c r="AZ51" s="2692"/>
      <c r="BA51" s="2692"/>
      <c r="BB51" s="2692"/>
      <c r="BC51" s="2692"/>
      <c r="BD51" s="2692"/>
      <c r="BE51" s="2692"/>
      <c r="BF51" s="2692"/>
      <c r="BG51" s="2692"/>
      <c r="BH51" s="2692"/>
      <c r="BI51" s="2692"/>
      <c r="BJ51" s="2692"/>
      <c r="BK51" s="2692"/>
      <c r="BL51" s="2692"/>
      <c r="BM51" s="2692"/>
      <c r="BN51" s="2692"/>
      <c r="BO51" s="2692"/>
      <c r="BP51" s="2692"/>
      <c r="BQ51" s="2692"/>
      <c r="BR51" s="2692"/>
      <c r="BS51" s="2692"/>
      <c r="BT51" s="2692"/>
      <c r="BU51" s="2692"/>
      <c r="BV51" s="2692"/>
      <c r="BW51" s="2692"/>
      <c r="BX51" s="2692"/>
      <c r="BY51" s="2692"/>
      <c r="BZ51" s="2692"/>
      <c r="CA51" s="2692"/>
      <c r="CB51" s="2692"/>
      <c r="CC51" s="2692"/>
      <c r="CD51" s="2692"/>
      <c r="CE51" s="2692"/>
      <c r="CF51" s="2692"/>
      <c r="CG51" s="2692"/>
      <c r="CH51" s="2692"/>
      <c r="CI51" s="2692"/>
      <c r="CJ51" s="2692"/>
      <c r="CK51" s="2692"/>
      <c r="CL51" s="2692"/>
      <c r="CM51" s="2692"/>
      <c r="CN51" s="2692"/>
      <c r="CO51" s="2692"/>
      <c r="CP51" s="2692"/>
      <c r="CQ51" s="2692"/>
      <c r="CR51" s="2692"/>
      <c r="CS51" s="2692"/>
      <c r="CT51" s="2692"/>
      <c r="CU51" s="2692"/>
      <c r="CV51" s="2692"/>
      <c r="CW51" s="2692"/>
      <c r="CX51" s="2692"/>
      <c r="CY51" s="2692"/>
      <c r="CZ51" s="2692"/>
      <c r="DA51" s="2692"/>
      <c r="DB51" s="2692"/>
      <c r="DC51" s="2692"/>
      <c r="DD51" s="2692"/>
      <c r="DE51" s="2692"/>
      <c r="DF51" s="2692"/>
      <c r="DG51" s="2692"/>
      <c r="DH51" s="2692"/>
      <c r="DI51" s="2692"/>
      <c r="DJ51" s="2692"/>
      <c r="DK51" s="2692"/>
      <c r="DL51" s="2692"/>
      <c r="DM51" s="2692"/>
      <c r="DN51" s="2692"/>
      <c r="DO51" s="2692"/>
      <c r="DP51" s="2692"/>
      <c r="DQ51" s="2692"/>
      <c r="DR51" s="2692"/>
      <c r="DS51" s="2692"/>
      <c r="DT51" s="2692"/>
      <c r="DU51" s="2692"/>
      <c r="DV51" s="2692"/>
      <c r="DW51" s="2692"/>
      <c r="DX51" s="2692"/>
      <c r="DY51" s="2692"/>
      <c r="DZ51" s="2692"/>
      <c r="EA51" s="2692"/>
      <c r="EB51" s="2692"/>
      <c r="EC51" s="2692"/>
      <c r="ED51" s="2692"/>
      <c r="EE51" s="2692"/>
      <c r="EF51" s="2692"/>
      <c r="EG51" s="2692"/>
      <c r="EH51" s="2692"/>
      <c r="EI51" s="2692"/>
      <c r="EJ51" s="2692"/>
      <c r="EK51" s="2692"/>
      <c r="EL51" s="2692"/>
      <c r="EM51" s="2692"/>
      <c r="EN51" s="2692"/>
      <c r="EO51" s="2692"/>
      <c r="EP51" s="2692"/>
      <c r="EQ51" s="2692"/>
      <c r="ER51" s="2692"/>
      <c r="ES51" s="2692"/>
      <c r="ET51" s="2692"/>
      <c r="EU51" s="2692"/>
      <c r="EV51" s="2692"/>
      <c r="EW51" s="2692"/>
      <c r="EX51" s="2692"/>
      <c r="EY51" s="2692"/>
      <c r="EZ51" s="2692"/>
      <c r="FA51" s="2692"/>
      <c r="FB51" s="2692"/>
      <c r="FC51" s="2692"/>
      <c r="FD51" s="2692"/>
      <c r="FE51" s="2692"/>
      <c r="FF51" s="2692"/>
      <c r="FG51" s="2692"/>
      <c r="FH51" s="2692"/>
      <c r="FI51" s="2692"/>
      <c r="FJ51" s="2692"/>
      <c r="FK51" s="2692"/>
      <c r="FL51" s="2692"/>
      <c r="FM51" s="2692"/>
      <c r="FN51" s="2692"/>
      <c r="FO51" s="2692"/>
      <c r="FP51" s="2692"/>
      <c r="FQ51" s="2692"/>
      <c r="FR51" s="2692"/>
      <c r="FS51" s="2692"/>
      <c r="FT51" s="2692"/>
      <c r="FU51" s="2692"/>
      <c r="FV51" s="2692"/>
      <c r="FW51" s="2692"/>
      <c r="FX51" s="2692"/>
      <c r="FY51" s="2692"/>
      <c r="FZ51" s="2692"/>
      <c r="GA51" s="2692"/>
      <c r="GB51" s="2692"/>
      <c r="GC51" s="2692"/>
      <c r="GD51" s="2692"/>
      <c r="GE51" s="2692"/>
      <c r="GF51" s="2692"/>
      <c r="GG51" s="2692"/>
      <c r="GH51" s="2692"/>
      <c r="GI51" s="2692"/>
      <c r="GJ51" s="2692"/>
      <c r="GK51" s="2692"/>
      <c r="GL51" s="2692"/>
      <c r="GM51" s="2692"/>
      <c r="GN51" s="2692"/>
      <c r="GO51" s="2692"/>
      <c r="GP51" s="2692"/>
      <c r="GQ51" s="2692"/>
      <c r="GR51" s="2692"/>
      <c r="GS51" s="2692"/>
      <c r="GT51" s="2692"/>
      <c r="GU51" s="2692"/>
      <c r="GV51" s="2692"/>
      <c r="GW51" s="2692"/>
      <c r="GX51" s="2692"/>
      <c r="GY51" s="2692"/>
      <c r="GZ51" s="2692"/>
      <c r="HA51" s="2692"/>
      <c r="HB51" s="2692"/>
      <c r="HC51" s="2692"/>
      <c r="HD51" s="2692"/>
      <c r="HE51" s="2692"/>
      <c r="HF51" s="2692"/>
      <c r="HG51" s="2692"/>
      <c r="HH51" s="2692"/>
      <c r="HI51" s="2692"/>
      <c r="HJ51" s="2692"/>
      <c r="HK51" s="2692"/>
      <c r="HL51" s="2692"/>
      <c r="HM51" s="2692"/>
      <c r="HN51" s="2692"/>
      <c r="HO51" s="2692"/>
      <c r="HP51" s="2692"/>
      <c r="HQ51" s="2692"/>
      <c r="HR51" s="2692"/>
      <c r="HS51" s="2692"/>
      <c r="HT51" s="2692"/>
      <c r="HU51" s="2692"/>
      <c r="HV51" s="2692"/>
      <c r="HW51" s="2692"/>
      <c r="HX51" s="2692"/>
      <c r="HY51" s="2692"/>
      <c r="HZ51" s="2692"/>
      <c r="IA51" s="2692"/>
      <c r="IB51" s="2692"/>
      <c r="IC51" s="2692"/>
      <c r="ID51" s="2692"/>
      <c r="IE51" s="2692"/>
      <c r="IF51" s="2692"/>
      <c r="IG51" s="2692"/>
      <c r="IH51" s="2692"/>
      <c r="II51" s="2692"/>
      <c r="IJ51" s="2692"/>
      <c r="IK51" s="2692"/>
      <c r="IL51" s="2692"/>
      <c r="IM51" s="2692"/>
      <c r="IN51" s="2692"/>
      <c r="IO51" s="2692"/>
      <c r="IP51" s="2692"/>
      <c r="IQ51" s="2692"/>
      <c r="IR51" s="2692"/>
      <c r="IS51" s="2692"/>
      <c r="IT51" s="2692"/>
      <c r="IU51" s="2692"/>
      <c r="IV51" s="2692"/>
    </row>
    <row r="52" spans="1:256" s="40" customFormat="1" ht="13.5" thickTop="1" x14ac:dyDescent="0.3">
      <c r="A52" s="2697"/>
      <c r="B52" s="3362" t="s">
        <v>2644</v>
      </c>
      <c r="C52" s="3362"/>
      <c r="D52" s="3362"/>
      <c r="E52" s="2932"/>
      <c r="F52" s="2710"/>
      <c r="G52" s="3395" t="s">
        <v>2645</v>
      </c>
      <c r="H52" s="3395"/>
      <c r="I52" s="3395"/>
      <c r="J52" s="3396"/>
      <c r="K52" s="2692"/>
      <c r="L52" s="2692"/>
      <c r="M52" s="2692"/>
      <c r="N52" s="2692"/>
      <c r="O52" s="2692"/>
      <c r="P52" s="2692"/>
      <c r="Q52" s="2692"/>
      <c r="R52" s="2692"/>
      <c r="S52" s="2692"/>
      <c r="T52" s="2692"/>
      <c r="U52" s="2692"/>
      <c r="V52" s="2692"/>
      <c r="W52" s="2692"/>
      <c r="X52" s="2692"/>
      <c r="Y52" s="2692"/>
      <c r="Z52" s="2692"/>
      <c r="AA52" s="2692"/>
      <c r="AB52" s="2692"/>
      <c r="AC52" s="2692"/>
      <c r="AD52" s="2692"/>
      <c r="AE52" s="2692"/>
      <c r="AF52" s="2692"/>
      <c r="AG52" s="2692"/>
      <c r="AH52" s="2692"/>
      <c r="AI52" s="2692"/>
      <c r="AJ52" s="2692"/>
      <c r="AK52" s="2692"/>
      <c r="AL52" s="2692"/>
      <c r="AM52" s="2692"/>
      <c r="AN52" s="2692"/>
      <c r="AO52" s="2692"/>
      <c r="AP52" s="2692"/>
      <c r="AQ52" s="2692"/>
      <c r="AR52" s="2692"/>
      <c r="AS52" s="2692"/>
      <c r="AT52" s="2692"/>
      <c r="AU52" s="2692"/>
      <c r="AV52" s="2692"/>
      <c r="AW52" s="2692"/>
      <c r="AX52" s="2692"/>
      <c r="AY52" s="2692"/>
      <c r="AZ52" s="2692"/>
      <c r="BA52" s="2692"/>
      <c r="BB52" s="2692"/>
      <c r="BC52" s="2692"/>
      <c r="BD52" s="2692"/>
      <c r="BE52" s="2692"/>
      <c r="BF52" s="2692"/>
      <c r="BG52" s="2692"/>
      <c r="BH52" s="2692"/>
      <c r="BI52" s="2692"/>
      <c r="BJ52" s="2692"/>
      <c r="BK52" s="2692"/>
      <c r="BL52" s="2692"/>
      <c r="BM52" s="2692"/>
      <c r="BN52" s="2692"/>
      <c r="BO52" s="2692"/>
      <c r="BP52" s="2692"/>
      <c r="BQ52" s="2692"/>
      <c r="BR52" s="2692"/>
      <c r="BS52" s="2692"/>
      <c r="BT52" s="2692"/>
      <c r="BU52" s="2692"/>
      <c r="BV52" s="2692"/>
      <c r="BW52" s="2692"/>
      <c r="BX52" s="2692"/>
      <c r="BY52" s="2692"/>
      <c r="BZ52" s="2692"/>
      <c r="CA52" s="2692"/>
      <c r="CB52" s="2692"/>
      <c r="CC52" s="2692"/>
      <c r="CD52" s="2692"/>
      <c r="CE52" s="2692"/>
      <c r="CF52" s="2692"/>
      <c r="CG52" s="2692"/>
      <c r="CH52" s="2692"/>
      <c r="CI52" s="2692"/>
      <c r="CJ52" s="2692"/>
      <c r="CK52" s="2692"/>
      <c r="CL52" s="2692"/>
      <c r="CM52" s="2692"/>
      <c r="CN52" s="2692"/>
      <c r="CO52" s="2692"/>
      <c r="CP52" s="2692"/>
      <c r="CQ52" s="2692"/>
      <c r="CR52" s="2692"/>
      <c r="CS52" s="2692"/>
      <c r="CT52" s="2692"/>
      <c r="CU52" s="2692"/>
      <c r="CV52" s="2692"/>
      <c r="CW52" s="2692"/>
      <c r="CX52" s="2692"/>
      <c r="CY52" s="2692"/>
      <c r="CZ52" s="2692"/>
      <c r="DA52" s="2692"/>
      <c r="DB52" s="2692"/>
      <c r="DC52" s="2692"/>
      <c r="DD52" s="2692"/>
      <c r="DE52" s="2692"/>
      <c r="DF52" s="2692"/>
      <c r="DG52" s="2692"/>
      <c r="DH52" s="2692"/>
      <c r="DI52" s="2692"/>
      <c r="DJ52" s="2692"/>
      <c r="DK52" s="2692"/>
      <c r="DL52" s="2692"/>
      <c r="DM52" s="2692"/>
      <c r="DN52" s="2692"/>
      <c r="DO52" s="2692"/>
      <c r="DP52" s="2692"/>
      <c r="DQ52" s="2692"/>
      <c r="DR52" s="2692"/>
      <c r="DS52" s="2692"/>
      <c r="DT52" s="2692"/>
      <c r="DU52" s="2692"/>
      <c r="DV52" s="2692"/>
      <c r="DW52" s="2692"/>
      <c r="DX52" s="2692"/>
      <c r="DY52" s="2692"/>
      <c r="DZ52" s="2692"/>
      <c r="EA52" s="2692"/>
      <c r="EB52" s="2692"/>
      <c r="EC52" s="2692"/>
      <c r="ED52" s="2692"/>
      <c r="EE52" s="2692"/>
      <c r="EF52" s="2692"/>
      <c r="EG52" s="2692"/>
      <c r="EH52" s="2692"/>
      <c r="EI52" s="2692"/>
      <c r="EJ52" s="2692"/>
      <c r="EK52" s="2692"/>
      <c r="EL52" s="2692"/>
      <c r="EM52" s="2692"/>
      <c r="EN52" s="2692"/>
      <c r="EO52" s="2692"/>
      <c r="EP52" s="2692"/>
      <c r="EQ52" s="2692"/>
      <c r="ER52" s="2692"/>
      <c r="ES52" s="2692"/>
      <c r="ET52" s="2692"/>
      <c r="EU52" s="2692"/>
      <c r="EV52" s="2692"/>
      <c r="EW52" s="2692"/>
      <c r="EX52" s="2692"/>
      <c r="EY52" s="2692"/>
      <c r="EZ52" s="2692"/>
      <c r="FA52" s="2692"/>
      <c r="FB52" s="2692"/>
      <c r="FC52" s="2692"/>
      <c r="FD52" s="2692"/>
      <c r="FE52" s="2692"/>
      <c r="FF52" s="2692"/>
      <c r="FG52" s="2692"/>
      <c r="FH52" s="2692"/>
      <c r="FI52" s="2692"/>
      <c r="FJ52" s="2692"/>
      <c r="FK52" s="2692"/>
      <c r="FL52" s="2692"/>
      <c r="FM52" s="2692"/>
      <c r="FN52" s="2692"/>
      <c r="FO52" s="2692"/>
      <c r="FP52" s="2692"/>
      <c r="FQ52" s="2692"/>
      <c r="FR52" s="2692"/>
      <c r="FS52" s="2692"/>
      <c r="FT52" s="2692"/>
      <c r="FU52" s="2692"/>
      <c r="FV52" s="2692"/>
      <c r="FW52" s="2692"/>
      <c r="FX52" s="2692"/>
      <c r="FY52" s="2692"/>
      <c r="FZ52" s="2692"/>
      <c r="GA52" s="2692"/>
      <c r="GB52" s="2692"/>
      <c r="GC52" s="2692"/>
      <c r="GD52" s="2692"/>
      <c r="GE52" s="2692"/>
      <c r="GF52" s="2692"/>
      <c r="GG52" s="2692"/>
      <c r="GH52" s="2692"/>
      <c r="GI52" s="2692"/>
      <c r="GJ52" s="2692"/>
      <c r="GK52" s="2692"/>
      <c r="GL52" s="2692"/>
      <c r="GM52" s="2692"/>
      <c r="GN52" s="2692"/>
      <c r="GO52" s="2692"/>
      <c r="GP52" s="2692"/>
      <c r="GQ52" s="2692"/>
      <c r="GR52" s="2692"/>
      <c r="GS52" s="2692"/>
      <c r="GT52" s="2692"/>
      <c r="GU52" s="2692"/>
      <c r="GV52" s="2692"/>
      <c r="GW52" s="2692"/>
      <c r="GX52" s="2692"/>
      <c r="GY52" s="2692"/>
      <c r="GZ52" s="2692"/>
      <c r="HA52" s="2692"/>
      <c r="HB52" s="2692"/>
      <c r="HC52" s="2692"/>
      <c r="HD52" s="2692"/>
      <c r="HE52" s="2692"/>
      <c r="HF52" s="2692"/>
      <c r="HG52" s="2692"/>
      <c r="HH52" s="2692"/>
      <c r="HI52" s="2692"/>
      <c r="HJ52" s="2692"/>
      <c r="HK52" s="2692"/>
      <c r="HL52" s="2692"/>
      <c r="HM52" s="2692"/>
      <c r="HN52" s="2692"/>
      <c r="HO52" s="2692"/>
      <c r="HP52" s="2692"/>
      <c r="HQ52" s="2692"/>
      <c r="HR52" s="2692"/>
      <c r="HS52" s="2692"/>
      <c r="HT52" s="2692"/>
      <c r="HU52" s="2692"/>
      <c r="HV52" s="2692"/>
      <c r="HW52" s="2692"/>
      <c r="HX52" s="2692"/>
      <c r="HY52" s="2692"/>
      <c r="HZ52" s="2692"/>
      <c r="IA52" s="2692"/>
      <c r="IB52" s="2692"/>
      <c r="IC52" s="2692"/>
      <c r="ID52" s="2692"/>
      <c r="IE52" s="2692"/>
      <c r="IF52" s="2692"/>
      <c r="IG52" s="2692"/>
      <c r="IH52" s="2692"/>
      <c r="II52" s="2692"/>
      <c r="IJ52" s="2692"/>
      <c r="IK52" s="2692"/>
      <c r="IL52" s="2692"/>
      <c r="IM52" s="2692"/>
      <c r="IN52" s="2692"/>
      <c r="IO52" s="2692"/>
      <c r="IP52" s="2692"/>
      <c r="IQ52" s="2692"/>
      <c r="IR52" s="2692"/>
      <c r="IS52" s="2692"/>
      <c r="IT52" s="2692"/>
      <c r="IU52" s="2692"/>
      <c r="IV52" s="2692"/>
    </row>
    <row r="53" spans="1:256" s="40" customFormat="1" ht="13" x14ac:dyDescent="0.3">
      <c r="A53" s="2702"/>
      <c r="B53" s="2700"/>
      <c r="C53" s="2700"/>
      <c r="D53" s="2700"/>
      <c r="E53" s="2701"/>
      <c r="F53" s="2700"/>
      <c r="G53" s="2700"/>
      <c r="H53" s="2700"/>
      <c r="I53" s="2700"/>
      <c r="J53" s="2701"/>
      <c r="K53" s="2692"/>
      <c r="L53" s="2692"/>
      <c r="M53" s="2692"/>
      <c r="N53" s="2692"/>
      <c r="O53" s="2692"/>
      <c r="P53" s="2692"/>
      <c r="Q53" s="2692"/>
      <c r="R53" s="2692"/>
      <c r="S53" s="2692"/>
      <c r="T53" s="2692"/>
      <c r="U53" s="2692"/>
      <c r="V53" s="2692"/>
      <c r="W53" s="2692"/>
      <c r="X53" s="2692"/>
      <c r="Y53" s="2692"/>
      <c r="Z53" s="2692"/>
      <c r="AA53" s="2692"/>
      <c r="AB53" s="2692"/>
      <c r="AC53" s="2692"/>
      <c r="AD53" s="2692"/>
      <c r="AE53" s="2692"/>
      <c r="AF53" s="2692"/>
      <c r="AG53" s="2692"/>
      <c r="AH53" s="2692"/>
      <c r="AI53" s="2692"/>
      <c r="AJ53" s="2692"/>
      <c r="AK53" s="2692"/>
      <c r="AL53" s="2692"/>
      <c r="AM53" s="2692"/>
      <c r="AN53" s="2692"/>
      <c r="AO53" s="2692"/>
      <c r="AP53" s="2692"/>
      <c r="AQ53" s="2692"/>
      <c r="AR53" s="2692"/>
      <c r="AS53" s="2692"/>
      <c r="AT53" s="2692"/>
      <c r="AU53" s="2692"/>
      <c r="AV53" s="2692"/>
      <c r="AW53" s="2692"/>
      <c r="AX53" s="2692"/>
      <c r="AY53" s="2692"/>
      <c r="AZ53" s="2692"/>
      <c r="BA53" s="2692"/>
      <c r="BB53" s="2692"/>
      <c r="BC53" s="2692"/>
      <c r="BD53" s="2692"/>
      <c r="BE53" s="2692"/>
      <c r="BF53" s="2692"/>
      <c r="BG53" s="2692"/>
      <c r="BH53" s="2692"/>
      <c r="BI53" s="2692"/>
      <c r="BJ53" s="2692"/>
      <c r="BK53" s="2692"/>
      <c r="BL53" s="2692"/>
      <c r="BM53" s="2692"/>
      <c r="BN53" s="2692"/>
      <c r="BO53" s="2692"/>
      <c r="BP53" s="2692"/>
      <c r="BQ53" s="2692"/>
      <c r="BR53" s="2692"/>
      <c r="BS53" s="2692"/>
      <c r="BT53" s="2692"/>
      <c r="BU53" s="2692"/>
      <c r="BV53" s="2692"/>
      <c r="BW53" s="2692"/>
      <c r="BX53" s="2692"/>
      <c r="BY53" s="2692"/>
      <c r="BZ53" s="2692"/>
      <c r="CA53" s="2692"/>
      <c r="CB53" s="2692"/>
      <c r="CC53" s="2692"/>
      <c r="CD53" s="2692"/>
      <c r="CE53" s="2692"/>
      <c r="CF53" s="2692"/>
      <c r="CG53" s="2692"/>
      <c r="CH53" s="2692"/>
      <c r="CI53" s="2692"/>
      <c r="CJ53" s="2692"/>
      <c r="CK53" s="2692"/>
      <c r="CL53" s="2692"/>
      <c r="CM53" s="2692"/>
      <c r="CN53" s="2692"/>
      <c r="CO53" s="2692"/>
      <c r="CP53" s="2692"/>
      <c r="CQ53" s="2692"/>
      <c r="CR53" s="2692"/>
      <c r="CS53" s="2692"/>
      <c r="CT53" s="2692"/>
      <c r="CU53" s="2692"/>
      <c r="CV53" s="2692"/>
      <c r="CW53" s="2692"/>
      <c r="CX53" s="2692"/>
      <c r="CY53" s="2692"/>
      <c r="CZ53" s="2692"/>
      <c r="DA53" s="2692"/>
      <c r="DB53" s="2692"/>
      <c r="DC53" s="2692"/>
      <c r="DD53" s="2692"/>
      <c r="DE53" s="2692"/>
      <c r="DF53" s="2692"/>
      <c r="DG53" s="2692"/>
      <c r="DH53" s="2692"/>
      <c r="DI53" s="2692"/>
      <c r="DJ53" s="2692"/>
      <c r="DK53" s="2692"/>
      <c r="DL53" s="2692"/>
      <c r="DM53" s="2692"/>
      <c r="DN53" s="2692"/>
      <c r="DO53" s="2692"/>
      <c r="DP53" s="2692"/>
      <c r="DQ53" s="2692"/>
      <c r="DR53" s="2692"/>
      <c r="DS53" s="2692"/>
      <c r="DT53" s="2692"/>
      <c r="DU53" s="2692"/>
      <c r="DV53" s="2692"/>
      <c r="DW53" s="2692"/>
      <c r="DX53" s="2692"/>
      <c r="DY53" s="2692"/>
      <c r="DZ53" s="2692"/>
      <c r="EA53" s="2692"/>
      <c r="EB53" s="2692"/>
      <c r="EC53" s="2692"/>
      <c r="ED53" s="2692"/>
      <c r="EE53" s="2692"/>
      <c r="EF53" s="2692"/>
      <c r="EG53" s="2692"/>
      <c r="EH53" s="2692"/>
      <c r="EI53" s="2692"/>
      <c r="EJ53" s="2692"/>
      <c r="EK53" s="2692"/>
      <c r="EL53" s="2692"/>
      <c r="EM53" s="2692"/>
      <c r="EN53" s="2692"/>
      <c r="EO53" s="2692"/>
      <c r="EP53" s="2692"/>
      <c r="EQ53" s="2692"/>
      <c r="ER53" s="2692"/>
      <c r="ES53" s="2692"/>
      <c r="ET53" s="2692"/>
      <c r="EU53" s="2692"/>
      <c r="EV53" s="2692"/>
      <c r="EW53" s="2692"/>
      <c r="EX53" s="2692"/>
      <c r="EY53" s="2692"/>
      <c r="EZ53" s="2692"/>
      <c r="FA53" s="2692"/>
      <c r="FB53" s="2692"/>
      <c r="FC53" s="2692"/>
      <c r="FD53" s="2692"/>
      <c r="FE53" s="2692"/>
      <c r="FF53" s="2692"/>
      <c r="FG53" s="2692"/>
      <c r="FH53" s="2692"/>
      <c r="FI53" s="2692"/>
      <c r="FJ53" s="2692"/>
      <c r="FK53" s="2692"/>
      <c r="FL53" s="2692"/>
      <c r="FM53" s="2692"/>
      <c r="FN53" s="2692"/>
      <c r="FO53" s="2692"/>
      <c r="FP53" s="2692"/>
      <c r="FQ53" s="2692"/>
      <c r="FR53" s="2692"/>
      <c r="FS53" s="2692"/>
      <c r="FT53" s="2692"/>
      <c r="FU53" s="2692"/>
      <c r="FV53" s="2692"/>
      <c r="FW53" s="2692"/>
      <c r="FX53" s="2692"/>
      <c r="FY53" s="2692"/>
      <c r="FZ53" s="2692"/>
      <c r="GA53" s="2692"/>
      <c r="GB53" s="2692"/>
      <c r="GC53" s="2692"/>
      <c r="GD53" s="2692"/>
      <c r="GE53" s="2692"/>
      <c r="GF53" s="2692"/>
      <c r="GG53" s="2692"/>
      <c r="GH53" s="2692"/>
      <c r="GI53" s="2692"/>
      <c r="GJ53" s="2692"/>
      <c r="GK53" s="2692"/>
      <c r="GL53" s="2692"/>
      <c r="GM53" s="2692"/>
      <c r="GN53" s="2692"/>
      <c r="GO53" s="2692"/>
      <c r="GP53" s="2692"/>
      <c r="GQ53" s="2692"/>
      <c r="GR53" s="2692"/>
      <c r="GS53" s="2692"/>
      <c r="GT53" s="2692"/>
      <c r="GU53" s="2692"/>
      <c r="GV53" s="2692"/>
      <c r="GW53" s="2692"/>
      <c r="GX53" s="2692"/>
      <c r="GY53" s="2692"/>
      <c r="GZ53" s="2692"/>
      <c r="HA53" s="2692"/>
      <c r="HB53" s="2692"/>
      <c r="HC53" s="2692"/>
      <c r="HD53" s="2692"/>
      <c r="HE53" s="2692"/>
      <c r="HF53" s="2692"/>
      <c r="HG53" s="2692"/>
      <c r="HH53" s="2692"/>
      <c r="HI53" s="2692"/>
      <c r="HJ53" s="2692"/>
      <c r="HK53" s="2692"/>
      <c r="HL53" s="2692"/>
      <c r="HM53" s="2692"/>
      <c r="HN53" s="2692"/>
      <c r="HO53" s="2692"/>
      <c r="HP53" s="2692"/>
      <c r="HQ53" s="2692"/>
      <c r="HR53" s="2692"/>
      <c r="HS53" s="2692"/>
      <c r="HT53" s="2692"/>
      <c r="HU53" s="2692"/>
      <c r="HV53" s="2692"/>
      <c r="HW53" s="2692"/>
      <c r="HX53" s="2692"/>
      <c r="HY53" s="2692"/>
      <c r="HZ53" s="2692"/>
      <c r="IA53" s="2692"/>
      <c r="IB53" s="2692"/>
      <c r="IC53" s="2692"/>
      <c r="ID53" s="2692"/>
      <c r="IE53" s="2692"/>
      <c r="IF53" s="2692"/>
      <c r="IG53" s="2692"/>
      <c r="IH53" s="2692"/>
      <c r="II53" s="2692"/>
      <c r="IJ53" s="2692"/>
      <c r="IK53" s="2692"/>
      <c r="IL53" s="2692"/>
      <c r="IM53" s="2692"/>
      <c r="IN53" s="2692"/>
      <c r="IO53" s="2692"/>
      <c r="IP53" s="2692"/>
      <c r="IQ53" s="2692"/>
      <c r="IR53" s="2692"/>
      <c r="IS53" s="2692"/>
      <c r="IT53" s="2692"/>
      <c r="IU53" s="2692"/>
      <c r="IV53" s="2692"/>
    </row>
    <row r="54" spans="1:256" s="40" customFormat="1" ht="13" x14ac:dyDescent="0.3">
      <c r="A54" s="2959"/>
      <c r="B54" s="2760"/>
      <c r="C54" s="2760"/>
      <c r="D54" s="2760"/>
      <c r="E54" s="2761"/>
      <c r="F54" s="2760"/>
      <c r="G54" s="2760"/>
      <c r="H54" s="2760"/>
      <c r="I54" s="2760"/>
      <c r="J54" s="2761"/>
      <c r="K54" s="2692"/>
      <c r="L54" s="2692"/>
      <c r="M54" s="2692"/>
      <c r="N54" s="2692"/>
      <c r="O54" s="2692"/>
      <c r="P54" s="2692"/>
      <c r="Q54" s="2692"/>
      <c r="R54" s="2692"/>
      <c r="S54" s="2692"/>
      <c r="T54" s="2692"/>
      <c r="U54" s="2692"/>
      <c r="V54" s="2692"/>
      <c r="W54" s="2692"/>
      <c r="X54" s="2692"/>
      <c r="Y54" s="2692"/>
      <c r="Z54" s="2692"/>
      <c r="AA54" s="2692"/>
      <c r="AB54" s="2692"/>
      <c r="AC54" s="2692"/>
      <c r="AD54" s="2692"/>
      <c r="AE54" s="2692"/>
      <c r="AF54" s="2692"/>
      <c r="AG54" s="2692"/>
      <c r="AH54" s="2692"/>
      <c r="AI54" s="2692"/>
      <c r="AJ54" s="2692"/>
      <c r="AK54" s="2692"/>
      <c r="AL54" s="2692"/>
      <c r="AM54" s="2692"/>
      <c r="AN54" s="2692"/>
      <c r="AO54" s="2692"/>
      <c r="AP54" s="2692"/>
      <c r="AQ54" s="2692"/>
      <c r="AR54" s="2692"/>
      <c r="AS54" s="2692"/>
      <c r="AT54" s="2692"/>
      <c r="AU54" s="2692"/>
      <c r="AV54" s="2692"/>
      <c r="AW54" s="2692"/>
      <c r="AX54" s="2692"/>
      <c r="AY54" s="2692"/>
      <c r="AZ54" s="2692"/>
      <c r="BA54" s="2692"/>
      <c r="BB54" s="2692"/>
      <c r="BC54" s="2692"/>
      <c r="BD54" s="2692"/>
      <c r="BE54" s="2692"/>
      <c r="BF54" s="2692"/>
      <c r="BG54" s="2692"/>
      <c r="BH54" s="2692"/>
      <c r="BI54" s="2692"/>
      <c r="BJ54" s="2692"/>
      <c r="BK54" s="2692"/>
      <c r="BL54" s="2692"/>
      <c r="BM54" s="2692"/>
      <c r="BN54" s="2692"/>
      <c r="BO54" s="2692"/>
      <c r="BP54" s="2692"/>
      <c r="BQ54" s="2692"/>
      <c r="BR54" s="2692"/>
      <c r="BS54" s="2692"/>
      <c r="BT54" s="2692"/>
      <c r="BU54" s="2692"/>
      <c r="BV54" s="2692"/>
      <c r="BW54" s="2692"/>
      <c r="BX54" s="2692"/>
      <c r="BY54" s="2692"/>
      <c r="BZ54" s="2692"/>
      <c r="CA54" s="2692"/>
      <c r="CB54" s="2692"/>
      <c r="CC54" s="2692"/>
      <c r="CD54" s="2692"/>
      <c r="CE54" s="2692"/>
      <c r="CF54" s="2692"/>
      <c r="CG54" s="2692"/>
      <c r="CH54" s="2692"/>
      <c r="CI54" s="2692"/>
      <c r="CJ54" s="2692"/>
      <c r="CK54" s="2692"/>
      <c r="CL54" s="2692"/>
      <c r="CM54" s="2692"/>
      <c r="CN54" s="2692"/>
      <c r="CO54" s="2692"/>
      <c r="CP54" s="2692"/>
      <c r="CQ54" s="2692"/>
      <c r="CR54" s="2692"/>
      <c r="CS54" s="2692"/>
      <c r="CT54" s="2692"/>
      <c r="CU54" s="2692"/>
      <c r="CV54" s="2692"/>
      <c r="CW54" s="2692"/>
      <c r="CX54" s="2692"/>
      <c r="CY54" s="2692"/>
      <c r="CZ54" s="2692"/>
      <c r="DA54" s="2692"/>
      <c r="DB54" s="2692"/>
      <c r="DC54" s="2692"/>
      <c r="DD54" s="2692"/>
      <c r="DE54" s="2692"/>
      <c r="DF54" s="2692"/>
      <c r="DG54" s="2692"/>
      <c r="DH54" s="2692"/>
      <c r="DI54" s="2692"/>
      <c r="DJ54" s="2692"/>
      <c r="DK54" s="2692"/>
      <c r="DL54" s="2692"/>
      <c r="DM54" s="2692"/>
      <c r="DN54" s="2692"/>
      <c r="DO54" s="2692"/>
      <c r="DP54" s="2692"/>
      <c r="DQ54" s="2692"/>
      <c r="DR54" s="2692"/>
      <c r="DS54" s="2692"/>
      <c r="DT54" s="2692"/>
      <c r="DU54" s="2692"/>
      <c r="DV54" s="2692"/>
      <c r="DW54" s="2692"/>
      <c r="DX54" s="2692"/>
      <c r="DY54" s="2692"/>
      <c r="DZ54" s="2692"/>
      <c r="EA54" s="2692"/>
      <c r="EB54" s="2692"/>
      <c r="EC54" s="2692"/>
      <c r="ED54" s="2692"/>
      <c r="EE54" s="2692"/>
      <c r="EF54" s="2692"/>
      <c r="EG54" s="2692"/>
      <c r="EH54" s="2692"/>
      <c r="EI54" s="2692"/>
      <c r="EJ54" s="2692"/>
      <c r="EK54" s="2692"/>
      <c r="EL54" s="2692"/>
      <c r="EM54" s="2692"/>
      <c r="EN54" s="2692"/>
      <c r="EO54" s="2692"/>
      <c r="EP54" s="2692"/>
      <c r="EQ54" s="2692"/>
      <c r="ER54" s="2692"/>
      <c r="ES54" s="2692"/>
      <c r="ET54" s="2692"/>
      <c r="EU54" s="2692"/>
      <c r="EV54" s="2692"/>
      <c r="EW54" s="2692"/>
      <c r="EX54" s="2692"/>
      <c r="EY54" s="2692"/>
      <c r="EZ54" s="2692"/>
      <c r="FA54" s="2692"/>
      <c r="FB54" s="2692"/>
      <c r="FC54" s="2692"/>
      <c r="FD54" s="2692"/>
      <c r="FE54" s="2692"/>
      <c r="FF54" s="2692"/>
      <c r="FG54" s="2692"/>
      <c r="FH54" s="2692"/>
      <c r="FI54" s="2692"/>
      <c r="FJ54" s="2692"/>
      <c r="FK54" s="2692"/>
      <c r="FL54" s="2692"/>
      <c r="FM54" s="2692"/>
      <c r="FN54" s="2692"/>
      <c r="FO54" s="2692"/>
      <c r="FP54" s="2692"/>
      <c r="FQ54" s="2692"/>
      <c r="FR54" s="2692"/>
      <c r="FS54" s="2692"/>
      <c r="FT54" s="2692"/>
      <c r="FU54" s="2692"/>
      <c r="FV54" s="2692"/>
      <c r="FW54" s="2692"/>
      <c r="FX54" s="2692"/>
      <c r="FY54" s="2692"/>
      <c r="FZ54" s="2692"/>
      <c r="GA54" s="2692"/>
      <c r="GB54" s="2692"/>
      <c r="GC54" s="2692"/>
      <c r="GD54" s="2692"/>
      <c r="GE54" s="2692"/>
      <c r="GF54" s="2692"/>
      <c r="GG54" s="2692"/>
      <c r="GH54" s="2692"/>
      <c r="GI54" s="2692"/>
      <c r="GJ54" s="2692"/>
      <c r="GK54" s="2692"/>
      <c r="GL54" s="2692"/>
      <c r="GM54" s="2692"/>
      <c r="GN54" s="2692"/>
      <c r="GO54" s="2692"/>
      <c r="GP54" s="2692"/>
      <c r="GQ54" s="2692"/>
      <c r="GR54" s="2692"/>
      <c r="GS54" s="2692"/>
      <c r="GT54" s="2692"/>
      <c r="GU54" s="2692"/>
      <c r="GV54" s="2692"/>
      <c r="GW54" s="2692"/>
      <c r="GX54" s="2692"/>
      <c r="GY54" s="2692"/>
      <c r="GZ54" s="2692"/>
      <c r="HA54" s="2692"/>
      <c r="HB54" s="2692"/>
      <c r="HC54" s="2692"/>
      <c r="HD54" s="2692"/>
      <c r="HE54" s="2692"/>
      <c r="HF54" s="2692"/>
      <c r="HG54" s="2692"/>
      <c r="HH54" s="2692"/>
      <c r="HI54" s="2692"/>
      <c r="HJ54" s="2692"/>
      <c r="HK54" s="2692"/>
      <c r="HL54" s="2692"/>
      <c r="HM54" s="2692"/>
      <c r="HN54" s="2692"/>
      <c r="HO54" s="2692"/>
      <c r="HP54" s="2692"/>
      <c r="HQ54" s="2692"/>
      <c r="HR54" s="2692"/>
      <c r="HS54" s="2692"/>
      <c r="HT54" s="2692"/>
      <c r="HU54" s="2692"/>
      <c r="HV54" s="2692"/>
      <c r="HW54" s="2692"/>
      <c r="HX54" s="2692"/>
      <c r="HY54" s="2692"/>
      <c r="HZ54" s="2692"/>
      <c r="IA54" s="2692"/>
      <c r="IB54" s="2692"/>
      <c r="IC54" s="2692"/>
      <c r="ID54" s="2692"/>
      <c r="IE54" s="2692"/>
      <c r="IF54" s="2692"/>
      <c r="IG54" s="2692"/>
      <c r="IH54" s="2692"/>
      <c r="II54" s="2692"/>
      <c r="IJ54" s="2692"/>
      <c r="IK54" s="2692"/>
      <c r="IL54" s="2692"/>
      <c r="IM54" s="2692"/>
      <c r="IN54" s="2692"/>
      <c r="IO54" s="2692"/>
      <c r="IP54" s="2692"/>
      <c r="IQ54" s="2692"/>
      <c r="IR54" s="2692"/>
      <c r="IS54" s="2692"/>
      <c r="IT54" s="2692"/>
      <c r="IU54" s="2692"/>
      <c r="IV54" s="2692"/>
    </row>
    <row r="55" spans="1:256" s="40" customFormat="1" ht="24.75" customHeight="1" x14ac:dyDescent="0.25">
      <c r="A55" s="3397"/>
      <c r="B55" s="3398"/>
      <c r="C55" s="3398"/>
      <c r="D55" s="3398"/>
      <c r="E55" s="3399"/>
      <c r="F55" s="2760"/>
      <c r="G55" s="2760"/>
      <c r="H55" s="2760"/>
      <c r="I55" s="2760"/>
      <c r="J55" s="2761"/>
      <c r="K55" s="2692"/>
      <c r="L55" s="2692"/>
      <c r="M55" s="2692"/>
      <c r="N55" s="2692"/>
      <c r="O55" s="2692"/>
      <c r="P55" s="2692"/>
      <c r="Q55" s="2692"/>
      <c r="R55" s="2692"/>
      <c r="S55" s="2692"/>
      <c r="T55" s="2692"/>
      <c r="U55" s="2692"/>
      <c r="V55" s="2692"/>
      <c r="W55" s="2692"/>
      <c r="X55" s="2692"/>
      <c r="Y55" s="2692"/>
      <c r="Z55" s="2692"/>
      <c r="AA55" s="2692"/>
      <c r="AB55" s="2692"/>
      <c r="AC55" s="2692"/>
      <c r="AD55" s="2692"/>
      <c r="AE55" s="2692"/>
      <c r="AF55" s="2692"/>
      <c r="AG55" s="2692"/>
      <c r="AH55" s="2692"/>
      <c r="AI55" s="2692"/>
      <c r="AJ55" s="2692"/>
      <c r="AK55" s="2692"/>
      <c r="AL55" s="2692"/>
      <c r="AM55" s="2692"/>
      <c r="AN55" s="2692"/>
      <c r="AO55" s="2692"/>
      <c r="AP55" s="2692"/>
      <c r="AQ55" s="2692"/>
      <c r="AR55" s="2692"/>
      <c r="AS55" s="2692"/>
      <c r="AT55" s="2692"/>
      <c r="AU55" s="2692"/>
      <c r="AV55" s="2692"/>
      <c r="AW55" s="2692"/>
      <c r="AX55" s="2692"/>
      <c r="AY55" s="2692"/>
      <c r="AZ55" s="2692"/>
      <c r="BA55" s="2692"/>
      <c r="BB55" s="2692"/>
      <c r="BC55" s="2692"/>
      <c r="BD55" s="2692"/>
      <c r="BE55" s="2692"/>
      <c r="BF55" s="2692"/>
      <c r="BG55" s="2692"/>
      <c r="BH55" s="2692"/>
      <c r="BI55" s="2692"/>
      <c r="BJ55" s="2692"/>
      <c r="BK55" s="2692"/>
      <c r="BL55" s="2692"/>
      <c r="BM55" s="2692"/>
      <c r="BN55" s="2692"/>
      <c r="BO55" s="2692"/>
      <c r="BP55" s="2692"/>
      <c r="BQ55" s="2692"/>
      <c r="BR55" s="2692"/>
      <c r="BS55" s="2692"/>
      <c r="BT55" s="2692"/>
      <c r="BU55" s="2692"/>
      <c r="BV55" s="2692"/>
      <c r="BW55" s="2692"/>
      <c r="BX55" s="2692"/>
      <c r="BY55" s="2692"/>
      <c r="BZ55" s="2692"/>
      <c r="CA55" s="2692"/>
      <c r="CB55" s="2692"/>
      <c r="CC55" s="2692"/>
      <c r="CD55" s="2692"/>
      <c r="CE55" s="2692"/>
      <c r="CF55" s="2692"/>
      <c r="CG55" s="2692"/>
      <c r="CH55" s="2692"/>
      <c r="CI55" s="2692"/>
      <c r="CJ55" s="2692"/>
      <c r="CK55" s="2692"/>
      <c r="CL55" s="2692"/>
      <c r="CM55" s="2692"/>
      <c r="CN55" s="2692"/>
      <c r="CO55" s="2692"/>
      <c r="CP55" s="2692"/>
      <c r="CQ55" s="2692"/>
      <c r="CR55" s="2692"/>
      <c r="CS55" s="2692"/>
      <c r="CT55" s="2692"/>
      <c r="CU55" s="2692"/>
      <c r="CV55" s="2692"/>
      <c r="CW55" s="2692"/>
      <c r="CX55" s="2692"/>
      <c r="CY55" s="2692"/>
      <c r="CZ55" s="2692"/>
      <c r="DA55" s="2692"/>
      <c r="DB55" s="2692"/>
      <c r="DC55" s="2692"/>
      <c r="DD55" s="2692"/>
      <c r="DE55" s="2692"/>
      <c r="DF55" s="2692"/>
      <c r="DG55" s="2692"/>
      <c r="DH55" s="2692"/>
      <c r="DI55" s="2692"/>
      <c r="DJ55" s="2692"/>
      <c r="DK55" s="2692"/>
      <c r="DL55" s="2692"/>
      <c r="DM55" s="2692"/>
      <c r="DN55" s="2692"/>
      <c r="DO55" s="2692"/>
      <c r="DP55" s="2692"/>
      <c r="DQ55" s="2692"/>
      <c r="DR55" s="2692"/>
      <c r="DS55" s="2692"/>
      <c r="DT55" s="2692"/>
      <c r="DU55" s="2692"/>
      <c r="DV55" s="2692"/>
      <c r="DW55" s="2692"/>
      <c r="DX55" s="2692"/>
      <c r="DY55" s="2692"/>
      <c r="DZ55" s="2692"/>
      <c r="EA55" s="2692"/>
      <c r="EB55" s="2692"/>
      <c r="EC55" s="2692"/>
      <c r="ED55" s="2692"/>
      <c r="EE55" s="2692"/>
      <c r="EF55" s="2692"/>
      <c r="EG55" s="2692"/>
      <c r="EH55" s="2692"/>
      <c r="EI55" s="2692"/>
      <c r="EJ55" s="2692"/>
      <c r="EK55" s="2692"/>
      <c r="EL55" s="2692"/>
      <c r="EM55" s="2692"/>
      <c r="EN55" s="2692"/>
      <c r="EO55" s="2692"/>
      <c r="EP55" s="2692"/>
      <c r="EQ55" s="2692"/>
      <c r="ER55" s="2692"/>
      <c r="ES55" s="2692"/>
      <c r="ET55" s="2692"/>
      <c r="EU55" s="2692"/>
      <c r="EV55" s="2692"/>
      <c r="EW55" s="2692"/>
      <c r="EX55" s="2692"/>
      <c r="EY55" s="2692"/>
      <c r="EZ55" s="2692"/>
      <c r="FA55" s="2692"/>
      <c r="FB55" s="2692"/>
      <c r="FC55" s="2692"/>
      <c r="FD55" s="2692"/>
      <c r="FE55" s="2692"/>
      <c r="FF55" s="2692"/>
      <c r="FG55" s="2692"/>
      <c r="FH55" s="2692"/>
      <c r="FI55" s="2692"/>
      <c r="FJ55" s="2692"/>
      <c r="FK55" s="2692"/>
      <c r="FL55" s="2692"/>
      <c r="FM55" s="2692"/>
      <c r="FN55" s="2692"/>
      <c r="FO55" s="2692"/>
      <c r="FP55" s="2692"/>
      <c r="FQ55" s="2692"/>
      <c r="FR55" s="2692"/>
      <c r="FS55" s="2692"/>
      <c r="FT55" s="2692"/>
      <c r="FU55" s="2692"/>
      <c r="FV55" s="2692"/>
      <c r="FW55" s="2692"/>
      <c r="FX55" s="2692"/>
      <c r="FY55" s="2692"/>
      <c r="FZ55" s="2692"/>
      <c r="GA55" s="2692"/>
      <c r="GB55" s="2692"/>
      <c r="GC55" s="2692"/>
      <c r="GD55" s="2692"/>
      <c r="GE55" s="2692"/>
      <c r="GF55" s="2692"/>
      <c r="GG55" s="2692"/>
      <c r="GH55" s="2692"/>
      <c r="GI55" s="2692"/>
      <c r="GJ55" s="2692"/>
      <c r="GK55" s="2692"/>
      <c r="GL55" s="2692"/>
      <c r="GM55" s="2692"/>
      <c r="GN55" s="2692"/>
      <c r="GO55" s="2692"/>
      <c r="GP55" s="2692"/>
      <c r="GQ55" s="2692"/>
      <c r="GR55" s="2692"/>
      <c r="GS55" s="2692"/>
      <c r="GT55" s="2692"/>
      <c r="GU55" s="2692"/>
      <c r="GV55" s="2692"/>
      <c r="GW55" s="2692"/>
      <c r="GX55" s="2692"/>
      <c r="GY55" s="2692"/>
      <c r="GZ55" s="2692"/>
      <c r="HA55" s="2692"/>
      <c r="HB55" s="2692"/>
      <c r="HC55" s="2692"/>
      <c r="HD55" s="2692"/>
      <c r="HE55" s="2692"/>
      <c r="HF55" s="2692"/>
      <c r="HG55" s="2692"/>
      <c r="HH55" s="2692"/>
      <c r="HI55" s="2692"/>
      <c r="HJ55" s="2692"/>
      <c r="HK55" s="2692"/>
      <c r="HL55" s="2692"/>
      <c r="HM55" s="2692"/>
      <c r="HN55" s="2692"/>
      <c r="HO55" s="2692"/>
      <c r="HP55" s="2692"/>
      <c r="HQ55" s="2692"/>
      <c r="HR55" s="2692"/>
      <c r="HS55" s="2692"/>
      <c r="HT55" s="2692"/>
      <c r="HU55" s="2692"/>
      <c r="HV55" s="2692"/>
      <c r="HW55" s="2692"/>
      <c r="HX55" s="2692"/>
      <c r="HY55" s="2692"/>
      <c r="HZ55" s="2692"/>
      <c r="IA55" s="2692"/>
      <c r="IB55" s="2692"/>
      <c r="IC55" s="2692"/>
      <c r="ID55" s="2692"/>
      <c r="IE55" s="2692"/>
      <c r="IF55" s="2692"/>
      <c r="IG55" s="2692"/>
      <c r="IH55" s="2692"/>
      <c r="II55" s="2692"/>
      <c r="IJ55" s="2692"/>
      <c r="IK55" s="2692"/>
      <c r="IL55" s="2692"/>
      <c r="IM55" s="2692"/>
      <c r="IN55" s="2692"/>
      <c r="IO55" s="2692"/>
      <c r="IP55" s="2692"/>
      <c r="IQ55" s="2692"/>
      <c r="IR55" s="2692"/>
      <c r="IS55" s="2692"/>
      <c r="IT55" s="2692"/>
      <c r="IU55" s="2692"/>
      <c r="IV55" s="2692"/>
    </row>
    <row r="56" spans="1:256" s="40" customFormat="1" ht="12.5" x14ac:dyDescent="0.25">
      <c r="A56" s="2960"/>
      <c r="B56" s="2760"/>
      <c r="C56" s="2760"/>
      <c r="D56" s="2760"/>
      <c r="E56" s="2761"/>
      <c r="F56" s="2760"/>
      <c r="G56" s="2760"/>
      <c r="H56" s="2760"/>
      <c r="I56" s="2760"/>
      <c r="J56" s="2761"/>
      <c r="K56" s="2692"/>
      <c r="L56" s="2692"/>
      <c r="M56" s="2692"/>
      <c r="N56" s="2692"/>
      <c r="O56" s="2692"/>
      <c r="P56" s="2692"/>
      <c r="Q56" s="2692"/>
      <c r="R56" s="2692"/>
      <c r="S56" s="2692"/>
      <c r="T56" s="2692"/>
      <c r="U56" s="2692"/>
      <c r="V56" s="2692"/>
      <c r="W56" s="2692"/>
      <c r="X56" s="2692"/>
      <c r="Y56" s="2692"/>
      <c r="Z56" s="2692"/>
      <c r="AA56" s="2692"/>
      <c r="AB56" s="2692"/>
      <c r="AC56" s="2692"/>
      <c r="AD56" s="2692"/>
      <c r="AE56" s="2692"/>
      <c r="AF56" s="2692"/>
      <c r="AG56" s="2692"/>
      <c r="AH56" s="2692"/>
      <c r="AI56" s="2692"/>
      <c r="AJ56" s="2692"/>
      <c r="AK56" s="2692"/>
      <c r="AL56" s="2692"/>
      <c r="AM56" s="2692"/>
      <c r="AN56" s="2692"/>
      <c r="AO56" s="2692"/>
      <c r="AP56" s="2692"/>
      <c r="AQ56" s="2692"/>
      <c r="AR56" s="2692"/>
      <c r="AS56" s="2692"/>
      <c r="AT56" s="2692"/>
      <c r="AU56" s="2692"/>
      <c r="AV56" s="2692"/>
      <c r="AW56" s="2692"/>
      <c r="AX56" s="2692"/>
      <c r="AY56" s="2692"/>
      <c r="AZ56" s="2692"/>
      <c r="BA56" s="2692"/>
      <c r="BB56" s="2692"/>
      <c r="BC56" s="2692"/>
      <c r="BD56" s="2692"/>
      <c r="BE56" s="2692"/>
      <c r="BF56" s="2692"/>
      <c r="BG56" s="2692"/>
      <c r="BH56" s="2692"/>
      <c r="BI56" s="2692"/>
      <c r="BJ56" s="2692"/>
      <c r="BK56" s="2692"/>
      <c r="BL56" s="2692"/>
      <c r="BM56" s="2692"/>
      <c r="BN56" s="2692"/>
      <c r="BO56" s="2692"/>
      <c r="BP56" s="2692"/>
      <c r="BQ56" s="2692"/>
      <c r="BR56" s="2692"/>
      <c r="BS56" s="2692"/>
      <c r="BT56" s="2692"/>
      <c r="BU56" s="2692"/>
      <c r="BV56" s="2692"/>
      <c r="BW56" s="2692"/>
      <c r="BX56" s="2692"/>
      <c r="BY56" s="2692"/>
      <c r="BZ56" s="2692"/>
      <c r="CA56" s="2692"/>
      <c r="CB56" s="2692"/>
      <c r="CC56" s="2692"/>
      <c r="CD56" s="2692"/>
      <c r="CE56" s="2692"/>
      <c r="CF56" s="2692"/>
      <c r="CG56" s="2692"/>
      <c r="CH56" s="2692"/>
      <c r="CI56" s="2692"/>
      <c r="CJ56" s="2692"/>
      <c r="CK56" s="2692"/>
      <c r="CL56" s="2692"/>
      <c r="CM56" s="2692"/>
      <c r="CN56" s="2692"/>
      <c r="CO56" s="2692"/>
      <c r="CP56" s="2692"/>
      <c r="CQ56" s="2692"/>
      <c r="CR56" s="2692"/>
      <c r="CS56" s="2692"/>
      <c r="CT56" s="2692"/>
      <c r="CU56" s="2692"/>
      <c r="CV56" s="2692"/>
      <c r="CW56" s="2692"/>
      <c r="CX56" s="2692"/>
      <c r="CY56" s="2692"/>
      <c r="CZ56" s="2692"/>
      <c r="DA56" s="2692"/>
      <c r="DB56" s="2692"/>
      <c r="DC56" s="2692"/>
      <c r="DD56" s="2692"/>
      <c r="DE56" s="2692"/>
      <c r="DF56" s="2692"/>
      <c r="DG56" s="2692"/>
      <c r="DH56" s="2692"/>
      <c r="DI56" s="2692"/>
      <c r="DJ56" s="2692"/>
      <c r="DK56" s="2692"/>
      <c r="DL56" s="2692"/>
      <c r="DM56" s="2692"/>
      <c r="DN56" s="2692"/>
      <c r="DO56" s="2692"/>
      <c r="DP56" s="2692"/>
      <c r="DQ56" s="2692"/>
      <c r="DR56" s="2692"/>
      <c r="DS56" s="2692"/>
      <c r="DT56" s="2692"/>
      <c r="DU56" s="2692"/>
      <c r="DV56" s="2692"/>
      <c r="DW56" s="2692"/>
      <c r="DX56" s="2692"/>
      <c r="DY56" s="2692"/>
      <c r="DZ56" s="2692"/>
      <c r="EA56" s="2692"/>
      <c r="EB56" s="2692"/>
      <c r="EC56" s="2692"/>
      <c r="ED56" s="2692"/>
      <c r="EE56" s="2692"/>
      <c r="EF56" s="2692"/>
      <c r="EG56" s="2692"/>
      <c r="EH56" s="2692"/>
      <c r="EI56" s="2692"/>
      <c r="EJ56" s="2692"/>
      <c r="EK56" s="2692"/>
      <c r="EL56" s="2692"/>
      <c r="EM56" s="2692"/>
      <c r="EN56" s="2692"/>
      <c r="EO56" s="2692"/>
      <c r="EP56" s="2692"/>
      <c r="EQ56" s="2692"/>
      <c r="ER56" s="2692"/>
      <c r="ES56" s="2692"/>
      <c r="ET56" s="2692"/>
      <c r="EU56" s="2692"/>
      <c r="EV56" s="2692"/>
      <c r="EW56" s="2692"/>
      <c r="EX56" s="2692"/>
      <c r="EY56" s="2692"/>
      <c r="EZ56" s="2692"/>
      <c r="FA56" s="2692"/>
      <c r="FB56" s="2692"/>
      <c r="FC56" s="2692"/>
      <c r="FD56" s="2692"/>
      <c r="FE56" s="2692"/>
      <c r="FF56" s="2692"/>
      <c r="FG56" s="2692"/>
      <c r="FH56" s="2692"/>
      <c r="FI56" s="2692"/>
      <c r="FJ56" s="2692"/>
      <c r="FK56" s="2692"/>
      <c r="FL56" s="2692"/>
      <c r="FM56" s="2692"/>
      <c r="FN56" s="2692"/>
      <c r="FO56" s="2692"/>
      <c r="FP56" s="2692"/>
      <c r="FQ56" s="2692"/>
      <c r="FR56" s="2692"/>
      <c r="FS56" s="2692"/>
      <c r="FT56" s="2692"/>
      <c r="FU56" s="2692"/>
      <c r="FV56" s="2692"/>
      <c r="FW56" s="2692"/>
      <c r="FX56" s="2692"/>
      <c r="FY56" s="2692"/>
      <c r="FZ56" s="2692"/>
      <c r="GA56" s="2692"/>
      <c r="GB56" s="2692"/>
      <c r="GC56" s="2692"/>
      <c r="GD56" s="2692"/>
      <c r="GE56" s="2692"/>
      <c r="GF56" s="2692"/>
      <c r="GG56" s="2692"/>
      <c r="GH56" s="2692"/>
      <c r="GI56" s="2692"/>
      <c r="GJ56" s="2692"/>
      <c r="GK56" s="2692"/>
      <c r="GL56" s="2692"/>
      <c r="GM56" s="2692"/>
      <c r="GN56" s="2692"/>
      <c r="GO56" s="2692"/>
      <c r="GP56" s="2692"/>
      <c r="GQ56" s="2692"/>
      <c r="GR56" s="2692"/>
      <c r="GS56" s="2692"/>
      <c r="GT56" s="2692"/>
      <c r="GU56" s="2692"/>
      <c r="GV56" s="2692"/>
      <c r="GW56" s="2692"/>
      <c r="GX56" s="2692"/>
      <c r="GY56" s="2692"/>
      <c r="GZ56" s="2692"/>
      <c r="HA56" s="2692"/>
      <c r="HB56" s="2692"/>
      <c r="HC56" s="2692"/>
      <c r="HD56" s="2692"/>
      <c r="HE56" s="2692"/>
      <c r="HF56" s="2692"/>
      <c r="HG56" s="2692"/>
      <c r="HH56" s="2692"/>
      <c r="HI56" s="2692"/>
      <c r="HJ56" s="2692"/>
      <c r="HK56" s="2692"/>
      <c r="HL56" s="2692"/>
      <c r="HM56" s="2692"/>
      <c r="HN56" s="2692"/>
      <c r="HO56" s="2692"/>
      <c r="HP56" s="2692"/>
      <c r="HQ56" s="2692"/>
      <c r="HR56" s="2692"/>
      <c r="HS56" s="2692"/>
      <c r="HT56" s="2692"/>
      <c r="HU56" s="2692"/>
      <c r="HV56" s="2692"/>
      <c r="HW56" s="2692"/>
      <c r="HX56" s="2692"/>
      <c r="HY56" s="2692"/>
      <c r="HZ56" s="2692"/>
      <c r="IA56" s="2692"/>
      <c r="IB56" s="2692"/>
      <c r="IC56" s="2692"/>
      <c r="ID56" s="2692"/>
      <c r="IE56" s="2692"/>
      <c r="IF56" s="2692"/>
      <c r="IG56" s="2692"/>
      <c r="IH56" s="2692"/>
      <c r="II56" s="2692"/>
      <c r="IJ56" s="2692"/>
      <c r="IK56" s="2692"/>
      <c r="IL56" s="2692"/>
      <c r="IM56" s="2692"/>
      <c r="IN56" s="2692"/>
      <c r="IO56" s="2692"/>
      <c r="IP56" s="2692"/>
      <c r="IQ56" s="2692"/>
      <c r="IR56" s="2692"/>
      <c r="IS56" s="2692"/>
      <c r="IT56" s="2692"/>
      <c r="IU56" s="2692"/>
      <c r="IV56" s="2692"/>
    </row>
    <row r="57" spans="1:256" s="40" customFormat="1" ht="12.5" x14ac:dyDescent="0.25">
      <c r="A57" s="2960"/>
      <c r="B57" s="2760"/>
      <c r="C57" s="2760"/>
      <c r="D57" s="2760"/>
      <c r="E57" s="2761"/>
      <c r="F57" s="2760"/>
      <c r="G57" s="2760"/>
      <c r="H57" s="2760"/>
      <c r="I57" s="2760"/>
      <c r="J57" s="2761"/>
      <c r="K57" s="2692"/>
      <c r="L57" s="2692"/>
      <c r="M57" s="2692"/>
      <c r="N57" s="2692"/>
      <c r="O57" s="2692"/>
      <c r="P57" s="2692"/>
      <c r="Q57" s="2692"/>
      <c r="R57" s="2692"/>
      <c r="S57" s="2692"/>
      <c r="T57" s="2692"/>
      <c r="U57" s="2692"/>
      <c r="V57" s="2692"/>
      <c r="W57" s="2692"/>
      <c r="X57" s="2692"/>
      <c r="Y57" s="2692"/>
      <c r="Z57" s="2692"/>
      <c r="AA57" s="2692"/>
      <c r="AB57" s="2692"/>
      <c r="AC57" s="2692"/>
      <c r="AD57" s="2692"/>
      <c r="AE57" s="2692"/>
      <c r="AF57" s="2692"/>
      <c r="AG57" s="2692"/>
      <c r="AH57" s="2692"/>
      <c r="AI57" s="2692"/>
      <c r="AJ57" s="2692"/>
      <c r="AK57" s="2692"/>
      <c r="AL57" s="2692"/>
      <c r="AM57" s="2692"/>
      <c r="AN57" s="2692"/>
      <c r="AO57" s="2692"/>
      <c r="AP57" s="2692"/>
      <c r="AQ57" s="2692"/>
      <c r="AR57" s="2692"/>
      <c r="AS57" s="2692"/>
      <c r="AT57" s="2692"/>
      <c r="AU57" s="2692"/>
      <c r="AV57" s="2692"/>
      <c r="AW57" s="2692"/>
      <c r="AX57" s="2692"/>
      <c r="AY57" s="2692"/>
      <c r="AZ57" s="2692"/>
      <c r="BA57" s="2692"/>
      <c r="BB57" s="2692"/>
      <c r="BC57" s="2692"/>
      <c r="BD57" s="2692"/>
      <c r="BE57" s="2692"/>
      <c r="BF57" s="2692"/>
      <c r="BG57" s="2692"/>
      <c r="BH57" s="2692"/>
      <c r="BI57" s="2692"/>
      <c r="BJ57" s="2692"/>
      <c r="BK57" s="2692"/>
      <c r="BL57" s="2692"/>
      <c r="BM57" s="2692"/>
      <c r="BN57" s="2692"/>
      <c r="BO57" s="2692"/>
      <c r="BP57" s="2692"/>
      <c r="BQ57" s="2692"/>
      <c r="BR57" s="2692"/>
      <c r="BS57" s="2692"/>
      <c r="BT57" s="2692"/>
      <c r="BU57" s="2692"/>
      <c r="BV57" s="2692"/>
      <c r="BW57" s="2692"/>
      <c r="BX57" s="2692"/>
      <c r="BY57" s="2692"/>
      <c r="BZ57" s="2692"/>
      <c r="CA57" s="2692"/>
      <c r="CB57" s="2692"/>
      <c r="CC57" s="2692"/>
      <c r="CD57" s="2692"/>
      <c r="CE57" s="2692"/>
      <c r="CF57" s="2692"/>
      <c r="CG57" s="2692"/>
      <c r="CH57" s="2692"/>
      <c r="CI57" s="2692"/>
      <c r="CJ57" s="2692"/>
      <c r="CK57" s="2692"/>
      <c r="CL57" s="2692"/>
      <c r="CM57" s="2692"/>
      <c r="CN57" s="2692"/>
      <c r="CO57" s="2692"/>
      <c r="CP57" s="2692"/>
      <c r="CQ57" s="2692"/>
      <c r="CR57" s="2692"/>
      <c r="CS57" s="2692"/>
      <c r="CT57" s="2692"/>
      <c r="CU57" s="2692"/>
      <c r="CV57" s="2692"/>
      <c r="CW57" s="2692"/>
      <c r="CX57" s="2692"/>
      <c r="CY57" s="2692"/>
      <c r="CZ57" s="2692"/>
      <c r="DA57" s="2692"/>
      <c r="DB57" s="2692"/>
      <c r="DC57" s="2692"/>
      <c r="DD57" s="2692"/>
      <c r="DE57" s="2692"/>
      <c r="DF57" s="2692"/>
      <c r="DG57" s="2692"/>
      <c r="DH57" s="2692"/>
      <c r="DI57" s="2692"/>
      <c r="DJ57" s="2692"/>
      <c r="DK57" s="2692"/>
      <c r="DL57" s="2692"/>
      <c r="DM57" s="2692"/>
      <c r="DN57" s="2692"/>
      <c r="DO57" s="2692"/>
      <c r="DP57" s="2692"/>
      <c r="DQ57" s="2692"/>
      <c r="DR57" s="2692"/>
      <c r="DS57" s="2692"/>
      <c r="DT57" s="2692"/>
      <c r="DU57" s="2692"/>
      <c r="DV57" s="2692"/>
      <c r="DW57" s="2692"/>
      <c r="DX57" s="2692"/>
      <c r="DY57" s="2692"/>
      <c r="DZ57" s="2692"/>
      <c r="EA57" s="2692"/>
      <c r="EB57" s="2692"/>
      <c r="EC57" s="2692"/>
      <c r="ED57" s="2692"/>
      <c r="EE57" s="2692"/>
      <c r="EF57" s="2692"/>
      <c r="EG57" s="2692"/>
      <c r="EH57" s="2692"/>
      <c r="EI57" s="2692"/>
      <c r="EJ57" s="2692"/>
      <c r="EK57" s="2692"/>
      <c r="EL57" s="2692"/>
      <c r="EM57" s="2692"/>
      <c r="EN57" s="2692"/>
      <c r="EO57" s="2692"/>
      <c r="EP57" s="2692"/>
      <c r="EQ57" s="2692"/>
      <c r="ER57" s="2692"/>
      <c r="ES57" s="2692"/>
      <c r="ET57" s="2692"/>
      <c r="EU57" s="2692"/>
      <c r="EV57" s="2692"/>
      <c r="EW57" s="2692"/>
      <c r="EX57" s="2692"/>
      <c r="EY57" s="2692"/>
      <c r="EZ57" s="2692"/>
      <c r="FA57" s="2692"/>
      <c r="FB57" s="2692"/>
      <c r="FC57" s="2692"/>
      <c r="FD57" s="2692"/>
      <c r="FE57" s="2692"/>
      <c r="FF57" s="2692"/>
      <c r="FG57" s="2692"/>
      <c r="FH57" s="2692"/>
      <c r="FI57" s="2692"/>
      <c r="FJ57" s="2692"/>
      <c r="FK57" s="2692"/>
      <c r="FL57" s="2692"/>
      <c r="FM57" s="2692"/>
      <c r="FN57" s="2692"/>
      <c r="FO57" s="2692"/>
      <c r="FP57" s="2692"/>
      <c r="FQ57" s="2692"/>
      <c r="FR57" s="2692"/>
      <c r="FS57" s="2692"/>
      <c r="FT57" s="2692"/>
      <c r="FU57" s="2692"/>
      <c r="FV57" s="2692"/>
      <c r="FW57" s="2692"/>
      <c r="FX57" s="2692"/>
      <c r="FY57" s="2692"/>
      <c r="FZ57" s="2692"/>
      <c r="GA57" s="2692"/>
      <c r="GB57" s="2692"/>
      <c r="GC57" s="2692"/>
      <c r="GD57" s="2692"/>
      <c r="GE57" s="2692"/>
      <c r="GF57" s="2692"/>
      <c r="GG57" s="2692"/>
      <c r="GH57" s="2692"/>
      <c r="GI57" s="2692"/>
      <c r="GJ57" s="2692"/>
      <c r="GK57" s="2692"/>
      <c r="GL57" s="2692"/>
      <c r="GM57" s="2692"/>
      <c r="GN57" s="2692"/>
      <c r="GO57" s="2692"/>
      <c r="GP57" s="2692"/>
      <c r="GQ57" s="2692"/>
      <c r="GR57" s="2692"/>
      <c r="GS57" s="2692"/>
      <c r="GT57" s="2692"/>
      <c r="GU57" s="2692"/>
      <c r="GV57" s="2692"/>
      <c r="GW57" s="2692"/>
      <c r="GX57" s="2692"/>
      <c r="GY57" s="2692"/>
      <c r="GZ57" s="2692"/>
      <c r="HA57" s="2692"/>
      <c r="HB57" s="2692"/>
      <c r="HC57" s="2692"/>
      <c r="HD57" s="2692"/>
      <c r="HE57" s="2692"/>
      <c r="HF57" s="2692"/>
      <c r="HG57" s="2692"/>
      <c r="HH57" s="2692"/>
      <c r="HI57" s="2692"/>
      <c r="HJ57" s="2692"/>
      <c r="HK57" s="2692"/>
      <c r="HL57" s="2692"/>
      <c r="HM57" s="2692"/>
      <c r="HN57" s="2692"/>
      <c r="HO57" s="2692"/>
      <c r="HP57" s="2692"/>
      <c r="HQ57" s="2692"/>
      <c r="HR57" s="2692"/>
      <c r="HS57" s="2692"/>
      <c r="HT57" s="2692"/>
      <c r="HU57" s="2692"/>
      <c r="HV57" s="2692"/>
      <c r="HW57" s="2692"/>
      <c r="HX57" s="2692"/>
      <c r="HY57" s="2692"/>
      <c r="HZ57" s="2692"/>
      <c r="IA57" s="2692"/>
      <c r="IB57" s="2692"/>
      <c r="IC57" s="2692"/>
      <c r="ID57" s="2692"/>
      <c r="IE57" s="2692"/>
      <c r="IF57" s="2692"/>
      <c r="IG57" s="2692"/>
      <c r="IH57" s="2692"/>
      <c r="II57" s="2692"/>
      <c r="IJ57" s="2692"/>
      <c r="IK57" s="2692"/>
      <c r="IL57" s="2692"/>
      <c r="IM57" s="2692"/>
      <c r="IN57" s="2692"/>
      <c r="IO57" s="2692"/>
      <c r="IP57" s="2692"/>
      <c r="IQ57" s="2692"/>
      <c r="IR57" s="2692"/>
      <c r="IS57" s="2692"/>
      <c r="IT57" s="2692"/>
      <c r="IU57" s="2692"/>
      <c r="IV57" s="2692"/>
    </row>
    <row r="58" spans="1:256" s="40" customFormat="1" ht="12.5" x14ac:dyDescent="0.25">
      <c r="A58" s="2960"/>
      <c r="B58" s="2760"/>
      <c r="C58" s="2760"/>
      <c r="D58" s="2760"/>
      <c r="E58" s="2761"/>
      <c r="F58" s="2760"/>
      <c r="G58" s="2760"/>
      <c r="H58" s="2760"/>
      <c r="I58" s="2760"/>
      <c r="J58" s="2761"/>
      <c r="K58" s="2692"/>
      <c r="L58" s="2692"/>
      <c r="M58" s="2692"/>
      <c r="N58" s="2692"/>
      <c r="O58" s="2692"/>
      <c r="P58" s="2692"/>
      <c r="Q58" s="2692"/>
      <c r="R58" s="2692"/>
      <c r="S58" s="2692"/>
      <c r="T58" s="2692"/>
      <c r="U58" s="2692"/>
      <c r="V58" s="2692"/>
      <c r="W58" s="2692"/>
      <c r="X58" s="2692"/>
      <c r="Y58" s="2692"/>
      <c r="Z58" s="2692"/>
      <c r="AA58" s="2692"/>
      <c r="AB58" s="2692"/>
      <c r="AC58" s="2692"/>
      <c r="AD58" s="2692"/>
      <c r="AE58" s="2692"/>
      <c r="AF58" s="2692"/>
      <c r="AG58" s="2692"/>
      <c r="AH58" s="2692"/>
      <c r="AI58" s="2692"/>
      <c r="AJ58" s="2692"/>
      <c r="AK58" s="2692"/>
      <c r="AL58" s="2692"/>
      <c r="AM58" s="2692"/>
      <c r="AN58" s="2692"/>
      <c r="AO58" s="2692"/>
      <c r="AP58" s="2692"/>
      <c r="AQ58" s="2692"/>
      <c r="AR58" s="2692"/>
      <c r="AS58" s="2692"/>
      <c r="AT58" s="2692"/>
      <c r="AU58" s="2692"/>
      <c r="AV58" s="2692"/>
      <c r="AW58" s="2692"/>
      <c r="AX58" s="2692"/>
      <c r="AY58" s="2692"/>
      <c r="AZ58" s="2692"/>
      <c r="BA58" s="2692"/>
      <c r="BB58" s="2692"/>
      <c r="BC58" s="2692"/>
      <c r="BD58" s="2692"/>
      <c r="BE58" s="2692"/>
      <c r="BF58" s="2692"/>
      <c r="BG58" s="2692"/>
      <c r="BH58" s="2692"/>
      <c r="BI58" s="2692"/>
      <c r="BJ58" s="2692"/>
      <c r="BK58" s="2692"/>
      <c r="BL58" s="2692"/>
      <c r="BM58" s="2692"/>
      <c r="BN58" s="2692"/>
      <c r="BO58" s="2692"/>
      <c r="BP58" s="2692"/>
      <c r="BQ58" s="2692"/>
      <c r="BR58" s="2692"/>
      <c r="BS58" s="2692"/>
      <c r="BT58" s="2692"/>
      <c r="BU58" s="2692"/>
      <c r="BV58" s="2692"/>
      <c r="BW58" s="2692"/>
      <c r="BX58" s="2692"/>
      <c r="BY58" s="2692"/>
      <c r="BZ58" s="2692"/>
      <c r="CA58" s="2692"/>
      <c r="CB58" s="2692"/>
      <c r="CC58" s="2692"/>
      <c r="CD58" s="2692"/>
      <c r="CE58" s="2692"/>
      <c r="CF58" s="2692"/>
      <c r="CG58" s="2692"/>
      <c r="CH58" s="2692"/>
      <c r="CI58" s="2692"/>
      <c r="CJ58" s="2692"/>
      <c r="CK58" s="2692"/>
      <c r="CL58" s="2692"/>
      <c r="CM58" s="2692"/>
      <c r="CN58" s="2692"/>
      <c r="CO58" s="2692"/>
      <c r="CP58" s="2692"/>
      <c r="CQ58" s="2692"/>
      <c r="CR58" s="2692"/>
      <c r="CS58" s="2692"/>
      <c r="CT58" s="2692"/>
      <c r="CU58" s="2692"/>
      <c r="CV58" s="2692"/>
      <c r="CW58" s="2692"/>
      <c r="CX58" s="2692"/>
      <c r="CY58" s="2692"/>
      <c r="CZ58" s="2692"/>
      <c r="DA58" s="2692"/>
      <c r="DB58" s="2692"/>
      <c r="DC58" s="2692"/>
      <c r="DD58" s="2692"/>
      <c r="DE58" s="2692"/>
      <c r="DF58" s="2692"/>
      <c r="DG58" s="2692"/>
      <c r="DH58" s="2692"/>
      <c r="DI58" s="2692"/>
      <c r="DJ58" s="2692"/>
      <c r="DK58" s="2692"/>
      <c r="DL58" s="2692"/>
      <c r="DM58" s="2692"/>
      <c r="DN58" s="2692"/>
      <c r="DO58" s="2692"/>
      <c r="DP58" s="2692"/>
      <c r="DQ58" s="2692"/>
      <c r="DR58" s="2692"/>
      <c r="DS58" s="2692"/>
      <c r="DT58" s="2692"/>
      <c r="DU58" s="2692"/>
      <c r="DV58" s="2692"/>
      <c r="DW58" s="2692"/>
      <c r="DX58" s="2692"/>
      <c r="DY58" s="2692"/>
      <c r="DZ58" s="2692"/>
      <c r="EA58" s="2692"/>
      <c r="EB58" s="2692"/>
      <c r="EC58" s="2692"/>
      <c r="ED58" s="2692"/>
      <c r="EE58" s="2692"/>
      <c r="EF58" s="2692"/>
      <c r="EG58" s="2692"/>
      <c r="EH58" s="2692"/>
      <c r="EI58" s="2692"/>
      <c r="EJ58" s="2692"/>
      <c r="EK58" s="2692"/>
      <c r="EL58" s="2692"/>
      <c r="EM58" s="2692"/>
      <c r="EN58" s="2692"/>
      <c r="EO58" s="2692"/>
      <c r="EP58" s="2692"/>
      <c r="EQ58" s="2692"/>
      <c r="ER58" s="2692"/>
      <c r="ES58" s="2692"/>
      <c r="ET58" s="2692"/>
      <c r="EU58" s="2692"/>
      <c r="EV58" s="2692"/>
      <c r="EW58" s="2692"/>
      <c r="EX58" s="2692"/>
      <c r="EY58" s="2692"/>
      <c r="EZ58" s="2692"/>
      <c r="FA58" s="2692"/>
      <c r="FB58" s="2692"/>
      <c r="FC58" s="2692"/>
      <c r="FD58" s="2692"/>
      <c r="FE58" s="2692"/>
      <c r="FF58" s="2692"/>
      <c r="FG58" s="2692"/>
      <c r="FH58" s="2692"/>
      <c r="FI58" s="2692"/>
      <c r="FJ58" s="2692"/>
      <c r="FK58" s="2692"/>
      <c r="FL58" s="2692"/>
      <c r="FM58" s="2692"/>
      <c r="FN58" s="2692"/>
      <c r="FO58" s="2692"/>
      <c r="FP58" s="2692"/>
      <c r="FQ58" s="2692"/>
      <c r="FR58" s="2692"/>
      <c r="FS58" s="2692"/>
      <c r="FT58" s="2692"/>
      <c r="FU58" s="2692"/>
      <c r="FV58" s="2692"/>
      <c r="FW58" s="2692"/>
      <c r="FX58" s="2692"/>
      <c r="FY58" s="2692"/>
      <c r="FZ58" s="2692"/>
      <c r="GA58" s="2692"/>
      <c r="GB58" s="2692"/>
      <c r="GC58" s="2692"/>
      <c r="GD58" s="2692"/>
      <c r="GE58" s="2692"/>
      <c r="GF58" s="2692"/>
      <c r="GG58" s="2692"/>
      <c r="GH58" s="2692"/>
      <c r="GI58" s="2692"/>
      <c r="GJ58" s="2692"/>
      <c r="GK58" s="2692"/>
      <c r="GL58" s="2692"/>
      <c r="GM58" s="2692"/>
      <c r="GN58" s="2692"/>
      <c r="GO58" s="2692"/>
      <c r="GP58" s="2692"/>
      <c r="GQ58" s="2692"/>
      <c r="GR58" s="2692"/>
      <c r="GS58" s="2692"/>
      <c r="GT58" s="2692"/>
      <c r="GU58" s="2692"/>
      <c r="GV58" s="2692"/>
      <c r="GW58" s="2692"/>
      <c r="GX58" s="2692"/>
      <c r="GY58" s="2692"/>
      <c r="GZ58" s="2692"/>
      <c r="HA58" s="2692"/>
      <c r="HB58" s="2692"/>
      <c r="HC58" s="2692"/>
      <c r="HD58" s="2692"/>
      <c r="HE58" s="2692"/>
      <c r="HF58" s="2692"/>
      <c r="HG58" s="2692"/>
      <c r="HH58" s="2692"/>
      <c r="HI58" s="2692"/>
      <c r="HJ58" s="2692"/>
      <c r="HK58" s="2692"/>
      <c r="HL58" s="2692"/>
      <c r="HM58" s="2692"/>
      <c r="HN58" s="2692"/>
      <c r="HO58" s="2692"/>
      <c r="HP58" s="2692"/>
      <c r="HQ58" s="2692"/>
      <c r="HR58" s="2692"/>
      <c r="HS58" s="2692"/>
      <c r="HT58" s="2692"/>
      <c r="HU58" s="2692"/>
      <c r="HV58" s="2692"/>
      <c r="HW58" s="2692"/>
      <c r="HX58" s="2692"/>
      <c r="HY58" s="2692"/>
      <c r="HZ58" s="2692"/>
      <c r="IA58" s="2692"/>
      <c r="IB58" s="2692"/>
      <c r="IC58" s="2692"/>
      <c r="ID58" s="2692"/>
      <c r="IE58" s="2692"/>
      <c r="IF58" s="2692"/>
      <c r="IG58" s="2692"/>
      <c r="IH58" s="2692"/>
      <c r="II58" s="2692"/>
      <c r="IJ58" s="2692"/>
      <c r="IK58" s="2692"/>
      <c r="IL58" s="2692"/>
      <c r="IM58" s="2692"/>
      <c r="IN58" s="2692"/>
      <c r="IO58" s="2692"/>
      <c r="IP58" s="2692"/>
      <c r="IQ58" s="2692"/>
      <c r="IR58" s="2692"/>
      <c r="IS58" s="2692"/>
      <c r="IT58" s="2692"/>
      <c r="IU58" s="2692"/>
      <c r="IV58" s="2692"/>
    </row>
    <row r="59" spans="1:256" s="40" customFormat="1" ht="12.5" x14ac:dyDescent="0.25">
      <c r="A59" s="2960"/>
      <c r="B59" s="2760"/>
      <c r="C59" s="2760"/>
      <c r="D59" s="2760"/>
      <c r="E59" s="2761"/>
      <c r="F59" s="2760"/>
      <c r="G59" s="2760"/>
      <c r="H59" s="2760"/>
      <c r="I59" s="2760"/>
      <c r="J59" s="2761"/>
      <c r="K59" s="2692"/>
      <c r="L59" s="2692"/>
      <c r="M59" s="2692"/>
      <c r="N59" s="2692"/>
      <c r="O59" s="2692"/>
      <c r="P59" s="2692"/>
      <c r="Q59" s="2692"/>
      <c r="R59" s="2692"/>
      <c r="S59" s="2692"/>
      <c r="T59" s="2692"/>
      <c r="U59" s="2692"/>
      <c r="V59" s="2692"/>
      <c r="W59" s="2692"/>
      <c r="X59" s="2692"/>
      <c r="Y59" s="2692"/>
      <c r="Z59" s="2692"/>
      <c r="AA59" s="2692"/>
      <c r="AB59" s="2692"/>
      <c r="AC59" s="2692"/>
      <c r="AD59" s="2692"/>
      <c r="AE59" s="2692"/>
      <c r="AF59" s="2692"/>
      <c r="AG59" s="2692"/>
      <c r="AH59" s="2692"/>
      <c r="AI59" s="2692"/>
      <c r="AJ59" s="2692"/>
      <c r="AK59" s="2692"/>
      <c r="AL59" s="2692"/>
      <c r="AM59" s="2692"/>
      <c r="AN59" s="2692"/>
      <c r="AO59" s="2692"/>
      <c r="AP59" s="2692"/>
      <c r="AQ59" s="2692"/>
      <c r="AR59" s="2692"/>
      <c r="AS59" s="2692"/>
      <c r="AT59" s="2692"/>
      <c r="AU59" s="2692"/>
      <c r="AV59" s="2692"/>
      <c r="AW59" s="2692"/>
      <c r="AX59" s="2692"/>
      <c r="AY59" s="2692"/>
      <c r="AZ59" s="2692"/>
      <c r="BA59" s="2692"/>
      <c r="BB59" s="2692"/>
      <c r="BC59" s="2692"/>
      <c r="BD59" s="2692"/>
      <c r="BE59" s="2692"/>
      <c r="BF59" s="2692"/>
      <c r="BG59" s="2692"/>
      <c r="BH59" s="2692"/>
      <c r="BI59" s="2692"/>
      <c r="BJ59" s="2692"/>
      <c r="BK59" s="2692"/>
      <c r="BL59" s="2692"/>
      <c r="BM59" s="2692"/>
      <c r="BN59" s="2692"/>
      <c r="BO59" s="2692"/>
      <c r="BP59" s="2692"/>
      <c r="BQ59" s="2692"/>
      <c r="BR59" s="2692"/>
      <c r="BS59" s="2692"/>
      <c r="BT59" s="2692"/>
      <c r="BU59" s="2692"/>
      <c r="BV59" s="2692"/>
      <c r="BW59" s="2692"/>
      <c r="BX59" s="2692"/>
      <c r="BY59" s="2692"/>
      <c r="BZ59" s="2692"/>
      <c r="CA59" s="2692"/>
      <c r="CB59" s="2692"/>
      <c r="CC59" s="2692"/>
      <c r="CD59" s="2692"/>
      <c r="CE59" s="2692"/>
      <c r="CF59" s="2692"/>
      <c r="CG59" s="2692"/>
      <c r="CH59" s="2692"/>
      <c r="CI59" s="2692"/>
      <c r="CJ59" s="2692"/>
      <c r="CK59" s="2692"/>
      <c r="CL59" s="2692"/>
      <c r="CM59" s="2692"/>
      <c r="CN59" s="2692"/>
      <c r="CO59" s="2692"/>
      <c r="CP59" s="2692"/>
      <c r="CQ59" s="2692"/>
      <c r="CR59" s="2692"/>
      <c r="CS59" s="2692"/>
      <c r="CT59" s="2692"/>
      <c r="CU59" s="2692"/>
      <c r="CV59" s="2692"/>
      <c r="CW59" s="2692"/>
      <c r="CX59" s="2692"/>
      <c r="CY59" s="2692"/>
      <c r="CZ59" s="2692"/>
      <c r="DA59" s="2692"/>
      <c r="DB59" s="2692"/>
      <c r="DC59" s="2692"/>
      <c r="DD59" s="2692"/>
      <c r="DE59" s="2692"/>
      <c r="DF59" s="2692"/>
      <c r="DG59" s="2692"/>
      <c r="DH59" s="2692"/>
      <c r="DI59" s="2692"/>
      <c r="DJ59" s="2692"/>
      <c r="DK59" s="2692"/>
      <c r="DL59" s="2692"/>
      <c r="DM59" s="2692"/>
      <c r="DN59" s="2692"/>
      <c r="DO59" s="2692"/>
      <c r="DP59" s="2692"/>
      <c r="DQ59" s="2692"/>
      <c r="DR59" s="2692"/>
      <c r="DS59" s="2692"/>
      <c r="DT59" s="2692"/>
      <c r="DU59" s="2692"/>
      <c r="DV59" s="2692"/>
      <c r="DW59" s="2692"/>
      <c r="DX59" s="2692"/>
      <c r="DY59" s="2692"/>
      <c r="DZ59" s="2692"/>
      <c r="EA59" s="2692"/>
      <c r="EB59" s="2692"/>
      <c r="EC59" s="2692"/>
      <c r="ED59" s="2692"/>
      <c r="EE59" s="2692"/>
      <c r="EF59" s="2692"/>
      <c r="EG59" s="2692"/>
      <c r="EH59" s="2692"/>
      <c r="EI59" s="2692"/>
      <c r="EJ59" s="2692"/>
      <c r="EK59" s="2692"/>
      <c r="EL59" s="2692"/>
      <c r="EM59" s="2692"/>
      <c r="EN59" s="2692"/>
      <c r="EO59" s="2692"/>
      <c r="EP59" s="2692"/>
      <c r="EQ59" s="2692"/>
      <c r="ER59" s="2692"/>
      <c r="ES59" s="2692"/>
      <c r="ET59" s="2692"/>
      <c r="EU59" s="2692"/>
      <c r="EV59" s="2692"/>
      <c r="EW59" s="2692"/>
      <c r="EX59" s="2692"/>
      <c r="EY59" s="2692"/>
      <c r="EZ59" s="2692"/>
      <c r="FA59" s="2692"/>
      <c r="FB59" s="2692"/>
      <c r="FC59" s="2692"/>
      <c r="FD59" s="2692"/>
      <c r="FE59" s="2692"/>
      <c r="FF59" s="2692"/>
      <c r="FG59" s="2692"/>
      <c r="FH59" s="2692"/>
      <c r="FI59" s="2692"/>
      <c r="FJ59" s="2692"/>
      <c r="FK59" s="2692"/>
      <c r="FL59" s="2692"/>
      <c r="FM59" s="2692"/>
      <c r="FN59" s="2692"/>
      <c r="FO59" s="2692"/>
      <c r="FP59" s="2692"/>
      <c r="FQ59" s="2692"/>
      <c r="FR59" s="2692"/>
      <c r="FS59" s="2692"/>
      <c r="FT59" s="2692"/>
      <c r="FU59" s="2692"/>
      <c r="FV59" s="2692"/>
      <c r="FW59" s="2692"/>
      <c r="FX59" s="2692"/>
      <c r="FY59" s="2692"/>
      <c r="FZ59" s="2692"/>
      <c r="GA59" s="2692"/>
      <c r="GB59" s="2692"/>
      <c r="GC59" s="2692"/>
      <c r="GD59" s="2692"/>
      <c r="GE59" s="2692"/>
      <c r="GF59" s="2692"/>
      <c r="GG59" s="2692"/>
      <c r="GH59" s="2692"/>
      <c r="GI59" s="2692"/>
      <c r="GJ59" s="2692"/>
      <c r="GK59" s="2692"/>
      <c r="GL59" s="2692"/>
      <c r="GM59" s="2692"/>
      <c r="GN59" s="2692"/>
      <c r="GO59" s="2692"/>
      <c r="GP59" s="2692"/>
      <c r="GQ59" s="2692"/>
      <c r="GR59" s="2692"/>
      <c r="GS59" s="2692"/>
      <c r="GT59" s="2692"/>
      <c r="GU59" s="2692"/>
      <c r="GV59" s="2692"/>
      <c r="GW59" s="2692"/>
      <c r="GX59" s="2692"/>
      <c r="GY59" s="2692"/>
      <c r="GZ59" s="2692"/>
      <c r="HA59" s="2692"/>
      <c r="HB59" s="2692"/>
      <c r="HC59" s="2692"/>
      <c r="HD59" s="2692"/>
      <c r="HE59" s="2692"/>
      <c r="HF59" s="2692"/>
      <c r="HG59" s="2692"/>
      <c r="HH59" s="2692"/>
      <c r="HI59" s="2692"/>
      <c r="HJ59" s="2692"/>
      <c r="HK59" s="2692"/>
      <c r="HL59" s="2692"/>
      <c r="HM59" s="2692"/>
      <c r="HN59" s="2692"/>
      <c r="HO59" s="2692"/>
      <c r="HP59" s="2692"/>
      <c r="HQ59" s="2692"/>
      <c r="HR59" s="2692"/>
      <c r="HS59" s="2692"/>
      <c r="HT59" s="2692"/>
      <c r="HU59" s="2692"/>
      <c r="HV59" s="2692"/>
      <c r="HW59" s="2692"/>
      <c r="HX59" s="2692"/>
      <c r="HY59" s="2692"/>
      <c r="HZ59" s="2692"/>
      <c r="IA59" s="2692"/>
      <c r="IB59" s="2692"/>
      <c r="IC59" s="2692"/>
      <c r="ID59" s="2692"/>
      <c r="IE59" s="2692"/>
      <c r="IF59" s="2692"/>
      <c r="IG59" s="2692"/>
      <c r="IH59" s="2692"/>
      <c r="II59" s="2692"/>
      <c r="IJ59" s="2692"/>
      <c r="IK59" s="2692"/>
      <c r="IL59" s="2692"/>
      <c r="IM59" s="2692"/>
      <c r="IN59" s="2692"/>
      <c r="IO59" s="2692"/>
      <c r="IP59" s="2692"/>
      <c r="IQ59" s="2692"/>
      <c r="IR59" s="2692"/>
      <c r="IS59" s="2692"/>
      <c r="IT59" s="2692"/>
      <c r="IU59" s="2692"/>
      <c r="IV59" s="2692"/>
    </row>
    <row r="60" spans="1:256" s="40" customFormat="1" ht="13" x14ac:dyDescent="0.3">
      <c r="A60" s="2959"/>
      <c r="B60" s="2760"/>
      <c r="C60" s="2760"/>
      <c r="D60" s="2760"/>
      <c r="E60" s="2761"/>
      <c r="F60" s="2760"/>
      <c r="G60" s="2760"/>
      <c r="H60" s="2760"/>
      <c r="I60" s="2760"/>
      <c r="J60" s="2761"/>
      <c r="K60" s="2692"/>
      <c r="L60" s="2692"/>
      <c r="M60" s="2692"/>
      <c r="N60" s="2692"/>
      <c r="O60" s="2692"/>
      <c r="P60" s="2692"/>
      <c r="Q60" s="2692"/>
      <c r="R60" s="2692"/>
      <c r="S60" s="2692"/>
      <c r="T60" s="2692"/>
      <c r="U60" s="2692"/>
      <c r="V60" s="2692"/>
      <c r="W60" s="2692"/>
      <c r="X60" s="2692"/>
      <c r="Y60" s="2692"/>
      <c r="Z60" s="2692"/>
      <c r="AA60" s="2692"/>
      <c r="AB60" s="2692"/>
      <c r="AC60" s="2692"/>
      <c r="AD60" s="2692"/>
      <c r="AE60" s="2692"/>
      <c r="AF60" s="2692"/>
      <c r="AG60" s="2692"/>
      <c r="AH60" s="2692"/>
      <c r="AI60" s="2692"/>
      <c r="AJ60" s="2692"/>
      <c r="AK60" s="2692"/>
      <c r="AL60" s="2692"/>
      <c r="AM60" s="2692"/>
      <c r="AN60" s="2692"/>
      <c r="AO60" s="2692"/>
      <c r="AP60" s="2692"/>
      <c r="AQ60" s="2692"/>
      <c r="AR60" s="2692"/>
      <c r="AS60" s="2692"/>
      <c r="AT60" s="2692"/>
      <c r="AU60" s="2692"/>
      <c r="AV60" s="2692"/>
      <c r="AW60" s="2692"/>
      <c r="AX60" s="2692"/>
      <c r="AY60" s="2692"/>
      <c r="AZ60" s="2692"/>
      <c r="BA60" s="2692"/>
      <c r="BB60" s="2692"/>
      <c r="BC60" s="2692"/>
      <c r="BD60" s="2692"/>
      <c r="BE60" s="2692"/>
      <c r="BF60" s="2692"/>
      <c r="BG60" s="2692"/>
      <c r="BH60" s="2692"/>
      <c r="BI60" s="2692"/>
      <c r="BJ60" s="2692"/>
      <c r="BK60" s="2692"/>
      <c r="BL60" s="2692"/>
      <c r="BM60" s="2692"/>
      <c r="BN60" s="2692"/>
      <c r="BO60" s="2692"/>
      <c r="BP60" s="2692"/>
      <c r="BQ60" s="2692"/>
      <c r="BR60" s="2692"/>
      <c r="BS60" s="2692"/>
      <c r="BT60" s="2692"/>
      <c r="BU60" s="2692"/>
      <c r="BV60" s="2692"/>
      <c r="BW60" s="2692"/>
      <c r="BX60" s="2692"/>
      <c r="BY60" s="2692"/>
      <c r="BZ60" s="2692"/>
      <c r="CA60" s="2692"/>
      <c r="CB60" s="2692"/>
      <c r="CC60" s="2692"/>
      <c r="CD60" s="2692"/>
      <c r="CE60" s="2692"/>
      <c r="CF60" s="2692"/>
      <c r="CG60" s="2692"/>
      <c r="CH60" s="2692"/>
      <c r="CI60" s="2692"/>
      <c r="CJ60" s="2692"/>
      <c r="CK60" s="2692"/>
      <c r="CL60" s="2692"/>
      <c r="CM60" s="2692"/>
      <c r="CN60" s="2692"/>
      <c r="CO60" s="2692"/>
      <c r="CP60" s="2692"/>
      <c r="CQ60" s="2692"/>
      <c r="CR60" s="2692"/>
      <c r="CS60" s="2692"/>
      <c r="CT60" s="2692"/>
      <c r="CU60" s="2692"/>
      <c r="CV60" s="2692"/>
      <c r="CW60" s="2692"/>
      <c r="CX60" s="2692"/>
      <c r="CY60" s="2692"/>
      <c r="CZ60" s="2692"/>
      <c r="DA60" s="2692"/>
      <c r="DB60" s="2692"/>
      <c r="DC60" s="2692"/>
      <c r="DD60" s="2692"/>
      <c r="DE60" s="2692"/>
      <c r="DF60" s="2692"/>
      <c r="DG60" s="2692"/>
      <c r="DH60" s="2692"/>
      <c r="DI60" s="2692"/>
      <c r="DJ60" s="2692"/>
      <c r="DK60" s="2692"/>
      <c r="DL60" s="2692"/>
      <c r="DM60" s="2692"/>
      <c r="DN60" s="2692"/>
      <c r="DO60" s="2692"/>
      <c r="DP60" s="2692"/>
      <c r="DQ60" s="2692"/>
      <c r="DR60" s="2692"/>
      <c r="DS60" s="2692"/>
      <c r="DT60" s="2692"/>
      <c r="DU60" s="2692"/>
      <c r="DV60" s="2692"/>
      <c r="DW60" s="2692"/>
      <c r="DX60" s="2692"/>
      <c r="DY60" s="2692"/>
      <c r="DZ60" s="2692"/>
      <c r="EA60" s="2692"/>
      <c r="EB60" s="2692"/>
      <c r="EC60" s="2692"/>
      <c r="ED60" s="2692"/>
      <c r="EE60" s="2692"/>
      <c r="EF60" s="2692"/>
      <c r="EG60" s="2692"/>
      <c r="EH60" s="2692"/>
      <c r="EI60" s="2692"/>
      <c r="EJ60" s="2692"/>
      <c r="EK60" s="2692"/>
      <c r="EL60" s="2692"/>
      <c r="EM60" s="2692"/>
      <c r="EN60" s="2692"/>
      <c r="EO60" s="2692"/>
      <c r="EP60" s="2692"/>
      <c r="EQ60" s="2692"/>
      <c r="ER60" s="2692"/>
      <c r="ES60" s="2692"/>
      <c r="ET60" s="2692"/>
      <c r="EU60" s="2692"/>
      <c r="EV60" s="2692"/>
      <c r="EW60" s="2692"/>
      <c r="EX60" s="2692"/>
      <c r="EY60" s="2692"/>
      <c r="EZ60" s="2692"/>
      <c r="FA60" s="2692"/>
      <c r="FB60" s="2692"/>
      <c r="FC60" s="2692"/>
      <c r="FD60" s="2692"/>
      <c r="FE60" s="2692"/>
      <c r="FF60" s="2692"/>
      <c r="FG60" s="2692"/>
      <c r="FH60" s="2692"/>
      <c r="FI60" s="2692"/>
      <c r="FJ60" s="2692"/>
      <c r="FK60" s="2692"/>
      <c r="FL60" s="2692"/>
      <c r="FM60" s="2692"/>
      <c r="FN60" s="2692"/>
      <c r="FO60" s="2692"/>
      <c r="FP60" s="2692"/>
      <c r="FQ60" s="2692"/>
      <c r="FR60" s="2692"/>
      <c r="FS60" s="2692"/>
      <c r="FT60" s="2692"/>
      <c r="FU60" s="2692"/>
      <c r="FV60" s="2692"/>
      <c r="FW60" s="2692"/>
      <c r="FX60" s="2692"/>
      <c r="FY60" s="2692"/>
      <c r="FZ60" s="2692"/>
      <c r="GA60" s="2692"/>
      <c r="GB60" s="2692"/>
      <c r="GC60" s="2692"/>
      <c r="GD60" s="2692"/>
      <c r="GE60" s="2692"/>
      <c r="GF60" s="2692"/>
      <c r="GG60" s="2692"/>
      <c r="GH60" s="2692"/>
      <c r="GI60" s="2692"/>
      <c r="GJ60" s="2692"/>
      <c r="GK60" s="2692"/>
      <c r="GL60" s="2692"/>
      <c r="GM60" s="2692"/>
      <c r="GN60" s="2692"/>
      <c r="GO60" s="2692"/>
      <c r="GP60" s="2692"/>
      <c r="GQ60" s="2692"/>
      <c r="GR60" s="2692"/>
      <c r="GS60" s="2692"/>
      <c r="GT60" s="2692"/>
      <c r="GU60" s="2692"/>
      <c r="GV60" s="2692"/>
      <c r="GW60" s="2692"/>
      <c r="GX60" s="2692"/>
      <c r="GY60" s="2692"/>
      <c r="GZ60" s="2692"/>
      <c r="HA60" s="2692"/>
      <c r="HB60" s="2692"/>
      <c r="HC60" s="2692"/>
      <c r="HD60" s="2692"/>
      <c r="HE60" s="2692"/>
      <c r="HF60" s="2692"/>
      <c r="HG60" s="2692"/>
      <c r="HH60" s="2692"/>
      <c r="HI60" s="2692"/>
      <c r="HJ60" s="2692"/>
      <c r="HK60" s="2692"/>
      <c r="HL60" s="2692"/>
      <c r="HM60" s="2692"/>
      <c r="HN60" s="2692"/>
      <c r="HO60" s="2692"/>
      <c r="HP60" s="2692"/>
      <c r="HQ60" s="2692"/>
      <c r="HR60" s="2692"/>
      <c r="HS60" s="2692"/>
      <c r="HT60" s="2692"/>
      <c r="HU60" s="2692"/>
      <c r="HV60" s="2692"/>
      <c r="HW60" s="2692"/>
      <c r="HX60" s="2692"/>
      <c r="HY60" s="2692"/>
      <c r="HZ60" s="2692"/>
      <c r="IA60" s="2692"/>
      <c r="IB60" s="2692"/>
      <c r="IC60" s="2692"/>
      <c r="ID60" s="2692"/>
      <c r="IE60" s="2692"/>
      <c r="IF60" s="2692"/>
      <c r="IG60" s="2692"/>
      <c r="IH60" s="2692"/>
      <c r="II60" s="2692"/>
      <c r="IJ60" s="2692"/>
      <c r="IK60" s="2692"/>
      <c r="IL60" s="2692"/>
      <c r="IM60" s="2692"/>
      <c r="IN60" s="2692"/>
      <c r="IO60" s="2692"/>
      <c r="IP60" s="2692"/>
      <c r="IQ60" s="2692"/>
      <c r="IR60" s="2692"/>
      <c r="IS60" s="2692"/>
      <c r="IT60" s="2692"/>
      <c r="IU60" s="2692"/>
      <c r="IV60" s="2692"/>
    </row>
    <row r="61" spans="1:256" s="40" customFormat="1" ht="13" x14ac:dyDescent="0.3">
      <c r="A61" s="2959"/>
      <c r="B61" s="2760"/>
      <c r="C61" s="2760"/>
      <c r="D61" s="2760"/>
      <c r="E61" s="2761"/>
      <c r="F61" s="2760"/>
      <c r="G61" s="2760"/>
      <c r="H61" s="2760"/>
      <c r="I61" s="2760"/>
      <c r="J61" s="2761"/>
      <c r="K61" s="2692"/>
      <c r="L61" s="2692"/>
      <c r="M61" s="2692"/>
      <c r="N61" s="2692"/>
      <c r="O61" s="2692"/>
      <c r="P61" s="2692"/>
      <c r="Q61" s="2692"/>
      <c r="R61" s="2692"/>
      <c r="S61" s="2692"/>
      <c r="T61" s="2692"/>
      <c r="U61" s="2692"/>
      <c r="V61" s="2692"/>
      <c r="W61" s="2692"/>
      <c r="X61" s="2692"/>
      <c r="Y61" s="2692"/>
      <c r="Z61" s="2692"/>
      <c r="AA61" s="2692"/>
      <c r="AB61" s="2692"/>
      <c r="AC61" s="2692"/>
      <c r="AD61" s="2692"/>
      <c r="AE61" s="2692"/>
      <c r="AF61" s="2692"/>
      <c r="AG61" s="2692"/>
      <c r="AH61" s="2692"/>
      <c r="AI61" s="2692"/>
      <c r="AJ61" s="2692"/>
      <c r="AK61" s="2692"/>
      <c r="AL61" s="2692"/>
      <c r="AM61" s="2692"/>
      <c r="AN61" s="2692"/>
      <c r="AO61" s="2692"/>
      <c r="AP61" s="2692"/>
      <c r="AQ61" s="2692"/>
      <c r="AR61" s="2692"/>
      <c r="AS61" s="2692"/>
      <c r="AT61" s="2692"/>
      <c r="AU61" s="2692"/>
      <c r="AV61" s="2692"/>
      <c r="AW61" s="2692"/>
      <c r="AX61" s="2692"/>
      <c r="AY61" s="2692"/>
      <c r="AZ61" s="2692"/>
      <c r="BA61" s="2692"/>
      <c r="BB61" s="2692"/>
      <c r="BC61" s="2692"/>
      <c r="BD61" s="2692"/>
      <c r="BE61" s="2692"/>
      <c r="BF61" s="2692"/>
      <c r="BG61" s="2692"/>
      <c r="BH61" s="2692"/>
      <c r="BI61" s="2692"/>
      <c r="BJ61" s="2692"/>
      <c r="BK61" s="2692"/>
      <c r="BL61" s="2692"/>
      <c r="BM61" s="2692"/>
      <c r="BN61" s="2692"/>
      <c r="BO61" s="2692"/>
      <c r="BP61" s="2692"/>
      <c r="BQ61" s="2692"/>
      <c r="BR61" s="2692"/>
      <c r="BS61" s="2692"/>
      <c r="BT61" s="2692"/>
      <c r="BU61" s="2692"/>
      <c r="BV61" s="2692"/>
      <c r="BW61" s="2692"/>
      <c r="BX61" s="2692"/>
      <c r="BY61" s="2692"/>
      <c r="BZ61" s="2692"/>
      <c r="CA61" s="2692"/>
      <c r="CB61" s="2692"/>
      <c r="CC61" s="2692"/>
      <c r="CD61" s="2692"/>
      <c r="CE61" s="2692"/>
      <c r="CF61" s="2692"/>
      <c r="CG61" s="2692"/>
      <c r="CH61" s="2692"/>
      <c r="CI61" s="2692"/>
      <c r="CJ61" s="2692"/>
      <c r="CK61" s="2692"/>
      <c r="CL61" s="2692"/>
      <c r="CM61" s="2692"/>
      <c r="CN61" s="2692"/>
      <c r="CO61" s="2692"/>
      <c r="CP61" s="2692"/>
      <c r="CQ61" s="2692"/>
      <c r="CR61" s="2692"/>
      <c r="CS61" s="2692"/>
      <c r="CT61" s="2692"/>
      <c r="CU61" s="2692"/>
      <c r="CV61" s="2692"/>
      <c r="CW61" s="2692"/>
      <c r="CX61" s="2692"/>
      <c r="CY61" s="2692"/>
      <c r="CZ61" s="2692"/>
      <c r="DA61" s="2692"/>
      <c r="DB61" s="2692"/>
      <c r="DC61" s="2692"/>
      <c r="DD61" s="2692"/>
      <c r="DE61" s="2692"/>
      <c r="DF61" s="2692"/>
      <c r="DG61" s="2692"/>
      <c r="DH61" s="2692"/>
      <c r="DI61" s="2692"/>
      <c r="DJ61" s="2692"/>
      <c r="DK61" s="2692"/>
      <c r="DL61" s="2692"/>
      <c r="DM61" s="2692"/>
      <c r="DN61" s="2692"/>
      <c r="DO61" s="2692"/>
      <c r="DP61" s="2692"/>
      <c r="DQ61" s="2692"/>
      <c r="DR61" s="2692"/>
      <c r="DS61" s="2692"/>
      <c r="DT61" s="2692"/>
      <c r="DU61" s="2692"/>
      <c r="DV61" s="2692"/>
      <c r="DW61" s="2692"/>
      <c r="DX61" s="2692"/>
      <c r="DY61" s="2692"/>
      <c r="DZ61" s="2692"/>
      <c r="EA61" s="2692"/>
      <c r="EB61" s="2692"/>
      <c r="EC61" s="2692"/>
      <c r="ED61" s="2692"/>
      <c r="EE61" s="2692"/>
      <c r="EF61" s="2692"/>
      <c r="EG61" s="2692"/>
      <c r="EH61" s="2692"/>
      <c r="EI61" s="2692"/>
      <c r="EJ61" s="2692"/>
      <c r="EK61" s="2692"/>
      <c r="EL61" s="2692"/>
      <c r="EM61" s="2692"/>
      <c r="EN61" s="2692"/>
      <c r="EO61" s="2692"/>
      <c r="EP61" s="2692"/>
      <c r="EQ61" s="2692"/>
      <c r="ER61" s="2692"/>
      <c r="ES61" s="2692"/>
      <c r="ET61" s="2692"/>
      <c r="EU61" s="2692"/>
      <c r="EV61" s="2692"/>
      <c r="EW61" s="2692"/>
      <c r="EX61" s="2692"/>
      <c r="EY61" s="2692"/>
      <c r="EZ61" s="2692"/>
      <c r="FA61" s="2692"/>
      <c r="FB61" s="2692"/>
      <c r="FC61" s="2692"/>
      <c r="FD61" s="2692"/>
      <c r="FE61" s="2692"/>
      <c r="FF61" s="2692"/>
      <c r="FG61" s="2692"/>
      <c r="FH61" s="2692"/>
      <c r="FI61" s="2692"/>
      <c r="FJ61" s="2692"/>
      <c r="FK61" s="2692"/>
      <c r="FL61" s="2692"/>
      <c r="FM61" s="2692"/>
      <c r="FN61" s="2692"/>
      <c r="FO61" s="2692"/>
      <c r="FP61" s="2692"/>
      <c r="FQ61" s="2692"/>
      <c r="FR61" s="2692"/>
      <c r="FS61" s="2692"/>
      <c r="FT61" s="2692"/>
      <c r="FU61" s="2692"/>
      <c r="FV61" s="2692"/>
      <c r="FW61" s="2692"/>
      <c r="FX61" s="2692"/>
      <c r="FY61" s="2692"/>
      <c r="FZ61" s="2692"/>
      <c r="GA61" s="2692"/>
      <c r="GB61" s="2692"/>
      <c r="GC61" s="2692"/>
      <c r="GD61" s="2692"/>
      <c r="GE61" s="2692"/>
      <c r="GF61" s="2692"/>
      <c r="GG61" s="2692"/>
      <c r="GH61" s="2692"/>
      <c r="GI61" s="2692"/>
      <c r="GJ61" s="2692"/>
      <c r="GK61" s="2692"/>
      <c r="GL61" s="2692"/>
      <c r="GM61" s="2692"/>
      <c r="GN61" s="2692"/>
      <c r="GO61" s="2692"/>
      <c r="GP61" s="2692"/>
      <c r="GQ61" s="2692"/>
      <c r="GR61" s="2692"/>
      <c r="GS61" s="2692"/>
      <c r="GT61" s="2692"/>
      <c r="GU61" s="2692"/>
      <c r="GV61" s="2692"/>
      <c r="GW61" s="2692"/>
      <c r="GX61" s="2692"/>
      <c r="GY61" s="2692"/>
      <c r="GZ61" s="2692"/>
      <c r="HA61" s="2692"/>
      <c r="HB61" s="2692"/>
      <c r="HC61" s="2692"/>
      <c r="HD61" s="2692"/>
      <c r="HE61" s="2692"/>
      <c r="HF61" s="2692"/>
      <c r="HG61" s="2692"/>
      <c r="HH61" s="2692"/>
      <c r="HI61" s="2692"/>
      <c r="HJ61" s="2692"/>
      <c r="HK61" s="2692"/>
      <c r="HL61" s="2692"/>
      <c r="HM61" s="2692"/>
      <c r="HN61" s="2692"/>
      <c r="HO61" s="2692"/>
      <c r="HP61" s="2692"/>
      <c r="HQ61" s="2692"/>
      <c r="HR61" s="2692"/>
      <c r="HS61" s="2692"/>
      <c r="HT61" s="2692"/>
      <c r="HU61" s="2692"/>
      <c r="HV61" s="2692"/>
      <c r="HW61" s="2692"/>
      <c r="HX61" s="2692"/>
      <c r="HY61" s="2692"/>
      <c r="HZ61" s="2692"/>
      <c r="IA61" s="2692"/>
      <c r="IB61" s="2692"/>
      <c r="IC61" s="2692"/>
      <c r="ID61" s="2692"/>
      <c r="IE61" s="2692"/>
      <c r="IF61" s="2692"/>
      <c r="IG61" s="2692"/>
      <c r="IH61" s="2692"/>
      <c r="II61" s="2692"/>
      <c r="IJ61" s="2692"/>
      <c r="IK61" s="2692"/>
      <c r="IL61" s="2692"/>
      <c r="IM61" s="2692"/>
      <c r="IN61" s="2692"/>
      <c r="IO61" s="2692"/>
      <c r="IP61" s="2692"/>
      <c r="IQ61" s="2692"/>
      <c r="IR61" s="2692"/>
      <c r="IS61" s="2692"/>
      <c r="IT61" s="2692"/>
      <c r="IU61" s="2692"/>
      <c r="IV61" s="2692"/>
    </row>
    <row r="62" spans="1:256" s="40" customFormat="1" ht="13" x14ac:dyDescent="0.3">
      <c r="A62" s="2702"/>
      <c r="B62" s="2700"/>
      <c r="C62" s="2700"/>
      <c r="D62" s="2700"/>
      <c r="E62" s="2701"/>
      <c r="F62" s="2700"/>
      <c r="G62" s="2700"/>
      <c r="H62" s="2700"/>
      <c r="I62" s="2700"/>
      <c r="J62" s="2701"/>
      <c r="K62" s="2692"/>
      <c r="L62" s="2692"/>
      <c r="M62" s="2692"/>
      <c r="N62" s="2692"/>
      <c r="O62" s="2692"/>
      <c r="P62" s="2692"/>
      <c r="Q62" s="2692"/>
      <c r="R62" s="2692"/>
      <c r="S62" s="2692"/>
      <c r="T62" s="2692"/>
      <c r="U62" s="2692"/>
      <c r="V62" s="2692"/>
      <c r="W62" s="2692"/>
      <c r="X62" s="2692"/>
      <c r="Y62" s="2692"/>
      <c r="Z62" s="2692"/>
      <c r="AA62" s="2692"/>
      <c r="AB62" s="2692"/>
      <c r="AC62" s="2692"/>
      <c r="AD62" s="2692"/>
      <c r="AE62" s="2692"/>
      <c r="AF62" s="2692"/>
      <c r="AG62" s="2692"/>
      <c r="AH62" s="2692"/>
      <c r="AI62" s="2692"/>
      <c r="AJ62" s="2692"/>
      <c r="AK62" s="2692"/>
      <c r="AL62" s="2692"/>
      <c r="AM62" s="2692"/>
      <c r="AN62" s="2692"/>
      <c r="AO62" s="2692"/>
      <c r="AP62" s="2692"/>
      <c r="AQ62" s="2692"/>
      <c r="AR62" s="2692"/>
      <c r="AS62" s="2692"/>
      <c r="AT62" s="2692"/>
      <c r="AU62" s="2692"/>
      <c r="AV62" s="2692"/>
      <c r="AW62" s="2692"/>
      <c r="AX62" s="2692"/>
      <c r="AY62" s="2692"/>
      <c r="AZ62" s="2692"/>
      <c r="BA62" s="2692"/>
      <c r="BB62" s="2692"/>
      <c r="BC62" s="2692"/>
      <c r="BD62" s="2692"/>
      <c r="BE62" s="2692"/>
      <c r="BF62" s="2692"/>
      <c r="BG62" s="2692"/>
      <c r="BH62" s="2692"/>
      <c r="BI62" s="2692"/>
      <c r="BJ62" s="2692"/>
      <c r="BK62" s="2692"/>
      <c r="BL62" s="2692"/>
      <c r="BM62" s="2692"/>
      <c r="BN62" s="2692"/>
      <c r="BO62" s="2692"/>
      <c r="BP62" s="2692"/>
      <c r="BQ62" s="2692"/>
      <c r="BR62" s="2692"/>
      <c r="BS62" s="2692"/>
      <c r="BT62" s="2692"/>
      <c r="BU62" s="2692"/>
      <c r="BV62" s="2692"/>
      <c r="BW62" s="2692"/>
      <c r="BX62" s="2692"/>
      <c r="BY62" s="2692"/>
      <c r="BZ62" s="2692"/>
      <c r="CA62" s="2692"/>
      <c r="CB62" s="2692"/>
      <c r="CC62" s="2692"/>
      <c r="CD62" s="2692"/>
      <c r="CE62" s="2692"/>
      <c r="CF62" s="2692"/>
      <c r="CG62" s="2692"/>
      <c r="CH62" s="2692"/>
      <c r="CI62" s="2692"/>
      <c r="CJ62" s="2692"/>
      <c r="CK62" s="2692"/>
      <c r="CL62" s="2692"/>
      <c r="CM62" s="2692"/>
      <c r="CN62" s="2692"/>
      <c r="CO62" s="2692"/>
      <c r="CP62" s="2692"/>
      <c r="CQ62" s="2692"/>
      <c r="CR62" s="2692"/>
      <c r="CS62" s="2692"/>
      <c r="CT62" s="2692"/>
      <c r="CU62" s="2692"/>
      <c r="CV62" s="2692"/>
      <c r="CW62" s="2692"/>
      <c r="CX62" s="2692"/>
      <c r="CY62" s="2692"/>
      <c r="CZ62" s="2692"/>
      <c r="DA62" s="2692"/>
      <c r="DB62" s="2692"/>
      <c r="DC62" s="2692"/>
      <c r="DD62" s="2692"/>
      <c r="DE62" s="2692"/>
      <c r="DF62" s="2692"/>
      <c r="DG62" s="2692"/>
      <c r="DH62" s="2692"/>
      <c r="DI62" s="2692"/>
      <c r="DJ62" s="2692"/>
      <c r="DK62" s="2692"/>
      <c r="DL62" s="2692"/>
      <c r="DM62" s="2692"/>
      <c r="DN62" s="2692"/>
      <c r="DO62" s="2692"/>
      <c r="DP62" s="2692"/>
      <c r="DQ62" s="2692"/>
      <c r="DR62" s="2692"/>
      <c r="DS62" s="2692"/>
      <c r="DT62" s="2692"/>
      <c r="DU62" s="2692"/>
      <c r="DV62" s="2692"/>
      <c r="DW62" s="2692"/>
      <c r="DX62" s="2692"/>
      <c r="DY62" s="2692"/>
      <c r="DZ62" s="2692"/>
      <c r="EA62" s="2692"/>
      <c r="EB62" s="2692"/>
      <c r="EC62" s="2692"/>
      <c r="ED62" s="2692"/>
      <c r="EE62" s="2692"/>
      <c r="EF62" s="2692"/>
      <c r="EG62" s="2692"/>
      <c r="EH62" s="2692"/>
      <c r="EI62" s="2692"/>
      <c r="EJ62" s="2692"/>
      <c r="EK62" s="2692"/>
      <c r="EL62" s="2692"/>
      <c r="EM62" s="2692"/>
      <c r="EN62" s="2692"/>
      <c r="EO62" s="2692"/>
      <c r="EP62" s="2692"/>
      <c r="EQ62" s="2692"/>
      <c r="ER62" s="2692"/>
      <c r="ES62" s="2692"/>
      <c r="ET62" s="2692"/>
      <c r="EU62" s="2692"/>
      <c r="EV62" s="2692"/>
      <c r="EW62" s="2692"/>
      <c r="EX62" s="2692"/>
      <c r="EY62" s="2692"/>
      <c r="EZ62" s="2692"/>
      <c r="FA62" s="2692"/>
      <c r="FB62" s="2692"/>
      <c r="FC62" s="2692"/>
      <c r="FD62" s="2692"/>
      <c r="FE62" s="2692"/>
      <c r="FF62" s="2692"/>
      <c r="FG62" s="2692"/>
      <c r="FH62" s="2692"/>
      <c r="FI62" s="2692"/>
      <c r="FJ62" s="2692"/>
      <c r="FK62" s="2692"/>
      <c r="FL62" s="2692"/>
      <c r="FM62" s="2692"/>
      <c r="FN62" s="2692"/>
      <c r="FO62" s="2692"/>
      <c r="FP62" s="2692"/>
      <c r="FQ62" s="2692"/>
      <c r="FR62" s="2692"/>
      <c r="FS62" s="2692"/>
      <c r="FT62" s="2692"/>
      <c r="FU62" s="2692"/>
      <c r="FV62" s="2692"/>
      <c r="FW62" s="2692"/>
      <c r="FX62" s="2692"/>
      <c r="FY62" s="2692"/>
      <c r="FZ62" s="2692"/>
      <c r="GA62" s="2692"/>
      <c r="GB62" s="2692"/>
      <c r="GC62" s="2692"/>
      <c r="GD62" s="2692"/>
      <c r="GE62" s="2692"/>
      <c r="GF62" s="2692"/>
      <c r="GG62" s="2692"/>
      <c r="GH62" s="2692"/>
      <c r="GI62" s="2692"/>
      <c r="GJ62" s="2692"/>
      <c r="GK62" s="2692"/>
      <c r="GL62" s="2692"/>
      <c r="GM62" s="2692"/>
      <c r="GN62" s="2692"/>
      <c r="GO62" s="2692"/>
      <c r="GP62" s="2692"/>
      <c r="GQ62" s="2692"/>
      <c r="GR62" s="2692"/>
      <c r="GS62" s="2692"/>
      <c r="GT62" s="2692"/>
      <c r="GU62" s="2692"/>
      <c r="GV62" s="2692"/>
      <c r="GW62" s="2692"/>
      <c r="GX62" s="2692"/>
      <c r="GY62" s="2692"/>
      <c r="GZ62" s="2692"/>
      <c r="HA62" s="2692"/>
      <c r="HB62" s="2692"/>
      <c r="HC62" s="2692"/>
      <c r="HD62" s="2692"/>
      <c r="HE62" s="2692"/>
      <c r="HF62" s="2692"/>
      <c r="HG62" s="2692"/>
      <c r="HH62" s="2692"/>
      <c r="HI62" s="2692"/>
      <c r="HJ62" s="2692"/>
      <c r="HK62" s="2692"/>
      <c r="HL62" s="2692"/>
      <c r="HM62" s="2692"/>
      <c r="HN62" s="2692"/>
      <c r="HO62" s="2692"/>
      <c r="HP62" s="2692"/>
      <c r="HQ62" s="2692"/>
      <c r="HR62" s="2692"/>
      <c r="HS62" s="2692"/>
      <c r="HT62" s="2692"/>
      <c r="HU62" s="2692"/>
      <c r="HV62" s="2692"/>
      <c r="HW62" s="2692"/>
      <c r="HX62" s="2692"/>
      <c r="HY62" s="2692"/>
      <c r="HZ62" s="2692"/>
      <c r="IA62" s="2692"/>
      <c r="IB62" s="2692"/>
      <c r="IC62" s="2692"/>
      <c r="ID62" s="2692"/>
      <c r="IE62" s="2692"/>
      <c r="IF62" s="2692"/>
      <c r="IG62" s="2692"/>
      <c r="IH62" s="2692"/>
      <c r="II62" s="2692"/>
      <c r="IJ62" s="2692"/>
      <c r="IK62" s="2692"/>
      <c r="IL62" s="2692"/>
      <c r="IM62" s="2692"/>
      <c r="IN62" s="2692"/>
      <c r="IO62" s="2692"/>
      <c r="IP62" s="2692"/>
      <c r="IQ62" s="2692"/>
      <c r="IR62" s="2692"/>
      <c r="IS62" s="2692"/>
      <c r="IT62" s="2692"/>
      <c r="IU62" s="2692"/>
      <c r="IV62" s="2692"/>
    </row>
    <row r="63" spans="1:256" s="40" customFormat="1" ht="13.5" thickBot="1" x14ac:dyDescent="0.35">
      <c r="A63" s="2707"/>
      <c r="B63" s="2708"/>
      <c r="C63" s="2708"/>
      <c r="D63" s="2708"/>
      <c r="E63" s="2709"/>
      <c r="F63" s="2708"/>
      <c r="G63" s="2708"/>
      <c r="H63" s="2708"/>
      <c r="I63" s="2708"/>
      <c r="J63" s="2709"/>
      <c r="K63" s="2692"/>
      <c r="L63" s="2692"/>
      <c r="M63" s="2692"/>
      <c r="N63" s="2692"/>
      <c r="O63" s="2692"/>
      <c r="P63" s="2692"/>
      <c r="Q63" s="2692"/>
      <c r="R63" s="2692"/>
      <c r="S63" s="2692"/>
      <c r="T63" s="2692"/>
      <c r="U63" s="2692"/>
      <c r="V63" s="2692"/>
      <c r="W63" s="2692"/>
      <c r="X63" s="2692"/>
      <c r="Y63" s="2692"/>
      <c r="Z63" s="2692"/>
      <c r="AA63" s="2692"/>
      <c r="AB63" s="2692"/>
      <c r="AC63" s="2692"/>
      <c r="AD63" s="2692"/>
      <c r="AE63" s="2692"/>
      <c r="AF63" s="2692"/>
      <c r="AG63" s="2692"/>
      <c r="AH63" s="2692"/>
      <c r="AI63" s="2692"/>
      <c r="AJ63" s="2692"/>
      <c r="AK63" s="2692"/>
      <c r="AL63" s="2692"/>
      <c r="AM63" s="2692"/>
      <c r="AN63" s="2692"/>
      <c r="AO63" s="2692"/>
      <c r="AP63" s="2692"/>
      <c r="AQ63" s="2692"/>
      <c r="AR63" s="2692"/>
      <c r="AS63" s="2692"/>
      <c r="AT63" s="2692"/>
      <c r="AU63" s="2692"/>
      <c r="AV63" s="2692"/>
      <c r="AW63" s="2692"/>
      <c r="AX63" s="2692"/>
      <c r="AY63" s="2692"/>
      <c r="AZ63" s="2692"/>
      <c r="BA63" s="2692"/>
      <c r="BB63" s="2692"/>
      <c r="BC63" s="2692"/>
      <c r="BD63" s="2692"/>
      <c r="BE63" s="2692"/>
      <c r="BF63" s="2692"/>
      <c r="BG63" s="2692"/>
      <c r="BH63" s="2692"/>
      <c r="BI63" s="2692"/>
      <c r="BJ63" s="2692"/>
      <c r="BK63" s="2692"/>
      <c r="BL63" s="2692"/>
      <c r="BM63" s="2692"/>
      <c r="BN63" s="2692"/>
      <c r="BO63" s="2692"/>
      <c r="BP63" s="2692"/>
      <c r="BQ63" s="2692"/>
      <c r="BR63" s="2692"/>
      <c r="BS63" s="2692"/>
      <c r="BT63" s="2692"/>
      <c r="BU63" s="2692"/>
      <c r="BV63" s="2692"/>
      <c r="BW63" s="2692"/>
      <c r="BX63" s="2692"/>
      <c r="BY63" s="2692"/>
      <c r="BZ63" s="2692"/>
      <c r="CA63" s="2692"/>
      <c r="CB63" s="2692"/>
      <c r="CC63" s="2692"/>
      <c r="CD63" s="2692"/>
      <c r="CE63" s="2692"/>
      <c r="CF63" s="2692"/>
      <c r="CG63" s="2692"/>
      <c r="CH63" s="2692"/>
      <c r="CI63" s="2692"/>
      <c r="CJ63" s="2692"/>
      <c r="CK63" s="2692"/>
      <c r="CL63" s="2692"/>
      <c r="CM63" s="2692"/>
      <c r="CN63" s="2692"/>
      <c r="CO63" s="2692"/>
      <c r="CP63" s="2692"/>
      <c r="CQ63" s="2692"/>
      <c r="CR63" s="2692"/>
      <c r="CS63" s="2692"/>
      <c r="CT63" s="2692"/>
      <c r="CU63" s="2692"/>
      <c r="CV63" s="2692"/>
      <c r="CW63" s="2692"/>
      <c r="CX63" s="2692"/>
      <c r="CY63" s="2692"/>
      <c r="CZ63" s="2692"/>
      <c r="DA63" s="2692"/>
      <c r="DB63" s="2692"/>
      <c r="DC63" s="2692"/>
      <c r="DD63" s="2692"/>
      <c r="DE63" s="2692"/>
      <c r="DF63" s="2692"/>
      <c r="DG63" s="2692"/>
      <c r="DH63" s="2692"/>
      <c r="DI63" s="2692"/>
      <c r="DJ63" s="2692"/>
      <c r="DK63" s="2692"/>
      <c r="DL63" s="2692"/>
      <c r="DM63" s="2692"/>
      <c r="DN63" s="2692"/>
      <c r="DO63" s="2692"/>
      <c r="DP63" s="2692"/>
      <c r="DQ63" s="2692"/>
      <c r="DR63" s="2692"/>
      <c r="DS63" s="2692"/>
      <c r="DT63" s="2692"/>
      <c r="DU63" s="2692"/>
      <c r="DV63" s="2692"/>
      <c r="DW63" s="2692"/>
      <c r="DX63" s="2692"/>
      <c r="DY63" s="2692"/>
      <c r="DZ63" s="2692"/>
      <c r="EA63" s="2692"/>
      <c r="EB63" s="2692"/>
      <c r="EC63" s="2692"/>
      <c r="ED63" s="2692"/>
      <c r="EE63" s="2692"/>
      <c r="EF63" s="2692"/>
      <c r="EG63" s="2692"/>
      <c r="EH63" s="2692"/>
      <c r="EI63" s="2692"/>
      <c r="EJ63" s="2692"/>
      <c r="EK63" s="2692"/>
      <c r="EL63" s="2692"/>
      <c r="EM63" s="2692"/>
      <c r="EN63" s="2692"/>
      <c r="EO63" s="2692"/>
      <c r="EP63" s="2692"/>
      <c r="EQ63" s="2692"/>
      <c r="ER63" s="2692"/>
      <c r="ES63" s="2692"/>
      <c r="ET63" s="2692"/>
      <c r="EU63" s="2692"/>
      <c r="EV63" s="2692"/>
      <c r="EW63" s="2692"/>
      <c r="EX63" s="2692"/>
      <c r="EY63" s="2692"/>
      <c r="EZ63" s="2692"/>
      <c r="FA63" s="2692"/>
      <c r="FB63" s="2692"/>
      <c r="FC63" s="2692"/>
      <c r="FD63" s="2692"/>
      <c r="FE63" s="2692"/>
      <c r="FF63" s="2692"/>
      <c r="FG63" s="2692"/>
      <c r="FH63" s="2692"/>
      <c r="FI63" s="2692"/>
      <c r="FJ63" s="2692"/>
      <c r="FK63" s="2692"/>
      <c r="FL63" s="2692"/>
      <c r="FM63" s="2692"/>
      <c r="FN63" s="2692"/>
      <c r="FO63" s="2692"/>
      <c r="FP63" s="2692"/>
      <c r="FQ63" s="2692"/>
      <c r="FR63" s="2692"/>
      <c r="FS63" s="2692"/>
      <c r="FT63" s="2692"/>
      <c r="FU63" s="2692"/>
      <c r="FV63" s="2692"/>
      <c r="FW63" s="2692"/>
      <c r="FX63" s="2692"/>
      <c r="FY63" s="2692"/>
      <c r="FZ63" s="2692"/>
      <c r="GA63" s="2692"/>
      <c r="GB63" s="2692"/>
      <c r="GC63" s="2692"/>
      <c r="GD63" s="2692"/>
      <c r="GE63" s="2692"/>
      <c r="GF63" s="2692"/>
      <c r="GG63" s="2692"/>
      <c r="GH63" s="2692"/>
      <c r="GI63" s="2692"/>
      <c r="GJ63" s="2692"/>
      <c r="GK63" s="2692"/>
      <c r="GL63" s="2692"/>
      <c r="GM63" s="2692"/>
      <c r="GN63" s="2692"/>
      <c r="GO63" s="2692"/>
      <c r="GP63" s="2692"/>
      <c r="GQ63" s="2692"/>
      <c r="GR63" s="2692"/>
      <c r="GS63" s="2692"/>
      <c r="GT63" s="2692"/>
      <c r="GU63" s="2692"/>
      <c r="GV63" s="2692"/>
      <c r="GW63" s="2692"/>
      <c r="GX63" s="2692"/>
      <c r="GY63" s="2692"/>
      <c r="GZ63" s="2692"/>
      <c r="HA63" s="2692"/>
      <c r="HB63" s="2692"/>
      <c r="HC63" s="2692"/>
      <c r="HD63" s="2692"/>
      <c r="HE63" s="2692"/>
      <c r="HF63" s="2692"/>
      <c r="HG63" s="2692"/>
      <c r="HH63" s="2692"/>
      <c r="HI63" s="2692"/>
      <c r="HJ63" s="2692"/>
      <c r="HK63" s="2692"/>
      <c r="HL63" s="2692"/>
      <c r="HM63" s="2692"/>
      <c r="HN63" s="2692"/>
      <c r="HO63" s="2692"/>
      <c r="HP63" s="2692"/>
      <c r="HQ63" s="2692"/>
      <c r="HR63" s="2692"/>
      <c r="HS63" s="2692"/>
      <c r="HT63" s="2692"/>
      <c r="HU63" s="2692"/>
      <c r="HV63" s="2692"/>
      <c r="HW63" s="2692"/>
      <c r="HX63" s="2692"/>
      <c r="HY63" s="2692"/>
      <c r="HZ63" s="2692"/>
      <c r="IA63" s="2692"/>
      <c r="IB63" s="2692"/>
      <c r="IC63" s="2692"/>
      <c r="ID63" s="2692"/>
      <c r="IE63" s="2692"/>
      <c r="IF63" s="2692"/>
      <c r="IG63" s="2692"/>
      <c r="IH63" s="2692"/>
      <c r="II63" s="2692"/>
      <c r="IJ63" s="2692"/>
      <c r="IK63" s="2692"/>
      <c r="IL63" s="2692"/>
      <c r="IM63" s="2692"/>
      <c r="IN63" s="2692"/>
      <c r="IO63" s="2692"/>
      <c r="IP63" s="2692"/>
      <c r="IQ63" s="2692"/>
      <c r="IR63" s="2692"/>
      <c r="IS63" s="2692"/>
      <c r="IT63" s="2692"/>
      <c r="IU63" s="2692"/>
      <c r="IV63" s="2692"/>
    </row>
    <row r="64" spans="1:256" s="40" customFormat="1" ht="60.75" customHeight="1" thickTop="1" thickBot="1" x14ac:dyDescent="0.35">
      <c r="A64" s="2691"/>
      <c r="B64" s="2692"/>
      <c r="C64" s="2692"/>
      <c r="D64" s="2692"/>
      <c r="E64" s="2692"/>
      <c r="F64" s="2692"/>
      <c r="G64" s="2692"/>
      <c r="H64" s="2692"/>
      <c r="I64" s="2692"/>
      <c r="J64" s="2692"/>
      <c r="K64" s="2692"/>
      <c r="L64" s="2692"/>
      <c r="M64" s="2692"/>
      <c r="N64" s="2692"/>
      <c r="O64" s="2692"/>
      <c r="P64" s="2692"/>
      <c r="Q64" s="2692"/>
      <c r="R64" s="2692"/>
      <c r="S64" s="2692"/>
      <c r="T64" s="2692"/>
      <c r="U64" s="2692"/>
      <c r="V64" s="2692"/>
      <c r="W64" s="2692"/>
      <c r="X64" s="2692"/>
      <c r="Y64" s="2692"/>
      <c r="Z64" s="2692"/>
      <c r="AA64" s="2692"/>
      <c r="AB64" s="2692"/>
      <c r="AC64" s="2692"/>
      <c r="AD64" s="2692"/>
      <c r="AE64" s="2692"/>
      <c r="AF64" s="2692"/>
      <c r="AG64" s="2692"/>
      <c r="AH64" s="2692"/>
      <c r="AI64" s="2692"/>
      <c r="AJ64" s="2692"/>
      <c r="AK64" s="2692"/>
      <c r="AL64" s="2692"/>
      <c r="AM64" s="2692"/>
      <c r="AN64" s="2692"/>
      <c r="AO64" s="2692"/>
      <c r="AP64" s="2692"/>
      <c r="AQ64" s="2692"/>
      <c r="AR64" s="2692"/>
      <c r="AS64" s="2692"/>
      <c r="AT64" s="2692"/>
      <c r="AU64" s="2692"/>
      <c r="AV64" s="2692"/>
      <c r="AW64" s="2692"/>
      <c r="AX64" s="2692"/>
      <c r="AY64" s="2692"/>
      <c r="AZ64" s="2692"/>
      <c r="BA64" s="2692"/>
      <c r="BB64" s="2692"/>
      <c r="BC64" s="2692"/>
      <c r="BD64" s="2692"/>
      <c r="BE64" s="2692"/>
      <c r="BF64" s="2692"/>
      <c r="BG64" s="2692"/>
      <c r="BH64" s="2692"/>
      <c r="BI64" s="2692"/>
      <c r="BJ64" s="2692"/>
      <c r="BK64" s="2692"/>
      <c r="BL64" s="2692"/>
      <c r="BM64" s="2692"/>
      <c r="BN64" s="2692"/>
      <c r="BO64" s="2692"/>
      <c r="BP64" s="2692"/>
      <c r="BQ64" s="2692"/>
      <c r="BR64" s="2692"/>
      <c r="BS64" s="2692"/>
      <c r="BT64" s="2692"/>
      <c r="BU64" s="2692"/>
      <c r="BV64" s="2692"/>
      <c r="BW64" s="2692"/>
      <c r="BX64" s="2692"/>
      <c r="BY64" s="2692"/>
      <c r="BZ64" s="2692"/>
      <c r="CA64" s="2692"/>
      <c r="CB64" s="2692"/>
      <c r="CC64" s="2692"/>
      <c r="CD64" s="2692"/>
      <c r="CE64" s="2692"/>
      <c r="CF64" s="2692"/>
      <c r="CG64" s="2692"/>
      <c r="CH64" s="2692"/>
      <c r="CI64" s="2692"/>
      <c r="CJ64" s="2692"/>
      <c r="CK64" s="2692"/>
      <c r="CL64" s="2692"/>
      <c r="CM64" s="2692"/>
      <c r="CN64" s="2692"/>
      <c r="CO64" s="2692"/>
      <c r="CP64" s="2692"/>
      <c r="CQ64" s="2692"/>
      <c r="CR64" s="2692"/>
      <c r="CS64" s="2692"/>
      <c r="CT64" s="2692"/>
      <c r="CU64" s="2692"/>
      <c r="CV64" s="2692"/>
      <c r="CW64" s="2692"/>
      <c r="CX64" s="2692"/>
      <c r="CY64" s="2692"/>
      <c r="CZ64" s="2692"/>
      <c r="DA64" s="2692"/>
      <c r="DB64" s="2692"/>
      <c r="DC64" s="2692"/>
      <c r="DD64" s="2692"/>
      <c r="DE64" s="2692"/>
      <c r="DF64" s="2692"/>
      <c r="DG64" s="2692"/>
      <c r="DH64" s="2692"/>
      <c r="DI64" s="2692"/>
      <c r="DJ64" s="2692"/>
      <c r="DK64" s="2692"/>
      <c r="DL64" s="2692"/>
      <c r="DM64" s="2692"/>
      <c r="DN64" s="2692"/>
      <c r="DO64" s="2692"/>
      <c r="DP64" s="2692"/>
      <c r="DQ64" s="2692"/>
      <c r="DR64" s="2692"/>
      <c r="DS64" s="2692"/>
      <c r="DT64" s="2692"/>
      <c r="DU64" s="2692"/>
      <c r="DV64" s="2692"/>
      <c r="DW64" s="2692"/>
      <c r="DX64" s="2692"/>
      <c r="DY64" s="2692"/>
      <c r="DZ64" s="2692"/>
      <c r="EA64" s="2692"/>
      <c r="EB64" s="2692"/>
      <c r="EC64" s="2692"/>
      <c r="ED64" s="2692"/>
      <c r="EE64" s="2692"/>
      <c r="EF64" s="2692"/>
      <c r="EG64" s="2692"/>
      <c r="EH64" s="2692"/>
      <c r="EI64" s="2692"/>
      <c r="EJ64" s="2692"/>
      <c r="EK64" s="2692"/>
      <c r="EL64" s="2692"/>
      <c r="EM64" s="2692"/>
      <c r="EN64" s="2692"/>
      <c r="EO64" s="2692"/>
      <c r="EP64" s="2692"/>
      <c r="EQ64" s="2692"/>
      <c r="ER64" s="2692"/>
      <c r="ES64" s="2692"/>
      <c r="ET64" s="2692"/>
      <c r="EU64" s="2692"/>
      <c r="EV64" s="2692"/>
      <c r="EW64" s="2692"/>
      <c r="EX64" s="2692"/>
      <c r="EY64" s="2692"/>
      <c r="EZ64" s="2692"/>
      <c r="FA64" s="2692"/>
      <c r="FB64" s="2692"/>
      <c r="FC64" s="2692"/>
      <c r="FD64" s="2692"/>
      <c r="FE64" s="2692"/>
      <c r="FF64" s="2692"/>
      <c r="FG64" s="2692"/>
      <c r="FH64" s="2692"/>
      <c r="FI64" s="2692"/>
      <c r="FJ64" s="2692"/>
      <c r="FK64" s="2692"/>
      <c r="FL64" s="2692"/>
      <c r="FM64" s="2692"/>
      <c r="FN64" s="2692"/>
      <c r="FO64" s="2692"/>
      <c r="FP64" s="2692"/>
      <c r="FQ64" s="2692"/>
      <c r="FR64" s="2692"/>
      <c r="FS64" s="2692"/>
      <c r="FT64" s="2692"/>
      <c r="FU64" s="2692"/>
      <c r="FV64" s="2692"/>
      <c r="FW64" s="2692"/>
      <c r="FX64" s="2692"/>
      <c r="FY64" s="2692"/>
      <c r="FZ64" s="2692"/>
      <c r="GA64" s="2692"/>
      <c r="GB64" s="2692"/>
      <c r="GC64" s="2692"/>
      <c r="GD64" s="2692"/>
      <c r="GE64" s="2692"/>
      <c r="GF64" s="2692"/>
      <c r="GG64" s="2692"/>
      <c r="GH64" s="2692"/>
      <c r="GI64" s="2692"/>
      <c r="GJ64" s="2692"/>
      <c r="GK64" s="2692"/>
      <c r="GL64" s="2692"/>
      <c r="GM64" s="2692"/>
      <c r="GN64" s="2692"/>
      <c r="GO64" s="2692"/>
      <c r="GP64" s="2692"/>
      <c r="GQ64" s="2692"/>
      <c r="GR64" s="2692"/>
      <c r="GS64" s="2692"/>
      <c r="GT64" s="2692"/>
      <c r="GU64" s="2692"/>
      <c r="GV64" s="2692"/>
      <c r="GW64" s="2692"/>
      <c r="GX64" s="2692"/>
      <c r="GY64" s="2692"/>
      <c r="GZ64" s="2692"/>
      <c r="HA64" s="2692"/>
      <c r="HB64" s="2692"/>
      <c r="HC64" s="2692"/>
      <c r="HD64" s="2692"/>
      <c r="HE64" s="2692"/>
      <c r="HF64" s="2692"/>
      <c r="HG64" s="2692"/>
      <c r="HH64" s="2692"/>
      <c r="HI64" s="2692"/>
      <c r="HJ64" s="2692"/>
      <c r="HK64" s="2692"/>
      <c r="HL64" s="2692"/>
      <c r="HM64" s="2692"/>
      <c r="HN64" s="2692"/>
      <c r="HO64" s="2692"/>
      <c r="HP64" s="2692"/>
      <c r="HQ64" s="2692"/>
      <c r="HR64" s="2692"/>
      <c r="HS64" s="2692"/>
      <c r="HT64" s="2692"/>
      <c r="HU64" s="2692"/>
      <c r="HV64" s="2692"/>
      <c r="HW64" s="2692"/>
      <c r="HX64" s="2692"/>
      <c r="HY64" s="2692"/>
      <c r="HZ64" s="2692"/>
      <c r="IA64" s="2692"/>
      <c r="IB64" s="2692"/>
      <c r="IC64" s="2692"/>
      <c r="ID64" s="2692"/>
      <c r="IE64" s="2692"/>
      <c r="IF64" s="2692"/>
      <c r="IG64" s="2692"/>
      <c r="IH64" s="2692"/>
      <c r="II64" s="2692"/>
      <c r="IJ64" s="2692"/>
      <c r="IK64" s="2692"/>
      <c r="IL64" s="2692"/>
      <c r="IM64" s="2692"/>
      <c r="IN64" s="2692"/>
      <c r="IO64" s="2692"/>
      <c r="IP64" s="2692"/>
      <c r="IQ64" s="2692"/>
      <c r="IR64" s="2692"/>
      <c r="IS64" s="2692"/>
      <c r="IT64" s="2692"/>
      <c r="IU64" s="2692"/>
      <c r="IV64" s="2692"/>
    </row>
    <row r="65" spans="1:256" s="40" customFormat="1" ht="13.5" thickTop="1" x14ac:dyDescent="0.3">
      <c r="A65" s="2697"/>
      <c r="B65" s="3362" t="s">
        <v>2732</v>
      </c>
      <c r="C65" s="3362"/>
      <c r="D65" s="3362"/>
      <c r="E65" s="2836"/>
      <c r="F65" s="2710"/>
      <c r="G65" s="3395" t="s">
        <v>2733</v>
      </c>
      <c r="H65" s="3395"/>
      <c r="I65" s="3395"/>
      <c r="J65" s="3396"/>
      <c r="K65" s="2692"/>
      <c r="L65" s="2692"/>
      <c r="M65" s="2692"/>
      <c r="N65" s="2692"/>
      <c r="O65" s="2692"/>
      <c r="P65" s="2692"/>
      <c r="Q65" s="2692"/>
      <c r="R65" s="2692"/>
      <c r="S65" s="2692"/>
      <c r="T65" s="2692"/>
      <c r="U65" s="2692"/>
      <c r="V65" s="2692"/>
      <c r="W65" s="2692"/>
      <c r="X65" s="2692"/>
      <c r="Y65" s="2692"/>
      <c r="Z65" s="2692"/>
      <c r="AA65" s="2692"/>
      <c r="AB65" s="2692"/>
      <c r="AC65" s="2692"/>
      <c r="AD65" s="2692"/>
      <c r="AE65" s="2692"/>
      <c r="AF65" s="2692"/>
      <c r="AG65" s="2692"/>
      <c r="AH65" s="2692"/>
      <c r="AI65" s="2692"/>
      <c r="AJ65" s="2692"/>
      <c r="AK65" s="2692"/>
      <c r="AL65" s="2692"/>
      <c r="AM65" s="2692"/>
      <c r="AN65" s="2692"/>
      <c r="AO65" s="2692"/>
      <c r="AP65" s="2692"/>
      <c r="AQ65" s="2692"/>
      <c r="AR65" s="2692"/>
      <c r="AS65" s="2692"/>
      <c r="AT65" s="2692"/>
      <c r="AU65" s="2692"/>
      <c r="AV65" s="2692"/>
      <c r="AW65" s="2692"/>
      <c r="AX65" s="2692"/>
      <c r="AY65" s="2692"/>
      <c r="AZ65" s="2692"/>
      <c r="BA65" s="2692"/>
      <c r="BB65" s="2692"/>
      <c r="BC65" s="2692"/>
      <c r="BD65" s="2692"/>
      <c r="BE65" s="2692"/>
      <c r="BF65" s="2692"/>
      <c r="BG65" s="2692"/>
      <c r="BH65" s="2692"/>
      <c r="BI65" s="2692"/>
      <c r="BJ65" s="2692"/>
      <c r="BK65" s="2692"/>
      <c r="BL65" s="2692"/>
      <c r="BM65" s="2692"/>
      <c r="BN65" s="2692"/>
      <c r="BO65" s="2692"/>
      <c r="BP65" s="2692"/>
      <c r="BQ65" s="2692"/>
      <c r="BR65" s="2692"/>
      <c r="BS65" s="2692"/>
      <c r="BT65" s="2692"/>
      <c r="BU65" s="2692"/>
      <c r="BV65" s="2692"/>
      <c r="BW65" s="2692"/>
      <c r="BX65" s="2692"/>
      <c r="BY65" s="2692"/>
      <c r="BZ65" s="2692"/>
      <c r="CA65" s="2692"/>
      <c r="CB65" s="2692"/>
      <c r="CC65" s="2692"/>
      <c r="CD65" s="2692"/>
      <c r="CE65" s="2692"/>
      <c r="CF65" s="2692"/>
      <c r="CG65" s="2692"/>
      <c r="CH65" s="2692"/>
      <c r="CI65" s="2692"/>
      <c r="CJ65" s="2692"/>
      <c r="CK65" s="2692"/>
      <c r="CL65" s="2692"/>
      <c r="CM65" s="2692"/>
      <c r="CN65" s="2692"/>
      <c r="CO65" s="2692"/>
      <c r="CP65" s="2692"/>
      <c r="CQ65" s="2692"/>
      <c r="CR65" s="2692"/>
      <c r="CS65" s="2692"/>
      <c r="CT65" s="2692"/>
      <c r="CU65" s="2692"/>
      <c r="CV65" s="2692"/>
      <c r="CW65" s="2692"/>
      <c r="CX65" s="2692"/>
      <c r="CY65" s="2692"/>
      <c r="CZ65" s="2692"/>
      <c r="DA65" s="2692"/>
      <c r="DB65" s="2692"/>
      <c r="DC65" s="2692"/>
      <c r="DD65" s="2692"/>
      <c r="DE65" s="2692"/>
      <c r="DF65" s="2692"/>
      <c r="DG65" s="2692"/>
      <c r="DH65" s="2692"/>
      <c r="DI65" s="2692"/>
      <c r="DJ65" s="2692"/>
      <c r="DK65" s="2692"/>
      <c r="DL65" s="2692"/>
      <c r="DM65" s="2692"/>
      <c r="DN65" s="2692"/>
      <c r="DO65" s="2692"/>
      <c r="DP65" s="2692"/>
      <c r="DQ65" s="2692"/>
      <c r="DR65" s="2692"/>
      <c r="DS65" s="2692"/>
      <c r="DT65" s="2692"/>
      <c r="DU65" s="2692"/>
      <c r="DV65" s="2692"/>
      <c r="DW65" s="2692"/>
      <c r="DX65" s="2692"/>
      <c r="DY65" s="2692"/>
      <c r="DZ65" s="2692"/>
      <c r="EA65" s="2692"/>
      <c r="EB65" s="2692"/>
      <c r="EC65" s="2692"/>
      <c r="ED65" s="2692"/>
      <c r="EE65" s="2692"/>
      <c r="EF65" s="2692"/>
      <c r="EG65" s="2692"/>
      <c r="EH65" s="2692"/>
      <c r="EI65" s="2692"/>
      <c r="EJ65" s="2692"/>
      <c r="EK65" s="2692"/>
      <c r="EL65" s="2692"/>
      <c r="EM65" s="2692"/>
      <c r="EN65" s="2692"/>
      <c r="EO65" s="2692"/>
      <c r="EP65" s="2692"/>
      <c r="EQ65" s="2692"/>
      <c r="ER65" s="2692"/>
      <c r="ES65" s="2692"/>
      <c r="ET65" s="2692"/>
      <c r="EU65" s="2692"/>
      <c r="EV65" s="2692"/>
      <c r="EW65" s="2692"/>
      <c r="EX65" s="2692"/>
      <c r="EY65" s="2692"/>
      <c r="EZ65" s="2692"/>
      <c r="FA65" s="2692"/>
      <c r="FB65" s="2692"/>
      <c r="FC65" s="2692"/>
      <c r="FD65" s="2692"/>
      <c r="FE65" s="2692"/>
      <c r="FF65" s="2692"/>
      <c r="FG65" s="2692"/>
      <c r="FH65" s="2692"/>
      <c r="FI65" s="2692"/>
      <c r="FJ65" s="2692"/>
      <c r="FK65" s="2692"/>
      <c r="FL65" s="2692"/>
      <c r="FM65" s="2692"/>
      <c r="FN65" s="2692"/>
      <c r="FO65" s="2692"/>
      <c r="FP65" s="2692"/>
      <c r="FQ65" s="2692"/>
      <c r="FR65" s="2692"/>
      <c r="FS65" s="2692"/>
      <c r="FT65" s="2692"/>
      <c r="FU65" s="2692"/>
      <c r="FV65" s="2692"/>
      <c r="FW65" s="2692"/>
      <c r="FX65" s="2692"/>
      <c r="FY65" s="2692"/>
      <c r="FZ65" s="2692"/>
      <c r="GA65" s="2692"/>
      <c r="GB65" s="2692"/>
      <c r="GC65" s="2692"/>
      <c r="GD65" s="2692"/>
      <c r="GE65" s="2692"/>
      <c r="GF65" s="2692"/>
      <c r="GG65" s="2692"/>
      <c r="GH65" s="2692"/>
      <c r="GI65" s="2692"/>
      <c r="GJ65" s="2692"/>
      <c r="GK65" s="2692"/>
      <c r="GL65" s="2692"/>
      <c r="GM65" s="2692"/>
      <c r="GN65" s="2692"/>
      <c r="GO65" s="2692"/>
      <c r="GP65" s="2692"/>
      <c r="GQ65" s="2692"/>
      <c r="GR65" s="2692"/>
      <c r="GS65" s="2692"/>
      <c r="GT65" s="2692"/>
      <c r="GU65" s="2692"/>
      <c r="GV65" s="2692"/>
      <c r="GW65" s="2692"/>
      <c r="GX65" s="2692"/>
      <c r="GY65" s="2692"/>
      <c r="GZ65" s="2692"/>
      <c r="HA65" s="2692"/>
      <c r="HB65" s="2692"/>
      <c r="HC65" s="2692"/>
      <c r="HD65" s="2692"/>
      <c r="HE65" s="2692"/>
      <c r="HF65" s="2692"/>
      <c r="HG65" s="2692"/>
      <c r="HH65" s="2692"/>
      <c r="HI65" s="2692"/>
      <c r="HJ65" s="2692"/>
      <c r="HK65" s="2692"/>
      <c r="HL65" s="2692"/>
      <c r="HM65" s="2692"/>
      <c r="HN65" s="2692"/>
      <c r="HO65" s="2692"/>
      <c r="HP65" s="2692"/>
      <c r="HQ65" s="2692"/>
      <c r="HR65" s="2692"/>
      <c r="HS65" s="2692"/>
      <c r="HT65" s="2692"/>
      <c r="HU65" s="2692"/>
      <c r="HV65" s="2692"/>
      <c r="HW65" s="2692"/>
      <c r="HX65" s="2692"/>
      <c r="HY65" s="2692"/>
      <c r="HZ65" s="2692"/>
      <c r="IA65" s="2692"/>
      <c r="IB65" s="2692"/>
      <c r="IC65" s="2692"/>
      <c r="ID65" s="2692"/>
      <c r="IE65" s="2692"/>
      <c r="IF65" s="2692"/>
      <c r="IG65" s="2692"/>
      <c r="IH65" s="2692"/>
      <c r="II65" s="2692"/>
      <c r="IJ65" s="2692"/>
      <c r="IK65" s="2692"/>
      <c r="IL65" s="2692"/>
      <c r="IM65" s="2692"/>
      <c r="IN65" s="2692"/>
      <c r="IO65" s="2692"/>
      <c r="IP65" s="2692"/>
      <c r="IQ65" s="2692"/>
      <c r="IR65" s="2692"/>
      <c r="IS65" s="2692"/>
      <c r="IT65" s="2692"/>
      <c r="IU65" s="2692"/>
      <c r="IV65" s="2692"/>
    </row>
    <row r="66" spans="1:256" s="40" customFormat="1" ht="13" x14ac:dyDescent="0.3">
      <c r="A66" s="2702"/>
      <c r="B66" s="2700"/>
      <c r="C66" s="2700"/>
      <c r="D66" s="2700"/>
      <c r="E66" s="2701"/>
      <c r="F66" s="2700"/>
      <c r="G66" s="2700"/>
      <c r="H66" s="2700"/>
      <c r="I66" s="2700"/>
      <c r="J66" s="2701"/>
      <c r="K66" s="2692"/>
      <c r="L66" s="2692"/>
      <c r="M66" s="2692"/>
      <c r="N66" s="2692"/>
      <c r="O66" s="2692"/>
      <c r="P66" s="2692"/>
      <c r="Q66" s="2692"/>
      <c r="R66" s="2692"/>
      <c r="S66" s="2692"/>
      <c r="T66" s="2692"/>
      <c r="U66" s="2692"/>
      <c r="V66" s="2692"/>
      <c r="W66" s="2692"/>
      <c r="X66" s="2692"/>
      <c r="Y66" s="2692"/>
      <c r="Z66" s="2692"/>
      <c r="AA66" s="2692"/>
      <c r="AB66" s="2692"/>
      <c r="AC66" s="2692"/>
      <c r="AD66" s="2692"/>
      <c r="AE66" s="2692"/>
      <c r="AF66" s="2692"/>
      <c r="AG66" s="2692"/>
      <c r="AH66" s="2692"/>
      <c r="AI66" s="2692"/>
      <c r="AJ66" s="2692"/>
      <c r="AK66" s="2692"/>
      <c r="AL66" s="2692"/>
      <c r="AM66" s="2692"/>
      <c r="AN66" s="2692"/>
      <c r="AO66" s="2692"/>
      <c r="AP66" s="2692"/>
      <c r="AQ66" s="2692"/>
      <c r="AR66" s="2692"/>
      <c r="AS66" s="2692"/>
      <c r="AT66" s="2692"/>
      <c r="AU66" s="2692"/>
      <c r="AV66" s="2692"/>
      <c r="AW66" s="2692"/>
      <c r="AX66" s="2692"/>
      <c r="AY66" s="2692"/>
      <c r="AZ66" s="2692"/>
      <c r="BA66" s="2692"/>
      <c r="BB66" s="2692"/>
      <c r="BC66" s="2692"/>
      <c r="BD66" s="2692"/>
      <c r="BE66" s="2692"/>
      <c r="BF66" s="2692"/>
      <c r="BG66" s="2692"/>
      <c r="BH66" s="2692"/>
      <c r="BI66" s="2692"/>
      <c r="BJ66" s="2692"/>
      <c r="BK66" s="2692"/>
      <c r="BL66" s="2692"/>
      <c r="BM66" s="2692"/>
      <c r="BN66" s="2692"/>
      <c r="BO66" s="2692"/>
      <c r="BP66" s="2692"/>
      <c r="BQ66" s="2692"/>
      <c r="BR66" s="2692"/>
      <c r="BS66" s="2692"/>
      <c r="BT66" s="2692"/>
      <c r="BU66" s="2692"/>
      <c r="BV66" s="2692"/>
      <c r="BW66" s="2692"/>
      <c r="BX66" s="2692"/>
      <c r="BY66" s="2692"/>
      <c r="BZ66" s="2692"/>
      <c r="CA66" s="2692"/>
      <c r="CB66" s="2692"/>
      <c r="CC66" s="2692"/>
      <c r="CD66" s="2692"/>
      <c r="CE66" s="2692"/>
      <c r="CF66" s="2692"/>
      <c r="CG66" s="2692"/>
      <c r="CH66" s="2692"/>
      <c r="CI66" s="2692"/>
      <c r="CJ66" s="2692"/>
      <c r="CK66" s="2692"/>
      <c r="CL66" s="2692"/>
      <c r="CM66" s="2692"/>
      <c r="CN66" s="2692"/>
      <c r="CO66" s="2692"/>
      <c r="CP66" s="2692"/>
      <c r="CQ66" s="2692"/>
      <c r="CR66" s="2692"/>
      <c r="CS66" s="2692"/>
      <c r="CT66" s="2692"/>
      <c r="CU66" s="2692"/>
      <c r="CV66" s="2692"/>
      <c r="CW66" s="2692"/>
      <c r="CX66" s="2692"/>
      <c r="CY66" s="2692"/>
      <c r="CZ66" s="2692"/>
      <c r="DA66" s="2692"/>
      <c r="DB66" s="2692"/>
      <c r="DC66" s="2692"/>
      <c r="DD66" s="2692"/>
      <c r="DE66" s="2692"/>
      <c r="DF66" s="2692"/>
      <c r="DG66" s="2692"/>
      <c r="DH66" s="2692"/>
      <c r="DI66" s="2692"/>
      <c r="DJ66" s="2692"/>
      <c r="DK66" s="2692"/>
      <c r="DL66" s="2692"/>
      <c r="DM66" s="2692"/>
      <c r="DN66" s="2692"/>
      <c r="DO66" s="2692"/>
      <c r="DP66" s="2692"/>
      <c r="DQ66" s="2692"/>
      <c r="DR66" s="2692"/>
      <c r="DS66" s="2692"/>
      <c r="DT66" s="2692"/>
      <c r="DU66" s="2692"/>
      <c r="DV66" s="2692"/>
      <c r="DW66" s="2692"/>
      <c r="DX66" s="2692"/>
      <c r="DY66" s="2692"/>
      <c r="DZ66" s="2692"/>
      <c r="EA66" s="2692"/>
      <c r="EB66" s="2692"/>
      <c r="EC66" s="2692"/>
      <c r="ED66" s="2692"/>
      <c r="EE66" s="2692"/>
      <c r="EF66" s="2692"/>
      <c r="EG66" s="2692"/>
      <c r="EH66" s="2692"/>
      <c r="EI66" s="2692"/>
      <c r="EJ66" s="2692"/>
      <c r="EK66" s="2692"/>
      <c r="EL66" s="2692"/>
      <c r="EM66" s="2692"/>
      <c r="EN66" s="2692"/>
      <c r="EO66" s="2692"/>
      <c r="EP66" s="2692"/>
      <c r="EQ66" s="2692"/>
      <c r="ER66" s="2692"/>
      <c r="ES66" s="2692"/>
      <c r="ET66" s="2692"/>
      <c r="EU66" s="2692"/>
      <c r="EV66" s="2692"/>
      <c r="EW66" s="2692"/>
      <c r="EX66" s="2692"/>
      <c r="EY66" s="2692"/>
      <c r="EZ66" s="2692"/>
      <c r="FA66" s="2692"/>
      <c r="FB66" s="2692"/>
      <c r="FC66" s="2692"/>
      <c r="FD66" s="2692"/>
      <c r="FE66" s="2692"/>
      <c r="FF66" s="2692"/>
      <c r="FG66" s="2692"/>
      <c r="FH66" s="2692"/>
      <c r="FI66" s="2692"/>
      <c r="FJ66" s="2692"/>
      <c r="FK66" s="2692"/>
      <c r="FL66" s="2692"/>
      <c r="FM66" s="2692"/>
      <c r="FN66" s="2692"/>
      <c r="FO66" s="2692"/>
      <c r="FP66" s="2692"/>
      <c r="FQ66" s="2692"/>
      <c r="FR66" s="2692"/>
      <c r="FS66" s="2692"/>
      <c r="FT66" s="2692"/>
      <c r="FU66" s="2692"/>
      <c r="FV66" s="2692"/>
      <c r="FW66" s="2692"/>
      <c r="FX66" s="2692"/>
      <c r="FY66" s="2692"/>
      <c r="FZ66" s="2692"/>
      <c r="GA66" s="2692"/>
      <c r="GB66" s="2692"/>
      <c r="GC66" s="2692"/>
      <c r="GD66" s="2692"/>
      <c r="GE66" s="2692"/>
      <c r="GF66" s="2692"/>
      <c r="GG66" s="2692"/>
      <c r="GH66" s="2692"/>
      <c r="GI66" s="2692"/>
      <c r="GJ66" s="2692"/>
      <c r="GK66" s="2692"/>
      <c r="GL66" s="2692"/>
      <c r="GM66" s="2692"/>
      <c r="GN66" s="2692"/>
      <c r="GO66" s="2692"/>
      <c r="GP66" s="2692"/>
      <c r="GQ66" s="2692"/>
      <c r="GR66" s="2692"/>
      <c r="GS66" s="2692"/>
      <c r="GT66" s="2692"/>
      <c r="GU66" s="2692"/>
      <c r="GV66" s="2692"/>
      <c r="GW66" s="2692"/>
      <c r="GX66" s="2692"/>
      <c r="GY66" s="2692"/>
      <c r="GZ66" s="2692"/>
      <c r="HA66" s="2692"/>
      <c r="HB66" s="2692"/>
      <c r="HC66" s="2692"/>
      <c r="HD66" s="2692"/>
      <c r="HE66" s="2692"/>
      <c r="HF66" s="2692"/>
      <c r="HG66" s="2692"/>
      <c r="HH66" s="2692"/>
      <c r="HI66" s="2692"/>
      <c r="HJ66" s="2692"/>
      <c r="HK66" s="2692"/>
      <c r="HL66" s="2692"/>
      <c r="HM66" s="2692"/>
      <c r="HN66" s="2692"/>
      <c r="HO66" s="2692"/>
      <c r="HP66" s="2692"/>
      <c r="HQ66" s="2692"/>
      <c r="HR66" s="2692"/>
      <c r="HS66" s="2692"/>
      <c r="HT66" s="2692"/>
      <c r="HU66" s="2692"/>
      <c r="HV66" s="2692"/>
      <c r="HW66" s="2692"/>
      <c r="HX66" s="2692"/>
      <c r="HY66" s="2692"/>
      <c r="HZ66" s="2692"/>
      <c r="IA66" s="2692"/>
      <c r="IB66" s="2692"/>
      <c r="IC66" s="2692"/>
      <c r="ID66" s="2692"/>
      <c r="IE66" s="2692"/>
      <c r="IF66" s="2692"/>
      <c r="IG66" s="2692"/>
      <c r="IH66" s="2692"/>
      <c r="II66" s="2692"/>
      <c r="IJ66" s="2692"/>
      <c r="IK66" s="2692"/>
      <c r="IL66" s="2692"/>
      <c r="IM66" s="2692"/>
      <c r="IN66" s="2692"/>
      <c r="IO66" s="2692"/>
      <c r="IP66" s="2692"/>
      <c r="IQ66" s="2692"/>
      <c r="IR66" s="2692"/>
      <c r="IS66" s="2692"/>
      <c r="IT66" s="2692"/>
      <c r="IU66" s="2692"/>
      <c r="IV66" s="2692"/>
    </row>
    <row r="67" spans="1:256" s="40" customFormat="1" ht="12.5" x14ac:dyDescent="0.25">
      <c r="A67" s="2961" t="s">
        <v>2758</v>
      </c>
      <c r="B67" s="2760"/>
      <c r="C67" s="2760"/>
      <c r="D67" s="2760"/>
      <c r="E67" s="2761"/>
      <c r="F67" s="2760" t="s">
        <v>2761</v>
      </c>
      <c r="G67" s="2760"/>
      <c r="H67" s="2760"/>
      <c r="I67" s="2760"/>
      <c r="J67" s="2761"/>
      <c r="K67" s="2692"/>
      <c r="L67" s="2692"/>
      <c r="M67" s="2692"/>
      <c r="N67" s="2692"/>
      <c r="O67" s="2692"/>
      <c r="P67" s="2692"/>
      <c r="Q67" s="2692"/>
      <c r="R67" s="2692"/>
      <c r="S67" s="2692"/>
      <c r="T67" s="2692"/>
      <c r="U67" s="2692"/>
      <c r="V67" s="2692"/>
      <c r="W67" s="2692"/>
      <c r="X67" s="2692"/>
      <c r="Y67" s="2692"/>
      <c r="Z67" s="2692"/>
      <c r="AA67" s="2692"/>
      <c r="AB67" s="2692"/>
      <c r="AC67" s="2692"/>
      <c r="AD67" s="2692"/>
      <c r="AE67" s="2692"/>
      <c r="AF67" s="2692"/>
      <c r="AG67" s="2692"/>
      <c r="AH67" s="2692"/>
      <c r="AI67" s="2692"/>
      <c r="AJ67" s="2692"/>
      <c r="AK67" s="2692"/>
      <c r="AL67" s="2692"/>
      <c r="AM67" s="2692"/>
      <c r="AN67" s="2692"/>
      <c r="AO67" s="2692"/>
      <c r="AP67" s="2692"/>
      <c r="AQ67" s="2692"/>
      <c r="AR67" s="2692"/>
      <c r="AS67" s="2692"/>
      <c r="AT67" s="2692"/>
      <c r="AU67" s="2692"/>
      <c r="AV67" s="2692"/>
      <c r="AW67" s="2692"/>
      <c r="AX67" s="2692"/>
      <c r="AY67" s="2692"/>
      <c r="AZ67" s="2692"/>
      <c r="BA67" s="2692"/>
      <c r="BB67" s="2692"/>
      <c r="BC67" s="2692"/>
      <c r="BD67" s="2692"/>
      <c r="BE67" s="2692"/>
      <c r="BF67" s="2692"/>
      <c r="BG67" s="2692"/>
      <c r="BH67" s="2692"/>
      <c r="BI67" s="2692"/>
      <c r="BJ67" s="2692"/>
      <c r="BK67" s="2692"/>
      <c r="BL67" s="2692"/>
      <c r="BM67" s="2692"/>
      <c r="BN67" s="2692"/>
      <c r="BO67" s="2692"/>
      <c r="BP67" s="2692"/>
      <c r="BQ67" s="2692"/>
      <c r="BR67" s="2692"/>
      <c r="BS67" s="2692"/>
      <c r="BT67" s="2692"/>
      <c r="BU67" s="2692"/>
      <c r="BV67" s="2692"/>
      <c r="BW67" s="2692"/>
      <c r="BX67" s="2692"/>
      <c r="BY67" s="2692"/>
      <c r="BZ67" s="2692"/>
      <c r="CA67" s="2692"/>
      <c r="CB67" s="2692"/>
      <c r="CC67" s="2692"/>
      <c r="CD67" s="2692"/>
      <c r="CE67" s="2692"/>
      <c r="CF67" s="2692"/>
      <c r="CG67" s="2692"/>
      <c r="CH67" s="2692"/>
      <c r="CI67" s="2692"/>
      <c r="CJ67" s="2692"/>
      <c r="CK67" s="2692"/>
      <c r="CL67" s="2692"/>
      <c r="CM67" s="2692"/>
      <c r="CN67" s="2692"/>
      <c r="CO67" s="2692"/>
      <c r="CP67" s="2692"/>
      <c r="CQ67" s="2692"/>
      <c r="CR67" s="2692"/>
      <c r="CS67" s="2692"/>
      <c r="CT67" s="2692"/>
      <c r="CU67" s="2692"/>
      <c r="CV67" s="2692"/>
      <c r="CW67" s="2692"/>
      <c r="CX67" s="2692"/>
      <c r="CY67" s="2692"/>
      <c r="CZ67" s="2692"/>
      <c r="DA67" s="2692"/>
      <c r="DB67" s="2692"/>
      <c r="DC67" s="2692"/>
      <c r="DD67" s="2692"/>
      <c r="DE67" s="2692"/>
      <c r="DF67" s="2692"/>
      <c r="DG67" s="2692"/>
      <c r="DH67" s="2692"/>
      <c r="DI67" s="2692"/>
      <c r="DJ67" s="2692"/>
      <c r="DK67" s="2692"/>
      <c r="DL67" s="2692"/>
      <c r="DM67" s="2692"/>
      <c r="DN67" s="2692"/>
      <c r="DO67" s="2692"/>
      <c r="DP67" s="2692"/>
      <c r="DQ67" s="2692"/>
      <c r="DR67" s="2692"/>
      <c r="DS67" s="2692"/>
      <c r="DT67" s="2692"/>
      <c r="DU67" s="2692"/>
      <c r="DV67" s="2692"/>
      <c r="DW67" s="2692"/>
      <c r="DX67" s="2692"/>
      <c r="DY67" s="2692"/>
      <c r="DZ67" s="2692"/>
      <c r="EA67" s="2692"/>
      <c r="EB67" s="2692"/>
      <c r="EC67" s="2692"/>
      <c r="ED67" s="2692"/>
      <c r="EE67" s="2692"/>
      <c r="EF67" s="2692"/>
      <c r="EG67" s="2692"/>
      <c r="EH67" s="2692"/>
      <c r="EI67" s="2692"/>
      <c r="EJ67" s="2692"/>
      <c r="EK67" s="2692"/>
      <c r="EL67" s="2692"/>
      <c r="EM67" s="2692"/>
      <c r="EN67" s="2692"/>
      <c r="EO67" s="2692"/>
      <c r="EP67" s="2692"/>
      <c r="EQ67" s="2692"/>
      <c r="ER67" s="2692"/>
      <c r="ES67" s="2692"/>
      <c r="ET67" s="2692"/>
      <c r="EU67" s="2692"/>
      <c r="EV67" s="2692"/>
      <c r="EW67" s="2692"/>
      <c r="EX67" s="2692"/>
      <c r="EY67" s="2692"/>
      <c r="EZ67" s="2692"/>
      <c r="FA67" s="2692"/>
      <c r="FB67" s="2692"/>
      <c r="FC67" s="2692"/>
      <c r="FD67" s="2692"/>
      <c r="FE67" s="2692"/>
      <c r="FF67" s="2692"/>
      <c r="FG67" s="2692"/>
      <c r="FH67" s="2692"/>
      <c r="FI67" s="2692"/>
      <c r="FJ67" s="2692"/>
      <c r="FK67" s="2692"/>
      <c r="FL67" s="2692"/>
      <c r="FM67" s="2692"/>
      <c r="FN67" s="2692"/>
      <c r="FO67" s="2692"/>
      <c r="FP67" s="2692"/>
      <c r="FQ67" s="2692"/>
      <c r="FR67" s="2692"/>
      <c r="FS67" s="2692"/>
      <c r="FT67" s="2692"/>
      <c r="FU67" s="2692"/>
      <c r="FV67" s="2692"/>
      <c r="FW67" s="2692"/>
      <c r="FX67" s="2692"/>
      <c r="FY67" s="2692"/>
      <c r="FZ67" s="2692"/>
      <c r="GA67" s="2692"/>
      <c r="GB67" s="2692"/>
      <c r="GC67" s="2692"/>
      <c r="GD67" s="2692"/>
      <c r="GE67" s="2692"/>
      <c r="GF67" s="2692"/>
      <c r="GG67" s="2692"/>
      <c r="GH67" s="2692"/>
      <c r="GI67" s="2692"/>
      <c r="GJ67" s="2692"/>
      <c r="GK67" s="2692"/>
      <c r="GL67" s="2692"/>
      <c r="GM67" s="2692"/>
      <c r="GN67" s="2692"/>
      <c r="GO67" s="2692"/>
      <c r="GP67" s="2692"/>
      <c r="GQ67" s="2692"/>
      <c r="GR67" s="2692"/>
      <c r="GS67" s="2692"/>
      <c r="GT67" s="2692"/>
      <c r="GU67" s="2692"/>
      <c r="GV67" s="2692"/>
      <c r="GW67" s="2692"/>
      <c r="GX67" s="2692"/>
      <c r="GY67" s="2692"/>
      <c r="GZ67" s="2692"/>
      <c r="HA67" s="2692"/>
      <c r="HB67" s="2692"/>
      <c r="HC67" s="2692"/>
      <c r="HD67" s="2692"/>
      <c r="HE67" s="2692"/>
      <c r="HF67" s="2692"/>
      <c r="HG67" s="2692"/>
      <c r="HH67" s="2692"/>
      <c r="HI67" s="2692"/>
      <c r="HJ67" s="2692"/>
      <c r="HK67" s="2692"/>
      <c r="HL67" s="2692"/>
      <c r="HM67" s="2692"/>
      <c r="HN67" s="2692"/>
      <c r="HO67" s="2692"/>
      <c r="HP67" s="2692"/>
      <c r="HQ67" s="2692"/>
      <c r="HR67" s="2692"/>
      <c r="HS67" s="2692"/>
      <c r="HT67" s="2692"/>
      <c r="HU67" s="2692"/>
      <c r="HV67" s="2692"/>
      <c r="HW67" s="2692"/>
      <c r="HX67" s="2692"/>
      <c r="HY67" s="2692"/>
      <c r="HZ67" s="2692"/>
      <c r="IA67" s="2692"/>
      <c r="IB67" s="2692"/>
      <c r="IC67" s="2692"/>
      <c r="ID67" s="2692"/>
      <c r="IE67" s="2692"/>
      <c r="IF67" s="2692"/>
      <c r="IG67" s="2692"/>
      <c r="IH67" s="2692"/>
      <c r="II67" s="2692"/>
      <c r="IJ67" s="2692"/>
      <c r="IK67" s="2692"/>
      <c r="IL67" s="2692"/>
      <c r="IM67" s="2692"/>
      <c r="IN67" s="2692"/>
      <c r="IO67" s="2692"/>
      <c r="IP67" s="2692"/>
      <c r="IQ67" s="2692"/>
      <c r="IR67" s="2692"/>
      <c r="IS67" s="2692"/>
      <c r="IT67" s="2692"/>
      <c r="IU67" s="2692"/>
      <c r="IV67" s="2692"/>
    </row>
    <row r="68" spans="1:256" s="40" customFormat="1" ht="12.5" x14ac:dyDescent="0.25">
      <c r="A68" s="2960" t="s">
        <v>2759</v>
      </c>
      <c r="B68" s="2760"/>
      <c r="C68" s="2760"/>
      <c r="D68" s="2760"/>
      <c r="E68" s="2761"/>
      <c r="F68" s="2760" t="s">
        <v>2762</v>
      </c>
      <c r="G68" s="2760"/>
      <c r="H68" s="2760"/>
      <c r="I68" s="2760"/>
      <c r="J68" s="2761"/>
      <c r="K68" s="2692"/>
      <c r="L68" s="2692"/>
      <c r="M68" s="2692"/>
      <c r="N68" s="2692"/>
      <c r="O68" s="2692"/>
      <c r="P68" s="2692"/>
      <c r="Q68" s="2692"/>
      <c r="R68" s="2692"/>
      <c r="S68" s="2692"/>
      <c r="T68" s="2692"/>
      <c r="U68" s="2692"/>
      <c r="V68" s="2692"/>
      <c r="W68" s="2692"/>
      <c r="X68" s="2692"/>
      <c r="Y68" s="2692"/>
      <c r="Z68" s="2692"/>
      <c r="AA68" s="2692"/>
      <c r="AB68" s="2692"/>
      <c r="AC68" s="2692"/>
      <c r="AD68" s="2692"/>
      <c r="AE68" s="2692"/>
      <c r="AF68" s="2692"/>
      <c r="AG68" s="2692"/>
      <c r="AH68" s="2692"/>
      <c r="AI68" s="2692"/>
      <c r="AJ68" s="2692"/>
      <c r="AK68" s="2692"/>
      <c r="AL68" s="2692"/>
      <c r="AM68" s="2692"/>
      <c r="AN68" s="2692"/>
      <c r="AO68" s="2692"/>
      <c r="AP68" s="2692"/>
      <c r="AQ68" s="2692"/>
      <c r="AR68" s="2692"/>
      <c r="AS68" s="2692"/>
      <c r="AT68" s="2692"/>
      <c r="AU68" s="2692"/>
      <c r="AV68" s="2692"/>
      <c r="AW68" s="2692"/>
      <c r="AX68" s="2692"/>
      <c r="AY68" s="2692"/>
      <c r="AZ68" s="2692"/>
      <c r="BA68" s="2692"/>
      <c r="BB68" s="2692"/>
      <c r="BC68" s="2692"/>
      <c r="BD68" s="2692"/>
      <c r="BE68" s="2692"/>
      <c r="BF68" s="2692"/>
      <c r="BG68" s="2692"/>
      <c r="BH68" s="2692"/>
      <c r="BI68" s="2692"/>
      <c r="BJ68" s="2692"/>
      <c r="BK68" s="2692"/>
      <c r="BL68" s="2692"/>
      <c r="BM68" s="2692"/>
      <c r="BN68" s="2692"/>
      <c r="BO68" s="2692"/>
      <c r="BP68" s="2692"/>
      <c r="BQ68" s="2692"/>
      <c r="BR68" s="2692"/>
      <c r="BS68" s="2692"/>
      <c r="BT68" s="2692"/>
      <c r="BU68" s="2692"/>
      <c r="BV68" s="2692"/>
      <c r="BW68" s="2692"/>
      <c r="BX68" s="2692"/>
      <c r="BY68" s="2692"/>
      <c r="BZ68" s="2692"/>
      <c r="CA68" s="2692"/>
      <c r="CB68" s="2692"/>
      <c r="CC68" s="2692"/>
      <c r="CD68" s="2692"/>
      <c r="CE68" s="2692"/>
      <c r="CF68" s="2692"/>
      <c r="CG68" s="2692"/>
      <c r="CH68" s="2692"/>
      <c r="CI68" s="2692"/>
      <c r="CJ68" s="2692"/>
      <c r="CK68" s="2692"/>
      <c r="CL68" s="2692"/>
      <c r="CM68" s="2692"/>
      <c r="CN68" s="2692"/>
      <c r="CO68" s="2692"/>
      <c r="CP68" s="2692"/>
      <c r="CQ68" s="2692"/>
      <c r="CR68" s="2692"/>
      <c r="CS68" s="2692"/>
      <c r="CT68" s="2692"/>
      <c r="CU68" s="2692"/>
      <c r="CV68" s="2692"/>
      <c r="CW68" s="2692"/>
      <c r="CX68" s="2692"/>
      <c r="CY68" s="2692"/>
      <c r="CZ68" s="2692"/>
      <c r="DA68" s="2692"/>
      <c r="DB68" s="2692"/>
      <c r="DC68" s="2692"/>
      <c r="DD68" s="2692"/>
      <c r="DE68" s="2692"/>
      <c r="DF68" s="2692"/>
      <c r="DG68" s="2692"/>
      <c r="DH68" s="2692"/>
      <c r="DI68" s="2692"/>
      <c r="DJ68" s="2692"/>
      <c r="DK68" s="2692"/>
      <c r="DL68" s="2692"/>
      <c r="DM68" s="2692"/>
      <c r="DN68" s="2692"/>
      <c r="DO68" s="2692"/>
      <c r="DP68" s="2692"/>
      <c r="DQ68" s="2692"/>
      <c r="DR68" s="2692"/>
      <c r="DS68" s="2692"/>
      <c r="DT68" s="2692"/>
      <c r="DU68" s="2692"/>
      <c r="DV68" s="2692"/>
      <c r="DW68" s="2692"/>
      <c r="DX68" s="2692"/>
      <c r="DY68" s="2692"/>
      <c r="DZ68" s="2692"/>
      <c r="EA68" s="2692"/>
      <c r="EB68" s="2692"/>
      <c r="EC68" s="2692"/>
      <c r="ED68" s="2692"/>
      <c r="EE68" s="2692"/>
      <c r="EF68" s="2692"/>
      <c r="EG68" s="2692"/>
      <c r="EH68" s="2692"/>
      <c r="EI68" s="2692"/>
      <c r="EJ68" s="2692"/>
      <c r="EK68" s="2692"/>
      <c r="EL68" s="2692"/>
      <c r="EM68" s="2692"/>
      <c r="EN68" s="2692"/>
      <c r="EO68" s="2692"/>
      <c r="EP68" s="2692"/>
      <c r="EQ68" s="2692"/>
      <c r="ER68" s="2692"/>
      <c r="ES68" s="2692"/>
      <c r="ET68" s="2692"/>
      <c r="EU68" s="2692"/>
      <c r="EV68" s="2692"/>
      <c r="EW68" s="2692"/>
      <c r="EX68" s="2692"/>
      <c r="EY68" s="2692"/>
      <c r="EZ68" s="2692"/>
      <c r="FA68" s="2692"/>
      <c r="FB68" s="2692"/>
      <c r="FC68" s="2692"/>
      <c r="FD68" s="2692"/>
      <c r="FE68" s="2692"/>
      <c r="FF68" s="2692"/>
      <c r="FG68" s="2692"/>
      <c r="FH68" s="2692"/>
      <c r="FI68" s="2692"/>
      <c r="FJ68" s="2692"/>
      <c r="FK68" s="2692"/>
      <c r="FL68" s="2692"/>
      <c r="FM68" s="2692"/>
      <c r="FN68" s="2692"/>
      <c r="FO68" s="2692"/>
      <c r="FP68" s="2692"/>
      <c r="FQ68" s="2692"/>
      <c r="FR68" s="2692"/>
      <c r="FS68" s="2692"/>
      <c r="FT68" s="2692"/>
      <c r="FU68" s="2692"/>
      <c r="FV68" s="2692"/>
      <c r="FW68" s="2692"/>
      <c r="FX68" s="2692"/>
      <c r="FY68" s="2692"/>
      <c r="FZ68" s="2692"/>
      <c r="GA68" s="2692"/>
      <c r="GB68" s="2692"/>
      <c r="GC68" s="2692"/>
      <c r="GD68" s="2692"/>
      <c r="GE68" s="2692"/>
      <c r="GF68" s="2692"/>
      <c r="GG68" s="2692"/>
      <c r="GH68" s="2692"/>
      <c r="GI68" s="2692"/>
      <c r="GJ68" s="2692"/>
      <c r="GK68" s="2692"/>
      <c r="GL68" s="2692"/>
      <c r="GM68" s="2692"/>
      <c r="GN68" s="2692"/>
      <c r="GO68" s="2692"/>
      <c r="GP68" s="2692"/>
      <c r="GQ68" s="2692"/>
      <c r="GR68" s="2692"/>
      <c r="GS68" s="2692"/>
      <c r="GT68" s="2692"/>
      <c r="GU68" s="2692"/>
      <c r="GV68" s="2692"/>
      <c r="GW68" s="2692"/>
      <c r="GX68" s="2692"/>
      <c r="GY68" s="2692"/>
      <c r="GZ68" s="2692"/>
      <c r="HA68" s="2692"/>
      <c r="HB68" s="2692"/>
      <c r="HC68" s="2692"/>
      <c r="HD68" s="2692"/>
      <c r="HE68" s="2692"/>
      <c r="HF68" s="2692"/>
      <c r="HG68" s="2692"/>
      <c r="HH68" s="2692"/>
      <c r="HI68" s="2692"/>
      <c r="HJ68" s="2692"/>
      <c r="HK68" s="2692"/>
      <c r="HL68" s="2692"/>
      <c r="HM68" s="2692"/>
      <c r="HN68" s="2692"/>
      <c r="HO68" s="2692"/>
      <c r="HP68" s="2692"/>
      <c r="HQ68" s="2692"/>
      <c r="HR68" s="2692"/>
      <c r="HS68" s="2692"/>
      <c r="HT68" s="2692"/>
      <c r="HU68" s="2692"/>
      <c r="HV68" s="2692"/>
      <c r="HW68" s="2692"/>
      <c r="HX68" s="2692"/>
      <c r="HY68" s="2692"/>
      <c r="HZ68" s="2692"/>
      <c r="IA68" s="2692"/>
      <c r="IB68" s="2692"/>
      <c r="IC68" s="2692"/>
      <c r="ID68" s="2692"/>
      <c r="IE68" s="2692"/>
      <c r="IF68" s="2692"/>
      <c r="IG68" s="2692"/>
      <c r="IH68" s="2692"/>
      <c r="II68" s="2692"/>
      <c r="IJ68" s="2692"/>
      <c r="IK68" s="2692"/>
      <c r="IL68" s="2692"/>
      <c r="IM68" s="2692"/>
      <c r="IN68" s="2692"/>
      <c r="IO68" s="2692"/>
      <c r="IP68" s="2692"/>
      <c r="IQ68" s="2692"/>
      <c r="IR68" s="2692"/>
      <c r="IS68" s="2692"/>
      <c r="IT68" s="2692"/>
      <c r="IU68" s="2692"/>
      <c r="IV68" s="2692"/>
    </row>
    <row r="69" spans="1:256" s="40" customFormat="1" ht="12.5" x14ac:dyDescent="0.25">
      <c r="A69" s="2960" t="s">
        <v>2760</v>
      </c>
      <c r="B69" s="2760"/>
      <c r="C69" s="2760"/>
      <c r="D69" s="2760"/>
      <c r="E69" s="2761"/>
      <c r="F69" s="2760" t="s">
        <v>2763</v>
      </c>
      <c r="G69" s="2760"/>
      <c r="H69" s="2760"/>
      <c r="I69" s="2760"/>
      <c r="J69" s="2761"/>
      <c r="K69" s="2692"/>
      <c r="L69" s="2692"/>
      <c r="M69" s="2692"/>
      <c r="N69" s="2692"/>
      <c r="O69" s="2692"/>
      <c r="P69" s="2692"/>
      <c r="Q69" s="2692"/>
      <c r="R69" s="2692"/>
      <c r="S69" s="2692"/>
      <c r="T69" s="2692"/>
      <c r="U69" s="2692"/>
      <c r="V69" s="2692"/>
      <c r="W69" s="2692"/>
      <c r="X69" s="2692"/>
      <c r="Y69" s="2692"/>
      <c r="Z69" s="2692"/>
      <c r="AA69" s="2692"/>
      <c r="AB69" s="2692"/>
      <c r="AC69" s="2692"/>
      <c r="AD69" s="2692"/>
      <c r="AE69" s="2692"/>
      <c r="AF69" s="2692"/>
      <c r="AG69" s="2692"/>
      <c r="AH69" s="2692"/>
      <c r="AI69" s="2692"/>
      <c r="AJ69" s="2692"/>
      <c r="AK69" s="2692"/>
      <c r="AL69" s="2692"/>
      <c r="AM69" s="2692"/>
      <c r="AN69" s="2692"/>
      <c r="AO69" s="2692"/>
      <c r="AP69" s="2692"/>
      <c r="AQ69" s="2692"/>
      <c r="AR69" s="2692"/>
      <c r="AS69" s="2692"/>
      <c r="AT69" s="2692"/>
      <c r="AU69" s="2692"/>
      <c r="AV69" s="2692"/>
      <c r="AW69" s="2692"/>
      <c r="AX69" s="2692"/>
      <c r="AY69" s="2692"/>
      <c r="AZ69" s="2692"/>
      <c r="BA69" s="2692"/>
      <c r="BB69" s="2692"/>
      <c r="BC69" s="2692"/>
      <c r="BD69" s="2692"/>
      <c r="BE69" s="2692"/>
      <c r="BF69" s="2692"/>
      <c r="BG69" s="2692"/>
      <c r="BH69" s="2692"/>
      <c r="BI69" s="2692"/>
      <c r="BJ69" s="2692"/>
      <c r="BK69" s="2692"/>
      <c r="BL69" s="2692"/>
      <c r="BM69" s="2692"/>
      <c r="BN69" s="2692"/>
      <c r="BO69" s="2692"/>
      <c r="BP69" s="2692"/>
      <c r="BQ69" s="2692"/>
      <c r="BR69" s="2692"/>
      <c r="BS69" s="2692"/>
      <c r="BT69" s="2692"/>
      <c r="BU69" s="2692"/>
      <c r="BV69" s="2692"/>
      <c r="BW69" s="2692"/>
      <c r="BX69" s="2692"/>
      <c r="BY69" s="2692"/>
      <c r="BZ69" s="2692"/>
      <c r="CA69" s="2692"/>
      <c r="CB69" s="2692"/>
      <c r="CC69" s="2692"/>
      <c r="CD69" s="2692"/>
      <c r="CE69" s="2692"/>
      <c r="CF69" s="2692"/>
      <c r="CG69" s="2692"/>
      <c r="CH69" s="2692"/>
      <c r="CI69" s="2692"/>
      <c r="CJ69" s="2692"/>
      <c r="CK69" s="2692"/>
      <c r="CL69" s="2692"/>
      <c r="CM69" s="2692"/>
      <c r="CN69" s="2692"/>
      <c r="CO69" s="2692"/>
      <c r="CP69" s="2692"/>
      <c r="CQ69" s="2692"/>
      <c r="CR69" s="2692"/>
      <c r="CS69" s="2692"/>
      <c r="CT69" s="2692"/>
      <c r="CU69" s="2692"/>
      <c r="CV69" s="2692"/>
      <c r="CW69" s="2692"/>
      <c r="CX69" s="2692"/>
      <c r="CY69" s="2692"/>
      <c r="CZ69" s="2692"/>
      <c r="DA69" s="2692"/>
      <c r="DB69" s="2692"/>
      <c r="DC69" s="2692"/>
      <c r="DD69" s="2692"/>
      <c r="DE69" s="2692"/>
      <c r="DF69" s="2692"/>
      <c r="DG69" s="2692"/>
      <c r="DH69" s="2692"/>
      <c r="DI69" s="2692"/>
      <c r="DJ69" s="2692"/>
      <c r="DK69" s="2692"/>
      <c r="DL69" s="2692"/>
      <c r="DM69" s="2692"/>
      <c r="DN69" s="2692"/>
      <c r="DO69" s="2692"/>
      <c r="DP69" s="2692"/>
      <c r="DQ69" s="2692"/>
      <c r="DR69" s="2692"/>
      <c r="DS69" s="2692"/>
      <c r="DT69" s="2692"/>
      <c r="DU69" s="2692"/>
      <c r="DV69" s="2692"/>
      <c r="DW69" s="2692"/>
      <c r="DX69" s="2692"/>
      <c r="DY69" s="2692"/>
      <c r="DZ69" s="2692"/>
      <c r="EA69" s="2692"/>
      <c r="EB69" s="2692"/>
      <c r="EC69" s="2692"/>
      <c r="ED69" s="2692"/>
      <c r="EE69" s="2692"/>
      <c r="EF69" s="2692"/>
      <c r="EG69" s="2692"/>
      <c r="EH69" s="2692"/>
      <c r="EI69" s="2692"/>
      <c r="EJ69" s="2692"/>
      <c r="EK69" s="2692"/>
      <c r="EL69" s="2692"/>
      <c r="EM69" s="2692"/>
      <c r="EN69" s="2692"/>
      <c r="EO69" s="2692"/>
      <c r="EP69" s="2692"/>
      <c r="EQ69" s="2692"/>
      <c r="ER69" s="2692"/>
      <c r="ES69" s="2692"/>
      <c r="ET69" s="2692"/>
      <c r="EU69" s="2692"/>
      <c r="EV69" s="2692"/>
      <c r="EW69" s="2692"/>
      <c r="EX69" s="2692"/>
      <c r="EY69" s="2692"/>
      <c r="EZ69" s="2692"/>
      <c r="FA69" s="2692"/>
      <c r="FB69" s="2692"/>
      <c r="FC69" s="2692"/>
      <c r="FD69" s="2692"/>
      <c r="FE69" s="2692"/>
      <c r="FF69" s="2692"/>
      <c r="FG69" s="2692"/>
      <c r="FH69" s="2692"/>
      <c r="FI69" s="2692"/>
      <c r="FJ69" s="2692"/>
      <c r="FK69" s="2692"/>
      <c r="FL69" s="2692"/>
      <c r="FM69" s="2692"/>
      <c r="FN69" s="2692"/>
      <c r="FO69" s="2692"/>
      <c r="FP69" s="2692"/>
      <c r="FQ69" s="2692"/>
      <c r="FR69" s="2692"/>
      <c r="FS69" s="2692"/>
      <c r="FT69" s="2692"/>
      <c r="FU69" s="2692"/>
      <c r="FV69" s="2692"/>
      <c r="FW69" s="2692"/>
      <c r="FX69" s="2692"/>
      <c r="FY69" s="2692"/>
      <c r="FZ69" s="2692"/>
      <c r="GA69" s="2692"/>
      <c r="GB69" s="2692"/>
      <c r="GC69" s="2692"/>
      <c r="GD69" s="2692"/>
      <c r="GE69" s="2692"/>
      <c r="GF69" s="2692"/>
      <c r="GG69" s="2692"/>
      <c r="GH69" s="2692"/>
      <c r="GI69" s="2692"/>
      <c r="GJ69" s="2692"/>
      <c r="GK69" s="2692"/>
      <c r="GL69" s="2692"/>
      <c r="GM69" s="2692"/>
      <c r="GN69" s="2692"/>
      <c r="GO69" s="2692"/>
      <c r="GP69" s="2692"/>
      <c r="GQ69" s="2692"/>
      <c r="GR69" s="2692"/>
      <c r="GS69" s="2692"/>
      <c r="GT69" s="2692"/>
      <c r="GU69" s="2692"/>
      <c r="GV69" s="2692"/>
      <c r="GW69" s="2692"/>
      <c r="GX69" s="2692"/>
      <c r="GY69" s="2692"/>
      <c r="GZ69" s="2692"/>
      <c r="HA69" s="2692"/>
      <c r="HB69" s="2692"/>
      <c r="HC69" s="2692"/>
      <c r="HD69" s="2692"/>
      <c r="HE69" s="2692"/>
      <c r="HF69" s="2692"/>
      <c r="HG69" s="2692"/>
      <c r="HH69" s="2692"/>
      <c r="HI69" s="2692"/>
      <c r="HJ69" s="2692"/>
      <c r="HK69" s="2692"/>
      <c r="HL69" s="2692"/>
      <c r="HM69" s="2692"/>
      <c r="HN69" s="2692"/>
      <c r="HO69" s="2692"/>
      <c r="HP69" s="2692"/>
      <c r="HQ69" s="2692"/>
      <c r="HR69" s="2692"/>
      <c r="HS69" s="2692"/>
      <c r="HT69" s="2692"/>
      <c r="HU69" s="2692"/>
      <c r="HV69" s="2692"/>
      <c r="HW69" s="2692"/>
      <c r="HX69" s="2692"/>
      <c r="HY69" s="2692"/>
      <c r="HZ69" s="2692"/>
      <c r="IA69" s="2692"/>
      <c r="IB69" s="2692"/>
      <c r="IC69" s="2692"/>
      <c r="ID69" s="2692"/>
      <c r="IE69" s="2692"/>
      <c r="IF69" s="2692"/>
      <c r="IG69" s="2692"/>
      <c r="IH69" s="2692"/>
      <c r="II69" s="2692"/>
      <c r="IJ69" s="2692"/>
      <c r="IK69" s="2692"/>
      <c r="IL69" s="2692"/>
      <c r="IM69" s="2692"/>
      <c r="IN69" s="2692"/>
      <c r="IO69" s="2692"/>
      <c r="IP69" s="2692"/>
      <c r="IQ69" s="2692"/>
      <c r="IR69" s="2692"/>
      <c r="IS69" s="2692"/>
      <c r="IT69" s="2692"/>
      <c r="IU69" s="2692"/>
      <c r="IV69" s="2692"/>
    </row>
    <row r="70" spans="1:256" s="40" customFormat="1" ht="12.5" x14ac:dyDescent="0.25">
      <c r="A70" s="2960"/>
      <c r="B70" s="2760"/>
      <c r="C70" s="2760"/>
      <c r="D70" s="2760"/>
      <c r="E70" s="2761"/>
      <c r="F70" s="2760" t="s">
        <v>2766</v>
      </c>
      <c r="G70" s="2760"/>
      <c r="H70" s="2760"/>
      <c r="I70" s="2760"/>
      <c r="J70" s="2761"/>
      <c r="K70" s="2692"/>
      <c r="L70" s="2692"/>
      <c r="M70" s="2692"/>
      <c r="N70" s="2692"/>
      <c r="O70" s="2692"/>
      <c r="P70" s="2692"/>
      <c r="Q70" s="2692"/>
      <c r="R70" s="2692"/>
      <c r="S70" s="2692"/>
      <c r="T70" s="2692"/>
      <c r="U70" s="2692"/>
      <c r="V70" s="2692"/>
      <c r="W70" s="2692"/>
      <c r="X70" s="2692"/>
      <c r="Y70" s="2692"/>
      <c r="Z70" s="2692"/>
      <c r="AA70" s="2692"/>
      <c r="AB70" s="2692"/>
      <c r="AC70" s="2692"/>
      <c r="AD70" s="2692"/>
      <c r="AE70" s="2692"/>
      <c r="AF70" s="2692"/>
      <c r="AG70" s="2692"/>
      <c r="AH70" s="2692"/>
      <c r="AI70" s="2692"/>
      <c r="AJ70" s="2692"/>
      <c r="AK70" s="2692"/>
      <c r="AL70" s="2692"/>
      <c r="AM70" s="2692"/>
      <c r="AN70" s="2692"/>
      <c r="AO70" s="2692"/>
      <c r="AP70" s="2692"/>
      <c r="AQ70" s="2692"/>
      <c r="AR70" s="2692"/>
      <c r="AS70" s="2692"/>
      <c r="AT70" s="2692"/>
      <c r="AU70" s="2692"/>
      <c r="AV70" s="2692"/>
      <c r="AW70" s="2692"/>
      <c r="AX70" s="2692"/>
      <c r="AY70" s="2692"/>
      <c r="AZ70" s="2692"/>
      <c r="BA70" s="2692"/>
      <c r="BB70" s="2692"/>
      <c r="BC70" s="2692"/>
      <c r="BD70" s="2692"/>
      <c r="BE70" s="2692"/>
      <c r="BF70" s="2692"/>
      <c r="BG70" s="2692"/>
      <c r="BH70" s="2692"/>
      <c r="BI70" s="2692"/>
      <c r="BJ70" s="2692"/>
      <c r="BK70" s="2692"/>
      <c r="BL70" s="2692"/>
      <c r="BM70" s="2692"/>
      <c r="BN70" s="2692"/>
      <c r="BO70" s="2692"/>
      <c r="BP70" s="2692"/>
      <c r="BQ70" s="2692"/>
      <c r="BR70" s="2692"/>
      <c r="BS70" s="2692"/>
      <c r="BT70" s="2692"/>
      <c r="BU70" s="2692"/>
      <c r="BV70" s="2692"/>
      <c r="BW70" s="2692"/>
      <c r="BX70" s="2692"/>
      <c r="BY70" s="2692"/>
      <c r="BZ70" s="2692"/>
      <c r="CA70" s="2692"/>
      <c r="CB70" s="2692"/>
      <c r="CC70" s="2692"/>
      <c r="CD70" s="2692"/>
      <c r="CE70" s="2692"/>
      <c r="CF70" s="2692"/>
      <c r="CG70" s="2692"/>
      <c r="CH70" s="2692"/>
      <c r="CI70" s="2692"/>
      <c r="CJ70" s="2692"/>
      <c r="CK70" s="2692"/>
      <c r="CL70" s="2692"/>
      <c r="CM70" s="2692"/>
      <c r="CN70" s="2692"/>
      <c r="CO70" s="2692"/>
      <c r="CP70" s="2692"/>
      <c r="CQ70" s="2692"/>
      <c r="CR70" s="2692"/>
      <c r="CS70" s="2692"/>
      <c r="CT70" s="2692"/>
      <c r="CU70" s="2692"/>
      <c r="CV70" s="2692"/>
      <c r="CW70" s="2692"/>
      <c r="CX70" s="2692"/>
      <c r="CY70" s="2692"/>
      <c r="CZ70" s="2692"/>
      <c r="DA70" s="2692"/>
      <c r="DB70" s="2692"/>
      <c r="DC70" s="2692"/>
      <c r="DD70" s="2692"/>
      <c r="DE70" s="2692"/>
      <c r="DF70" s="2692"/>
      <c r="DG70" s="2692"/>
      <c r="DH70" s="2692"/>
      <c r="DI70" s="2692"/>
      <c r="DJ70" s="2692"/>
      <c r="DK70" s="2692"/>
      <c r="DL70" s="2692"/>
      <c r="DM70" s="2692"/>
      <c r="DN70" s="2692"/>
      <c r="DO70" s="2692"/>
      <c r="DP70" s="2692"/>
      <c r="DQ70" s="2692"/>
      <c r="DR70" s="2692"/>
      <c r="DS70" s="2692"/>
      <c r="DT70" s="2692"/>
      <c r="DU70" s="2692"/>
      <c r="DV70" s="2692"/>
      <c r="DW70" s="2692"/>
      <c r="DX70" s="2692"/>
      <c r="DY70" s="2692"/>
      <c r="DZ70" s="2692"/>
      <c r="EA70" s="2692"/>
      <c r="EB70" s="2692"/>
      <c r="EC70" s="2692"/>
      <c r="ED70" s="2692"/>
      <c r="EE70" s="2692"/>
      <c r="EF70" s="2692"/>
      <c r="EG70" s="2692"/>
      <c r="EH70" s="2692"/>
      <c r="EI70" s="2692"/>
      <c r="EJ70" s="2692"/>
      <c r="EK70" s="2692"/>
      <c r="EL70" s="2692"/>
      <c r="EM70" s="2692"/>
      <c r="EN70" s="2692"/>
      <c r="EO70" s="2692"/>
      <c r="EP70" s="2692"/>
      <c r="EQ70" s="2692"/>
      <c r="ER70" s="2692"/>
      <c r="ES70" s="2692"/>
      <c r="ET70" s="2692"/>
      <c r="EU70" s="2692"/>
      <c r="EV70" s="2692"/>
      <c r="EW70" s="2692"/>
      <c r="EX70" s="2692"/>
      <c r="EY70" s="2692"/>
      <c r="EZ70" s="2692"/>
      <c r="FA70" s="2692"/>
      <c r="FB70" s="2692"/>
      <c r="FC70" s="2692"/>
      <c r="FD70" s="2692"/>
      <c r="FE70" s="2692"/>
      <c r="FF70" s="2692"/>
      <c r="FG70" s="2692"/>
      <c r="FH70" s="2692"/>
      <c r="FI70" s="2692"/>
      <c r="FJ70" s="2692"/>
      <c r="FK70" s="2692"/>
      <c r="FL70" s="2692"/>
      <c r="FM70" s="2692"/>
      <c r="FN70" s="2692"/>
      <c r="FO70" s="2692"/>
      <c r="FP70" s="2692"/>
      <c r="FQ70" s="2692"/>
      <c r="FR70" s="2692"/>
      <c r="FS70" s="2692"/>
      <c r="FT70" s="2692"/>
      <c r="FU70" s="2692"/>
      <c r="FV70" s="2692"/>
      <c r="FW70" s="2692"/>
      <c r="FX70" s="2692"/>
      <c r="FY70" s="2692"/>
      <c r="FZ70" s="2692"/>
      <c r="GA70" s="2692"/>
      <c r="GB70" s="2692"/>
      <c r="GC70" s="2692"/>
      <c r="GD70" s="2692"/>
      <c r="GE70" s="2692"/>
      <c r="GF70" s="2692"/>
      <c r="GG70" s="2692"/>
      <c r="GH70" s="2692"/>
      <c r="GI70" s="2692"/>
      <c r="GJ70" s="2692"/>
      <c r="GK70" s="2692"/>
      <c r="GL70" s="2692"/>
      <c r="GM70" s="2692"/>
      <c r="GN70" s="2692"/>
      <c r="GO70" s="2692"/>
      <c r="GP70" s="2692"/>
      <c r="GQ70" s="2692"/>
      <c r="GR70" s="2692"/>
      <c r="GS70" s="2692"/>
      <c r="GT70" s="2692"/>
      <c r="GU70" s="2692"/>
      <c r="GV70" s="2692"/>
      <c r="GW70" s="2692"/>
      <c r="GX70" s="2692"/>
      <c r="GY70" s="2692"/>
      <c r="GZ70" s="2692"/>
      <c r="HA70" s="2692"/>
      <c r="HB70" s="2692"/>
      <c r="HC70" s="2692"/>
      <c r="HD70" s="2692"/>
      <c r="HE70" s="2692"/>
      <c r="HF70" s="2692"/>
      <c r="HG70" s="2692"/>
      <c r="HH70" s="2692"/>
      <c r="HI70" s="2692"/>
      <c r="HJ70" s="2692"/>
      <c r="HK70" s="2692"/>
      <c r="HL70" s="2692"/>
      <c r="HM70" s="2692"/>
      <c r="HN70" s="2692"/>
      <c r="HO70" s="2692"/>
      <c r="HP70" s="2692"/>
      <c r="HQ70" s="2692"/>
      <c r="HR70" s="2692"/>
      <c r="HS70" s="2692"/>
      <c r="HT70" s="2692"/>
      <c r="HU70" s="2692"/>
      <c r="HV70" s="2692"/>
      <c r="HW70" s="2692"/>
      <c r="HX70" s="2692"/>
      <c r="HY70" s="2692"/>
      <c r="HZ70" s="2692"/>
      <c r="IA70" s="2692"/>
      <c r="IB70" s="2692"/>
      <c r="IC70" s="2692"/>
      <c r="ID70" s="2692"/>
      <c r="IE70" s="2692"/>
      <c r="IF70" s="2692"/>
      <c r="IG70" s="2692"/>
      <c r="IH70" s="2692"/>
      <c r="II70" s="2692"/>
      <c r="IJ70" s="2692"/>
      <c r="IK70" s="2692"/>
      <c r="IL70" s="2692"/>
      <c r="IM70" s="2692"/>
      <c r="IN70" s="2692"/>
      <c r="IO70" s="2692"/>
      <c r="IP70" s="2692"/>
      <c r="IQ70" s="2692"/>
      <c r="IR70" s="2692"/>
      <c r="IS70" s="2692"/>
      <c r="IT70" s="2692"/>
      <c r="IU70" s="2692"/>
      <c r="IV70" s="2692"/>
    </row>
    <row r="71" spans="1:256" s="40" customFormat="1" ht="13" x14ac:dyDescent="0.3">
      <c r="A71" s="2960"/>
      <c r="B71" s="2760"/>
      <c r="C71" s="2760"/>
      <c r="D71" s="2760"/>
      <c r="E71" s="2761"/>
      <c r="F71" s="2765" t="s">
        <v>2765</v>
      </c>
      <c r="G71" s="2760"/>
      <c r="H71" s="2760"/>
      <c r="I71" s="2760"/>
      <c r="J71" s="2761"/>
      <c r="K71" s="2692"/>
      <c r="L71" s="2692"/>
      <c r="M71" s="2692"/>
      <c r="N71" s="2692"/>
      <c r="O71" s="2692"/>
      <c r="P71" s="2692"/>
      <c r="Q71" s="2692"/>
      <c r="R71" s="2692"/>
      <c r="S71" s="2692"/>
      <c r="T71" s="2692"/>
      <c r="U71" s="2692"/>
      <c r="V71" s="2692"/>
      <c r="W71" s="2692"/>
      <c r="X71" s="2692"/>
      <c r="Y71" s="2692"/>
      <c r="Z71" s="2692"/>
      <c r="AA71" s="2692"/>
      <c r="AB71" s="2692"/>
      <c r="AC71" s="2692"/>
      <c r="AD71" s="2692"/>
      <c r="AE71" s="2692"/>
      <c r="AF71" s="2692"/>
      <c r="AG71" s="2692"/>
      <c r="AH71" s="2692"/>
      <c r="AI71" s="2692"/>
      <c r="AJ71" s="2692"/>
      <c r="AK71" s="2692"/>
      <c r="AL71" s="2692"/>
      <c r="AM71" s="2692"/>
      <c r="AN71" s="2692"/>
      <c r="AO71" s="2692"/>
      <c r="AP71" s="2692"/>
      <c r="AQ71" s="2692"/>
      <c r="AR71" s="2692"/>
      <c r="AS71" s="2692"/>
      <c r="AT71" s="2692"/>
      <c r="AU71" s="2692"/>
      <c r="AV71" s="2692"/>
      <c r="AW71" s="2692"/>
      <c r="AX71" s="2692"/>
      <c r="AY71" s="2692"/>
      <c r="AZ71" s="2692"/>
      <c r="BA71" s="2692"/>
      <c r="BB71" s="2692"/>
      <c r="BC71" s="2692"/>
      <c r="BD71" s="2692"/>
      <c r="BE71" s="2692"/>
      <c r="BF71" s="2692"/>
      <c r="BG71" s="2692"/>
      <c r="BH71" s="2692"/>
      <c r="BI71" s="2692"/>
      <c r="BJ71" s="2692"/>
      <c r="BK71" s="2692"/>
      <c r="BL71" s="2692"/>
      <c r="BM71" s="2692"/>
      <c r="BN71" s="2692"/>
      <c r="BO71" s="2692"/>
      <c r="BP71" s="2692"/>
      <c r="BQ71" s="2692"/>
      <c r="BR71" s="2692"/>
      <c r="BS71" s="2692"/>
      <c r="BT71" s="2692"/>
      <c r="BU71" s="2692"/>
      <c r="BV71" s="2692"/>
      <c r="BW71" s="2692"/>
      <c r="BX71" s="2692"/>
      <c r="BY71" s="2692"/>
      <c r="BZ71" s="2692"/>
      <c r="CA71" s="2692"/>
      <c r="CB71" s="2692"/>
      <c r="CC71" s="2692"/>
      <c r="CD71" s="2692"/>
      <c r="CE71" s="2692"/>
      <c r="CF71" s="2692"/>
      <c r="CG71" s="2692"/>
      <c r="CH71" s="2692"/>
      <c r="CI71" s="2692"/>
      <c r="CJ71" s="2692"/>
      <c r="CK71" s="2692"/>
      <c r="CL71" s="2692"/>
      <c r="CM71" s="2692"/>
      <c r="CN71" s="2692"/>
      <c r="CO71" s="2692"/>
      <c r="CP71" s="2692"/>
      <c r="CQ71" s="2692"/>
      <c r="CR71" s="2692"/>
      <c r="CS71" s="2692"/>
      <c r="CT71" s="2692"/>
      <c r="CU71" s="2692"/>
      <c r="CV71" s="2692"/>
      <c r="CW71" s="2692"/>
      <c r="CX71" s="2692"/>
      <c r="CY71" s="2692"/>
      <c r="CZ71" s="2692"/>
      <c r="DA71" s="2692"/>
      <c r="DB71" s="2692"/>
      <c r="DC71" s="2692"/>
      <c r="DD71" s="2692"/>
      <c r="DE71" s="2692"/>
      <c r="DF71" s="2692"/>
      <c r="DG71" s="2692"/>
      <c r="DH71" s="2692"/>
      <c r="DI71" s="2692"/>
      <c r="DJ71" s="2692"/>
      <c r="DK71" s="2692"/>
      <c r="DL71" s="2692"/>
      <c r="DM71" s="2692"/>
      <c r="DN71" s="2692"/>
      <c r="DO71" s="2692"/>
      <c r="DP71" s="2692"/>
      <c r="DQ71" s="2692"/>
      <c r="DR71" s="2692"/>
      <c r="DS71" s="2692"/>
      <c r="DT71" s="2692"/>
      <c r="DU71" s="2692"/>
      <c r="DV71" s="2692"/>
      <c r="DW71" s="2692"/>
      <c r="DX71" s="2692"/>
      <c r="DY71" s="2692"/>
      <c r="DZ71" s="2692"/>
      <c r="EA71" s="2692"/>
      <c r="EB71" s="2692"/>
      <c r="EC71" s="2692"/>
      <c r="ED71" s="2692"/>
      <c r="EE71" s="2692"/>
      <c r="EF71" s="2692"/>
      <c r="EG71" s="2692"/>
      <c r="EH71" s="2692"/>
      <c r="EI71" s="2692"/>
      <c r="EJ71" s="2692"/>
      <c r="EK71" s="2692"/>
      <c r="EL71" s="2692"/>
      <c r="EM71" s="2692"/>
      <c r="EN71" s="2692"/>
      <c r="EO71" s="2692"/>
      <c r="EP71" s="2692"/>
      <c r="EQ71" s="2692"/>
      <c r="ER71" s="2692"/>
      <c r="ES71" s="2692"/>
      <c r="ET71" s="2692"/>
      <c r="EU71" s="2692"/>
      <c r="EV71" s="2692"/>
      <c r="EW71" s="2692"/>
      <c r="EX71" s="2692"/>
      <c r="EY71" s="2692"/>
      <c r="EZ71" s="2692"/>
      <c r="FA71" s="2692"/>
      <c r="FB71" s="2692"/>
      <c r="FC71" s="2692"/>
      <c r="FD71" s="2692"/>
      <c r="FE71" s="2692"/>
      <c r="FF71" s="2692"/>
      <c r="FG71" s="2692"/>
      <c r="FH71" s="2692"/>
      <c r="FI71" s="2692"/>
      <c r="FJ71" s="2692"/>
      <c r="FK71" s="2692"/>
      <c r="FL71" s="2692"/>
      <c r="FM71" s="2692"/>
      <c r="FN71" s="2692"/>
      <c r="FO71" s="2692"/>
      <c r="FP71" s="2692"/>
      <c r="FQ71" s="2692"/>
      <c r="FR71" s="2692"/>
      <c r="FS71" s="2692"/>
      <c r="FT71" s="2692"/>
      <c r="FU71" s="2692"/>
      <c r="FV71" s="2692"/>
      <c r="FW71" s="2692"/>
      <c r="FX71" s="2692"/>
      <c r="FY71" s="2692"/>
      <c r="FZ71" s="2692"/>
      <c r="GA71" s="2692"/>
      <c r="GB71" s="2692"/>
      <c r="GC71" s="2692"/>
      <c r="GD71" s="2692"/>
      <c r="GE71" s="2692"/>
      <c r="GF71" s="2692"/>
      <c r="GG71" s="2692"/>
      <c r="GH71" s="2692"/>
      <c r="GI71" s="2692"/>
      <c r="GJ71" s="2692"/>
      <c r="GK71" s="2692"/>
      <c r="GL71" s="2692"/>
      <c r="GM71" s="2692"/>
      <c r="GN71" s="2692"/>
      <c r="GO71" s="2692"/>
      <c r="GP71" s="2692"/>
      <c r="GQ71" s="2692"/>
      <c r="GR71" s="2692"/>
      <c r="GS71" s="2692"/>
      <c r="GT71" s="2692"/>
      <c r="GU71" s="2692"/>
      <c r="GV71" s="2692"/>
      <c r="GW71" s="2692"/>
      <c r="GX71" s="2692"/>
      <c r="GY71" s="2692"/>
      <c r="GZ71" s="2692"/>
      <c r="HA71" s="2692"/>
      <c r="HB71" s="2692"/>
      <c r="HC71" s="2692"/>
      <c r="HD71" s="2692"/>
      <c r="HE71" s="2692"/>
      <c r="HF71" s="2692"/>
      <c r="HG71" s="2692"/>
      <c r="HH71" s="2692"/>
      <c r="HI71" s="2692"/>
      <c r="HJ71" s="2692"/>
      <c r="HK71" s="2692"/>
      <c r="HL71" s="2692"/>
      <c r="HM71" s="2692"/>
      <c r="HN71" s="2692"/>
      <c r="HO71" s="2692"/>
      <c r="HP71" s="2692"/>
      <c r="HQ71" s="2692"/>
      <c r="HR71" s="2692"/>
      <c r="HS71" s="2692"/>
      <c r="HT71" s="2692"/>
      <c r="HU71" s="2692"/>
      <c r="HV71" s="2692"/>
      <c r="HW71" s="2692"/>
      <c r="HX71" s="2692"/>
      <c r="HY71" s="2692"/>
      <c r="HZ71" s="2692"/>
      <c r="IA71" s="2692"/>
      <c r="IB71" s="2692"/>
      <c r="IC71" s="2692"/>
      <c r="ID71" s="2692"/>
      <c r="IE71" s="2692"/>
      <c r="IF71" s="2692"/>
      <c r="IG71" s="2692"/>
      <c r="IH71" s="2692"/>
      <c r="II71" s="2692"/>
      <c r="IJ71" s="2692"/>
      <c r="IK71" s="2692"/>
      <c r="IL71" s="2692"/>
      <c r="IM71" s="2692"/>
      <c r="IN71" s="2692"/>
      <c r="IO71" s="2692"/>
      <c r="IP71" s="2692"/>
      <c r="IQ71" s="2692"/>
      <c r="IR71" s="2692"/>
      <c r="IS71" s="2692"/>
      <c r="IT71" s="2692"/>
      <c r="IU71" s="2692"/>
      <c r="IV71" s="2692"/>
    </row>
    <row r="72" spans="1:256" s="40" customFormat="1" ht="12.5" x14ac:dyDescent="0.25">
      <c r="A72" s="2960"/>
      <c r="B72" s="2760"/>
      <c r="C72" s="2760"/>
      <c r="D72" s="2760"/>
      <c r="E72" s="2761"/>
      <c r="F72" s="2760" t="s">
        <v>2764</v>
      </c>
      <c r="G72" s="2760"/>
      <c r="H72" s="2760"/>
      <c r="I72" s="2760"/>
      <c r="J72" s="2761"/>
      <c r="K72" s="2692"/>
      <c r="L72" s="2692"/>
      <c r="M72" s="2692"/>
      <c r="N72" s="2692"/>
      <c r="O72" s="2692"/>
      <c r="P72" s="2692"/>
      <c r="Q72" s="2692"/>
      <c r="R72" s="2692"/>
      <c r="S72" s="2692"/>
      <c r="T72" s="2692"/>
      <c r="U72" s="2692"/>
      <c r="V72" s="2692"/>
      <c r="W72" s="2692"/>
      <c r="X72" s="2692"/>
      <c r="Y72" s="2692"/>
      <c r="Z72" s="2692"/>
      <c r="AA72" s="2692"/>
      <c r="AB72" s="2692"/>
      <c r="AC72" s="2692"/>
      <c r="AD72" s="2692"/>
      <c r="AE72" s="2692"/>
      <c r="AF72" s="2692"/>
      <c r="AG72" s="2692"/>
      <c r="AH72" s="2692"/>
      <c r="AI72" s="2692"/>
      <c r="AJ72" s="2692"/>
      <c r="AK72" s="2692"/>
      <c r="AL72" s="2692"/>
      <c r="AM72" s="2692"/>
      <c r="AN72" s="2692"/>
      <c r="AO72" s="2692"/>
      <c r="AP72" s="2692"/>
      <c r="AQ72" s="2692"/>
      <c r="AR72" s="2692"/>
      <c r="AS72" s="2692"/>
      <c r="AT72" s="2692"/>
      <c r="AU72" s="2692"/>
      <c r="AV72" s="2692"/>
      <c r="AW72" s="2692"/>
      <c r="AX72" s="2692"/>
      <c r="AY72" s="2692"/>
      <c r="AZ72" s="2692"/>
      <c r="BA72" s="2692"/>
      <c r="BB72" s="2692"/>
      <c r="BC72" s="2692"/>
      <c r="BD72" s="2692"/>
      <c r="BE72" s="2692"/>
      <c r="BF72" s="2692"/>
      <c r="BG72" s="2692"/>
      <c r="BH72" s="2692"/>
      <c r="BI72" s="2692"/>
      <c r="BJ72" s="2692"/>
      <c r="BK72" s="2692"/>
      <c r="BL72" s="2692"/>
      <c r="BM72" s="2692"/>
      <c r="BN72" s="2692"/>
      <c r="BO72" s="2692"/>
      <c r="BP72" s="2692"/>
      <c r="BQ72" s="2692"/>
      <c r="BR72" s="2692"/>
      <c r="BS72" s="2692"/>
      <c r="BT72" s="2692"/>
      <c r="BU72" s="2692"/>
      <c r="BV72" s="2692"/>
      <c r="BW72" s="2692"/>
      <c r="BX72" s="2692"/>
      <c r="BY72" s="2692"/>
      <c r="BZ72" s="2692"/>
      <c r="CA72" s="2692"/>
      <c r="CB72" s="2692"/>
      <c r="CC72" s="2692"/>
      <c r="CD72" s="2692"/>
      <c r="CE72" s="2692"/>
      <c r="CF72" s="2692"/>
      <c r="CG72" s="2692"/>
      <c r="CH72" s="2692"/>
      <c r="CI72" s="2692"/>
      <c r="CJ72" s="2692"/>
      <c r="CK72" s="2692"/>
      <c r="CL72" s="2692"/>
      <c r="CM72" s="2692"/>
      <c r="CN72" s="2692"/>
      <c r="CO72" s="2692"/>
      <c r="CP72" s="2692"/>
      <c r="CQ72" s="2692"/>
      <c r="CR72" s="2692"/>
      <c r="CS72" s="2692"/>
      <c r="CT72" s="2692"/>
      <c r="CU72" s="2692"/>
      <c r="CV72" s="2692"/>
      <c r="CW72" s="2692"/>
      <c r="CX72" s="2692"/>
      <c r="CY72" s="2692"/>
      <c r="CZ72" s="2692"/>
      <c r="DA72" s="2692"/>
      <c r="DB72" s="2692"/>
      <c r="DC72" s="2692"/>
      <c r="DD72" s="2692"/>
      <c r="DE72" s="2692"/>
      <c r="DF72" s="2692"/>
      <c r="DG72" s="2692"/>
      <c r="DH72" s="2692"/>
      <c r="DI72" s="2692"/>
      <c r="DJ72" s="2692"/>
      <c r="DK72" s="2692"/>
      <c r="DL72" s="2692"/>
      <c r="DM72" s="2692"/>
      <c r="DN72" s="2692"/>
      <c r="DO72" s="2692"/>
      <c r="DP72" s="2692"/>
      <c r="DQ72" s="2692"/>
      <c r="DR72" s="2692"/>
      <c r="DS72" s="2692"/>
      <c r="DT72" s="2692"/>
      <c r="DU72" s="2692"/>
      <c r="DV72" s="2692"/>
      <c r="DW72" s="2692"/>
      <c r="DX72" s="2692"/>
      <c r="DY72" s="2692"/>
      <c r="DZ72" s="2692"/>
      <c r="EA72" s="2692"/>
      <c r="EB72" s="2692"/>
      <c r="EC72" s="2692"/>
      <c r="ED72" s="2692"/>
      <c r="EE72" s="2692"/>
      <c r="EF72" s="2692"/>
      <c r="EG72" s="2692"/>
      <c r="EH72" s="2692"/>
      <c r="EI72" s="2692"/>
      <c r="EJ72" s="2692"/>
      <c r="EK72" s="2692"/>
      <c r="EL72" s="2692"/>
      <c r="EM72" s="2692"/>
      <c r="EN72" s="2692"/>
      <c r="EO72" s="2692"/>
      <c r="EP72" s="2692"/>
      <c r="EQ72" s="2692"/>
      <c r="ER72" s="2692"/>
      <c r="ES72" s="2692"/>
      <c r="ET72" s="2692"/>
      <c r="EU72" s="2692"/>
      <c r="EV72" s="2692"/>
      <c r="EW72" s="2692"/>
      <c r="EX72" s="2692"/>
      <c r="EY72" s="2692"/>
      <c r="EZ72" s="2692"/>
      <c r="FA72" s="2692"/>
      <c r="FB72" s="2692"/>
      <c r="FC72" s="2692"/>
      <c r="FD72" s="2692"/>
      <c r="FE72" s="2692"/>
      <c r="FF72" s="2692"/>
      <c r="FG72" s="2692"/>
      <c r="FH72" s="2692"/>
      <c r="FI72" s="2692"/>
      <c r="FJ72" s="2692"/>
      <c r="FK72" s="2692"/>
      <c r="FL72" s="2692"/>
      <c r="FM72" s="2692"/>
      <c r="FN72" s="2692"/>
      <c r="FO72" s="2692"/>
      <c r="FP72" s="2692"/>
      <c r="FQ72" s="2692"/>
      <c r="FR72" s="2692"/>
      <c r="FS72" s="2692"/>
      <c r="FT72" s="2692"/>
      <c r="FU72" s="2692"/>
      <c r="FV72" s="2692"/>
      <c r="FW72" s="2692"/>
      <c r="FX72" s="2692"/>
      <c r="FY72" s="2692"/>
      <c r="FZ72" s="2692"/>
      <c r="GA72" s="2692"/>
      <c r="GB72" s="2692"/>
      <c r="GC72" s="2692"/>
      <c r="GD72" s="2692"/>
      <c r="GE72" s="2692"/>
      <c r="GF72" s="2692"/>
      <c r="GG72" s="2692"/>
      <c r="GH72" s="2692"/>
      <c r="GI72" s="2692"/>
      <c r="GJ72" s="2692"/>
      <c r="GK72" s="2692"/>
      <c r="GL72" s="2692"/>
      <c r="GM72" s="2692"/>
      <c r="GN72" s="2692"/>
      <c r="GO72" s="2692"/>
      <c r="GP72" s="2692"/>
      <c r="GQ72" s="2692"/>
      <c r="GR72" s="2692"/>
      <c r="GS72" s="2692"/>
      <c r="GT72" s="2692"/>
      <c r="GU72" s="2692"/>
      <c r="GV72" s="2692"/>
      <c r="GW72" s="2692"/>
      <c r="GX72" s="2692"/>
      <c r="GY72" s="2692"/>
      <c r="GZ72" s="2692"/>
      <c r="HA72" s="2692"/>
      <c r="HB72" s="2692"/>
      <c r="HC72" s="2692"/>
      <c r="HD72" s="2692"/>
      <c r="HE72" s="2692"/>
      <c r="HF72" s="2692"/>
      <c r="HG72" s="2692"/>
      <c r="HH72" s="2692"/>
      <c r="HI72" s="2692"/>
      <c r="HJ72" s="2692"/>
      <c r="HK72" s="2692"/>
      <c r="HL72" s="2692"/>
      <c r="HM72" s="2692"/>
      <c r="HN72" s="2692"/>
      <c r="HO72" s="2692"/>
      <c r="HP72" s="2692"/>
      <c r="HQ72" s="2692"/>
      <c r="HR72" s="2692"/>
      <c r="HS72" s="2692"/>
      <c r="HT72" s="2692"/>
      <c r="HU72" s="2692"/>
      <c r="HV72" s="2692"/>
      <c r="HW72" s="2692"/>
      <c r="HX72" s="2692"/>
      <c r="HY72" s="2692"/>
      <c r="HZ72" s="2692"/>
      <c r="IA72" s="2692"/>
      <c r="IB72" s="2692"/>
      <c r="IC72" s="2692"/>
      <c r="ID72" s="2692"/>
      <c r="IE72" s="2692"/>
      <c r="IF72" s="2692"/>
      <c r="IG72" s="2692"/>
      <c r="IH72" s="2692"/>
      <c r="II72" s="2692"/>
      <c r="IJ72" s="2692"/>
      <c r="IK72" s="2692"/>
      <c r="IL72" s="2692"/>
      <c r="IM72" s="2692"/>
      <c r="IN72" s="2692"/>
      <c r="IO72" s="2692"/>
      <c r="IP72" s="2692"/>
      <c r="IQ72" s="2692"/>
      <c r="IR72" s="2692"/>
      <c r="IS72" s="2692"/>
      <c r="IT72" s="2692"/>
      <c r="IU72" s="2692"/>
      <c r="IV72" s="2692"/>
    </row>
    <row r="73" spans="1:256" s="40" customFormat="1" ht="12.5" x14ac:dyDescent="0.25">
      <c r="A73" s="2960"/>
      <c r="B73" s="2760"/>
      <c r="C73" s="2760"/>
      <c r="D73" s="2760"/>
      <c r="E73" s="2761"/>
      <c r="F73" s="2760"/>
      <c r="G73" s="2760"/>
      <c r="H73" s="2760"/>
      <c r="I73" s="2760"/>
      <c r="J73" s="2761"/>
      <c r="K73" s="2692"/>
      <c r="L73" s="2692"/>
      <c r="M73" s="2692"/>
      <c r="N73" s="2692"/>
      <c r="O73" s="2692"/>
      <c r="P73" s="2692"/>
      <c r="Q73" s="2692"/>
      <c r="R73" s="2692"/>
      <c r="S73" s="2692"/>
      <c r="T73" s="2692"/>
      <c r="U73" s="2692"/>
      <c r="V73" s="2692"/>
      <c r="W73" s="2692"/>
      <c r="X73" s="2692"/>
      <c r="Y73" s="2692"/>
      <c r="Z73" s="2692"/>
      <c r="AA73" s="2692"/>
      <c r="AB73" s="2692"/>
      <c r="AC73" s="2692"/>
      <c r="AD73" s="2692"/>
      <c r="AE73" s="2692"/>
      <c r="AF73" s="2692"/>
      <c r="AG73" s="2692"/>
      <c r="AH73" s="2692"/>
      <c r="AI73" s="2692"/>
      <c r="AJ73" s="2692"/>
      <c r="AK73" s="2692"/>
      <c r="AL73" s="2692"/>
      <c r="AM73" s="2692"/>
      <c r="AN73" s="2692"/>
      <c r="AO73" s="2692"/>
      <c r="AP73" s="2692"/>
      <c r="AQ73" s="2692"/>
      <c r="AR73" s="2692"/>
      <c r="AS73" s="2692"/>
      <c r="AT73" s="2692"/>
      <c r="AU73" s="2692"/>
      <c r="AV73" s="2692"/>
      <c r="AW73" s="2692"/>
      <c r="AX73" s="2692"/>
      <c r="AY73" s="2692"/>
      <c r="AZ73" s="2692"/>
      <c r="BA73" s="2692"/>
      <c r="BB73" s="2692"/>
      <c r="BC73" s="2692"/>
      <c r="BD73" s="2692"/>
      <c r="BE73" s="2692"/>
      <c r="BF73" s="2692"/>
      <c r="BG73" s="2692"/>
      <c r="BH73" s="2692"/>
      <c r="BI73" s="2692"/>
      <c r="BJ73" s="2692"/>
      <c r="BK73" s="2692"/>
      <c r="BL73" s="2692"/>
      <c r="BM73" s="2692"/>
      <c r="BN73" s="2692"/>
      <c r="BO73" s="2692"/>
      <c r="BP73" s="2692"/>
      <c r="BQ73" s="2692"/>
      <c r="BR73" s="2692"/>
      <c r="BS73" s="2692"/>
      <c r="BT73" s="2692"/>
      <c r="BU73" s="2692"/>
      <c r="BV73" s="2692"/>
      <c r="BW73" s="2692"/>
      <c r="BX73" s="2692"/>
      <c r="BY73" s="2692"/>
      <c r="BZ73" s="2692"/>
      <c r="CA73" s="2692"/>
      <c r="CB73" s="2692"/>
      <c r="CC73" s="2692"/>
      <c r="CD73" s="2692"/>
      <c r="CE73" s="2692"/>
      <c r="CF73" s="2692"/>
      <c r="CG73" s="2692"/>
      <c r="CH73" s="2692"/>
      <c r="CI73" s="2692"/>
      <c r="CJ73" s="2692"/>
      <c r="CK73" s="2692"/>
      <c r="CL73" s="2692"/>
      <c r="CM73" s="2692"/>
      <c r="CN73" s="2692"/>
      <c r="CO73" s="2692"/>
      <c r="CP73" s="2692"/>
      <c r="CQ73" s="2692"/>
      <c r="CR73" s="2692"/>
      <c r="CS73" s="2692"/>
      <c r="CT73" s="2692"/>
      <c r="CU73" s="2692"/>
      <c r="CV73" s="2692"/>
      <c r="CW73" s="2692"/>
      <c r="CX73" s="2692"/>
      <c r="CY73" s="2692"/>
      <c r="CZ73" s="2692"/>
      <c r="DA73" s="2692"/>
      <c r="DB73" s="2692"/>
      <c r="DC73" s="2692"/>
      <c r="DD73" s="2692"/>
      <c r="DE73" s="2692"/>
      <c r="DF73" s="2692"/>
      <c r="DG73" s="2692"/>
      <c r="DH73" s="2692"/>
      <c r="DI73" s="2692"/>
      <c r="DJ73" s="2692"/>
      <c r="DK73" s="2692"/>
      <c r="DL73" s="2692"/>
      <c r="DM73" s="2692"/>
      <c r="DN73" s="2692"/>
      <c r="DO73" s="2692"/>
      <c r="DP73" s="2692"/>
      <c r="DQ73" s="2692"/>
      <c r="DR73" s="2692"/>
      <c r="DS73" s="2692"/>
      <c r="DT73" s="2692"/>
      <c r="DU73" s="2692"/>
      <c r="DV73" s="2692"/>
      <c r="DW73" s="2692"/>
      <c r="DX73" s="2692"/>
      <c r="DY73" s="2692"/>
      <c r="DZ73" s="2692"/>
      <c r="EA73" s="2692"/>
      <c r="EB73" s="2692"/>
      <c r="EC73" s="2692"/>
      <c r="ED73" s="2692"/>
      <c r="EE73" s="2692"/>
      <c r="EF73" s="2692"/>
      <c r="EG73" s="2692"/>
      <c r="EH73" s="2692"/>
      <c r="EI73" s="2692"/>
      <c r="EJ73" s="2692"/>
      <c r="EK73" s="2692"/>
      <c r="EL73" s="2692"/>
      <c r="EM73" s="2692"/>
      <c r="EN73" s="2692"/>
      <c r="EO73" s="2692"/>
      <c r="EP73" s="2692"/>
      <c r="EQ73" s="2692"/>
      <c r="ER73" s="2692"/>
      <c r="ES73" s="2692"/>
      <c r="ET73" s="2692"/>
      <c r="EU73" s="2692"/>
      <c r="EV73" s="2692"/>
      <c r="EW73" s="2692"/>
      <c r="EX73" s="2692"/>
      <c r="EY73" s="2692"/>
      <c r="EZ73" s="2692"/>
      <c r="FA73" s="2692"/>
      <c r="FB73" s="2692"/>
      <c r="FC73" s="2692"/>
      <c r="FD73" s="2692"/>
      <c r="FE73" s="2692"/>
      <c r="FF73" s="2692"/>
      <c r="FG73" s="2692"/>
      <c r="FH73" s="2692"/>
      <c r="FI73" s="2692"/>
      <c r="FJ73" s="2692"/>
      <c r="FK73" s="2692"/>
      <c r="FL73" s="2692"/>
      <c r="FM73" s="2692"/>
      <c r="FN73" s="2692"/>
      <c r="FO73" s="2692"/>
      <c r="FP73" s="2692"/>
      <c r="FQ73" s="2692"/>
      <c r="FR73" s="2692"/>
      <c r="FS73" s="2692"/>
      <c r="FT73" s="2692"/>
      <c r="FU73" s="2692"/>
      <c r="FV73" s="2692"/>
      <c r="FW73" s="2692"/>
      <c r="FX73" s="2692"/>
      <c r="FY73" s="2692"/>
      <c r="FZ73" s="2692"/>
      <c r="GA73" s="2692"/>
      <c r="GB73" s="2692"/>
      <c r="GC73" s="2692"/>
      <c r="GD73" s="2692"/>
      <c r="GE73" s="2692"/>
      <c r="GF73" s="2692"/>
      <c r="GG73" s="2692"/>
      <c r="GH73" s="2692"/>
      <c r="GI73" s="2692"/>
      <c r="GJ73" s="2692"/>
      <c r="GK73" s="2692"/>
      <c r="GL73" s="2692"/>
      <c r="GM73" s="2692"/>
      <c r="GN73" s="2692"/>
      <c r="GO73" s="2692"/>
      <c r="GP73" s="2692"/>
      <c r="GQ73" s="2692"/>
      <c r="GR73" s="2692"/>
      <c r="GS73" s="2692"/>
      <c r="GT73" s="2692"/>
      <c r="GU73" s="2692"/>
      <c r="GV73" s="2692"/>
      <c r="GW73" s="2692"/>
      <c r="GX73" s="2692"/>
      <c r="GY73" s="2692"/>
      <c r="GZ73" s="2692"/>
      <c r="HA73" s="2692"/>
      <c r="HB73" s="2692"/>
      <c r="HC73" s="2692"/>
      <c r="HD73" s="2692"/>
      <c r="HE73" s="2692"/>
      <c r="HF73" s="2692"/>
      <c r="HG73" s="2692"/>
      <c r="HH73" s="2692"/>
      <c r="HI73" s="2692"/>
      <c r="HJ73" s="2692"/>
      <c r="HK73" s="2692"/>
      <c r="HL73" s="2692"/>
      <c r="HM73" s="2692"/>
      <c r="HN73" s="2692"/>
      <c r="HO73" s="2692"/>
      <c r="HP73" s="2692"/>
      <c r="HQ73" s="2692"/>
      <c r="HR73" s="2692"/>
      <c r="HS73" s="2692"/>
      <c r="HT73" s="2692"/>
      <c r="HU73" s="2692"/>
      <c r="HV73" s="2692"/>
      <c r="HW73" s="2692"/>
      <c r="HX73" s="2692"/>
      <c r="HY73" s="2692"/>
      <c r="HZ73" s="2692"/>
      <c r="IA73" s="2692"/>
      <c r="IB73" s="2692"/>
      <c r="IC73" s="2692"/>
      <c r="ID73" s="2692"/>
      <c r="IE73" s="2692"/>
      <c r="IF73" s="2692"/>
      <c r="IG73" s="2692"/>
      <c r="IH73" s="2692"/>
      <c r="II73" s="2692"/>
      <c r="IJ73" s="2692"/>
      <c r="IK73" s="2692"/>
      <c r="IL73" s="2692"/>
      <c r="IM73" s="2692"/>
      <c r="IN73" s="2692"/>
      <c r="IO73" s="2692"/>
      <c r="IP73" s="2692"/>
      <c r="IQ73" s="2692"/>
      <c r="IR73" s="2692"/>
      <c r="IS73" s="2692"/>
      <c r="IT73" s="2692"/>
      <c r="IU73" s="2692"/>
      <c r="IV73" s="2692"/>
    </row>
    <row r="74" spans="1:256" s="40" customFormat="1" ht="12.5" x14ac:dyDescent="0.25">
      <c r="A74" s="2960"/>
      <c r="B74" s="2760"/>
      <c r="C74" s="2760"/>
      <c r="D74" s="2760"/>
      <c r="E74" s="2761"/>
      <c r="F74" s="2760" t="s">
        <v>2767</v>
      </c>
      <c r="G74" s="2760"/>
      <c r="H74" s="2760"/>
      <c r="I74" s="2760"/>
      <c r="J74" s="2761"/>
      <c r="K74" s="2692"/>
      <c r="L74" s="2692"/>
      <c r="M74" s="2692"/>
      <c r="N74" s="2692"/>
      <c r="O74" s="2692"/>
      <c r="P74" s="2692"/>
      <c r="Q74" s="2692"/>
      <c r="R74" s="2692"/>
      <c r="S74" s="2692"/>
      <c r="T74" s="2692"/>
      <c r="U74" s="2692"/>
      <c r="V74" s="2692"/>
      <c r="W74" s="2692"/>
      <c r="X74" s="2692"/>
      <c r="Y74" s="2692"/>
      <c r="Z74" s="2692"/>
      <c r="AA74" s="2692"/>
      <c r="AB74" s="2692"/>
      <c r="AC74" s="2692"/>
      <c r="AD74" s="2692"/>
      <c r="AE74" s="2692"/>
      <c r="AF74" s="2692"/>
      <c r="AG74" s="2692"/>
      <c r="AH74" s="2692"/>
      <c r="AI74" s="2692"/>
      <c r="AJ74" s="2692"/>
      <c r="AK74" s="2692"/>
      <c r="AL74" s="2692"/>
      <c r="AM74" s="2692"/>
      <c r="AN74" s="2692"/>
      <c r="AO74" s="2692"/>
      <c r="AP74" s="2692"/>
      <c r="AQ74" s="2692"/>
      <c r="AR74" s="2692"/>
      <c r="AS74" s="2692"/>
      <c r="AT74" s="2692"/>
      <c r="AU74" s="2692"/>
      <c r="AV74" s="2692"/>
      <c r="AW74" s="2692"/>
      <c r="AX74" s="2692"/>
      <c r="AY74" s="2692"/>
      <c r="AZ74" s="2692"/>
      <c r="BA74" s="2692"/>
      <c r="BB74" s="2692"/>
      <c r="BC74" s="2692"/>
      <c r="BD74" s="2692"/>
      <c r="BE74" s="2692"/>
      <c r="BF74" s="2692"/>
      <c r="BG74" s="2692"/>
      <c r="BH74" s="2692"/>
      <c r="BI74" s="2692"/>
      <c r="BJ74" s="2692"/>
      <c r="BK74" s="2692"/>
      <c r="BL74" s="2692"/>
      <c r="BM74" s="2692"/>
      <c r="BN74" s="2692"/>
      <c r="BO74" s="2692"/>
      <c r="BP74" s="2692"/>
      <c r="BQ74" s="2692"/>
      <c r="BR74" s="2692"/>
      <c r="BS74" s="2692"/>
      <c r="BT74" s="2692"/>
      <c r="BU74" s="2692"/>
      <c r="BV74" s="2692"/>
      <c r="BW74" s="2692"/>
      <c r="BX74" s="2692"/>
      <c r="BY74" s="2692"/>
      <c r="BZ74" s="2692"/>
      <c r="CA74" s="2692"/>
      <c r="CB74" s="2692"/>
      <c r="CC74" s="2692"/>
      <c r="CD74" s="2692"/>
      <c r="CE74" s="2692"/>
      <c r="CF74" s="2692"/>
      <c r="CG74" s="2692"/>
      <c r="CH74" s="2692"/>
      <c r="CI74" s="2692"/>
      <c r="CJ74" s="2692"/>
      <c r="CK74" s="2692"/>
      <c r="CL74" s="2692"/>
      <c r="CM74" s="2692"/>
      <c r="CN74" s="2692"/>
      <c r="CO74" s="2692"/>
      <c r="CP74" s="2692"/>
      <c r="CQ74" s="2692"/>
      <c r="CR74" s="2692"/>
      <c r="CS74" s="2692"/>
      <c r="CT74" s="2692"/>
      <c r="CU74" s="2692"/>
      <c r="CV74" s="2692"/>
      <c r="CW74" s="2692"/>
      <c r="CX74" s="2692"/>
      <c r="CY74" s="2692"/>
      <c r="CZ74" s="2692"/>
      <c r="DA74" s="2692"/>
      <c r="DB74" s="2692"/>
      <c r="DC74" s="2692"/>
      <c r="DD74" s="2692"/>
      <c r="DE74" s="2692"/>
      <c r="DF74" s="2692"/>
      <c r="DG74" s="2692"/>
      <c r="DH74" s="2692"/>
      <c r="DI74" s="2692"/>
      <c r="DJ74" s="2692"/>
      <c r="DK74" s="2692"/>
      <c r="DL74" s="2692"/>
      <c r="DM74" s="2692"/>
      <c r="DN74" s="2692"/>
      <c r="DO74" s="2692"/>
      <c r="DP74" s="2692"/>
      <c r="DQ74" s="2692"/>
      <c r="DR74" s="2692"/>
      <c r="DS74" s="2692"/>
      <c r="DT74" s="2692"/>
      <c r="DU74" s="2692"/>
      <c r="DV74" s="2692"/>
      <c r="DW74" s="2692"/>
      <c r="DX74" s="2692"/>
      <c r="DY74" s="2692"/>
      <c r="DZ74" s="2692"/>
      <c r="EA74" s="2692"/>
      <c r="EB74" s="2692"/>
      <c r="EC74" s="2692"/>
      <c r="ED74" s="2692"/>
      <c r="EE74" s="2692"/>
      <c r="EF74" s="2692"/>
      <c r="EG74" s="2692"/>
      <c r="EH74" s="2692"/>
      <c r="EI74" s="2692"/>
      <c r="EJ74" s="2692"/>
      <c r="EK74" s="2692"/>
      <c r="EL74" s="2692"/>
      <c r="EM74" s="2692"/>
      <c r="EN74" s="2692"/>
      <c r="EO74" s="2692"/>
      <c r="EP74" s="2692"/>
      <c r="EQ74" s="2692"/>
      <c r="ER74" s="2692"/>
      <c r="ES74" s="2692"/>
      <c r="ET74" s="2692"/>
      <c r="EU74" s="2692"/>
      <c r="EV74" s="2692"/>
      <c r="EW74" s="2692"/>
      <c r="EX74" s="2692"/>
      <c r="EY74" s="2692"/>
      <c r="EZ74" s="2692"/>
      <c r="FA74" s="2692"/>
      <c r="FB74" s="2692"/>
      <c r="FC74" s="2692"/>
      <c r="FD74" s="2692"/>
      <c r="FE74" s="2692"/>
      <c r="FF74" s="2692"/>
      <c r="FG74" s="2692"/>
      <c r="FH74" s="2692"/>
      <c r="FI74" s="2692"/>
      <c r="FJ74" s="2692"/>
      <c r="FK74" s="2692"/>
      <c r="FL74" s="2692"/>
      <c r="FM74" s="2692"/>
      <c r="FN74" s="2692"/>
      <c r="FO74" s="2692"/>
      <c r="FP74" s="2692"/>
      <c r="FQ74" s="2692"/>
      <c r="FR74" s="2692"/>
      <c r="FS74" s="2692"/>
      <c r="FT74" s="2692"/>
      <c r="FU74" s="2692"/>
      <c r="FV74" s="2692"/>
      <c r="FW74" s="2692"/>
      <c r="FX74" s="2692"/>
      <c r="FY74" s="2692"/>
      <c r="FZ74" s="2692"/>
      <c r="GA74" s="2692"/>
      <c r="GB74" s="2692"/>
      <c r="GC74" s="2692"/>
      <c r="GD74" s="2692"/>
      <c r="GE74" s="2692"/>
      <c r="GF74" s="2692"/>
      <c r="GG74" s="2692"/>
      <c r="GH74" s="2692"/>
      <c r="GI74" s="2692"/>
      <c r="GJ74" s="2692"/>
      <c r="GK74" s="2692"/>
      <c r="GL74" s="2692"/>
      <c r="GM74" s="2692"/>
      <c r="GN74" s="2692"/>
      <c r="GO74" s="2692"/>
      <c r="GP74" s="2692"/>
      <c r="GQ74" s="2692"/>
      <c r="GR74" s="2692"/>
      <c r="GS74" s="2692"/>
      <c r="GT74" s="2692"/>
      <c r="GU74" s="2692"/>
      <c r="GV74" s="2692"/>
      <c r="GW74" s="2692"/>
      <c r="GX74" s="2692"/>
      <c r="GY74" s="2692"/>
      <c r="GZ74" s="2692"/>
      <c r="HA74" s="2692"/>
      <c r="HB74" s="2692"/>
      <c r="HC74" s="2692"/>
      <c r="HD74" s="2692"/>
      <c r="HE74" s="2692"/>
      <c r="HF74" s="2692"/>
      <c r="HG74" s="2692"/>
      <c r="HH74" s="2692"/>
      <c r="HI74" s="2692"/>
      <c r="HJ74" s="2692"/>
      <c r="HK74" s="2692"/>
      <c r="HL74" s="2692"/>
      <c r="HM74" s="2692"/>
      <c r="HN74" s="2692"/>
      <c r="HO74" s="2692"/>
      <c r="HP74" s="2692"/>
      <c r="HQ74" s="2692"/>
      <c r="HR74" s="2692"/>
      <c r="HS74" s="2692"/>
      <c r="HT74" s="2692"/>
      <c r="HU74" s="2692"/>
      <c r="HV74" s="2692"/>
      <c r="HW74" s="2692"/>
      <c r="HX74" s="2692"/>
      <c r="HY74" s="2692"/>
      <c r="HZ74" s="2692"/>
      <c r="IA74" s="2692"/>
      <c r="IB74" s="2692"/>
      <c r="IC74" s="2692"/>
      <c r="ID74" s="2692"/>
      <c r="IE74" s="2692"/>
      <c r="IF74" s="2692"/>
      <c r="IG74" s="2692"/>
      <c r="IH74" s="2692"/>
      <c r="II74" s="2692"/>
      <c r="IJ74" s="2692"/>
      <c r="IK74" s="2692"/>
      <c r="IL74" s="2692"/>
      <c r="IM74" s="2692"/>
      <c r="IN74" s="2692"/>
      <c r="IO74" s="2692"/>
      <c r="IP74" s="2692"/>
      <c r="IQ74" s="2692"/>
      <c r="IR74" s="2692"/>
      <c r="IS74" s="2692"/>
      <c r="IT74" s="2692"/>
      <c r="IU74" s="2692"/>
      <c r="IV74" s="2692"/>
    </row>
    <row r="75" spans="1:256" s="40" customFormat="1" ht="13" x14ac:dyDescent="0.3">
      <c r="A75" s="2959"/>
      <c r="B75" s="2760"/>
      <c r="C75" s="2760"/>
      <c r="D75" s="2760"/>
      <c r="E75" s="2761"/>
      <c r="F75" s="2760" t="s">
        <v>2768</v>
      </c>
      <c r="G75" s="2760"/>
      <c r="H75" s="2760"/>
      <c r="I75" s="2760"/>
      <c r="J75" s="2761"/>
      <c r="K75" s="2692"/>
      <c r="L75" s="2692"/>
      <c r="M75" s="2692"/>
      <c r="N75" s="2692"/>
      <c r="O75" s="2692"/>
      <c r="P75" s="2692"/>
      <c r="Q75" s="2692"/>
      <c r="R75" s="2692"/>
      <c r="S75" s="2692"/>
      <c r="T75" s="2692"/>
      <c r="U75" s="2692"/>
      <c r="V75" s="2692"/>
      <c r="W75" s="2692"/>
      <c r="X75" s="2692"/>
      <c r="Y75" s="2692"/>
      <c r="Z75" s="2692"/>
      <c r="AA75" s="2692"/>
      <c r="AB75" s="2692"/>
      <c r="AC75" s="2692"/>
      <c r="AD75" s="2692"/>
      <c r="AE75" s="2692"/>
      <c r="AF75" s="2692"/>
      <c r="AG75" s="2692"/>
      <c r="AH75" s="2692"/>
      <c r="AI75" s="2692"/>
      <c r="AJ75" s="2692"/>
      <c r="AK75" s="2692"/>
      <c r="AL75" s="2692"/>
      <c r="AM75" s="2692"/>
      <c r="AN75" s="2692"/>
      <c r="AO75" s="2692"/>
      <c r="AP75" s="2692"/>
      <c r="AQ75" s="2692"/>
      <c r="AR75" s="2692"/>
      <c r="AS75" s="2692"/>
      <c r="AT75" s="2692"/>
      <c r="AU75" s="2692"/>
      <c r="AV75" s="2692"/>
      <c r="AW75" s="2692"/>
      <c r="AX75" s="2692"/>
      <c r="AY75" s="2692"/>
      <c r="AZ75" s="2692"/>
      <c r="BA75" s="2692"/>
      <c r="BB75" s="2692"/>
      <c r="BC75" s="2692"/>
      <c r="BD75" s="2692"/>
      <c r="BE75" s="2692"/>
      <c r="BF75" s="2692"/>
      <c r="BG75" s="2692"/>
      <c r="BH75" s="2692"/>
      <c r="BI75" s="2692"/>
      <c r="BJ75" s="2692"/>
      <c r="BK75" s="2692"/>
      <c r="BL75" s="2692"/>
      <c r="BM75" s="2692"/>
      <c r="BN75" s="2692"/>
      <c r="BO75" s="2692"/>
      <c r="BP75" s="2692"/>
      <c r="BQ75" s="2692"/>
      <c r="BR75" s="2692"/>
      <c r="BS75" s="2692"/>
      <c r="BT75" s="2692"/>
      <c r="BU75" s="2692"/>
      <c r="BV75" s="2692"/>
      <c r="BW75" s="2692"/>
      <c r="BX75" s="2692"/>
      <c r="BY75" s="2692"/>
      <c r="BZ75" s="2692"/>
      <c r="CA75" s="2692"/>
      <c r="CB75" s="2692"/>
      <c r="CC75" s="2692"/>
      <c r="CD75" s="2692"/>
      <c r="CE75" s="2692"/>
      <c r="CF75" s="2692"/>
      <c r="CG75" s="2692"/>
      <c r="CH75" s="2692"/>
      <c r="CI75" s="2692"/>
      <c r="CJ75" s="2692"/>
      <c r="CK75" s="2692"/>
      <c r="CL75" s="2692"/>
      <c r="CM75" s="2692"/>
      <c r="CN75" s="2692"/>
      <c r="CO75" s="2692"/>
      <c r="CP75" s="2692"/>
      <c r="CQ75" s="2692"/>
      <c r="CR75" s="2692"/>
      <c r="CS75" s="2692"/>
      <c r="CT75" s="2692"/>
      <c r="CU75" s="2692"/>
      <c r="CV75" s="2692"/>
      <c r="CW75" s="2692"/>
      <c r="CX75" s="2692"/>
      <c r="CY75" s="2692"/>
      <c r="CZ75" s="2692"/>
      <c r="DA75" s="2692"/>
      <c r="DB75" s="2692"/>
      <c r="DC75" s="2692"/>
      <c r="DD75" s="2692"/>
      <c r="DE75" s="2692"/>
      <c r="DF75" s="2692"/>
      <c r="DG75" s="2692"/>
      <c r="DH75" s="2692"/>
      <c r="DI75" s="2692"/>
      <c r="DJ75" s="2692"/>
      <c r="DK75" s="2692"/>
      <c r="DL75" s="2692"/>
      <c r="DM75" s="2692"/>
      <c r="DN75" s="2692"/>
      <c r="DO75" s="2692"/>
      <c r="DP75" s="2692"/>
      <c r="DQ75" s="2692"/>
      <c r="DR75" s="2692"/>
      <c r="DS75" s="2692"/>
      <c r="DT75" s="2692"/>
      <c r="DU75" s="2692"/>
      <c r="DV75" s="2692"/>
      <c r="DW75" s="2692"/>
      <c r="DX75" s="2692"/>
      <c r="DY75" s="2692"/>
      <c r="DZ75" s="2692"/>
      <c r="EA75" s="2692"/>
      <c r="EB75" s="2692"/>
      <c r="EC75" s="2692"/>
      <c r="ED75" s="2692"/>
      <c r="EE75" s="2692"/>
      <c r="EF75" s="2692"/>
      <c r="EG75" s="2692"/>
      <c r="EH75" s="2692"/>
      <c r="EI75" s="2692"/>
      <c r="EJ75" s="2692"/>
      <c r="EK75" s="2692"/>
      <c r="EL75" s="2692"/>
      <c r="EM75" s="2692"/>
      <c r="EN75" s="2692"/>
      <c r="EO75" s="2692"/>
      <c r="EP75" s="2692"/>
      <c r="EQ75" s="2692"/>
      <c r="ER75" s="2692"/>
      <c r="ES75" s="2692"/>
      <c r="ET75" s="2692"/>
      <c r="EU75" s="2692"/>
      <c r="EV75" s="2692"/>
      <c r="EW75" s="2692"/>
      <c r="EX75" s="2692"/>
      <c r="EY75" s="2692"/>
      <c r="EZ75" s="2692"/>
      <c r="FA75" s="2692"/>
      <c r="FB75" s="2692"/>
      <c r="FC75" s="2692"/>
      <c r="FD75" s="2692"/>
      <c r="FE75" s="2692"/>
      <c r="FF75" s="2692"/>
      <c r="FG75" s="2692"/>
      <c r="FH75" s="2692"/>
      <c r="FI75" s="2692"/>
      <c r="FJ75" s="2692"/>
      <c r="FK75" s="2692"/>
      <c r="FL75" s="2692"/>
      <c r="FM75" s="2692"/>
      <c r="FN75" s="2692"/>
      <c r="FO75" s="2692"/>
      <c r="FP75" s="2692"/>
      <c r="FQ75" s="2692"/>
      <c r="FR75" s="2692"/>
      <c r="FS75" s="2692"/>
      <c r="FT75" s="2692"/>
      <c r="FU75" s="2692"/>
      <c r="FV75" s="2692"/>
      <c r="FW75" s="2692"/>
      <c r="FX75" s="2692"/>
      <c r="FY75" s="2692"/>
      <c r="FZ75" s="2692"/>
      <c r="GA75" s="2692"/>
      <c r="GB75" s="2692"/>
      <c r="GC75" s="2692"/>
      <c r="GD75" s="2692"/>
      <c r="GE75" s="2692"/>
      <c r="GF75" s="2692"/>
      <c r="GG75" s="2692"/>
      <c r="GH75" s="2692"/>
      <c r="GI75" s="2692"/>
      <c r="GJ75" s="2692"/>
      <c r="GK75" s="2692"/>
      <c r="GL75" s="2692"/>
      <c r="GM75" s="2692"/>
      <c r="GN75" s="2692"/>
      <c r="GO75" s="2692"/>
      <c r="GP75" s="2692"/>
      <c r="GQ75" s="2692"/>
      <c r="GR75" s="2692"/>
      <c r="GS75" s="2692"/>
      <c r="GT75" s="2692"/>
      <c r="GU75" s="2692"/>
      <c r="GV75" s="2692"/>
      <c r="GW75" s="2692"/>
      <c r="GX75" s="2692"/>
      <c r="GY75" s="2692"/>
      <c r="GZ75" s="2692"/>
      <c r="HA75" s="2692"/>
      <c r="HB75" s="2692"/>
      <c r="HC75" s="2692"/>
      <c r="HD75" s="2692"/>
      <c r="HE75" s="2692"/>
      <c r="HF75" s="2692"/>
      <c r="HG75" s="2692"/>
      <c r="HH75" s="2692"/>
      <c r="HI75" s="2692"/>
      <c r="HJ75" s="2692"/>
      <c r="HK75" s="2692"/>
      <c r="HL75" s="2692"/>
      <c r="HM75" s="2692"/>
      <c r="HN75" s="2692"/>
      <c r="HO75" s="2692"/>
      <c r="HP75" s="2692"/>
      <c r="HQ75" s="2692"/>
      <c r="HR75" s="2692"/>
      <c r="HS75" s="2692"/>
      <c r="HT75" s="2692"/>
      <c r="HU75" s="2692"/>
      <c r="HV75" s="2692"/>
      <c r="HW75" s="2692"/>
      <c r="HX75" s="2692"/>
      <c r="HY75" s="2692"/>
      <c r="HZ75" s="2692"/>
      <c r="IA75" s="2692"/>
      <c r="IB75" s="2692"/>
      <c r="IC75" s="2692"/>
      <c r="ID75" s="2692"/>
      <c r="IE75" s="2692"/>
      <c r="IF75" s="2692"/>
      <c r="IG75" s="2692"/>
      <c r="IH75" s="2692"/>
      <c r="II75" s="2692"/>
      <c r="IJ75" s="2692"/>
      <c r="IK75" s="2692"/>
      <c r="IL75" s="2692"/>
      <c r="IM75" s="2692"/>
      <c r="IN75" s="2692"/>
      <c r="IO75" s="2692"/>
      <c r="IP75" s="2692"/>
      <c r="IQ75" s="2692"/>
      <c r="IR75" s="2692"/>
      <c r="IS75" s="2692"/>
      <c r="IT75" s="2692"/>
      <c r="IU75" s="2692"/>
      <c r="IV75" s="2692"/>
    </row>
    <row r="76" spans="1:256" s="40" customFormat="1" ht="13.5" thickBot="1" x14ac:dyDescent="0.35">
      <c r="A76" s="2707"/>
      <c r="B76" s="2708"/>
      <c r="C76" s="2708"/>
      <c r="D76" s="2708"/>
      <c r="E76" s="2709"/>
      <c r="F76" s="2708"/>
      <c r="G76" s="2708"/>
      <c r="H76" s="2708"/>
      <c r="I76" s="2708"/>
      <c r="J76" s="2709"/>
      <c r="K76" s="2692"/>
      <c r="L76" s="2692"/>
      <c r="M76" s="2692"/>
      <c r="N76" s="2692"/>
      <c r="O76" s="2692"/>
      <c r="P76" s="2692"/>
      <c r="Q76" s="2692"/>
      <c r="R76" s="2692"/>
      <c r="S76" s="2692"/>
      <c r="T76" s="2692"/>
      <c r="U76" s="2692"/>
      <c r="V76" s="2692"/>
      <c r="W76" s="2692"/>
      <c r="X76" s="2692"/>
      <c r="Y76" s="2692"/>
      <c r="Z76" s="2692"/>
      <c r="AA76" s="2692"/>
      <c r="AB76" s="2692"/>
      <c r="AC76" s="2692"/>
      <c r="AD76" s="2692"/>
      <c r="AE76" s="2692"/>
      <c r="AF76" s="2692"/>
      <c r="AG76" s="2692"/>
      <c r="AH76" s="2692"/>
      <c r="AI76" s="2692"/>
      <c r="AJ76" s="2692"/>
      <c r="AK76" s="2692"/>
      <c r="AL76" s="2692"/>
      <c r="AM76" s="2692"/>
      <c r="AN76" s="2692"/>
      <c r="AO76" s="2692"/>
      <c r="AP76" s="2692"/>
      <c r="AQ76" s="2692"/>
      <c r="AR76" s="2692"/>
      <c r="AS76" s="2692"/>
      <c r="AT76" s="2692"/>
      <c r="AU76" s="2692"/>
      <c r="AV76" s="2692"/>
      <c r="AW76" s="2692"/>
      <c r="AX76" s="2692"/>
      <c r="AY76" s="2692"/>
      <c r="AZ76" s="2692"/>
      <c r="BA76" s="2692"/>
      <c r="BB76" s="2692"/>
      <c r="BC76" s="2692"/>
      <c r="BD76" s="2692"/>
      <c r="BE76" s="2692"/>
      <c r="BF76" s="2692"/>
      <c r="BG76" s="2692"/>
      <c r="BH76" s="2692"/>
      <c r="BI76" s="2692"/>
      <c r="BJ76" s="2692"/>
      <c r="BK76" s="2692"/>
      <c r="BL76" s="2692"/>
      <c r="BM76" s="2692"/>
      <c r="BN76" s="2692"/>
      <c r="BO76" s="2692"/>
      <c r="BP76" s="2692"/>
      <c r="BQ76" s="2692"/>
      <c r="BR76" s="2692"/>
      <c r="BS76" s="2692"/>
      <c r="BT76" s="2692"/>
      <c r="BU76" s="2692"/>
      <c r="BV76" s="2692"/>
      <c r="BW76" s="2692"/>
      <c r="BX76" s="2692"/>
      <c r="BY76" s="2692"/>
      <c r="BZ76" s="2692"/>
      <c r="CA76" s="2692"/>
      <c r="CB76" s="2692"/>
      <c r="CC76" s="2692"/>
      <c r="CD76" s="2692"/>
      <c r="CE76" s="2692"/>
      <c r="CF76" s="2692"/>
      <c r="CG76" s="2692"/>
      <c r="CH76" s="2692"/>
      <c r="CI76" s="2692"/>
      <c r="CJ76" s="2692"/>
      <c r="CK76" s="2692"/>
      <c r="CL76" s="2692"/>
      <c r="CM76" s="2692"/>
      <c r="CN76" s="2692"/>
      <c r="CO76" s="2692"/>
      <c r="CP76" s="2692"/>
      <c r="CQ76" s="2692"/>
      <c r="CR76" s="2692"/>
      <c r="CS76" s="2692"/>
      <c r="CT76" s="2692"/>
      <c r="CU76" s="2692"/>
      <c r="CV76" s="2692"/>
      <c r="CW76" s="2692"/>
      <c r="CX76" s="2692"/>
      <c r="CY76" s="2692"/>
      <c r="CZ76" s="2692"/>
      <c r="DA76" s="2692"/>
      <c r="DB76" s="2692"/>
      <c r="DC76" s="2692"/>
      <c r="DD76" s="2692"/>
      <c r="DE76" s="2692"/>
      <c r="DF76" s="2692"/>
      <c r="DG76" s="2692"/>
      <c r="DH76" s="2692"/>
      <c r="DI76" s="2692"/>
      <c r="DJ76" s="2692"/>
      <c r="DK76" s="2692"/>
      <c r="DL76" s="2692"/>
      <c r="DM76" s="2692"/>
      <c r="DN76" s="2692"/>
      <c r="DO76" s="2692"/>
      <c r="DP76" s="2692"/>
      <c r="DQ76" s="2692"/>
      <c r="DR76" s="2692"/>
      <c r="DS76" s="2692"/>
      <c r="DT76" s="2692"/>
      <c r="DU76" s="2692"/>
      <c r="DV76" s="2692"/>
      <c r="DW76" s="2692"/>
      <c r="DX76" s="2692"/>
      <c r="DY76" s="2692"/>
      <c r="DZ76" s="2692"/>
      <c r="EA76" s="2692"/>
      <c r="EB76" s="2692"/>
      <c r="EC76" s="2692"/>
      <c r="ED76" s="2692"/>
      <c r="EE76" s="2692"/>
      <c r="EF76" s="2692"/>
      <c r="EG76" s="2692"/>
      <c r="EH76" s="2692"/>
      <c r="EI76" s="2692"/>
      <c r="EJ76" s="2692"/>
      <c r="EK76" s="2692"/>
      <c r="EL76" s="2692"/>
      <c r="EM76" s="2692"/>
      <c r="EN76" s="2692"/>
      <c r="EO76" s="2692"/>
      <c r="EP76" s="2692"/>
      <c r="EQ76" s="2692"/>
      <c r="ER76" s="2692"/>
      <c r="ES76" s="2692"/>
      <c r="ET76" s="2692"/>
      <c r="EU76" s="2692"/>
      <c r="EV76" s="2692"/>
      <c r="EW76" s="2692"/>
      <c r="EX76" s="2692"/>
      <c r="EY76" s="2692"/>
      <c r="EZ76" s="2692"/>
      <c r="FA76" s="2692"/>
      <c r="FB76" s="2692"/>
      <c r="FC76" s="2692"/>
      <c r="FD76" s="2692"/>
      <c r="FE76" s="2692"/>
      <c r="FF76" s="2692"/>
      <c r="FG76" s="2692"/>
      <c r="FH76" s="2692"/>
      <c r="FI76" s="2692"/>
      <c r="FJ76" s="2692"/>
      <c r="FK76" s="2692"/>
      <c r="FL76" s="2692"/>
      <c r="FM76" s="2692"/>
      <c r="FN76" s="2692"/>
      <c r="FO76" s="2692"/>
      <c r="FP76" s="2692"/>
      <c r="FQ76" s="2692"/>
      <c r="FR76" s="2692"/>
      <c r="FS76" s="2692"/>
      <c r="FT76" s="2692"/>
      <c r="FU76" s="2692"/>
      <c r="FV76" s="2692"/>
      <c r="FW76" s="2692"/>
      <c r="FX76" s="2692"/>
      <c r="FY76" s="2692"/>
      <c r="FZ76" s="2692"/>
      <c r="GA76" s="2692"/>
      <c r="GB76" s="2692"/>
      <c r="GC76" s="2692"/>
      <c r="GD76" s="2692"/>
      <c r="GE76" s="2692"/>
      <c r="GF76" s="2692"/>
      <c r="GG76" s="2692"/>
      <c r="GH76" s="2692"/>
      <c r="GI76" s="2692"/>
      <c r="GJ76" s="2692"/>
      <c r="GK76" s="2692"/>
      <c r="GL76" s="2692"/>
      <c r="GM76" s="2692"/>
      <c r="GN76" s="2692"/>
      <c r="GO76" s="2692"/>
      <c r="GP76" s="2692"/>
      <c r="GQ76" s="2692"/>
      <c r="GR76" s="2692"/>
      <c r="GS76" s="2692"/>
      <c r="GT76" s="2692"/>
      <c r="GU76" s="2692"/>
      <c r="GV76" s="2692"/>
      <c r="GW76" s="2692"/>
      <c r="GX76" s="2692"/>
      <c r="GY76" s="2692"/>
      <c r="GZ76" s="2692"/>
      <c r="HA76" s="2692"/>
      <c r="HB76" s="2692"/>
      <c r="HC76" s="2692"/>
      <c r="HD76" s="2692"/>
      <c r="HE76" s="2692"/>
      <c r="HF76" s="2692"/>
      <c r="HG76" s="2692"/>
      <c r="HH76" s="2692"/>
      <c r="HI76" s="2692"/>
      <c r="HJ76" s="2692"/>
      <c r="HK76" s="2692"/>
      <c r="HL76" s="2692"/>
      <c r="HM76" s="2692"/>
      <c r="HN76" s="2692"/>
      <c r="HO76" s="2692"/>
      <c r="HP76" s="2692"/>
      <c r="HQ76" s="2692"/>
      <c r="HR76" s="2692"/>
      <c r="HS76" s="2692"/>
      <c r="HT76" s="2692"/>
      <c r="HU76" s="2692"/>
      <c r="HV76" s="2692"/>
      <c r="HW76" s="2692"/>
      <c r="HX76" s="2692"/>
      <c r="HY76" s="2692"/>
      <c r="HZ76" s="2692"/>
      <c r="IA76" s="2692"/>
      <c r="IB76" s="2692"/>
      <c r="IC76" s="2692"/>
      <c r="ID76" s="2692"/>
      <c r="IE76" s="2692"/>
      <c r="IF76" s="2692"/>
      <c r="IG76" s="2692"/>
      <c r="IH76" s="2692"/>
      <c r="II76" s="2692"/>
      <c r="IJ76" s="2692"/>
      <c r="IK76" s="2692"/>
      <c r="IL76" s="2692"/>
      <c r="IM76" s="2692"/>
      <c r="IN76" s="2692"/>
      <c r="IO76" s="2692"/>
      <c r="IP76" s="2692"/>
      <c r="IQ76" s="2692"/>
      <c r="IR76" s="2692"/>
      <c r="IS76" s="2692"/>
      <c r="IT76" s="2692"/>
      <c r="IU76" s="2692"/>
      <c r="IV76" s="2692"/>
    </row>
    <row r="77" spans="1:256" ht="15" thickTop="1" x14ac:dyDescent="0.35"/>
  </sheetData>
  <mergeCells count="82">
    <mergeCell ref="B65:D65"/>
    <mergeCell ref="G65:J65"/>
    <mergeCell ref="B52:D52"/>
    <mergeCell ref="A55:E55"/>
    <mergeCell ref="G46:J46"/>
    <mergeCell ref="G47:J47"/>
    <mergeCell ref="B50:E50"/>
    <mergeCell ref="G50:J50"/>
    <mergeCell ref="G52:J52"/>
    <mergeCell ref="B46:E46"/>
    <mergeCell ref="B47:E47"/>
    <mergeCell ref="B48:E48"/>
    <mergeCell ref="B49:E49"/>
    <mergeCell ref="G48:J48"/>
    <mergeCell ref="G49:J49"/>
    <mergeCell ref="B26:D26"/>
    <mergeCell ref="G26:I26"/>
    <mergeCell ref="G45:J45"/>
    <mergeCell ref="G40:J40"/>
    <mergeCell ref="G39:J39"/>
    <mergeCell ref="G28:J28"/>
    <mergeCell ref="G36:J36"/>
    <mergeCell ref="G38:J38"/>
    <mergeCell ref="G37:J37"/>
    <mergeCell ref="G41:J41"/>
    <mergeCell ref="G35:J35"/>
    <mergeCell ref="B30:E30"/>
    <mergeCell ref="B31:E31"/>
    <mergeCell ref="B32:E32"/>
    <mergeCell ref="G44:J44"/>
    <mergeCell ref="G13:J13"/>
    <mergeCell ref="G14:J14"/>
    <mergeCell ref="B22:C22"/>
    <mergeCell ref="B23:C23"/>
    <mergeCell ref="G43:J43"/>
    <mergeCell ref="G15:J15"/>
    <mergeCell ref="B27:E27"/>
    <mergeCell ref="B28:E28"/>
    <mergeCell ref="B29:E29"/>
    <mergeCell ref="G27:J27"/>
    <mergeCell ref="G29:J29"/>
    <mergeCell ref="F31:G31"/>
    <mergeCell ref="B34:D34"/>
    <mergeCell ref="G34:I34"/>
    <mergeCell ref="G42:J42"/>
    <mergeCell ref="A41:B41"/>
    <mergeCell ref="H23:J23"/>
    <mergeCell ref="H24:J24"/>
    <mergeCell ref="D21:D22"/>
    <mergeCell ref="B20:C20"/>
    <mergeCell ref="B21:C21"/>
    <mergeCell ref="B24:C24"/>
    <mergeCell ref="H20:J20"/>
    <mergeCell ref="H21:J21"/>
    <mergeCell ref="H22:J22"/>
    <mergeCell ref="F18:G18"/>
    <mergeCell ref="B18:D18"/>
    <mergeCell ref="B19:C19"/>
    <mergeCell ref="A5:B5"/>
    <mergeCell ref="C5:P5"/>
    <mergeCell ref="H18:J18"/>
    <mergeCell ref="H19:J19"/>
    <mergeCell ref="B10:E10"/>
    <mergeCell ref="B12:E12"/>
    <mergeCell ref="B13:E13"/>
    <mergeCell ref="B14:E14"/>
    <mergeCell ref="B15:E15"/>
    <mergeCell ref="B11:E11"/>
    <mergeCell ref="G10:J10"/>
    <mergeCell ref="G11:J11"/>
    <mergeCell ref="G12:J12"/>
    <mergeCell ref="D3:G3"/>
    <mergeCell ref="A4:Q4"/>
    <mergeCell ref="B9:D9"/>
    <mergeCell ref="G9:I9"/>
    <mergeCell ref="E7:F7"/>
    <mergeCell ref="D1:G1"/>
    <mergeCell ref="I1:J1"/>
    <mergeCell ref="D2:G2"/>
    <mergeCell ref="I2:J2"/>
    <mergeCell ref="L2:M2"/>
    <mergeCell ref="L1:M1"/>
  </mergeCells>
  <conditionalFormatting sqref="O2">
    <cfRule type="iconSet" priority="4">
      <iconSet iconSet="3Symbols2" showValue="0">
        <cfvo type="percent" val="0"/>
        <cfvo type="num" val="0"/>
        <cfvo type="num" val="10"/>
      </iconSet>
    </cfRule>
  </conditionalFormatting>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400-000000000000}">
      <formula1>AvancementTheme</formula1>
    </dataValidation>
  </dataValidation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42">
    <tabColor theme="9" tint="-0.249977111117893"/>
    <pageSetUpPr fitToPage="1"/>
  </sheetPr>
  <dimension ref="A1:AB45"/>
  <sheetViews>
    <sheetView showGridLines="0" showRowColHeaders="0" zoomScaleNormal="100" workbookViewId="0">
      <pane xSplit="3" ySplit="9" topLeftCell="D13" activePane="bottomRight" state="frozen"/>
      <selection activeCell="H7" sqref="H7"/>
      <selection pane="topRight" activeCell="H7" sqref="H7"/>
      <selection pane="bottomLeft" activeCell="H7" sqref="H7"/>
      <selection pane="bottomRight" activeCell="H7" sqref="H7:I7"/>
    </sheetView>
  </sheetViews>
  <sheetFormatPr baseColWidth="10" defaultColWidth="11.453125" defaultRowHeight="14.5" x14ac:dyDescent="0.35"/>
  <cols>
    <col min="1" max="1" width="11.453125" style="60" customWidth="1"/>
    <col min="2" max="2" width="11.26953125" style="60" customWidth="1"/>
    <col min="3" max="3" width="8.54296875" style="60" customWidth="1"/>
    <col min="4" max="27" width="6.7265625" style="60" customWidth="1"/>
    <col min="28" max="16384" width="11.453125" style="60"/>
  </cols>
  <sheetData>
    <row r="1" spans="1:28"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t="s">
        <v>2</v>
      </c>
      <c r="Y1" s="479" t="s">
        <v>3</v>
      </c>
      <c r="Z1" s="389"/>
      <c r="AA1" s="458"/>
      <c r="AB1" s="458"/>
    </row>
    <row r="2" spans="1:28" s="58" customFormat="1" ht="18" customHeight="1" x14ac:dyDescent="0.35">
      <c r="A2" s="393"/>
      <c r="B2" s="393"/>
      <c r="C2" s="393"/>
      <c r="D2" s="393"/>
      <c r="E2" s="3822" t="str">
        <f>NomClient</f>
        <v xml:space="preserve">EQUINIX </v>
      </c>
      <c r="F2" s="3823"/>
      <c r="G2" s="3823"/>
      <c r="H2" s="3823"/>
      <c r="I2" s="3823"/>
      <c r="J2" s="3824"/>
      <c r="K2" s="393"/>
      <c r="L2" s="3345" t="s">
        <v>406</v>
      </c>
      <c r="M2" s="3826"/>
      <c r="N2" s="3826"/>
      <c r="O2" s="3346"/>
      <c r="P2" s="819"/>
      <c r="Q2" s="393"/>
      <c r="R2" s="3347">
        <v>42420.671412037038</v>
      </c>
      <c r="S2" s="3825"/>
      <c r="T2" s="3825"/>
      <c r="U2" s="3348"/>
      <c r="V2" s="699"/>
      <c r="W2" s="699"/>
      <c r="X2" s="451">
        <f>IF(LEN(DPDV_04GI2)&gt;0,LEN(DPDV_04GI2),0-PDV_NBmini)</f>
        <v>37</v>
      </c>
      <c r="Y2" s="451">
        <f>IF(LEN(DKPI_04GI2)&gt;0,LEN(DKPI_04GI2),0-KPI_NBmini)</f>
        <v>37</v>
      </c>
      <c r="Z2" s="699"/>
      <c r="AA2" s="459"/>
      <c r="AB2" s="459"/>
    </row>
    <row r="3" spans="1:28" ht="9.75" customHeight="1" thickBot="1" x14ac:dyDescent="0.4">
      <c r="A3" s="396"/>
      <c r="B3" s="396"/>
      <c r="C3" s="396"/>
      <c r="D3" s="3696" t="s">
        <v>1792</v>
      </c>
      <c r="E3" s="3696"/>
      <c r="F3" s="3696"/>
      <c r="G3" s="3696"/>
      <c r="H3" s="1960"/>
      <c r="I3" s="1960"/>
      <c r="J3" s="1960"/>
      <c r="K3" s="396"/>
      <c r="L3" s="396"/>
      <c r="M3" s="396"/>
      <c r="N3" s="396"/>
      <c r="O3" s="396"/>
      <c r="P3" s="396"/>
      <c r="Q3" s="831"/>
      <c r="R3" s="831"/>
      <c r="S3" s="831"/>
      <c r="T3" s="831"/>
      <c r="U3" s="831"/>
      <c r="V3" s="831"/>
      <c r="W3" s="2310"/>
      <c r="X3" s="2310"/>
      <c r="Y3" s="2310"/>
      <c r="Z3" s="2310"/>
    </row>
    <row r="4" spans="1:28" s="1" customFormat="1" ht="24.75" customHeight="1" thickBot="1" x14ac:dyDescent="0.4">
      <c r="A4" s="5552" t="str">
        <f>Parametre!B26 &amp; "   : "</f>
        <v xml:space="preserve">Marchés cibles   : </v>
      </c>
      <c r="B4" s="5552"/>
      <c r="C4" s="5552"/>
      <c r="D4" s="5552"/>
      <c r="E4" s="5552"/>
      <c r="F4" s="5552"/>
      <c r="G4" s="5552"/>
      <c r="H4" s="5552"/>
      <c r="I4" s="5552"/>
      <c r="J4" s="5552"/>
      <c r="K4" s="5553" t="str">
        <f>"Répartition à l'International pour " &amp; NomProd2</f>
        <v>Répartition à l'International pour ASEMA</v>
      </c>
      <c r="L4" s="5553"/>
      <c r="M4" s="5553"/>
      <c r="N4" s="5553"/>
      <c r="O4" s="5553"/>
      <c r="P4" s="5553"/>
      <c r="Q4" s="5553"/>
      <c r="R4" s="5553"/>
      <c r="S4" s="5553"/>
      <c r="T4" s="5553"/>
      <c r="U4" s="5553"/>
      <c r="V4" s="5553"/>
      <c r="W4" s="5553"/>
      <c r="X4" s="5553"/>
      <c r="Y4" s="5553"/>
      <c r="Z4" s="5554"/>
      <c r="AA4" s="444"/>
      <c r="AB4" s="444"/>
    </row>
    <row r="5" spans="1:28" s="65" customFormat="1" ht="37.5" customHeight="1" thickBot="1" x14ac:dyDescent="0.4">
      <c r="A5" s="3438" t="s">
        <v>14</v>
      </c>
      <c r="B5" s="3438"/>
      <c r="C5" s="3508" t="s">
        <v>593</v>
      </c>
      <c r="D5" s="3508"/>
      <c r="E5" s="3508"/>
      <c r="F5" s="3508"/>
      <c r="G5" s="3508"/>
      <c r="H5" s="3508"/>
      <c r="I5" s="3508"/>
      <c r="J5" s="3508"/>
      <c r="K5" s="3508"/>
      <c r="L5" s="3508"/>
      <c r="M5" s="3508"/>
      <c r="N5" s="3508"/>
      <c r="O5" s="3508"/>
      <c r="P5" s="3508"/>
      <c r="Q5" s="3508"/>
      <c r="R5" s="3508"/>
      <c r="S5" s="3508"/>
      <c r="T5" s="3508"/>
      <c r="U5" s="3508"/>
      <c r="V5" s="3508"/>
      <c r="W5" s="3508"/>
      <c r="X5" s="3508"/>
      <c r="Y5" s="3508"/>
      <c r="Z5" s="3508"/>
      <c r="AA5" s="398"/>
      <c r="AB5" s="398"/>
    </row>
    <row r="6" spans="1:28" ht="17.25" customHeight="1" x14ac:dyDescent="0.35">
      <c r="A6" s="3836"/>
      <c r="B6" s="3837" t="s">
        <v>359</v>
      </c>
      <c r="C6" s="3832"/>
      <c r="D6" s="3831" t="s">
        <v>350</v>
      </c>
      <c r="E6" s="3831"/>
      <c r="F6" s="3831" t="s">
        <v>351</v>
      </c>
      <c r="G6" s="3831"/>
      <c r="H6" s="3831" t="s">
        <v>352</v>
      </c>
      <c r="I6" s="3831"/>
      <c r="J6" s="3831" t="s">
        <v>353</v>
      </c>
      <c r="K6" s="3831"/>
      <c r="L6" s="3831" t="s">
        <v>354</v>
      </c>
      <c r="M6" s="3845"/>
      <c r="N6" s="3829"/>
      <c r="O6" s="3830"/>
      <c r="P6" s="3837" t="s">
        <v>594</v>
      </c>
      <c r="Q6" s="3832"/>
      <c r="R6" s="3832"/>
      <c r="S6" s="3831" t="s">
        <v>355</v>
      </c>
      <c r="T6" s="3831"/>
      <c r="U6" s="3831" t="s">
        <v>356</v>
      </c>
      <c r="V6" s="3831"/>
      <c r="W6" s="3831" t="s">
        <v>357</v>
      </c>
      <c r="X6" s="3831"/>
      <c r="Y6" s="3831" t="s">
        <v>358</v>
      </c>
      <c r="Z6" s="3845"/>
      <c r="AA6" s="3828"/>
      <c r="AB6" s="64"/>
    </row>
    <row r="7" spans="1:28" ht="18" customHeight="1" thickBot="1" x14ac:dyDescent="0.4">
      <c r="A7" s="3836"/>
      <c r="B7" s="3838"/>
      <c r="C7" s="3839"/>
      <c r="D7" s="3834">
        <v>1</v>
      </c>
      <c r="E7" s="3834"/>
      <c r="F7" s="3834">
        <v>2</v>
      </c>
      <c r="G7" s="3834"/>
      <c r="H7" s="3834">
        <v>3</v>
      </c>
      <c r="I7" s="3834"/>
      <c r="J7" s="3834">
        <v>4</v>
      </c>
      <c r="K7" s="3834"/>
      <c r="L7" s="3834">
        <v>5</v>
      </c>
      <c r="M7" s="3844"/>
      <c r="N7" s="3829"/>
      <c r="O7" s="3830"/>
      <c r="P7" s="3838"/>
      <c r="Q7" s="3839"/>
      <c r="R7" s="3839"/>
      <c r="S7" s="3846"/>
      <c r="T7" s="3846"/>
      <c r="U7" s="3847"/>
      <c r="V7" s="3847"/>
      <c r="W7" s="3848"/>
      <c r="X7" s="3848"/>
      <c r="Y7" s="3849"/>
      <c r="Z7" s="3850"/>
      <c r="AA7" s="3828"/>
      <c r="AB7" s="64"/>
    </row>
    <row r="8" spans="1:28" ht="5.25" customHeight="1" thickBot="1" x14ac:dyDescent="0.4">
      <c r="A8" s="3697"/>
      <c r="B8" s="3697"/>
      <c r="C8" s="3697"/>
      <c r="D8" s="3697"/>
      <c r="E8" s="3697"/>
      <c r="F8" s="3697"/>
      <c r="G8" s="3697"/>
      <c r="H8" s="3697"/>
      <c r="I8" s="3697"/>
      <c r="J8" s="3697"/>
      <c r="K8" s="3697"/>
      <c r="L8" s="3697"/>
      <c r="M8" s="3697"/>
      <c r="N8" s="3697"/>
      <c r="O8" s="3697"/>
      <c r="P8" s="3697"/>
      <c r="Q8" s="3697"/>
      <c r="R8" s="3697"/>
      <c r="S8" s="3697"/>
      <c r="T8" s="3697"/>
      <c r="U8" s="3697"/>
      <c r="V8" s="3697"/>
      <c r="W8" s="3697"/>
      <c r="X8" s="3697"/>
      <c r="Y8" s="3697"/>
      <c r="Z8" s="3697"/>
      <c r="AA8" s="3697"/>
      <c r="AB8" s="64"/>
    </row>
    <row r="9" spans="1:28" s="192" customFormat="1" ht="90.75" customHeight="1" thickTop="1" thickBot="1" x14ac:dyDescent="0.4">
      <c r="A9" s="3800" t="str">
        <f>NomProd1 &amp;
" Repartition Export"</f>
        <v>EQUINIX Repartition Export</v>
      </c>
      <c r="B9" s="3801"/>
      <c r="C9" s="820" t="s">
        <v>222</v>
      </c>
      <c r="D9" s="821" t="s">
        <v>382</v>
      </c>
      <c r="E9" s="822" t="s">
        <v>383</v>
      </c>
      <c r="F9" s="822" t="s">
        <v>384</v>
      </c>
      <c r="G9" s="822" t="s">
        <v>385</v>
      </c>
      <c r="H9" s="822" t="s">
        <v>386</v>
      </c>
      <c r="I9" s="822" t="s">
        <v>387</v>
      </c>
      <c r="J9" s="822" t="s">
        <v>388</v>
      </c>
      <c r="K9" s="822" t="s">
        <v>389</v>
      </c>
      <c r="L9" s="823" t="s">
        <v>390</v>
      </c>
      <c r="M9" s="823" t="s">
        <v>391</v>
      </c>
      <c r="N9" s="823" t="s">
        <v>392</v>
      </c>
      <c r="O9" s="823" t="s">
        <v>393</v>
      </c>
      <c r="P9" s="823" t="s">
        <v>394</v>
      </c>
      <c r="Q9" s="823" t="s">
        <v>395</v>
      </c>
      <c r="R9" s="823" t="s">
        <v>396</v>
      </c>
      <c r="S9" s="823" t="s">
        <v>397</v>
      </c>
      <c r="T9" s="823" t="s">
        <v>398</v>
      </c>
      <c r="U9" s="823" t="s">
        <v>399</v>
      </c>
      <c r="V9" s="823" t="s">
        <v>400</v>
      </c>
      <c r="W9" s="823" t="s">
        <v>401</v>
      </c>
      <c r="X9" s="823" t="s">
        <v>402</v>
      </c>
      <c r="Y9" s="823" t="s">
        <v>403</v>
      </c>
      <c r="Z9" s="823" t="s">
        <v>404</v>
      </c>
      <c r="AA9" s="824" t="s">
        <v>405</v>
      </c>
      <c r="AB9" s="701"/>
    </row>
    <row r="10" spans="1:28" ht="17.25" customHeight="1" thickBot="1" x14ac:dyDescent="0.4">
      <c r="A10" s="4608" t="str">
        <f>"% CA client en " &amp; AnReference</f>
        <v>% CA client en 2018</v>
      </c>
      <c r="B10" s="4609"/>
      <c r="C10" s="825">
        <f>SUM(D10:AA10)</f>
        <v>0</v>
      </c>
      <c r="D10" s="316"/>
      <c r="E10" s="317"/>
      <c r="F10" s="317"/>
      <c r="G10" s="317"/>
      <c r="H10" s="317"/>
      <c r="I10" s="317"/>
      <c r="J10" s="317"/>
      <c r="K10" s="317"/>
      <c r="L10" s="317"/>
      <c r="M10" s="317"/>
      <c r="N10" s="317"/>
      <c r="O10" s="317"/>
      <c r="P10" s="317"/>
      <c r="Q10" s="317"/>
      <c r="R10" s="317"/>
      <c r="S10" s="317"/>
      <c r="T10" s="317"/>
      <c r="U10" s="317"/>
      <c r="V10" s="317"/>
      <c r="W10" s="317"/>
      <c r="X10" s="317"/>
      <c r="Y10" s="317"/>
      <c r="Z10" s="317"/>
      <c r="AA10" s="318"/>
      <c r="AB10" s="64"/>
    </row>
    <row r="11" spans="1:28" ht="31.5" customHeight="1" x14ac:dyDescent="0.35">
      <c r="A11" s="4602" t="s">
        <v>348</v>
      </c>
      <c r="B11" s="4603"/>
      <c r="C11" s="4604"/>
      <c r="D11" s="314"/>
      <c r="E11" s="114"/>
      <c r="F11" s="114"/>
      <c r="G11" s="114"/>
      <c r="H11" s="114"/>
      <c r="I11" s="114"/>
      <c r="J11" s="114"/>
      <c r="K11" s="114"/>
      <c r="L11" s="114"/>
      <c r="M11" s="114"/>
      <c r="N11" s="114"/>
      <c r="O11" s="114"/>
      <c r="P11" s="114"/>
      <c r="Q11" s="114"/>
      <c r="R11" s="114"/>
      <c r="S11" s="114"/>
      <c r="T11" s="114"/>
      <c r="U11" s="114"/>
      <c r="V11" s="114"/>
      <c r="W11" s="114"/>
      <c r="X11" s="114"/>
      <c r="Y11" s="114"/>
      <c r="Z11" s="114"/>
      <c r="AA11" s="196"/>
      <c r="AB11" s="64"/>
    </row>
    <row r="12" spans="1:28" ht="22.5" customHeight="1" thickBot="1" x14ac:dyDescent="0.4">
      <c r="A12" s="3794" t="s">
        <v>149</v>
      </c>
      <c r="B12" s="3795"/>
      <c r="C12" s="4585"/>
      <c r="D12" s="258"/>
      <c r="E12" s="259"/>
      <c r="F12" s="259"/>
      <c r="G12" s="259"/>
      <c r="H12" s="259"/>
      <c r="I12" s="259"/>
      <c r="J12" s="259"/>
      <c r="K12" s="259"/>
      <c r="L12" s="259"/>
      <c r="M12" s="259"/>
      <c r="N12" s="259"/>
      <c r="O12" s="259"/>
      <c r="P12" s="259"/>
      <c r="Q12" s="259"/>
      <c r="R12" s="259"/>
      <c r="S12" s="259"/>
      <c r="T12" s="259"/>
      <c r="U12" s="259"/>
      <c r="V12" s="259"/>
      <c r="W12" s="259"/>
      <c r="X12" s="259"/>
      <c r="Y12" s="259"/>
      <c r="Z12" s="259"/>
      <c r="AA12" s="260"/>
      <c r="AB12" s="64"/>
    </row>
    <row r="13" spans="1:28" ht="7.5" customHeight="1" thickBot="1" x14ac:dyDescent="0.4">
      <c r="A13" s="826"/>
      <c r="B13" s="826"/>
      <c r="C13" s="827"/>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64"/>
    </row>
    <row r="14" spans="1:28" ht="22.5" customHeight="1" x14ac:dyDescent="0.35">
      <c r="A14" s="3816" t="s">
        <v>884</v>
      </c>
      <c r="B14" s="3817"/>
      <c r="C14" s="783">
        <f>SUM(D14:AA14)</f>
        <v>0</v>
      </c>
      <c r="D14" s="233"/>
      <c r="E14" s="234"/>
      <c r="F14" s="234"/>
      <c r="G14" s="234"/>
      <c r="H14" s="234"/>
      <c r="I14" s="234"/>
      <c r="J14" s="234"/>
      <c r="K14" s="234"/>
      <c r="L14" s="234"/>
      <c r="M14" s="234"/>
      <c r="N14" s="234"/>
      <c r="O14" s="234"/>
      <c r="P14" s="234"/>
      <c r="Q14" s="234"/>
      <c r="R14" s="234"/>
      <c r="S14" s="234"/>
      <c r="T14" s="234"/>
      <c r="U14" s="234"/>
      <c r="V14" s="234"/>
      <c r="W14" s="234"/>
      <c r="X14" s="234"/>
      <c r="Y14" s="234"/>
      <c r="Z14" s="234"/>
      <c r="AA14" s="235"/>
      <c r="AB14" s="64"/>
    </row>
    <row r="15" spans="1:28" ht="22.5" customHeight="1" x14ac:dyDescent="0.35">
      <c r="A15" s="4558" t="s">
        <v>360</v>
      </c>
      <c r="B15" s="4559"/>
      <c r="C15" s="784">
        <f>SUM(D15:AA15)</f>
        <v>0</v>
      </c>
      <c r="D15" s="236"/>
      <c r="E15" s="237"/>
      <c r="F15" s="237"/>
      <c r="G15" s="237"/>
      <c r="H15" s="237"/>
      <c r="I15" s="237"/>
      <c r="J15" s="237"/>
      <c r="K15" s="237"/>
      <c r="L15" s="237"/>
      <c r="M15" s="237"/>
      <c r="N15" s="237"/>
      <c r="O15" s="237"/>
      <c r="P15" s="237"/>
      <c r="Q15" s="237"/>
      <c r="R15" s="237"/>
      <c r="S15" s="237"/>
      <c r="T15" s="237"/>
      <c r="U15" s="237"/>
      <c r="V15" s="237"/>
      <c r="W15" s="237"/>
      <c r="X15" s="237"/>
      <c r="Y15" s="237"/>
      <c r="Z15" s="237"/>
      <c r="AA15" s="238"/>
      <c r="AB15" s="64"/>
    </row>
    <row r="16" spans="1:28" ht="22.5" customHeight="1" thickBot="1" x14ac:dyDescent="0.4">
      <c r="A16" s="4560" t="s">
        <v>913</v>
      </c>
      <c r="B16" s="4561"/>
      <c r="C16" s="812">
        <f>SUM(D16:AA16)</f>
        <v>0</v>
      </c>
      <c r="D16" s="352"/>
      <c r="E16" s="351"/>
      <c r="F16" s="351"/>
      <c r="G16" s="351"/>
      <c r="H16" s="351"/>
      <c r="I16" s="351"/>
      <c r="J16" s="351"/>
      <c r="K16" s="351"/>
      <c r="L16" s="351"/>
      <c r="M16" s="351"/>
      <c r="N16" s="351"/>
      <c r="O16" s="351"/>
      <c r="P16" s="351"/>
      <c r="Q16" s="351"/>
      <c r="R16" s="351"/>
      <c r="S16" s="351"/>
      <c r="T16" s="351"/>
      <c r="U16" s="351"/>
      <c r="V16" s="351"/>
      <c r="W16" s="351"/>
      <c r="X16" s="351"/>
      <c r="Y16" s="351"/>
      <c r="Z16" s="351"/>
      <c r="AA16" s="356"/>
      <c r="AB16" s="64"/>
    </row>
    <row r="17" spans="1:28" ht="23.25" customHeight="1" thickTop="1" thickBot="1" x14ac:dyDescent="0.4">
      <c r="A17" s="4606" t="s">
        <v>361</v>
      </c>
      <c r="B17" s="4607"/>
      <c r="C17" s="828">
        <f>SUM(D17:AA17)</f>
        <v>0</v>
      </c>
      <c r="D17" s="357">
        <f t="shared" ref="D17:AA17" si="0">D14-(D15+D16)</f>
        <v>0</v>
      </c>
      <c r="E17" s="357">
        <f t="shared" si="0"/>
        <v>0</v>
      </c>
      <c r="F17" s="357">
        <f t="shared" si="0"/>
        <v>0</v>
      </c>
      <c r="G17" s="357">
        <f t="shared" si="0"/>
        <v>0</v>
      </c>
      <c r="H17" s="357">
        <f t="shared" si="0"/>
        <v>0</v>
      </c>
      <c r="I17" s="357">
        <f t="shared" si="0"/>
        <v>0</v>
      </c>
      <c r="J17" s="357">
        <f t="shared" si="0"/>
        <v>0</v>
      </c>
      <c r="K17" s="357">
        <f t="shared" si="0"/>
        <v>0</v>
      </c>
      <c r="L17" s="357">
        <f t="shared" si="0"/>
        <v>0</v>
      </c>
      <c r="M17" s="357">
        <f t="shared" si="0"/>
        <v>0</v>
      </c>
      <c r="N17" s="357">
        <f t="shared" si="0"/>
        <v>0</v>
      </c>
      <c r="O17" s="357">
        <f t="shared" si="0"/>
        <v>0</v>
      </c>
      <c r="P17" s="357">
        <f t="shared" si="0"/>
        <v>0</v>
      </c>
      <c r="Q17" s="357">
        <f t="shared" si="0"/>
        <v>0</v>
      </c>
      <c r="R17" s="357">
        <f t="shared" si="0"/>
        <v>0</v>
      </c>
      <c r="S17" s="357">
        <f t="shared" si="0"/>
        <v>0</v>
      </c>
      <c r="T17" s="357">
        <f t="shared" si="0"/>
        <v>0</v>
      </c>
      <c r="U17" s="357">
        <f t="shared" si="0"/>
        <v>0</v>
      </c>
      <c r="V17" s="357">
        <f t="shared" si="0"/>
        <v>0</v>
      </c>
      <c r="W17" s="357">
        <f t="shared" si="0"/>
        <v>0</v>
      </c>
      <c r="X17" s="357">
        <f t="shared" si="0"/>
        <v>0</v>
      </c>
      <c r="Y17" s="357">
        <f t="shared" si="0"/>
        <v>0</v>
      </c>
      <c r="Z17" s="357">
        <f t="shared" si="0"/>
        <v>0</v>
      </c>
      <c r="AA17" s="358">
        <f t="shared" si="0"/>
        <v>0</v>
      </c>
      <c r="AB17" s="64"/>
    </row>
    <row r="18" spans="1:28" ht="15" thickTop="1" x14ac:dyDescent="0.35">
      <c r="A18" s="470"/>
      <c r="B18" s="470"/>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63"/>
      <c r="AA18" s="64"/>
      <c r="AB18" s="64"/>
    </row>
    <row r="19" spans="1:28" ht="15" thickBot="1" x14ac:dyDescent="0.4">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row>
    <row r="20" spans="1:28" ht="20.25" customHeight="1" thickTop="1" thickBot="1" x14ac:dyDescent="0.4">
      <c r="A20" s="4573" t="s">
        <v>10</v>
      </c>
      <c r="B20" s="4574"/>
      <c r="C20" s="4574"/>
      <c r="D20" s="4574"/>
      <c r="E20" s="4574"/>
      <c r="F20" s="4574"/>
      <c r="G20" s="4574"/>
      <c r="H20" s="4574"/>
      <c r="I20" s="4574"/>
      <c r="J20" s="4574"/>
      <c r="K20" s="4574"/>
      <c r="L20" s="4574"/>
      <c r="M20" s="4574"/>
      <c r="N20" s="4574"/>
      <c r="O20" s="4574"/>
      <c r="P20" s="4574"/>
      <c r="Q20" s="4574"/>
      <c r="R20" s="113"/>
      <c r="S20" s="3725" t="s">
        <v>748</v>
      </c>
      <c r="T20" s="3726"/>
      <c r="U20" s="3727"/>
      <c r="V20" s="31"/>
      <c r="W20" s="31"/>
      <c r="X20" s="31"/>
      <c r="Y20" s="31"/>
      <c r="Z20" s="64"/>
      <c r="AA20" s="64"/>
      <c r="AB20" s="64"/>
    </row>
    <row r="21" spans="1:28" ht="20.25" customHeight="1" x14ac:dyDescent="0.35">
      <c r="A21" s="4575" t="s">
        <v>1085</v>
      </c>
      <c r="B21" s="4576"/>
      <c r="C21" s="4576"/>
      <c r="D21" s="4576"/>
      <c r="E21" s="4576"/>
      <c r="F21" s="4576"/>
      <c r="G21" s="4576"/>
      <c r="H21" s="4576"/>
      <c r="I21" s="4576"/>
      <c r="J21" s="4576"/>
      <c r="K21" s="4576"/>
      <c r="L21" s="4576"/>
      <c r="M21" s="4576"/>
      <c r="N21" s="4576"/>
      <c r="O21" s="4576"/>
      <c r="P21" s="4576"/>
      <c r="Q21" s="4576"/>
      <c r="R21" s="36"/>
      <c r="S21" s="3750" t="s">
        <v>798</v>
      </c>
      <c r="T21" s="3751"/>
      <c r="U21" s="3752"/>
      <c r="V21" s="33"/>
      <c r="W21" s="33"/>
      <c r="X21" s="33"/>
      <c r="Y21" s="33"/>
      <c r="Z21" s="64"/>
      <c r="AA21" s="64"/>
      <c r="AB21" s="64"/>
    </row>
    <row r="22" spans="1:28" ht="20.25" customHeight="1" x14ac:dyDescent="0.35">
      <c r="A22" s="4577"/>
      <c r="B22" s="4578"/>
      <c r="C22" s="4578"/>
      <c r="D22" s="4578"/>
      <c r="E22" s="4578"/>
      <c r="F22" s="4578"/>
      <c r="G22" s="4578"/>
      <c r="H22" s="4578"/>
      <c r="I22" s="4578"/>
      <c r="J22" s="4578"/>
      <c r="K22" s="4578"/>
      <c r="L22" s="4578"/>
      <c r="M22" s="4578"/>
      <c r="N22" s="4578"/>
      <c r="O22" s="4578"/>
      <c r="P22" s="4578"/>
      <c r="Q22" s="4578"/>
      <c r="R22" s="36"/>
      <c r="S22" s="3753"/>
      <c r="T22" s="3754"/>
      <c r="U22" s="3755"/>
      <c r="V22" s="33"/>
      <c r="W22" s="33"/>
      <c r="X22" s="33"/>
      <c r="Y22" s="33"/>
      <c r="Z22" s="64"/>
      <c r="AA22" s="64"/>
      <c r="AB22" s="64"/>
    </row>
    <row r="23" spans="1:28" ht="20.25" customHeight="1" x14ac:dyDescent="0.35">
      <c r="A23" s="4577"/>
      <c r="B23" s="4578"/>
      <c r="C23" s="4578"/>
      <c r="D23" s="4578"/>
      <c r="E23" s="4578"/>
      <c r="F23" s="4578"/>
      <c r="G23" s="4578"/>
      <c r="H23" s="4578"/>
      <c r="I23" s="4578"/>
      <c r="J23" s="4578"/>
      <c r="K23" s="4578"/>
      <c r="L23" s="4578"/>
      <c r="M23" s="4578"/>
      <c r="N23" s="4578"/>
      <c r="O23" s="4578"/>
      <c r="P23" s="4578"/>
      <c r="Q23" s="4578"/>
      <c r="R23" s="36"/>
      <c r="S23" s="3753"/>
      <c r="T23" s="3754"/>
      <c r="U23" s="3755"/>
      <c r="V23" s="33"/>
      <c r="W23" s="33"/>
      <c r="X23" s="33"/>
      <c r="Y23" s="33"/>
      <c r="Z23" s="64"/>
      <c r="AA23" s="64"/>
      <c r="AB23" s="64"/>
    </row>
    <row r="24" spans="1:28" ht="15" thickBot="1" x14ac:dyDescent="0.4">
      <c r="A24" s="4579"/>
      <c r="B24" s="4580"/>
      <c r="C24" s="4580"/>
      <c r="D24" s="4580"/>
      <c r="E24" s="4580"/>
      <c r="F24" s="4580"/>
      <c r="G24" s="4580"/>
      <c r="H24" s="4580"/>
      <c r="I24" s="4580"/>
      <c r="J24" s="4580"/>
      <c r="K24" s="4580"/>
      <c r="L24" s="4580"/>
      <c r="M24" s="4580"/>
      <c r="N24" s="4580"/>
      <c r="O24" s="4580"/>
      <c r="P24" s="4580"/>
      <c r="Q24" s="4580"/>
      <c r="R24" s="36"/>
      <c r="S24" s="3756"/>
      <c r="T24" s="3757"/>
      <c r="U24" s="3758"/>
      <c r="V24" s="33"/>
      <c r="W24" s="33"/>
      <c r="X24" s="33"/>
      <c r="Y24" s="33"/>
      <c r="Z24" s="64"/>
      <c r="AA24" s="64"/>
      <c r="AB24" s="64"/>
    </row>
    <row r="25" spans="1:28" ht="15.5" thickTop="1" thickBot="1" x14ac:dyDescent="0.4">
      <c r="A25" s="64"/>
      <c r="B25" s="64"/>
      <c r="C25" s="64"/>
      <c r="D25" s="64"/>
      <c r="E25" s="64"/>
      <c r="F25" s="64"/>
      <c r="G25" s="64"/>
      <c r="H25" s="64"/>
      <c r="I25" s="64"/>
      <c r="J25" s="64"/>
      <c r="K25" s="64"/>
      <c r="L25" s="64"/>
      <c r="M25" s="64"/>
      <c r="N25" s="64"/>
      <c r="O25" s="64"/>
      <c r="P25" s="64"/>
      <c r="Q25" s="64"/>
      <c r="R25" s="64"/>
      <c r="S25" s="31"/>
      <c r="T25" s="31"/>
      <c r="U25" s="31"/>
      <c r="V25" s="64"/>
      <c r="W25" s="64"/>
      <c r="X25" s="64"/>
      <c r="Y25" s="64"/>
      <c r="Z25" s="64"/>
      <c r="AA25" s="64"/>
      <c r="AB25" s="64"/>
    </row>
    <row r="26" spans="1:28" ht="20.25" customHeight="1" thickTop="1" thickBot="1" x14ac:dyDescent="0.4">
      <c r="A26" s="4573" t="s">
        <v>11</v>
      </c>
      <c r="B26" s="4605"/>
      <c r="C26" s="4605"/>
      <c r="D26" s="4605"/>
      <c r="E26" s="4605"/>
      <c r="F26" s="4605"/>
      <c r="G26" s="4605"/>
      <c r="H26" s="4605"/>
      <c r="I26" s="4605"/>
      <c r="J26" s="4605"/>
      <c r="K26" s="4605"/>
      <c r="L26" s="4605"/>
      <c r="M26" s="4605"/>
      <c r="N26" s="4605"/>
      <c r="O26" s="4605"/>
      <c r="P26" s="4605"/>
      <c r="Q26" s="4605"/>
      <c r="R26" s="113"/>
      <c r="S26" s="3725" t="s">
        <v>748</v>
      </c>
      <c r="T26" s="3726"/>
      <c r="U26" s="3727"/>
      <c r="V26" s="31"/>
      <c r="W26" s="31"/>
      <c r="X26" s="31"/>
      <c r="Y26" s="31"/>
      <c r="Z26" s="64"/>
      <c r="AA26" s="64"/>
      <c r="AB26" s="64"/>
    </row>
    <row r="27" spans="1:28" ht="20.25" customHeight="1" x14ac:dyDescent="0.35">
      <c r="A27" s="4575" t="s">
        <v>1085</v>
      </c>
      <c r="B27" s="4581"/>
      <c r="C27" s="4581"/>
      <c r="D27" s="4581"/>
      <c r="E27" s="4581"/>
      <c r="F27" s="4581"/>
      <c r="G27" s="4581"/>
      <c r="H27" s="4581"/>
      <c r="I27" s="4581"/>
      <c r="J27" s="4581"/>
      <c r="K27" s="4581"/>
      <c r="L27" s="4581"/>
      <c r="M27" s="4581"/>
      <c r="N27" s="4581"/>
      <c r="O27" s="4581"/>
      <c r="P27" s="4581"/>
      <c r="Q27" s="4581"/>
      <c r="R27" s="36"/>
      <c r="S27" s="4593" t="s">
        <v>799</v>
      </c>
      <c r="T27" s="4594"/>
      <c r="U27" s="4595"/>
      <c r="V27" s="33"/>
      <c r="W27" s="33"/>
      <c r="X27" s="33"/>
      <c r="Y27" s="33"/>
      <c r="Z27" s="64"/>
      <c r="AA27" s="64"/>
      <c r="AB27" s="64"/>
    </row>
    <row r="28" spans="1:28" ht="20.25" customHeight="1" x14ac:dyDescent="0.35">
      <c r="A28" s="4582"/>
      <c r="B28" s="3882"/>
      <c r="C28" s="3882"/>
      <c r="D28" s="3882"/>
      <c r="E28" s="3882"/>
      <c r="F28" s="3882"/>
      <c r="G28" s="3882"/>
      <c r="H28" s="3882"/>
      <c r="I28" s="3882"/>
      <c r="J28" s="3882"/>
      <c r="K28" s="3882"/>
      <c r="L28" s="3882"/>
      <c r="M28" s="3882"/>
      <c r="N28" s="3882"/>
      <c r="O28" s="3882"/>
      <c r="P28" s="3882"/>
      <c r="Q28" s="3882"/>
      <c r="R28" s="36"/>
      <c r="S28" s="4596"/>
      <c r="T28" s="4597"/>
      <c r="U28" s="4598"/>
      <c r="V28" s="33"/>
      <c r="W28" s="33"/>
      <c r="X28" s="33"/>
      <c r="Y28" s="33"/>
      <c r="Z28" s="64"/>
      <c r="AA28" s="64"/>
      <c r="AB28" s="64"/>
    </row>
    <row r="29" spans="1:28" ht="20.25" customHeight="1" x14ac:dyDescent="0.35">
      <c r="A29" s="4582"/>
      <c r="B29" s="3882"/>
      <c r="C29" s="3882"/>
      <c r="D29" s="3882"/>
      <c r="E29" s="3882"/>
      <c r="F29" s="3882"/>
      <c r="G29" s="3882"/>
      <c r="H29" s="3882"/>
      <c r="I29" s="3882"/>
      <c r="J29" s="3882"/>
      <c r="K29" s="3882"/>
      <c r="L29" s="3882"/>
      <c r="M29" s="3882"/>
      <c r="N29" s="3882"/>
      <c r="O29" s="3882"/>
      <c r="P29" s="3882"/>
      <c r="Q29" s="3882"/>
      <c r="R29" s="36"/>
      <c r="S29" s="4596"/>
      <c r="T29" s="4597"/>
      <c r="U29" s="4598"/>
      <c r="V29" s="33"/>
      <c r="W29" s="33"/>
      <c r="X29" s="33"/>
      <c r="Y29" s="33"/>
      <c r="Z29" s="64"/>
      <c r="AA29" s="64"/>
      <c r="AB29" s="64"/>
    </row>
    <row r="30" spans="1:28" ht="15" thickBot="1" x14ac:dyDescent="0.4">
      <c r="A30" s="4583"/>
      <c r="B30" s="4584"/>
      <c r="C30" s="4584"/>
      <c r="D30" s="4584"/>
      <c r="E30" s="4584"/>
      <c r="F30" s="4584"/>
      <c r="G30" s="4584"/>
      <c r="H30" s="4584"/>
      <c r="I30" s="4584"/>
      <c r="J30" s="4584"/>
      <c r="K30" s="4584"/>
      <c r="L30" s="4584"/>
      <c r="M30" s="4584"/>
      <c r="N30" s="4584"/>
      <c r="O30" s="4584"/>
      <c r="P30" s="4584"/>
      <c r="Q30" s="4584"/>
      <c r="R30" s="36"/>
      <c r="S30" s="4599"/>
      <c r="T30" s="4600"/>
      <c r="U30" s="4601"/>
      <c r="V30" s="33"/>
      <c r="W30" s="33"/>
      <c r="X30" s="33"/>
      <c r="Y30" s="33"/>
      <c r="Z30" s="64"/>
      <c r="AA30" s="64"/>
      <c r="AB30" s="64"/>
    </row>
    <row r="31" spans="1:28" ht="15" thickTop="1" x14ac:dyDescent="0.35">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row>
    <row r="32" spans="1:28" ht="15" thickBot="1" x14ac:dyDescent="0.4">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row>
    <row r="33" spans="1:28" ht="19" thickTop="1" x14ac:dyDescent="0.45">
      <c r="A33" s="4565" t="s">
        <v>805</v>
      </c>
      <c r="B33" s="4566"/>
      <c r="C33" s="4566"/>
      <c r="D33" s="4566"/>
      <c r="E33" s="4566"/>
      <c r="F33" s="4566"/>
      <c r="G33" s="4566"/>
      <c r="H33" s="4566"/>
      <c r="I33" s="4566"/>
      <c r="J33" s="4566"/>
      <c r="K33" s="4567"/>
      <c r="L33" s="64"/>
      <c r="M33" s="64"/>
      <c r="N33" s="64"/>
      <c r="O33" s="64"/>
      <c r="P33" s="64"/>
      <c r="Q33" s="64"/>
      <c r="R33" s="64"/>
      <c r="S33" s="64"/>
      <c r="T33" s="64"/>
      <c r="U33" s="64"/>
      <c r="V33" s="64"/>
      <c r="W33" s="64"/>
      <c r="X33" s="64"/>
      <c r="Y33" s="64"/>
      <c r="Z33" s="64"/>
      <c r="AA33" s="64"/>
      <c r="AB33" s="64"/>
    </row>
    <row r="34" spans="1:28" ht="15" customHeight="1" x14ac:dyDescent="0.35">
      <c r="A34" s="4592" t="s">
        <v>800</v>
      </c>
      <c r="B34" s="4562"/>
      <c r="C34" s="4562" t="s">
        <v>801</v>
      </c>
      <c r="D34" s="4562"/>
      <c r="E34" s="4562"/>
      <c r="F34" s="4568" t="s">
        <v>882</v>
      </c>
      <c r="G34" s="4569"/>
      <c r="H34" s="4568" t="s">
        <v>891</v>
      </c>
      <c r="I34" s="4569"/>
      <c r="J34" s="4562" t="s">
        <v>802</v>
      </c>
      <c r="K34" s="4572"/>
      <c r="L34" s="64"/>
      <c r="M34" s="64"/>
      <c r="N34" s="64"/>
      <c r="O34" s="64"/>
      <c r="P34" s="64"/>
      <c r="Q34" s="64"/>
      <c r="R34" s="64"/>
      <c r="S34" s="64"/>
      <c r="T34" s="64"/>
      <c r="U34" s="64"/>
      <c r="V34" s="64"/>
      <c r="W34" s="64"/>
      <c r="X34" s="64"/>
      <c r="Y34" s="64"/>
      <c r="Z34" s="64"/>
      <c r="AA34" s="64"/>
      <c r="AB34" s="64"/>
    </row>
    <row r="35" spans="1:28" x14ac:dyDescent="0.35">
      <c r="A35" s="4592"/>
      <c r="B35" s="4562"/>
      <c r="C35" s="4562"/>
      <c r="D35" s="4562"/>
      <c r="E35" s="4562"/>
      <c r="F35" s="4570"/>
      <c r="G35" s="4571"/>
      <c r="H35" s="4570"/>
      <c r="I35" s="4571"/>
      <c r="J35" s="4562"/>
      <c r="K35" s="4572"/>
      <c r="L35" s="64"/>
      <c r="M35" s="64"/>
      <c r="N35" s="64"/>
      <c r="O35" s="64"/>
      <c r="P35" s="64"/>
      <c r="Q35" s="64"/>
      <c r="R35" s="64"/>
      <c r="S35" s="64"/>
      <c r="T35" s="64"/>
      <c r="U35" s="64"/>
      <c r="V35" s="64"/>
      <c r="W35" s="64"/>
      <c r="X35" s="64"/>
      <c r="Y35" s="64"/>
      <c r="Z35" s="64"/>
      <c r="AA35" s="64"/>
      <c r="AB35" s="64"/>
    </row>
    <row r="36" spans="1:28" x14ac:dyDescent="0.35">
      <c r="A36" s="4552" t="s">
        <v>382</v>
      </c>
      <c r="B36" s="4553"/>
      <c r="C36" s="4549"/>
      <c r="D36" s="4549"/>
      <c r="E36" s="4549"/>
      <c r="F36" s="4550"/>
      <c r="G36" s="4550"/>
      <c r="H36" s="4550"/>
      <c r="I36" s="4550"/>
      <c r="J36" s="4549"/>
      <c r="K36" s="4551"/>
      <c r="L36" s="64"/>
      <c r="M36" s="64"/>
      <c r="N36" s="64"/>
      <c r="O36" s="64"/>
      <c r="P36" s="64"/>
      <c r="Q36" s="64"/>
      <c r="R36" s="64"/>
      <c r="S36" s="64"/>
      <c r="T36" s="64"/>
      <c r="U36" s="64"/>
      <c r="V36" s="64"/>
      <c r="W36" s="64"/>
      <c r="X36" s="64"/>
      <c r="Y36" s="64"/>
      <c r="Z36" s="64"/>
      <c r="AA36" s="64"/>
      <c r="AB36" s="64"/>
    </row>
    <row r="37" spans="1:28" x14ac:dyDescent="0.35">
      <c r="A37" s="4552" t="s">
        <v>889</v>
      </c>
      <c r="B37" s="4553"/>
      <c r="C37" s="4549"/>
      <c r="D37" s="4549"/>
      <c r="E37" s="4549"/>
      <c r="F37" s="4550"/>
      <c r="G37" s="4550"/>
      <c r="H37" s="4550"/>
      <c r="I37" s="4550"/>
      <c r="J37" s="4549"/>
      <c r="K37" s="4551"/>
      <c r="L37" s="64"/>
      <c r="M37" s="64"/>
      <c r="N37" s="64"/>
      <c r="O37" s="64"/>
      <c r="P37" s="64"/>
      <c r="Q37" s="64"/>
      <c r="R37" s="64"/>
      <c r="S37" s="64"/>
      <c r="T37" s="64"/>
      <c r="U37" s="64"/>
      <c r="V37" s="64"/>
      <c r="W37" s="64"/>
      <c r="X37" s="64"/>
      <c r="Y37" s="64"/>
      <c r="Z37" s="64"/>
      <c r="AA37" s="64"/>
      <c r="AB37" s="64"/>
    </row>
    <row r="38" spans="1:28" x14ac:dyDescent="0.35">
      <c r="A38" s="4552" t="s">
        <v>890</v>
      </c>
      <c r="B38" s="4553"/>
      <c r="C38" s="4549"/>
      <c r="D38" s="4549"/>
      <c r="E38" s="4549"/>
      <c r="F38" s="4550"/>
      <c r="G38" s="4550"/>
      <c r="H38" s="4550"/>
      <c r="I38" s="4550"/>
      <c r="J38" s="4549"/>
      <c r="K38" s="4551"/>
      <c r="L38" s="64"/>
      <c r="M38" s="64"/>
      <c r="N38" s="64"/>
      <c r="O38" s="64"/>
      <c r="P38" s="64"/>
      <c r="Q38" s="64"/>
      <c r="R38" s="64"/>
      <c r="S38" s="64"/>
      <c r="T38" s="64"/>
      <c r="U38" s="64"/>
      <c r="V38" s="64"/>
      <c r="W38" s="64"/>
      <c r="X38" s="64"/>
      <c r="Y38" s="64"/>
      <c r="Z38" s="64"/>
      <c r="AA38" s="64"/>
      <c r="AB38" s="64"/>
    </row>
    <row r="39" spans="1:28" x14ac:dyDescent="0.35">
      <c r="A39" s="4552" t="s">
        <v>387</v>
      </c>
      <c r="B39" s="4553"/>
      <c r="C39" s="4549"/>
      <c r="D39" s="4549"/>
      <c r="E39" s="4549"/>
      <c r="F39" s="4550"/>
      <c r="G39" s="4550"/>
      <c r="H39" s="4550"/>
      <c r="I39" s="4550"/>
      <c r="J39" s="4549"/>
      <c r="K39" s="4551"/>
      <c r="L39" s="64"/>
      <c r="M39" s="64"/>
      <c r="N39" s="64"/>
      <c r="O39" s="64"/>
      <c r="P39" s="64"/>
      <c r="Q39" s="64"/>
      <c r="R39" s="64"/>
      <c r="S39" s="64"/>
      <c r="T39" s="64"/>
      <c r="U39" s="64"/>
      <c r="V39" s="64"/>
      <c r="W39" s="64"/>
      <c r="X39" s="64"/>
      <c r="Y39" s="64"/>
      <c r="Z39" s="64"/>
      <c r="AA39" s="64"/>
      <c r="AB39" s="64"/>
    </row>
    <row r="40" spans="1:28" x14ac:dyDescent="0.35">
      <c r="A40" s="4552" t="s">
        <v>403</v>
      </c>
      <c r="B40" s="4553"/>
      <c r="C40" s="4549"/>
      <c r="D40" s="4549"/>
      <c r="E40" s="4549"/>
      <c r="F40" s="4550"/>
      <c r="G40" s="4550"/>
      <c r="H40" s="4550"/>
      <c r="I40" s="4550"/>
      <c r="J40" s="4549"/>
      <c r="K40" s="4551"/>
      <c r="L40" s="64"/>
      <c r="M40" s="64"/>
      <c r="N40" s="64"/>
      <c r="O40" s="64"/>
      <c r="P40" s="64"/>
      <c r="Q40" s="64"/>
      <c r="R40" s="64"/>
      <c r="S40" s="64"/>
      <c r="T40" s="64"/>
      <c r="U40" s="64"/>
      <c r="V40" s="64"/>
      <c r="W40" s="64"/>
      <c r="X40" s="64"/>
      <c r="Y40" s="64"/>
      <c r="Z40" s="64"/>
      <c r="AA40" s="64"/>
      <c r="AB40" s="64"/>
    </row>
    <row r="41" spans="1:28" x14ac:dyDescent="0.35">
      <c r="A41" s="4552"/>
      <c r="B41" s="4553"/>
      <c r="C41" s="4549"/>
      <c r="D41" s="4549"/>
      <c r="E41" s="4549"/>
      <c r="F41" s="4550"/>
      <c r="G41" s="4550"/>
      <c r="H41" s="4550"/>
      <c r="I41" s="4550"/>
      <c r="J41" s="4549"/>
      <c r="K41" s="4551"/>
      <c r="L41" s="64"/>
      <c r="M41" s="64"/>
      <c r="N41" s="64"/>
      <c r="O41" s="64"/>
      <c r="P41" s="64"/>
      <c r="Q41" s="64"/>
      <c r="R41" s="64"/>
      <c r="S41" s="64"/>
      <c r="T41" s="64"/>
      <c r="U41" s="64"/>
      <c r="V41" s="64"/>
      <c r="W41" s="64"/>
      <c r="X41" s="64"/>
      <c r="Y41" s="64"/>
      <c r="Z41" s="64"/>
      <c r="AA41" s="64"/>
      <c r="AB41" s="64"/>
    </row>
    <row r="42" spans="1:28" x14ac:dyDescent="0.35">
      <c r="A42" s="4552"/>
      <c r="B42" s="4553"/>
      <c r="C42" s="4549"/>
      <c r="D42" s="4549"/>
      <c r="E42" s="4549"/>
      <c r="F42" s="4550"/>
      <c r="G42" s="4550"/>
      <c r="H42" s="4550"/>
      <c r="I42" s="4550"/>
      <c r="J42" s="4549"/>
      <c r="K42" s="4551"/>
      <c r="L42" s="64"/>
      <c r="M42" s="64"/>
      <c r="N42" s="64"/>
      <c r="O42" s="64"/>
      <c r="P42" s="64"/>
      <c r="Q42" s="64"/>
      <c r="R42" s="64"/>
      <c r="S42" s="64"/>
      <c r="T42" s="64"/>
      <c r="U42" s="64"/>
      <c r="V42" s="64"/>
      <c r="W42" s="64"/>
      <c r="X42" s="64"/>
      <c r="Y42" s="64"/>
      <c r="Z42" s="64"/>
      <c r="AA42" s="64"/>
      <c r="AB42" s="64"/>
    </row>
    <row r="43" spans="1:28" ht="15" thickBot="1" x14ac:dyDescent="0.4">
      <c r="A43" s="4546"/>
      <c r="B43" s="4547"/>
      <c r="C43" s="4547"/>
      <c r="D43" s="4547"/>
      <c r="E43" s="4547"/>
      <c r="F43" s="4547"/>
      <c r="G43" s="4547"/>
      <c r="H43" s="4547"/>
      <c r="I43" s="4547"/>
      <c r="J43" s="4547"/>
      <c r="K43" s="4548"/>
      <c r="L43" s="64"/>
      <c r="M43" s="64"/>
      <c r="N43" s="64"/>
      <c r="O43" s="64"/>
      <c r="P43" s="64"/>
      <c r="Q43" s="64"/>
      <c r="R43" s="64"/>
      <c r="S43" s="64"/>
      <c r="T43" s="64"/>
      <c r="U43" s="64"/>
      <c r="V43" s="64"/>
      <c r="W43" s="64"/>
      <c r="X43" s="64"/>
      <c r="Y43" s="64"/>
      <c r="Z43" s="64"/>
      <c r="AA43" s="64"/>
      <c r="AB43" s="64"/>
    </row>
    <row r="44" spans="1:28" ht="15" thickTop="1" x14ac:dyDescent="0.35">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row>
    <row r="45" spans="1:28" x14ac:dyDescent="0.35">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row>
  </sheetData>
  <mergeCells count="93">
    <mergeCell ref="D3:G3"/>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6:Z6"/>
    <mergeCell ref="L6:M6"/>
    <mergeCell ref="N6:O7"/>
    <mergeCell ref="P6:R7"/>
    <mergeCell ref="S6:T6"/>
    <mergeCell ref="U6:V6"/>
    <mergeCell ref="J7:K7"/>
    <mergeCell ref="L7:M7"/>
    <mergeCell ref="S7:T7"/>
    <mergeCell ref="U7:V7"/>
    <mergeCell ref="W7:X7"/>
    <mergeCell ref="S20:U20"/>
    <mergeCell ref="Y7:Z7"/>
    <mergeCell ref="A8:AA8"/>
    <mergeCell ref="A9:B9"/>
    <mergeCell ref="A10:B10"/>
    <mergeCell ref="A11:C11"/>
    <mergeCell ref="A12:C12"/>
    <mergeCell ref="A14:B14"/>
    <mergeCell ref="A15:B15"/>
    <mergeCell ref="A16:B16"/>
    <mergeCell ref="A17:B17"/>
    <mergeCell ref="A20:Q20"/>
    <mergeCell ref="AA6:AA7"/>
    <mergeCell ref="D7:E7"/>
    <mergeCell ref="F7:G7"/>
    <mergeCell ref="H7:I7"/>
    <mergeCell ref="A21:Q24"/>
    <mergeCell ref="S21:U24"/>
    <mergeCell ref="A26:Q26"/>
    <mergeCell ref="S26:U26"/>
    <mergeCell ref="A27:Q30"/>
    <mergeCell ref="S27:U30"/>
    <mergeCell ref="A33:K33"/>
    <mergeCell ref="A34:B35"/>
    <mergeCell ref="C34:E35"/>
    <mergeCell ref="F34:G35"/>
    <mergeCell ref="H34:I35"/>
    <mergeCell ref="J34:K35"/>
    <mergeCell ref="A37:B37"/>
    <mergeCell ref="C37:E37"/>
    <mergeCell ref="F37:G37"/>
    <mergeCell ref="H37:I37"/>
    <mergeCell ref="J37:K37"/>
    <mergeCell ref="A36:B36"/>
    <mergeCell ref="C36:E36"/>
    <mergeCell ref="F36:G36"/>
    <mergeCell ref="H36:I36"/>
    <mergeCell ref="J36:K36"/>
    <mergeCell ref="A39:B39"/>
    <mergeCell ref="C39:E39"/>
    <mergeCell ref="F39:G39"/>
    <mergeCell ref="H39:I39"/>
    <mergeCell ref="J39:K39"/>
    <mergeCell ref="A38:B38"/>
    <mergeCell ref="C38:E38"/>
    <mergeCell ref="F38:G38"/>
    <mergeCell ref="H38:I38"/>
    <mergeCell ref="J38:K38"/>
    <mergeCell ref="A43:K43"/>
    <mergeCell ref="A40:B40"/>
    <mergeCell ref="C40:E40"/>
    <mergeCell ref="F40:G40"/>
    <mergeCell ref="H40:I40"/>
    <mergeCell ref="J40:K40"/>
    <mergeCell ref="A41:B41"/>
    <mergeCell ref="C41:E41"/>
    <mergeCell ref="F41:G41"/>
    <mergeCell ref="H41:I41"/>
    <mergeCell ref="J41:K41"/>
    <mergeCell ref="A42:B42"/>
    <mergeCell ref="C42:E42"/>
    <mergeCell ref="F42:G42"/>
    <mergeCell ref="H42:I42"/>
    <mergeCell ref="J42:K42"/>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3900-000000000000}">
      <formula1>AvancementTheme</formula1>
    </dataValidation>
  </dataValidations>
  <hyperlinks>
    <hyperlink ref="X1" location="DPDV_04GI2" display="PdV" xr:uid="{00000000-0004-0000-3900-000000000000}"/>
    <hyperlink ref="Y1" location="DKPI_04GI2" display="KPI's" xr:uid="{00000000-0004-0000-39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54">
    <tabColor theme="2" tint="-0.249977111117893"/>
    <pageSetUpPr fitToPage="1"/>
  </sheetPr>
  <dimension ref="A1:V42"/>
  <sheetViews>
    <sheetView showGridLines="0" showRowColHeaders="0" zoomScaleNormal="100" workbookViewId="0">
      <pane ySplit="8" topLeftCell="A9" activePane="bottomLeft" state="frozen"/>
      <selection activeCell="H7" sqref="H7"/>
      <selection pane="bottomLeft" activeCell="H7" sqref="H7"/>
    </sheetView>
  </sheetViews>
  <sheetFormatPr baseColWidth="10" defaultColWidth="11.453125" defaultRowHeight="14.5" x14ac:dyDescent="0.35"/>
  <cols>
    <col min="1" max="3" width="11.453125" style="60"/>
    <col min="4" max="4" width="10.7265625" style="60" customWidth="1"/>
    <col min="5" max="5" width="11.7265625" style="60" customWidth="1"/>
    <col min="6" max="9" width="10.7265625" style="60" customWidth="1"/>
    <col min="10" max="10" width="9.453125" style="60" customWidth="1"/>
    <col min="11" max="11" width="10.7265625" style="60" customWidth="1"/>
    <col min="12" max="17" width="9.453125" style="60" customWidth="1"/>
    <col min="18"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389"/>
      <c r="P1" s="479" t="s">
        <v>2</v>
      </c>
      <c r="Q1" s="479" t="s">
        <v>3</v>
      </c>
      <c r="R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42420.719247685185</v>
      </c>
      <c r="M2" s="3348"/>
      <c r="N2" s="699"/>
      <c r="O2" s="394"/>
      <c r="P2" s="451">
        <f>IF(LEN(DPDV_06TP2)&gt;0,LEN(DPDV_06TP2),0-PDV_NBmini)</f>
        <v>62</v>
      </c>
      <c r="Q2" s="451">
        <f>IF(LEN(DKPI_06TP2)&gt;0,LEN(DKPI_06TP2),0-KPI_NBmini)</f>
        <v>-10</v>
      </c>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3769" t="str">
        <f>Parametre!B28 &amp; "  : "</f>
        <v xml:space="preserve">Typologie des partenaires  : </v>
      </c>
      <c r="B4" s="3769"/>
      <c r="C4" s="3769"/>
      <c r="D4" s="3769"/>
      <c r="E4" s="3769"/>
      <c r="F4" s="3769"/>
      <c r="G4" s="3769"/>
      <c r="H4" s="3767" t="str">
        <f>"Quels Partenaires pour " &amp; NomProd2</f>
        <v>Quels Partenaires pour ASEMA</v>
      </c>
      <c r="I4" s="3767"/>
      <c r="J4" s="3767"/>
      <c r="K4" s="3767"/>
      <c r="L4" s="3767"/>
      <c r="M4" s="3767"/>
      <c r="N4" s="3767"/>
      <c r="O4" s="3767"/>
      <c r="P4" s="3767"/>
      <c r="Q4" s="3768"/>
      <c r="R4" s="444"/>
    </row>
    <row r="5" spans="1:22" s="25" customFormat="1" ht="36" customHeight="1" thickBot="1" x14ac:dyDescent="0.4">
      <c r="A5" s="3438" t="s">
        <v>14</v>
      </c>
      <c r="B5" s="3438"/>
      <c r="C5" s="3508" t="s">
        <v>810</v>
      </c>
      <c r="D5" s="3508"/>
      <c r="E5" s="3508"/>
      <c r="F5" s="3508"/>
      <c r="G5" s="3508"/>
      <c r="H5" s="3508"/>
      <c r="I5" s="3508"/>
      <c r="J5" s="3508"/>
      <c r="K5" s="3508"/>
      <c r="L5" s="3508"/>
      <c r="M5" s="3508"/>
      <c r="N5" s="3508"/>
      <c r="O5" s="3508"/>
      <c r="P5" s="3508"/>
      <c r="Q5" s="3508"/>
      <c r="R5" s="767"/>
    </row>
    <row r="6" spans="1:22" s="118" customFormat="1" ht="30.75" customHeight="1" thickTop="1" x14ac:dyDescent="0.35">
      <c r="A6" s="4636" t="s">
        <v>463</v>
      </c>
      <c r="B6" s="4637"/>
      <c r="C6" s="4637"/>
      <c r="D6" s="4645"/>
      <c r="E6" s="837" t="s">
        <v>462</v>
      </c>
      <c r="F6" s="4642" t="s">
        <v>461</v>
      </c>
      <c r="G6" s="4643"/>
      <c r="H6" s="4643"/>
      <c r="I6" s="4644"/>
      <c r="J6" s="4636" t="s">
        <v>460</v>
      </c>
      <c r="K6" s="4637"/>
      <c r="L6" s="4637"/>
      <c r="M6" s="4637"/>
      <c r="N6" s="4637"/>
      <c r="O6" s="4637"/>
      <c r="P6" s="4637"/>
      <c r="Q6" s="4638"/>
      <c r="R6" s="836"/>
    </row>
    <row r="7" spans="1:22" s="118" customFormat="1" ht="72.75" customHeight="1" x14ac:dyDescent="0.35">
      <c r="A7" s="4649" t="s">
        <v>459</v>
      </c>
      <c r="B7" s="4650"/>
      <c r="C7" s="4650"/>
      <c r="D7" s="4651"/>
      <c r="E7" s="838" t="s">
        <v>508</v>
      </c>
      <c r="F7" s="839" t="s">
        <v>173</v>
      </c>
      <c r="G7" s="840" t="s">
        <v>510</v>
      </c>
      <c r="H7" s="840" t="s">
        <v>509</v>
      </c>
      <c r="I7" s="841" t="s">
        <v>511</v>
      </c>
      <c r="J7" s="4632" t="s">
        <v>458</v>
      </c>
      <c r="K7" s="4633"/>
      <c r="L7" s="4634" t="s">
        <v>457</v>
      </c>
      <c r="M7" s="4634"/>
      <c r="N7" s="4634" t="s">
        <v>456</v>
      </c>
      <c r="O7" s="4634"/>
      <c r="P7" s="4634" t="s">
        <v>455</v>
      </c>
      <c r="Q7" s="4635"/>
      <c r="R7" s="842"/>
    </row>
    <row r="8" spans="1:22" s="118" customFormat="1" ht="0.75" customHeight="1" x14ac:dyDescent="0.35">
      <c r="A8" s="843" t="s">
        <v>454</v>
      </c>
      <c r="B8" s="844"/>
      <c r="C8" s="845"/>
      <c r="D8" s="846"/>
      <c r="E8" s="847"/>
      <c r="F8" s="848"/>
      <c r="G8" s="849"/>
      <c r="H8" s="844"/>
      <c r="I8" s="850"/>
      <c r="J8" s="851"/>
      <c r="K8" s="852"/>
      <c r="L8" s="853"/>
      <c r="M8" s="854"/>
      <c r="N8" s="854"/>
      <c r="O8" s="854"/>
      <c r="P8" s="854"/>
      <c r="Q8" s="855"/>
      <c r="R8" s="836"/>
    </row>
    <row r="9" spans="1:22" s="118" customFormat="1" ht="0.75" customHeight="1" x14ac:dyDescent="0.35">
      <c r="A9" s="843"/>
      <c r="B9" s="844"/>
      <c r="C9" s="845"/>
      <c r="D9" s="846"/>
      <c r="E9" s="847"/>
      <c r="F9" s="848"/>
      <c r="G9" s="849"/>
      <c r="H9" s="844"/>
      <c r="I9" s="850"/>
      <c r="J9" s="851"/>
      <c r="K9" s="852"/>
      <c r="L9" s="853"/>
      <c r="M9" s="854"/>
      <c r="N9" s="854"/>
      <c r="O9" s="854"/>
      <c r="P9" s="854"/>
      <c r="Q9" s="855"/>
      <c r="R9" s="836"/>
    </row>
    <row r="10" spans="1:22" s="121" customFormat="1" ht="9.75" customHeight="1" x14ac:dyDescent="0.35">
      <c r="A10" s="5577"/>
      <c r="B10" s="5578"/>
      <c r="C10" s="5578"/>
      <c r="D10" s="5578"/>
      <c r="E10" s="5578"/>
      <c r="F10" s="5578"/>
      <c r="G10" s="5578"/>
      <c r="H10" s="5578"/>
      <c r="I10" s="5578"/>
      <c r="J10" s="5578"/>
      <c r="K10" s="5578"/>
      <c r="L10" s="5578"/>
      <c r="M10" s="5578"/>
      <c r="N10" s="5578"/>
      <c r="O10" s="5578"/>
      <c r="P10" s="5578"/>
      <c r="Q10" s="5579"/>
      <c r="R10" s="856"/>
    </row>
    <row r="11" spans="1:22" s="116" customFormat="1" ht="35.25" customHeight="1" x14ac:dyDescent="0.3">
      <c r="A11" s="5572" t="s">
        <v>614</v>
      </c>
      <c r="B11" s="5573"/>
      <c r="C11" s="5573"/>
      <c r="D11" s="5574"/>
      <c r="E11" s="156"/>
      <c r="F11" s="375"/>
      <c r="G11" s="370"/>
      <c r="H11" s="148"/>
      <c r="I11" s="140"/>
      <c r="J11" s="5567"/>
      <c r="K11" s="5568"/>
      <c r="L11" s="5569"/>
      <c r="M11" s="5569"/>
      <c r="N11" s="5570"/>
      <c r="O11" s="5570"/>
      <c r="P11" s="5570"/>
      <c r="Q11" s="5571"/>
      <c r="R11" s="651"/>
    </row>
    <row r="12" spans="1:22" s="118" customFormat="1" ht="35.25" customHeight="1" x14ac:dyDescent="0.35">
      <c r="A12" s="5564" t="s">
        <v>610</v>
      </c>
      <c r="B12" s="5565"/>
      <c r="C12" s="5565"/>
      <c r="D12" s="5566"/>
      <c r="E12" s="156"/>
      <c r="F12" s="375"/>
      <c r="G12" s="370"/>
      <c r="H12" s="148"/>
      <c r="I12" s="140"/>
      <c r="J12" s="5575"/>
      <c r="K12" s="5576"/>
      <c r="L12" s="5569"/>
      <c r="M12" s="5569"/>
      <c r="N12" s="5570"/>
      <c r="O12" s="5570"/>
      <c r="P12" s="5570"/>
      <c r="Q12" s="5571"/>
      <c r="R12" s="836"/>
    </row>
    <row r="13" spans="1:22" s="118" customFormat="1" ht="35.25" customHeight="1" x14ac:dyDescent="0.35">
      <c r="A13" s="5564" t="s">
        <v>453</v>
      </c>
      <c r="B13" s="5565"/>
      <c r="C13" s="5565"/>
      <c r="D13" s="5566"/>
      <c r="E13" s="156"/>
      <c r="F13" s="375"/>
      <c r="G13" s="370"/>
      <c r="H13" s="148"/>
      <c r="I13" s="140"/>
      <c r="J13" s="5567"/>
      <c r="K13" s="5568"/>
      <c r="L13" s="5569"/>
      <c r="M13" s="5569"/>
      <c r="N13" s="5570"/>
      <c r="O13" s="5570"/>
      <c r="P13" s="5570"/>
      <c r="Q13" s="5571"/>
      <c r="R13" s="836"/>
    </row>
    <row r="14" spans="1:22" s="123" customFormat="1" ht="35.25" customHeight="1" x14ac:dyDescent="0.3">
      <c r="A14" s="5564" t="s">
        <v>452</v>
      </c>
      <c r="B14" s="5565"/>
      <c r="C14" s="5565"/>
      <c r="D14" s="5566"/>
      <c r="E14" s="156"/>
      <c r="F14" s="153"/>
      <c r="G14" s="154"/>
      <c r="H14" s="154"/>
      <c r="I14" s="155"/>
      <c r="J14" s="5567"/>
      <c r="K14" s="5568"/>
      <c r="L14" s="5569"/>
      <c r="M14" s="5569"/>
      <c r="N14" s="5570"/>
      <c r="O14" s="5570"/>
      <c r="P14" s="5570"/>
      <c r="Q14" s="5571"/>
      <c r="R14" s="857"/>
    </row>
    <row r="15" spans="1:22" s="123" customFormat="1" ht="35.25" customHeight="1" x14ac:dyDescent="0.3">
      <c r="A15" s="5564" t="s">
        <v>451</v>
      </c>
      <c r="B15" s="5565"/>
      <c r="C15" s="5565"/>
      <c r="D15" s="5566"/>
      <c r="E15" s="156"/>
      <c r="F15" s="153"/>
      <c r="G15" s="154"/>
      <c r="H15" s="154"/>
      <c r="I15" s="155"/>
      <c r="J15" s="5567"/>
      <c r="K15" s="5568"/>
      <c r="L15" s="5569"/>
      <c r="M15" s="5569"/>
      <c r="N15" s="5570"/>
      <c r="O15" s="5570"/>
      <c r="P15" s="5570"/>
      <c r="Q15" s="5571"/>
      <c r="R15" s="857"/>
    </row>
    <row r="16" spans="1:22" s="124" customFormat="1" ht="35.25" customHeight="1" x14ac:dyDescent="0.35">
      <c r="A16" s="5564" t="s">
        <v>450</v>
      </c>
      <c r="B16" s="5565"/>
      <c r="C16" s="5565"/>
      <c r="D16" s="5566"/>
      <c r="E16" s="156"/>
      <c r="F16" s="375"/>
      <c r="G16" s="370"/>
      <c r="H16" s="370"/>
      <c r="I16" s="374"/>
      <c r="J16" s="5567"/>
      <c r="K16" s="5568"/>
      <c r="L16" s="5569"/>
      <c r="M16" s="5569"/>
      <c r="N16" s="5570"/>
      <c r="O16" s="5570"/>
      <c r="P16" s="5570"/>
      <c r="Q16" s="5571"/>
      <c r="R16" s="858"/>
    </row>
    <row r="17" spans="1:18" s="118" customFormat="1" ht="35.25" customHeight="1" x14ac:dyDescent="0.35">
      <c r="A17" s="5564" t="s">
        <v>449</v>
      </c>
      <c r="B17" s="5565"/>
      <c r="C17" s="5565"/>
      <c r="D17" s="5566"/>
      <c r="E17" s="156"/>
      <c r="F17" s="375"/>
      <c r="G17" s="370"/>
      <c r="H17" s="148"/>
      <c r="I17" s="140"/>
      <c r="J17" s="5567"/>
      <c r="K17" s="5568"/>
      <c r="L17" s="5569"/>
      <c r="M17" s="5569"/>
      <c r="N17" s="5570"/>
      <c r="O17" s="5570"/>
      <c r="P17" s="5570"/>
      <c r="Q17" s="5571"/>
      <c r="R17" s="836"/>
    </row>
    <row r="18" spans="1:18" s="118" customFormat="1" ht="35.25" customHeight="1" x14ac:dyDescent="0.35">
      <c r="A18" s="5564" t="s">
        <v>448</v>
      </c>
      <c r="B18" s="5565"/>
      <c r="C18" s="5565"/>
      <c r="D18" s="5566"/>
      <c r="E18" s="156"/>
      <c r="F18" s="375"/>
      <c r="G18" s="370"/>
      <c r="H18" s="148"/>
      <c r="I18" s="140"/>
      <c r="J18" s="5567"/>
      <c r="K18" s="5568"/>
      <c r="L18" s="5569"/>
      <c r="M18" s="5569"/>
      <c r="N18" s="5570"/>
      <c r="O18" s="5570"/>
      <c r="P18" s="5570"/>
      <c r="Q18" s="5571"/>
      <c r="R18" s="836"/>
    </row>
    <row r="19" spans="1:18" s="124" customFormat="1" ht="35.25" customHeight="1" x14ac:dyDescent="0.35">
      <c r="A19" s="5564" t="s">
        <v>447</v>
      </c>
      <c r="B19" s="5565"/>
      <c r="C19" s="5565"/>
      <c r="D19" s="5566"/>
      <c r="E19" s="156"/>
      <c r="F19" s="375"/>
      <c r="G19" s="370"/>
      <c r="H19" s="370"/>
      <c r="I19" s="374"/>
      <c r="J19" s="5567"/>
      <c r="K19" s="5568"/>
      <c r="L19" s="5569"/>
      <c r="M19" s="5569"/>
      <c r="N19" s="5570"/>
      <c r="O19" s="5570"/>
      <c r="P19" s="5570"/>
      <c r="Q19" s="5571"/>
      <c r="R19" s="858"/>
    </row>
    <row r="20" spans="1:18" s="124" customFormat="1" ht="35.25" customHeight="1" x14ac:dyDescent="0.35">
      <c r="A20" s="5564" t="s">
        <v>446</v>
      </c>
      <c r="B20" s="5565"/>
      <c r="C20" s="5565"/>
      <c r="D20" s="5566"/>
      <c r="E20" s="156"/>
      <c r="F20" s="375"/>
      <c r="G20" s="370"/>
      <c r="H20" s="370"/>
      <c r="I20" s="374"/>
      <c r="J20" s="5567"/>
      <c r="K20" s="5568"/>
      <c r="L20" s="5569"/>
      <c r="M20" s="5569"/>
      <c r="N20" s="5570"/>
      <c r="O20" s="5570"/>
      <c r="P20" s="5570"/>
      <c r="Q20" s="5571"/>
      <c r="R20" s="858"/>
    </row>
    <row r="21" spans="1:18" s="124" customFormat="1" ht="35.25" customHeight="1" x14ac:dyDescent="0.35">
      <c r="A21" s="5564" t="s">
        <v>445</v>
      </c>
      <c r="B21" s="5565"/>
      <c r="C21" s="5565"/>
      <c r="D21" s="5566"/>
      <c r="E21" s="156"/>
      <c r="F21" s="375"/>
      <c r="G21" s="370"/>
      <c r="H21" s="370"/>
      <c r="I21" s="374"/>
      <c r="J21" s="5567"/>
      <c r="K21" s="5568"/>
      <c r="L21" s="5569"/>
      <c r="M21" s="5569"/>
      <c r="N21" s="5570"/>
      <c r="O21" s="5570"/>
      <c r="P21" s="5570"/>
      <c r="Q21" s="5571"/>
      <c r="R21" s="858"/>
    </row>
    <row r="22" spans="1:18" s="124" customFormat="1" ht="35.25" customHeight="1" x14ac:dyDescent="0.35">
      <c r="A22" s="5564" t="s">
        <v>512</v>
      </c>
      <c r="B22" s="5565"/>
      <c r="C22" s="5565"/>
      <c r="D22" s="5566"/>
      <c r="E22" s="156"/>
      <c r="F22" s="375"/>
      <c r="G22" s="370"/>
      <c r="H22" s="370"/>
      <c r="I22" s="374"/>
      <c r="J22" s="5567"/>
      <c r="K22" s="5568"/>
      <c r="L22" s="5569"/>
      <c r="M22" s="5569"/>
      <c r="N22" s="5570"/>
      <c r="O22" s="5570"/>
      <c r="P22" s="5570"/>
      <c r="Q22" s="5571"/>
      <c r="R22" s="858"/>
    </row>
    <row r="23" spans="1:18" s="124" customFormat="1" ht="35.25" customHeight="1" x14ac:dyDescent="0.35">
      <c r="A23" s="5572" t="s">
        <v>444</v>
      </c>
      <c r="B23" s="5573"/>
      <c r="C23" s="5573"/>
      <c r="D23" s="5574"/>
      <c r="E23" s="156"/>
      <c r="F23" s="375"/>
      <c r="G23" s="370"/>
      <c r="H23" s="370"/>
      <c r="I23" s="374"/>
      <c r="J23" s="5567"/>
      <c r="K23" s="5568"/>
      <c r="L23" s="5569"/>
      <c r="M23" s="5569"/>
      <c r="N23" s="5570"/>
      <c r="O23" s="5570"/>
      <c r="P23" s="5570"/>
      <c r="Q23" s="5571"/>
      <c r="R23" s="858"/>
    </row>
    <row r="24" spans="1:18" s="124" customFormat="1" ht="35.25" customHeight="1" x14ac:dyDescent="0.35">
      <c r="A24" s="5564" t="s">
        <v>443</v>
      </c>
      <c r="B24" s="5565"/>
      <c r="C24" s="5565"/>
      <c r="D24" s="5566"/>
      <c r="E24" s="156"/>
      <c r="F24" s="375"/>
      <c r="G24" s="370"/>
      <c r="H24" s="370"/>
      <c r="I24" s="374"/>
      <c r="J24" s="5567"/>
      <c r="K24" s="5568"/>
      <c r="L24" s="5569"/>
      <c r="M24" s="5569"/>
      <c r="N24" s="5570"/>
      <c r="O24" s="5570"/>
      <c r="P24" s="5570"/>
      <c r="Q24" s="5571"/>
      <c r="R24" s="858"/>
    </row>
    <row r="25" spans="1:18" s="124" customFormat="1" ht="35.25" customHeight="1" x14ac:dyDescent="0.35">
      <c r="A25" s="5564" t="s">
        <v>184</v>
      </c>
      <c r="B25" s="5565"/>
      <c r="C25" s="5565"/>
      <c r="D25" s="5566"/>
      <c r="E25" s="156"/>
      <c r="F25" s="375"/>
      <c r="G25" s="370"/>
      <c r="H25" s="370"/>
      <c r="I25" s="374"/>
      <c r="J25" s="5567"/>
      <c r="K25" s="5568"/>
      <c r="L25" s="5569"/>
      <c r="M25" s="5569"/>
      <c r="N25" s="5570"/>
      <c r="O25" s="5570"/>
      <c r="P25" s="5570"/>
      <c r="Q25" s="5571"/>
      <c r="R25" s="858"/>
    </row>
    <row r="26" spans="1:18" s="124" customFormat="1" ht="35.25" customHeight="1" x14ac:dyDescent="0.35">
      <c r="A26" s="5564" t="s">
        <v>128</v>
      </c>
      <c r="B26" s="5565"/>
      <c r="C26" s="5565"/>
      <c r="D26" s="5566"/>
      <c r="E26" s="156"/>
      <c r="F26" s="375"/>
      <c r="G26" s="370"/>
      <c r="H26" s="370"/>
      <c r="I26" s="374"/>
      <c r="J26" s="5567"/>
      <c r="K26" s="5568"/>
      <c r="L26" s="5569"/>
      <c r="M26" s="5569"/>
      <c r="N26" s="5570"/>
      <c r="O26" s="5570"/>
      <c r="P26" s="5570"/>
      <c r="Q26" s="5571"/>
      <c r="R26" s="858"/>
    </row>
    <row r="27" spans="1:18" s="121" customFormat="1" ht="7.5" customHeight="1" thickBot="1" x14ac:dyDescent="0.4">
      <c r="A27" s="3770"/>
      <c r="B27" s="3771"/>
      <c r="C27" s="3771"/>
      <c r="D27" s="3771"/>
      <c r="E27" s="3771"/>
      <c r="F27" s="3771"/>
      <c r="G27" s="3771"/>
      <c r="H27" s="3771"/>
      <c r="I27" s="3771"/>
      <c r="J27" s="3771"/>
      <c r="K27" s="3771"/>
      <c r="L27" s="3771"/>
      <c r="M27" s="3771"/>
      <c r="N27" s="3771"/>
      <c r="O27" s="3771"/>
      <c r="P27" s="3771"/>
      <c r="Q27" s="3772"/>
      <c r="R27" s="856"/>
    </row>
    <row r="28" spans="1:18" ht="13.5" customHeight="1" thickTop="1" x14ac:dyDescent="0.35">
      <c r="A28" s="859"/>
      <c r="B28" s="859"/>
      <c r="C28" s="860"/>
      <c r="D28" s="860"/>
      <c r="E28" s="860"/>
      <c r="F28" s="860"/>
      <c r="G28" s="860"/>
      <c r="H28" s="860"/>
      <c r="I28" s="860"/>
      <c r="J28" s="860"/>
      <c r="K28" s="860"/>
      <c r="L28" s="860"/>
      <c r="M28" s="860"/>
      <c r="N28" s="860"/>
      <c r="O28" s="861"/>
      <c r="P28" s="861"/>
      <c r="Q28" s="860"/>
      <c r="R28" s="64"/>
    </row>
    <row r="29" spans="1:18" ht="15" thickBot="1" x14ac:dyDescent="0.4">
      <c r="A29" s="64"/>
      <c r="B29" s="64"/>
      <c r="C29" s="64"/>
      <c r="D29" s="64"/>
      <c r="E29" s="64"/>
      <c r="F29" s="64"/>
      <c r="G29" s="64"/>
      <c r="H29" s="64"/>
      <c r="I29" s="64"/>
      <c r="J29" s="64"/>
      <c r="K29" s="64"/>
      <c r="L29" s="64"/>
      <c r="M29" s="64"/>
      <c r="N29" s="64"/>
      <c r="O29" s="64"/>
      <c r="P29" s="64"/>
      <c r="Q29" s="64"/>
      <c r="R29" s="64"/>
    </row>
    <row r="30" spans="1:18" ht="19.5" thickTop="1" thickBot="1" x14ac:dyDescent="0.4">
      <c r="A30" s="3728" t="s">
        <v>10</v>
      </c>
      <c r="B30" s="3729"/>
      <c r="C30" s="3729"/>
      <c r="D30" s="3729"/>
      <c r="E30" s="3729"/>
      <c r="F30" s="3729"/>
      <c r="G30" s="3729"/>
      <c r="H30" s="3729"/>
      <c r="I30" s="3729"/>
      <c r="J30" s="3729"/>
      <c r="K30" s="3730"/>
      <c r="L30" s="31"/>
      <c r="M30" s="3725" t="s">
        <v>748</v>
      </c>
      <c r="N30" s="3726"/>
      <c r="O30" s="3727"/>
      <c r="P30" s="31"/>
      <c r="Q30" s="31"/>
      <c r="R30" s="64"/>
    </row>
    <row r="31" spans="1:18" ht="20.25" customHeight="1" x14ac:dyDescent="0.35">
      <c r="A31" s="5563" t="s">
        <v>611</v>
      </c>
      <c r="B31" s="4611"/>
      <c r="C31" s="4611"/>
      <c r="D31" s="4611"/>
      <c r="E31" s="4611"/>
      <c r="F31" s="4611"/>
      <c r="G31" s="4611"/>
      <c r="H31" s="4611"/>
      <c r="I31" s="4611"/>
      <c r="J31" s="4611"/>
      <c r="K31" s="4612"/>
      <c r="L31" s="33"/>
      <c r="M31" s="3750" t="s">
        <v>811</v>
      </c>
      <c r="N31" s="3751"/>
      <c r="O31" s="3752"/>
      <c r="P31" s="33"/>
      <c r="Q31" s="33"/>
      <c r="R31" s="64"/>
    </row>
    <row r="32" spans="1:18" ht="20.25" customHeight="1" x14ac:dyDescent="0.35">
      <c r="A32" s="4613"/>
      <c r="B32" s="4614"/>
      <c r="C32" s="4614"/>
      <c r="D32" s="4614"/>
      <c r="E32" s="4614"/>
      <c r="F32" s="4614"/>
      <c r="G32" s="4614"/>
      <c r="H32" s="4614"/>
      <c r="I32" s="4614"/>
      <c r="J32" s="4614"/>
      <c r="K32" s="4615"/>
      <c r="L32" s="33"/>
      <c r="M32" s="3753"/>
      <c r="N32" s="3754"/>
      <c r="O32" s="3755"/>
      <c r="P32" s="33"/>
      <c r="Q32" s="33"/>
      <c r="R32" s="64"/>
    </row>
    <row r="33" spans="1:18" ht="20.25" customHeight="1" x14ac:dyDescent="0.35">
      <c r="A33" s="4613"/>
      <c r="B33" s="4614"/>
      <c r="C33" s="4614"/>
      <c r="D33" s="4614"/>
      <c r="E33" s="4614"/>
      <c r="F33" s="4614"/>
      <c r="G33" s="4614"/>
      <c r="H33" s="4614"/>
      <c r="I33" s="4614"/>
      <c r="J33" s="4614"/>
      <c r="K33" s="4615"/>
      <c r="L33" s="33"/>
      <c r="M33" s="3753"/>
      <c r="N33" s="3754"/>
      <c r="O33" s="3755"/>
      <c r="P33" s="33"/>
      <c r="Q33" s="33"/>
      <c r="R33" s="64"/>
    </row>
    <row r="34" spans="1:18" ht="20.25" customHeight="1" thickBot="1" x14ac:dyDescent="0.4">
      <c r="A34" s="4613"/>
      <c r="B34" s="4614"/>
      <c r="C34" s="4614"/>
      <c r="D34" s="4614"/>
      <c r="E34" s="4614"/>
      <c r="F34" s="4614"/>
      <c r="G34" s="4614"/>
      <c r="H34" s="4614"/>
      <c r="I34" s="4614"/>
      <c r="J34" s="4614"/>
      <c r="K34" s="4615"/>
      <c r="L34" s="33"/>
      <c r="M34" s="3756"/>
      <c r="N34" s="3757"/>
      <c r="O34" s="3758"/>
      <c r="P34" s="33"/>
      <c r="Q34" s="33"/>
      <c r="R34" s="64"/>
    </row>
    <row r="35" spans="1:18" ht="20.25" customHeight="1" thickBot="1" x14ac:dyDescent="0.4">
      <c r="A35" s="4616"/>
      <c r="B35" s="4617"/>
      <c r="C35" s="4617"/>
      <c r="D35" s="4617"/>
      <c r="E35" s="4617"/>
      <c r="F35" s="4617"/>
      <c r="G35" s="4617"/>
      <c r="H35" s="4617"/>
      <c r="I35" s="4617"/>
      <c r="J35" s="4617"/>
      <c r="K35" s="4618"/>
      <c r="L35" s="33"/>
      <c r="M35" s="31"/>
      <c r="N35" s="31"/>
      <c r="O35" s="31"/>
      <c r="P35" s="33"/>
      <c r="Q35" s="33"/>
      <c r="R35" s="64"/>
    </row>
    <row r="36" spans="1:18" ht="20.25" customHeight="1" thickTop="1" thickBot="1" x14ac:dyDescent="0.4">
      <c r="A36" s="64"/>
      <c r="B36" s="64"/>
      <c r="C36" s="64"/>
      <c r="D36" s="64"/>
      <c r="E36" s="64"/>
      <c r="F36" s="64"/>
      <c r="G36" s="64"/>
      <c r="H36" s="64"/>
      <c r="I36" s="64"/>
      <c r="J36" s="64"/>
      <c r="K36" s="64"/>
      <c r="L36" s="33"/>
      <c r="M36" s="3725" t="s">
        <v>748</v>
      </c>
      <c r="N36" s="3726"/>
      <c r="O36" s="3727"/>
      <c r="P36" s="33"/>
      <c r="Q36" s="33"/>
      <c r="R36" s="64"/>
    </row>
    <row r="37" spans="1:18" ht="16.5" customHeight="1" thickTop="1" x14ac:dyDescent="0.35">
      <c r="A37" s="3728" t="s">
        <v>11</v>
      </c>
      <c r="B37" s="3729"/>
      <c r="C37" s="3729"/>
      <c r="D37" s="3729"/>
      <c r="E37" s="3729"/>
      <c r="F37" s="3729"/>
      <c r="G37" s="3729"/>
      <c r="H37" s="3729"/>
      <c r="I37" s="3729"/>
      <c r="J37" s="3729"/>
      <c r="K37" s="3730"/>
      <c r="L37" s="64"/>
      <c r="M37" s="3750" t="s">
        <v>812</v>
      </c>
      <c r="N37" s="3751"/>
      <c r="O37" s="3752"/>
      <c r="P37" s="64"/>
      <c r="Q37" s="64"/>
      <c r="R37" s="64"/>
    </row>
    <row r="38" spans="1:18" x14ac:dyDescent="0.35">
      <c r="A38" s="4625"/>
      <c r="B38" s="4626"/>
      <c r="C38" s="4626"/>
      <c r="D38" s="4626"/>
      <c r="E38" s="4626"/>
      <c r="F38" s="4626"/>
      <c r="G38" s="4626"/>
      <c r="H38" s="4626"/>
      <c r="I38" s="4626"/>
      <c r="J38" s="4626"/>
      <c r="K38" s="4627"/>
      <c r="L38" s="31"/>
      <c r="M38" s="3753"/>
      <c r="N38" s="3754"/>
      <c r="O38" s="3755"/>
      <c r="P38" s="31"/>
      <c r="Q38" s="31"/>
      <c r="R38" s="64"/>
    </row>
    <row r="39" spans="1:18" ht="20.25" customHeight="1" x14ac:dyDescent="0.35">
      <c r="A39" s="4628"/>
      <c r="B39" s="4626"/>
      <c r="C39" s="4626"/>
      <c r="D39" s="4626"/>
      <c r="E39" s="4626"/>
      <c r="F39" s="4626"/>
      <c r="G39" s="4626"/>
      <c r="H39" s="4626"/>
      <c r="I39" s="4626"/>
      <c r="J39" s="4626"/>
      <c r="K39" s="4627"/>
      <c r="L39" s="33"/>
      <c r="M39" s="3753"/>
      <c r="N39" s="3754"/>
      <c r="O39" s="3755"/>
      <c r="P39" s="33"/>
      <c r="Q39" s="33"/>
      <c r="R39" s="64"/>
    </row>
    <row r="40" spans="1:18" ht="20.25" customHeight="1" thickBot="1" x14ac:dyDescent="0.4">
      <c r="A40" s="4628"/>
      <c r="B40" s="4626"/>
      <c r="C40" s="4626"/>
      <c r="D40" s="4626"/>
      <c r="E40" s="4626"/>
      <c r="F40" s="4626"/>
      <c r="G40" s="4626"/>
      <c r="H40" s="4626"/>
      <c r="I40" s="4626"/>
      <c r="J40" s="4626"/>
      <c r="K40" s="4627"/>
      <c r="L40" s="33"/>
      <c r="M40" s="3756"/>
      <c r="N40" s="3757"/>
      <c r="O40" s="3758"/>
      <c r="P40" s="33"/>
      <c r="Q40" s="33"/>
      <c r="R40" s="64"/>
    </row>
    <row r="41" spans="1:18" ht="20.25" customHeight="1" thickBot="1" x14ac:dyDescent="0.4">
      <c r="A41" s="4629"/>
      <c r="B41" s="4630"/>
      <c r="C41" s="4630"/>
      <c r="D41" s="4630"/>
      <c r="E41" s="4630"/>
      <c r="F41" s="4630"/>
      <c r="G41" s="4630"/>
      <c r="H41" s="4630"/>
      <c r="I41" s="4630"/>
      <c r="J41" s="4630"/>
      <c r="K41" s="4631"/>
      <c r="L41" s="33"/>
      <c r="M41" s="33"/>
      <c r="N41" s="33"/>
      <c r="O41" s="33"/>
      <c r="P41" s="33"/>
      <c r="Q41" s="33"/>
      <c r="R41" s="64"/>
    </row>
    <row r="42" spans="1:18" ht="20.25" customHeight="1" thickTop="1" x14ac:dyDescent="0.35">
      <c r="A42" s="64"/>
      <c r="B42" s="64"/>
      <c r="C42" s="64"/>
      <c r="D42" s="64"/>
      <c r="E42" s="64"/>
      <c r="F42" s="64"/>
      <c r="G42" s="64"/>
      <c r="H42" s="64"/>
      <c r="I42" s="64"/>
      <c r="J42" s="64"/>
      <c r="K42" s="64"/>
      <c r="L42" s="33"/>
      <c r="M42" s="33"/>
      <c r="N42" s="33"/>
      <c r="O42" s="33"/>
      <c r="P42" s="33"/>
      <c r="Q42" s="33"/>
      <c r="R42" s="64"/>
    </row>
  </sheetData>
  <mergeCells count="109">
    <mergeCell ref="D1:G1"/>
    <mergeCell ref="I1:J1"/>
    <mergeCell ref="L1:M1"/>
    <mergeCell ref="D2:G2"/>
    <mergeCell ref="I2:J2"/>
    <mergeCell ref="L2:M2"/>
    <mergeCell ref="A7:D7"/>
    <mergeCell ref="J7:K7"/>
    <mergeCell ref="L7:M7"/>
    <mergeCell ref="D3:G3"/>
    <mergeCell ref="N7:O7"/>
    <mergeCell ref="P7:Q7"/>
    <mergeCell ref="A10:Q10"/>
    <mergeCell ref="H4:Q4"/>
    <mergeCell ref="A5:B5"/>
    <mergeCell ref="C5:Q5"/>
    <mergeCell ref="A6:D6"/>
    <mergeCell ref="F6:I6"/>
    <mergeCell ref="J6:Q6"/>
    <mergeCell ref="A11:D11"/>
    <mergeCell ref="J11:K11"/>
    <mergeCell ref="L11:M11"/>
    <mergeCell ref="N11:O11"/>
    <mergeCell ref="P11:Q11"/>
    <mergeCell ref="A12:D12"/>
    <mergeCell ref="J12:K12"/>
    <mergeCell ref="L12:M12"/>
    <mergeCell ref="N12:O12"/>
    <mergeCell ref="P12:Q12"/>
    <mergeCell ref="A13:D13"/>
    <mergeCell ref="J13:K13"/>
    <mergeCell ref="L13:M13"/>
    <mergeCell ref="N13:O13"/>
    <mergeCell ref="P13:Q13"/>
    <mergeCell ref="A14:D14"/>
    <mergeCell ref="J14:K14"/>
    <mergeCell ref="L14:M14"/>
    <mergeCell ref="N14:O14"/>
    <mergeCell ref="P14:Q14"/>
    <mergeCell ref="A15:D15"/>
    <mergeCell ref="J15:K15"/>
    <mergeCell ref="L15:M15"/>
    <mergeCell ref="N15:O15"/>
    <mergeCell ref="P15:Q15"/>
    <mergeCell ref="A16:D16"/>
    <mergeCell ref="J16:K16"/>
    <mergeCell ref="L16:M16"/>
    <mergeCell ref="N16:O16"/>
    <mergeCell ref="P16:Q16"/>
    <mergeCell ref="A17:D17"/>
    <mergeCell ref="J17:K17"/>
    <mergeCell ref="L17:M17"/>
    <mergeCell ref="N17:O17"/>
    <mergeCell ref="P17:Q17"/>
    <mergeCell ref="A18:D18"/>
    <mergeCell ref="J18:K18"/>
    <mergeCell ref="L18:M18"/>
    <mergeCell ref="N18:O18"/>
    <mergeCell ref="P18:Q18"/>
    <mergeCell ref="A19:D19"/>
    <mergeCell ref="J19:K19"/>
    <mergeCell ref="L19:M19"/>
    <mergeCell ref="N19:O19"/>
    <mergeCell ref="P19:Q19"/>
    <mergeCell ref="A20:D20"/>
    <mergeCell ref="J20:K20"/>
    <mergeCell ref="L20:M20"/>
    <mergeCell ref="N20:O20"/>
    <mergeCell ref="P20:Q20"/>
    <mergeCell ref="P23:Q23"/>
    <mergeCell ref="A24:D24"/>
    <mergeCell ref="J24:K24"/>
    <mergeCell ref="L24:M24"/>
    <mergeCell ref="N24:O24"/>
    <mergeCell ref="P24:Q24"/>
    <mergeCell ref="A21:D21"/>
    <mergeCell ref="J21:K21"/>
    <mergeCell ref="L21:M21"/>
    <mergeCell ref="N21:O21"/>
    <mergeCell ref="P21:Q21"/>
    <mergeCell ref="A22:D22"/>
    <mergeCell ref="J22:K22"/>
    <mergeCell ref="L22:M22"/>
    <mergeCell ref="N22:O22"/>
    <mergeCell ref="P22:Q22"/>
    <mergeCell ref="A37:K37"/>
    <mergeCell ref="M37:O40"/>
    <mergeCell ref="A38:K41"/>
    <mergeCell ref="A4:G4"/>
    <mergeCell ref="A27:Q27"/>
    <mergeCell ref="A30:K30"/>
    <mergeCell ref="M30:O30"/>
    <mergeCell ref="A31:K35"/>
    <mergeCell ref="M31:O34"/>
    <mergeCell ref="M36:O36"/>
    <mergeCell ref="A25:D25"/>
    <mergeCell ref="J25:K25"/>
    <mergeCell ref="L25:M25"/>
    <mergeCell ref="N25:O25"/>
    <mergeCell ref="P25:Q25"/>
    <mergeCell ref="A26:D26"/>
    <mergeCell ref="J26:K26"/>
    <mergeCell ref="L26:M26"/>
    <mergeCell ref="N26:O26"/>
    <mergeCell ref="P26:Q26"/>
    <mergeCell ref="A23:D23"/>
    <mergeCell ref="J23:K23"/>
    <mergeCell ref="L23:M23"/>
    <mergeCell ref="N23:O23"/>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A00-000000000000}">
      <formula1>AvancementTheme</formula1>
    </dataValidation>
  </dataValidations>
  <hyperlinks>
    <hyperlink ref="P1" location="DPDV_06TP2" display="PdV" xr:uid="{00000000-0004-0000-3A00-000000000000}"/>
    <hyperlink ref="Q1" location="DKPI_06TP2" display="KPI's" xr:uid="{00000000-0004-0000-3A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1000000}">
          <x14:formula1>
            <xm:f>Parametre!$B$15:$B$17</xm:f>
          </x14:formula1>
          <xm:sqref>E11:E26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58">
    <tabColor theme="2" tint="-0.249977111117893"/>
    <pageSetUpPr fitToPage="1"/>
  </sheetPr>
  <dimension ref="A1:V58"/>
  <sheetViews>
    <sheetView showGridLines="0" showRowColHeaders="0" zoomScaleNormal="100" workbookViewId="0">
      <pane ySplit="11" topLeftCell="A12" activePane="bottomLeft" state="frozen"/>
      <selection activeCell="H7" sqref="H7"/>
      <selection pane="bottomLeft" activeCell="C7" sqref="C7:Q8"/>
    </sheetView>
  </sheetViews>
  <sheetFormatPr baseColWidth="10" defaultColWidth="11.453125" defaultRowHeight="14.5" x14ac:dyDescent="0.35"/>
  <cols>
    <col min="1" max="3" width="11.453125" style="60"/>
    <col min="4" max="5" width="10.7265625" style="60" customWidth="1"/>
    <col min="6" max="12" width="12.81640625" style="60" customWidth="1"/>
    <col min="13" max="13" width="14.26953125" style="60" customWidth="1"/>
    <col min="14" max="19" width="12.81640625" style="60" customWidth="1"/>
    <col min="20"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389"/>
      <c r="P1" s="479" t="s">
        <v>2</v>
      </c>
      <c r="Q1" s="479" t="s">
        <v>3</v>
      </c>
      <c r="R1" s="458"/>
      <c r="S1" s="458"/>
      <c r="T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42420.719756944447</v>
      </c>
      <c r="M2" s="3348"/>
      <c r="N2" s="699"/>
      <c r="O2" s="394"/>
      <c r="P2" s="451">
        <f>IF(LEN(DPDV_06RP2)&gt;0,LEN(DPDV_06RP2),0-PDV_NBmini)</f>
        <v>-10</v>
      </c>
      <c r="Q2" s="451">
        <f>IF(LEN(DKPI_06RP2)&gt;0,LEN(DKPI_06RP2),0-KPI_NBmini)</f>
        <v>57</v>
      </c>
      <c r="R2" s="459"/>
      <c r="S2" s="459"/>
      <c r="T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3769" t="str">
        <f>Parametre!B28 &amp; "  : "</f>
        <v xml:space="preserve">Typologie des partenaires  : </v>
      </c>
      <c r="B4" s="3769"/>
      <c r="C4" s="3769"/>
      <c r="D4" s="3769"/>
      <c r="E4" s="3769"/>
      <c r="F4" s="3769"/>
      <c r="G4" s="3769"/>
      <c r="H4" s="3767" t="str">
        <f>"Responsabilité Partenaires pour " &amp; NomProd2</f>
        <v>Responsabilité Partenaires pour ASEMA</v>
      </c>
      <c r="I4" s="3767"/>
      <c r="J4" s="3767"/>
      <c r="K4" s="3767"/>
      <c r="L4" s="3767"/>
      <c r="M4" s="3767"/>
      <c r="N4" s="3767"/>
      <c r="O4" s="3767"/>
      <c r="P4" s="3767"/>
      <c r="Q4" s="3768"/>
      <c r="R4" s="444"/>
      <c r="S4" s="444"/>
      <c r="T4" s="444"/>
    </row>
    <row r="5" spans="1:22" ht="7.5" customHeight="1" x14ac:dyDescent="0.35">
      <c r="A5" s="3773"/>
      <c r="B5" s="3773"/>
      <c r="C5" s="3773"/>
      <c r="D5" s="3773"/>
      <c r="E5" s="3773"/>
      <c r="F5" s="3773"/>
      <c r="G5" s="3773"/>
      <c r="H5" s="3773"/>
      <c r="I5" s="3773"/>
      <c r="J5" s="3773"/>
      <c r="K5" s="3773"/>
      <c r="L5" s="3773"/>
      <c r="M5" s="3773"/>
      <c r="N5" s="3773"/>
      <c r="O5" s="3773"/>
      <c r="P5" s="3773"/>
      <c r="Q5" s="3773"/>
      <c r="R5" s="64"/>
      <c r="S5" s="64"/>
      <c r="T5" s="64"/>
    </row>
    <row r="6" spans="1:22" s="25" customFormat="1" ht="25.5" customHeight="1" x14ac:dyDescent="0.35">
      <c r="A6" s="3438" t="s">
        <v>14</v>
      </c>
      <c r="B6" s="3438"/>
      <c r="C6" s="3439" t="s">
        <v>612</v>
      </c>
      <c r="D6" s="3439"/>
      <c r="E6" s="3439"/>
      <c r="F6" s="3439"/>
      <c r="G6" s="3439"/>
      <c r="H6" s="3439"/>
      <c r="I6" s="3439"/>
      <c r="J6" s="3439"/>
      <c r="K6" s="3439"/>
      <c r="L6" s="3439"/>
      <c r="M6" s="3439"/>
      <c r="N6" s="3439"/>
      <c r="O6" s="3439"/>
      <c r="P6" s="3439"/>
      <c r="Q6" s="3439"/>
      <c r="R6" s="767"/>
      <c r="S6" s="767"/>
      <c r="T6" s="767"/>
    </row>
    <row r="7" spans="1:22" ht="4.5" customHeight="1" thickBot="1" x14ac:dyDescent="0.4">
      <c r="A7" s="3697" t="s">
        <v>20</v>
      </c>
      <c r="B7" s="3697"/>
      <c r="C7" s="3508"/>
      <c r="D7" s="3508"/>
      <c r="E7" s="3508"/>
      <c r="F7" s="3508"/>
      <c r="G7" s="3508"/>
      <c r="H7" s="3508"/>
      <c r="I7" s="3508"/>
      <c r="J7" s="3508"/>
      <c r="K7" s="3508"/>
      <c r="L7" s="3508"/>
      <c r="M7" s="3508"/>
      <c r="N7" s="3508"/>
      <c r="O7" s="3508"/>
      <c r="P7" s="3508"/>
      <c r="Q7" s="3508"/>
      <c r="R7" s="64"/>
      <c r="S7" s="64"/>
      <c r="T7" s="64"/>
    </row>
    <row r="8" spans="1:22" ht="14.25" hidden="1" customHeight="1" thickBot="1" x14ac:dyDescent="0.4">
      <c r="A8" s="3697"/>
      <c r="B8" s="3697"/>
      <c r="C8" s="3508"/>
      <c r="D8" s="3508"/>
      <c r="E8" s="3508"/>
      <c r="F8" s="3508"/>
      <c r="G8" s="3508"/>
      <c r="H8" s="3508"/>
      <c r="I8" s="3508"/>
      <c r="J8" s="3508"/>
      <c r="K8" s="3508"/>
      <c r="L8" s="3508"/>
      <c r="M8" s="3508"/>
      <c r="N8" s="3508"/>
      <c r="O8" s="3508"/>
      <c r="P8" s="3508"/>
      <c r="Q8" s="3508"/>
      <c r="R8" s="64"/>
      <c r="S8" s="64"/>
      <c r="T8" s="64"/>
    </row>
    <row r="9" spans="1:22" ht="9.75" hidden="1" customHeight="1" thickBot="1" x14ac:dyDescent="0.4">
      <c r="A9" s="764"/>
      <c r="B9" s="764"/>
      <c r="C9" s="480"/>
      <c r="D9" s="480"/>
      <c r="E9" s="480"/>
      <c r="F9" s="480"/>
      <c r="G9" s="480"/>
      <c r="H9" s="480"/>
      <c r="I9" s="480"/>
      <c r="J9" s="480"/>
      <c r="K9" s="480"/>
      <c r="L9" s="480"/>
      <c r="M9" s="480"/>
      <c r="N9" s="480"/>
      <c r="O9" s="64"/>
      <c r="P9" s="64"/>
      <c r="Q9" s="480"/>
      <c r="R9" s="64"/>
      <c r="S9" s="64"/>
      <c r="T9" s="64"/>
    </row>
    <row r="10" spans="1:22" s="125" customFormat="1" ht="55.5" customHeight="1" thickTop="1" x14ac:dyDescent="0.35">
      <c r="A10" s="3779" t="s">
        <v>463</v>
      </c>
      <c r="B10" s="3774"/>
      <c r="C10" s="3774"/>
      <c r="D10" s="3774"/>
      <c r="E10" s="862" t="s">
        <v>462</v>
      </c>
      <c r="F10" s="3778" t="s">
        <v>476</v>
      </c>
      <c r="G10" s="3778"/>
      <c r="H10" s="3774" t="s">
        <v>475</v>
      </c>
      <c r="I10" s="3774"/>
      <c r="J10" s="3774"/>
      <c r="K10" s="3774"/>
      <c r="L10" s="3774" t="s">
        <v>474</v>
      </c>
      <c r="M10" s="3774"/>
      <c r="N10" s="3774"/>
      <c r="O10" s="3774"/>
      <c r="P10" s="3774"/>
      <c r="Q10" s="3774"/>
      <c r="R10" s="3774"/>
      <c r="S10" s="3775"/>
      <c r="T10" s="863"/>
    </row>
    <row r="11" spans="1:22" s="118" customFormat="1" ht="73.5" customHeight="1" thickBot="1" x14ac:dyDescent="0.4">
      <c r="A11" s="3780" t="s">
        <v>459</v>
      </c>
      <c r="B11" s="3781"/>
      <c r="C11" s="3781"/>
      <c r="D11" s="5591"/>
      <c r="E11" s="872" t="s">
        <v>508</v>
      </c>
      <c r="F11" s="873" t="s">
        <v>473</v>
      </c>
      <c r="G11" s="874" t="s">
        <v>472</v>
      </c>
      <c r="H11" s="875" t="s">
        <v>471</v>
      </c>
      <c r="I11" s="876" t="s">
        <v>470</v>
      </c>
      <c r="J11" s="876" t="s">
        <v>469</v>
      </c>
      <c r="K11" s="874" t="s">
        <v>314</v>
      </c>
      <c r="L11" s="877" t="s">
        <v>468</v>
      </c>
      <c r="M11" s="878" t="s">
        <v>467</v>
      </c>
      <c r="N11" s="876" t="s">
        <v>466</v>
      </c>
      <c r="O11" s="878" t="s">
        <v>465</v>
      </c>
      <c r="P11" s="876" t="s">
        <v>101</v>
      </c>
      <c r="Q11" s="876" t="s">
        <v>321</v>
      </c>
      <c r="R11" s="876" t="s">
        <v>297</v>
      </c>
      <c r="S11" s="879" t="s">
        <v>464</v>
      </c>
      <c r="T11" s="836"/>
    </row>
    <row r="12" spans="1:22" s="121" customFormat="1" ht="7.5" customHeight="1" x14ac:dyDescent="0.35">
      <c r="A12" s="5592"/>
      <c r="B12" s="5593"/>
      <c r="C12" s="5593"/>
      <c r="D12" s="5593"/>
      <c r="E12" s="5593"/>
      <c r="F12" s="5593"/>
      <c r="G12" s="5593"/>
      <c r="H12" s="5593"/>
      <c r="I12" s="5593"/>
      <c r="J12" s="5593"/>
      <c r="K12" s="5593"/>
      <c r="L12" s="5593"/>
      <c r="M12" s="5593"/>
      <c r="N12" s="5593"/>
      <c r="O12" s="5593"/>
      <c r="P12" s="5593"/>
      <c r="Q12" s="5593"/>
      <c r="R12" s="5593"/>
      <c r="S12" s="5594"/>
      <c r="T12" s="856"/>
    </row>
    <row r="13" spans="1:22" s="116" customFormat="1" ht="35.25" customHeight="1" x14ac:dyDescent="0.3">
      <c r="A13" s="5588" t="str">
        <f>'06-TYPOPARTNER-OFR2'!A11:D11</f>
        <v>Force de vente directe</v>
      </c>
      <c r="B13" s="5589"/>
      <c r="C13" s="5589"/>
      <c r="D13" s="5590"/>
      <c r="E13" s="136" t="str">
        <f>IF(LEN('06-TYPOPARTNER-OFR2'!E11)&lt;1,"",'06-TYPOPARTNER-OFR2'!E11)</f>
        <v/>
      </c>
      <c r="F13" s="137"/>
      <c r="G13" s="138"/>
      <c r="H13" s="126"/>
      <c r="I13" s="127"/>
      <c r="J13" s="127"/>
      <c r="K13" s="128"/>
      <c r="L13" s="144"/>
      <c r="M13" s="145"/>
      <c r="N13" s="145"/>
      <c r="O13" s="145"/>
      <c r="P13" s="145"/>
      <c r="Q13" s="145"/>
      <c r="R13" s="145"/>
      <c r="S13" s="146"/>
      <c r="T13" s="651"/>
    </row>
    <row r="14" spans="1:22" s="118" customFormat="1" ht="35.25" customHeight="1" x14ac:dyDescent="0.35">
      <c r="A14" s="5588" t="str">
        <f>'06-TYPOPARTNER-OFR2'!A12:D12</f>
        <v>ESN ( SS2I )</v>
      </c>
      <c r="B14" s="5589"/>
      <c r="C14" s="5589"/>
      <c r="D14" s="5590"/>
      <c r="E14" s="136" t="str">
        <f>IF(LEN('06-TYPOPARTNER-OFR2'!E12)&lt;1,"",'06-TYPOPARTNER-OFR2'!E12)</f>
        <v/>
      </c>
      <c r="F14" s="139"/>
      <c r="G14" s="140"/>
      <c r="H14" s="129"/>
      <c r="I14" s="122"/>
      <c r="J14" s="122"/>
      <c r="K14" s="130"/>
      <c r="L14" s="147"/>
      <c r="M14" s="148"/>
      <c r="N14" s="148"/>
      <c r="O14" s="148"/>
      <c r="P14" s="148"/>
      <c r="Q14" s="148"/>
      <c r="R14" s="148"/>
      <c r="S14" s="149"/>
      <c r="T14" s="836"/>
    </row>
    <row r="15" spans="1:22" s="118" customFormat="1" ht="35.25" customHeight="1" x14ac:dyDescent="0.35">
      <c r="A15" s="5588" t="str">
        <f>'06-TYPOPARTNER-OFR2'!A13:D13</f>
        <v>VARs régionaux</v>
      </c>
      <c r="B15" s="5589"/>
      <c r="C15" s="5589"/>
      <c r="D15" s="5590"/>
      <c r="E15" s="136" t="str">
        <f>IF(LEN('06-TYPOPARTNER-OFR2'!E13)&lt;1,"",'06-TYPOPARTNER-OFR2'!E13)</f>
        <v/>
      </c>
      <c r="F15" s="139"/>
      <c r="G15" s="140"/>
      <c r="H15" s="129"/>
      <c r="I15" s="122"/>
      <c r="J15" s="122"/>
      <c r="K15" s="130"/>
      <c r="L15" s="147"/>
      <c r="M15" s="148"/>
      <c r="N15" s="148"/>
      <c r="O15" s="148"/>
      <c r="P15" s="148"/>
      <c r="Q15" s="148"/>
      <c r="R15" s="148"/>
      <c r="S15" s="149"/>
      <c r="T15" s="836"/>
    </row>
    <row r="16" spans="1:22" s="123" customFormat="1" ht="35.25" customHeight="1" x14ac:dyDescent="0.3">
      <c r="A16" s="5588" t="str">
        <f>'06-TYPOPARTNER-OFR2'!A14:D14</f>
        <v>VARs nationaux</v>
      </c>
      <c r="B16" s="5589"/>
      <c r="C16" s="5589"/>
      <c r="D16" s="5590"/>
      <c r="E16" s="136" t="str">
        <f>IF(LEN('06-TYPOPARTNER-OFR2'!E14)&lt;1,"",'06-TYPOPARTNER-OFR2'!E14)</f>
        <v/>
      </c>
      <c r="F16" s="141"/>
      <c r="G16" s="142"/>
      <c r="H16" s="131"/>
      <c r="I16" s="132"/>
      <c r="J16" s="132"/>
      <c r="K16" s="133"/>
      <c r="L16" s="150"/>
      <c r="M16" s="151"/>
      <c r="N16" s="151"/>
      <c r="O16" s="151"/>
      <c r="P16" s="151"/>
      <c r="Q16" s="151"/>
      <c r="R16" s="151"/>
      <c r="S16" s="152"/>
      <c r="T16" s="857"/>
    </row>
    <row r="17" spans="1:20" s="123" customFormat="1" ht="35.25" customHeight="1" x14ac:dyDescent="0.3">
      <c r="A17" s="5588" t="str">
        <f>'06-TYPOPARTNER-OFR2'!A15:D15</f>
        <v xml:space="preserve">Editeurs </v>
      </c>
      <c r="B17" s="5589"/>
      <c r="C17" s="5589"/>
      <c r="D17" s="5590"/>
      <c r="E17" s="136" t="str">
        <f>IF(LEN('06-TYPOPARTNER-OFR2'!E15)&lt;1,"",'06-TYPOPARTNER-OFR2'!E15)</f>
        <v/>
      </c>
      <c r="F17" s="141"/>
      <c r="G17" s="142"/>
      <c r="H17" s="131"/>
      <c r="I17" s="132"/>
      <c r="J17" s="132"/>
      <c r="K17" s="133"/>
      <c r="L17" s="150"/>
      <c r="M17" s="151"/>
      <c r="N17" s="151"/>
      <c r="O17" s="151"/>
      <c r="P17" s="151"/>
      <c r="Q17" s="151"/>
      <c r="R17" s="151"/>
      <c r="S17" s="152"/>
      <c r="T17" s="857"/>
    </row>
    <row r="18" spans="1:20" s="124" customFormat="1" ht="35.25" customHeight="1" x14ac:dyDescent="0.35">
      <c r="A18" s="5588" t="str">
        <f>'06-TYPOPARTNER-OFR2'!A16:D16</f>
        <v>Hébergeurs</v>
      </c>
      <c r="B18" s="5589"/>
      <c r="C18" s="5589"/>
      <c r="D18" s="5590"/>
      <c r="E18" s="136" t="str">
        <f>IF(LEN('06-TYPOPARTNER-OFR2'!E16)&lt;1,"",'06-TYPOPARTNER-OFR2'!E16)</f>
        <v/>
      </c>
      <c r="F18" s="143"/>
      <c r="G18" s="374"/>
      <c r="H18" s="134"/>
      <c r="I18" s="120"/>
      <c r="J18" s="120"/>
      <c r="K18" s="135"/>
      <c r="L18" s="375"/>
      <c r="M18" s="370"/>
      <c r="N18" s="370"/>
      <c r="O18" s="370"/>
      <c r="P18" s="370"/>
      <c r="Q18" s="370"/>
      <c r="R18" s="370"/>
      <c r="S18" s="371"/>
      <c r="T18" s="858"/>
    </row>
    <row r="19" spans="1:20" s="118" customFormat="1" ht="35.25" customHeight="1" x14ac:dyDescent="0.35">
      <c r="A19" s="5588" t="str">
        <f>'06-TYPOPARTNER-OFR2'!A17:D17</f>
        <v>Constructeurs</v>
      </c>
      <c r="B19" s="5589"/>
      <c r="C19" s="5589"/>
      <c r="D19" s="5590"/>
      <c r="E19" s="136" t="str">
        <f>IF(LEN('06-TYPOPARTNER-OFR2'!E17)&lt;1,"",'06-TYPOPARTNER-OFR2'!E17)</f>
        <v/>
      </c>
      <c r="F19" s="139"/>
      <c r="G19" s="140"/>
      <c r="H19" s="129"/>
      <c r="I19" s="122"/>
      <c r="J19" s="122"/>
      <c r="K19" s="130"/>
      <c r="L19" s="147"/>
      <c r="M19" s="148"/>
      <c r="N19" s="148"/>
      <c r="O19" s="148"/>
      <c r="P19" s="148"/>
      <c r="Q19" s="148"/>
      <c r="R19" s="148"/>
      <c r="S19" s="149"/>
      <c r="T19" s="836"/>
    </row>
    <row r="20" spans="1:20" s="118" customFormat="1" ht="35.25" customHeight="1" x14ac:dyDescent="0.35">
      <c r="A20" s="5588" t="str">
        <f>'06-TYPOPARTNER-OFR2'!A18:D18</f>
        <v xml:space="preserve">Cabinets de conseil </v>
      </c>
      <c r="B20" s="5589"/>
      <c r="C20" s="5589"/>
      <c r="D20" s="5590"/>
      <c r="E20" s="136" t="str">
        <f>IF(LEN('06-TYPOPARTNER-OFR2'!E18)&lt;1,"",'06-TYPOPARTNER-OFR2'!E18)</f>
        <v/>
      </c>
      <c r="F20" s="139"/>
      <c r="G20" s="140"/>
      <c r="H20" s="129"/>
      <c r="I20" s="122"/>
      <c r="J20" s="122"/>
      <c r="K20" s="130"/>
      <c r="L20" s="147"/>
      <c r="M20" s="148"/>
      <c r="N20" s="148"/>
      <c r="O20" s="148"/>
      <c r="P20" s="148"/>
      <c r="Q20" s="148"/>
      <c r="R20" s="148"/>
      <c r="S20" s="149"/>
      <c r="T20" s="836"/>
    </row>
    <row r="21" spans="1:20" s="124" customFormat="1" ht="35.25" customHeight="1" x14ac:dyDescent="0.35">
      <c r="A21" s="5588" t="str">
        <f>'06-TYPOPARTNER-OFR2'!A19:D19</f>
        <v>Consultants indépendants</v>
      </c>
      <c r="B21" s="5589"/>
      <c r="C21" s="5589"/>
      <c r="D21" s="5590"/>
      <c r="E21" s="136" t="str">
        <f>IF(LEN('06-TYPOPARTNER-OFR2'!E19)&lt;1,"",'06-TYPOPARTNER-OFR2'!E19)</f>
        <v/>
      </c>
      <c r="F21" s="143"/>
      <c r="G21" s="374"/>
      <c r="H21" s="134"/>
      <c r="I21" s="120"/>
      <c r="J21" s="120"/>
      <c r="K21" s="135"/>
      <c r="L21" s="375"/>
      <c r="M21" s="370"/>
      <c r="N21" s="370"/>
      <c r="O21" s="370"/>
      <c r="P21" s="370"/>
      <c r="Q21" s="370"/>
      <c r="R21" s="370"/>
      <c r="S21" s="371"/>
      <c r="T21" s="858"/>
    </row>
    <row r="22" spans="1:20" s="124" customFormat="1" ht="35.25" customHeight="1" x14ac:dyDescent="0.35">
      <c r="A22" s="5588" t="str">
        <f>'06-TYPOPARTNER-OFR2'!A20:D20</f>
        <v>Hébergeurs d'infrastructures, MSP. Mode Revente</v>
      </c>
      <c r="B22" s="5589"/>
      <c r="C22" s="5589"/>
      <c r="D22" s="5590"/>
      <c r="E22" s="136" t="str">
        <f>IF(LEN('06-TYPOPARTNER-OFR2'!E20)&lt;1,"",'06-TYPOPARTNER-OFR2'!E20)</f>
        <v/>
      </c>
      <c r="F22" s="143"/>
      <c r="G22" s="374"/>
      <c r="H22" s="134"/>
      <c r="I22" s="120"/>
      <c r="J22" s="120"/>
      <c r="K22" s="135"/>
      <c r="L22" s="375"/>
      <c r="M22" s="370"/>
      <c r="N22" s="370"/>
      <c r="O22" s="370"/>
      <c r="P22" s="370"/>
      <c r="Q22" s="370"/>
      <c r="R22" s="370"/>
      <c r="S22" s="371"/>
      <c r="T22" s="858"/>
    </row>
    <row r="23" spans="1:20" s="124" customFormat="1" ht="35.25" customHeight="1" x14ac:dyDescent="0.35">
      <c r="A23" s="5588" t="str">
        <f>'06-TYPOPARTNER-OFR2'!A21:D21</f>
        <v>Hébergeurs d'infrastructures, MSP. Marque blanche</v>
      </c>
      <c r="B23" s="5589"/>
      <c r="C23" s="5589"/>
      <c r="D23" s="5590"/>
      <c r="E23" s="136" t="str">
        <f>IF(LEN('06-TYPOPARTNER-OFR2'!E21)&lt;1,"",'06-TYPOPARTNER-OFR2'!E21)</f>
        <v/>
      </c>
      <c r="F23" s="143"/>
      <c r="G23" s="374"/>
      <c r="H23" s="134"/>
      <c r="I23" s="120"/>
      <c r="J23" s="120"/>
      <c r="K23" s="135"/>
      <c r="L23" s="375"/>
      <c r="M23" s="370"/>
      <c r="N23" s="370"/>
      <c r="O23" s="370"/>
      <c r="P23" s="370"/>
      <c r="Q23" s="370"/>
      <c r="R23" s="370"/>
      <c r="S23" s="371"/>
      <c r="T23" s="858"/>
    </row>
    <row r="24" spans="1:20" s="124" customFormat="1" ht="35.25" customHeight="1" x14ac:dyDescent="0.35">
      <c r="A24" s="5588" t="str">
        <f>'06-TYPOPARTNER-OFR2'!A22:D22</f>
        <v>Web Agencies</v>
      </c>
      <c r="B24" s="5589"/>
      <c r="C24" s="5589"/>
      <c r="D24" s="5590"/>
      <c r="E24" s="136" t="str">
        <f>IF(LEN('06-TYPOPARTNER-OFR2'!E22)&lt;1,"",'06-TYPOPARTNER-OFR2'!E22)</f>
        <v/>
      </c>
      <c r="F24" s="143"/>
      <c r="G24" s="374"/>
      <c r="H24" s="134"/>
      <c r="I24" s="120"/>
      <c r="J24" s="120"/>
      <c r="K24" s="135"/>
      <c r="L24" s="375"/>
      <c r="M24" s="370"/>
      <c r="N24" s="370"/>
      <c r="O24" s="370"/>
      <c r="P24" s="370"/>
      <c r="Q24" s="370"/>
      <c r="R24" s="370"/>
      <c r="S24" s="371"/>
      <c r="T24" s="858"/>
    </row>
    <row r="25" spans="1:20" s="124" customFormat="1" ht="35.25" customHeight="1" x14ac:dyDescent="0.35">
      <c r="A25" s="5588" t="str">
        <f>'06-TYPOPARTNER-OFR2'!A23:D23</f>
        <v xml:space="preserve">Constructeurs </v>
      </c>
      <c r="B25" s="5589"/>
      <c r="C25" s="5589"/>
      <c r="D25" s="5590"/>
      <c r="E25" s="136" t="str">
        <f>IF(LEN('06-TYPOPARTNER-OFR2'!E23)&lt;1,"",'06-TYPOPARTNER-OFR2'!E23)</f>
        <v/>
      </c>
      <c r="F25" s="143"/>
      <c r="G25" s="374"/>
      <c r="H25" s="134"/>
      <c r="I25" s="120"/>
      <c r="J25" s="120"/>
      <c r="K25" s="135"/>
      <c r="L25" s="375"/>
      <c r="M25" s="370"/>
      <c r="N25" s="370"/>
      <c r="O25" s="370"/>
      <c r="P25" s="370"/>
      <c r="Q25" s="370"/>
      <c r="R25" s="370"/>
      <c r="S25" s="371"/>
      <c r="T25" s="858"/>
    </row>
    <row r="26" spans="1:20" s="124" customFormat="1" ht="35.25" customHeight="1" x14ac:dyDescent="0.35">
      <c r="A26" s="5588" t="str">
        <f>'06-TYPOPARTNER-OFR2'!A24:D24</f>
        <v xml:space="preserve">Grossistes </v>
      </c>
      <c r="B26" s="5589"/>
      <c r="C26" s="5589"/>
      <c r="D26" s="5590"/>
      <c r="E26" s="136" t="str">
        <f>IF(LEN('06-TYPOPARTNER-OFR2'!E24)&lt;1,"",'06-TYPOPARTNER-OFR2'!E24)</f>
        <v/>
      </c>
      <c r="F26" s="143"/>
      <c r="G26" s="374"/>
      <c r="H26" s="134"/>
      <c r="I26" s="120"/>
      <c r="J26" s="120"/>
      <c r="K26" s="135"/>
      <c r="L26" s="375"/>
      <c r="M26" s="370"/>
      <c r="N26" s="370"/>
      <c r="O26" s="370"/>
      <c r="P26" s="370"/>
      <c r="Q26" s="370"/>
      <c r="R26" s="370"/>
      <c r="S26" s="371"/>
      <c r="T26" s="858"/>
    </row>
    <row r="27" spans="1:20" s="124" customFormat="1" ht="35.25" customHeight="1" x14ac:dyDescent="0.35">
      <c r="A27" s="5588" t="str">
        <f>'06-TYPOPARTNER-OFR2'!A25:D25</f>
        <v>Revendeurs</v>
      </c>
      <c r="B27" s="5589"/>
      <c r="C27" s="5589"/>
      <c r="D27" s="5590"/>
      <c r="E27" s="136" t="str">
        <f>IF(LEN('06-TYPOPARTNER-OFR2'!E25)&lt;1,"",'06-TYPOPARTNER-OFR2'!E25)</f>
        <v/>
      </c>
      <c r="F27" s="143"/>
      <c r="G27" s="374"/>
      <c r="H27" s="134"/>
      <c r="I27" s="120"/>
      <c r="J27" s="120"/>
      <c r="K27" s="135"/>
      <c r="L27" s="375"/>
      <c r="M27" s="370"/>
      <c r="N27" s="370"/>
      <c r="O27" s="370"/>
      <c r="P27" s="370"/>
      <c r="Q27" s="370"/>
      <c r="R27" s="370"/>
      <c r="S27" s="371"/>
      <c r="T27" s="858"/>
    </row>
    <row r="28" spans="1:20" s="124" customFormat="1" ht="35.25" customHeight="1" x14ac:dyDescent="0.35">
      <c r="A28" s="5588" t="str">
        <f>'06-TYPOPARTNER-OFR2'!A26:D26</f>
        <v>Autres</v>
      </c>
      <c r="B28" s="5589"/>
      <c r="C28" s="5589"/>
      <c r="D28" s="5590"/>
      <c r="E28" s="136" t="str">
        <f>IF(LEN('06-TYPOPARTNER-OFR2'!E26)&lt;1,"",'06-TYPOPARTNER-OFR2'!E26)</f>
        <v/>
      </c>
      <c r="F28" s="143"/>
      <c r="G28" s="374"/>
      <c r="H28" s="134"/>
      <c r="I28" s="120"/>
      <c r="J28" s="120"/>
      <c r="K28" s="135"/>
      <c r="L28" s="375"/>
      <c r="M28" s="370"/>
      <c r="N28" s="370"/>
      <c r="O28" s="370"/>
      <c r="P28" s="370"/>
      <c r="Q28" s="370"/>
      <c r="R28" s="370"/>
      <c r="S28" s="371"/>
      <c r="T28" s="858"/>
    </row>
    <row r="29" spans="1:20" s="121" customFormat="1" ht="12" customHeight="1" thickBot="1" x14ac:dyDescent="0.4">
      <c r="A29" s="3770"/>
      <c r="B29" s="3771"/>
      <c r="C29" s="3771"/>
      <c r="D29" s="3771"/>
      <c r="E29" s="3771"/>
      <c r="F29" s="3771"/>
      <c r="G29" s="3771"/>
      <c r="H29" s="3771"/>
      <c r="I29" s="3771"/>
      <c r="J29" s="3771"/>
      <c r="K29" s="3771"/>
      <c r="L29" s="3771"/>
      <c r="M29" s="3771"/>
      <c r="N29" s="3771"/>
      <c r="O29" s="3771"/>
      <c r="P29" s="3771"/>
      <c r="Q29" s="3771"/>
      <c r="R29" s="3771"/>
      <c r="S29" s="3772"/>
      <c r="T29" s="856"/>
    </row>
    <row r="30" spans="1:20" ht="13.5" customHeight="1" thickTop="1" x14ac:dyDescent="0.35">
      <c r="A30" s="859"/>
      <c r="B30" s="859"/>
      <c r="C30" s="860"/>
      <c r="D30" s="860"/>
      <c r="E30" s="860"/>
      <c r="F30" s="860"/>
      <c r="G30" s="860"/>
      <c r="H30" s="860"/>
      <c r="I30" s="860"/>
      <c r="J30" s="860"/>
      <c r="K30" s="860"/>
      <c r="L30" s="860"/>
      <c r="M30" s="860"/>
      <c r="N30" s="860"/>
      <c r="O30" s="861"/>
      <c r="P30" s="861"/>
      <c r="Q30" s="860"/>
      <c r="R30" s="64"/>
      <c r="S30" s="64"/>
      <c r="T30" s="64"/>
    </row>
    <row r="31" spans="1:20" ht="15" thickBot="1" x14ac:dyDescent="0.4">
      <c r="A31" s="64"/>
      <c r="B31" s="64"/>
      <c r="C31" s="64"/>
      <c r="D31" s="64"/>
      <c r="E31" s="64"/>
      <c r="F31" s="64"/>
      <c r="G31" s="64"/>
      <c r="H31" s="64"/>
      <c r="I31" s="64"/>
      <c r="J31" s="64"/>
      <c r="K31" s="64"/>
      <c r="L31" s="64"/>
      <c r="M31" s="64"/>
      <c r="N31" s="64"/>
      <c r="O31" s="64"/>
      <c r="P31" s="64"/>
      <c r="Q31" s="64"/>
      <c r="R31" s="64"/>
      <c r="S31" s="64"/>
      <c r="T31" s="64"/>
    </row>
    <row r="32" spans="1:20" ht="19.5" thickTop="1" thickBot="1" x14ac:dyDescent="0.4">
      <c r="A32" s="3728" t="s">
        <v>10</v>
      </c>
      <c r="B32" s="3729"/>
      <c r="C32" s="3729"/>
      <c r="D32" s="3729"/>
      <c r="E32" s="3729"/>
      <c r="F32" s="3729"/>
      <c r="G32" s="3729"/>
      <c r="H32" s="3729"/>
      <c r="I32" s="3729"/>
      <c r="J32" s="3729"/>
      <c r="K32" s="3730"/>
      <c r="L32" s="31"/>
      <c r="M32" s="3725" t="s">
        <v>748</v>
      </c>
      <c r="N32" s="3726"/>
      <c r="O32" s="3727"/>
      <c r="P32" s="31"/>
      <c r="Q32" s="31"/>
      <c r="R32" s="64"/>
      <c r="S32" s="64"/>
      <c r="T32" s="64"/>
    </row>
    <row r="33" spans="1:20" ht="20.25" customHeight="1" x14ac:dyDescent="0.35">
      <c r="A33" s="3746"/>
      <c r="B33" s="3744"/>
      <c r="C33" s="3744"/>
      <c r="D33" s="3744"/>
      <c r="E33" s="3744"/>
      <c r="F33" s="3744"/>
      <c r="G33" s="3744"/>
      <c r="H33" s="3744"/>
      <c r="I33" s="3744"/>
      <c r="J33" s="3744"/>
      <c r="K33" s="3745"/>
      <c r="L33" s="33"/>
      <c r="M33" s="3750" t="s">
        <v>813</v>
      </c>
      <c r="N33" s="3751"/>
      <c r="O33" s="3752"/>
      <c r="P33" s="33"/>
      <c r="Q33" s="33"/>
      <c r="R33" s="64"/>
      <c r="S33" s="64"/>
      <c r="T33" s="64"/>
    </row>
    <row r="34" spans="1:20" ht="20.25" customHeight="1" x14ac:dyDescent="0.35">
      <c r="A34" s="3746"/>
      <c r="B34" s="3744"/>
      <c r="C34" s="3744"/>
      <c r="D34" s="3744"/>
      <c r="E34" s="3744"/>
      <c r="F34" s="3744"/>
      <c r="G34" s="3744"/>
      <c r="H34" s="3744"/>
      <c r="I34" s="3744"/>
      <c r="J34" s="3744"/>
      <c r="K34" s="3745"/>
      <c r="L34" s="33"/>
      <c r="M34" s="3753"/>
      <c r="N34" s="3754"/>
      <c r="O34" s="3755"/>
      <c r="P34" s="33"/>
      <c r="Q34" s="33"/>
      <c r="R34" s="64"/>
      <c r="S34" s="64"/>
      <c r="T34" s="64"/>
    </row>
    <row r="35" spans="1:20" ht="20.25" customHeight="1" x14ac:dyDescent="0.35">
      <c r="A35" s="3746"/>
      <c r="B35" s="3744"/>
      <c r="C35" s="3744"/>
      <c r="D35" s="3744"/>
      <c r="E35" s="3744"/>
      <c r="F35" s="3744"/>
      <c r="G35" s="3744"/>
      <c r="H35" s="3744"/>
      <c r="I35" s="3744"/>
      <c r="J35" s="3744"/>
      <c r="K35" s="3745"/>
      <c r="L35" s="33"/>
      <c r="M35" s="3753"/>
      <c r="N35" s="3754"/>
      <c r="O35" s="3755"/>
      <c r="P35" s="33"/>
      <c r="Q35" s="33"/>
      <c r="R35" s="64"/>
      <c r="S35" s="64"/>
      <c r="T35" s="64"/>
    </row>
    <row r="36" spans="1:20" ht="20.25" customHeight="1" thickBot="1" x14ac:dyDescent="0.4">
      <c r="A36" s="3747"/>
      <c r="B36" s="3748"/>
      <c r="C36" s="3748"/>
      <c r="D36" s="3748"/>
      <c r="E36" s="3748"/>
      <c r="F36" s="3748"/>
      <c r="G36" s="3748"/>
      <c r="H36" s="3748"/>
      <c r="I36" s="3748"/>
      <c r="J36" s="3748"/>
      <c r="K36" s="3749"/>
      <c r="L36" s="33"/>
      <c r="M36" s="3756"/>
      <c r="N36" s="3757"/>
      <c r="O36" s="3758"/>
      <c r="P36" s="33"/>
      <c r="Q36" s="33"/>
      <c r="R36" s="64"/>
      <c r="S36" s="64"/>
      <c r="T36" s="64"/>
    </row>
    <row r="37" spans="1:20" ht="15.5" thickTop="1" thickBot="1" x14ac:dyDescent="0.4">
      <c r="A37" s="64"/>
      <c r="B37" s="64"/>
      <c r="C37" s="64"/>
      <c r="D37" s="64"/>
      <c r="E37" s="64"/>
      <c r="F37" s="64"/>
      <c r="G37" s="64"/>
      <c r="H37" s="64"/>
      <c r="I37" s="64"/>
      <c r="J37" s="64"/>
      <c r="K37" s="64"/>
      <c r="L37" s="64"/>
      <c r="M37" s="31"/>
      <c r="N37" s="31"/>
      <c r="O37" s="31"/>
      <c r="P37" s="64"/>
      <c r="Q37" s="64"/>
      <c r="R37" s="64"/>
      <c r="S37" s="64"/>
      <c r="T37" s="64"/>
    </row>
    <row r="38" spans="1:20" ht="19.5" thickTop="1" thickBot="1" x14ac:dyDescent="0.4">
      <c r="A38" s="3728" t="s">
        <v>11</v>
      </c>
      <c r="B38" s="3742"/>
      <c r="C38" s="3742"/>
      <c r="D38" s="3742"/>
      <c r="E38" s="3742"/>
      <c r="F38" s="3742"/>
      <c r="G38" s="3742"/>
      <c r="H38" s="3742"/>
      <c r="I38" s="3742"/>
      <c r="J38" s="3742"/>
      <c r="K38" s="3743"/>
      <c r="L38" s="31"/>
      <c r="M38" s="3725" t="s">
        <v>748</v>
      </c>
      <c r="N38" s="3726"/>
      <c r="O38" s="3727"/>
      <c r="P38" s="31"/>
      <c r="Q38" s="31"/>
      <c r="R38" s="64"/>
      <c r="S38" s="64"/>
      <c r="T38" s="64"/>
    </row>
    <row r="39" spans="1:20" ht="20.25" customHeight="1" x14ac:dyDescent="0.35">
      <c r="A39" s="3746" t="s">
        <v>815</v>
      </c>
      <c r="B39" s="3744"/>
      <c r="C39" s="3744"/>
      <c r="D39" s="3744"/>
      <c r="E39" s="3744"/>
      <c r="F39" s="3744"/>
      <c r="G39" s="3744"/>
      <c r="H39" s="3744"/>
      <c r="I39" s="3744"/>
      <c r="J39" s="3744"/>
      <c r="K39" s="3745"/>
      <c r="L39" s="33"/>
      <c r="M39" s="3750" t="s">
        <v>814</v>
      </c>
      <c r="N39" s="3751"/>
      <c r="O39" s="3752"/>
      <c r="P39" s="33"/>
      <c r="Q39" s="33"/>
      <c r="R39" s="64"/>
      <c r="S39" s="64"/>
      <c r="T39" s="64"/>
    </row>
    <row r="40" spans="1:20" ht="20.25" customHeight="1" x14ac:dyDescent="0.35">
      <c r="A40" s="3746"/>
      <c r="B40" s="3744"/>
      <c r="C40" s="3744"/>
      <c r="D40" s="3744"/>
      <c r="E40" s="3744"/>
      <c r="F40" s="3744"/>
      <c r="G40" s="3744"/>
      <c r="H40" s="3744"/>
      <c r="I40" s="3744"/>
      <c r="J40" s="3744"/>
      <c r="K40" s="3745"/>
      <c r="L40" s="33"/>
      <c r="M40" s="3753"/>
      <c r="N40" s="3754"/>
      <c r="O40" s="3755"/>
      <c r="P40" s="33"/>
      <c r="Q40" s="33"/>
      <c r="R40" s="64"/>
      <c r="S40" s="64"/>
      <c r="T40" s="64"/>
    </row>
    <row r="41" spans="1:20" ht="20.25" customHeight="1" x14ac:dyDescent="0.35">
      <c r="A41" s="3746"/>
      <c r="B41" s="3744"/>
      <c r="C41" s="3744"/>
      <c r="D41" s="3744"/>
      <c r="E41" s="3744"/>
      <c r="F41" s="3744"/>
      <c r="G41" s="3744"/>
      <c r="H41" s="3744"/>
      <c r="I41" s="3744"/>
      <c r="J41" s="3744"/>
      <c r="K41" s="3745"/>
      <c r="L41" s="33"/>
      <c r="M41" s="3753"/>
      <c r="N41" s="3754"/>
      <c r="O41" s="3755"/>
      <c r="P41" s="33"/>
      <c r="Q41" s="33"/>
      <c r="R41" s="64"/>
      <c r="S41" s="64"/>
      <c r="T41" s="64"/>
    </row>
    <row r="42" spans="1:20" ht="20.25" customHeight="1" thickBot="1" x14ac:dyDescent="0.4">
      <c r="A42" s="3747"/>
      <c r="B42" s="3748"/>
      <c r="C42" s="3748"/>
      <c r="D42" s="3748"/>
      <c r="E42" s="3748"/>
      <c r="F42" s="3748"/>
      <c r="G42" s="3748"/>
      <c r="H42" s="3748"/>
      <c r="I42" s="3748"/>
      <c r="J42" s="3748"/>
      <c r="K42" s="3749"/>
      <c r="L42" s="33"/>
      <c r="M42" s="3756"/>
      <c r="N42" s="3757"/>
      <c r="O42" s="3758"/>
      <c r="P42" s="33"/>
      <c r="Q42" s="33"/>
      <c r="R42" s="64"/>
      <c r="S42" s="64"/>
      <c r="T42" s="64"/>
    </row>
    <row r="43" spans="1:20" ht="15" thickTop="1" x14ac:dyDescent="0.35">
      <c r="A43" s="64"/>
      <c r="B43" s="64"/>
      <c r="C43" s="64"/>
      <c r="D43" s="64"/>
      <c r="E43" s="64"/>
      <c r="F43" s="64"/>
      <c r="G43" s="64"/>
      <c r="H43" s="64"/>
      <c r="I43" s="64"/>
      <c r="J43" s="64"/>
      <c r="K43" s="64"/>
      <c r="L43" s="64"/>
      <c r="M43" s="64"/>
      <c r="N43" s="64"/>
      <c r="O43" s="64"/>
      <c r="P43" s="64"/>
      <c r="Q43" s="64"/>
      <c r="R43" s="64"/>
      <c r="S43" s="64"/>
      <c r="T43" s="64"/>
    </row>
    <row r="44" spans="1:20" ht="15" thickBot="1" x14ac:dyDescent="0.4">
      <c r="A44" s="64"/>
      <c r="B44" s="64"/>
      <c r="C44" s="64"/>
      <c r="D44" s="64"/>
      <c r="E44" s="64"/>
      <c r="F44" s="64"/>
      <c r="G44" s="64"/>
      <c r="H44" s="64"/>
      <c r="I44" s="64"/>
      <c r="J44" s="64"/>
      <c r="K44" s="64"/>
      <c r="L44" s="64"/>
      <c r="M44" s="64"/>
      <c r="N44" s="64"/>
      <c r="O44" s="64"/>
      <c r="P44" s="64"/>
      <c r="Q44" s="64"/>
      <c r="R44" s="64"/>
      <c r="S44" s="64"/>
      <c r="T44" s="64"/>
    </row>
    <row r="45" spans="1:20" ht="19" thickTop="1" x14ac:dyDescent="0.45">
      <c r="A45" s="5585" t="s">
        <v>821</v>
      </c>
      <c r="B45" s="5586"/>
      <c r="C45" s="5586"/>
      <c r="D45" s="5586"/>
      <c r="E45" s="5586"/>
      <c r="F45" s="5586"/>
      <c r="G45" s="5586"/>
      <c r="H45" s="5586"/>
      <c r="I45" s="5586"/>
      <c r="J45" s="5586"/>
      <c r="K45" s="5586"/>
      <c r="L45" s="5586"/>
      <c r="M45" s="5587"/>
      <c r="N45" s="64"/>
      <c r="O45" s="64"/>
      <c r="P45" s="64"/>
      <c r="Q45" s="64"/>
      <c r="R45" s="64"/>
      <c r="S45" s="64"/>
      <c r="T45" s="64"/>
    </row>
    <row r="46" spans="1:20" x14ac:dyDescent="0.35">
      <c r="A46" s="3761" t="s">
        <v>816</v>
      </c>
      <c r="B46" s="3731"/>
      <c r="C46" s="3731" t="s">
        <v>817</v>
      </c>
      <c r="D46" s="3731"/>
      <c r="E46" s="3731"/>
      <c r="F46" s="3731" t="s">
        <v>818</v>
      </c>
      <c r="G46" s="3731"/>
      <c r="H46" s="3731" t="s">
        <v>819</v>
      </c>
      <c r="I46" s="3731"/>
      <c r="J46" s="3731" t="s">
        <v>822</v>
      </c>
      <c r="K46" s="3731"/>
      <c r="L46" s="3731" t="s">
        <v>820</v>
      </c>
      <c r="M46" s="3732"/>
      <c r="N46" s="64"/>
      <c r="O46" s="64"/>
      <c r="P46" s="64"/>
      <c r="Q46" s="64"/>
      <c r="R46" s="64"/>
      <c r="S46" s="64"/>
      <c r="T46" s="64"/>
    </row>
    <row r="47" spans="1:20" x14ac:dyDescent="0.35">
      <c r="A47" s="3761"/>
      <c r="B47" s="3731"/>
      <c r="C47" s="3731"/>
      <c r="D47" s="3731"/>
      <c r="E47" s="3731"/>
      <c r="F47" s="3731"/>
      <c r="G47" s="3731"/>
      <c r="H47" s="3731"/>
      <c r="I47" s="3731"/>
      <c r="J47" s="3731"/>
      <c r="K47" s="3731"/>
      <c r="L47" s="3731"/>
      <c r="M47" s="3732"/>
      <c r="N47" s="64"/>
      <c r="O47" s="64"/>
      <c r="P47" s="64"/>
      <c r="Q47" s="64"/>
      <c r="R47" s="64"/>
      <c r="S47" s="64"/>
      <c r="T47" s="64"/>
    </row>
    <row r="48" spans="1:20" x14ac:dyDescent="0.35">
      <c r="A48" s="866"/>
      <c r="B48" s="867"/>
      <c r="C48" s="5580"/>
      <c r="D48" s="5580"/>
      <c r="E48" s="5580"/>
      <c r="F48" s="5580"/>
      <c r="G48" s="5580"/>
      <c r="H48" s="5580"/>
      <c r="I48" s="5580"/>
      <c r="J48" s="5581">
        <f>SUM(C48:I48)</f>
        <v>0</v>
      </c>
      <c r="K48" s="5581"/>
      <c r="L48" s="5580"/>
      <c r="M48" s="5582"/>
      <c r="N48" s="64"/>
      <c r="O48" s="64"/>
      <c r="P48" s="64"/>
      <c r="Q48" s="64"/>
      <c r="R48" s="64"/>
      <c r="S48" s="64"/>
      <c r="T48" s="64"/>
    </row>
    <row r="49" spans="1:20" x14ac:dyDescent="0.35">
      <c r="A49" s="866"/>
      <c r="B49" s="867"/>
      <c r="C49" s="5580"/>
      <c r="D49" s="5580"/>
      <c r="E49" s="5580"/>
      <c r="F49" s="5580"/>
      <c r="G49" s="5580"/>
      <c r="H49" s="5580"/>
      <c r="I49" s="5580"/>
      <c r="J49" s="5581">
        <f t="shared" ref="J49:J54" si="0">SUM(C49:I49)</f>
        <v>0</v>
      </c>
      <c r="K49" s="5581"/>
      <c r="L49" s="5580"/>
      <c r="M49" s="5582"/>
      <c r="N49" s="64"/>
      <c r="O49" s="64"/>
      <c r="P49" s="64"/>
      <c r="Q49" s="64"/>
      <c r="R49" s="64"/>
      <c r="S49" s="64"/>
      <c r="T49" s="64"/>
    </row>
    <row r="50" spans="1:20" x14ac:dyDescent="0.35">
      <c r="A50" s="866"/>
      <c r="B50" s="867"/>
      <c r="C50" s="5580"/>
      <c r="D50" s="5580"/>
      <c r="E50" s="5580"/>
      <c r="F50" s="5580"/>
      <c r="G50" s="5580"/>
      <c r="H50" s="5580"/>
      <c r="I50" s="5580"/>
      <c r="J50" s="5581">
        <f t="shared" si="0"/>
        <v>0</v>
      </c>
      <c r="K50" s="5581"/>
      <c r="L50" s="5580"/>
      <c r="M50" s="5582"/>
      <c r="N50" s="64"/>
      <c r="O50" s="64"/>
      <c r="P50" s="64"/>
      <c r="Q50" s="64"/>
      <c r="R50" s="64"/>
      <c r="S50" s="64"/>
      <c r="T50" s="64"/>
    </row>
    <row r="51" spans="1:20" x14ac:dyDescent="0.35">
      <c r="A51" s="866"/>
      <c r="B51" s="867"/>
      <c r="C51" s="5580"/>
      <c r="D51" s="5580"/>
      <c r="E51" s="5580"/>
      <c r="F51" s="5580"/>
      <c r="G51" s="5580"/>
      <c r="H51" s="5580"/>
      <c r="I51" s="5580"/>
      <c r="J51" s="5581">
        <f t="shared" si="0"/>
        <v>0</v>
      </c>
      <c r="K51" s="5581"/>
      <c r="L51" s="5580"/>
      <c r="M51" s="5582"/>
      <c r="N51" s="64"/>
      <c r="O51" s="64"/>
      <c r="P51" s="64"/>
      <c r="Q51" s="64"/>
      <c r="R51" s="64"/>
      <c r="S51" s="64"/>
      <c r="T51" s="64"/>
    </row>
    <row r="52" spans="1:20" x14ac:dyDescent="0.35">
      <c r="A52" s="866"/>
      <c r="B52" s="867"/>
      <c r="C52" s="5580"/>
      <c r="D52" s="5580"/>
      <c r="E52" s="5580"/>
      <c r="F52" s="5580"/>
      <c r="G52" s="5580"/>
      <c r="H52" s="5580"/>
      <c r="I52" s="5580"/>
      <c r="J52" s="5581">
        <f t="shared" si="0"/>
        <v>0</v>
      </c>
      <c r="K52" s="5581"/>
      <c r="L52" s="5580"/>
      <c r="M52" s="5582"/>
      <c r="N52" s="64"/>
      <c r="O52" s="64"/>
      <c r="P52" s="64"/>
      <c r="Q52" s="64"/>
      <c r="R52" s="64"/>
      <c r="S52" s="64"/>
      <c r="T52" s="64"/>
    </row>
    <row r="53" spans="1:20" x14ac:dyDescent="0.35">
      <c r="A53" s="866"/>
      <c r="B53" s="867"/>
      <c r="C53" s="5580"/>
      <c r="D53" s="5580"/>
      <c r="E53" s="5580"/>
      <c r="F53" s="5580"/>
      <c r="G53" s="5580"/>
      <c r="H53" s="5580"/>
      <c r="I53" s="5580"/>
      <c r="J53" s="5581">
        <f t="shared" si="0"/>
        <v>0</v>
      </c>
      <c r="K53" s="5581"/>
      <c r="L53" s="5580"/>
      <c r="M53" s="5582"/>
      <c r="N53" s="64"/>
      <c r="O53" s="64"/>
      <c r="P53" s="64"/>
      <c r="Q53" s="64"/>
      <c r="R53" s="64"/>
      <c r="S53" s="64"/>
      <c r="T53" s="64"/>
    </row>
    <row r="54" spans="1:20" x14ac:dyDescent="0.35">
      <c r="A54" s="866"/>
      <c r="B54" s="867"/>
      <c r="C54" s="5580"/>
      <c r="D54" s="5580"/>
      <c r="E54" s="5580"/>
      <c r="F54" s="5580"/>
      <c r="G54" s="5580"/>
      <c r="H54" s="5580"/>
      <c r="I54" s="5580"/>
      <c r="J54" s="5581">
        <f t="shared" si="0"/>
        <v>0</v>
      </c>
      <c r="K54" s="5581"/>
      <c r="L54" s="5580"/>
      <c r="M54" s="5582"/>
      <c r="N54" s="64"/>
      <c r="O54" s="64"/>
      <c r="P54" s="64"/>
      <c r="Q54" s="64"/>
      <c r="R54" s="64"/>
      <c r="S54" s="64"/>
      <c r="T54" s="64"/>
    </row>
    <row r="55" spans="1:20" ht="15" thickBot="1" x14ac:dyDescent="0.4">
      <c r="A55" s="864"/>
      <c r="B55" s="865"/>
      <c r="C55" s="5583"/>
      <c r="D55" s="5583"/>
      <c r="E55" s="5583"/>
      <c r="F55" s="5583"/>
      <c r="G55" s="5583"/>
      <c r="H55" s="5583"/>
      <c r="I55" s="5583"/>
      <c r="J55" s="5583"/>
      <c r="K55" s="5583"/>
      <c r="L55" s="5583"/>
      <c r="M55" s="5584"/>
      <c r="N55" s="64"/>
      <c r="O55" s="64"/>
      <c r="P55" s="64"/>
      <c r="Q55" s="64"/>
      <c r="R55" s="64"/>
      <c r="S55" s="64"/>
      <c r="T55" s="64"/>
    </row>
    <row r="56" spans="1:20" ht="15" thickTop="1" x14ac:dyDescent="0.35">
      <c r="A56" s="64"/>
      <c r="B56" s="64"/>
      <c r="C56" s="64"/>
      <c r="D56" s="64"/>
      <c r="E56" s="64"/>
      <c r="F56" s="64"/>
      <c r="G56" s="64"/>
      <c r="H56" s="64"/>
      <c r="I56" s="64"/>
      <c r="J56" s="64"/>
      <c r="K56" s="64"/>
      <c r="L56" s="64"/>
      <c r="M56" s="64"/>
      <c r="N56" s="64"/>
      <c r="O56" s="64"/>
      <c r="P56" s="64"/>
      <c r="Q56" s="64"/>
      <c r="R56" s="64"/>
      <c r="S56" s="64"/>
      <c r="T56" s="64"/>
    </row>
    <row r="57" spans="1:20" x14ac:dyDescent="0.35">
      <c r="A57" s="64"/>
      <c r="B57" s="64"/>
      <c r="C57" s="64"/>
      <c r="D57" s="64"/>
      <c r="E57" s="64"/>
      <c r="F57" s="64"/>
      <c r="G57" s="64"/>
      <c r="H57" s="64"/>
      <c r="I57" s="64"/>
      <c r="J57" s="64"/>
      <c r="K57" s="64"/>
      <c r="L57" s="64"/>
      <c r="M57" s="64"/>
      <c r="N57" s="64"/>
      <c r="O57" s="64"/>
      <c r="P57" s="64"/>
      <c r="Q57" s="64"/>
      <c r="R57" s="64"/>
      <c r="S57" s="64"/>
      <c r="T57" s="64"/>
    </row>
    <row r="58" spans="1:20" x14ac:dyDescent="0.35">
      <c r="A58" s="64"/>
      <c r="B58" s="64"/>
      <c r="C58" s="64"/>
      <c r="D58" s="64"/>
      <c r="E58" s="64"/>
      <c r="F58" s="64"/>
      <c r="G58" s="64"/>
      <c r="H58" s="64"/>
      <c r="I58" s="64"/>
      <c r="J58" s="64"/>
      <c r="K58" s="64"/>
      <c r="L58" s="64"/>
      <c r="M58" s="64"/>
      <c r="N58" s="64"/>
      <c r="O58" s="64"/>
      <c r="P58" s="64"/>
      <c r="Q58" s="64"/>
      <c r="R58" s="64"/>
      <c r="S58" s="64"/>
      <c r="T58" s="64"/>
    </row>
  </sheetData>
  <mergeCells count="92">
    <mergeCell ref="D3:G3"/>
    <mergeCell ref="D1:G1"/>
    <mergeCell ref="I1:J1"/>
    <mergeCell ref="L1:M1"/>
    <mergeCell ref="D2:G2"/>
    <mergeCell ref="I2:J2"/>
    <mergeCell ref="L2:M2"/>
    <mergeCell ref="H4:Q4"/>
    <mergeCell ref="A5:Q5"/>
    <mergeCell ref="A6:B6"/>
    <mergeCell ref="C6:Q6"/>
    <mergeCell ref="A7:B8"/>
    <mergeCell ref="C7:Q8"/>
    <mergeCell ref="A4:G4"/>
    <mergeCell ref="A18:D18"/>
    <mergeCell ref="A10:D10"/>
    <mergeCell ref="F10:G10"/>
    <mergeCell ref="H10:K10"/>
    <mergeCell ref="L10:S10"/>
    <mergeCell ref="A11:D11"/>
    <mergeCell ref="A12:S12"/>
    <mergeCell ref="A13:D13"/>
    <mergeCell ref="A14:D14"/>
    <mergeCell ref="A15:D15"/>
    <mergeCell ref="A16:D16"/>
    <mergeCell ref="A17:D17"/>
    <mergeCell ref="A32:K32"/>
    <mergeCell ref="M32:O32"/>
    <mergeCell ref="A19:D19"/>
    <mergeCell ref="A20:D20"/>
    <mergeCell ref="A21:D21"/>
    <mergeCell ref="A22:D22"/>
    <mergeCell ref="A23:D23"/>
    <mergeCell ref="A24:D24"/>
    <mergeCell ref="A25:D25"/>
    <mergeCell ref="A26:D26"/>
    <mergeCell ref="A27:D27"/>
    <mergeCell ref="A28:D28"/>
    <mergeCell ref="A29:S29"/>
    <mergeCell ref="A33:K36"/>
    <mergeCell ref="M33:O36"/>
    <mergeCell ref="A38:K38"/>
    <mergeCell ref="M38:O38"/>
    <mergeCell ref="A39:K42"/>
    <mergeCell ref="M39:O42"/>
    <mergeCell ref="A45:M45"/>
    <mergeCell ref="A46:B47"/>
    <mergeCell ref="C46:E47"/>
    <mergeCell ref="F46:G47"/>
    <mergeCell ref="H46:I47"/>
    <mergeCell ref="J46:K47"/>
    <mergeCell ref="L46:M47"/>
    <mergeCell ref="C49:E49"/>
    <mergeCell ref="F49:G49"/>
    <mergeCell ref="H49:I49"/>
    <mergeCell ref="J49:K49"/>
    <mergeCell ref="L49:M49"/>
    <mergeCell ref="C48:E48"/>
    <mergeCell ref="F48:G48"/>
    <mergeCell ref="H48:I48"/>
    <mergeCell ref="J48:K48"/>
    <mergeCell ref="L48:M48"/>
    <mergeCell ref="C51:E51"/>
    <mergeCell ref="F51:G51"/>
    <mergeCell ref="H51:I51"/>
    <mergeCell ref="J51:K51"/>
    <mergeCell ref="L51:M51"/>
    <mergeCell ref="C50:E50"/>
    <mergeCell ref="F50:G50"/>
    <mergeCell ref="H50:I50"/>
    <mergeCell ref="J50:K50"/>
    <mergeCell ref="L50:M50"/>
    <mergeCell ref="C53:E53"/>
    <mergeCell ref="F53:G53"/>
    <mergeCell ref="H53:I53"/>
    <mergeCell ref="J53:K53"/>
    <mergeCell ref="L53:M53"/>
    <mergeCell ref="C52:E52"/>
    <mergeCell ref="F52:G52"/>
    <mergeCell ref="H52:I52"/>
    <mergeCell ref="J52:K52"/>
    <mergeCell ref="L52:M52"/>
    <mergeCell ref="C55:E55"/>
    <mergeCell ref="F55:G55"/>
    <mergeCell ref="H55:I55"/>
    <mergeCell ref="J55:K55"/>
    <mergeCell ref="L55:M55"/>
    <mergeCell ref="C54:E54"/>
    <mergeCell ref="F54:G54"/>
    <mergeCell ref="H54:I54"/>
    <mergeCell ref="J54:K54"/>
    <mergeCell ref="L54:M54"/>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B00-000000000000}">
      <formula1>AvancementTheme</formula1>
    </dataValidation>
  </dataValidations>
  <hyperlinks>
    <hyperlink ref="P1" location="DPDV_06RP2" display="PdV" xr:uid="{00000000-0004-0000-3B00-000000000000}"/>
    <hyperlink ref="Q1" location="DKPI_06RP2" display="KPI's" xr:uid="{00000000-0004-0000-3B00-000001000000}"/>
  </hyperlink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56">
    <tabColor theme="2" tint="-0.249977111117893"/>
    <pageSetUpPr fitToPage="1"/>
  </sheetPr>
  <dimension ref="A1:V121"/>
  <sheetViews>
    <sheetView showGridLines="0" showRowColHeaders="0" zoomScaleNormal="100" workbookViewId="0">
      <pane ySplit="7" topLeftCell="A8" activePane="bottomLeft" state="frozen"/>
      <selection activeCell="H7" sqref="H7"/>
      <selection pane="bottomLeft" activeCell="C11" sqref="C11"/>
    </sheetView>
  </sheetViews>
  <sheetFormatPr baseColWidth="10" defaultColWidth="11.453125" defaultRowHeight="14.5" x14ac:dyDescent="0.35"/>
  <cols>
    <col min="1" max="1" width="11.453125" style="60"/>
    <col min="2" max="2" width="11.81640625" style="60" customWidth="1"/>
    <col min="3" max="3" width="8.81640625" style="60" customWidth="1"/>
    <col min="4" max="4" width="7.54296875" style="60" customWidth="1"/>
    <col min="5" max="9" width="10.7265625" style="60" customWidth="1"/>
    <col min="10" max="10" width="9.453125" style="60" customWidth="1"/>
    <col min="11" max="11" width="10.7265625" style="60" customWidth="1"/>
    <col min="12" max="15" width="9.453125" style="60" customWidth="1"/>
    <col min="16" max="16" width="11.26953125" style="60" customWidth="1"/>
    <col min="17" max="17" width="14.453125" style="60" customWidth="1"/>
    <col min="18" max="16384" width="11.453125" style="60"/>
  </cols>
  <sheetData>
    <row r="1" spans="1:22" s="54" customFormat="1" ht="15" customHeight="1" x14ac:dyDescent="0.35">
      <c r="A1" s="959"/>
      <c r="B1" s="959"/>
      <c r="C1" s="959"/>
      <c r="D1" s="3341" t="s">
        <v>5</v>
      </c>
      <c r="E1" s="3341"/>
      <c r="F1" s="3341"/>
      <c r="G1" s="3341"/>
      <c r="H1" s="391"/>
      <c r="I1" s="3341" t="s">
        <v>6</v>
      </c>
      <c r="J1" s="3341"/>
      <c r="K1" s="959"/>
      <c r="L1" s="3341" t="s">
        <v>9</v>
      </c>
      <c r="M1" s="3341"/>
      <c r="N1" s="959"/>
      <c r="O1" s="959"/>
      <c r="P1" s="479" t="s">
        <v>2</v>
      </c>
      <c r="Q1" s="479" t="s">
        <v>3</v>
      </c>
      <c r="R1" s="458"/>
    </row>
    <row r="2" spans="1:22" s="58" customFormat="1" ht="18" customHeight="1" x14ac:dyDescent="0.35">
      <c r="A2" s="393"/>
      <c r="B2" s="393"/>
      <c r="C2" s="393"/>
      <c r="D2" s="3342" t="str">
        <f>NomClient</f>
        <v xml:space="preserve">EQUINIX </v>
      </c>
      <c r="E2" s="3343"/>
      <c r="F2" s="3343"/>
      <c r="G2" s="3344"/>
      <c r="H2" s="393"/>
      <c r="I2" s="3345" t="s">
        <v>410</v>
      </c>
      <c r="J2" s="3346"/>
      <c r="K2" s="393"/>
      <c r="L2" s="3347">
        <v>42420.721180555556</v>
      </c>
      <c r="M2" s="3348"/>
      <c r="N2" s="699"/>
      <c r="O2" s="394"/>
      <c r="P2" s="451">
        <f>IF(LEN(DPDV_06PP2)&gt;0,LEN(DPDV_06PP2),0-PDV_NBmini)</f>
        <v>-10</v>
      </c>
      <c r="Q2" s="451">
        <f>IF(LEN(DKPI_06PP2)&gt;0,LEN(DKPI_06PP2),0-KPI_NBmini)</f>
        <v>40</v>
      </c>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396"/>
      <c r="R3" s="64"/>
      <c r="S3" s="64"/>
      <c r="T3" s="64"/>
      <c r="U3" s="64"/>
      <c r="V3" s="64"/>
    </row>
    <row r="4" spans="1:22" s="1" customFormat="1" ht="21" customHeight="1" thickBot="1" x14ac:dyDescent="0.4">
      <c r="A4" s="3769" t="str">
        <f>Parametre!B28 &amp; "  : "</f>
        <v xml:space="preserve">Typologie des partenaires  : </v>
      </c>
      <c r="B4" s="3769"/>
      <c r="C4" s="3769"/>
      <c r="D4" s="3769"/>
      <c r="E4" s="3769"/>
      <c r="F4" s="3769"/>
      <c r="G4" s="3769"/>
      <c r="H4" s="3767" t="str">
        <f>"Partenaires idéaux pour " &amp; NomProd2</f>
        <v>Partenaires idéaux pour ASEMA</v>
      </c>
      <c r="I4" s="3767"/>
      <c r="J4" s="3767"/>
      <c r="K4" s="3767"/>
      <c r="L4" s="3767"/>
      <c r="M4" s="3767"/>
      <c r="N4" s="3767"/>
      <c r="O4" s="3767"/>
      <c r="P4" s="3767"/>
      <c r="Q4" s="3768"/>
      <c r="R4" s="444"/>
    </row>
    <row r="5" spans="1:22" s="193" customFormat="1" ht="15" customHeight="1" thickBot="1" x14ac:dyDescent="0.4">
      <c r="A5" s="3438" t="s">
        <v>14</v>
      </c>
      <c r="B5" s="3438"/>
      <c r="C5" s="4693" t="s">
        <v>613</v>
      </c>
      <c r="D5" s="4693"/>
      <c r="E5" s="4693"/>
      <c r="F5" s="4693"/>
      <c r="G5" s="4693"/>
      <c r="H5" s="4693"/>
      <c r="I5" s="4693"/>
      <c r="J5" s="4693"/>
      <c r="K5" s="4693"/>
      <c r="L5" s="4693"/>
      <c r="M5" s="4693"/>
      <c r="N5" s="4693"/>
      <c r="O5" s="4693"/>
      <c r="P5" s="4693"/>
      <c r="Q5" s="4693"/>
      <c r="R5" s="460"/>
    </row>
    <row r="6" spans="1:22" s="125" customFormat="1" ht="18.75" customHeight="1" thickBot="1" x14ac:dyDescent="0.4">
      <c r="A6" s="4701" t="s">
        <v>463</v>
      </c>
      <c r="B6" s="4702"/>
      <c r="C6" s="868" t="s">
        <v>462</v>
      </c>
      <c r="D6" s="4695" t="s">
        <v>478</v>
      </c>
      <c r="E6" s="4696"/>
      <c r="F6" s="4696"/>
      <c r="G6" s="4696"/>
      <c r="H6" s="4696"/>
      <c r="I6" s="4696"/>
      <c r="J6" s="4696"/>
      <c r="K6" s="4696"/>
      <c r="L6" s="4696"/>
      <c r="M6" s="4696"/>
      <c r="N6" s="4696"/>
      <c r="O6" s="4696"/>
      <c r="P6" s="4696"/>
      <c r="Q6" s="4697"/>
      <c r="R6" s="863"/>
    </row>
    <row r="7" spans="1:22" s="118" customFormat="1" ht="29.25" customHeight="1" thickBot="1" x14ac:dyDescent="0.4">
      <c r="A7" s="5617" t="s">
        <v>1104</v>
      </c>
      <c r="B7" s="5618"/>
      <c r="C7" s="5618"/>
      <c r="D7" s="5618"/>
      <c r="E7" s="5618"/>
      <c r="F7" s="5618"/>
      <c r="G7" s="5618"/>
      <c r="H7" s="5618"/>
      <c r="I7" s="5619" t="s">
        <v>1105</v>
      </c>
      <c r="J7" s="5620"/>
      <c r="K7" s="5620"/>
      <c r="L7" s="5620"/>
      <c r="M7" s="5620"/>
      <c r="N7" s="5620"/>
      <c r="O7" s="5620"/>
      <c r="P7" s="5620"/>
      <c r="Q7" s="5621"/>
      <c r="R7" s="836"/>
    </row>
    <row r="8" spans="1:22" s="121" customFormat="1" ht="11.25" customHeight="1" x14ac:dyDescent="0.35">
      <c r="A8" s="5622"/>
      <c r="B8" s="5623"/>
      <c r="C8" s="5623"/>
      <c r="D8" s="5623"/>
      <c r="E8" s="5623"/>
      <c r="F8" s="5623"/>
      <c r="G8" s="5623"/>
      <c r="H8" s="5623"/>
      <c r="I8" s="5623"/>
      <c r="J8" s="5623"/>
      <c r="K8" s="5623"/>
      <c r="L8" s="5623"/>
      <c r="M8" s="5623"/>
      <c r="N8" s="5623"/>
      <c r="O8" s="5623"/>
      <c r="P8" s="5623"/>
      <c r="Q8" s="5624"/>
      <c r="R8" s="856"/>
    </row>
    <row r="9" spans="1:22" s="65" customFormat="1" x14ac:dyDescent="0.35"/>
    <row r="10" spans="1:22" s="65" customFormat="1" x14ac:dyDescent="0.35"/>
    <row r="11" spans="1:22" s="118" customFormat="1" ht="22.5" customHeight="1" thickBot="1" x14ac:dyDescent="0.4">
      <c r="A11" s="4703" t="e">
        <v>#REF!</v>
      </c>
      <c r="B11" s="4704"/>
      <c r="C11" s="1384" t="e">
        <v>#REF!</v>
      </c>
      <c r="D11" s="4725"/>
      <c r="E11" s="4726"/>
      <c r="F11" s="4726"/>
      <c r="G11" s="4726"/>
      <c r="H11" s="5616" t="s">
        <v>1698</v>
      </c>
      <c r="I11" s="5615"/>
      <c r="J11" s="5615"/>
      <c r="K11" s="5615"/>
      <c r="L11" s="5615"/>
      <c r="M11" s="5615"/>
      <c r="N11" s="5615"/>
      <c r="O11" s="5614" t="s">
        <v>1699</v>
      </c>
      <c r="P11" s="5615"/>
      <c r="Q11" s="5615"/>
      <c r="R11" s="836"/>
    </row>
    <row r="12" spans="1:22" s="118" customFormat="1" ht="58.5" customHeight="1" thickTop="1" thickBot="1" x14ac:dyDescent="0.4">
      <c r="A12" s="4733" t="str">
        <f>'06-TYPOPARTNER-OFR2'!A12:D12</f>
        <v>ESN ( SS2I )</v>
      </c>
      <c r="B12" s="4734"/>
      <c r="C12" s="4721" t="e">
        <v>#REF!</v>
      </c>
      <c r="D12" s="5602" t="s">
        <v>1406</v>
      </c>
      <c r="E12" s="5603"/>
      <c r="F12" s="5603"/>
      <c r="G12" s="5604"/>
      <c r="H12" s="4682"/>
      <c r="I12" s="4677"/>
      <c r="J12" s="4677"/>
      <c r="K12" s="4677"/>
      <c r="L12" s="4677"/>
      <c r="M12" s="4677"/>
      <c r="N12" s="4677"/>
      <c r="O12" s="4676"/>
      <c r="P12" s="4677"/>
      <c r="Q12" s="4678"/>
      <c r="R12" s="836"/>
    </row>
    <row r="13" spans="1:22" s="118" customFormat="1" ht="74.25" customHeight="1" x14ac:dyDescent="0.35">
      <c r="A13" s="4735"/>
      <c r="B13" s="4736"/>
      <c r="C13" s="4715"/>
      <c r="D13" s="5605" t="s">
        <v>1405</v>
      </c>
      <c r="E13" s="5606"/>
      <c r="F13" s="5606"/>
      <c r="G13" s="5607"/>
      <c r="H13" s="4682"/>
      <c r="I13" s="4677"/>
      <c r="J13" s="4677"/>
      <c r="K13" s="4677"/>
      <c r="L13" s="4677"/>
      <c r="M13" s="4677"/>
      <c r="N13" s="4677"/>
      <c r="O13" s="4676"/>
      <c r="P13" s="4677"/>
      <c r="Q13" s="4678"/>
      <c r="R13" s="836"/>
    </row>
    <row r="14" spans="1:22" s="118" customFormat="1" ht="73.5" customHeight="1" x14ac:dyDescent="0.35">
      <c r="A14" s="4735"/>
      <c r="B14" s="4736"/>
      <c r="C14" s="4715"/>
      <c r="D14" s="5595" t="s">
        <v>1407</v>
      </c>
      <c r="E14" s="5596"/>
      <c r="F14" s="5596"/>
      <c r="G14" s="5597"/>
      <c r="H14" s="4682"/>
      <c r="I14" s="4677"/>
      <c r="J14" s="4677"/>
      <c r="K14" s="4677"/>
      <c r="L14" s="4677"/>
      <c r="M14" s="4677"/>
      <c r="N14" s="4677"/>
      <c r="O14" s="4676"/>
      <c r="P14" s="4677"/>
      <c r="Q14" s="4678"/>
      <c r="R14" s="836"/>
    </row>
    <row r="15" spans="1:22" s="118" customFormat="1" ht="55.5" customHeight="1" x14ac:dyDescent="0.35">
      <c r="A15" s="4735"/>
      <c r="B15" s="4736"/>
      <c r="C15" s="4715"/>
      <c r="D15" s="5595" t="s">
        <v>1408</v>
      </c>
      <c r="E15" s="5596"/>
      <c r="F15" s="5596"/>
      <c r="G15" s="5597"/>
      <c r="H15" s="4682"/>
      <c r="I15" s="4677"/>
      <c r="J15" s="4677"/>
      <c r="K15" s="4677"/>
      <c r="L15" s="4677"/>
      <c r="M15" s="4677"/>
      <c r="N15" s="4677"/>
      <c r="O15" s="4676"/>
      <c r="P15" s="4677"/>
      <c r="Q15" s="4678"/>
      <c r="R15" s="836"/>
    </row>
    <row r="16" spans="1:22" s="118" customFormat="1" ht="46.5" customHeight="1" x14ac:dyDescent="0.35">
      <c r="A16" s="4735"/>
      <c r="B16" s="4736"/>
      <c r="C16" s="4715"/>
      <c r="D16" s="5595" t="s">
        <v>1409</v>
      </c>
      <c r="E16" s="5596"/>
      <c r="F16" s="5596"/>
      <c r="G16" s="5597"/>
      <c r="H16" s="4682"/>
      <c r="I16" s="4677"/>
      <c r="J16" s="4677"/>
      <c r="K16" s="4677"/>
      <c r="L16" s="4677"/>
      <c r="M16" s="4677"/>
      <c r="N16" s="4677"/>
      <c r="O16" s="4676"/>
      <c r="P16" s="4677"/>
      <c r="Q16" s="4678"/>
      <c r="R16" s="836"/>
    </row>
    <row r="17" spans="1:18" s="118" customFormat="1" ht="53.25" customHeight="1" x14ac:dyDescent="0.35">
      <c r="A17" s="4735"/>
      <c r="B17" s="4736"/>
      <c r="C17" s="4715"/>
      <c r="D17" s="5595" t="s">
        <v>1410</v>
      </c>
      <c r="E17" s="5596"/>
      <c r="F17" s="5596"/>
      <c r="G17" s="5597"/>
      <c r="H17" s="4682"/>
      <c r="I17" s="4677"/>
      <c r="J17" s="4677"/>
      <c r="K17" s="4677"/>
      <c r="L17" s="4677"/>
      <c r="M17" s="4677"/>
      <c r="N17" s="4677"/>
      <c r="O17" s="4676"/>
      <c r="P17" s="4677"/>
      <c r="Q17" s="4678"/>
      <c r="R17" s="836"/>
    </row>
    <row r="18" spans="1:18" s="118" customFormat="1" ht="31.5" customHeight="1" thickBot="1" x14ac:dyDescent="0.4">
      <c r="A18" s="4735"/>
      <c r="B18" s="4736"/>
      <c r="C18" s="4715"/>
      <c r="D18" s="5611" t="s">
        <v>1411</v>
      </c>
      <c r="E18" s="5612"/>
      <c r="F18" s="5612"/>
      <c r="G18" s="5613"/>
      <c r="H18" s="5601"/>
      <c r="I18" s="4680"/>
      <c r="J18" s="4680"/>
      <c r="K18" s="4680"/>
      <c r="L18" s="4680"/>
      <c r="M18" s="4680"/>
      <c r="N18" s="4681"/>
      <c r="O18" s="4676"/>
      <c r="P18" s="4677"/>
      <c r="Q18" s="4678"/>
      <c r="R18" s="836"/>
    </row>
    <row r="19" spans="1:18" s="118" customFormat="1" ht="8.25" customHeight="1" thickTop="1" thickBot="1" x14ac:dyDescent="0.4">
      <c r="A19" s="1385"/>
      <c r="B19" s="1386"/>
      <c r="C19" s="1387"/>
      <c r="D19" s="1388"/>
      <c r="E19" s="1389"/>
      <c r="F19" s="1389"/>
      <c r="G19" s="1389"/>
      <c r="H19" s="1389"/>
      <c r="I19" s="1389"/>
      <c r="J19" s="1389"/>
      <c r="K19" s="1389"/>
      <c r="L19" s="1389"/>
      <c r="M19" s="1389"/>
      <c r="N19" s="1389"/>
      <c r="O19" s="1389"/>
      <c r="P19" s="1389"/>
      <c r="Q19" s="1390"/>
      <c r="R19" s="836"/>
    </row>
    <row r="20" spans="1:18" s="118" customFormat="1" ht="22.5" customHeight="1" thickTop="1" x14ac:dyDescent="0.35">
      <c r="A20" s="4703" t="e">
        <v>#REF!</v>
      </c>
      <c r="B20" s="4704"/>
      <c r="C20" s="1384" t="e">
        <v>#REF!</v>
      </c>
      <c r="D20" s="4725"/>
      <c r="E20" s="4726"/>
      <c r="F20" s="4726"/>
      <c r="G20" s="4726"/>
      <c r="H20" s="5616" t="s">
        <v>1698</v>
      </c>
      <c r="I20" s="5615"/>
      <c r="J20" s="5615"/>
      <c r="K20" s="5615"/>
      <c r="L20" s="5615"/>
      <c r="M20" s="5615"/>
      <c r="N20" s="5615"/>
      <c r="O20" s="5614" t="s">
        <v>1699</v>
      </c>
      <c r="P20" s="5615"/>
      <c r="Q20" s="5615"/>
      <c r="R20" s="836"/>
    </row>
    <row r="21" spans="1:18" s="118" customFormat="1" ht="58.5" customHeight="1" thickBot="1" x14ac:dyDescent="0.4">
      <c r="A21" s="4743" t="str">
        <f>'06-TYPOPARTNER-OFR2'!A13:D13</f>
        <v>VARs régionaux</v>
      </c>
      <c r="B21" s="4744"/>
      <c r="C21" s="4715" t="e">
        <v>#REF!</v>
      </c>
      <c r="D21" s="5608" t="s">
        <v>1406</v>
      </c>
      <c r="E21" s="5609"/>
      <c r="F21" s="5609"/>
      <c r="G21" s="5610"/>
      <c r="H21" s="4682" t="s">
        <v>1757</v>
      </c>
      <c r="I21" s="4677"/>
      <c r="J21" s="4677"/>
      <c r="K21" s="4677"/>
      <c r="L21" s="4677"/>
      <c r="M21" s="4677"/>
      <c r="N21" s="4677"/>
      <c r="O21" s="4676" t="s">
        <v>1764</v>
      </c>
      <c r="P21" s="4677"/>
      <c r="Q21" s="4678"/>
      <c r="R21" s="836"/>
    </row>
    <row r="22" spans="1:18" s="118" customFormat="1" ht="74.25" customHeight="1" x14ac:dyDescent="0.35">
      <c r="A22" s="4743"/>
      <c r="B22" s="4744"/>
      <c r="C22" s="4715"/>
      <c r="D22" s="5605" t="s">
        <v>1405</v>
      </c>
      <c r="E22" s="5606"/>
      <c r="F22" s="5606"/>
      <c r="G22" s="5607"/>
      <c r="H22" s="4682" t="s">
        <v>1759</v>
      </c>
      <c r="I22" s="4677"/>
      <c r="J22" s="4677"/>
      <c r="K22" s="4677"/>
      <c r="L22" s="4677"/>
      <c r="M22" s="4677"/>
      <c r="N22" s="4677"/>
      <c r="O22" s="4676">
        <v>2</v>
      </c>
      <c r="P22" s="4677"/>
      <c r="Q22" s="4678"/>
      <c r="R22" s="836"/>
    </row>
    <row r="23" spans="1:18" s="118" customFormat="1" ht="73.5" customHeight="1" x14ac:dyDescent="0.35">
      <c r="A23" s="4743"/>
      <c r="B23" s="4744"/>
      <c r="C23" s="4715"/>
      <c r="D23" s="5595" t="s">
        <v>1407</v>
      </c>
      <c r="E23" s="5596"/>
      <c r="F23" s="5596"/>
      <c r="G23" s="5597"/>
      <c r="H23" s="4682">
        <f ca="1">H22:N23</f>
        <v>0</v>
      </c>
      <c r="I23" s="4677"/>
      <c r="J23" s="4677"/>
      <c r="K23" s="4677"/>
      <c r="L23" s="4677"/>
      <c r="M23" s="4677"/>
      <c r="N23" s="4677"/>
      <c r="O23" s="4676" t="s">
        <v>1760</v>
      </c>
      <c r="P23" s="4677"/>
      <c r="Q23" s="4678"/>
      <c r="R23" s="836"/>
    </row>
    <row r="24" spans="1:18" s="118" customFormat="1" ht="55.5" customHeight="1" x14ac:dyDescent="0.35">
      <c r="A24" s="4743"/>
      <c r="B24" s="4744"/>
      <c r="C24" s="4715"/>
      <c r="D24" s="5595" t="s">
        <v>1408</v>
      </c>
      <c r="E24" s="5596"/>
      <c r="F24" s="5596"/>
      <c r="G24" s="5597"/>
      <c r="H24" s="4682" t="s">
        <v>1763</v>
      </c>
      <c r="I24" s="4677"/>
      <c r="J24" s="4677"/>
      <c r="K24" s="4677"/>
      <c r="L24" s="4677"/>
      <c r="M24" s="4677"/>
      <c r="N24" s="4677"/>
      <c r="O24" s="4676" t="s">
        <v>1758</v>
      </c>
      <c r="P24" s="4677"/>
      <c r="Q24" s="4678"/>
      <c r="R24" s="836"/>
    </row>
    <row r="25" spans="1:18" s="118" customFormat="1" ht="46.5" customHeight="1" x14ac:dyDescent="0.35">
      <c r="A25" s="4743"/>
      <c r="B25" s="4744"/>
      <c r="C25" s="4715"/>
      <c r="D25" s="5595" t="s">
        <v>1409</v>
      </c>
      <c r="E25" s="5596"/>
      <c r="F25" s="5596"/>
      <c r="G25" s="5597"/>
      <c r="H25" s="4682" t="s">
        <v>1663</v>
      </c>
      <c r="I25" s="4677"/>
      <c r="J25" s="4677"/>
      <c r="K25" s="4677"/>
      <c r="L25" s="4677"/>
      <c r="M25" s="4677"/>
      <c r="N25" s="4677"/>
      <c r="O25" s="4676"/>
      <c r="P25" s="4677"/>
      <c r="Q25" s="4678"/>
      <c r="R25" s="836"/>
    </row>
    <row r="26" spans="1:18" s="118" customFormat="1" ht="53.25" customHeight="1" x14ac:dyDescent="0.35">
      <c r="A26" s="4743"/>
      <c r="B26" s="4744"/>
      <c r="C26" s="4715"/>
      <c r="D26" s="5595" t="s">
        <v>1410</v>
      </c>
      <c r="E26" s="5596"/>
      <c r="F26" s="5596"/>
      <c r="G26" s="5597"/>
      <c r="H26" s="4682" t="s">
        <v>1761</v>
      </c>
      <c r="I26" s="4677"/>
      <c r="J26" s="4677"/>
      <c r="K26" s="4677"/>
      <c r="L26" s="4677"/>
      <c r="M26" s="4677"/>
      <c r="N26" s="4677"/>
      <c r="O26" s="4676" t="s">
        <v>1762</v>
      </c>
      <c r="P26" s="4677"/>
      <c r="Q26" s="4678"/>
      <c r="R26" s="836"/>
    </row>
    <row r="27" spans="1:18" s="118" customFormat="1" ht="31.5" customHeight="1" thickBot="1" x14ac:dyDescent="0.4">
      <c r="A27" s="4745"/>
      <c r="B27" s="4746"/>
      <c r="C27" s="4727"/>
      <c r="D27" s="5598" t="s">
        <v>1411</v>
      </c>
      <c r="E27" s="5599"/>
      <c r="F27" s="5599"/>
      <c r="G27" s="5600"/>
      <c r="H27" s="5601" t="s">
        <v>1663</v>
      </c>
      <c r="I27" s="4680"/>
      <c r="J27" s="4680"/>
      <c r="K27" s="4680"/>
      <c r="L27" s="4680"/>
      <c r="M27" s="4680"/>
      <c r="N27" s="4681"/>
      <c r="O27" s="4676"/>
      <c r="P27" s="4677"/>
      <c r="Q27" s="4678"/>
      <c r="R27" s="836"/>
    </row>
    <row r="28" spans="1:18" s="118" customFormat="1" ht="8.25" customHeight="1" thickTop="1" thickBot="1" x14ac:dyDescent="0.4">
      <c r="A28" s="1385"/>
      <c r="B28" s="1386"/>
      <c r="C28" s="1387"/>
      <c r="D28" s="1388"/>
      <c r="E28" s="1389"/>
      <c r="F28" s="1389"/>
      <c r="G28" s="1389"/>
      <c r="H28" s="1389"/>
      <c r="I28" s="1389"/>
      <c r="J28" s="1389"/>
      <c r="K28" s="1389"/>
      <c r="L28" s="1389"/>
      <c r="M28" s="1389"/>
      <c r="N28" s="1389"/>
      <c r="O28" s="1389"/>
      <c r="P28" s="1389"/>
      <c r="Q28" s="1390"/>
      <c r="R28" s="836"/>
    </row>
    <row r="29" spans="1:18" s="124" customFormat="1" ht="64.5" customHeight="1" thickTop="1" thickBot="1" x14ac:dyDescent="0.4">
      <c r="A29" s="4708" t="s">
        <v>1425</v>
      </c>
      <c r="B29" s="4709"/>
      <c r="C29" s="4714" t="e">
        <v>#REF!</v>
      </c>
      <c r="D29" s="5602" t="s">
        <v>1406</v>
      </c>
      <c r="E29" s="5603"/>
      <c r="F29" s="5603"/>
      <c r="G29" s="5604"/>
      <c r="H29" s="4682" t="s">
        <v>1765</v>
      </c>
      <c r="I29" s="4677"/>
      <c r="J29" s="4677"/>
      <c r="K29" s="4677"/>
      <c r="L29" s="4677"/>
      <c r="M29" s="4677"/>
      <c r="N29" s="4677"/>
      <c r="O29" s="4676">
        <v>10</v>
      </c>
      <c r="P29" s="4677"/>
      <c r="Q29" s="4678"/>
      <c r="R29" s="858"/>
    </row>
    <row r="30" spans="1:18" s="189" customFormat="1" ht="77.25" customHeight="1" x14ac:dyDescent="0.35">
      <c r="A30" s="4710"/>
      <c r="B30" s="4711"/>
      <c r="C30" s="4715"/>
      <c r="D30" s="5605" t="s">
        <v>1405</v>
      </c>
      <c r="E30" s="5606"/>
      <c r="F30" s="5606"/>
      <c r="G30" s="5607"/>
      <c r="H30" s="4682" t="s">
        <v>1759</v>
      </c>
      <c r="I30" s="4677"/>
      <c r="J30" s="4677"/>
      <c r="K30" s="4677"/>
      <c r="L30" s="4677"/>
      <c r="M30" s="4677"/>
      <c r="N30" s="4677"/>
      <c r="O30" s="4676">
        <v>2</v>
      </c>
      <c r="P30" s="4677"/>
      <c r="Q30" s="4678"/>
      <c r="R30" s="869"/>
    </row>
    <row r="31" spans="1:18" s="189" customFormat="1" ht="75.75" customHeight="1" x14ac:dyDescent="0.35">
      <c r="A31" s="4710"/>
      <c r="B31" s="4711"/>
      <c r="C31" s="4715"/>
      <c r="D31" s="5595" t="s">
        <v>1407</v>
      </c>
      <c r="E31" s="5596"/>
      <c r="F31" s="5596"/>
      <c r="G31" s="5597"/>
      <c r="H31" s="4682" t="s">
        <v>1766</v>
      </c>
      <c r="I31" s="4677"/>
      <c r="J31" s="4677"/>
      <c r="K31" s="4677"/>
      <c r="L31" s="4677"/>
      <c r="M31" s="4677"/>
      <c r="N31" s="4677"/>
      <c r="O31" s="4676" t="s">
        <v>1760</v>
      </c>
      <c r="P31" s="4677"/>
      <c r="Q31" s="4678"/>
      <c r="R31" s="869"/>
    </row>
    <row r="32" spans="1:18" s="124" customFormat="1" ht="62.25" customHeight="1" x14ac:dyDescent="0.35">
      <c r="A32" s="4710"/>
      <c r="B32" s="4711"/>
      <c r="C32" s="4715"/>
      <c r="D32" s="5595" t="s">
        <v>1408</v>
      </c>
      <c r="E32" s="5596"/>
      <c r="F32" s="5596"/>
      <c r="G32" s="5597"/>
      <c r="H32" s="4682" t="s">
        <v>1763</v>
      </c>
      <c r="I32" s="4677"/>
      <c r="J32" s="4677"/>
      <c r="K32" s="4677"/>
      <c r="L32" s="4677"/>
      <c r="M32" s="4677"/>
      <c r="N32" s="4677"/>
      <c r="O32" s="4676" t="s">
        <v>1758</v>
      </c>
      <c r="P32" s="4677"/>
      <c r="Q32" s="4678"/>
      <c r="R32" s="858"/>
    </row>
    <row r="33" spans="1:18" s="118" customFormat="1" ht="45" customHeight="1" x14ac:dyDescent="0.35">
      <c r="A33" s="4710"/>
      <c r="B33" s="4711"/>
      <c r="C33" s="4715"/>
      <c r="D33" s="5595" t="s">
        <v>1409</v>
      </c>
      <c r="E33" s="5596"/>
      <c r="F33" s="5596"/>
      <c r="G33" s="5597"/>
      <c r="H33" s="4682" t="s">
        <v>1663</v>
      </c>
      <c r="I33" s="4677"/>
      <c r="J33" s="4677"/>
      <c r="K33" s="4677"/>
      <c r="L33" s="4677"/>
      <c r="M33" s="4677"/>
      <c r="N33" s="4677"/>
      <c r="O33" s="4676"/>
      <c r="P33" s="4677"/>
      <c r="Q33" s="4678"/>
      <c r="R33" s="836"/>
    </row>
    <row r="34" spans="1:18" s="118" customFormat="1" ht="60" customHeight="1" x14ac:dyDescent="0.35">
      <c r="A34" s="4710"/>
      <c r="B34" s="4711"/>
      <c r="C34" s="4715"/>
      <c r="D34" s="5595" t="s">
        <v>1410</v>
      </c>
      <c r="E34" s="5596"/>
      <c r="F34" s="5596"/>
      <c r="G34" s="5597"/>
      <c r="H34" s="4682" t="s">
        <v>1767</v>
      </c>
      <c r="I34" s="4677"/>
      <c r="J34" s="4677"/>
      <c r="K34" s="4677"/>
      <c r="L34" s="4677"/>
      <c r="M34" s="4677"/>
      <c r="N34" s="4677"/>
      <c r="O34" s="4676"/>
      <c r="P34" s="4677"/>
      <c r="Q34" s="4678"/>
      <c r="R34" s="836"/>
    </row>
    <row r="35" spans="1:18" s="124" customFormat="1" ht="47.25" customHeight="1" thickBot="1" x14ac:dyDescent="0.4">
      <c r="A35" s="4712"/>
      <c r="B35" s="4713"/>
      <c r="C35" s="4716"/>
      <c r="D35" s="5598" t="s">
        <v>1411</v>
      </c>
      <c r="E35" s="5599"/>
      <c r="F35" s="5599"/>
      <c r="G35" s="5600"/>
      <c r="H35" s="5601" t="s">
        <v>1663</v>
      </c>
      <c r="I35" s="4680"/>
      <c r="J35" s="4680"/>
      <c r="K35" s="4680"/>
      <c r="L35" s="4680"/>
      <c r="M35" s="4680"/>
      <c r="N35" s="4681"/>
      <c r="O35" s="4676"/>
      <c r="P35" s="4677"/>
      <c r="Q35" s="4678"/>
      <c r="R35" s="858"/>
    </row>
    <row r="36" spans="1:18" s="118" customFormat="1" ht="8.25" customHeight="1" thickTop="1" thickBot="1" x14ac:dyDescent="0.4">
      <c r="A36" s="1385"/>
      <c r="B36" s="1386"/>
      <c r="C36" s="1387"/>
      <c r="D36" s="1388"/>
      <c r="E36" s="1389"/>
      <c r="F36" s="1389"/>
      <c r="G36" s="1389"/>
      <c r="H36" s="1389"/>
      <c r="I36" s="1389"/>
      <c r="J36" s="1389"/>
      <c r="K36" s="1389"/>
      <c r="L36" s="1389"/>
      <c r="M36" s="1389"/>
      <c r="N36" s="1389"/>
      <c r="O36" s="1389"/>
      <c r="P36" s="1389"/>
      <c r="Q36" s="1390"/>
      <c r="R36" s="836"/>
    </row>
    <row r="37" spans="1:18" s="118" customFormat="1" ht="58.5" customHeight="1" thickTop="1" thickBot="1" x14ac:dyDescent="0.4">
      <c r="A37" s="4717" t="str">
        <f>'06-TYPOPARTNER-OFR2'!A15:D15</f>
        <v xml:space="preserve">Editeurs </v>
      </c>
      <c r="B37" s="4718"/>
      <c r="C37" s="4721" t="e">
        <v>#REF!</v>
      </c>
      <c r="D37" s="5602" t="s">
        <v>1406</v>
      </c>
      <c r="E37" s="5603"/>
      <c r="F37" s="5603"/>
      <c r="G37" s="5604"/>
      <c r="H37" s="4682"/>
      <c r="I37" s="4677"/>
      <c r="J37" s="4677"/>
      <c r="K37" s="4677"/>
      <c r="L37" s="4677"/>
      <c r="M37" s="4677"/>
      <c r="N37" s="4677"/>
      <c r="O37" s="4676"/>
      <c r="P37" s="4677"/>
      <c r="Q37" s="4678"/>
      <c r="R37" s="836"/>
    </row>
    <row r="38" spans="1:18" s="118" customFormat="1" ht="74.25" customHeight="1" x14ac:dyDescent="0.35">
      <c r="A38" s="4719"/>
      <c r="B38" s="4720"/>
      <c r="C38" s="4715"/>
      <c r="D38" s="5605" t="s">
        <v>1405</v>
      </c>
      <c r="E38" s="5606"/>
      <c r="F38" s="5606"/>
      <c r="G38" s="5607"/>
      <c r="H38" s="4682"/>
      <c r="I38" s="4677"/>
      <c r="J38" s="4677"/>
      <c r="K38" s="4677"/>
      <c r="L38" s="4677"/>
      <c r="M38" s="4677"/>
      <c r="N38" s="4677"/>
      <c r="O38" s="4676"/>
      <c r="P38" s="4677"/>
      <c r="Q38" s="4678"/>
      <c r="R38" s="836"/>
    </row>
    <row r="39" spans="1:18" s="118" customFormat="1" ht="73.5" customHeight="1" x14ac:dyDescent="0.35">
      <c r="A39" s="4719"/>
      <c r="B39" s="4720"/>
      <c r="C39" s="4715"/>
      <c r="D39" s="5595" t="s">
        <v>1407</v>
      </c>
      <c r="E39" s="5596"/>
      <c r="F39" s="5596"/>
      <c r="G39" s="5597"/>
      <c r="H39" s="4682"/>
      <c r="I39" s="4677"/>
      <c r="J39" s="4677"/>
      <c r="K39" s="4677"/>
      <c r="L39" s="4677"/>
      <c r="M39" s="4677"/>
      <c r="N39" s="4677"/>
      <c r="O39" s="4676"/>
      <c r="P39" s="4677"/>
      <c r="Q39" s="4678"/>
      <c r="R39" s="836"/>
    </row>
    <row r="40" spans="1:18" s="118" customFormat="1" ht="55.5" customHeight="1" x14ac:dyDescent="0.35">
      <c r="A40" s="4719"/>
      <c r="B40" s="4720"/>
      <c r="C40" s="4715"/>
      <c r="D40" s="5595" t="s">
        <v>1408</v>
      </c>
      <c r="E40" s="5596"/>
      <c r="F40" s="5596"/>
      <c r="G40" s="5597"/>
      <c r="H40" s="4682"/>
      <c r="I40" s="4677"/>
      <c r="J40" s="4677"/>
      <c r="K40" s="4677"/>
      <c r="L40" s="4677"/>
      <c r="M40" s="4677"/>
      <c r="N40" s="4677"/>
      <c r="O40" s="4676"/>
      <c r="P40" s="4677"/>
      <c r="Q40" s="4678"/>
      <c r="R40" s="836"/>
    </row>
    <row r="41" spans="1:18" s="118" customFormat="1" ht="46.5" customHeight="1" x14ac:dyDescent="0.35">
      <c r="A41" s="4719"/>
      <c r="B41" s="4720"/>
      <c r="C41" s="4715"/>
      <c r="D41" s="5595" t="s">
        <v>1409</v>
      </c>
      <c r="E41" s="5596"/>
      <c r="F41" s="5596"/>
      <c r="G41" s="5597"/>
      <c r="H41" s="4682"/>
      <c r="I41" s="4677"/>
      <c r="J41" s="4677"/>
      <c r="K41" s="4677"/>
      <c r="L41" s="4677"/>
      <c r="M41" s="4677"/>
      <c r="N41" s="4677"/>
      <c r="O41" s="4676"/>
      <c r="P41" s="4677"/>
      <c r="Q41" s="4678"/>
      <c r="R41" s="836"/>
    </row>
    <row r="42" spans="1:18" s="118" customFormat="1" ht="53.25" customHeight="1" x14ac:dyDescent="0.35">
      <c r="A42" s="4719"/>
      <c r="B42" s="4720"/>
      <c r="C42" s="4715"/>
      <c r="D42" s="5595" t="s">
        <v>1410</v>
      </c>
      <c r="E42" s="5596"/>
      <c r="F42" s="5596"/>
      <c r="G42" s="5597"/>
      <c r="H42" s="4682"/>
      <c r="I42" s="4677"/>
      <c r="J42" s="4677"/>
      <c r="K42" s="4677"/>
      <c r="L42" s="4677"/>
      <c r="M42" s="4677"/>
      <c r="N42" s="4677"/>
      <c r="O42" s="4676"/>
      <c r="P42" s="4677"/>
      <c r="Q42" s="4678"/>
      <c r="R42" s="836"/>
    </row>
    <row r="43" spans="1:18" s="118" customFormat="1" ht="31.5" customHeight="1" thickBot="1" x14ac:dyDescent="0.4">
      <c r="A43" s="4719"/>
      <c r="B43" s="4720"/>
      <c r="C43" s="4715"/>
      <c r="D43" s="5611" t="s">
        <v>1411</v>
      </c>
      <c r="E43" s="5612"/>
      <c r="F43" s="5612"/>
      <c r="G43" s="5613"/>
      <c r="H43" s="5601"/>
      <c r="I43" s="4680"/>
      <c r="J43" s="4680"/>
      <c r="K43" s="4680"/>
      <c r="L43" s="4680"/>
      <c r="M43" s="4680"/>
      <c r="N43" s="4681"/>
      <c r="O43" s="4676"/>
      <c r="P43" s="4677"/>
      <c r="Q43" s="4678"/>
      <c r="R43" s="836"/>
    </row>
    <row r="44" spans="1:18" s="118" customFormat="1" ht="8.25" customHeight="1" thickTop="1" thickBot="1" x14ac:dyDescent="0.4">
      <c r="A44" s="1385"/>
      <c r="B44" s="1386"/>
      <c r="C44" s="1387"/>
      <c r="D44" s="1388"/>
      <c r="E44" s="1389"/>
      <c r="F44" s="1389"/>
      <c r="G44" s="1389"/>
      <c r="H44" s="1389"/>
      <c r="I44" s="1389"/>
      <c r="J44" s="1389"/>
      <c r="K44" s="1389"/>
      <c r="L44" s="1389"/>
      <c r="M44" s="1389"/>
      <c r="N44" s="1389"/>
      <c r="O44" s="1389"/>
      <c r="P44" s="1389"/>
      <c r="Q44" s="1390"/>
      <c r="R44" s="836"/>
    </row>
    <row r="45" spans="1:18" s="118" customFormat="1" ht="58.5" customHeight="1" thickTop="1" thickBot="1" x14ac:dyDescent="0.4">
      <c r="A45" s="4750" t="str">
        <f>'06-TYPOPARTNER-OFR2'!A16:D16</f>
        <v>Hébergeurs</v>
      </c>
      <c r="B45" s="4751"/>
      <c r="C45" s="4715" t="e">
        <v>#REF!</v>
      </c>
      <c r="D45" s="5608" t="s">
        <v>1406</v>
      </c>
      <c r="E45" s="5609"/>
      <c r="F45" s="5609"/>
      <c r="G45" s="5610"/>
      <c r="H45" s="4682"/>
      <c r="I45" s="4677"/>
      <c r="J45" s="4677"/>
      <c r="K45" s="4677"/>
      <c r="L45" s="4677"/>
      <c r="M45" s="4677"/>
      <c r="N45" s="4677"/>
      <c r="O45" s="4676"/>
      <c r="P45" s="4677"/>
      <c r="Q45" s="4678"/>
      <c r="R45" s="836"/>
    </row>
    <row r="46" spans="1:18" s="118" customFormat="1" ht="74.25" customHeight="1" x14ac:dyDescent="0.35">
      <c r="A46" s="4750"/>
      <c r="B46" s="4751"/>
      <c r="C46" s="4715"/>
      <c r="D46" s="5605" t="s">
        <v>1405</v>
      </c>
      <c r="E46" s="5606"/>
      <c r="F46" s="5606"/>
      <c r="G46" s="5607"/>
      <c r="H46" s="4682"/>
      <c r="I46" s="4677"/>
      <c r="J46" s="4677"/>
      <c r="K46" s="4677"/>
      <c r="L46" s="4677"/>
      <c r="M46" s="4677"/>
      <c r="N46" s="4677"/>
      <c r="O46" s="4676"/>
      <c r="P46" s="4677"/>
      <c r="Q46" s="4678"/>
      <c r="R46" s="836"/>
    </row>
    <row r="47" spans="1:18" s="118" customFormat="1" ht="73.5" customHeight="1" x14ac:dyDescent="0.35">
      <c r="A47" s="4750"/>
      <c r="B47" s="4751"/>
      <c r="C47" s="4715"/>
      <c r="D47" s="5595" t="s">
        <v>1407</v>
      </c>
      <c r="E47" s="5596"/>
      <c r="F47" s="5596"/>
      <c r="G47" s="5597"/>
      <c r="H47" s="4682"/>
      <c r="I47" s="4677"/>
      <c r="J47" s="4677"/>
      <c r="K47" s="4677"/>
      <c r="L47" s="4677"/>
      <c r="M47" s="4677"/>
      <c r="N47" s="4677"/>
      <c r="O47" s="4676"/>
      <c r="P47" s="4677"/>
      <c r="Q47" s="4678"/>
      <c r="R47" s="836"/>
    </row>
    <row r="48" spans="1:18" s="118" customFormat="1" ht="55.5" customHeight="1" x14ac:dyDescent="0.35">
      <c r="A48" s="4750"/>
      <c r="B48" s="4751"/>
      <c r="C48" s="4715"/>
      <c r="D48" s="5595" t="s">
        <v>1408</v>
      </c>
      <c r="E48" s="5596"/>
      <c r="F48" s="5596"/>
      <c r="G48" s="5597"/>
      <c r="H48" s="4682"/>
      <c r="I48" s="4677"/>
      <c r="J48" s="4677"/>
      <c r="K48" s="4677"/>
      <c r="L48" s="4677"/>
      <c r="M48" s="4677"/>
      <c r="N48" s="4677"/>
      <c r="O48" s="4676"/>
      <c r="P48" s="4677"/>
      <c r="Q48" s="4678"/>
      <c r="R48" s="836"/>
    </row>
    <row r="49" spans="1:18" s="118" customFormat="1" ht="46.5" customHeight="1" x14ac:dyDescent="0.35">
      <c r="A49" s="4750"/>
      <c r="B49" s="4751"/>
      <c r="C49" s="4715"/>
      <c r="D49" s="5595" t="s">
        <v>1409</v>
      </c>
      <c r="E49" s="5596"/>
      <c r="F49" s="5596"/>
      <c r="G49" s="5597"/>
      <c r="H49" s="4682"/>
      <c r="I49" s="4677"/>
      <c r="J49" s="4677"/>
      <c r="K49" s="4677"/>
      <c r="L49" s="4677"/>
      <c r="M49" s="4677"/>
      <c r="N49" s="4677"/>
      <c r="O49" s="4676"/>
      <c r="P49" s="4677"/>
      <c r="Q49" s="4678"/>
      <c r="R49" s="836"/>
    </row>
    <row r="50" spans="1:18" s="118" customFormat="1" ht="53.25" customHeight="1" x14ac:dyDescent="0.35">
      <c r="A50" s="4750"/>
      <c r="B50" s="4751"/>
      <c r="C50" s="4715"/>
      <c r="D50" s="5595" t="s">
        <v>1410</v>
      </c>
      <c r="E50" s="5596"/>
      <c r="F50" s="5596"/>
      <c r="G50" s="5597"/>
      <c r="H50" s="4682"/>
      <c r="I50" s="4677"/>
      <c r="J50" s="4677"/>
      <c r="K50" s="4677"/>
      <c r="L50" s="4677"/>
      <c r="M50" s="4677"/>
      <c r="N50" s="4677"/>
      <c r="O50" s="4676"/>
      <c r="P50" s="4677"/>
      <c r="Q50" s="4678"/>
      <c r="R50" s="836"/>
    </row>
    <row r="51" spans="1:18" s="118" customFormat="1" ht="31.5" customHeight="1" thickBot="1" x14ac:dyDescent="0.4">
      <c r="A51" s="4752"/>
      <c r="B51" s="4753"/>
      <c r="C51" s="4727"/>
      <c r="D51" s="5598" t="s">
        <v>1411</v>
      </c>
      <c r="E51" s="5599"/>
      <c r="F51" s="5599"/>
      <c r="G51" s="5600"/>
      <c r="H51" s="5601"/>
      <c r="I51" s="4680"/>
      <c r="J51" s="4680"/>
      <c r="K51" s="4680"/>
      <c r="L51" s="4680"/>
      <c r="M51" s="4680"/>
      <c r="N51" s="4681"/>
      <c r="O51" s="4676"/>
      <c r="P51" s="4677"/>
      <c r="Q51" s="4678"/>
      <c r="R51" s="836"/>
    </row>
    <row r="52" spans="1:18" s="118" customFormat="1" ht="8.25" customHeight="1" thickTop="1" thickBot="1" x14ac:dyDescent="0.4">
      <c r="A52" s="1385"/>
      <c r="B52" s="1386"/>
      <c r="C52" s="1387"/>
      <c r="D52" s="1388"/>
      <c r="E52" s="1389"/>
      <c r="F52" s="1389"/>
      <c r="G52" s="1389"/>
      <c r="H52" s="1389"/>
      <c r="I52" s="1389"/>
      <c r="J52" s="1389"/>
      <c r="K52" s="1389"/>
      <c r="L52" s="1389"/>
      <c r="M52" s="1389"/>
      <c r="N52" s="1389"/>
      <c r="O52" s="1389"/>
      <c r="P52" s="1389"/>
      <c r="Q52" s="1390"/>
      <c r="R52" s="836"/>
    </row>
    <row r="53" spans="1:18" s="124" customFormat="1" ht="64.5" customHeight="1" thickTop="1" thickBot="1" x14ac:dyDescent="0.4">
      <c r="A53" s="4760" t="str">
        <f>'06-TYPOPARTNER-OFR2'!A17:D17</f>
        <v>Constructeurs</v>
      </c>
      <c r="B53" s="4761"/>
      <c r="C53" s="4714" t="e">
        <v>#REF!</v>
      </c>
      <c r="D53" s="5602" t="s">
        <v>1406</v>
      </c>
      <c r="E53" s="5603"/>
      <c r="F53" s="5603"/>
      <c r="G53" s="5604"/>
      <c r="H53" s="4682"/>
      <c r="I53" s="4677"/>
      <c r="J53" s="4677"/>
      <c r="K53" s="4677"/>
      <c r="L53" s="4677"/>
      <c r="M53" s="4677"/>
      <c r="N53" s="4677"/>
      <c r="O53" s="4676"/>
      <c r="P53" s="4677"/>
      <c r="Q53" s="4678"/>
      <c r="R53" s="858"/>
    </row>
    <row r="54" spans="1:18" s="189" customFormat="1" ht="77.25" customHeight="1" x14ac:dyDescent="0.35">
      <c r="A54" s="4762"/>
      <c r="B54" s="4763"/>
      <c r="C54" s="4715"/>
      <c r="D54" s="5605" t="s">
        <v>1405</v>
      </c>
      <c r="E54" s="5606"/>
      <c r="F54" s="5606"/>
      <c r="G54" s="5607"/>
      <c r="H54" s="4682"/>
      <c r="I54" s="4677"/>
      <c r="J54" s="4677"/>
      <c r="K54" s="4677"/>
      <c r="L54" s="4677"/>
      <c r="M54" s="4677"/>
      <c r="N54" s="4677"/>
      <c r="O54" s="4676"/>
      <c r="P54" s="4677"/>
      <c r="Q54" s="4678"/>
      <c r="R54" s="869"/>
    </row>
    <row r="55" spans="1:18" s="189" customFormat="1" ht="75.75" customHeight="1" x14ac:dyDescent="0.35">
      <c r="A55" s="4762"/>
      <c r="B55" s="4763"/>
      <c r="C55" s="4715"/>
      <c r="D55" s="5595" t="s">
        <v>1407</v>
      </c>
      <c r="E55" s="5596"/>
      <c r="F55" s="5596"/>
      <c r="G55" s="5597"/>
      <c r="H55" s="4682"/>
      <c r="I55" s="4677"/>
      <c r="J55" s="4677"/>
      <c r="K55" s="4677"/>
      <c r="L55" s="4677"/>
      <c r="M55" s="4677"/>
      <c r="N55" s="4677"/>
      <c r="O55" s="4676"/>
      <c r="P55" s="4677"/>
      <c r="Q55" s="4678"/>
      <c r="R55" s="869"/>
    </row>
    <row r="56" spans="1:18" s="124" customFormat="1" ht="62.25" customHeight="1" x14ac:dyDescent="0.35">
      <c r="A56" s="4762"/>
      <c r="B56" s="4763"/>
      <c r="C56" s="4715"/>
      <c r="D56" s="5595" t="s">
        <v>1408</v>
      </c>
      <c r="E56" s="5596"/>
      <c r="F56" s="5596"/>
      <c r="G56" s="5597"/>
      <c r="H56" s="4682"/>
      <c r="I56" s="4677"/>
      <c r="J56" s="4677"/>
      <c r="K56" s="4677"/>
      <c r="L56" s="4677"/>
      <c r="M56" s="4677"/>
      <c r="N56" s="4677"/>
      <c r="O56" s="4676"/>
      <c r="P56" s="4677"/>
      <c r="Q56" s="4678"/>
      <c r="R56" s="858"/>
    </row>
    <row r="57" spans="1:18" s="118" customFormat="1" ht="45" customHeight="1" x14ac:dyDescent="0.35">
      <c r="A57" s="4762"/>
      <c r="B57" s="4763"/>
      <c r="C57" s="4715"/>
      <c r="D57" s="5595" t="s">
        <v>1409</v>
      </c>
      <c r="E57" s="5596"/>
      <c r="F57" s="5596"/>
      <c r="G57" s="5597"/>
      <c r="H57" s="4682"/>
      <c r="I57" s="4677"/>
      <c r="J57" s="4677"/>
      <c r="K57" s="4677"/>
      <c r="L57" s="4677"/>
      <c r="M57" s="4677"/>
      <c r="N57" s="4677"/>
      <c r="O57" s="4676"/>
      <c r="P57" s="4677"/>
      <c r="Q57" s="4678"/>
      <c r="R57" s="836"/>
    </row>
    <row r="58" spans="1:18" s="118" customFormat="1" ht="60" customHeight="1" x14ac:dyDescent="0.35">
      <c r="A58" s="4762"/>
      <c r="B58" s="4763"/>
      <c r="C58" s="4715"/>
      <c r="D58" s="5595" t="s">
        <v>1410</v>
      </c>
      <c r="E58" s="5596"/>
      <c r="F58" s="5596"/>
      <c r="G58" s="5597"/>
      <c r="H58" s="4682"/>
      <c r="I58" s="4677"/>
      <c r="J58" s="4677"/>
      <c r="K58" s="4677"/>
      <c r="L58" s="4677"/>
      <c r="M58" s="4677"/>
      <c r="N58" s="4677"/>
      <c r="O58" s="4676"/>
      <c r="P58" s="4677"/>
      <c r="Q58" s="4678"/>
      <c r="R58" s="836"/>
    </row>
    <row r="59" spans="1:18" s="124" customFormat="1" ht="47.25" customHeight="1" thickBot="1" x14ac:dyDescent="0.4">
      <c r="A59" s="4764"/>
      <c r="B59" s="4765"/>
      <c r="C59" s="4716"/>
      <c r="D59" s="5598" t="s">
        <v>1411</v>
      </c>
      <c r="E59" s="5599"/>
      <c r="F59" s="5599"/>
      <c r="G59" s="5600"/>
      <c r="H59" s="5601"/>
      <c r="I59" s="4680"/>
      <c r="J59" s="4680"/>
      <c r="K59" s="4680"/>
      <c r="L59" s="4680"/>
      <c r="M59" s="4680"/>
      <c r="N59" s="4681"/>
      <c r="O59" s="4676"/>
      <c r="P59" s="4677"/>
      <c r="Q59" s="4678"/>
      <c r="R59" s="858"/>
    </row>
    <row r="60" spans="1:18" s="118" customFormat="1" ht="8.25" customHeight="1" thickTop="1" thickBot="1" x14ac:dyDescent="0.4">
      <c r="A60" s="1385"/>
      <c r="B60" s="1386"/>
      <c r="C60" s="1387"/>
      <c r="D60" s="1388"/>
      <c r="E60" s="1389"/>
      <c r="F60" s="1389"/>
      <c r="G60" s="1389"/>
      <c r="H60" s="1389"/>
      <c r="I60" s="1389"/>
      <c r="J60" s="1389"/>
      <c r="K60" s="1389"/>
      <c r="L60" s="1389"/>
      <c r="M60" s="1389"/>
      <c r="N60" s="1389"/>
      <c r="O60" s="1389"/>
      <c r="P60" s="1389"/>
      <c r="Q60" s="1390"/>
      <c r="R60" s="836"/>
    </row>
    <row r="61" spans="1:18" s="118" customFormat="1" ht="58.5" customHeight="1" thickTop="1" thickBot="1" x14ac:dyDescent="0.4">
      <c r="A61" s="4754" t="str">
        <f>'06-TYPOPARTNER-OFR2'!A18:D18</f>
        <v xml:space="preserve">Cabinets de conseil </v>
      </c>
      <c r="B61" s="4755"/>
      <c r="C61" s="4721" t="e">
        <v>#REF!</v>
      </c>
      <c r="D61" s="5602" t="s">
        <v>1406</v>
      </c>
      <c r="E61" s="5603"/>
      <c r="F61" s="5603"/>
      <c r="G61" s="5604"/>
      <c r="H61" s="4682"/>
      <c r="I61" s="4677"/>
      <c r="J61" s="4677"/>
      <c r="K61" s="4677"/>
      <c r="L61" s="4677"/>
      <c r="M61" s="4677"/>
      <c r="N61" s="4677"/>
      <c r="O61" s="4676"/>
      <c r="P61" s="4677"/>
      <c r="Q61" s="4678"/>
      <c r="R61" s="836"/>
    </row>
    <row r="62" spans="1:18" s="118" customFormat="1" ht="74.25" customHeight="1" x14ac:dyDescent="0.35">
      <c r="A62" s="4756"/>
      <c r="B62" s="4757"/>
      <c r="C62" s="4715"/>
      <c r="D62" s="5605" t="s">
        <v>1405</v>
      </c>
      <c r="E62" s="5606"/>
      <c r="F62" s="5606"/>
      <c r="G62" s="5607"/>
      <c r="H62" s="4682"/>
      <c r="I62" s="4677"/>
      <c r="J62" s="4677"/>
      <c r="K62" s="4677"/>
      <c r="L62" s="4677"/>
      <c r="M62" s="4677"/>
      <c r="N62" s="4677"/>
      <c r="O62" s="4676"/>
      <c r="P62" s="4677"/>
      <c r="Q62" s="4678"/>
      <c r="R62" s="836"/>
    </row>
    <row r="63" spans="1:18" s="118" customFormat="1" ht="73.5" customHeight="1" x14ac:dyDescent="0.35">
      <c r="A63" s="4756"/>
      <c r="B63" s="4757"/>
      <c r="C63" s="4715"/>
      <c r="D63" s="5595" t="s">
        <v>1407</v>
      </c>
      <c r="E63" s="5596"/>
      <c r="F63" s="5596"/>
      <c r="G63" s="5597"/>
      <c r="H63" s="4682"/>
      <c r="I63" s="4677"/>
      <c r="J63" s="4677"/>
      <c r="K63" s="4677"/>
      <c r="L63" s="4677"/>
      <c r="M63" s="4677"/>
      <c r="N63" s="4677"/>
      <c r="O63" s="4676"/>
      <c r="P63" s="4677"/>
      <c r="Q63" s="4678"/>
      <c r="R63" s="836"/>
    </row>
    <row r="64" spans="1:18" s="118" customFormat="1" ht="55.5" customHeight="1" x14ac:dyDescent="0.35">
      <c r="A64" s="4756"/>
      <c r="B64" s="4757"/>
      <c r="C64" s="4715"/>
      <c r="D64" s="5595" t="s">
        <v>1408</v>
      </c>
      <c r="E64" s="5596"/>
      <c r="F64" s="5596"/>
      <c r="G64" s="5597"/>
      <c r="H64" s="4682"/>
      <c r="I64" s="4677"/>
      <c r="J64" s="4677"/>
      <c r="K64" s="4677"/>
      <c r="L64" s="4677"/>
      <c r="M64" s="4677"/>
      <c r="N64" s="4677"/>
      <c r="O64" s="4676"/>
      <c r="P64" s="4677"/>
      <c r="Q64" s="4678"/>
      <c r="R64" s="836"/>
    </row>
    <row r="65" spans="1:18" s="118" customFormat="1" ht="46.5" customHeight="1" x14ac:dyDescent="0.35">
      <c r="A65" s="4756"/>
      <c r="B65" s="4757"/>
      <c r="C65" s="4715"/>
      <c r="D65" s="5595" t="s">
        <v>1409</v>
      </c>
      <c r="E65" s="5596"/>
      <c r="F65" s="5596"/>
      <c r="G65" s="5597"/>
      <c r="H65" s="4682"/>
      <c r="I65" s="4677"/>
      <c r="J65" s="4677"/>
      <c r="K65" s="4677"/>
      <c r="L65" s="4677"/>
      <c r="M65" s="4677"/>
      <c r="N65" s="4677"/>
      <c r="O65" s="4676"/>
      <c r="P65" s="4677"/>
      <c r="Q65" s="4678"/>
      <c r="R65" s="836"/>
    </row>
    <row r="66" spans="1:18" s="118" customFormat="1" ht="53.25" customHeight="1" x14ac:dyDescent="0.35">
      <c r="A66" s="4756"/>
      <c r="B66" s="4757"/>
      <c r="C66" s="4715"/>
      <c r="D66" s="5595" t="s">
        <v>1410</v>
      </c>
      <c r="E66" s="5596"/>
      <c r="F66" s="5596"/>
      <c r="G66" s="5597"/>
      <c r="H66" s="4682"/>
      <c r="I66" s="4677"/>
      <c r="J66" s="4677"/>
      <c r="K66" s="4677"/>
      <c r="L66" s="4677"/>
      <c r="M66" s="4677"/>
      <c r="N66" s="4677"/>
      <c r="O66" s="4676"/>
      <c r="P66" s="4677"/>
      <c r="Q66" s="4678"/>
      <c r="R66" s="836"/>
    </row>
    <row r="67" spans="1:18" s="118" customFormat="1" ht="31.5" customHeight="1" thickBot="1" x14ac:dyDescent="0.4">
      <c r="A67" s="4758"/>
      <c r="B67" s="4759"/>
      <c r="C67" s="4727"/>
      <c r="D67" s="5598" t="s">
        <v>1411</v>
      </c>
      <c r="E67" s="5599"/>
      <c r="F67" s="5599"/>
      <c r="G67" s="5600"/>
      <c r="H67" s="5601"/>
      <c r="I67" s="4680"/>
      <c r="J67" s="4680"/>
      <c r="K67" s="4680"/>
      <c r="L67" s="4680"/>
      <c r="M67" s="4680"/>
      <c r="N67" s="4681"/>
      <c r="O67" s="4676"/>
      <c r="P67" s="4677"/>
      <c r="Q67" s="4678"/>
      <c r="R67" s="836"/>
    </row>
    <row r="68" spans="1:18" s="118" customFormat="1" ht="8.25" customHeight="1" thickTop="1" thickBot="1" x14ac:dyDescent="0.4">
      <c r="A68" s="1385"/>
      <c r="B68" s="1386"/>
      <c r="C68" s="1387"/>
      <c r="D68" s="1388"/>
      <c r="E68" s="1389"/>
      <c r="F68" s="1389"/>
      <c r="G68" s="1389"/>
      <c r="H68" s="1389"/>
      <c r="I68" s="1389"/>
      <c r="J68" s="1389"/>
      <c r="K68" s="1389"/>
      <c r="L68" s="1389"/>
      <c r="M68" s="1389"/>
      <c r="N68" s="1389"/>
      <c r="O68" s="1389"/>
      <c r="P68" s="1389"/>
      <c r="Q68" s="1390"/>
      <c r="R68" s="836"/>
    </row>
    <row r="69" spans="1:18" s="118" customFormat="1" ht="58.5" customHeight="1" thickTop="1" thickBot="1" x14ac:dyDescent="0.4">
      <c r="A69" s="4766" t="str">
        <f>'06-TYPOPARTNER-OFR2'!A19:D19</f>
        <v>Consultants indépendants</v>
      </c>
      <c r="B69" s="4767"/>
      <c r="C69" s="4721" t="e">
        <v>#REF!</v>
      </c>
      <c r="D69" s="5602" t="s">
        <v>1406</v>
      </c>
      <c r="E69" s="5603"/>
      <c r="F69" s="5603"/>
      <c r="G69" s="5604"/>
      <c r="H69" s="4682"/>
      <c r="I69" s="4677"/>
      <c r="J69" s="4677"/>
      <c r="K69" s="4677"/>
      <c r="L69" s="4677"/>
      <c r="M69" s="4677"/>
      <c r="N69" s="4677"/>
      <c r="O69" s="4676"/>
      <c r="P69" s="4677"/>
      <c r="Q69" s="4678"/>
      <c r="R69" s="836"/>
    </row>
    <row r="70" spans="1:18" s="118" customFormat="1" ht="74.25" customHeight="1" x14ac:dyDescent="0.35">
      <c r="A70" s="4768"/>
      <c r="B70" s="4769"/>
      <c r="C70" s="4715"/>
      <c r="D70" s="5605" t="s">
        <v>1405</v>
      </c>
      <c r="E70" s="5606"/>
      <c r="F70" s="5606"/>
      <c r="G70" s="5607"/>
      <c r="H70" s="4682"/>
      <c r="I70" s="4677"/>
      <c r="J70" s="4677"/>
      <c r="K70" s="4677"/>
      <c r="L70" s="4677"/>
      <c r="M70" s="4677"/>
      <c r="N70" s="4677"/>
      <c r="O70" s="4676"/>
      <c r="P70" s="4677"/>
      <c r="Q70" s="4678"/>
      <c r="R70" s="836"/>
    </row>
    <row r="71" spans="1:18" s="118" customFormat="1" ht="73.5" customHeight="1" x14ac:dyDescent="0.35">
      <c r="A71" s="4768"/>
      <c r="B71" s="4769"/>
      <c r="C71" s="4715"/>
      <c r="D71" s="5595" t="s">
        <v>1407</v>
      </c>
      <c r="E71" s="5596"/>
      <c r="F71" s="5596"/>
      <c r="G71" s="5597"/>
      <c r="H71" s="4682"/>
      <c r="I71" s="4677"/>
      <c r="J71" s="4677"/>
      <c r="K71" s="4677"/>
      <c r="L71" s="4677"/>
      <c r="M71" s="4677"/>
      <c r="N71" s="4677"/>
      <c r="O71" s="4676"/>
      <c r="P71" s="4677"/>
      <c r="Q71" s="4678"/>
      <c r="R71" s="836"/>
    </row>
    <row r="72" spans="1:18" s="118" customFormat="1" ht="55.5" customHeight="1" x14ac:dyDescent="0.35">
      <c r="A72" s="4768"/>
      <c r="B72" s="4769"/>
      <c r="C72" s="4715"/>
      <c r="D72" s="5595" t="s">
        <v>1408</v>
      </c>
      <c r="E72" s="5596"/>
      <c r="F72" s="5596"/>
      <c r="G72" s="5597"/>
      <c r="H72" s="4682"/>
      <c r="I72" s="4677"/>
      <c r="J72" s="4677"/>
      <c r="K72" s="4677"/>
      <c r="L72" s="4677"/>
      <c r="M72" s="4677"/>
      <c r="N72" s="4677"/>
      <c r="O72" s="4676"/>
      <c r="P72" s="4677"/>
      <c r="Q72" s="4678"/>
      <c r="R72" s="836"/>
    </row>
    <row r="73" spans="1:18" s="118" customFormat="1" ht="46.5" customHeight="1" x14ac:dyDescent="0.35">
      <c r="A73" s="4768"/>
      <c r="B73" s="4769"/>
      <c r="C73" s="4715"/>
      <c r="D73" s="5595" t="s">
        <v>1409</v>
      </c>
      <c r="E73" s="5596"/>
      <c r="F73" s="5596"/>
      <c r="G73" s="5597"/>
      <c r="H73" s="4682"/>
      <c r="I73" s="4677"/>
      <c r="J73" s="4677"/>
      <c r="K73" s="4677"/>
      <c r="L73" s="4677"/>
      <c r="M73" s="4677"/>
      <c r="N73" s="4677"/>
      <c r="O73" s="4676"/>
      <c r="P73" s="4677"/>
      <c r="Q73" s="4678"/>
      <c r="R73" s="836"/>
    </row>
    <row r="74" spans="1:18" s="118" customFormat="1" ht="53.25" customHeight="1" x14ac:dyDescent="0.35">
      <c r="A74" s="4768"/>
      <c r="B74" s="4769"/>
      <c r="C74" s="4715"/>
      <c r="D74" s="5595" t="s">
        <v>1410</v>
      </c>
      <c r="E74" s="5596"/>
      <c r="F74" s="5596"/>
      <c r="G74" s="5597"/>
      <c r="H74" s="4682"/>
      <c r="I74" s="4677"/>
      <c r="J74" s="4677"/>
      <c r="K74" s="4677"/>
      <c r="L74" s="4677"/>
      <c r="M74" s="4677"/>
      <c r="N74" s="4677"/>
      <c r="O74" s="4676"/>
      <c r="P74" s="4677"/>
      <c r="Q74" s="4678"/>
      <c r="R74" s="836"/>
    </row>
    <row r="75" spans="1:18" s="118" customFormat="1" ht="31.5" customHeight="1" thickBot="1" x14ac:dyDescent="0.4">
      <c r="A75" s="4770"/>
      <c r="B75" s="4771"/>
      <c r="C75" s="4727"/>
      <c r="D75" s="5598" t="s">
        <v>1411</v>
      </c>
      <c r="E75" s="5599"/>
      <c r="F75" s="5599"/>
      <c r="G75" s="5600"/>
      <c r="H75" s="5601"/>
      <c r="I75" s="4680"/>
      <c r="J75" s="4680"/>
      <c r="K75" s="4680"/>
      <c r="L75" s="4680"/>
      <c r="M75" s="4680"/>
      <c r="N75" s="4681"/>
      <c r="O75" s="4676"/>
      <c r="P75" s="4677"/>
      <c r="Q75" s="4678"/>
      <c r="R75" s="836"/>
    </row>
    <row r="76" spans="1:18" s="118" customFormat="1" ht="8.25" customHeight="1" thickTop="1" thickBot="1" x14ac:dyDescent="0.4">
      <c r="A76" s="1385"/>
      <c r="B76" s="1386"/>
      <c r="C76" s="1387"/>
      <c r="D76" s="1388"/>
      <c r="E76" s="1389"/>
      <c r="F76" s="1389"/>
      <c r="G76" s="1389"/>
      <c r="H76" s="1389"/>
      <c r="I76" s="1389"/>
      <c r="J76" s="1389"/>
      <c r="K76" s="1389"/>
      <c r="L76" s="1389"/>
      <c r="M76" s="1389"/>
      <c r="N76" s="1389"/>
      <c r="O76" s="1389"/>
      <c r="P76" s="1389"/>
      <c r="Q76" s="1390"/>
      <c r="R76" s="836"/>
    </row>
    <row r="77" spans="1:18" s="124" customFormat="1" ht="64.5" customHeight="1" thickTop="1" thickBot="1" x14ac:dyDescent="0.4">
      <c r="A77" s="4772" t="str">
        <f>'06-TYPOPARTNER-OFR2'!A20:D20</f>
        <v>Hébergeurs d'infrastructures, MSP. Mode Revente</v>
      </c>
      <c r="B77" s="4773"/>
      <c r="C77" s="4714" t="e">
        <v>#REF!</v>
      </c>
      <c r="D77" s="5602" t="s">
        <v>1406</v>
      </c>
      <c r="E77" s="5603"/>
      <c r="F77" s="5603"/>
      <c r="G77" s="5604"/>
      <c r="H77" s="4682"/>
      <c r="I77" s="4677"/>
      <c r="J77" s="4677"/>
      <c r="K77" s="4677"/>
      <c r="L77" s="4677"/>
      <c r="M77" s="4677"/>
      <c r="N77" s="4677"/>
      <c r="O77" s="4676"/>
      <c r="P77" s="4677"/>
      <c r="Q77" s="4678"/>
      <c r="R77" s="858"/>
    </row>
    <row r="78" spans="1:18" s="189" customFormat="1" ht="77.25" customHeight="1" x14ac:dyDescent="0.35">
      <c r="A78" s="4774"/>
      <c r="B78" s="4775"/>
      <c r="C78" s="4715"/>
      <c r="D78" s="5605" t="s">
        <v>1405</v>
      </c>
      <c r="E78" s="5606"/>
      <c r="F78" s="5606"/>
      <c r="G78" s="5607"/>
      <c r="H78" s="4682"/>
      <c r="I78" s="4677"/>
      <c r="J78" s="4677"/>
      <c r="K78" s="4677"/>
      <c r="L78" s="4677"/>
      <c r="M78" s="4677"/>
      <c r="N78" s="4677"/>
      <c r="O78" s="4676"/>
      <c r="P78" s="4677"/>
      <c r="Q78" s="4678"/>
      <c r="R78" s="869"/>
    </row>
    <row r="79" spans="1:18" s="189" customFormat="1" ht="75.75" customHeight="1" x14ac:dyDescent="0.35">
      <c r="A79" s="4774"/>
      <c r="B79" s="4775"/>
      <c r="C79" s="4715"/>
      <c r="D79" s="5595" t="s">
        <v>1407</v>
      </c>
      <c r="E79" s="5596"/>
      <c r="F79" s="5596"/>
      <c r="G79" s="5597"/>
      <c r="H79" s="4682"/>
      <c r="I79" s="4677"/>
      <c r="J79" s="4677"/>
      <c r="K79" s="4677"/>
      <c r="L79" s="4677"/>
      <c r="M79" s="4677"/>
      <c r="N79" s="4677"/>
      <c r="O79" s="4676"/>
      <c r="P79" s="4677"/>
      <c r="Q79" s="4678"/>
      <c r="R79" s="869"/>
    </row>
    <row r="80" spans="1:18" s="124" customFormat="1" ht="62.25" customHeight="1" x14ac:dyDescent="0.35">
      <c r="A80" s="4774"/>
      <c r="B80" s="4775"/>
      <c r="C80" s="4715"/>
      <c r="D80" s="5595" t="s">
        <v>1408</v>
      </c>
      <c r="E80" s="5596"/>
      <c r="F80" s="5596"/>
      <c r="G80" s="5597"/>
      <c r="H80" s="4682"/>
      <c r="I80" s="4677"/>
      <c r="J80" s="4677"/>
      <c r="K80" s="4677"/>
      <c r="L80" s="4677"/>
      <c r="M80" s="4677"/>
      <c r="N80" s="4677"/>
      <c r="O80" s="4676"/>
      <c r="P80" s="4677"/>
      <c r="Q80" s="4678"/>
      <c r="R80" s="858"/>
    </row>
    <row r="81" spans="1:18" s="118" customFormat="1" ht="45" customHeight="1" x14ac:dyDescent="0.35">
      <c r="A81" s="4774"/>
      <c r="B81" s="4775"/>
      <c r="C81" s="4715"/>
      <c r="D81" s="5595" t="s">
        <v>1409</v>
      </c>
      <c r="E81" s="5596"/>
      <c r="F81" s="5596"/>
      <c r="G81" s="5597"/>
      <c r="H81" s="4682"/>
      <c r="I81" s="4677"/>
      <c r="J81" s="4677"/>
      <c r="K81" s="4677"/>
      <c r="L81" s="4677"/>
      <c r="M81" s="4677"/>
      <c r="N81" s="4677"/>
      <c r="O81" s="4676"/>
      <c r="P81" s="4677"/>
      <c r="Q81" s="4678"/>
      <c r="R81" s="836"/>
    </row>
    <row r="82" spans="1:18" s="118" customFormat="1" ht="60" customHeight="1" x14ac:dyDescent="0.35">
      <c r="A82" s="4774"/>
      <c r="B82" s="4775"/>
      <c r="C82" s="4715"/>
      <c r="D82" s="5595" t="s">
        <v>1410</v>
      </c>
      <c r="E82" s="5596"/>
      <c r="F82" s="5596"/>
      <c r="G82" s="5597"/>
      <c r="H82" s="4682"/>
      <c r="I82" s="4677"/>
      <c r="J82" s="4677"/>
      <c r="K82" s="4677"/>
      <c r="L82" s="4677"/>
      <c r="M82" s="4677"/>
      <c r="N82" s="4677"/>
      <c r="O82" s="4676"/>
      <c r="P82" s="4677"/>
      <c r="Q82" s="4678"/>
      <c r="R82" s="836"/>
    </row>
    <row r="83" spans="1:18" s="124" customFormat="1" ht="47.25" customHeight="1" thickBot="1" x14ac:dyDescent="0.4">
      <c r="A83" s="4776"/>
      <c r="B83" s="4777"/>
      <c r="C83" s="4716"/>
      <c r="D83" s="5598" t="s">
        <v>1411</v>
      </c>
      <c r="E83" s="5599"/>
      <c r="F83" s="5599"/>
      <c r="G83" s="5600"/>
      <c r="H83" s="5601"/>
      <c r="I83" s="4680"/>
      <c r="J83" s="4680"/>
      <c r="K83" s="4680"/>
      <c r="L83" s="4680"/>
      <c r="M83" s="4680"/>
      <c r="N83" s="4681"/>
      <c r="O83" s="4676"/>
      <c r="P83" s="4677"/>
      <c r="Q83" s="4678"/>
      <c r="R83" s="858"/>
    </row>
    <row r="84" spans="1:18" s="118" customFormat="1" ht="8.25" customHeight="1" thickTop="1" thickBot="1" x14ac:dyDescent="0.4">
      <c r="A84" s="1385"/>
      <c r="B84" s="1386"/>
      <c r="C84" s="1387"/>
      <c r="D84" s="1388"/>
      <c r="E84" s="1389"/>
      <c r="F84" s="1389"/>
      <c r="G84" s="1389"/>
      <c r="H84" s="1389"/>
      <c r="I84" s="1389"/>
      <c r="J84" s="1389"/>
      <c r="K84" s="1389"/>
      <c r="L84" s="1389"/>
      <c r="M84" s="1389"/>
      <c r="N84" s="1389"/>
      <c r="O84" s="1389"/>
      <c r="P84" s="1389"/>
      <c r="Q84" s="1390"/>
      <c r="R84" s="836"/>
    </row>
    <row r="85" spans="1:18" s="118" customFormat="1" ht="58.5" customHeight="1" thickTop="1" thickBot="1" x14ac:dyDescent="0.4">
      <c r="A85" s="4766" t="str">
        <f>'06-TYPOPARTNER-OFR2'!A21:D21</f>
        <v>Hébergeurs d'infrastructures, MSP. Marque blanche</v>
      </c>
      <c r="B85" s="4767"/>
      <c r="C85" s="4721" t="e">
        <v>#REF!</v>
      </c>
      <c r="D85" s="5602" t="s">
        <v>1406</v>
      </c>
      <c r="E85" s="5603"/>
      <c r="F85" s="5603"/>
      <c r="G85" s="5604"/>
      <c r="H85" s="4682"/>
      <c r="I85" s="4677"/>
      <c r="J85" s="4677"/>
      <c r="K85" s="4677"/>
      <c r="L85" s="4677"/>
      <c r="M85" s="4677"/>
      <c r="N85" s="4677"/>
      <c r="O85" s="4676"/>
      <c r="P85" s="4677"/>
      <c r="Q85" s="4678"/>
      <c r="R85" s="836"/>
    </row>
    <row r="86" spans="1:18" s="118" customFormat="1" ht="74.25" customHeight="1" x14ac:dyDescent="0.35">
      <c r="A86" s="4768"/>
      <c r="B86" s="4769"/>
      <c r="C86" s="4715"/>
      <c r="D86" s="5605" t="s">
        <v>1405</v>
      </c>
      <c r="E86" s="5606"/>
      <c r="F86" s="5606"/>
      <c r="G86" s="5607"/>
      <c r="H86" s="4682"/>
      <c r="I86" s="4677"/>
      <c r="J86" s="4677"/>
      <c r="K86" s="4677"/>
      <c r="L86" s="4677"/>
      <c r="M86" s="4677"/>
      <c r="N86" s="4677"/>
      <c r="O86" s="4676"/>
      <c r="P86" s="4677"/>
      <c r="Q86" s="4678"/>
      <c r="R86" s="836"/>
    </row>
    <row r="87" spans="1:18" s="118" customFormat="1" ht="73.5" customHeight="1" x14ac:dyDescent="0.35">
      <c r="A87" s="4768"/>
      <c r="B87" s="4769"/>
      <c r="C87" s="4715"/>
      <c r="D87" s="5595" t="s">
        <v>1407</v>
      </c>
      <c r="E87" s="5596"/>
      <c r="F87" s="5596"/>
      <c r="G87" s="5597"/>
      <c r="H87" s="4682"/>
      <c r="I87" s="4677"/>
      <c r="J87" s="4677"/>
      <c r="K87" s="4677"/>
      <c r="L87" s="4677"/>
      <c r="M87" s="4677"/>
      <c r="N87" s="4677"/>
      <c r="O87" s="4676"/>
      <c r="P87" s="4677"/>
      <c r="Q87" s="4678"/>
      <c r="R87" s="836"/>
    </row>
    <row r="88" spans="1:18" s="118" customFormat="1" ht="55.5" customHeight="1" x14ac:dyDescent="0.35">
      <c r="A88" s="4768"/>
      <c r="B88" s="4769"/>
      <c r="C88" s="4715"/>
      <c r="D88" s="5595" t="s">
        <v>1408</v>
      </c>
      <c r="E88" s="5596"/>
      <c r="F88" s="5596"/>
      <c r="G88" s="5597"/>
      <c r="H88" s="4682"/>
      <c r="I88" s="4677"/>
      <c r="J88" s="4677"/>
      <c r="K88" s="4677"/>
      <c r="L88" s="4677"/>
      <c r="M88" s="4677"/>
      <c r="N88" s="4677"/>
      <c r="O88" s="4676"/>
      <c r="P88" s="4677"/>
      <c r="Q88" s="4678"/>
      <c r="R88" s="836"/>
    </row>
    <row r="89" spans="1:18" s="118" customFormat="1" ht="46.5" customHeight="1" x14ac:dyDescent="0.35">
      <c r="A89" s="4768"/>
      <c r="B89" s="4769"/>
      <c r="C89" s="4715"/>
      <c r="D89" s="5595" t="s">
        <v>1409</v>
      </c>
      <c r="E89" s="5596"/>
      <c r="F89" s="5596"/>
      <c r="G89" s="5597"/>
      <c r="H89" s="4682"/>
      <c r="I89" s="4677"/>
      <c r="J89" s="4677"/>
      <c r="K89" s="4677"/>
      <c r="L89" s="4677"/>
      <c r="M89" s="4677"/>
      <c r="N89" s="4677"/>
      <c r="O89" s="4676"/>
      <c r="P89" s="4677"/>
      <c r="Q89" s="4678"/>
      <c r="R89" s="836"/>
    </row>
    <row r="90" spans="1:18" s="118" customFormat="1" ht="53.25" customHeight="1" x14ac:dyDescent="0.35">
      <c r="A90" s="4768"/>
      <c r="B90" s="4769"/>
      <c r="C90" s="4715"/>
      <c r="D90" s="5595" t="s">
        <v>1410</v>
      </c>
      <c r="E90" s="5596"/>
      <c r="F90" s="5596"/>
      <c r="G90" s="5597"/>
      <c r="H90" s="4682"/>
      <c r="I90" s="4677"/>
      <c r="J90" s="4677"/>
      <c r="K90" s="4677"/>
      <c r="L90" s="4677"/>
      <c r="M90" s="4677"/>
      <c r="N90" s="4677"/>
      <c r="O90" s="4676"/>
      <c r="P90" s="4677"/>
      <c r="Q90" s="4678"/>
      <c r="R90" s="836"/>
    </row>
    <row r="91" spans="1:18" s="118" customFormat="1" ht="31.5" customHeight="1" thickBot="1" x14ac:dyDescent="0.4">
      <c r="A91" s="4770"/>
      <c r="B91" s="4771"/>
      <c r="C91" s="4727"/>
      <c r="D91" s="5598" t="s">
        <v>1411</v>
      </c>
      <c r="E91" s="5599"/>
      <c r="F91" s="5599"/>
      <c r="G91" s="5600"/>
      <c r="H91" s="5601"/>
      <c r="I91" s="4680"/>
      <c r="J91" s="4680"/>
      <c r="K91" s="4680"/>
      <c r="L91" s="4680"/>
      <c r="M91" s="4680"/>
      <c r="N91" s="4681"/>
      <c r="O91" s="4676"/>
      <c r="P91" s="4677"/>
      <c r="Q91" s="4678"/>
      <c r="R91" s="836"/>
    </row>
    <row r="92" spans="1:18" s="118" customFormat="1" ht="8.25" customHeight="1" thickTop="1" thickBot="1" x14ac:dyDescent="0.4">
      <c r="A92" s="1385"/>
      <c r="B92" s="1386"/>
      <c r="C92" s="1387"/>
      <c r="D92" s="1388"/>
      <c r="E92" s="1389"/>
      <c r="F92" s="1389"/>
      <c r="G92" s="1389"/>
      <c r="H92" s="1389"/>
      <c r="I92" s="1389"/>
      <c r="J92" s="1389"/>
      <c r="K92" s="1389"/>
      <c r="L92" s="1389"/>
      <c r="M92" s="1389"/>
      <c r="N92" s="1389"/>
      <c r="O92" s="1389"/>
      <c r="P92" s="1389"/>
      <c r="Q92" s="1390"/>
      <c r="R92" s="836"/>
    </row>
    <row r="93" spans="1:18" s="118" customFormat="1" ht="58.5" customHeight="1" thickTop="1" thickBot="1" x14ac:dyDescent="0.4">
      <c r="A93" s="4766" t="str">
        <f>'06-TYPOPARTNER-OFR2'!A22:D22</f>
        <v>Web Agencies</v>
      </c>
      <c r="B93" s="4767"/>
      <c r="C93" s="4721" t="e">
        <v>#REF!</v>
      </c>
      <c r="D93" s="5602" t="s">
        <v>1406</v>
      </c>
      <c r="E93" s="5603"/>
      <c r="F93" s="5603"/>
      <c r="G93" s="5604"/>
      <c r="H93" s="4682"/>
      <c r="I93" s="4677"/>
      <c r="J93" s="4677"/>
      <c r="K93" s="4677"/>
      <c r="L93" s="4677"/>
      <c r="M93" s="4677"/>
      <c r="N93" s="4677"/>
      <c r="O93" s="4676"/>
      <c r="P93" s="4677"/>
      <c r="Q93" s="4678"/>
      <c r="R93" s="836"/>
    </row>
    <row r="94" spans="1:18" s="118" customFormat="1" ht="74.25" customHeight="1" x14ac:dyDescent="0.35">
      <c r="A94" s="4768"/>
      <c r="B94" s="4769"/>
      <c r="C94" s="4715"/>
      <c r="D94" s="5605" t="s">
        <v>1405</v>
      </c>
      <c r="E94" s="5606"/>
      <c r="F94" s="5606"/>
      <c r="G94" s="5607"/>
      <c r="H94" s="4682"/>
      <c r="I94" s="4677"/>
      <c r="J94" s="4677"/>
      <c r="K94" s="4677"/>
      <c r="L94" s="4677"/>
      <c r="M94" s="4677"/>
      <c r="N94" s="4677"/>
      <c r="O94" s="4676"/>
      <c r="P94" s="4677"/>
      <c r="Q94" s="4678"/>
      <c r="R94" s="836"/>
    </row>
    <row r="95" spans="1:18" s="118" customFormat="1" ht="73.5" customHeight="1" x14ac:dyDescent="0.35">
      <c r="A95" s="4768"/>
      <c r="B95" s="4769"/>
      <c r="C95" s="4715"/>
      <c r="D95" s="5595" t="s">
        <v>1407</v>
      </c>
      <c r="E95" s="5596"/>
      <c r="F95" s="5596"/>
      <c r="G95" s="5597"/>
      <c r="H95" s="4682"/>
      <c r="I95" s="4677"/>
      <c r="J95" s="4677"/>
      <c r="K95" s="4677"/>
      <c r="L95" s="4677"/>
      <c r="M95" s="4677"/>
      <c r="N95" s="4677"/>
      <c r="O95" s="4676"/>
      <c r="P95" s="4677"/>
      <c r="Q95" s="4678"/>
      <c r="R95" s="836"/>
    </row>
    <row r="96" spans="1:18" s="118" customFormat="1" ht="55.5" customHeight="1" x14ac:dyDescent="0.35">
      <c r="A96" s="4768"/>
      <c r="B96" s="4769"/>
      <c r="C96" s="4715"/>
      <c r="D96" s="5595" t="s">
        <v>1408</v>
      </c>
      <c r="E96" s="5596"/>
      <c r="F96" s="5596"/>
      <c r="G96" s="5597"/>
      <c r="H96" s="4682"/>
      <c r="I96" s="4677"/>
      <c r="J96" s="4677"/>
      <c r="K96" s="4677"/>
      <c r="L96" s="4677"/>
      <c r="M96" s="4677"/>
      <c r="N96" s="4677"/>
      <c r="O96" s="4676"/>
      <c r="P96" s="4677"/>
      <c r="Q96" s="4678"/>
      <c r="R96" s="836"/>
    </row>
    <row r="97" spans="1:18" s="118" customFormat="1" ht="46.5" customHeight="1" x14ac:dyDescent="0.35">
      <c r="A97" s="4768"/>
      <c r="B97" s="4769"/>
      <c r="C97" s="4715"/>
      <c r="D97" s="5595" t="s">
        <v>1409</v>
      </c>
      <c r="E97" s="5596"/>
      <c r="F97" s="5596"/>
      <c r="G97" s="5597"/>
      <c r="H97" s="4682"/>
      <c r="I97" s="4677"/>
      <c r="J97" s="4677"/>
      <c r="K97" s="4677"/>
      <c r="L97" s="4677"/>
      <c r="M97" s="4677"/>
      <c r="N97" s="4677"/>
      <c r="O97" s="4676"/>
      <c r="P97" s="4677"/>
      <c r="Q97" s="4678"/>
      <c r="R97" s="836"/>
    </row>
    <row r="98" spans="1:18" s="118" customFormat="1" ht="53.25" customHeight="1" x14ac:dyDescent="0.35">
      <c r="A98" s="4768"/>
      <c r="B98" s="4769"/>
      <c r="C98" s="4715"/>
      <c r="D98" s="5595" t="s">
        <v>1410</v>
      </c>
      <c r="E98" s="5596"/>
      <c r="F98" s="5596"/>
      <c r="G98" s="5597"/>
      <c r="H98" s="4682"/>
      <c r="I98" s="4677"/>
      <c r="J98" s="4677"/>
      <c r="K98" s="4677"/>
      <c r="L98" s="4677"/>
      <c r="M98" s="4677"/>
      <c r="N98" s="4677"/>
      <c r="O98" s="4676"/>
      <c r="P98" s="4677"/>
      <c r="Q98" s="4678"/>
      <c r="R98" s="836"/>
    </row>
    <row r="99" spans="1:18" s="118" customFormat="1" ht="31.5" customHeight="1" thickBot="1" x14ac:dyDescent="0.4">
      <c r="A99" s="4770"/>
      <c r="B99" s="4771"/>
      <c r="C99" s="4727"/>
      <c r="D99" s="5598" t="s">
        <v>1411</v>
      </c>
      <c r="E99" s="5599"/>
      <c r="F99" s="5599"/>
      <c r="G99" s="5600"/>
      <c r="H99" s="5601"/>
      <c r="I99" s="4680"/>
      <c r="J99" s="4680"/>
      <c r="K99" s="4680"/>
      <c r="L99" s="4680"/>
      <c r="M99" s="4680"/>
      <c r="N99" s="4681"/>
      <c r="O99" s="4676"/>
      <c r="P99" s="4677"/>
      <c r="Q99" s="4678"/>
      <c r="R99" s="836"/>
    </row>
    <row r="100" spans="1:18" s="118" customFormat="1" ht="8.25" customHeight="1" thickTop="1" thickBot="1" x14ac:dyDescent="0.4">
      <c r="A100" s="1385"/>
      <c r="B100" s="1386"/>
      <c r="C100" s="1387"/>
      <c r="D100" s="1388"/>
      <c r="E100" s="1389"/>
      <c r="F100" s="1389"/>
      <c r="G100" s="1389"/>
      <c r="H100" s="1389"/>
      <c r="I100" s="1389"/>
      <c r="J100" s="1389"/>
      <c r="K100" s="1389"/>
      <c r="L100" s="1389"/>
      <c r="M100" s="1389"/>
      <c r="N100" s="1389"/>
      <c r="O100" s="1389"/>
      <c r="P100" s="1389"/>
      <c r="Q100" s="1390"/>
      <c r="R100" s="836"/>
    </row>
    <row r="101" spans="1:18" s="124" customFormat="1" ht="64.5" customHeight="1" thickTop="1" thickBot="1" x14ac:dyDescent="0.4">
      <c r="A101" s="4778" t="str">
        <f>'06-TYPOPARTNER-OFR2'!A23:D23</f>
        <v xml:space="preserve">Constructeurs </v>
      </c>
      <c r="B101" s="4779"/>
      <c r="C101" s="4714" t="e">
        <v>#REF!</v>
      </c>
      <c r="D101" s="5602" t="s">
        <v>1406</v>
      </c>
      <c r="E101" s="5603"/>
      <c r="F101" s="5603"/>
      <c r="G101" s="5604"/>
      <c r="H101" s="4682"/>
      <c r="I101" s="4677"/>
      <c r="J101" s="4677"/>
      <c r="K101" s="4677"/>
      <c r="L101" s="4677"/>
      <c r="M101" s="4677"/>
      <c r="N101" s="4677"/>
      <c r="O101" s="4676"/>
      <c r="P101" s="4677"/>
      <c r="Q101" s="4678"/>
      <c r="R101" s="858"/>
    </row>
    <row r="102" spans="1:18" s="189" customFormat="1" ht="77.25" customHeight="1" x14ac:dyDescent="0.35">
      <c r="A102" s="4768"/>
      <c r="B102" s="4769"/>
      <c r="C102" s="4715"/>
      <c r="D102" s="5605" t="s">
        <v>1405</v>
      </c>
      <c r="E102" s="5606"/>
      <c r="F102" s="5606"/>
      <c r="G102" s="5607"/>
      <c r="H102" s="4682"/>
      <c r="I102" s="4677"/>
      <c r="J102" s="4677"/>
      <c r="K102" s="4677"/>
      <c r="L102" s="4677"/>
      <c r="M102" s="4677"/>
      <c r="N102" s="4677"/>
      <c r="O102" s="4676"/>
      <c r="P102" s="4677"/>
      <c r="Q102" s="4678"/>
      <c r="R102" s="869"/>
    </row>
    <row r="103" spans="1:18" s="189" customFormat="1" ht="75.75" customHeight="1" x14ac:dyDescent="0.35">
      <c r="A103" s="4768"/>
      <c r="B103" s="4769"/>
      <c r="C103" s="4715"/>
      <c r="D103" s="5595" t="s">
        <v>1407</v>
      </c>
      <c r="E103" s="5596"/>
      <c r="F103" s="5596"/>
      <c r="G103" s="5597"/>
      <c r="H103" s="4682"/>
      <c r="I103" s="4677"/>
      <c r="J103" s="4677"/>
      <c r="K103" s="4677"/>
      <c r="L103" s="4677"/>
      <c r="M103" s="4677"/>
      <c r="N103" s="4677"/>
      <c r="O103" s="4676"/>
      <c r="P103" s="4677"/>
      <c r="Q103" s="4678"/>
      <c r="R103" s="869"/>
    </row>
    <row r="104" spans="1:18" s="124" customFormat="1" ht="62.25" customHeight="1" x14ac:dyDescent="0.35">
      <c r="A104" s="4768"/>
      <c r="B104" s="4769"/>
      <c r="C104" s="4715"/>
      <c r="D104" s="5595" t="s">
        <v>1408</v>
      </c>
      <c r="E104" s="5596"/>
      <c r="F104" s="5596"/>
      <c r="G104" s="5597"/>
      <c r="H104" s="4682"/>
      <c r="I104" s="4677"/>
      <c r="J104" s="4677"/>
      <c r="K104" s="4677"/>
      <c r="L104" s="4677"/>
      <c r="M104" s="4677"/>
      <c r="N104" s="4677"/>
      <c r="O104" s="4676"/>
      <c r="P104" s="4677"/>
      <c r="Q104" s="4678"/>
      <c r="R104" s="858"/>
    </row>
    <row r="105" spans="1:18" s="118" customFormat="1" ht="45" customHeight="1" x14ac:dyDescent="0.35">
      <c r="A105" s="4768"/>
      <c r="B105" s="4769"/>
      <c r="C105" s="4715"/>
      <c r="D105" s="5595" t="s">
        <v>1409</v>
      </c>
      <c r="E105" s="5596"/>
      <c r="F105" s="5596"/>
      <c r="G105" s="5597"/>
      <c r="H105" s="4682"/>
      <c r="I105" s="4677"/>
      <c r="J105" s="4677"/>
      <c r="K105" s="4677"/>
      <c r="L105" s="4677"/>
      <c r="M105" s="4677"/>
      <c r="N105" s="4677"/>
      <c r="O105" s="4676"/>
      <c r="P105" s="4677"/>
      <c r="Q105" s="4678"/>
      <c r="R105" s="836"/>
    </row>
    <row r="106" spans="1:18" s="118" customFormat="1" ht="60" customHeight="1" x14ac:dyDescent="0.35">
      <c r="A106" s="4768"/>
      <c r="B106" s="4769"/>
      <c r="C106" s="4715"/>
      <c r="D106" s="5595" t="s">
        <v>1410</v>
      </c>
      <c r="E106" s="5596"/>
      <c r="F106" s="5596"/>
      <c r="G106" s="5597"/>
      <c r="H106" s="4682"/>
      <c r="I106" s="4677"/>
      <c r="J106" s="4677"/>
      <c r="K106" s="4677"/>
      <c r="L106" s="4677"/>
      <c r="M106" s="4677"/>
      <c r="N106" s="4677"/>
      <c r="O106" s="4676"/>
      <c r="P106" s="4677"/>
      <c r="Q106" s="4678"/>
      <c r="R106" s="836"/>
    </row>
    <row r="107" spans="1:18" s="124" customFormat="1" ht="47.25" customHeight="1" thickBot="1" x14ac:dyDescent="0.4">
      <c r="A107" s="4780"/>
      <c r="B107" s="4781"/>
      <c r="C107" s="4716"/>
      <c r="D107" s="5598" t="s">
        <v>1411</v>
      </c>
      <c r="E107" s="5599"/>
      <c r="F107" s="5599"/>
      <c r="G107" s="5600"/>
      <c r="H107" s="5601"/>
      <c r="I107" s="4680"/>
      <c r="J107" s="4680"/>
      <c r="K107" s="4680"/>
      <c r="L107" s="4680"/>
      <c r="M107" s="4680"/>
      <c r="N107" s="4681"/>
      <c r="O107" s="4676"/>
      <c r="P107" s="4677"/>
      <c r="Q107" s="4678"/>
      <c r="R107" s="858"/>
    </row>
    <row r="108" spans="1:18" s="118" customFormat="1" ht="8.25" customHeight="1" thickTop="1" thickBot="1" x14ac:dyDescent="0.4">
      <c r="A108" s="1385"/>
      <c r="B108" s="1386"/>
      <c r="C108" s="1387"/>
      <c r="D108" s="1388"/>
      <c r="E108" s="1389"/>
      <c r="F108" s="1389"/>
      <c r="G108" s="1389"/>
      <c r="H108" s="1389"/>
      <c r="I108" s="1389"/>
      <c r="J108" s="1389"/>
      <c r="K108" s="1389"/>
      <c r="L108" s="1389"/>
      <c r="M108" s="1389"/>
      <c r="N108" s="1389"/>
      <c r="O108" s="1389"/>
      <c r="P108" s="1389"/>
      <c r="Q108" s="1390"/>
      <c r="R108" s="836"/>
    </row>
    <row r="109" spans="1:18" ht="15.5" thickTop="1" thickBot="1" x14ac:dyDescent="0.4">
      <c r="A109" s="65"/>
      <c r="B109" s="65"/>
      <c r="C109" s="65"/>
      <c r="D109" s="65"/>
      <c r="E109" s="65"/>
      <c r="F109" s="65"/>
      <c r="G109" s="65"/>
      <c r="H109" s="65"/>
      <c r="I109" s="65"/>
      <c r="J109" s="65"/>
      <c r="K109" s="65"/>
      <c r="L109" s="65"/>
      <c r="M109" s="65"/>
      <c r="N109" s="65"/>
      <c r="O109" s="65"/>
      <c r="P109" s="65"/>
      <c r="Q109" s="65"/>
    </row>
    <row r="110" spans="1:18" s="65" customFormat="1" ht="19.5" thickTop="1" thickBot="1" x14ac:dyDescent="0.4">
      <c r="A110" s="2273" t="s">
        <v>10</v>
      </c>
      <c r="B110" s="2276"/>
      <c r="C110" s="2276"/>
      <c r="D110" s="2274"/>
      <c r="E110" s="2274"/>
      <c r="F110" s="2274"/>
      <c r="G110" s="2274"/>
      <c r="H110" s="2274"/>
      <c r="I110" s="2274"/>
      <c r="J110" s="2274"/>
      <c r="K110" s="2275"/>
      <c r="L110" s="1394"/>
      <c r="M110" s="4698" t="s">
        <v>748</v>
      </c>
      <c r="N110" s="4699"/>
      <c r="O110" s="4700"/>
      <c r="P110" s="1395"/>
      <c r="Q110" s="1395"/>
      <c r="R110" s="398"/>
    </row>
    <row r="111" spans="1:18" s="65" customFormat="1" ht="20.25" customHeight="1" x14ac:dyDescent="0.35">
      <c r="A111" s="4663"/>
      <c r="B111" s="4664"/>
      <c r="C111" s="4664"/>
      <c r="D111" s="4664"/>
      <c r="E111" s="4664"/>
      <c r="F111" s="4664"/>
      <c r="G111" s="4664"/>
      <c r="H111" s="4664"/>
      <c r="I111" s="4664"/>
      <c r="J111" s="4664"/>
      <c r="K111" s="4665"/>
      <c r="L111" s="1394"/>
      <c r="M111" s="3750" t="s">
        <v>1413</v>
      </c>
      <c r="N111" s="3751"/>
      <c r="O111" s="3752"/>
      <c r="P111" s="1395"/>
      <c r="Q111" s="1395"/>
      <c r="R111" s="398"/>
    </row>
    <row r="112" spans="1:18" s="65" customFormat="1" ht="20.25" customHeight="1" x14ac:dyDescent="0.35">
      <c r="A112" s="4666"/>
      <c r="B112" s="3879"/>
      <c r="C112" s="3879"/>
      <c r="D112" s="3879"/>
      <c r="E112" s="3879"/>
      <c r="F112" s="3879"/>
      <c r="G112" s="3879"/>
      <c r="H112" s="3879"/>
      <c r="I112" s="3879"/>
      <c r="J112" s="3879"/>
      <c r="K112" s="4667"/>
      <c r="L112" s="1394"/>
      <c r="M112" s="3753"/>
      <c r="N112" s="3754"/>
      <c r="O112" s="3755"/>
      <c r="P112" s="1395"/>
      <c r="Q112" s="1395"/>
      <c r="R112" s="398"/>
    </row>
    <row r="113" spans="1:18" s="65" customFormat="1" ht="20.25" customHeight="1" x14ac:dyDescent="0.35">
      <c r="A113" s="4666"/>
      <c r="B113" s="3879"/>
      <c r="C113" s="3879"/>
      <c r="D113" s="3879"/>
      <c r="E113" s="3879"/>
      <c r="F113" s="3879"/>
      <c r="G113" s="3879"/>
      <c r="H113" s="3879"/>
      <c r="I113" s="3879"/>
      <c r="J113" s="3879"/>
      <c r="K113" s="4667"/>
      <c r="L113" s="1394"/>
      <c r="M113" s="3753"/>
      <c r="N113" s="3754"/>
      <c r="O113" s="3755"/>
      <c r="P113" s="1395"/>
      <c r="Q113" s="1395"/>
      <c r="R113" s="398"/>
    </row>
    <row r="114" spans="1:18" s="65" customFormat="1" ht="20.25" customHeight="1" thickBot="1" x14ac:dyDescent="0.4">
      <c r="A114" s="4668"/>
      <c r="B114" s="4669"/>
      <c r="C114" s="4669"/>
      <c r="D114" s="4669"/>
      <c r="E114" s="4669"/>
      <c r="F114" s="4669"/>
      <c r="G114" s="4669"/>
      <c r="H114" s="4669"/>
      <c r="I114" s="4669"/>
      <c r="J114" s="4669"/>
      <c r="K114" s="4670"/>
      <c r="L114" s="1396"/>
      <c r="M114" s="3756"/>
      <c r="N114" s="3757"/>
      <c r="O114" s="3758"/>
      <c r="P114" s="1397"/>
      <c r="Q114" s="1397"/>
      <c r="R114" s="398"/>
    </row>
    <row r="115" spans="1:18" s="65" customFormat="1" ht="16.5" thickTop="1" thickBot="1" x14ac:dyDescent="0.4">
      <c r="A115" s="398"/>
      <c r="B115" s="398"/>
      <c r="C115" s="398"/>
      <c r="D115" s="860"/>
      <c r="E115" s="860"/>
      <c r="F115" s="860"/>
      <c r="G115" s="860"/>
      <c r="H115" s="860"/>
      <c r="I115" s="860"/>
      <c r="J115" s="860"/>
      <c r="K115" s="860"/>
      <c r="L115" s="860"/>
      <c r="M115" s="860"/>
      <c r="N115" s="860"/>
      <c r="O115" s="871"/>
      <c r="P115" s="871"/>
      <c r="Q115" s="860"/>
      <c r="R115" s="398"/>
    </row>
    <row r="116" spans="1:18" s="65" customFormat="1" ht="19.5" thickTop="1" thickBot="1" x14ac:dyDescent="0.4">
      <c r="A116" s="2273" t="s">
        <v>11</v>
      </c>
      <c r="B116" s="2276"/>
      <c r="C116" s="2276"/>
      <c r="D116" s="2274"/>
      <c r="E116" s="2274"/>
      <c r="F116" s="2274"/>
      <c r="G116" s="2274"/>
      <c r="H116" s="2274"/>
      <c r="I116" s="2274"/>
      <c r="J116" s="2274"/>
      <c r="K116" s="2275"/>
      <c r="L116" s="398"/>
      <c r="M116" s="4698" t="s">
        <v>748</v>
      </c>
      <c r="N116" s="4699"/>
      <c r="O116" s="4700"/>
      <c r="P116" s="398"/>
      <c r="Q116" s="398"/>
      <c r="R116" s="398"/>
    </row>
    <row r="117" spans="1:18" s="65" customFormat="1" ht="20.25" customHeight="1" x14ac:dyDescent="0.35">
      <c r="A117" s="4663" t="s">
        <v>1412</v>
      </c>
      <c r="B117" s="4664"/>
      <c r="C117" s="4664"/>
      <c r="D117" s="4664"/>
      <c r="E117" s="4664"/>
      <c r="F117" s="4664"/>
      <c r="G117" s="4664"/>
      <c r="H117" s="4664"/>
      <c r="I117" s="4664"/>
      <c r="J117" s="4664"/>
      <c r="K117" s="4665"/>
      <c r="L117" s="190"/>
      <c r="M117" s="3750" t="s">
        <v>1414</v>
      </c>
      <c r="N117" s="3751"/>
      <c r="O117" s="3752"/>
      <c r="P117" s="190"/>
      <c r="Q117" s="190"/>
      <c r="R117" s="398"/>
    </row>
    <row r="118" spans="1:18" s="65" customFormat="1" ht="20.25" customHeight="1" x14ac:dyDescent="0.35">
      <c r="A118" s="4666"/>
      <c r="B118" s="3879"/>
      <c r="C118" s="3879"/>
      <c r="D118" s="3879"/>
      <c r="E118" s="3879"/>
      <c r="F118" s="3879"/>
      <c r="G118" s="3879"/>
      <c r="H118" s="3879"/>
      <c r="I118" s="3879"/>
      <c r="J118" s="3879"/>
      <c r="K118" s="4667"/>
      <c r="L118" s="191"/>
      <c r="M118" s="3753"/>
      <c r="N118" s="3754"/>
      <c r="O118" s="3755"/>
      <c r="P118" s="191"/>
      <c r="Q118" s="191"/>
      <c r="R118" s="398"/>
    </row>
    <row r="119" spans="1:18" s="65" customFormat="1" ht="20.25" customHeight="1" x14ac:dyDescent="0.35">
      <c r="A119" s="4666"/>
      <c r="B119" s="3879"/>
      <c r="C119" s="3879"/>
      <c r="D119" s="3879"/>
      <c r="E119" s="3879"/>
      <c r="F119" s="3879"/>
      <c r="G119" s="3879"/>
      <c r="H119" s="3879"/>
      <c r="I119" s="3879"/>
      <c r="J119" s="3879"/>
      <c r="K119" s="4667"/>
      <c r="L119" s="191"/>
      <c r="M119" s="3753"/>
      <c r="N119" s="3754"/>
      <c r="O119" s="3755"/>
      <c r="P119" s="191"/>
      <c r="Q119" s="191"/>
      <c r="R119" s="398"/>
    </row>
    <row r="120" spans="1:18" s="65" customFormat="1" ht="20.25" customHeight="1" thickBot="1" x14ac:dyDescent="0.4">
      <c r="A120" s="4668"/>
      <c r="B120" s="4669"/>
      <c r="C120" s="4669"/>
      <c r="D120" s="4669"/>
      <c r="E120" s="4669"/>
      <c r="F120" s="4669"/>
      <c r="G120" s="4669"/>
      <c r="H120" s="4669"/>
      <c r="I120" s="4669"/>
      <c r="J120" s="4669"/>
      <c r="K120" s="4670"/>
      <c r="L120" s="191"/>
      <c r="M120" s="3756"/>
      <c r="N120" s="3757"/>
      <c r="O120" s="3758"/>
      <c r="P120" s="191"/>
      <c r="Q120" s="191"/>
      <c r="R120" s="398"/>
    </row>
    <row r="121" spans="1:18" s="65" customFormat="1" ht="15" thickTop="1" x14ac:dyDescent="0.35">
      <c r="A121" s="398"/>
      <c r="B121" s="398"/>
      <c r="C121" s="398"/>
      <c r="L121" s="191"/>
      <c r="M121" s="190"/>
      <c r="N121" s="190"/>
      <c r="O121" s="190"/>
      <c r="P121" s="191"/>
      <c r="Q121" s="191"/>
      <c r="R121" s="398"/>
    </row>
  </sheetData>
  <mergeCells count="306">
    <mergeCell ref="D3:G3"/>
    <mergeCell ref="O20:Q20"/>
    <mergeCell ref="D1:G1"/>
    <mergeCell ref="I1:J1"/>
    <mergeCell ref="L1:M1"/>
    <mergeCell ref="D2:G2"/>
    <mergeCell ref="I2:J2"/>
    <mergeCell ref="L2:M2"/>
    <mergeCell ref="A20:B20"/>
    <mergeCell ref="D20:G20"/>
    <mergeCell ref="H20:N20"/>
    <mergeCell ref="A11:B11"/>
    <mergeCell ref="D11:G11"/>
    <mergeCell ref="H11:N11"/>
    <mergeCell ref="O11:Q11"/>
    <mergeCell ref="A7:H7"/>
    <mergeCell ref="I7:Q7"/>
    <mergeCell ref="A8:Q8"/>
    <mergeCell ref="A4:G4"/>
    <mergeCell ref="H4:Q4"/>
    <mergeCell ref="A5:B5"/>
    <mergeCell ref="C5:Q5"/>
    <mergeCell ref="A6:B6"/>
    <mergeCell ref="D6:Q6"/>
    <mergeCell ref="O16:Q16"/>
    <mergeCell ref="D17:G17"/>
    <mergeCell ref="H17:N17"/>
    <mergeCell ref="O17:Q17"/>
    <mergeCell ref="D18:G18"/>
    <mergeCell ref="H18:N18"/>
    <mergeCell ref="O18:Q18"/>
    <mergeCell ref="A12:B18"/>
    <mergeCell ref="C12:C18"/>
    <mergeCell ref="D12:G12"/>
    <mergeCell ref="H12:N12"/>
    <mergeCell ref="O12:Q12"/>
    <mergeCell ref="D13:G13"/>
    <mergeCell ref="H13:N13"/>
    <mergeCell ref="O13:Q13"/>
    <mergeCell ref="D14:G14"/>
    <mergeCell ref="H14:N14"/>
    <mergeCell ref="O14:Q14"/>
    <mergeCell ref="D15:G15"/>
    <mergeCell ref="H15:N15"/>
    <mergeCell ref="O15:Q15"/>
    <mergeCell ref="D16:G16"/>
    <mergeCell ref="H16:N16"/>
    <mergeCell ref="O25:Q25"/>
    <mergeCell ref="D26:G26"/>
    <mergeCell ref="H26:N26"/>
    <mergeCell ref="O26:Q26"/>
    <mergeCell ref="D27:G27"/>
    <mergeCell ref="H27:N27"/>
    <mergeCell ref="O27:Q27"/>
    <mergeCell ref="A21:B27"/>
    <mergeCell ref="C21:C27"/>
    <mergeCell ref="D21:G21"/>
    <mergeCell ref="H21:N21"/>
    <mergeCell ref="O21:Q21"/>
    <mergeCell ref="D22:G22"/>
    <mergeCell ref="H22:N22"/>
    <mergeCell ref="O22:Q22"/>
    <mergeCell ref="D23:G23"/>
    <mergeCell ref="H23:N23"/>
    <mergeCell ref="O23:Q23"/>
    <mergeCell ref="D24:G24"/>
    <mergeCell ref="H24:N24"/>
    <mergeCell ref="O24:Q24"/>
    <mergeCell ref="D25:G25"/>
    <mergeCell ref="H25:N25"/>
    <mergeCell ref="O33:Q33"/>
    <mergeCell ref="D34:G34"/>
    <mergeCell ref="H34:N34"/>
    <mergeCell ref="O34:Q34"/>
    <mergeCell ref="D35:G35"/>
    <mergeCell ref="H35:N35"/>
    <mergeCell ref="O35:Q35"/>
    <mergeCell ref="A29:B35"/>
    <mergeCell ref="C29:C35"/>
    <mergeCell ref="D29:G29"/>
    <mergeCell ref="H29:N29"/>
    <mergeCell ref="O29:Q29"/>
    <mergeCell ref="D30:G30"/>
    <mergeCell ref="H30:N30"/>
    <mergeCell ref="O30:Q30"/>
    <mergeCell ref="D31:G31"/>
    <mergeCell ref="H31:N31"/>
    <mergeCell ref="O31:Q31"/>
    <mergeCell ref="D32:G32"/>
    <mergeCell ref="H32:N32"/>
    <mergeCell ref="O32:Q32"/>
    <mergeCell ref="D33:G33"/>
    <mergeCell ref="H33:N33"/>
    <mergeCell ref="O41:Q41"/>
    <mergeCell ref="D42:G42"/>
    <mergeCell ref="H42:N42"/>
    <mergeCell ref="O42:Q42"/>
    <mergeCell ref="D43:G43"/>
    <mergeCell ref="H43:N43"/>
    <mergeCell ref="O43:Q43"/>
    <mergeCell ref="A37:B43"/>
    <mergeCell ref="C37:C43"/>
    <mergeCell ref="D37:G37"/>
    <mergeCell ref="H37:N37"/>
    <mergeCell ref="O37:Q37"/>
    <mergeCell ref="D38:G38"/>
    <mergeCell ref="H38:N38"/>
    <mergeCell ref="O38:Q38"/>
    <mergeCell ref="D39:G39"/>
    <mergeCell ref="H39:N39"/>
    <mergeCell ref="O39:Q39"/>
    <mergeCell ref="D40:G40"/>
    <mergeCell ref="H40:N40"/>
    <mergeCell ref="O40:Q40"/>
    <mergeCell ref="D41:G41"/>
    <mergeCell ref="H41:N41"/>
    <mergeCell ref="O49:Q49"/>
    <mergeCell ref="D50:G50"/>
    <mergeCell ref="H50:N50"/>
    <mergeCell ref="O50:Q50"/>
    <mergeCell ref="D51:G51"/>
    <mergeCell ref="H51:N51"/>
    <mergeCell ref="O51:Q51"/>
    <mergeCell ref="A45:B51"/>
    <mergeCell ref="C45:C51"/>
    <mergeCell ref="D45:G45"/>
    <mergeCell ref="H45:N45"/>
    <mergeCell ref="O45:Q45"/>
    <mergeCell ref="D46:G46"/>
    <mergeCell ref="H46:N46"/>
    <mergeCell ref="O46:Q46"/>
    <mergeCell ref="D47:G47"/>
    <mergeCell ref="H47:N47"/>
    <mergeCell ref="O47:Q47"/>
    <mergeCell ref="D48:G48"/>
    <mergeCell ref="H48:N48"/>
    <mergeCell ref="O48:Q48"/>
    <mergeCell ref="D49:G49"/>
    <mergeCell ref="H49:N49"/>
    <mergeCell ref="O57:Q57"/>
    <mergeCell ref="D58:G58"/>
    <mergeCell ref="H58:N58"/>
    <mergeCell ref="O58:Q58"/>
    <mergeCell ref="D59:G59"/>
    <mergeCell ref="H59:N59"/>
    <mergeCell ref="O59:Q59"/>
    <mergeCell ref="A53:B59"/>
    <mergeCell ref="C53:C59"/>
    <mergeCell ref="D53:G53"/>
    <mergeCell ref="H53:N53"/>
    <mergeCell ref="O53:Q53"/>
    <mergeCell ref="D54:G54"/>
    <mergeCell ref="H54:N54"/>
    <mergeCell ref="O54:Q54"/>
    <mergeCell ref="D55:G55"/>
    <mergeCell ref="H55:N55"/>
    <mergeCell ref="O55:Q55"/>
    <mergeCell ref="D56:G56"/>
    <mergeCell ref="H56:N56"/>
    <mergeCell ref="O56:Q56"/>
    <mergeCell ref="D57:G57"/>
    <mergeCell ref="H57:N57"/>
    <mergeCell ref="O65:Q65"/>
    <mergeCell ref="D66:G66"/>
    <mergeCell ref="H66:N66"/>
    <mergeCell ref="O66:Q66"/>
    <mergeCell ref="D67:G67"/>
    <mergeCell ref="H67:N67"/>
    <mergeCell ref="O67:Q67"/>
    <mergeCell ref="A61:B67"/>
    <mergeCell ref="C61:C67"/>
    <mergeCell ref="D61:G61"/>
    <mergeCell ref="H61:N61"/>
    <mergeCell ref="O61:Q61"/>
    <mergeCell ref="D62:G62"/>
    <mergeCell ref="H62:N62"/>
    <mergeCell ref="O62:Q62"/>
    <mergeCell ref="D63:G63"/>
    <mergeCell ref="H63:N63"/>
    <mergeCell ref="O63:Q63"/>
    <mergeCell ref="D64:G64"/>
    <mergeCell ref="H64:N64"/>
    <mergeCell ref="O64:Q64"/>
    <mergeCell ref="D65:G65"/>
    <mergeCell ref="H65:N65"/>
    <mergeCell ref="O73:Q73"/>
    <mergeCell ref="D74:G74"/>
    <mergeCell ref="H74:N74"/>
    <mergeCell ref="O74:Q74"/>
    <mergeCell ref="D75:G75"/>
    <mergeCell ref="H75:N75"/>
    <mergeCell ref="O75:Q75"/>
    <mergeCell ref="A69:B75"/>
    <mergeCell ref="C69:C75"/>
    <mergeCell ref="D69:G69"/>
    <mergeCell ref="H69:N69"/>
    <mergeCell ref="O69:Q69"/>
    <mergeCell ref="D70:G70"/>
    <mergeCell ref="H70:N70"/>
    <mergeCell ref="O70:Q70"/>
    <mergeCell ref="D71:G71"/>
    <mergeCell ref="H71:N71"/>
    <mergeCell ref="O71:Q71"/>
    <mergeCell ref="D72:G72"/>
    <mergeCell ref="H72:N72"/>
    <mergeCell ref="O72:Q72"/>
    <mergeCell ref="D73:G73"/>
    <mergeCell ref="H73:N73"/>
    <mergeCell ref="O81:Q81"/>
    <mergeCell ref="D82:G82"/>
    <mergeCell ref="H82:N82"/>
    <mergeCell ref="O82:Q82"/>
    <mergeCell ref="D83:G83"/>
    <mergeCell ref="H83:N83"/>
    <mergeCell ref="O83:Q83"/>
    <mergeCell ref="A77:B83"/>
    <mergeCell ref="C77:C83"/>
    <mergeCell ref="D77:G77"/>
    <mergeCell ref="H77:N77"/>
    <mergeCell ref="O77:Q77"/>
    <mergeCell ref="D78:G78"/>
    <mergeCell ref="H78:N78"/>
    <mergeCell ref="O78:Q78"/>
    <mergeCell ref="D79:G79"/>
    <mergeCell ref="H79:N79"/>
    <mergeCell ref="O79:Q79"/>
    <mergeCell ref="D80:G80"/>
    <mergeCell ref="H80:N80"/>
    <mergeCell ref="O80:Q80"/>
    <mergeCell ref="D81:G81"/>
    <mergeCell ref="H81:N81"/>
    <mergeCell ref="O89:Q89"/>
    <mergeCell ref="D90:G90"/>
    <mergeCell ref="H90:N90"/>
    <mergeCell ref="O90:Q90"/>
    <mergeCell ref="D91:G91"/>
    <mergeCell ref="H91:N91"/>
    <mergeCell ref="O91:Q91"/>
    <mergeCell ref="A85:B91"/>
    <mergeCell ref="C85:C91"/>
    <mergeCell ref="D85:G85"/>
    <mergeCell ref="H85:N85"/>
    <mergeCell ref="O85:Q85"/>
    <mergeCell ref="D86:G86"/>
    <mergeCell ref="H86:N86"/>
    <mergeCell ref="O86:Q86"/>
    <mergeCell ref="D87:G87"/>
    <mergeCell ref="H87:N87"/>
    <mergeCell ref="O87:Q87"/>
    <mergeCell ref="D88:G88"/>
    <mergeCell ref="H88:N88"/>
    <mergeCell ref="O88:Q88"/>
    <mergeCell ref="D89:G89"/>
    <mergeCell ref="H89:N89"/>
    <mergeCell ref="A93:B99"/>
    <mergeCell ref="C93:C99"/>
    <mergeCell ref="D93:G93"/>
    <mergeCell ref="H93:N93"/>
    <mergeCell ref="O93:Q93"/>
    <mergeCell ref="D94:G94"/>
    <mergeCell ref="H94:N94"/>
    <mergeCell ref="O94:Q94"/>
    <mergeCell ref="D95:G95"/>
    <mergeCell ref="H95:N95"/>
    <mergeCell ref="O95:Q95"/>
    <mergeCell ref="D96:G96"/>
    <mergeCell ref="H96:N96"/>
    <mergeCell ref="O96:Q96"/>
    <mergeCell ref="D97:G97"/>
    <mergeCell ref="H97:N97"/>
    <mergeCell ref="D104:G104"/>
    <mergeCell ref="H104:N104"/>
    <mergeCell ref="O104:Q104"/>
    <mergeCell ref="D105:G105"/>
    <mergeCell ref="H105:N105"/>
    <mergeCell ref="O97:Q97"/>
    <mergeCell ref="D98:G98"/>
    <mergeCell ref="H98:N98"/>
    <mergeCell ref="O98:Q98"/>
    <mergeCell ref="D99:G99"/>
    <mergeCell ref="H99:N99"/>
    <mergeCell ref="O99:Q99"/>
    <mergeCell ref="M110:O110"/>
    <mergeCell ref="A111:K114"/>
    <mergeCell ref="M111:O114"/>
    <mergeCell ref="M116:O116"/>
    <mergeCell ref="A117:K120"/>
    <mergeCell ref="M117:O120"/>
    <mergeCell ref="O105:Q105"/>
    <mergeCell ref="D106:G106"/>
    <mergeCell ref="H106:N106"/>
    <mergeCell ref="O106:Q106"/>
    <mergeCell ref="D107:G107"/>
    <mergeCell ref="H107:N107"/>
    <mergeCell ref="O107:Q107"/>
    <mergeCell ref="A101:B107"/>
    <mergeCell ref="C101:C107"/>
    <mergeCell ref="D101:G101"/>
    <mergeCell ref="H101:N101"/>
    <mergeCell ref="O101:Q101"/>
    <mergeCell ref="D102:G102"/>
    <mergeCell ref="H102:N102"/>
    <mergeCell ref="O102:Q102"/>
    <mergeCell ref="D103:G103"/>
    <mergeCell ref="H103:N103"/>
    <mergeCell ref="O103:Q103"/>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C00-000000000000}">
      <formula1>AvancementTheme</formula1>
    </dataValidation>
  </dataValidations>
  <hyperlinks>
    <hyperlink ref="P1" location="DPDV_06PP2" display="PdV" xr:uid="{00000000-0004-0000-3C00-000000000000}"/>
    <hyperlink ref="Q1" location="DKPI_06PP2" display="KPI's" xr:uid="{00000000-0004-0000-3C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66">
    <tabColor theme="2" tint="-0.249977111117893"/>
    <pageSetUpPr fitToPage="1"/>
  </sheetPr>
  <dimension ref="A1:V123"/>
  <sheetViews>
    <sheetView showGridLines="0" showRowColHeaders="0" zoomScaleNormal="100" workbookViewId="0">
      <pane ySplit="7" topLeftCell="A8" activePane="bottomLeft" state="frozen"/>
      <selection activeCell="H7" sqref="H7"/>
      <selection pane="bottomLeft" activeCell="H7" sqref="H7:I7"/>
    </sheetView>
  </sheetViews>
  <sheetFormatPr baseColWidth="10" defaultColWidth="11.453125" defaultRowHeight="14.5" x14ac:dyDescent="0.35"/>
  <cols>
    <col min="1" max="3" width="11.453125" style="60"/>
    <col min="4" max="16" width="10.7265625" style="60" customWidth="1"/>
    <col min="17" max="16384" width="11.453125" style="60"/>
  </cols>
  <sheetData>
    <row r="1" spans="1:22" s="54" customFormat="1" ht="15" customHeight="1" x14ac:dyDescent="0.35">
      <c r="A1" s="390"/>
      <c r="B1" s="390"/>
      <c r="C1" s="390"/>
      <c r="D1" s="3341" t="s">
        <v>5</v>
      </c>
      <c r="E1" s="3341"/>
      <c r="F1" s="3341"/>
      <c r="G1" s="3341"/>
      <c r="H1" s="391"/>
      <c r="I1" s="3341" t="s">
        <v>6</v>
      </c>
      <c r="J1" s="3341"/>
      <c r="K1" s="390"/>
      <c r="L1" s="3341" t="s">
        <v>9</v>
      </c>
      <c r="M1" s="3341"/>
      <c r="N1" s="390"/>
      <c r="O1" s="479" t="s">
        <v>2</v>
      </c>
      <c r="P1" s="479" t="s">
        <v>3</v>
      </c>
      <c r="Q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42420.730798611112</v>
      </c>
      <c r="M2" s="3348"/>
      <c r="N2" s="394"/>
      <c r="O2" s="451">
        <f>IF(LEN(DPDV_08VA2)&gt;0,LEN(DPDV_08VA2),0-PDV_NBmini)</f>
        <v>72</v>
      </c>
      <c r="P2" s="451">
        <f>IF(LEN(DKPI_08VA2)&gt;0,LEN(DKPI_08VA2),0-KPI_NBmini)</f>
        <v>46</v>
      </c>
      <c r="Q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112" t="str">
        <f>Parametre!B30 &amp; "   : "</f>
        <v xml:space="preserve">Proposition de valeur   : </v>
      </c>
      <c r="B4" s="5112"/>
      <c r="C4" s="5112"/>
      <c r="D4" s="5112"/>
      <c r="E4" s="5112"/>
      <c r="F4" s="5112"/>
      <c r="G4" s="5112"/>
      <c r="H4" s="5144" t="str">
        <f>"Attractivité de l'offre pour " &amp; NomProd2</f>
        <v>Attractivité de l'offre pour ASEMA</v>
      </c>
      <c r="I4" s="5144"/>
      <c r="J4" s="5144"/>
      <c r="K4" s="5144"/>
      <c r="L4" s="5144"/>
      <c r="M4" s="5144"/>
      <c r="N4" s="5144"/>
      <c r="O4" s="5144"/>
      <c r="P4" s="5145"/>
      <c r="Q4" s="444"/>
    </row>
    <row r="5" spans="1:22" s="25" customFormat="1" ht="38.25" customHeight="1" thickBot="1" x14ac:dyDescent="0.4">
      <c r="A5" s="3438" t="s">
        <v>14</v>
      </c>
      <c r="B5" s="3438"/>
      <c r="C5" s="3508" t="s">
        <v>618</v>
      </c>
      <c r="D5" s="3508"/>
      <c r="E5" s="3508"/>
      <c r="F5" s="3508"/>
      <c r="G5" s="3508"/>
      <c r="H5" s="3508"/>
      <c r="I5" s="3508"/>
      <c r="J5" s="3508"/>
      <c r="K5" s="3508"/>
      <c r="L5" s="3508"/>
      <c r="M5" s="3508"/>
      <c r="N5" s="3508"/>
      <c r="O5" s="3508"/>
      <c r="P5" s="3508"/>
      <c r="Q5" s="767"/>
    </row>
    <row r="6" spans="1:22" s="106" customFormat="1" ht="49.5" customHeight="1" thickTop="1" x14ac:dyDescent="0.35">
      <c r="A6" s="5625" t="s">
        <v>627</v>
      </c>
      <c r="B6" s="5626"/>
      <c r="C6" s="5626"/>
      <c r="D6" s="5626"/>
      <c r="E6" s="5627"/>
      <c r="F6" s="5631" t="str">
        <f>NomProd1</f>
        <v>EQUINIX</v>
      </c>
      <c r="G6" s="5632"/>
      <c r="H6" s="5631" t="str">
        <f>NomProd2</f>
        <v>ASEMA</v>
      </c>
      <c r="I6" s="5632"/>
      <c r="J6" s="5631">
        <f>NomProd3</f>
        <v>0</v>
      </c>
      <c r="K6" s="5632"/>
      <c r="L6" s="5140" t="s">
        <v>18</v>
      </c>
      <c r="M6" s="5140"/>
      <c r="N6" s="5140"/>
      <c r="O6" s="5140"/>
      <c r="P6" s="5141"/>
      <c r="Q6" s="758"/>
    </row>
    <row r="7" spans="1:22" s="106" customFormat="1" ht="26.25" customHeight="1" x14ac:dyDescent="0.35">
      <c r="A7" s="5628"/>
      <c r="B7" s="5629"/>
      <c r="C7" s="5629"/>
      <c r="D7" s="5629"/>
      <c r="E7" s="5630"/>
      <c r="F7" s="5633" t="s">
        <v>16</v>
      </c>
      <c r="G7" s="5633"/>
      <c r="H7" s="5633" t="s">
        <v>16</v>
      </c>
      <c r="I7" s="5633"/>
      <c r="J7" s="5633" t="s">
        <v>16</v>
      </c>
      <c r="K7" s="5633"/>
      <c r="L7" s="5142"/>
      <c r="M7" s="5142"/>
      <c r="N7" s="5142"/>
      <c r="O7" s="5142"/>
      <c r="P7" s="5143"/>
      <c r="Q7" s="758"/>
    </row>
    <row r="8" spans="1:22" s="264" customFormat="1" ht="9" customHeight="1" x14ac:dyDescent="0.35">
      <c r="A8" s="5634"/>
      <c r="B8" s="5635"/>
      <c r="C8" s="5635"/>
      <c r="D8" s="5635"/>
      <c r="E8" s="5635"/>
      <c r="F8" s="5635"/>
      <c r="G8" s="5635"/>
      <c r="H8" s="5635"/>
      <c r="I8" s="5635"/>
      <c r="J8" s="5635"/>
      <c r="K8" s="5635"/>
      <c r="L8" s="5635"/>
      <c r="M8" s="5635"/>
      <c r="N8" s="5635"/>
      <c r="O8" s="5635"/>
      <c r="P8" s="5636"/>
      <c r="Q8" s="903"/>
    </row>
    <row r="9" spans="1:22" s="21" customFormat="1" ht="19.5" customHeight="1" x14ac:dyDescent="0.35">
      <c r="A9" s="5127" t="s">
        <v>619</v>
      </c>
      <c r="B9" s="5134"/>
      <c r="C9" s="5134"/>
      <c r="D9" s="5134"/>
      <c r="E9" s="5134"/>
      <c r="F9" s="5134"/>
      <c r="G9" s="5134"/>
      <c r="H9" s="5134"/>
      <c r="I9" s="5134"/>
      <c r="J9" s="5134"/>
      <c r="K9" s="5134"/>
      <c r="L9" s="5134"/>
      <c r="M9" s="5134"/>
      <c r="N9" s="5134"/>
      <c r="O9" s="5134"/>
      <c r="P9" s="5135"/>
      <c r="Q9" s="901"/>
    </row>
    <row r="10" spans="1:22" ht="15" customHeight="1" x14ac:dyDescent="0.35">
      <c r="A10" s="5637" t="s">
        <v>262</v>
      </c>
      <c r="B10" s="5638"/>
      <c r="C10" s="5638"/>
      <c r="D10" s="5638"/>
      <c r="E10" s="5638"/>
      <c r="F10" s="5639">
        <v>8</v>
      </c>
      <c r="G10" s="5639"/>
      <c r="H10" s="5639"/>
      <c r="I10" s="5639"/>
      <c r="J10" s="5639"/>
      <c r="K10" s="5639"/>
      <c r="L10" s="5640"/>
      <c r="M10" s="5640"/>
      <c r="N10" s="5640"/>
      <c r="O10" s="5640"/>
      <c r="P10" s="5641"/>
      <c r="Q10" s="64"/>
    </row>
    <row r="11" spans="1:22" ht="15" customHeight="1" x14ac:dyDescent="0.35">
      <c r="A11" s="5637" t="s">
        <v>263</v>
      </c>
      <c r="B11" s="5642"/>
      <c r="C11" s="5642"/>
      <c r="D11" s="5642"/>
      <c r="E11" s="5642"/>
      <c r="F11" s="5639">
        <v>7</v>
      </c>
      <c r="G11" s="5639"/>
      <c r="H11" s="5639"/>
      <c r="I11" s="5639"/>
      <c r="J11" s="5639"/>
      <c r="K11" s="5639"/>
      <c r="L11" s="5640"/>
      <c r="M11" s="5640"/>
      <c r="N11" s="5640"/>
      <c r="O11" s="5640"/>
      <c r="P11" s="5641"/>
      <c r="Q11" s="64"/>
    </row>
    <row r="12" spans="1:22" ht="15" customHeight="1" x14ac:dyDescent="0.35">
      <c r="A12" s="5637" t="s">
        <v>264</v>
      </c>
      <c r="B12" s="5642"/>
      <c r="C12" s="5642"/>
      <c r="D12" s="5642"/>
      <c r="E12" s="5642"/>
      <c r="F12" s="5639">
        <v>10</v>
      </c>
      <c r="G12" s="5639"/>
      <c r="H12" s="5639"/>
      <c r="I12" s="5639"/>
      <c r="J12" s="5639"/>
      <c r="K12" s="5639"/>
      <c r="L12" s="5640"/>
      <c r="M12" s="5640"/>
      <c r="N12" s="5640"/>
      <c r="O12" s="5640"/>
      <c r="P12" s="5641"/>
      <c r="Q12" s="64"/>
    </row>
    <row r="13" spans="1:22" ht="15" customHeight="1" x14ac:dyDescent="0.35">
      <c r="A13" s="5637" t="s">
        <v>265</v>
      </c>
      <c r="B13" s="5642"/>
      <c r="C13" s="5642"/>
      <c r="D13" s="5642"/>
      <c r="E13" s="5642"/>
      <c r="F13" s="5639">
        <v>10</v>
      </c>
      <c r="G13" s="5639"/>
      <c r="H13" s="5639"/>
      <c r="I13" s="5639"/>
      <c r="J13" s="5639"/>
      <c r="K13" s="5639"/>
      <c r="L13" s="5640"/>
      <c r="M13" s="5640"/>
      <c r="N13" s="5640"/>
      <c r="O13" s="5640"/>
      <c r="P13" s="5641"/>
      <c r="Q13" s="64"/>
    </row>
    <row r="14" spans="1:22" ht="15" customHeight="1" x14ac:dyDescent="0.35">
      <c r="A14" s="5637" t="s">
        <v>266</v>
      </c>
      <c r="B14" s="5642"/>
      <c r="C14" s="5642"/>
      <c r="D14" s="5642"/>
      <c r="E14" s="5642"/>
      <c r="F14" s="5639">
        <v>10</v>
      </c>
      <c r="G14" s="5639"/>
      <c r="H14" s="5639"/>
      <c r="I14" s="5639"/>
      <c r="J14" s="5639"/>
      <c r="K14" s="5639"/>
      <c r="L14" s="5640"/>
      <c r="M14" s="5640"/>
      <c r="N14" s="5640"/>
      <c r="O14" s="5640"/>
      <c r="P14" s="5641"/>
      <c r="Q14" s="64"/>
    </row>
    <row r="15" spans="1:22" ht="15" customHeight="1" x14ac:dyDescent="0.35">
      <c r="A15" s="5637" t="s">
        <v>267</v>
      </c>
      <c r="B15" s="5642"/>
      <c r="C15" s="5642"/>
      <c r="D15" s="5642"/>
      <c r="E15" s="5642"/>
      <c r="F15" s="5639">
        <v>8</v>
      </c>
      <c r="G15" s="5639"/>
      <c r="H15" s="5639"/>
      <c r="I15" s="5639"/>
      <c r="J15" s="5639"/>
      <c r="K15" s="5639"/>
      <c r="L15" s="5640"/>
      <c r="M15" s="5640"/>
      <c r="N15" s="5640"/>
      <c r="O15" s="5640"/>
      <c r="P15" s="5641"/>
      <c r="Q15" s="64"/>
    </row>
    <row r="16" spans="1:22" ht="15" customHeight="1" x14ac:dyDescent="0.35">
      <c r="A16" s="5637" t="s">
        <v>268</v>
      </c>
      <c r="B16" s="5642"/>
      <c r="C16" s="5642"/>
      <c r="D16" s="5642"/>
      <c r="E16" s="5642"/>
      <c r="F16" s="5639">
        <v>10</v>
      </c>
      <c r="G16" s="5639"/>
      <c r="H16" s="5639"/>
      <c r="I16" s="5639"/>
      <c r="J16" s="5639"/>
      <c r="K16" s="5639"/>
      <c r="L16" s="5640"/>
      <c r="M16" s="5640"/>
      <c r="N16" s="5640"/>
      <c r="O16" s="5640"/>
      <c r="P16" s="5641"/>
      <c r="Q16" s="64"/>
    </row>
    <row r="17" spans="1:17" ht="15" customHeight="1" x14ac:dyDescent="0.35">
      <c r="A17" s="5637" t="s">
        <v>269</v>
      </c>
      <c r="B17" s="5642"/>
      <c r="C17" s="5642"/>
      <c r="D17" s="5642"/>
      <c r="E17" s="5642"/>
      <c r="F17" s="5639">
        <v>8</v>
      </c>
      <c r="G17" s="5639"/>
      <c r="H17" s="5639"/>
      <c r="I17" s="5639"/>
      <c r="J17" s="5639"/>
      <c r="K17" s="5639"/>
      <c r="L17" s="5640"/>
      <c r="M17" s="5640"/>
      <c r="N17" s="5640"/>
      <c r="O17" s="5640"/>
      <c r="P17" s="5641"/>
      <c r="Q17" s="64"/>
    </row>
    <row r="18" spans="1:17" ht="6.75" customHeight="1" x14ac:dyDescent="0.35">
      <c r="A18" s="967"/>
      <c r="B18" s="968"/>
      <c r="C18" s="968"/>
      <c r="D18" s="968"/>
      <c r="E18" s="968"/>
      <c r="F18" s="5643">
        <v>0</v>
      </c>
      <c r="G18" s="5643"/>
      <c r="H18" s="5643">
        <v>0</v>
      </c>
      <c r="I18" s="5643"/>
      <c r="J18" s="5643">
        <v>0</v>
      </c>
      <c r="K18" s="5643"/>
      <c r="L18" s="5644"/>
      <c r="M18" s="5644"/>
      <c r="N18" s="5644"/>
      <c r="O18" s="5644"/>
      <c r="P18" s="5645"/>
      <c r="Q18" s="64"/>
    </row>
    <row r="19" spans="1:17" s="21" customFormat="1" ht="19.5" customHeight="1" x14ac:dyDescent="0.35">
      <c r="A19" s="5127" t="s">
        <v>282</v>
      </c>
      <c r="B19" s="5134"/>
      <c r="C19" s="5134"/>
      <c r="D19" s="5134"/>
      <c r="E19" s="5134"/>
      <c r="F19" s="5134"/>
      <c r="G19" s="5134"/>
      <c r="H19" s="5134"/>
      <c r="I19" s="5134"/>
      <c r="J19" s="5134"/>
      <c r="K19" s="5134"/>
      <c r="L19" s="5134"/>
      <c r="M19" s="5134"/>
      <c r="N19" s="5134"/>
      <c r="O19" s="5134"/>
      <c r="P19" s="5135"/>
      <c r="Q19" s="901"/>
    </row>
    <row r="20" spans="1:17" s="21" customFormat="1" ht="17.25" customHeight="1" x14ac:dyDescent="0.35">
      <c r="A20" s="5637" t="s">
        <v>270</v>
      </c>
      <c r="B20" s="5642"/>
      <c r="C20" s="5642"/>
      <c r="D20" s="5642"/>
      <c r="E20" s="5642"/>
      <c r="F20" s="5639">
        <v>7</v>
      </c>
      <c r="G20" s="5639"/>
      <c r="H20" s="5639"/>
      <c r="I20" s="5639"/>
      <c r="J20" s="5639"/>
      <c r="K20" s="5639"/>
      <c r="L20" s="5640"/>
      <c r="M20" s="5640"/>
      <c r="N20" s="5640"/>
      <c r="O20" s="5640"/>
      <c r="P20" s="5641"/>
      <c r="Q20" s="901"/>
    </row>
    <row r="21" spans="1:17" s="21" customFormat="1" ht="15" customHeight="1" x14ac:dyDescent="0.35">
      <c r="A21" s="5646" t="s">
        <v>620</v>
      </c>
      <c r="B21" s="5642"/>
      <c r="C21" s="5642"/>
      <c r="D21" s="5642"/>
      <c r="E21" s="5642"/>
      <c r="F21" s="5639">
        <v>8</v>
      </c>
      <c r="G21" s="5639"/>
      <c r="H21" s="5639"/>
      <c r="I21" s="5639"/>
      <c r="J21" s="5639"/>
      <c r="K21" s="5639"/>
      <c r="L21" s="5640"/>
      <c r="M21" s="5640"/>
      <c r="N21" s="5640"/>
      <c r="O21" s="5640"/>
      <c r="P21" s="5641"/>
      <c r="Q21" s="901"/>
    </row>
    <row r="22" spans="1:17" ht="15" customHeight="1" x14ac:dyDescent="0.35">
      <c r="A22" s="5646" t="s">
        <v>271</v>
      </c>
      <c r="B22" s="5642"/>
      <c r="C22" s="5642"/>
      <c r="D22" s="5642"/>
      <c r="E22" s="5642"/>
      <c r="F22" s="5639">
        <v>8</v>
      </c>
      <c r="G22" s="5639"/>
      <c r="H22" s="5639"/>
      <c r="I22" s="5639"/>
      <c r="J22" s="5639"/>
      <c r="K22" s="5639"/>
      <c r="L22" s="5640"/>
      <c r="M22" s="5640"/>
      <c r="N22" s="5640"/>
      <c r="O22" s="5640"/>
      <c r="P22" s="5641"/>
      <c r="Q22" s="64"/>
    </row>
    <row r="23" spans="1:17" ht="15" customHeight="1" x14ac:dyDescent="0.35">
      <c r="A23" s="5646" t="s">
        <v>272</v>
      </c>
      <c r="B23" s="5642"/>
      <c r="C23" s="5642"/>
      <c r="D23" s="5642"/>
      <c r="E23" s="5642"/>
      <c r="F23" s="5639">
        <v>10</v>
      </c>
      <c r="G23" s="5639"/>
      <c r="H23" s="5639"/>
      <c r="I23" s="5639"/>
      <c r="J23" s="5639"/>
      <c r="K23" s="5639"/>
      <c r="L23" s="5640"/>
      <c r="M23" s="5640"/>
      <c r="N23" s="5640"/>
      <c r="O23" s="5640"/>
      <c r="P23" s="5641"/>
      <c r="Q23" s="64"/>
    </row>
    <row r="24" spans="1:17" ht="15" customHeight="1" x14ac:dyDescent="0.35">
      <c r="A24" s="5637" t="s">
        <v>273</v>
      </c>
      <c r="B24" s="5642"/>
      <c r="C24" s="5642"/>
      <c r="D24" s="5642"/>
      <c r="E24" s="5642"/>
      <c r="F24" s="5639">
        <v>7</v>
      </c>
      <c r="G24" s="5639"/>
      <c r="H24" s="5639"/>
      <c r="I24" s="5639"/>
      <c r="J24" s="5639"/>
      <c r="K24" s="5639"/>
      <c r="L24" s="5640"/>
      <c r="M24" s="5640"/>
      <c r="N24" s="5640"/>
      <c r="O24" s="5640"/>
      <c r="P24" s="5641"/>
      <c r="Q24" s="64"/>
    </row>
    <row r="25" spans="1:17" ht="15" customHeight="1" x14ac:dyDescent="0.35">
      <c r="A25" s="5637" t="s">
        <v>274</v>
      </c>
      <c r="B25" s="5642"/>
      <c r="C25" s="5642"/>
      <c r="D25" s="5642"/>
      <c r="E25" s="5642"/>
      <c r="F25" s="5639">
        <v>4</v>
      </c>
      <c r="G25" s="5639"/>
      <c r="H25" s="5639"/>
      <c r="I25" s="5639"/>
      <c r="J25" s="5639"/>
      <c r="K25" s="5639"/>
      <c r="L25" s="5640"/>
      <c r="M25" s="5640"/>
      <c r="N25" s="5640"/>
      <c r="O25" s="5640"/>
      <c r="P25" s="5641"/>
      <c r="Q25" s="64"/>
    </row>
    <row r="26" spans="1:17" ht="15" customHeight="1" x14ac:dyDescent="0.35">
      <c r="A26" s="5637" t="s">
        <v>275</v>
      </c>
      <c r="B26" s="5642"/>
      <c r="C26" s="5642"/>
      <c r="D26" s="5642"/>
      <c r="E26" s="5642"/>
      <c r="F26" s="5639">
        <v>6</v>
      </c>
      <c r="G26" s="5639"/>
      <c r="H26" s="5639"/>
      <c r="I26" s="5639"/>
      <c r="J26" s="5639"/>
      <c r="K26" s="5639"/>
      <c r="L26" s="5640"/>
      <c r="M26" s="5640"/>
      <c r="N26" s="5640"/>
      <c r="O26" s="5640"/>
      <c r="P26" s="5641"/>
      <c r="Q26" s="64"/>
    </row>
    <row r="27" spans="1:17" ht="15" customHeight="1" x14ac:dyDescent="0.35">
      <c r="A27" s="5637" t="s">
        <v>276</v>
      </c>
      <c r="B27" s="5642"/>
      <c r="C27" s="5642"/>
      <c r="D27" s="5642"/>
      <c r="E27" s="5642"/>
      <c r="F27" s="5639">
        <v>2</v>
      </c>
      <c r="G27" s="5639"/>
      <c r="H27" s="5639"/>
      <c r="I27" s="5639"/>
      <c r="J27" s="5639"/>
      <c r="K27" s="5639"/>
      <c r="L27" s="5640"/>
      <c r="M27" s="5640"/>
      <c r="N27" s="5640"/>
      <c r="O27" s="5640"/>
      <c r="P27" s="5641"/>
      <c r="Q27" s="64"/>
    </row>
    <row r="28" spans="1:17" ht="15" customHeight="1" x14ac:dyDescent="0.35">
      <c r="A28" s="5637" t="s">
        <v>277</v>
      </c>
      <c r="B28" s="5642"/>
      <c r="C28" s="5642"/>
      <c r="D28" s="5642"/>
      <c r="E28" s="5642"/>
      <c r="F28" s="5639">
        <v>8</v>
      </c>
      <c r="G28" s="5639"/>
      <c r="H28" s="5639"/>
      <c r="I28" s="5639"/>
      <c r="J28" s="5639"/>
      <c r="K28" s="5639"/>
      <c r="L28" s="5640"/>
      <c r="M28" s="5640"/>
      <c r="N28" s="5640"/>
      <c r="O28" s="5640"/>
      <c r="P28" s="5641"/>
      <c r="Q28" s="64"/>
    </row>
    <row r="29" spans="1:17" ht="15" customHeight="1" x14ac:dyDescent="0.35">
      <c r="A29" s="5637" t="s">
        <v>278</v>
      </c>
      <c r="B29" s="5642"/>
      <c r="C29" s="5642"/>
      <c r="D29" s="5642"/>
      <c r="E29" s="5642"/>
      <c r="F29" s="5639">
        <v>8</v>
      </c>
      <c r="G29" s="5639"/>
      <c r="H29" s="5639"/>
      <c r="I29" s="5639"/>
      <c r="J29" s="5639"/>
      <c r="K29" s="5639"/>
      <c r="L29" s="5640"/>
      <c r="M29" s="5640"/>
      <c r="N29" s="5640"/>
      <c r="O29" s="5640"/>
      <c r="P29" s="5641"/>
      <c r="Q29" s="64"/>
    </row>
    <row r="30" spans="1:17" ht="15" customHeight="1" x14ac:dyDescent="0.35">
      <c r="A30" s="5637" t="s">
        <v>279</v>
      </c>
      <c r="B30" s="5642"/>
      <c r="C30" s="5642"/>
      <c r="D30" s="5642"/>
      <c r="E30" s="5642"/>
      <c r="F30" s="5639">
        <v>6</v>
      </c>
      <c r="G30" s="5639"/>
      <c r="H30" s="5639"/>
      <c r="I30" s="5639"/>
      <c r="J30" s="5639"/>
      <c r="K30" s="5639"/>
      <c r="L30" s="5640"/>
      <c r="M30" s="5640"/>
      <c r="N30" s="5640"/>
      <c r="O30" s="5640"/>
      <c r="P30" s="5641"/>
      <c r="Q30" s="64"/>
    </row>
    <row r="31" spans="1:17" ht="15" customHeight="1" x14ac:dyDescent="0.35">
      <c r="A31" s="5637" t="s">
        <v>280</v>
      </c>
      <c r="B31" s="5642"/>
      <c r="C31" s="5642"/>
      <c r="D31" s="5642"/>
      <c r="E31" s="5642"/>
      <c r="F31" s="5639">
        <v>10</v>
      </c>
      <c r="G31" s="5639"/>
      <c r="H31" s="5639"/>
      <c r="I31" s="5639"/>
      <c r="J31" s="5639"/>
      <c r="K31" s="5639"/>
      <c r="L31" s="5640"/>
      <c r="M31" s="5640"/>
      <c r="N31" s="5640"/>
      <c r="O31" s="5640"/>
      <c r="P31" s="5641"/>
      <c r="Q31" s="64"/>
    </row>
    <row r="32" spans="1:17" ht="15" customHeight="1" x14ac:dyDescent="0.35">
      <c r="A32" s="5637" t="s">
        <v>281</v>
      </c>
      <c r="B32" s="5642"/>
      <c r="C32" s="5642"/>
      <c r="D32" s="5642"/>
      <c r="E32" s="5642"/>
      <c r="F32" s="5639">
        <v>10</v>
      </c>
      <c r="G32" s="5639"/>
      <c r="H32" s="5639"/>
      <c r="I32" s="5639"/>
      <c r="J32" s="5639"/>
      <c r="K32" s="5639"/>
      <c r="L32" s="5640"/>
      <c r="M32" s="5640"/>
      <c r="N32" s="5640"/>
      <c r="O32" s="5640"/>
      <c r="P32" s="5641"/>
      <c r="Q32" s="64"/>
    </row>
    <row r="33" spans="1:17" ht="6.75" customHeight="1" x14ac:dyDescent="0.35">
      <c r="A33" s="5647"/>
      <c r="B33" s="5648"/>
      <c r="C33" s="5648"/>
      <c r="D33" s="5648"/>
      <c r="E33" s="5648"/>
      <c r="F33" s="5643">
        <v>0</v>
      </c>
      <c r="G33" s="5643"/>
      <c r="H33" s="5643">
        <v>0</v>
      </c>
      <c r="I33" s="5643"/>
      <c r="J33" s="5643">
        <v>0</v>
      </c>
      <c r="K33" s="5643"/>
      <c r="L33" s="5644"/>
      <c r="M33" s="5644"/>
      <c r="N33" s="5644"/>
      <c r="O33" s="5644"/>
      <c r="P33" s="5645"/>
      <c r="Q33" s="64"/>
    </row>
    <row r="34" spans="1:17" s="21" customFormat="1" ht="19.5" customHeight="1" x14ac:dyDescent="0.35">
      <c r="A34" s="5118" t="s">
        <v>621</v>
      </c>
      <c r="B34" s="5119"/>
      <c r="C34" s="5119"/>
      <c r="D34" s="5119"/>
      <c r="E34" s="5119"/>
      <c r="F34" s="5119"/>
      <c r="G34" s="5119"/>
      <c r="H34" s="5119"/>
      <c r="I34" s="5119"/>
      <c r="J34" s="5119"/>
      <c r="K34" s="5119"/>
      <c r="L34" s="5119"/>
      <c r="M34" s="5119"/>
      <c r="N34" s="5119"/>
      <c r="O34" s="5119"/>
      <c r="P34" s="5120"/>
      <c r="Q34" s="901"/>
    </row>
    <row r="35" spans="1:17" ht="15" customHeight="1" x14ac:dyDescent="0.35">
      <c r="A35" s="5637" t="s">
        <v>624</v>
      </c>
      <c r="B35" s="5642"/>
      <c r="C35" s="5642"/>
      <c r="D35" s="5642"/>
      <c r="E35" s="5642"/>
      <c r="F35" s="5639">
        <v>8</v>
      </c>
      <c r="G35" s="5639"/>
      <c r="H35" s="5639"/>
      <c r="I35" s="5639"/>
      <c r="J35" s="5639"/>
      <c r="K35" s="5639"/>
      <c r="L35" s="5640"/>
      <c r="M35" s="5640"/>
      <c r="N35" s="5640"/>
      <c r="O35" s="5640"/>
      <c r="P35" s="5641"/>
      <c r="Q35" s="64"/>
    </row>
    <row r="36" spans="1:17" ht="15" customHeight="1" x14ac:dyDescent="0.35">
      <c r="A36" s="5637" t="s">
        <v>622</v>
      </c>
      <c r="B36" s="5642"/>
      <c r="C36" s="5642"/>
      <c r="D36" s="5642"/>
      <c r="E36" s="5642"/>
      <c r="F36" s="5639">
        <v>7</v>
      </c>
      <c r="G36" s="5639"/>
      <c r="H36" s="5639"/>
      <c r="I36" s="5639"/>
      <c r="J36" s="5639"/>
      <c r="K36" s="5639"/>
      <c r="L36" s="5640"/>
      <c r="M36" s="5640"/>
      <c r="N36" s="5640"/>
      <c r="O36" s="5640"/>
      <c r="P36" s="5641"/>
      <c r="Q36" s="64"/>
    </row>
    <row r="37" spans="1:17" ht="15" customHeight="1" x14ac:dyDescent="0.35">
      <c r="A37" s="5637" t="s">
        <v>623</v>
      </c>
      <c r="B37" s="5642"/>
      <c r="C37" s="5642"/>
      <c r="D37" s="5642"/>
      <c r="E37" s="5642"/>
      <c r="F37" s="5639">
        <v>7</v>
      </c>
      <c r="G37" s="5639"/>
      <c r="H37" s="5639"/>
      <c r="I37" s="5639"/>
      <c r="J37" s="5639"/>
      <c r="K37" s="5639"/>
      <c r="L37" s="5640"/>
      <c r="M37" s="5640"/>
      <c r="N37" s="5640"/>
      <c r="O37" s="5640"/>
      <c r="P37" s="5641"/>
      <c r="Q37" s="64"/>
    </row>
    <row r="38" spans="1:17" ht="15" customHeight="1" x14ac:dyDescent="0.35">
      <c r="A38" s="5637" t="s">
        <v>626</v>
      </c>
      <c r="B38" s="5642"/>
      <c r="C38" s="5642"/>
      <c r="D38" s="5642"/>
      <c r="E38" s="5642"/>
      <c r="F38" s="5639">
        <v>6</v>
      </c>
      <c r="G38" s="5639"/>
      <c r="H38" s="5639"/>
      <c r="I38" s="5639"/>
      <c r="J38" s="5639"/>
      <c r="K38" s="5639"/>
      <c r="L38" s="5640"/>
      <c r="M38" s="5640"/>
      <c r="N38" s="5640"/>
      <c r="O38" s="5640"/>
      <c r="P38" s="5641"/>
      <c r="Q38" s="64"/>
    </row>
    <row r="39" spans="1:17" ht="15" customHeight="1" x14ac:dyDescent="0.35">
      <c r="A39" s="5649" t="s">
        <v>625</v>
      </c>
      <c r="B39" s="5642"/>
      <c r="C39" s="5642"/>
      <c r="D39" s="5642"/>
      <c r="E39" s="5642"/>
      <c r="F39" s="5639">
        <v>10</v>
      </c>
      <c r="G39" s="5639"/>
      <c r="H39" s="5639"/>
      <c r="I39" s="5639"/>
      <c r="J39" s="5639"/>
      <c r="K39" s="5639"/>
      <c r="L39" s="5640"/>
      <c r="M39" s="5640"/>
      <c r="N39" s="5640"/>
      <c r="O39" s="5640"/>
      <c r="P39" s="5641"/>
      <c r="Q39" s="64"/>
    </row>
    <row r="40" spans="1:17" ht="6.75" customHeight="1" thickBot="1" x14ac:dyDescent="0.4">
      <c r="A40" s="5650"/>
      <c r="B40" s="5651"/>
      <c r="C40" s="5651"/>
      <c r="D40" s="5651"/>
      <c r="E40" s="5651"/>
      <c r="F40" s="5652">
        <v>0</v>
      </c>
      <c r="G40" s="5652"/>
      <c r="H40" s="5652">
        <v>0</v>
      </c>
      <c r="I40" s="5652"/>
      <c r="J40" s="5652">
        <v>0</v>
      </c>
      <c r="K40" s="5652"/>
      <c r="L40" s="5653"/>
      <c r="M40" s="5653"/>
      <c r="N40" s="5653"/>
      <c r="O40" s="5653"/>
      <c r="P40" s="5654"/>
      <c r="Q40" s="64"/>
    </row>
    <row r="41" spans="1:17" s="66" customFormat="1" ht="15" customHeight="1" thickTop="1" x14ac:dyDescent="0.35">
      <c r="A41" s="963"/>
      <c r="B41" s="964"/>
      <c r="C41" s="964"/>
      <c r="D41" s="964"/>
      <c r="E41" s="964"/>
      <c r="F41" s="5666">
        <f>SUM(F10:G40)</f>
        <v>203</v>
      </c>
      <c r="G41" s="5667"/>
      <c r="H41" s="5667">
        <f>SUM(H10:I40)</f>
        <v>0</v>
      </c>
      <c r="I41" s="5667"/>
      <c r="J41" s="5667">
        <f>SUM(J10:K40)</f>
        <v>0</v>
      </c>
      <c r="K41" s="5668"/>
      <c r="L41" s="965"/>
      <c r="M41" s="965"/>
      <c r="N41" s="965"/>
      <c r="O41" s="965"/>
      <c r="P41" s="965"/>
      <c r="Q41" s="397"/>
    </row>
    <row r="42" spans="1:17" s="66" customFormat="1" ht="15" customHeight="1" thickBot="1" x14ac:dyDescent="0.4">
      <c r="A42" s="963"/>
      <c r="B42" s="964"/>
      <c r="C42" s="964"/>
      <c r="D42" s="964"/>
      <c r="E42" s="964"/>
      <c r="F42" s="5669">
        <f>SUM(F10:G40)/26</f>
        <v>7.8076923076923075</v>
      </c>
      <c r="G42" s="5670"/>
      <c r="H42" s="5670">
        <f>SUM(H10:I40)/26</f>
        <v>0</v>
      </c>
      <c r="I42" s="5670"/>
      <c r="J42" s="5670">
        <f>SUM(J10:K40)/26</f>
        <v>0</v>
      </c>
      <c r="K42" s="5671"/>
      <c r="L42" s="965"/>
      <c r="M42" s="965"/>
      <c r="N42" s="965"/>
      <c r="O42" s="965"/>
      <c r="P42" s="965"/>
      <c r="Q42" s="397"/>
    </row>
    <row r="43" spans="1:17" s="66" customFormat="1" ht="15" customHeight="1" thickTop="1" x14ac:dyDescent="0.35">
      <c r="A43" s="963"/>
      <c r="B43" s="964"/>
      <c r="C43" s="964"/>
      <c r="D43" s="964"/>
      <c r="E43" s="964"/>
      <c r="F43" s="966"/>
      <c r="G43" s="966"/>
      <c r="H43" s="966"/>
      <c r="I43" s="966"/>
      <c r="J43" s="966"/>
      <c r="K43" s="966"/>
      <c r="L43" s="965"/>
      <c r="M43" s="965"/>
      <c r="N43" s="965"/>
      <c r="O43" s="965"/>
      <c r="P43" s="965"/>
      <c r="Q43" s="397"/>
    </row>
    <row r="44" spans="1:17" s="66" customFormat="1" ht="15" customHeight="1" x14ac:dyDescent="0.35">
      <c r="A44" s="963"/>
      <c r="B44" s="964"/>
      <c r="C44" s="964"/>
      <c r="D44" s="964"/>
      <c r="E44" s="964"/>
      <c r="F44" s="966"/>
      <c r="G44" s="966"/>
      <c r="H44" s="966"/>
      <c r="I44" s="966"/>
      <c r="J44" s="966"/>
      <c r="K44" s="966"/>
      <c r="L44" s="965"/>
      <c r="M44" s="965"/>
      <c r="N44" s="965"/>
      <c r="O44" s="965"/>
      <c r="P44" s="965"/>
      <c r="Q44" s="397"/>
    </row>
    <row r="45" spans="1:17" s="66" customFormat="1" ht="15" customHeight="1" x14ac:dyDescent="0.35">
      <c r="A45" s="963"/>
      <c r="B45" s="964"/>
      <c r="C45" s="964"/>
      <c r="D45" s="964"/>
      <c r="E45" s="964"/>
      <c r="F45" s="966"/>
      <c r="G45" s="966"/>
      <c r="H45" s="966"/>
      <c r="I45" s="966"/>
      <c r="J45" s="966"/>
      <c r="K45" s="966"/>
      <c r="L45" s="965"/>
      <c r="M45" s="965"/>
      <c r="N45" s="965"/>
      <c r="O45" s="965"/>
      <c r="P45" s="965"/>
      <c r="Q45" s="397"/>
    </row>
    <row r="46" spans="1:17" ht="13.5" customHeight="1" x14ac:dyDescent="0.35">
      <c r="A46" s="902"/>
      <c r="B46" s="764"/>
      <c r="C46" s="764"/>
      <c r="D46" s="764"/>
      <c r="E46" s="764"/>
      <c r="F46" s="466"/>
      <c r="G46" s="466"/>
      <c r="H46" s="466"/>
      <c r="I46" s="466"/>
      <c r="J46" s="466"/>
      <c r="K46" s="466"/>
      <c r="L46" s="466"/>
      <c r="M46" s="466"/>
      <c r="N46" s="466"/>
      <c r="O46" s="466"/>
      <c r="P46" s="466"/>
      <c r="Q46" s="64"/>
    </row>
    <row r="47" spans="1:17" ht="15" thickBot="1" x14ac:dyDescent="0.4">
      <c r="A47" s="64"/>
      <c r="B47" s="64"/>
      <c r="C47" s="64"/>
      <c r="D47" s="64"/>
      <c r="E47" s="64"/>
      <c r="F47" s="64"/>
      <c r="G47" s="64"/>
      <c r="H47" s="64"/>
      <c r="I47" s="64"/>
      <c r="J47" s="64"/>
      <c r="K47" s="64"/>
      <c r="L47" s="64"/>
      <c r="M47" s="64"/>
      <c r="N47" s="64"/>
      <c r="O47" s="64"/>
      <c r="P47" s="64"/>
      <c r="Q47" s="64"/>
    </row>
    <row r="48" spans="1:17" ht="19" thickBot="1" x14ac:dyDescent="0.4">
      <c r="A48" s="5664" t="s">
        <v>10</v>
      </c>
      <c r="B48" s="5664"/>
      <c r="C48" s="5664"/>
      <c r="D48" s="5664"/>
      <c r="E48" s="5664"/>
      <c r="F48" s="5664"/>
      <c r="G48" s="5664"/>
      <c r="H48" s="5664"/>
      <c r="I48" s="5664"/>
      <c r="J48" s="5664"/>
      <c r="K48" s="5665"/>
      <c r="L48" s="157"/>
      <c r="M48" s="3725" t="s">
        <v>748</v>
      </c>
      <c r="N48" s="3726"/>
      <c r="O48" s="3727"/>
      <c r="P48" s="31"/>
      <c r="Q48" s="64"/>
    </row>
    <row r="49" spans="1:17" ht="20.25" customHeight="1" x14ac:dyDescent="0.35">
      <c r="A49" s="5655" t="s">
        <v>628</v>
      </c>
      <c r="B49" s="5656"/>
      <c r="C49" s="5656"/>
      <c r="D49" s="5656"/>
      <c r="E49" s="5656"/>
      <c r="F49" s="5656"/>
      <c r="G49" s="5656"/>
      <c r="H49" s="5656"/>
      <c r="I49" s="5656"/>
      <c r="J49" s="5656"/>
      <c r="K49" s="5657"/>
      <c r="L49" s="38"/>
      <c r="M49" s="4593" t="s">
        <v>829</v>
      </c>
      <c r="N49" s="4594"/>
      <c r="O49" s="4595"/>
      <c r="P49" s="33"/>
      <c r="Q49" s="64"/>
    </row>
    <row r="50" spans="1:17" ht="20.25" customHeight="1" x14ac:dyDescent="0.35">
      <c r="A50" s="5658"/>
      <c r="B50" s="5659"/>
      <c r="C50" s="5659"/>
      <c r="D50" s="5659"/>
      <c r="E50" s="5659"/>
      <c r="F50" s="5659"/>
      <c r="G50" s="5659"/>
      <c r="H50" s="5659"/>
      <c r="I50" s="5659"/>
      <c r="J50" s="5659"/>
      <c r="K50" s="5660"/>
      <c r="L50" s="38"/>
      <c r="M50" s="4596"/>
      <c r="N50" s="4597"/>
      <c r="O50" s="4598"/>
      <c r="P50" s="33"/>
      <c r="Q50" s="64"/>
    </row>
    <row r="51" spans="1:17" ht="20.25" customHeight="1" x14ac:dyDescent="0.35">
      <c r="A51" s="5658"/>
      <c r="B51" s="5659"/>
      <c r="C51" s="5659"/>
      <c r="D51" s="5659"/>
      <c r="E51" s="5659"/>
      <c r="F51" s="5659"/>
      <c r="G51" s="5659"/>
      <c r="H51" s="5659"/>
      <c r="I51" s="5659"/>
      <c r="J51" s="5659"/>
      <c r="K51" s="5660"/>
      <c r="L51" s="38"/>
      <c r="M51" s="4596"/>
      <c r="N51" s="4597"/>
      <c r="O51" s="4598"/>
      <c r="P51" s="33"/>
      <c r="Q51" s="64"/>
    </row>
    <row r="52" spans="1:17" ht="20.25" customHeight="1" thickBot="1" x14ac:dyDescent="0.4">
      <c r="A52" s="5661"/>
      <c r="B52" s="5662"/>
      <c r="C52" s="5662"/>
      <c r="D52" s="5662"/>
      <c r="E52" s="5662"/>
      <c r="F52" s="5662"/>
      <c r="G52" s="5662"/>
      <c r="H52" s="5662"/>
      <c r="I52" s="5662"/>
      <c r="J52" s="5662"/>
      <c r="K52" s="5663"/>
      <c r="L52" s="38"/>
      <c r="M52" s="4599"/>
      <c r="N52" s="4600"/>
      <c r="O52" s="4601"/>
      <c r="P52" s="33"/>
      <c r="Q52" s="64"/>
    </row>
    <row r="53" spans="1:17" ht="15" thickBot="1" x14ac:dyDescent="0.4">
      <c r="A53" s="64"/>
      <c r="B53" s="64"/>
      <c r="C53" s="64"/>
      <c r="D53" s="64"/>
      <c r="E53" s="64"/>
      <c r="F53" s="64"/>
      <c r="G53" s="64"/>
      <c r="H53" s="64"/>
      <c r="I53" s="64"/>
      <c r="J53" s="64"/>
      <c r="K53" s="64"/>
      <c r="L53" s="64"/>
      <c r="M53" s="31"/>
      <c r="N53" s="31"/>
      <c r="O53" s="31"/>
      <c r="P53" s="64"/>
      <c r="Q53" s="64"/>
    </row>
    <row r="54" spans="1:17" ht="19" thickBot="1" x14ac:dyDescent="0.4">
      <c r="A54" s="5664" t="s">
        <v>11</v>
      </c>
      <c r="B54" s="5664"/>
      <c r="C54" s="5664"/>
      <c r="D54" s="5664"/>
      <c r="E54" s="5664"/>
      <c r="F54" s="5664"/>
      <c r="G54" s="5664"/>
      <c r="H54" s="5664"/>
      <c r="I54" s="5664"/>
      <c r="J54" s="5664"/>
      <c r="K54" s="5665"/>
      <c r="L54" s="157"/>
      <c r="M54" s="3725" t="s">
        <v>748</v>
      </c>
      <c r="N54" s="3726"/>
      <c r="O54" s="3727"/>
      <c r="P54" s="31"/>
      <c r="Q54" s="64"/>
    </row>
    <row r="55" spans="1:17" ht="20.25" customHeight="1" x14ac:dyDescent="0.35">
      <c r="A55" s="5655" t="s">
        <v>831</v>
      </c>
      <c r="B55" s="5656"/>
      <c r="C55" s="5656"/>
      <c r="D55" s="5656"/>
      <c r="E55" s="5656"/>
      <c r="F55" s="5656"/>
      <c r="G55" s="5656"/>
      <c r="H55" s="5656"/>
      <c r="I55" s="5656"/>
      <c r="J55" s="5656"/>
      <c r="K55" s="5657"/>
      <c r="L55" s="38"/>
      <c r="M55" s="4593" t="s">
        <v>830</v>
      </c>
      <c r="N55" s="4594"/>
      <c r="O55" s="4595"/>
      <c r="P55" s="33"/>
      <c r="Q55" s="64"/>
    </row>
    <row r="56" spans="1:17" ht="20.25" customHeight="1" x14ac:dyDescent="0.35">
      <c r="A56" s="5658"/>
      <c r="B56" s="5659"/>
      <c r="C56" s="5659"/>
      <c r="D56" s="5659"/>
      <c r="E56" s="5659"/>
      <c r="F56" s="5659"/>
      <c r="G56" s="5659"/>
      <c r="H56" s="5659"/>
      <c r="I56" s="5659"/>
      <c r="J56" s="5659"/>
      <c r="K56" s="5660"/>
      <c r="L56" s="38"/>
      <c r="M56" s="4596"/>
      <c r="N56" s="4597"/>
      <c r="O56" s="4598"/>
      <c r="P56" s="33"/>
      <c r="Q56" s="64"/>
    </row>
    <row r="57" spans="1:17" ht="20.25" customHeight="1" x14ac:dyDescent="0.35">
      <c r="A57" s="5658"/>
      <c r="B57" s="5659"/>
      <c r="C57" s="5659"/>
      <c r="D57" s="5659"/>
      <c r="E57" s="5659"/>
      <c r="F57" s="5659"/>
      <c r="G57" s="5659"/>
      <c r="H57" s="5659"/>
      <c r="I57" s="5659"/>
      <c r="J57" s="5659"/>
      <c r="K57" s="5660"/>
      <c r="L57" s="38"/>
      <c r="M57" s="4596"/>
      <c r="N57" s="4597"/>
      <c r="O57" s="4598"/>
      <c r="P57" s="33"/>
      <c r="Q57" s="64"/>
    </row>
    <row r="58" spans="1:17" ht="20.25" customHeight="1" thickBot="1" x14ac:dyDescent="0.4">
      <c r="A58" s="5661"/>
      <c r="B58" s="5662"/>
      <c r="C58" s="5662"/>
      <c r="D58" s="5662"/>
      <c r="E58" s="5662"/>
      <c r="F58" s="5662"/>
      <c r="G58" s="5662"/>
      <c r="H58" s="5662"/>
      <c r="I58" s="5662"/>
      <c r="J58" s="5662"/>
      <c r="K58" s="5663"/>
      <c r="L58" s="38"/>
      <c r="M58" s="4599"/>
      <c r="N58" s="4600"/>
      <c r="O58" s="4601"/>
      <c r="P58" s="33"/>
      <c r="Q58" s="64"/>
    </row>
    <row r="59" spans="1:17" x14ac:dyDescent="0.35">
      <c r="A59" s="64"/>
      <c r="B59" s="64"/>
      <c r="C59" s="64"/>
      <c r="D59" s="64"/>
      <c r="E59" s="64"/>
      <c r="F59" s="64"/>
      <c r="G59" s="64"/>
      <c r="H59" s="64"/>
      <c r="I59" s="64"/>
      <c r="J59" s="64"/>
      <c r="K59" s="64"/>
      <c r="L59" s="64"/>
      <c r="M59" s="64"/>
      <c r="N59" s="64"/>
      <c r="O59" s="64"/>
      <c r="P59" s="64"/>
      <c r="Q59" s="64"/>
    </row>
    <row r="60" spans="1:17" x14ac:dyDescent="0.35">
      <c r="A60" s="64"/>
      <c r="B60" s="64"/>
      <c r="C60" s="64"/>
      <c r="D60" s="64"/>
      <c r="E60" s="64"/>
      <c r="F60" s="64"/>
      <c r="G60" s="64"/>
      <c r="H60" s="64"/>
      <c r="I60" s="64"/>
      <c r="J60" s="64"/>
      <c r="K60" s="64"/>
      <c r="L60" s="64"/>
      <c r="M60" s="64"/>
      <c r="N60" s="64"/>
      <c r="O60" s="64"/>
      <c r="P60" s="64"/>
      <c r="Q60" s="64"/>
    </row>
    <row r="61" spans="1:17" x14ac:dyDescent="0.35">
      <c r="A61" s="64"/>
      <c r="B61" s="64"/>
      <c r="C61" s="64"/>
      <c r="D61" s="64"/>
      <c r="E61" s="64"/>
      <c r="F61" s="64"/>
      <c r="G61" s="64"/>
      <c r="H61" s="64"/>
      <c r="I61" s="64"/>
      <c r="J61" s="64"/>
      <c r="K61" s="64"/>
      <c r="L61" s="64"/>
      <c r="M61" s="64"/>
      <c r="N61" s="64"/>
      <c r="O61" s="64"/>
      <c r="P61" s="64"/>
      <c r="Q61" s="64"/>
    </row>
    <row r="62" spans="1:17" x14ac:dyDescent="0.35">
      <c r="A62" s="64"/>
      <c r="B62" s="64"/>
      <c r="C62" s="64"/>
      <c r="D62" s="64"/>
      <c r="E62" s="64"/>
      <c r="F62" s="64"/>
      <c r="G62" s="64"/>
      <c r="H62" s="64"/>
      <c r="I62" s="64"/>
      <c r="J62" s="64"/>
      <c r="K62" s="64"/>
      <c r="L62" s="64"/>
      <c r="M62" s="64"/>
      <c r="N62" s="64"/>
      <c r="O62" s="64"/>
      <c r="P62" s="64"/>
      <c r="Q62" s="64"/>
    </row>
    <row r="63" spans="1:17" x14ac:dyDescent="0.35">
      <c r="A63" s="64"/>
      <c r="B63" s="64"/>
      <c r="C63" s="64"/>
      <c r="D63" s="64"/>
      <c r="E63" s="64"/>
      <c r="F63" s="64"/>
      <c r="G63" s="64"/>
      <c r="H63" s="64"/>
      <c r="I63" s="64"/>
      <c r="J63" s="64"/>
      <c r="K63" s="64"/>
      <c r="L63" s="64"/>
      <c r="M63" s="64"/>
      <c r="N63" s="64"/>
      <c r="O63" s="64"/>
      <c r="P63" s="64"/>
      <c r="Q63" s="64"/>
    </row>
    <row r="64" spans="1:17" x14ac:dyDescent="0.35">
      <c r="A64" s="64"/>
      <c r="B64" s="64"/>
      <c r="C64" s="64"/>
      <c r="D64" s="64"/>
      <c r="E64" s="64"/>
      <c r="F64" s="64"/>
      <c r="G64" s="64"/>
      <c r="H64" s="64"/>
      <c r="I64" s="64"/>
      <c r="J64" s="64"/>
      <c r="K64" s="64"/>
      <c r="L64" s="64"/>
      <c r="M64" s="64"/>
      <c r="N64" s="64"/>
      <c r="O64" s="64"/>
      <c r="P64" s="64"/>
      <c r="Q64" s="64"/>
    </row>
    <row r="65" spans="1:17" x14ac:dyDescent="0.35">
      <c r="A65" s="64"/>
      <c r="B65" s="64"/>
      <c r="C65" s="64"/>
      <c r="D65" s="64"/>
      <c r="E65" s="64"/>
      <c r="F65" s="64"/>
      <c r="G65" s="64"/>
      <c r="H65" s="64"/>
      <c r="I65" s="64"/>
      <c r="J65" s="64"/>
      <c r="K65" s="64"/>
      <c r="L65" s="64"/>
      <c r="M65" s="64"/>
      <c r="N65" s="64"/>
      <c r="O65" s="64"/>
      <c r="P65" s="64"/>
      <c r="Q65" s="64"/>
    </row>
    <row r="66" spans="1:17" x14ac:dyDescent="0.35">
      <c r="A66" s="64"/>
      <c r="B66" s="64"/>
      <c r="C66" s="64"/>
      <c r="D66" s="64"/>
      <c r="E66" s="64"/>
      <c r="F66" s="64"/>
      <c r="G66" s="64"/>
      <c r="H66" s="64"/>
      <c r="I66" s="64"/>
      <c r="J66" s="64"/>
      <c r="K66" s="64"/>
      <c r="L66" s="64"/>
      <c r="M66" s="64"/>
      <c r="N66" s="64"/>
      <c r="O66" s="64"/>
      <c r="P66" s="64"/>
      <c r="Q66" s="64"/>
    </row>
    <row r="67" spans="1:17" x14ac:dyDescent="0.35">
      <c r="A67" s="64"/>
      <c r="B67" s="64"/>
      <c r="C67" s="64"/>
      <c r="D67" s="64"/>
      <c r="E67" s="64"/>
      <c r="F67" s="64"/>
      <c r="G67" s="64"/>
      <c r="H67" s="64"/>
      <c r="I67" s="64"/>
      <c r="J67" s="64"/>
      <c r="K67" s="64"/>
      <c r="L67" s="64"/>
      <c r="M67" s="64"/>
      <c r="N67" s="64"/>
      <c r="O67" s="64"/>
      <c r="P67" s="64"/>
      <c r="Q67" s="64"/>
    </row>
    <row r="68" spans="1:17" x14ac:dyDescent="0.35">
      <c r="A68" s="64"/>
      <c r="B68" s="64"/>
      <c r="C68" s="64"/>
      <c r="D68" s="64"/>
      <c r="E68" s="64"/>
      <c r="F68" s="64"/>
      <c r="G68" s="64"/>
      <c r="H68" s="64"/>
      <c r="I68" s="64"/>
      <c r="J68" s="64"/>
      <c r="K68" s="64"/>
      <c r="L68" s="64"/>
      <c r="M68" s="64"/>
      <c r="N68" s="64"/>
      <c r="O68" s="64"/>
      <c r="P68" s="64"/>
      <c r="Q68" s="64"/>
    </row>
    <row r="69" spans="1:17" x14ac:dyDescent="0.35">
      <c r="A69" s="64"/>
      <c r="B69" s="64"/>
      <c r="C69" s="64"/>
      <c r="D69" s="64"/>
      <c r="E69" s="64"/>
      <c r="F69" s="64"/>
      <c r="G69" s="64"/>
      <c r="H69" s="64"/>
      <c r="I69" s="64"/>
      <c r="J69" s="64"/>
      <c r="K69" s="64"/>
      <c r="L69" s="64"/>
      <c r="M69" s="64"/>
      <c r="N69" s="64"/>
      <c r="O69" s="64"/>
      <c r="P69" s="64"/>
      <c r="Q69" s="64"/>
    </row>
    <row r="70" spans="1:17" x14ac:dyDescent="0.35">
      <c r="A70" s="64"/>
      <c r="B70" s="64"/>
      <c r="C70" s="64"/>
      <c r="D70" s="64"/>
      <c r="E70" s="64"/>
      <c r="F70" s="64"/>
      <c r="G70" s="64"/>
      <c r="H70" s="64"/>
      <c r="I70" s="64"/>
      <c r="J70" s="64"/>
      <c r="K70" s="64"/>
      <c r="L70" s="64"/>
      <c r="M70" s="64"/>
      <c r="N70" s="64"/>
      <c r="O70" s="64"/>
      <c r="P70" s="64"/>
      <c r="Q70" s="64"/>
    </row>
    <row r="71" spans="1:17" x14ac:dyDescent="0.35">
      <c r="A71" s="64"/>
      <c r="B71" s="64"/>
      <c r="C71" s="64"/>
      <c r="D71" s="64"/>
      <c r="E71" s="64"/>
      <c r="F71" s="64"/>
      <c r="G71" s="64"/>
      <c r="H71" s="64"/>
      <c r="I71" s="64"/>
      <c r="J71" s="64"/>
      <c r="K71" s="64"/>
      <c r="L71" s="64"/>
      <c r="M71" s="64"/>
      <c r="N71" s="64"/>
      <c r="O71" s="64"/>
      <c r="P71" s="64"/>
      <c r="Q71" s="64"/>
    </row>
    <row r="72" spans="1:17" x14ac:dyDescent="0.35">
      <c r="A72" s="64"/>
      <c r="B72" s="64"/>
      <c r="C72" s="64"/>
      <c r="D72" s="64"/>
      <c r="E72" s="64"/>
      <c r="F72" s="64"/>
      <c r="G72" s="64"/>
      <c r="H72" s="64"/>
      <c r="I72" s="64"/>
      <c r="J72" s="64"/>
      <c r="K72" s="64"/>
      <c r="L72" s="64"/>
      <c r="M72" s="64"/>
      <c r="N72" s="64"/>
      <c r="O72" s="64"/>
      <c r="P72" s="64"/>
      <c r="Q72" s="64"/>
    </row>
    <row r="73" spans="1:17" x14ac:dyDescent="0.35">
      <c r="A73" s="64"/>
      <c r="B73" s="64"/>
      <c r="C73" s="64"/>
      <c r="D73" s="64"/>
      <c r="E73" s="64"/>
      <c r="F73" s="64"/>
      <c r="G73" s="64"/>
      <c r="H73" s="64"/>
      <c r="I73" s="64"/>
      <c r="J73" s="64"/>
      <c r="K73" s="64"/>
      <c r="L73" s="64"/>
      <c r="M73" s="64"/>
      <c r="N73" s="64"/>
      <c r="O73" s="64"/>
      <c r="P73" s="64"/>
      <c r="Q73" s="64"/>
    </row>
    <row r="74" spans="1:17" x14ac:dyDescent="0.35">
      <c r="A74" s="64"/>
      <c r="B74" s="64"/>
      <c r="C74" s="64"/>
      <c r="D74" s="64"/>
      <c r="E74" s="64"/>
      <c r="F74" s="64"/>
      <c r="G74" s="64"/>
      <c r="H74" s="64"/>
      <c r="I74" s="64"/>
      <c r="J74" s="64"/>
      <c r="K74" s="64"/>
      <c r="L74" s="64"/>
      <c r="M74" s="64"/>
      <c r="N74" s="64"/>
      <c r="O74" s="64"/>
      <c r="P74" s="64"/>
      <c r="Q74" s="64"/>
    </row>
    <row r="75" spans="1:17" x14ac:dyDescent="0.35">
      <c r="A75" s="64"/>
      <c r="B75" s="64"/>
      <c r="C75" s="64"/>
      <c r="D75" s="64"/>
      <c r="E75" s="64"/>
      <c r="F75" s="64"/>
      <c r="G75" s="64"/>
      <c r="H75" s="64"/>
      <c r="I75" s="64"/>
      <c r="J75" s="64"/>
      <c r="K75" s="64"/>
      <c r="L75" s="64"/>
      <c r="M75" s="64"/>
      <c r="N75" s="64"/>
      <c r="O75" s="64"/>
      <c r="P75" s="64"/>
      <c r="Q75" s="64"/>
    </row>
    <row r="76" spans="1:17" x14ac:dyDescent="0.35">
      <c r="A76" s="64"/>
      <c r="B76" s="64"/>
      <c r="C76" s="64"/>
      <c r="D76" s="64"/>
      <c r="E76" s="64"/>
      <c r="F76" s="64"/>
      <c r="G76" s="64"/>
      <c r="H76" s="64"/>
      <c r="I76" s="64"/>
      <c r="J76" s="64"/>
      <c r="K76" s="64"/>
      <c r="L76" s="64"/>
      <c r="M76" s="64"/>
      <c r="N76" s="64"/>
      <c r="O76" s="64"/>
      <c r="P76" s="64"/>
      <c r="Q76" s="64"/>
    </row>
    <row r="77" spans="1:17" x14ac:dyDescent="0.35">
      <c r="A77" s="64"/>
      <c r="B77" s="64"/>
      <c r="C77" s="64"/>
      <c r="D77" s="64"/>
      <c r="E77" s="64"/>
      <c r="F77" s="64"/>
      <c r="G77" s="64"/>
      <c r="H77" s="64"/>
      <c r="I77" s="64"/>
      <c r="J77" s="64"/>
      <c r="K77" s="64"/>
      <c r="L77" s="64"/>
      <c r="M77" s="64"/>
      <c r="N77" s="64"/>
      <c r="O77" s="64"/>
      <c r="P77" s="64"/>
      <c r="Q77" s="64"/>
    </row>
    <row r="78" spans="1:17" x14ac:dyDescent="0.35">
      <c r="A78" s="64"/>
      <c r="B78" s="64"/>
      <c r="C78" s="64"/>
      <c r="D78" s="64"/>
      <c r="E78" s="64"/>
      <c r="F78" s="64"/>
      <c r="G78" s="64"/>
      <c r="H78" s="64"/>
      <c r="I78" s="64"/>
      <c r="J78" s="64"/>
      <c r="K78" s="64"/>
      <c r="L78" s="64"/>
      <c r="M78" s="64"/>
      <c r="N78" s="64"/>
      <c r="O78" s="64"/>
      <c r="P78" s="64"/>
      <c r="Q78" s="64"/>
    </row>
    <row r="79" spans="1:17" x14ac:dyDescent="0.35">
      <c r="A79" s="64"/>
      <c r="B79" s="64"/>
      <c r="C79" s="64"/>
      <c r="D79" s="64"/>
      <c r="E79" s="64"/>
      <c r="F79" s="64"/>
      <c r="G79" s="64"/>
      <c r="H79" s="64"/>
      <c r="I79" s="64"/>
      <c r="J79" s="64"/>
      <c r="K79" s="64"/>
      <c r="L79" s="64"/>
      <c r="M79" s="64"/>
      <c r="N79" s="64"/>
      <c r="O79" s="64"/>
      <c r="P79" s="64"/>
      <c r="Q79" s="64"/>
    </row>
    <row r="80" spans="1:17" x14ac:dyDescent="0.35">
      <c r="A80" s="64"/>
      <c r="B80" s="64"/>
      <c r="C80" s="64"/>
      <c r="D80" s="64"/>
      <c r="E80" s="64"/>
      <c r="F80" s="64"/>
      <c r="G80" s="64"/>
      <c r="H80" s="64"/>
      <c r="I80" s="64"/>
      <c r="J80" s="64"/>
      <c r="K80" s="64"/>
      <c r="L80" s="64"/>
      <c r="M80" s="64"/>
      <c r="N80" s="64"/>
      <c r="O80" s="64"/>
      <c r="P80" s="64"/>
      <c r="Q80" s="64"/>
    </row>
    <row r="81" spans="1:17" x14ac:dyDescent="0.35">
      <c r="A81" s="64"/>
      <c r="B81" s="64"/>
      <c r="C81" s="64"/>
      <c r="D81" s="64"/>
      <c r="E81" s="64"/>
      <c r="F81" s="64"/>
      <c r="G81" s="64"/>
      <c r="H81" s="64"/>
      <c r="I81" s="64"/>
      <c r="J81" s="64"/>
      <c r="K81" s="64"/>
      <c r="L81" s="64"/>
      <c r="M81" s="64"/>
      <c r="N81" s="64"/>
      <c r="O81" s="64"/>
      <c r="P81" s="64"/>
      <c r="Q81" s="64"/>
    </row>
    <row r="82" spans="1:17" x14ac:dyDescent="0.35">
      <c r="A82" s="64"/>
      <c r="B82" s="64"/>
      <c r="C82" s="64"/>
      <c r="D82" s="64"/>
      <c r="E82" s="64"/>
      <c r="F82" s="64"/>
      <c r="G82" s="64"/>
      <c r="H82" s="64"/>
      <c r="I82" s="64"/>
      <c r="J82" s="64"/>
      <c r="K82" s="64"/>
      <c r="L82" s="64"/>
      <c r="M82" s="64"/>
      <c r="N82" s="64"/>
      <c r="O82" s="64"/>
      <c r="P82" s="64"/>
      <c r="Q82" s="64"/>
    </row>
    <row r="83" spans="1:17" x14ac:dyDescent="0.35">
      <c r="A83" s="64"/>
      <c r="B83" s="64"/>
      <c r="C83" s="64"/>
      <c r="D83" s="64"/>
      <c r="E83" s="64"/>
      <c r="F83" s="64"/>
      <c r="G83" s="64"/>
      <c r="H83" s="64"/>
      <c r="I83" s="64"/>
      <c r="J83" s="64"/>
      <c r="K83" s="64"/>
      <c r="L83" s="64"/>
      <c r="M83" s="64"/>
      <c r="N83" s="64"/>
      <c r="O83" s="64"/>
      <c r="P83" s="64"/>
      <c r="Q83" s="64"/>
    </row>
    <row r="84" spans="1:17" x14ac:dyDescent="0.35">
      <c r="A84" s="64"/>
      <c r="B84" s="64"/>
      <c r="C84" s="64"/>
      <c r="D84" s="64"/>
      <c r="E84" s="64"/>
      <c r="F84" s="64"/>
      <c r="G84" s="64"/>
      <c r="H84" s="64"/>
      <c r="I84" s="64"/>
      <c r="J84" s="64"/>
      <c r="K84" s="64"/>
      <c r="L84" s="64"/>
      <c r="M84" s="64"/>
      <c r="N84" s="64"/>
      <c r="O84" s="64"/>
      <c r="P84" s="64"/>
      <c r="Q84" s="64"/>
    </row>
    <row r="85" spans="1:17" x14ac:dyDescent="0.35">
      <c r="A85" s="64"/>
      <c r="B85" s="64"/>
      <c r="C85" s="64"/>
      <c r="D85" s="64"/>
      <c r="E85" s="64"/>
      <c r="F85" s="64"/>
      <c r="G85" s="64"/>
      <c r="H85" s="64"/>
      <c r="I85" s="64"/>
      <c r="J85" s="64"/>
      <c r="K85" s="64"/>
      <c r="L85" s="64"/>
      <c r="M85" s="64"/>
      <c r="N85" s="64"/>
      <c r="O85" s="64"/>
      <c r="P85" s="64"/>
      <c r="Q85" s="64"/>
    </row>
    <row r="86" spans="1:17" x14ac:dyDescent="0.35">
      <c r="A86" s="64"/>
      <c r="B86" s="64"/>
      <c r="C86" s="64"/>
      <c r="D86" s="64"/>
      <c r="E86" s="64"/>
      <c r="F86" s="64"/>
      <c r="G86" s="64"/>
      <c r="H86" s="64"/>
      <c r="I86" s="64"/>
      <c r="J86" s="64"/>
      <c r="K86" s="64"/>
      <c r="L86" s="64"/>
      <c r="M86" s="64"/>
      <c r="N86" s="64"/>
      <c r="O86" s="64"/>
      <c r="P86" s="64"/>
      <c r="Q86" s="64"/>
    </row>
    <row r="87" spans="1:17" x14ac:dyDescent="0.35">
      <c r="A87" s="64"/>
      <c r="B87" s="64"/>
      <c r="C87" s="64"/>
      <c r="D87" s="64"/>
      <c r="E87" s="64"/>
      <c r="F87" s="64"/>
      <c r="G87" s="64"/>
      <c r="H87" s="64"/>
      <c r="I87" s="64"/>
      <c r="J87" s="64"/>
      <c r="K87" s="64"/>
      <c r="L87" s="64"/>
      <c r="M87" s="64"/>
      <c r="N87" s="64"/>
      <c r="O87" s="64"/>
      <c r="P87" s="64"/>
      <c r="Q87" s="64"/>
    </row>
    <row r="88" spans="1:17" x14ac:dyDescent="0.35">
      <c r="A88" s="64"/>
      <c r="B88" s="64"/>
      <c r="C88" s="64"/>
      <c r="D88" s="64"/>
      <c r="E88" s="64"/>
      <c r="F88" s="64"/>
      <c r="G88" s="64"/>
      <c r="H88" s="64"/>
      <c r="I88" s="64"/>
      <c r="J88" s="64"/>
      <c r="K88" s="64"/>
      <c r="L88" s="64"/>
      <c r="M88" s="64"/>
      <c r="N88" s="64"/>
      <c r="O88" s="64"/>
      <c r="P88" s="64"/>
      <c r="Q88" s="64"/>
    </row>
    <row r="89" spans="1:17" x14ac:dyDescent="0.35">
      <c r="A89" s="64"/>
      <c r="B89" s="64"/>
      <c r="C89" s="64"/>
      <c r="D89" s="64"/>
      <c r="E89" s="64"/>
      <c r="F89" s="64"/>
      <c r="G89" s="64"/>
      <c r="H89" s="64"/>
      <c r="I89" s="64"/>
      <c r="J89" s="64"/>
      <c r="K89" s="64"/>
      <c r="L89" s="64"/>
      <c r="M89" s="64"/>
      <c r="N89" s="64"/>
      <c r="O89" s="64"/>
      <c r="P89" s="64"/>
      <c r="Q89" s="64"/>
    </row>
    <row r="90" spans="1:17" x14ac:dyDescent="0.35">
      <c r="A90" s="64"/>
      <c r="B90" s="64"/>
      <c r="C90" s="64"/>
      <c r="D90" s="64"/>
      <c r="E90" s="64"/>
      <c r="F90" s="64"/>
      <c r="G90" s="64"/>
      <c r="H90" s="64"/>
      <c r="I90" s="64"/>
      <c r="J90" s="64"/>
      <c r="K90" s="64"/>
      <c r="L90" s="64"/>
      <c r="M90" s="64"/>
      <c r="N90" s="64"/>
      <c r="O90" s="64"/>
      <c r="P90" s="64"/>
      <c r="Q90" s="64"/>
    </row>
    <row r="91" spans="1:17" x14ac:dyDescent="0.35">
      <c r="A91" s="64"/>
      <c r="B91" s="64"/>
      <c r="C91" s="64"/>
      <c r="D91" s="64"/>
      <c r="E91" s="64"/>
      <c r="F91" s="64"/>
      <c r="G91" s="64"/>
      <c r="H91" s="64"/>
      <c r="I91" s="64"/>
      <c r="J91" s="64"/>
      <c r="K91" s="64"/>
      <c r="L91" s="64"/>
      <c r="M91" s="64"/>
      <c r="N91" s="64"/>
      <c r="O91" s="64"/>
      <c r="P91" s="64"/>
      <c r="Q91" s="64"/>
    </row>
    <row r="92" spans="1:17" x14ac:dyDescent="0.35">
      <c r="A92" s="64"/>
      <c r="B92" s="64"/>
      <c r="C92" s="64"/>
      <c r="D92" s="64"/>
      <c r="E92" s="64"/>
      <c r="F92" s="64"/>
      <c r="G92" s="64"/>
      <c r="H92" s="64"/>
      <c r="I92" s="64"/>
      <c r="J92" s="64"/>
      <c r="K92" s="64"/>
      <c r="L92" s="64"/>
      <c r="M92" s="64"/>
      <c r="N92" s="64"/>
      <c r="O92" s="64"/>
      <c r="P92" s="64"/>
      <c r="Q92" s="64"/>
    </row>
    <row r="93" spans="1:17" x14ac:dyDescent="0.35">
      <c r="A93" s="64"/>
      <c r="B93" s="64"/>
      <c r="C93" s="64"/>
      <c r="D93" s="64"/>
      <c r="E93" s="64"/>
      <c r="F93" s="64"/>
      <c r="G93" s="64"/>
      <c r="H93" s="64"/>
      <c r="I93" s="64"/>
      <c r="J93" s="64"/>
      <c r="K93" s="64"/>
      <c r="L93" s="64"/>
      <c r="M93" s="64"/>
      <c r="N93" s="64"/>
      <c r="O93" s="64"/>
      <c r="P93" s="64"/>
      <c r="Q93" s="64"/>
    </row>
    <row r="94" spans="1:17" x14ac:dyDescent="0.35">
      <c r="A94" s="64"/>
      <c r="B94" s="64"/>
      <c r="C94" s="64"/>
      <c r="D94" s="64"/>
      <c r="E94" s="64"/>
      <c r="F94" s="64"/>
      <c r="G94" s="64"/>
      <c r="H94" s="64"/>
      <c r="I94" s="64"/>
      <c r="J94" s="64"/>
      <c r="K94" s="64"/>
      <c r="L94" s="64"/>
      <c r="M94" s="64"/>
      <c r="N94" s="64"/>
      <c r="O94" s="64"/>
      <c r="P94" s="64"/>
      <c r="Q94" s="64"/>
    </row>
    <row r="95" spans="1:17" x14ac:dyDescent="0.35">
      <c r="A95" s="64"/>
      <c r="B95" s="64"/>
      <c r="C95" s="64"/>
      <c r="D95" s="64"/>
      <c r="E95" s="64"/>
      <c r="F95" s="64"/>
      <c r="G95" s="64"/>
      <c r="H95" s="64"/>
      <c r="I95" s="64"/>
      <c r="J95" s="64"/>
      <c r="K95" s="64"/>
      <c r="L95" s="64"/>
      <c r="M95" s="64"/>
      <c r="N95" s="64"/>
      <c r="O95" s="64"/>
      <c r="P95" s="64"/>
      <c r="Q95" s="64"/>
    </row>
    <row r="96" spans="1:17" x14ac:dyDescent="0.35">
      <c r="A96" s="64"/>
      <c r="B96" s="64"/>
      <c r="C96" s="64"/>
      <c r="D96" s="64"/>
      <c r="E96" s="64"/>
      <c r="F96" s="64"/>
      <c r="G96" s="64"/>
      <c r="H96" s="64"/>
      <c r="I96" s="64"/>
      <c r="J96" s="64"/>
      <c r="K96" s="64"/>
      <c r="L96" s="64"/>
      <c r="M96" s="64"/>
      <c r="N96" s="64"/>
      <c r="O96" s="64"/>
      <c r="P96" s="64"/>
      <c r="Q96" s="64"/>
    </row>
    <row r="97" spans="1:17" x14ac:dyDescent="0.35">
      <c r="A97" s="64"/>
      <c r="B97" s="64"/>
      <c r="C97" s="64"/>
      <c r="D97" s="64"/>
      <c r="E97" s="64"/>
      <c r="F97" s="64"/>
      <c r="G97" s="64"/>
      <c r="H97" s="64"/>
      <c r="I97" s="64"/>
      <c r="J97" s="64"/>
      <c r="K97" s="64"/>
      <c r="L97" s="64"/>
      <c r="M97" s="64"/>
      <c r="N97" s="64"/>
      <c r="O97" s="64"/>
      <c r="P97" s="64"/>
      <c r="Q97" s="64"/>
    </row>
    <row r="98" spans="1:17" x14ac:dyDescent="0.35">
      <c r="A98" s="64"/>
      <c r="B98" s="64"/>
      <c r="C98" s="64"/>
      <c r="D98" s="64"/>
      <c r="E98" s="64"/>
      <c r="F98" s="64"/>
      <c r="G98" s="64"/>
      <c r="H98" s="64"/>
      <c r="I98" s="64"/>
      <c r="J98" s="64"/>
      <c r="K98" s="64"/>
      <c r="L98" s="64"/>
      <c r="M98" s="64"/>
      <c r="N98" s="64"/>
      <c r="O98" s="64"/>
      <c r="P98" s="64"/>
      <c r="Q98" s="64"/>
    </row>
    <row r="99" spans="1:17" x14ac:dyDescent="0.35">
      <c r="A99" s="64"/>
      <c r="B99" s="64"/>
      <c r="C99" s="64"/>
      <c r="D99" s="64"/>
      <c r="E99" s="64"/>
      <c r="F99" s="64"/>
      <c r="G99" s="64"/>
      <c r="H99" s="64"/>
      <c r="I99" s="64"/>
      <c r="J99" s="64"/>
      <c r="K99" s="64"/>
      <c r="L99" s="64"/>
      <c r="M99" s="64"/>
      <c r="N99" s="64"/>
      <c r="O99" s="64"/>
      <c r="P99" s="64"/>
      <c r="Q99" s="64"/>
    </row>
    <row r="100" spans="1:17" x14ac:dyDescent="0.35">
      <c r="A100" s="64"/>
      <c r="B100" s="64"/>
      <c r="C100" s="64"/>
      <c r="D100" s="64"/>
      <c r="E100" s="64"/>
      <c r="F100" s="64"/>
      <c r="G100" s="64"/>
      <c r="H100" s="64"/>
      <c r="I100" s="64"/>
      <c r="J100" s="64"/>
      <c r="K100" s="64"/>
      <c r="L100" s="64"/>
      <c r="M100" s="64"/>
      <c r="N100" s="64"/>
      <c r="O100" s="64"/>
      <c r="P100" s="64"/>
      <c r="Q100" s="64"/>
    </row>
    <row r="114" spans="2:2" ht="18.5" x14ac:dyDescent="0.45">
      <c r="B114" s="329"/>
    </row>
    <row r="115" spans="2:2" ht="18.5" x14ac:dyDescent="0.45">
      <c r="B115" s="329"/>
    </row>
    <row r="116" spans="2:2" ht="18.5" x14ac:dyDescent="0.45">
      <c r="B116" s="329"/>
    </row>
    <row r="117" spans="2:2" ht="18.5" x14ac:dyDescent="0.45">
      <c r="B117" s="329"/>
    </row>
    <row r="118" spans="2:2" ht="18.5" x14ac:dyDescent="0.45">
      <c r="B118" s="329"/>
    </row>
    <row r="119" spans="2:2" ht="18.5" x14ac:dyDescent="0.45">
      <c r="B119" s="329"/>
    </row>
    <row r="120" spans="2:2" ht="18.5" x14ac:dyDescent="0.45">
      <c r="B120" s="329"/>
    </row>
    <row r="121" spans="2:2" ht="18.5" x14ac:dyDescent="0.45">
      <c r="B121" s="329"/>
    </row>
    <row r="122" spans="2:2" ht="18.5" x14ac:dyDescent="0.45">
      <c r="B122" s="329"/>
    </row>
    <row r="123" spans="2:2" ht="18.5" x14ac:dyDescent="0.45">
      <c r="B123" s="329"/>
    </row>
  </sheetData>
  <mergeCells count="181">
    <mergeCell ref="A55:K58"/>
    <mergeCell ref="M55:O58"/>
    <mergeCell ref="A48:K48"/>
    <mergeCell ref="M48:O48"/>
    <mergeCell ref="A49:K52"/>
    <mergeCell ref="M49:O52"/>
    <mergeCell ref="A54:K54"/>
    <mergeCell ref="M54:O54"/>
    <mergeCell ref="F41:G41"/>
    <mergeCell ref="H41:I41"/>
    <mergeCell ref="J41:K41"/>
    <mergeCell ref="F42:G42"/>
    <mergeCell ref="H42:I42"/>
    <mergeCell ref="J42:K42"/>
    <mergeCell ref="A39:E39"/>
    <mergeCell ref="F39:G39"/>
    <mergeCell ref="H39:I39"/>
    <mergeCell ref="J39:K39"/>
    <mergeCell ref="L39:P39"/>
    <mergeCell ref="A40:E40"/>
    <mergeCell ref="F40:G40"/>
    <mergeCell ref="H40:I40"/>
    <mergeCell ref="J40:K40"/>
    <mergeCell ref="L40:P40"/>
    <mergeCell ref="A37:E37"/>
    <mergeCell ref="F37:G37"/>
    <mergeCell ref="H37:I37"/>
    <mergeCell ref="J37:K37"/>
    <mergeCell ref="L37:P37"/>
    <mergeCell ref="A38:E38"/>
    <mergeCell ref="F38:G38"/>
    <mergeCell ref="H38:I38"/>
    <mergeCell ref="J38:K38"/>
    <mergeCell ref="L38:P38"/>
    <mergeCell ref="A35:E35"/>
    <mergeCell ref="F35:G35"/>
    <mergeCell ref="H35:I35"/>
    <mergeCell ref="J35:K35"/>
    <mergeCell ref="L35:P35"/>
    <mergeCell ref="A36:E36"/>
    <mergeCell ref="F36:G36"/>
    <mergeCell ref="H36:I36"/>
    <mergeCell ref="J36:K36"/>
    <mergeCell ref="L36:P36"/>
    <mergeCell ref="A33:E33"/>
    <mergeCell ref="F33:G33"/>
    <mergeCell ref="H33:I33"/>
    <mergeCell ref="J33:K33"/>
    <mergeCell ref="L33:P33"/>
    <mergeCell ref="A34:P34"/>
    <mergeCell ref="A31:E31"/>
    <mergeCell ref="F31:G31"/>
    <mergeCell ref="H31:I31"/>
    <mergeCell ref="J31:K31"/>
    <mergeCell ref="L31:P31"/>
    <mergeCell ref="A32:E32"/>
    <mergeCell ref="F32:G32"/>
    <mergeCell ref="H32:I32"/>
    <mergeCell ref="J32:K32"/>
    <mergeCell ref="L32:P32"/>
    <mergeCell ref="A29:E29"/>
    <mergeCell ref="F29:G29"/>
    <mergeCell ref="H29:I29"/>
    <mergeCell ref="J29:K29"/>
    <mergeCell ref="L29:P29"/>
    <mergeCell ref="A30:E30"/>
    <mergeCell ref="F30:G30"/>
    <mergeCell ref="H30:I30"/>
    <mergeCell ref="J30:K30"/>
    <mergeCell ref="L30:P30"/>
    <mergeCell ref="A27:E27"/>
    <mergeCell ref="F27:G27"/>
    <mergeCell ref="H27:I27"/>
    <mergeCell ref="J27:K27"/>
    <mergeCell ref="L27:P27"/>
    <mergeCell ref="A28:E28"/>
    <mergeCell ref="F28:G28"/>
    <mergeCell ref="H28:I28"/>
    <mergeCell ref="J28:K28"/>
    <mergeCell ref="L28:P28"/>
    <mergeCell ref="A25:E25"/>
    <mergeCell ref="F25:G25"/>
    <mergeCell ref="H25:I25"/>
    <mergeCell ref="J25:K25"/>
    <mergeCell ref="L25:P25"/>
    <mergeCell ref="A26:E26"/>
    <mergeCell ref="F26:G26"/>
    <mergeCell ref="H26:I26"/>
    <mergeCell ref="J26:K26"/>
    <mergeCell ref="L26:P26"/>
    <mergeCell ref="A23:E23"/>
    <mergeCell ref="F23:G23"/>
    <mergeCell ref="H23:I23"/>
    <mergeCell ref="J23:K23"/>
    <mergeCell ref="L23:P23"/>
    <mergeCell ref="A24:E24"/>
    <mergeCell ref="F24:G24"/>
    <mergeCell ref="H24:I24"/>
    <mergeCell ref="J24:K24"/>
    <mergeCell ref="L24:P24"/>
    <mergeCell ref="A21:E21"/>
    <mergeCell ref="F21:G21"/>
    <mergeCell ref="H21:I21"/>
    <mergeCell ref="J21:K21"/>
    <mergeCell ref="L21:P21"/>
    <mergeCell ref="A22:E22"/>
    <mergeCell ref="F22:G22"/>
    <mergeCell ref="H22:I22"/>
    <mergeCell ref="J22:K22"/>
    <mergeCell ref="L22:P22"/>
    <mergeCell ref="A16:E16"/>
    <mergeCell ref="F16:G16"/>
    <mergeCell ref="H16:I16"/>
    <mergeCell ref="J16:K16"/>
    <mergeCell ref="L16:P16"/>
    <mergeCell ref="A19:P19"/>
    <mergeCell ref="A20:E20"/>
    <mergeCell ref="F20:G20"/>
    <mergeCell ref="H20:I20"/>
    <mergeCell ref="J20:K20"/>
    <mergeCell ref="L20:P20"/>
    <mergeCell ref="A17:E17"/>
    <mergeCell ref="F17:G17"/>
    <mergeCell ref="H17:I17"/>
    <mergeCell ref="J17:K17"/>
    <mergeCell ref="L17:P17"/>
    <mergeCell ref="F18:G18"/>
    <mergeCell ref="H18:I18"/>
    <mergeCell ref="J18:K18"/>
    <mergeCell ref="L18:P18"/>
    <mergeCell ref="A14:E14"/>
    <mergeCell ref="F14:G14"/>
    <mergeCell ref="H14:I14"/>
    <mergeCell ref="J14:K14"/>
    <mergeCell ref="L14:P14"/>
    <mergeCell ref="A15:E15"/>
    <mergeCell ref="F15:G15"/>
    <mergeCell ref="H15:I15"/>
    <mergeCell ref="J15:K15"/>
    <mergeCell ref="L15:P15"/>
    <mergeCell ref="A12:E12"/>
    <mergeCell ref="F12:G12"/>
    <mergeCell ref="H12:I12"/>
    <mergeCell ref="J12:K12"/>
    <mergeCell ref="L12:P12"/>
    <mergeCell ref="A13:E13"/>
    <mergeCell ref="F13:G13"/>
    <mergeCell ref="H13:I13"/>
    <mergeCell ref="J13:K13"/>
    <mergeCell ref="L13:P13"/>
    <mergeCell ref="A9:P9"/>
    <mergeCell ref="A10:E10"/>
    <mergeCell ref="F10:G10"/>
    <mergeCell ref="H10:I10"/>
    <mergeCell ref="J10:K10"/>
    <mergeCell ref="L10:P10"/>
    <mergeCell ref="A11:E11"/>
    <mergeCell ref="F11:G11"/>
    <mergeCell ref="H11:I11"/>
    <mergeCell ref="J11:K11"/>
    <mergeCell ref="L11:P11"/>
    <mergeCell ref="A6:E7"/>
    <mergeCell ref="F6:G6"/>
    <mergeCell ref="H6:I6"/>
    <mergeCell ref="J6:K6"/>
    <mergeCell ref="L6:P7"/>
    <mergeCell ref="F7:G7"/>
    <mergeCell ref="H7:I7"/>
    <mergeCell ref="J7:K7"/>
    <mergeCell ref="A8:P8"/>
    <mergeCell ref="D1:G1"/>
    <mergeCell ref="I1:J1"/>
    <mergeCell ref="L1:M1"/>
    <mergeCell ref="D2:G2"/>
    <mergeCell ref="I2:J2"/>
    <mergeCell ref="L2:M2"/>
    <mergeCell ref="A4:G4"/>
    <mergeCell ref="H4:P4"/>
    <mergeCell ref="A5:B5"/>
    <mergeCell ref="C5:P5"/>
    <mergeCell ref="D3:G3"/>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D00-000000000000}">
      <formula1>AvancementTheme</formula1>
    </dataValidation>
  </dataValidations>
  <hyperlinks>
    <hyperlink ref="O1" location="DPDV_08VA2" display="PdV" xr:uid="{00000000-0004-0000-3D00-000000000000}"/>
    <hyperlink ref="P1" location="DKPI_08VA2" display="KPI's" xr:uid="{00000000-0004-0000-3D00-000001000000}"/>
  </hyperlinks>
  <pageMargins left="0.70866141732283472" right="0.70866141732283472" top="0.74803149606299213" bottom="0.74803149606299213" header="0.31496062992125984" footer="0.31496062992125984"/>
  <pageSetup paperSize="9" scale="48" orientation="portrait" r:id="rId1"/>
  <headerFooter>
    <oddHeader>&amp;LPAD Methodology (c) 2013-2014&amp;RStrategic Management Workshop</oddHeader>
    <oddFooter>&amp;L&amp;F&amp;C&amp;A&amp;RSituation au : &amp;D - page : &amp;P/&amp;N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51">
    <tabColor theme="6" tint="0.59999389629810485"/>
    <pageSetUpPr fitToPage="1"/>
  </sheetPr>
  <dimension ref="A1:V42"/>
  <sheetViews>
    <sheetView showGridLines="0" showRowColHeaders="0" zoomScaleNormal="100" workbookViewId="0">
      <pane ySplit="8" topLeftCell="A30" activePane="bottomLeft" state="frozen"/>
      <selection activeCell="H7" sqref="H7"/>
      <selection pane="bottomLeft" activeCell="G7" sqref="G7:H7"/>
    </sheetView>
  </sheetViews>
  <sheetFormatPr baseColWidth="10" defaultColWidth="11.453125" defaultRowHeight="14.5" x14ac:dyDescent="0.35"/>
  <cols>
    <col min="1" max="3" width="11.453125" style="60"/>
    <col min="4" max="9" width="10.7265625" style="60" customWidth="1"/>
    <col min="10" max="10" width="9.453125" style="60" customWidth="1"/>
    <col min="11" max="11" width="10.7265625" style="60" customWidth="1"/>
    <col min="12" max="16" width="9.453125" style="60" customWidth="1"/>
    <col min="17"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row>
    <row r="2" spans="1:22" s="58" customFormat="1" ht="18" customHeight="1" x14ac:dyDescent="0.35">
      <c r="A2" s="393"/>
      <c r="B2" s="393"/>
      <c r="C2" s="393"/>
      <c r="D2" s="3342" t="str">
        <f>NomClient</f>
        <v xml:space="preserve">EQUINIX </v>
      </c>
      <c r="E2" s="3343"/>
      <c r="F2" s="3343"/>
      <c r="G2" s="3344"/>
      <c r="H2" s="393"/>
      <c r="I2" s="3345" t="s">
        <v>410</v>
      </c>
      <c r="J2" s="3346"/>
      <c r="K2" s="393"/>
      <c r="L2" s="3347">
        <v>42420.723634259259</v>
      </c>
      <c r="M2" s="3348"/>
      <c r="N2" s="699"/>
      <c r="O2" s="451">
        <f>IF(LEN(DPDV_07DC2)&gt;0,LEN(DPDV_07DC2),0-PDV_NBmini)</f>
        <v>132</v>
      </c>
      <c r="P2" s="451">
        <f>IF(LEN(DKPI_07DC2)&gt;0,LEN(DKPI_07DC2),0-KPI_NBmini)</f>
        <v>51</v>
      </c>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3769" t="str">
        <f>Parametre!B29 &amp; "  : "</f>
        <v xml:space="preserve">Dimentionnement du réseau  : </v>
      </c>
      <c r="B4" s="3769"/>
      <c r="C4" s="3769"/>
      <c r="D4" s="3769"/>
      <c r="E4" s="3769"/>
      <c r="F4" s="3767" t="str">
        <f>"Nombre de partenaires pour " &amp; NomProd2</f>
        <v>Nombre de partenaires pour ASEMA</v>
      </c>
      <c r="G4" s="3767"/>
      <c r="H4" s="3767"/>
      <c r="I4" s="3767"/>
      <c r="J4" s="3767"/>
      <c r="K4" s="3767"/>
      <c r="L4" s="3767"/>
      <c r="M4" s="3767"/>
      <c r="N4" s="3767"/>
      <c r="O4" s="3767"/>
      <c r="P4" s="3768"/>
    </row>
    <row r="5" spans="1:22" s="193" customFormat="1" ht="21" customHeight="1" thickBot="1" x14ac:dyDescent="0.4">
      <c r="A5" s="3438" t="s">
        <v>14</v>
      </c>
      <c r="B5" s="3438"/>
      <c r="C5" s="3439" t="s">
        <v>615</v>
      </c>
      <c r="D5" s="3439"/>
      <c r="E5" s="3439"/>
      <c r="F5" s="3439"/>
      <c r="G5" s="3439"/>
      <c r="H5" s="3439"/>
      <c r="I5" s="3439"/>
      <c r="J5" s="3439"/>
      <c r="K5" s="3439"/>
      <c r="L5" s="3439"/>
      <c r="M5" s="3439"/>
      <c r="N5" s="3439"/>
      <c r="O5" s="3439"/>
      <c r="P5" s="3439"/>
    </row>
    <row r="6" spans="1:22" s="125" customFormat="1" ht="55.5" customHeight="1" thickTop="1" x14ac:dyDescent="0.35">
      <c r="A6" s="5708" t="s">
        <v>1161</v>
      </c>
      <c r="B6" s="5709"/>
      <c r="C6" s="881" t="s">
        <v>462</v>
      </c>
      <c r="D6" s="5709" t="s">
        <v>477</v>
      </c>
      <c r="E6" s="5709"/>
      <c r="F6" s="5709"/>
      <c r="G6" s="5710" t="s">
        <v>482</v>
      </c>
      <c r="H6" s="5710"/>
      <c r="I6" s="5710"/>
      <c r="J6" s="5710"/>
      <c r="K6" s="5710"/>
      <c r="L6" s="5710"/>
      <c r="M6" s="5710"/>
      <c r="N6" s="5710"/>
      <c r="O6" s="5710"/>
      <c r="P6" s="5711"/>
    </row>
    <row r="7" spans="1:22" s="118" customFormat="1" ht="49.5" customHeight="1" thickBot="1" x14ac:dyDescent="0.4">
      <c r="A7" s="5705"/>
      <c r="B7" s="5706"/>
      <c r="C7" s="882" t="s">
        <v>508</v>
      </c>
      <c r="D7" s="5707" t="s">
        <v>851</v>
      </c>
      <c r="E7" s="5707"/>
      <c r="F7" s="5707"/>
      <c r="G7" s="5707" t="s">
        <v>1769</v>
      </c>
      <c r="H7" s="5707"/>
      <c r="I7" s="5707" t="s">
        <v>480</v>
      </c>
      <c r="J7" s="5707"/>
      <c r="K7" s="5707" t="s">
        <v>479</v>
      </c>
      <c r="L7" s="5707"/>
      <c r="M7" s="882" t="s">
        <v>1106</v>
      </c>
      <c r="N7" s="882" t="s">
        <v>1107</v>
      </c>
      <c r="O7" s="882" t="s">
        <v>1108</v>
      </c>
      <c r="P7" s="883" t="s">
        <v>1109</v>
      </c>
    </row>
    <row r="8" spans="1:22" s="118" customFormat="1" ht="0.75" hidden="1" customHeight="1" x14ac:dyDescent="0.35">
      <c r="A8" s="884" t="s">
        <v>454</v>
      </c>
      <c r="B8" s="885"/>
      <c r="C8" s="886"/>
      <c r="D8" s="886"/>
      <c r="E8" s="887"/>
      <c r="F8" s="885"/>
      <c r="G8" s="885"/>
      <c r="H8" s="885"/>
      <c r="I8" s="885"/>
      <c r="J8" s="885"/>
      <c r="K8" s="885"/>
      <c r="L8" s="885"/>
      <c r="M8" s="885"/>
      <c r="N8" s="885"/>
      <c r="O8" s="885"/>
      <c r="P8" s="888"/>
    </row>
    <row r="9" spans="1:22" s="118" customFormat="1" ht="0.75" hidden="1" customHeight="1" x14ac:dyDescent="0.35">
      <c r="A9" s="889"/>
      <c r="B9" s="890"/>
      <c r="C9" s="891"/>
      <c r="D9" s="891"/>
      <c r="E9" s="892"/>
      <c r="F9" s="890"/>
      <c r="G9" s="890"/>
      <c r="H9" s="890"/>
      <c r="I9" s="890"/>
      <c r="J9" s="890"/>
      <c r="K9" s="890"/>
      <c r="L9" s="890"/>
      <c r="M9" s="890"/>
      <c r="N9" s="890"/>
      <c r="O9" s="890"/>
      <c r="P9" s="893"/>
    </row>
    <row r="10" spans="1:22" s="121" customFormat="1" ht="12" customHeight="1" thickTop="1" x14ac:dyDescent="0.35">
      <c r="A10" s="5702"/>
      <c r="B10" s="5703"/>
      <c r="C10" s="5703"/>
      <c r="D10" s="5703"/>
      <c r="E10" s="5703"/>
      <c r="F10" s="5703"/>
      <c r="G10" s="5703"/>
      <c r="H10" s="5703"/>
      <c r="I10" s="5703"/>
      <c r="J10" s="5703"/>
      <c r="K10" s="5703"/>
      <c r="L10" s="5703"/>
      <c r="M10" s="5703"/>
      <c r="N10" s="5703"/>
      <c r="O10" s="5703"/>
      <c r="P10" s="5704"/>
    </row>
    <row r="11" spans="1:22" s="116" customFormat="1" ht="35.25" customHeight="1" x14ac:dyDescent="0.3">
      <c r="A11" s="5693" t="str">
        <f>TYPOPARTNER!A11:D11</f>
        <v>Force de vente directe</v>
      </c>
      <c r="B11" s="5694"/>
      <c r="C11" s="880" t="str">
        <f>IF(LEN(TYPOPARTNER!E11)&lt;1,"",TYPOPARTNER!E11)</f>
        <v/>
      </c>
      <c r="D11" s="5695"/>
      <c r="E11" s="5695"/>
      <c r="F11" s="5695"/>
      <c r="G11" s="5696"/>
      <c r="H11" s="5696"/>
      <c r="I11" s="5697"/>
      <c r="J11" s="5697"/>
      <c r="K11" s="5698">
        <f t="shared" ref="K11:K17" si="0">I11-G11</f>
        <v>0</v>
      </c>
      <c r="L11" s="5698"/>
      <c r="M11" s="897"/>
      <c r="N11" s="897"/>
      <c r="O11" s="897"/>
      <c r="P11" s="898"/>
    </row>
    <row r="12" spans="1:22" s="118" customFormat="1" ht="35.25" customHeight="1" x14ac:dyDescent="0.35">
      <c r="A12" s="5693" t="str">
        <f>TYPOPARTNER!A12:D12</f>
        <v xml:space="preserve">VARs / SS2I locales </v>
      </c>
      <c r="B12" s="5694"/>
      <c r="C12" s="880" t="str">
        <f>IF(LEN(TYPOPARTNER!E12)&lt;1,"",TYPOPARTNER!E12)</f>
        <v>1- Haute</v>
      </c>
      <c r="D12" s="5695"/>
      <c r="E12" s="5695"/>
      <c r="F12" s="5695"/>
      <c r="G12" s="5696"/>
      <c r="H12" s="5696"/>
      <c r="I12" s="5697"/>
      <c r="J12" s="5697"/>
      <c r="K12" s="5698">
        <f t="shared" si="0"/>
        <v>0</v>
      </c>
      <c r="L12" s="5698"/>
      <c r="M12" s="897"/>
      <c r="N12" s="897"/>
      <c r="O12" s="897"/>
      <c r="P12" s="898"/>
    </row>
    <row r="13" spans="1:22" s="118" customFormat="1" ht="53.25" customHeight="1" x14ac:dyDescent="0.35">
      <c r="A13" s="5693" t="e">
        <f>TYPOPARTNER!#REF!</f>
        <v>#REF!</v>
      </c>
      <c r="B13" s="5694"/>
      <c r="C13" s="880" t="str">
        <f>IF(LEN(TYPOPARTNER!E13)&lt;1,"",TYPOPARTNER!E13)</f>
        <v>1- Haute</v>
      </c>
      <c r="D13" s="5695" t="s">
        <v>1768</v>
      </c>
      <c r="E13" s="5695"/>
      <c r="F13" s="5695"/>
      <c r="G13" s="5696">
        <v>230</v>
      </c>
      <c r="H13" s="5696"/>
      <c r="I13" s="5697">
        <v>450</v>
      </c>
      <c r="J13" s="5697"/>
      <c r="K13" s="5698">
        <f t="shared" si="0"/>
        <v>220</v>
      </c>
      <c r="L13" s="5698"/>
      <c r="M13" s="897"/>
      <c r="N13" s="897"/>
      <c r="O13" s="897"/>
      <c r="P13" s="898"/>
      <c r="R13" s="5672" t="s">
        <v>1796</v>
      </c>
      <c r="S13" s="5672"/>
    </row>
    <row r="14" spans="1:22" s="123" customFormat="1" ht="54.75" customHeight="1" x14ac:dyDescent="0.3">
      <c r="A14" s="5693" t="str">
        <f>TYPOPARTNER!A13:D13</f>
        <v>ESN ( SS2I )</v>
      </c>
      <c r="B14" s="5694"/>
      <c r="C14" s="880" t="str">
        <f>IF(LEN(TYPOPARTNER!E14)&lt;1,"",TYPOPARTNER!E14)</f>
        <v>1- Haute</v>
      </c>
      <c r="D14" s="5695" t="s">
        <v>1794</v>
      </c>
      <c r="E14" s="5695"/>
      <c r="F14" s="5695"/>
      <c r="G14" s="5696">
        <v>100</v>
      </c>
      <c r="H14" s="5696"/>
      <c r="I14" s="5697">
        <v>300</v>
      </c>
      <c r="J14" s="5697"/>
      <c r="K14" s="5698">
        <f t="shared" si="0"/>
        <v>200</v>
      </c>
      <c r="L14" s="5698"/>
      <c r="M14" s="897">
        <v>50</v>
      </c>
      <c r="N14" s="897">
        <v>50</v>
      </c>
      <c r="O14" s="897">
        <v>50</v>
      </c>
      <c r="P14" s="898">
        <v>50</v>
      </c>
    </row>
    <row r="15" spans="1:22" s="123" customFormat="1" ht="35.25" customHeight="1" x14ac:dyDescent="0.3">
      <c r="A15" s="5693" t="str">
        <f>TYPOPARTNER!A15:D15</f>
        <v>Editeurs de solutions complémentaires</v>
      </c>
      <c r="B15" s="5694"/>
      <c r="C15" s="880" t="str">
        <f>IF(LEN(TYPOPARTNER!E15)&lt;1,"",TYPOPARTNER!E15)</f>
        <v>1- Haute</v>
      </c>
      <c r="D15" s="5695" t="s">
        <v>1795</v>
      </c>
      <c r="E15" s="5695"/>
      <c r="F15" s="5695"/>
      <c r="G15" s="5696">
        <v>600</v>
      </c>
      <c r="H15" s="5696"/>
      <c r="I15" s="5697">
        <v>1000</v>
      </c>
      <c r="J15" s="5697"/>
      <c r="K15" s="5698">
        <f t="shared" si="0"/>
        <v>400</v>
      </c>
      <c r="L15" s="5698"/>
      <c r="M15" s="897">
        <v>100</v>
      </c>
      <c r="N15" s="897">
        <v>100</v>
      </c>
      <c r="O15" s="897">
        <v>100</v>
      </c>
      <c r="P15" s="898">
        <v>100</v>
      </c>
    </row>
    <row r="16" spans="1:22" s="124" customFormat="1" ht="35.25" customHeight="1" x14ac:dyDescent="0.35">
      <c r="A16" s="5693" t="str">
        <f>TYPOPARTNER!A16:D16</f>
        <v>Cabinets de conseil / Consultants</v>
      </c>
      <c r="B16" s="5694"/>
      <c r="C16" s="880" t="str">
        <f>IF(LEN(TYPOPARTNER!E16)&lt;1,"",TYPOPARTNER!E16)</f>
        <v>2- Moyenne</v>
      </c>
      <c r="D16" s="5695"/>
      <c r="E16" s="5695"/>
      <c r="F16" s="5695"/>
      <c r="G16" s="5672" t="s">
        <v>1796</v>
      </c>
      <c r="H16" s="5672"/>
      <c r="I16" s="5697"/>
      <c r="J16" s="5697"/>
      <c r="K16" s="5698" t="e">
        <f>I16-G16</f>
        <v>#VALUE!</v>
      </c>
      <c r="L16" s="5698"/>
      <c r="M16" s="897"/>
      <c r="N16" s="897"/>
      <c r="O16" s="897"/>
      <c r="P16" s="898"/>
    </row>
    <row r="17" spans="1:16" s="118" customFormat="1" ht="35.25" customHeight="1" x14ac:dyDescent="0.35">
      <c r="A17" s="5693" t="str">
        <f>TYPOPARTNER!A17:D17</f>
        <v xml:space="preserve">Hébergeurs </v>
      </c>
      <c r="B17" s="5694"/>
      <c r="C17" s="880" t="str">
        <f>IF(LEN(TYPOPARTNER!E17)&lt;1,"",TYPOPARTNER!E17)</f>
        <v>2- Moyenne</v>
      </c>
      <c r="D17" s="5695"/>
      <c r="E17" s="5695"/>
      <c r="F17" s="5695"/>
      <c r="G17" s="5696"/>
      <c r="H17" s="5696"/>
      <c r="I17" s="5697"/>
      <c r="J17" s="5697"/>
      <c r="K17" s="5698">
        <f t="shared" si="0"/>
        <v>0</v>
      </c>
      <c r="L17" s="5698"/>
      <c r="M17" s="897"/>
      <c r="N17" s="897"/>
      <c r="O17" s="897"/>
      <c r="P17" s="898"/>
    </row>
    <row r="18" spans="1:16" s="118" customFormat="1" ht="35.25" customHeight="1" x14ac:dyDescent="0.35">
      <c r="A18" s="5693" t="str">
        <f>TYPOPARTNER!A18:D18</f>
        <v>Agrégateurs</v>
      </c>
      <c r="B18" s="5694"/>
      <c r="C18" s="880" t="str">
        <f>IF(LEN(TYPOPARTNER!E18)&lt;1,"",TYPOPARTNER!E18)</f>
        <v>2- Moyenne</v>
      </c>
      <c r="D18" s="5695"/>
      <c r="E18" s="5695"/>
      <c r="F18" s="5695"/>
      <c r="G18" s="5696">
        <v>0</v>
      </c>
      <c r="H18" s="5696"/>
      <c r="I18" s="5697">
        <v>10</v>
      </c>
      <c r="J18" s="5697"/>
      <c r="K18" s="5698">
        <f>I18-G18</f>
        <v>10</v>
      </c>
      <c r="L18" s="5698"/>
      <c r="M18" s="897">
        <v>2</v>
      </c>
      <c r="N18" s="897">
        <v>3</v>
      </c>
      <c r="O18" s="897">
        <v>2</v>
      </c>
      <c r="P18" s="898">
        <v>3</v>
      </c>
    </row>
    <row r="19" spans="1:16" s="124" customFormat="1" ht="35.25" customHeight="1" x14ac:dyDescent="0.35">
      <c r="A19" s="5693" t="str">
        <f>TYPOPARTNER!A19:D19</f>
        <v>Autre</v>
      </c>
      <c r="B19" s="5694"/>
      <c r="C19" s="880" t="str">
        <f>IF(LEN(TYPOPARTNER!E19)&lt;1,"",TYPOPARTNER!E19)</f>
        <v/>
      </c>
      <c r="D19" s="5695"/>
      <c r="E19" s="5695"/>
      <c r="F19" s="5695"/>
      <c r="G19" s="5696"/>
      <c r="H19" s="5696"/>
      <c r="I19" s="5697"/>
      <c r="J19" s="5697"/>
      <c r="K19" s="5698">
        <f t="shared" ref="K19:K26" si="1">I19-G19</f>
        <v>0</v>
      </c>
      <c r="L19" s="5698"/>
      <c r="M19" s="897"/>
      <c r="N19" s="897"/>
      <c r="O19" s="897"/>
      <c r="P19" s="898"/>
    </row>
    <row r="20" spans="1:16" s="124" customFormat="1" ht="35.25" customHeight="1" x14ac:dyDescent="0.35">
      <c r="A20" s="5693">
        <f>TYPOPARTNER!A20:D20</f>
        <v>0</v>
      </c>
      <c r="B20" s="5694"/>
      <c r="C20" s="880" t="str">
        <f>IF(LEN(TYPOPARTNER!E20)&lt;1,"",TYPOPARTNER!E20)</f>
        <v/>
      </c>
      <c r="D20" s="5695"/>
      <c r="E20" s="5695"/>
      <c r="F20" s="5695"/>
      <c r="G20" s="5696"/>
      <c r="H20" s="5696"/>
      <c r="I20" s="5697"/>
      <c r="J20" s="5697"/>
      <c r="K20" s="5698">
        <f t="shared" si="1"/>
        <v>0</v>
      </c>
      <c r="L20" s="5698"/>
      <c r="M20" s="897"/>
      <c r="N20" s="897"/>
      <c r="O20" s="897"/>
      <c r="P20" s="898"/>
    </row>
    <row r="21" spans="1:16" s="124" customFormat="1" ht="35.25" customHeight="1" x14ac:dyDescent="0.35">
      <c r="A21" s="5693">
        <f>TYPOPARTNER!A21:D21</f>
        <v>0</v>
      </c>
      <c r="B21" s="5694"/>
      <c r="C21" s="880" t="str">
        <f>IF(LEN(TYPOPARTNER!E21)&lt;1,"",TYPOPARTNER!E21)</f>
        <v/>
      </c>
      <c r="D21" s="5695"/>
      <c r="E21" s="5695"/>
      <c r="F21" s="5695"/>
      <c r="G21" s="5696"/>
      <c r="H21" s="5696"/>
      <c r="I21" s="5697"/>
      <c r="J21" s="5697"/>
      <c r="K21" s="5698">
        <f t="shared" si="1"/>
        <v>0</v>
      </c>
      <c r="L21" s="5698"/>
      <c r="M21" s="897"/>
      <c r="N21" s="897"/>
      <c r="O21" s="897"/>
      <c r="P21" s="898"/>
    </row>
    <row r="22" spans="1:16" s="124" customFormat="1" ht="35.25" customHeight="1" x14ac:dyDescent="0.35">
      <c r="A22" s="5693">
        <f>TYPOPARTNER!A22:D22</f>
        <v>0</v>
      </c>
      <c r="B22" s="5694"/>
      <c r="C22" s="880" t="str">
        <f>IF(LEN(TYPOPARTNER!E22)&lt;1,"",TYPOPARTNER!E22)</f>
        <v/>
      </c>
      <c r="D22" s="5695"/>
      <c r="E22" s="5695"/>
      <c r="F22" s="5695"/>
      <c r="G22" s="5696"/>
      <c r="H22" s="5696"/>
      <c r="I22" s="5697"/>
      <c r="J22" s="5697"/>
      <c r="K22" s="5698">
        <f t="shared" si="1"/>
        <v>0</v>
      </c>
      <c r="L22" s="5698"/>
      <c r="M22" s="897"/>
      <c r="N22" s="897"/>
      <c r="O22" s="897"/>
      <c r="P22" s="898"/>
    </row>
    <row r="23" spans="1:16" s="124" customFormat="1" ht="35.25" customHeight="1" x14ac:dyDescent="0.35">
      <c r="A23" s="5693">
        <f>TYPOPARTNER!A23:D23</f>
        <v>0</v>
      </c>
      <c r="B23" s="5694"/>
      <c r="C23" s="880" t="str">
        <f>IF(LEN(TYPOPARTNER!E23)&lt;1,"",TYPOPARTNER!E23)</f>
        <v/>
      </c>
      <c r="D23" s="5695"/>
      <c r="E23" s="5695"/>
      <c r="F23" s="5695"/>
      <c r="G23" s="5696"/>
      <c r="H23" s="5696"/>
      <c r="I23" s="5697"/>
      <c r="J23" s="5697"/>
      <c r="K23" s="5698">
        <f t="shared" si="1"/>
        <v>0</v>
      </c>
      <c r="L23" s="5698"/>
      <c r="M23" s="897"/>
      <c r="N23" s="897"/>
      <c r="O23" s="897"/>
      <c r="P23" s="898"/>
    </row>
    <row r="24" spans="1:16" s="124" customFormat="1" ht="35.25" customHeight="1" x14ac:dyDescent="0.35">
      <c r="A24" s="5693">
        <f>TYPOPARTNER!A24:D24</f>
        <v>0</v>
      </c>
      <c r="B24" s="5694"/>
      <c r="C24" s="880" t="str">
        <f>IF(LEN(TYPOPARTNER!E24)&lt;1,"",TYPOPARTNER!E24)</f>
        <v/>
      </c>
      <c r="D24" s="5695"/>
      <c r="E24" s="5695"/>
      <c r="F24" s="5695"/>
      <c r="G24" s="5696"/>
      <c r="H24" s="5696"/>
      <c r="I24" s="5697"/>
      <c r="J24" s="5697"/>
      <c r="K24" s="5698">
        <f t="shared" si="1"/>
        <v>0</v>
      </c>
      <c r="L24" s="5698"/>
      <c r="M24" s="897"/>
      <c r="N24" s="897"/>
      <c r="O24" s="897"/>
      <c r="P24" s="898"/>
    </row>
    <row r="25" spans="1:16" s="124" customFormat="1" ht="35.25" customHeight="1" x14ac:dyDescent="0.35">
      <c r="A25" s="5693" t="e">
        <f>TYPOPARTNER!#REF!</f>
        <v>#REF!</v>
      </c>
      <c r="B25" s="5694"/>
      <c r="C25" s="880" t="e">
        <f>IF(LEN(TYPOPARTNER!#REF!)&lt;1,"",TYPOPARTNER!#REF!)</f>
        <v>#REF!</v>
      </c>
      <c r="D25" s="5695"/>
      <c r="E25" s="5695"/>
      <c r="F25" s="5695"/>
      <c r="G25" s="5696"/>
      <c r="H25" s="5696"/>
      <c r="I25" s="5697"/>
      <c r="J25" s="5697"/>
      <c r="K25" s="5698">
        <f t="shared" si="1"/>
        <v>0</v>
      </c>
      <c r="L25" s="5698"/>
      <c r="M25" s="897"/>
      <c r="N25" s="897"/>
      <c r="O25" s="897"/>
      <c r="P25" s="898"/>
    </row>
    <row r="26" spans="1:16" s="124" customFormat="1" ht="35.25" customHeight="1" x14ac:dyDescent="0.35">
      <c r="A26" s="5693" t="e">
        <f>TYPOPARTNER!#REF!</f>
        <v>#REF!</v>
      </c>
      <c r="B26" s="5694"/>
      <c r="C26" s="880" t="e">
        <f>IF(LEN(TYPOPARTNER!#REF!)&lt;1,"",TYPOPARTNER!#REF!)</f>
        <v>#REF!</v>
      </c>
      <c r="D26" s="5695"/>
      <c r="E26" s="5695"/>
      <c r="F26" s="5695"/>
      <c r="G26" s="5696"/>
      <c r="H26" s="5696"/>
      <c r="I26" s="5697"/>
      <c r="J26" s="5697"/>
      <c r="K26" s="5698">
        <f t="shared" si="1"/>
        <v>0</v>
      </c>
      <c r="L26" s="5698"/>
      <c r="M26" s="897"/>
      <c r="N26" s="897"/>
      <c r="O26" s="897"/>
      <c r="P26" s="898"/>
    </row>
    <row r="27" spans="1:16" s="121" customFormat="1" ht="12" customHeight="1" thickBot="1" x14ac:dyDescent="0.4">
      <c r="A27" s="5699"/>
      <c r="B27" s="5700"/>
      <c r="C27" s="5700"/>
      <c r="D27" s="5700"/>
      <c r="E27" s="5700"/>
      <c r="F27" s="5700"/>
      <c r="G27" s="5700"/>
      <c r="H27" s="5700"/>
      <c r="I27" s="5700"/>
      <c r="J27" s="5700"/>
      <c r="K27" s="5700"/>
      <c r="L27" s="5700"/>
      <c r="M27" s="5700"/>
      <c r="N27" s="5700"/>
      <c r="O27" s="5700"/>
      <c r="P27" s="5701"/>
    </row>
    <row r="28" spans="1:16" s="121" customFormat="1" ht="30" customHeight="1" thickTop="1" thickBot="1" x14ac:dyDescent="0.4">
      <c r="A28" s="894"/>
      <c r="B28" s="894"/>
      <c r="C28" s="894"/>
      <c r="D28" s="894"/>
      <c r="E28" s="894"/>
      <c r="F28" s="856"/>
      <c r="G28" s="5683" t="s">
        <v>222</v>
      </c>
      <c r="H28" s="5684"/>
      <c r="I28" s="5685">
        <f>SUM(I10:I26)</f>
        <v>1760</v>
      </c>
      <c r="J28" s="5685"/>
      <c r="K28" s="5685" t="e">
        <f>SUM(K10:K26)</f>
        <v>#VALUE!</v>
      </c>
      <c r="L28" s="5685"/>
      <c r="M28" s="895">
        <f>SUM(M10:M26)</f>
        <v>152</v>
      </c>
      <c r="N28" s="895">
        <f>SUM(N10:N26)</f>
        <v>153</v>
      </c>
      <c r="O28" s="895">
        <f>SUM(O10:O26)</f>
        <v>152</v>
      </c>
      <c r="P28" s="896">
        <f>SUM(P11:P26)</f>
        <v>153</v>
      </c>
    </row>
    <row r="29" spans="1:16" ht="13.5" customHeight="1" thickTop="1" x14ac:dyDescent="0.35">
      <c r="A29" s="859"/>
      <c r="B29" s="859"/>
      <c r="C29" s="860"/>
      <c r="D29" s="860"/>
      <c r="E29" s="860"/>
      <c r="F29" s="860"/>
      <c r="G29" s="860"/>
      <c r="H29" s="860"/>
      <c r="I29" s="860"/>
      <c r="J29" s="860"/>
      <c r="K29" s="860"/>
      <c r="L29" s="860"/>
      <c r="M29" s="860"/>
      <c r="N29" s="860"/>
      <c r="O29" s="861"/>
      <c r="P29" s="861"/>
    </row>
    <row r="30" spans="1:16" ht="15" thickBot="1" x14ac:dyDescent="0.4">
      <c r="A30" s="64"/>
      <c r="B30" s="64"/>
      <c r="C30" s="64"/>
      <c r="D30" s="64"/>
      <c r="E30" s="64"/>
      <c r="F30" s="64"/>
      <c r="G30" s="64"/>
      <c r="H30" s="64"/>
      <c r="I30" s="64"/>
      <c r="J30" s="64"/>
      <c r="K30" s="64"/>
      <c r="L30" s="64"/>
      <c r="M30" s="64"/>
      <c r="N30" s="64"/>
      <c r="O30" s="64"/>
      <c r="P30" s="64"/>
    </row>
    <row r="31" spans="1:16" ht="19.5" thickTop="1" thickBot="1" x14ac:dyDescent="0.4">
      <c r="A31" s="5673" t="s">
        <v>10</v>
      </c>
      <c r="B31" s="5686"/>
      <c r="C31" s="5686"/>
      <c r="D31" s="5686"/>
      <c r="E31" s="5686"/>
      <c r="F31" s="5686"/>
      <c r="G31" s="5686"/>
      <c r="H31" s="5686"/>
      <c r="I31" s="5686"/>
      <c r="J31" s="5686"/>
      <c r="K31" s="5687"/>
      <c r="L31" s="31"/>
      <c r="M31" s="3725" t="s">
        <v>748</v>
      </c>
      <c r="N31" s="3726"/>
      <c r="O31" s="3727"/>
      <c r="P31" s="31"/>
    </row>
    <row r="32" spans="1:16" ht="20.25" customHeight="1" x14ac:dyDescent="0.35">
      <c r="A32" s="5676" t="s">
        <v>1079</v>
      </c>
      <c r="B32" s="5688"/>
      <c r="C32" s="5688"/>
      <c r="D32" s="5688"/>
      <c r="E32" s="5688"/>
      <c r="F32" s="5688"/>
      <c r="G32" s="5688"/>
      <c r="H32" s="5688"/>
      <c r="I32" s="5688"/>
      <c r="J32" s="5688"/>
      <c r="K32" s="5689"/>
      <c r="L32" s="33"/>
      <c r="M32" s="3750" t="s">
        <v>827</v>
      </c>
      <c r="N32" s="3751"/>
      <c r="O32" s="3752"/>
      <c r="P32" s="33"/>
    </row>
    <row r="33" spans="1:16" ht="20.25" customHeight="1" x14ac:dyDescent="0.35">
      <c r="A33" s="5676"/>
      <c r="B33" s="5688"/>
      <c r="C33" s="5688"/>
      <c r="D33" s="5688"/>
      <c r="E33" s="5688"/>
      <c r="F33" s="5688"/>
      <c r="G33" s="5688"/>
      <c r="H33" s="5688"/>
      <c r="I33" s="5688"/>
      <c r="J33" s="5688"/>
      <c r="K33" s="5689"/>
      <c r="L33" s="33"/>
      <c r="M33" s="3753"/>
      <c r="N33" s="3754"/>
      <c r="O33" s="3755"/>
      <c r="P33" s="33"/>
    </row>
    <row r="34" spans="1:16" ht="20.25" customHeight="1" x14ac:dyDescent="0.35">
      <c r="A34" s="5676"/>
      <c r="B34" s="5688"/>
      <c r="C34" s="5688"/>
      <c r="D34" s="5688"/>
      <c r="E34" s="5688"/>
      <c r="F34" s="5688"/>
      <c r="G34" s="5688"/>
      <c r="H34" s="5688"/>
      <c r="I34" s="5688"/>
      <c r="J34" s="5688"/>
      <c r="K34" s="5689"/>
      <c r="L34" s="33"/>
      <c r="M34" s="3753"/>
      <c r="N34" s="3754"/>
      <c r="O34" s="3755"/>
      <c r="P34" s="33"/>
    </row>
    <row r="35" spans="1:16" ht="20.25" customHeight="1" thickBot="1" x14ac:dyDescent="0.4">
      <c r="A35" s="5690"/>
      <c r="B35" s="5691"/>
      <c r="C35" s="5691"/>
      <c r="D35" s="5691"/>
      <c r="E35" s="5691"/>
      <c r="F35" s="5691"/>
      <c r="G35" s="5691"/>
      <c r="H35" s="5691"/>
      <c r="I35" s="5691"/>
      <c r="J35" s="5691"/>
      <c r="K35" s="5692"/>
      <c r="L35" s="33"/>
      <c r="M35" s="3756"/>
      <c r="N35" s="3757"/>
      <c r="O35" s="3758"/>
      <c r="P35" s="33"/>
    </row>
    <row r="36" spans="1:16" ht="15.5" thickTop="1" thickBot="1" x14ac:dyDescent="0.4">
      <c r="A36" s="64"/>
      <c r="B36" s="64"/>
      <c r="C36" s="64"/>
      <c r="D36" s="64"/>
      <c r="E36" s="64"/>
      <c r="F36" s="64"/>
      <c r="G36" s="64"/>
      <c r="H36" s="64"/>
      <c r="I36" s="64"/>
      <c r="J36" s="64"/>
      <c r="K36" s="64"/>
      <c r="L36" s="64"/>
      <c r="M36" s="31"/>
      <c r="N36" s="31"/>
      <c r="O36" s="31"/>
      <c r="P36" s="64"/>
    </row>
    <row r="37" spans="1:16" ht="19.5" thickTop="1" thickBot="1" x14ac:dyDescent="0.4">
      <c r="A37" s="5673" t="s">
        <v>11</v>
      </c>
      <c r="B37" s="5674"/>
      <c r="C37" s="5674"/>
      <c r="D37" s="5674"/>
      <c r="E37" s="5674"/>
      <c r="F37" s="5674"/>
      <c r="G37" s="5674"/>
      <c r="H37" s="5674"/>
      <c r="I37" s="5674"/>
      <c r="J37" s="5674"/>
      <c r="K37" s="5675"/>
      <c r="L37" s="31"/>
      <c r="M37" s="3725" t="s">
        <v>748</v>
      </c>
      <c r="N37" s="3726"/>
      <c r="O37" s="3727"/>
      <c r="P37" s="31"/>
    </row>
    <row r="38" spans="1:16" ht="20.25" customHeight="1" x14ac:dyDescent="0.35">
      <c r="A38" s="5676" t="s">
        <v>1078</v>
      </c>
      <c r="B38" s="5677"/>
      <c r="C38" s="5677"/>
      <c r="D38" s="5677"/>
      <c r="E38" s="5677"/>
      <c r="F38" s="5677"/>
      <c r="G38" s="5677"/>
      <c r="H38" s="5677"/>
      <c r="I38" s="5677"/>
      <c r="J38" s="5677"/>
      <c r="K38" s="5678"/>
      <c r="L38" s="33"/>
      <c r="M38" s="3750" t="s">
        <v>828</v>
      </c>
      <c r="N38" s="3751"/>
      <c r="O38" s="3752"/>
      <c r="P38" s="33"/>
    </row>
    <row r="39" spans="1:16" ht="20.25" customHeight="1" x14ac:dyDescent="0.35">
      <c r="A39" s="5679"/>
      <c r="B39" s="5677"/>
      <c r="C39" s="5677"/>
      <c r="D39" s="5677"/>
      <c r="E39" s="5677"/>
      <c r="F39" s="5677"/>
      <c r="G39" s="5677"/>
      <c r="H39" s="5677"/>
      <c r="I39" s="5677"/>
      <c r="J39" s="5677"/>
      <c r="K39" s="5678"/>
      <c r="L39" s="33"/>
      <c r="M39" s="3753"/>
      <c r="N39" s="3754"/>
      <c r="O39" s="3755"/>
      <c r="P39" s="33"/>
    </row>
    <row r="40" spans="1:16" ht="20.25" customHeight="1" x14ac:dyDescent="0.35">
      <c r="A40" s="5679"/>
      <c r="B40" s="5677"/>
      <c r="C40" s="5677"/>
      <c r="D40" s="5677"/>
      <c r="E40" s="5677"/>
      <c r="F40" s="5677"/>
      <c r="G40" s="5677"/>
      <c r="H40" s="5677"/>
      <c r="I40" s="5677"/>
      <c r="J40" s="5677"/>
      <c r="K40" s="5678"/>
      <c r="L40" s="33"/>
      <c r="M40" s="3753"/>
      <c r="N40" s="3754"/>
      <c r="O40" s="3755"/>
      <c r="P40" s="33"/>
    </row>
    <row r="41" spans="1:16" ht="20.25" customHeight="1" thickBot="1" x14ac:dyDescent="0.4">
      <c r="A41" s="5680"/>
      <c r="B41" s="5681"/>
      <c r="C41" s="5681"/>
      <c r="D41" s="5681"/>
      <c r="E41" s="5681"/>
      <c r="F41" s="5681"/>
      <c r="G41" s="5681"/>
      <c r="H41" s="5681"/>
      <c r="I41" s="5681"/>
      <c r="J41" s="5681"/>
      <c r="K41" s="5682"/>
      <c r="L41" s="33"/>
      <c r="M41" s="3756"/>
      <c r="N41" s="3757"/>
      <c r="O41" s="3758"/>
      <c r="P41" s="33"/>
    </row>
    <row r="42" spans="1:16" ht="15" thickTop="1" x14ac:dyDescent="0.35">
      <c r="A42" s="64"/>
      <c r="B42" s="64"/>
      <c r="C42" s="64"/>
      <c r="D42" s="64"/>
      <c r="E42" s="64"/>
      <c r="F42" s="64"/>
      <c r="G42" s="64"/>
      <c r="H42" s="64"/>
      <c r="I42" s="64"/>
      <c r="J42" s="64"/>
      <c r="K42" s="64"/>
      <c r="L42" s="64"/>
      <c r="M42" s="64"/>
      <c r="N42" s="64"/>
      <c r="O42" s="64"/>
      <c r="P42" s="64"/>
    </row>
  </sheetData>
  <mergeCells count="113">
    <mergeCell ref="A4:E4"/>
    <mergeCell ref="F4:P4"/>
    <mergeCell ref="A5:B5"/>
    <mergeCell ref="C5:P5"/>
    <mergeCell ref="A6:B6"/>
    <mergeCell ref="D6:F6"/>
    <mergeCell ref="G6:P6"/>
    <mergeCell ref="D1:G1"/>
    <mergeCell ref="I1:J1"/>
    <mergeCell ref="L1:M1"/>
    <mergeCell ref="D2:G2"/>
    <mergeCell ref="I2:J2"/>
    <mergeCell ref="L2:M2"/>
    <mergeCell ref="D3:G3"/>
    <mergeCell ref="A10:P10"/>
    <mergeCell ref="A11:B11"/>
    <mergeCell ref="D11:F11"/>
    <mergeCell ref="G11:H11"/>
    <mergeCell ref="I11:J11"/>
    <mergeCell ref="K11:L11"/>
    <mergeCell ref="A7:B7"/>
    <mergeCell ref="D7:F7"/>
    <mergeCell ref="G7:H7"/>
    <mergeCell ref="I7:J7"/>
    <mergeCell ref="K7:L7"/>
    <mergeCell ref="A12:B12"/>
    <mergeCell ref="D12:F12"/>
    <mergeCell ref="G12:H12"/>
    <mergeCell ref="I12:J12"/>
    <mergeCell ref="K12:L12"/>
    <mergeCell ref="A13:B13"/>
    <mergeCell ref="D13:F13"/>
    <mergeCell ref="G13:H13"/>
    <mergeCell ref="I13:J13"/>
    <mergeCell ref="K13:L13"/>
    <mergeCell ref="A14:B14"/>
    <mergeCell ref="D14:F14"/>
    <mergeCell ref="G14:H14"/>
    <mergeCell ref="I14:J14"/>
    <mergeCell ref="K14:L14"/>
    <mergeCell ref="A15:B15"/>
    <mergeCell ref="D15:F15"/>
    <mergeCell ref="G15:H15"/>
    <mergeCell ref="I15:J15"/>
    <mergeCell ref="K15:L15"/>
    <mergeCell ref="A16:B16"/>
    <mergeCell ref="D16:F16"/>
    <mergeCell ref="G16:H16"/>
    <mergeCell ref="I16:J16"/>
    <mergeCell ref="K16:L16"/>
    <mergeCell ref="A17:B17"/>
    <mergeCell ref="D17:F17"/>
    <mergeCell ref="G17:H17"/>
    <mergeCell ref="I17:J17"/>
    <mergeCell ref="K17:L17"/>
    <mergeCell ref="A18:B18"/>
    <mergeCell ref="D18:F18"/>
    <mergeCell ref="G18:H18"/>
    <mergeCell ref="I18:J18"/>
    <mergeCell ref="K18:L18"/>
    <mergeCell ref="A19:B19"/>
    <mergeCell ref="D19:F19"/>
    <mergeCell ref="G19:H19"/>
    <mergeCell ref="I19:J19"/>
    <mergeCell ref="K19:L19"/>
    <mergeCell ref="A20:B20"/>
    <mergeCell ref="D20:F20"/>
    <mergeCell ref="G20:H20"/>
    <mergeCell ref="I20:J20"/>
    <mergeCell ref="K20:L20"/>
    <mergeCell ref="A21:B21"/>
    <mergeCell ref="D21:F21"/>
    <mergeCell ref="G21:H21"/>
    <mergeCell ref="I21:J21"/>
    <mergeCell ref="K21:L21"/>
    <mergeCell ref="D25:F25"/>
    <mergeCell ref="G25:H25"/>
    <mergeCell ref="I25:J25"/>
    <mergeCell ref="K25:L25"/>
    <mergeCell ref="A22:B22"/>
    <mergeCell ref="D22:F22"/>
    <mergeCell ref="G22:H22"/>
    <mergeCell ref="I22:J22"/>
    <mergeCell ref="K22:L22"/>
    <mergeCell ref="A23:B23"/>
    <mergeCell ref="D23:F23"/>
    <mergeCell ref="G23:H23"/>
    <mergeCell ref="I23:J23"/>
    <mergeCell ref="K23:L23"/>
    <mergeCell ref="R13:S13"/>
    <mergeCell ref="A37:K37"/>
    <mergeCell ref="M37:O37"/>
    <mergeCell ref="A38:K41"/>
    <mergeCell ref="M38:O41"/>
    <mergeCell ref="G28:H28"/>
    <mergeCell ref="I28:J28"/>
    <mergeCell ref="K28:L28"/>
    <mergeCell ref="A31:K31"/>
    <mergeCell ref="M31:O31"/>
    <mergeCell ref="A32:K35"/>
    <mergeCell ref="M32:O35"/>
    <mergeCell ref="A26:B26"/>
    <mergeCell ref="D26:F26"/>
    <mergeCell ref="G26:H26"/>
    <mergeCell ref="I26:J26"/>
    <mergeCell ref="K26:L26"/>
    <mergeCell ref="A27:P27"/>
    <mergeCell ref="A24:B24"/>
    <mergeCell ref="D24:F24"/>
    <mergeCell ref="G24:H24"/>
    <mergeCell ref="I24:J24"/>
    <mergeCell ref="K24:L24"/>
    <mergeCell ref="A25:B2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E00-000000000000}">
      <formula1>AvancementTheme</formula1>
    </dataValidation>
  </dataValidations>
  <hyperlinks>
    <hyperlink ref="O1" location="DPDV_07DC2" display="PdV" xr:uid="{00000000-0004-0000-3E00-000000000000}"/>
    <hyperlink ref="P1" location="DKPI_07DC2" display="KPI's" xr:uid="{00000000-0004-0000-3E00-000001000000}"/>
  </hyperlinks>
  <pageMargins left="0.70866141732283472" right="0.70866141732283472" top="0.74803149606299213" bottom="0.74803149606299213" header="0.31496062992125984" footer="0.31496062992125984"/>
  <pageSetup paperSize="9" scale="52" orientation="portrait" r:id="rId1"/>
  <headerFooter>
    <oddHeader>&amp;LPAD Methodology (c) 2013-2014&amp;RStrategic Management Workshop</oddHeader>
    <oddFooter>&amp;L&amp;F&amp;C&amp;A&amp;RSituation au : &amp;D - page : &amp;P/&amp;N</oddFooter>
  </headerFooter>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68">
    <tabColor rgb="FF92D050"/>
    <pageSetUpPr fitToPage="1"/>
  </sheetPr>
  <dimension ref="A1:V175"/>
  <sheetViews>
    <sheetView showGridLines="0" showRowColHeaders="0" showZeros="0" zoomScaleNormal="100" workbookViewId="0">
      <selection activeCell="H7" sqref="H7"/>
    </sheetView>
  </sheetViews>
  <sheetFormatPr baseColWidth="10" defaultColWidth="9.1796875" defaultRowHeight="14.5" x14ac:dyDescent="0.35"/>
  <cols>
    <col min="1" max="2" width="9.1796875" style="166"/>
    <col min="3" max="3" width="14.453125" style="166" customWidth="1"/>
    <col min="4" max="5" width="9.1796875" style="166"/>
    <col min="6" max="6" width="10.1796875" style="166" customWidth="1"/>
    <col min="7" max="8" width="9.1796875" style="166"/>
    <col min="9" max="9" width="9.54296875" style="166" bestFit="1" customWidth="1"/>
    <col min="10" max="11" width="9.1796875" style="166"/>
    <col min="12" max="12" width="12.1796875" style="166" customWidth="1"/>
    <col min="13" max="14" width="9.1796875" style="166"/>
    <col min="15" max="15" width="10.54296875" style="166" customWidth="1"/>
    <col min="16" max="18" width="9.1796875" style="166"/>
    <col min="19" max="19" width="11.54296875" style="166" customWidth="1"/>
    <col min="20" max="16384" width="9.1796875" style="166"/>
  </cols>
  <sheetData>
    <row r="1" spans="1:22" s="54" customFormat="1" ht="15" customHeight="1" x14ac:dyDescent="0.35">
      <c r="A1" s="1570"/>
      <c r="B1" s="1570"/>
      <c r="C1" s="1570"/>
      <c r="D1" s="3341" t="s">
        <v>5</v>
      </c>
      <c r="E1" s="3341"/>
      <c r="F1" s="3341"/>
      <c r="G1" s="3341"/>
      <c r="H1" s="391"/>
      <c r="I1" s="3341" t="s">
        <v>6</v>
      </c>
      <c r="J1" s="3341"/>
      <c r="K1" s="1570"/>
      <c r="L1" s="3341" t="s">
        <v>9</v>
      </c>
      <c r="M1" s="3341"/>
      <c r="N1" s="1570"/>
      <c r="O1" s="479" t="s">
        <v>2</v>
      </c>
      <c r="P1" s="479" t="s">
        <v>3</v>
      </c>
      <c r="Q1" s="458"/>
      <c r="R1" s="458"/>
      <c r="S1" s="458"/>
      <c r="T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42419.891724537039</v>
      </c>
      <c r="M2" s="3348"/>
      <c r="N2" s="394"/>
      <c r="O2" s="451">
        <f>IF(LEN(DPDV_02MV2)&gt;0,LEN(DPDV_02MV2),0-PDV_NBmini)</f>
        <v>-10</v>
      </c>
      <c r="P2" s="451">
        <f>IF(LEN(DKPI_02MV2)&gt;0,LEN(DKPI_02MV2),0-KPI_NBmini)</f>
        <v>44</v>
      </c>
      <c r="Q2" s="459"/>
      <c r="R2" s="459"/>
      <c r="S2" s="459"/>
      <c r="T2" s="459"/>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19.5" customHeight="1" thickBot="1" x14ac:dyDescent="0.4">
      <c r="A4" s="5806" t="str">
        <f>Parametre!B24  &amp; "  : "</f>
        <v xml:space="preserve">Vision, Attente &amp; Stratégie  : </v>
      </c>
      <c r="B4" s="5806"/>
      <c r="C4" s="5806"/>
      <c r="D4" s="5806"/>
      <c r="E4" s="5806"/>
      <c r="F4" s="5806"/>
      <c r="G4" s="5806"/>
      <c r="H4" s="5807" t="str">
        <f xml:space="preserve"> "Modèle de Vente à " &amp; NbAnVision &amp; " ans pour " &amp; NomProd2</f>
        <v>Modèle de Vente à 3 ans pour ASEMA</v>
      </c>
      <c r="I4" s="5807"/>
      <c r="J4" s="5807"/>
      <c r="K4" s="5807"/>
      <c r="L4" s="5807"/>
      <c r="M4" s="5807"/>
      <c r="N4" s="5807"/>
      <c r="O4" s="5807"/>
      <c r="P4" s="5808"/>
      <c r="Q4" s="444"/>
      <c r="R4" s="444"/>
      <c r="S4" s="444"/>
      <c r="T4" s="444"/>
    </row>
    <row r="5" spans="1:22" s="193" customFormat="1" ht="18.75" customHeight="1" x14ac:dyDescent="0.35">
      <c r="A5" s="3438" t="s">
        <v>14</v>
      </c>
      <c r="B5" s="3438"/>
      <c r="C5" s="3508" t="s">
        <v>1004</v>
      </c>
      <c r="D5" s="3508"/>
      <c r="E5" s="3508"/>
      <c r="F5" s="3508"/>
      <c r="G5" s="3508"/>
      <c r="H5" s="3508"/>
      <c r="I5" s="3508"/>
      <c r="J5" s="3508"/>
      <c r="K5" s="3508"/>
      <c r="L5" s="3508"/>
      <c r="M5" s="3508"/>
      <c r="N5" s="3508"/>
      <c r="O5" s="3508"/>
      <c r="P5" s="3508"/>
      <c r="Q5" s="460"/>
      <c r="R5" s="460"/>
      <c r="S5" s="460"/>
      <c r="T5" s="460"/>
    </row>
    <row r="6" spans="1:22" s="193" customFormat="1" ht="18.75" customHeight="1" thickBot="1" x14ac:dyDescent="0.4">
      <c r="A6" s="1571"/>
      <c r="B6" s="1571"/>
      <c r="C6" s="1573"/>
      <c r="D6" s="1573"/>
      <c r="E6" s="1573"/>
      <c r="F6" s="1573"/>
      <c r="G6" s="1573"/>
      <c r="H6" s="1573"/>
      <c r="I6" s="481"/>
      <c r="J6" s="1573"/>
      <c r="K6" s="1573"/>
      <c r="L6" s="1573"/>
      <c r="M6" s="1573"/>
      <c r="N6" s="1573"/>
      <c r="O6" s="1573"/>
      <c r="P6" s="1573"/>
      <c r="Q6" s="460"/>
      <c r="R6" s="460"/>
      <c r="S6" s="460"/>
      <c r="T6" s="460"/>
    </row>
    <row r="7" spans="1:22" s="193" customFormat="1" ht="18.75" customHeight="1" thickTop="1" thickBot="1" x14ac:dyDescent="0.4">
      <c r="A7" s="5809" t="s">
        <v>1110</v>
      </c>
      <c r="B7" s="5810"/>
      <c r="C7" s="5810"/>
      <c r="D7" s="5810"/>
      <c r="E7" s="5810"/>
      <c r="F7" s="5810"/>
      <c r="G7" s="5811"/>
      <c r="H7" s="460"/>
      <c r="I7" s="482"/>
      <c r="J7" s="5809" t="s">
        <v>1111</v>
      </c>
      <c r="K7" s="5810"/>
      <c r="L7" s="5810"/>
      <c r="M7" s="5810"/>
      <c r="N7" s="5810"/>
      <c r="O7" s="5811"/>
      <c r="P7" s="1573"/>
      <c r="Q7" s="460"/>
      <c r="R7" s="460"/>
      <c r="S7" s="460"/>
      <c r="T7" s="460"/>
    </row>
    <row r="8" spans="1:22" s="193" customFormat="1" ht="18.75" customHeight="1" thickTop="1" x14ac:dyDescent="0.35">
      <c r="A8" s="483" t="s">
        <v>1417</v>
      </c>
      <c r="B8" s="1580"/>
      <c r="C8" s="1580"/>
      <c r="D8" s="5812" t="s">
        <v>868</v>
      </c>
      <c r="E8" s="5813"/>
      <c r="F8" s="5813"/>
      <c r="G8" s="5814"/>
      <c r="H8" s="460"/>
      <c r="I8" s="1580"/>
      <c r="J8" s="484" t="s">
        <v>1418</v>
      </c>
      <c r="K8" s="485"/>
      <c r="L8" s="486"/>
      <c r="M8" s="487" t="s">
        <v>1113</v>
      </c>
      <c r="N8" s="488"/>
      <c r="O8" s="489"/>
      <c r="P8" s="1573"/>
      <c r="Q8" s="460"/>
      <c r="R8" s="460"/>
      <c r="S8" s="460"/>
      <c r="T8" s="460"/>
    </row>
    <row r="9" spans="1:22" s="193" customFormat="1" ht="18.75" customHeight="1" x14ac:dyDescent="0.35">
      <c r="A9" s="483" t="s">
        <v>1115</v>
      </c>
      <c r="B9" s="1580"/>
      <c r="C9" s="1580"/>
      <c r="D9" s="5815" t="s">
        <v>1419</v>
      </c>
      <c r="E9" s="5816"/>
      <c r="F9" s="5816"/>
      <c r="G9" s="5817"/>
      <c r="H9" s="460"/>
      <c r="I9" s="1580"/>
      <c r="J9" s="490" t="s">
        <v>1017</v>
      </c>
      <c r="K9" s="491"/>
      <c r="L9" s="492"/>
      <c r="M9" s="493" t="s">
        <v>1114</v>
      </c>
      <c r="N9" s="494"/>
      <c r="O9" s="495"/>
      <c r="P9" s="1573"/>
      <c r="Q9" s="460"/>
      <c r="R9" s="460"/>
      <c r="S9" s="460"/>
      <c r="T9" s="460"/>
    </row>
    <row r="10" spans="1:22" s="193" customFormat="1" ht="21.75" customHeight="1" x14ac:dyDescent="0.35">
      <c r="A10" s="5818" t="s">
        <v>1420</v>
      </c>
      <c r="B10" s="5819"/>
      <c r="C10" s="5820"/>
      <c r="D10" s="5824" t="s">
        <v>1419</v>
      </c>
      <c r="E10" s="5825"/>
      <c r="F10" s="5825"/>
      <c r="G10" s="5826"/>
      <c r="H10" s="460"/>
      <c r="I10" s="496"/>
      <c r="J10" s="497" t="s">
        <v>1239</v>
      </c>
      <c r="K10" s="491"/>
      <c r="L10" s="498"/>
      <c r="M10" s="499" t="s">
        <v>1116</v>
      </c>
      <c r="N10" s="494"/>
      <c r="O10" s="495"/>
      <c r="P10" s="1573"/>
      <c r="Q10" s="460"/>
      <c r="R10" s="460"/>
      <c r="S10" s="460"/>
      <c r="T10" s="460"/>
    </row>
    <row r="11" spans="1:22" s="193" customFormat="1" ht="21" customHeight="1" thickBot="1" x14ac:dyDescent="0.4">
      <c r="A11" s="5821"/>
      <c r="B11" s="5822"/>
      <c r="C11" s="5823"/>
      <c r="D11" s="5827"/>
      <c r="E11" s="5828"/>
      <c r="F11" s="5828"/>
      <c r="G11" s="5829"/>
      <c r="H11" s="460"/>
      <c r="I11" s="496"/>
      <c r="J11" s="500" t="s">
        <v>1240</v>
      </c>
      <c r="K11" s="501"/>
      <c r="L11" s="502"/>
      <c r="M11" s="503" t="s">
        <v>1112</v>
      </c>
      <c r="N11" s="504"/>
      <c r="O11" s="505"/>
      <c r="P11" s="1573"/>
      <c r="Q11" s="460"/>
      <c r="R11" s="460"/>
      <c r="S11" s="460"/>
      <c r="T11" s="460"/>
    </row>
    <row r="12" spans="1:22" s="94" customFormat="1" ht="36.75" customHeight="1" thickTop="1" thickBot="1" x14ac:dyDescent="0.4">
      <c r="A12" s="531"/>
      <c r="B12" s="496"/>
      <c r="C12" s="496"/>
      <c r="D12" s="1400"/>
      <c r="E12" s="1400"/>
      <c r="F12" s="1400"/>
      <c r="G12" s="1400"/>
      <c r="H12" s="491"/>
      <c r="I12" s="496"/>
      <c r="J12" s="531"/>
      <c r="K12" s="491"/>
      <c r="L12" s="496"/>
      <c r="M12" s="533"/>
      <c r="N12" s="1401"/>
      <c r="O12" s="1401"/>
      <c r="P12" s="1401"/>
      <c r="Q12" s="491"/>
      <c r="R12" s="491"/>
      <c r="S12" s="491"/>
      <c r="T12" s="765"/>
    </row>
    <row r="13" spans="1:22" s="204" customFormat="1" ht="69.75" customHeight="1" thickTop="1" thickBot="1" x14ac:dyDescent="0.4">
      <c r="A13" s="5803" t="s">
        <v>1117</v>
      </c>
      <c r="B13" s="5804"/>
      <c r="C13" s="5804"/>
      <c r="D13" s="5804"/>
      <c r="E13" s="5804"/>
      <c r="F13" s="5805"/>
      <c r="G13" s="526">
        <f>AnReference-1</f>
        <v>2017</v>
      </c>
      <c r="H13" s="526">
        <f>AnReference</f>
        <v>2018</v>
      </c>
      <c r="I13" s="526">
        <f>IF(NbAnVision&gt;=1,AnReference+1,"NA")</f>
        <v>2019</v>
      </c>
      <c r="J13" s="526">
        <f>IF(NbAnVision&gt;=2,AnReference+2,"NA")</f>
        <v>2020</v>
      </c>
      <c r="K13" s="526">
        <f>IF(NbAnVision&gt;=3,AnReference+3,"NA")</f>
        <v>2021</v>
      </c>
      <c r="L13" s="1402" t="s">
        <v>127</v>
      </c>
      <c r="M13" s="507"/>
      <c r="N13" s="525">
        <f>AnReference-1</f>
        <v>2017</v>
      </c>
      <c r="O13" s="526">
        <f>AnReference</f>
        <v>2018</v>
      </c>
      <c r="P13" s="526">
        <f>I13</f>
        <v>2019</v>
      </c>
      <c r="Q13" s="526">
        <f>J13</f>
        <v>2020</v>
      </c>
      <c r="R13" s="526">
        <f>K13</f>
        <v>2021</v>
      </c>
      <c r="S13" s="1402" t="s">
        <v>127</v>
      </c>
      <c r="T13" s="508"/>
    </row>
    <row r="14" spans="1:22" s="204" customFormat="1" ht="51" customHeight="1" x14ac:dyDescent="0.35">
      <c r="A14" s="5793" t="s">
        <v>1421</v>
      </c>
      <c r="B14" s="5794"/>
      <c r="C14" s="5794"/>
      <c r="D14" s="5794"/>
      <c r="E14" s="5794"/>
      <c r="F14" s="5794"/>
      <c r="G14" s="5795" t="s">
        <v>1005</v>
      </c>
      <c r="H14" s="5795"/>
      <c r="I14" s="5795"/>
      <c r="J14" s="5795"/>
      <c r="K14" s="5795"/>
      <c r="L14" s="5796"/>
      <c r="M14" s="507"/>
      <c r="N14" s="5800" t="s">
        <v>1422</v>
      </c>
      <c r="O14" s="5801"/>
      <c r="P14" s="5801"/>
      <c r="Q14" s="5801"/>
      <c r="R14" s="5801"/>
      <c r="S14" s="5802"/>
      <c r="T14" s="508"/>
    </row>
    <row r="15" spans="1:22" s="204" customFormat="1" ht="21.75" customHeight="1" x14ac:dyDescent="0.35">
      <c r="A15" s="5797" t="s">
        <v>758</v>
      </c>
      <c r="B15" s="5798"/>
      <c r="C15" s="5798"/>
      <c r="D15" s="5798"/>
      <c r="E15" s="5798"/>
      <c r="F15" s="5798"/>
      <c r="G15" s="1684"/>
      <c r="H15" s="1403"/>
      <c r="I15" s="1404"/>
      <c r="J15" s="1404"/>
      <c r="K15" s="1405"/>
      <c r="L15" s="1406">
        <f>SUM(H15:K15)</f>
        <v>0</v>
      </c>
      <c r="M15" s="509"/>
      <c r="N15" s="1167" t="str">
        <f t="shared" ref="N15:N22" si="0">IF(G15=0,"",G15/G$24)</f>
        <v/>
      </c>
      <c r="O15" s="1995" t="str">
        <f t="shared" ref="O15:O22" si="1">IF(H15=0,"",H15/H$24)</f>
        <v/>
      </c>
      <c r="P15" s="1995" t="str">
        <f t="shared" ref="P15:P22" si="2">IF(I15=0,"",I15/I$24)</f>
        <v/>
      </c>
      <c r="Q15" s="1995" t="str">
        <f t="shared" ref="Q15:Q22" si="3">IF(J15=0,"",J15/J$24)</f>
        <v/>
      </c>
      <c r="R15" s="1996" t="str">
        <f t="shared" ref="R15:R21" si="4">IF(K15=0,"",K15/K$24)</f>
        <v/>
      </c>
      <c r="S15" s="1068"/>
      <c r="T15" s="508"/>
    </row>
    <row r="16" spans="1:22" ht="15.5" x14ac:dyDescent="0.35">
      <c r="A16" s="5797" t="s">
        <v>1423</v>
      </c>
      <c r="B16" s="5798"/>
      <c r="C16" s="5798"/>
      <c r="D16" s="5798"/>
      <c r="E16" s="5798"/>
      <c r="F16" s="5798"/>
      <c r="G16" s="1684"/>
      <c r="H16" s="1928"/>
      <c r="I16" s="1928"/>
      <c r="J16" s="1928"/>
      <c r="K16" s="1928"/>
      <c r="L16" s="1689">
        <f t="shared" ref="L16:L22" si="5">SUM(H16:K16)</f>
        <v>0</v>
      </c>
      <c r="M16" s="509"/>
      <c r="N16" s="1167" t="str">
        <f t="shared" si="0"/>
        <v/>
      </c>
      <c r="O16" s="1995" t="str">
        <f t="shared" si="1"/>
        <v/>
      </c>
      <c r="P16" s="1995" t="str">
        <f t="shared" si="2"/>
        <v/>
      </c>
      <c r="Q16" s="1995" t="str">
        <f t="shared" si="3"/>
        <v/>
      </c>
      <c r="R16" s="1996" t="str">
        <f t="shared" si="4"/>
        <v/>
      </c>
      <c r="S16" s="1068"/>
      <c r="T16" s="512"/>
    </row>
    <row r="17" spans="1:20" ht="15.5" x14ac:dyDescent="0.35">
      <c r="A17" s="5797" t="s">
        <v>1424</v>
      </c>
      <c r="B17" s="5798"/>
      <c r="C17" s="5798"/>
      <c r="D17" s="5798"/>
      <c r="E17" s="5798"/>
      <c r="F17" s="5798"/>
      <c r="G17" s="1684"/>
      <c r="H17" s="1967"/>
      <c r="I17" s="1967"/>
      <c r="J17" s="1967"/>
      <c r="K17" s="1968"/>
      <c r="L17" s="1689">
        <f t="shared" si="5"/>
        <v>0</v>
      </c>
      <c r="M17" s="509"/>
      <c r="N17" s="1167" t="str">
        <f t="shared" si="0"/>
        <v/>
      </c>
      <c r="O17" s="1995" t="str">
        <f t="shared" si="1"/>
        <v/>
      </c>
      <c r="P17" s="1995" t="str">
        <f t="shared" si="2"/>
        <v/>
      </c>
      <c r="Q17" s="1995" t="str">
        <f t="shared" si="3"/>
        <v/>
      </c>
      <c r="R17" s="1996" t="str">
        <f t="shared" si="4"/>
        <v/>
      </c>
      <c r="S17" s="1068"/>
      <c r="T17" s="512"/>
    </row>
    <row r="18" spans="1:20" ht="15.5" x14ac:dyDescent="0.35">
      <c r="A18" s="5797" t="s">
        <v>1526</v>
      </c>
      <c r="B18" s="5798"/>
      <c r="C18" s="5798"/>
      <c r="D18" s="5798"/>
      <c r="E18" s="5798"/>
      <c r="F18" s="5798"/>
      <c r="G18" s="1684"/>
      <c r="H18" s="1967"/>
      <c r="I18" s="1967"/>
      <c r="J18" s="1967"/>
      <c r="K18" s="1968"/>
      <c r="L18" s="1689">
        <f t="shared" si="5"/>
        <v>0</v>
      </c>
      <c r="M18" s="509"/>
      <c r="N18" s="1167" t="str">
        <f t="shared" si="0"/>
        <v/>
      </c>
      <c r="O18" s="1995" t="str">
        <f t="shared" si="1"/>
        <v/>
      </c>
      <c r="P18" s="1995" t="str">
        <f t="shared" si="2"/>
        <v/>
      </c>
      <c r="Q18" s="1995" t="str">
        <f t="shared" si="3"/>
        <v/>
      </c>
      <c r="R18" s="1996" t="str">
        <f t="shared" si="4"/>
        <v/>
      </c>
      <c r="S18" s="1068"/>
      <c r="T18" s="512"/>
    </row>
    <row r="19" spans="1:20" ht="17.25" customHeight="1" x14ac:dyDescent="0.35">
      <c r="A19" s="5797" t="s">
        <v>1425</v>
      </c>
      <c r="B19" s="5798"/>
      <c r="C19" s="5798"/>
      <c r="D19" s="5798"/>
      <c r="E19" s="5798"/>
      <c r="F19" s="5798"/>
      <c r="G19" s="1684"/>
      <c r="H19" s="1967"/>
      <c r="I19" s="1967"/>
      <c r="J19" s="1967"/>
      <c r="K19" s="1968"/>
      <c r="L19" s="1689">
        <f t="shared" si="5"/>
        <v>0</v>
      </c>
      <c r="M19" s="513"/>
      <c r="N19" s="1167" t="str">
        <f t="shared" si="0"/>
        <v/>
      </c>
      <c r="O19" s="1995" t="str">
        <f t="shared" si="1"/>
        <v/>
      </c>
      <c r="P19" s="1995" t="str">
        <f t="shared" si="2"/>
        <v/>
      </c>
      <c r="Q19" s="1995" t="str">
        <f t="shared" si="3"/>
        <v/>
      </c>
      <c r="R19" s="1996" t="str">
        <f t="shared" si="4"/>
        <v/>
      </c>
      <c r="S19" s="1068"/>
      <c r="T19" s="512"/>
    </row>
    <row r="20" spans="1:20" ht="15.5" x14ac:dyDescent="0.35">
      <c r="A20" s="5797" t="s">
        <v>512</v>
      </c>
      <c r="B20" s="5798"/>
      <c r="C20" s="5798"/>
      <c r="D20" s="5798"/>
      <c r="E20" s="5798"/>
      <c r="F20" s="5798"/>
      <c r="G20" s="1684"/>
      <c r="H20" s="1967"/>
      <c r="I20" s="1967"/>
      <c r="J20" s="1967"/>
      <c r="K20" s="1968"/>
      <c r="L20" s="1689">
        <f t="shared" si="5"/>
        <v>0</v>
      </c>
      <c r="M20" s="513"/>
      <c r="N20" s="1167" t="str">
        <f t="shared" si="0"/>
        <v/>
      </c>
      <c r="O20" s="1995" t="str">
        <f t="shared" si="1"/>
        <v/>
      </c>
      <c r="P20" s="1995" t="str">
        <f t="shared" si="2"/>
        <v/>
      </c>
      <c r="Q20" s="1995" t="str">
        <f t="shared" si="3"/>
        <v/>
      </c>
      <c r="R20" s="1996" t="str">
        <f t="shared" si="4"/>
        <v/>
      </c>
      <c r="S20" s="1068"/>
      <c r="T20" s="512"/>
    </row>
    <row r="21" spans="1:20" ht="15.5" x14ac:dyDescent="0.35">
      <c r="A21" s="5797" t="s">
        <v>449</v>
      </c>
      <c r="B21" s="5798"/>
      <c r="C21" s="5798"/>
      <c r="D21" s="5798"/>
      <c r="E21" s="5798"/>
      <c r="F21" s="5798"/>
      <c r="G21" s="1684"/>
      <c r="H21" s="1928"/>
      <c r="I21" s="1928"/>
      <c r="J21" s="1928"/>
      <c r="K21" s="1928"/>
      <c r="L21" s="1689">
        <f>SUM(H21:K21)</f>
        <v>0</v>
      </c>
      <c r="M21" s="513"/>
      <c r="N21" s="1167" t="str">
        <f t="shared" si="0"/>
        <v/>
      </c>
      <c r="O21" s="1995" t="str">
        <f t="shared" si="1"/>
        <v/>
      </c>
      <c r="P21" s="1995" t="str">
        <f t="shared" si="2"/>
        <v/>
      </c>
      <c r="Q21" s="1995" t="str">
        <f t="shared" si="3"/>
        <v/>
      </c>
      <c r="R21" s="1996" t="str">
        <f t="shared" si="4"/>
        <v/>
      </c>
      <c r="S21" s="1068"/>
      <c r="T21" s="512"/>
    </row>
    <row r="22" spans="1:20" ht="15.5" x14ac:dyDescent="0.35">
      <c r="A22" s="5797" t="s">
        <v>450</v>
      </c>
      <c r="B22" s="5798"/>
      <c r="C22" s="5798"/>
      <c r="D22" s="5798"/>
      <c r="E22" s="5798"/>
      <c r="F22" s="5798"/>
      <c r="G22" s="1684"/>
      <c r="H22" s="1969"/>
      <c r="I22" s="1969"/>
      <c r="J22" s="1969"/>
      <c r="K22" s="1969"/>
      <c r="L22" s="1689">
        <f t="shared" si="5"/>
        <v>0</v>
      </c>
      <c r="M22" s="513"/>
      <c r="N22" s="1167" t="str">
        <f t="shared" si="0"/>
        <v/>
      </c>
      <c r="O22" s="1995" t="str">
        <f t="shared" si="1"/>
        <v/>
      </c>
      <c r="P22" s="1995" t="str">
        <f t="shared" si="2"/>
        <v/>
      </c>
      <c r="Q22" s="1995" t="str">
        <f t="shared" si="3"/>
        <v/>
      </c>
      <c r="R22" s="1996" t="str">
        <f>IF(K22=0,"",K22/K$24)</f>
        <v/>
      </c>
      <c r="S22" s="1068"/>
      <c r="T22" s="512"/>
    </row>
    <row r="23" spans="1:20" x14ac:dyDescent="0.35">
      <c r="A23" s="5799">
        <f>SUM(H23:K23)</f>
        <v>0</v>
      </c>
      <c r="B23" s="4122"/>
      <c r="C23" s="4122"/>
      <c r="D23" s="4122"/>
      <c r="E23" s="4122"/>
      <c r="F23" s="4122"/>
      <c r="G23" s="4122"/>
      <c r="H23" s="4122"/>
      <c r="I23" s="4122"/>
      <c r="J23" s="4122"/>
      <c r="K23" s="4122"/>
      <c r="L23" s="4123"/>
      <c r="M23" s="513"/>
      <c r="N23" s="5779"/>
      <c r="O23" s="5780"/>
      <c r="P23" s="5780"/>
      <c r="Q23" s="5780"/>
      <c r="R23" s="5780"/>
      <c r="S23" s="5781"/>
      <c r="T23" s="512"/>
    </row>
    <row r="24" spans="1:20" ht="16.5" customHeight="1" x14ac:dyDescent="0.35">
      <c r="A24" s="5782" t="s">
        <v>1426</v>
      </c>
      <c r="B24" s="5783"/>
      <c r="C24" s="5783"/>
      <c r="D24" s="5783"/>
      <c r="E24" s="5783"/>
      <c r="F24" s="5783"/>
      <c r="G24" s="1685">
        <f t="shared" ref="G24:L24" si="6">SUM(G15:G23)</f>
        <v>0</v>
      </c>
      <c r="H24" s="1686">
        <f t="shared" si="6"/>
        <v>0</v>
      </c>
      <c r="I24" s="1686">
        <f t="shared" si="6"/>
        <v>0</v>
      </c>
      <c r="J24" s="1686">
        <f t="shared" si="6"/>
        <v>0</v>
      </c>
      <c r="K24" s="1687">
        <f t="shared" si="6"/>
        <v>0</v>
      </c>
      <c r="L24" s="1688">
        <f t="shared" si="6"/>
        <v>0</v>
      </c>
      <c r="M24" s="515"/>
      <c r="N24" s="1168">
        <f t="shared" ref="N24:S24" si="7">SUM(N15:N23)</f>
        <v>0</v>
      </c>
      <c r="O24" s="516">
        <f t="shared" si="7"/>
        <v>0</v>
      </c>
      <c r="P24" s="516">
        <f t="shared" si="7"/>
        <v>0</v>
      </c>
      <c r="Q24" s="516">
        <f t="shared" si="7"/>
        <v>0</v>
      </c>
      <c r="R24" s="1103">
        <f t="shared" si="7"/>
        <v>0</v>
      </c>
      <c r="S24" s="1106">
        <f t="shared" si="7"/>
        <v>0</v>
      </c>
      <c r="T24" s="512"/>
    </row>
    <row r="25" spans="1:20" ht="15" thickBot="1" x14ac:dyDescent="0.4">
      <c r="A25" s="5787" t="s">
        <v>761</v>
      </c>
      <c r="B25" s="5788"/>
      <c r="C25" s="5788"/>
      <c r="D25" s="5788"/>
      <c r="E25" s="5788"/>
      <c r="F25" s="5788"/>
      <c r="G25" s="517"/>
      <c r="H25" s="1172" t="e">
        <f>(H24-G24)/G24</f>
        <v>#DIV/0!</v>
      </c>
      <c r="I25" s="1172" t="e">
        <f>(I24-H24)/H24</f>
        <v>#DIV/0!</v>
      </c>
      <c r="J25" s="1172" t="e">
        <f>(J24-I24)/I24</f>
        <v>#DIV/0!</v>
      </c>
      <c r="K25" s="1172" t="e">
        <f>(K24-J24)/J24</f>
        <v>#DIV/0!</v>
      </c>
      <c r="L25" s="1173"/>
      <c r="M25" s="515"/>
      <c r="N25" s="518"/>
      <c r="O25" s="519"/>
      <c r="P25" s="519"/>
      <c r="Q25" s="519"/>
      <c r="R25" s="1104"/>
      <c r="S25" s="1107"/>
      <c r="T25" s="513"/>
    </row>
    <row r="26" spans="1:20" ht="15" thickTop="1" x14ac:dyDescent="0.35">
      <c r="A26" s="5789" t="s">
        <v>1427</v>
      </c>
      <c r="B26" s="5790"/>
      <c r="C26" s="5790"/>
      <c r="D26" s="5790"/>
      <c r="E26" s="5790"/>
      <c r="F26" s="5790"/>
      <c r="G26" s="1997">
        <f t="shared" ref="G26:L26" si="8">SUM(G16:G22)</f>
        <v>0</v>
      </c>
      <c r="H26" s="1973">
        <f t="shared" si="8"/>
        <v>0</v>
      </c>
      <c r="I26" s="1973">
        <f t="shared" si="8"/>
        <v>0</v>
      </c>
      <c r="J26" s="1973">
        <f t="shared" si="8"/>
        <v>0</v>
      </c>
      <c r="K26" s="1973">
        <f t="shared" si="8"/>
        <v>0</v>
      </c>
      <c r="L26" s="1974">
        <f t="shared" si="8"/>
        <v>0</v>
      </c>
      <c r="M26" s="530"/>
      <c r="N26" s="531"/>
      <c r="O26" s="496"/>
      <c r="P26" s="496"/>
      <c r="Q26" s="533"/>
      <c r="R26" s="496"/>
      <c r="S26" s="534"/>
      <c r="T26" s="520"/>
    </row>
    <row r="27" spans="1:20" ht="15" thickBot="1" x14ac:dyDescent="0.4">
      <c r="A27" s="1413"/>
      <c r="B27" s="1414"/>
      <c r="C27" s="1414"/>
      <c r="D27" s="1414"/>
      <c r="E27" s="1414"/>
      <c r="F27" s="1415" t="s">
        <v>1428</v>
      </c>
      <c r="G27" s="1416"/>
      <c r="H27" s="1417" t="e">
        <f>(H26-G26)/G26</f>
        <v>#DIV/0!</v>
      </c>
      <c r="I27" s="1417" t="e">
        <f>(I26-H26)/H26</f>
        <v>#DIV/0!</v>
      </c>
      <c r="J27" s="1417" t="e">
        <f>(J26-I26)/I26</f>
        <v>#DIV/0!</v>
      </c>
      <c r="K27" s="1417" t="e">
        <f>(K26-J26)/J26</f>
        <v>#DIV/0!</v>
      </c>
      <c r="L27" s="1418"/>
      <c r="M27" s="530"/>
      <c r="N27" s="496"/>
      <c r="O27" s="496"/>
      <c r="P27" s="496"/>
      <c r="Q27" s="513"/>
      <c r="R27" s="496"/>
      <c r="S27" s="536"/>
      <c r="T27" s="512"/>
    </row>
    <row r="28" spans="1:20" ht="15" thickTop="1" x14ac:dyDescent="0.35">
      <c r="A28" s="5771" t="s">
        <v>1429</v>
      </c>
      <c r="B28" s="5771"/>
      <c r="C28" s="5771"/>
      <c r="D28" s="5771"/>
      <c r="E28" s="5771"/>
      <c r="F28" s="5771"/>
      <c r="G28" s="521"/>
      <c r="H28" s="1419"/>
      <c r="I28" s="1419"/>
      <c r="J28" s="1419"/>
      <c r="K28" s="1419"/>
      <c r="L28" s="523"/>
      <c r="M28" s="515"/>
      <c r="N28" s="515"/>
      <c r="O28" s="524"/>
      <c r="P28" s="524"/>
      <c r="Q28" s="524"/>
      <c r="R28" s="524"/>
      <c r="S28" s="524"/>
      <c r="T28" s="512"/>
    </row>
    <row r="29" spans="1:20" s="167" customFormat="1" ht="20.25" customHeight="1" thickBot="1" x14ac:dyDescent="0.4">
      <c r="A29" s="1420"/>
      <c r="B29" s="1420"/>
      <c r="C29" s="1420"/>
      <c r="D29" s="1420"/>
      <c r="E29" s="1420"/>
      <c r="F29" s="1420"/>
      <c r="G29" s="521"/>
      <c r="H29" s="522"/>
      <c r="I29" s="522"/>
      <c r="J29" s="522"/>
      <c r="K29" s="522"/>
      <c r="L29" s="523"/>
      <c r="M29" s="515"/>
      <c r="N29" s="515"/>
      <c r="O29" s="524"/>
      <c r="P29" s="524"/>
      <c r="Q29" s="524"/>
      <c r="R29" s="524"/>
      <c r="S29" s="524"/>
      <c r="T29" s="520"/>
    </row>
    <row r="30" spans="1:20" s="167" customFormat="1" ht="18.75" customHeight="1" thickTop="1" thickBot="1" x14ac:dyDescent="0.4">
      <c r="A30" s="5791" t="s">
        <v>1117</v>
      </c>
      <c r="B30" s="5792"/>
      <c r="C30" s="5792"/>
      <c r="D30" s="5792"/>
      <c r="E30" s="5792"/>
      <c r="F30" s="5792"/>
      <c r="G30" s="506">
        <f>AnReference-1</f>
        <v>2017</v>
      </c>
      <c r="H30" s="506">
        <f>AnReference</f>
        <v>2018</v>
      </c>
      <c r="I30" s="506">
        <f>I13</f>
        <v>2019</v>
      </c>
      <c r="J30" s="506">
        <f>J13</f>
        <v>2020</v>
      </c>
      <c r="K30" s="1093">
        <f>K13</f>
        <v>2021</v>
      </c>
      <c r="L30" s="1094" t="s">
        <v>822</v>
      </c>
      <c r="M30" s="507"/>
      <c r="N30" s="525">
        <f t="shared" ref="N30:S30" si="9">G30</f>
        <v>2017</v>
      </c>
      <c r="O30" s="526">
        <f t="shared" si="9"/>
        <v>2018</v>
      </c>
      <c r="P30" s="526">
        <f>I30</f>
        <v>2019</v>
      </c>
      <c r="Q30" s="526">
        <f t="shared" si="9"/>
        <v>2020</v>
      </c>
      <c r="R30" s="1102">
        <f t="shared" si="9"/>
        <v>2021</v>
      </c>
      <c r="S30" s="1105" t="str">
        <f t="shared" si="9"/>
        <v xml:space="preserve">Total </v>
      </c>
      <c r="T30" s="520"/>
    </row>
    <row r="31" spans="1:20" s="204" customFormat="1" ht="36" customHeight="1" x14ac:dyDescent="0.35">
      <c r="A31" s="5793" t="s">
        <v>1430</v>
      </c>
      <c r="B31" s="5794"/>
      <c r="C31" s="5794"/>
      <c r="D31" s="5794"/>
      <c r="E31" s="5794"/>
      <c r="F31" s="5794"/>
      <c r="G31" s="5795" t="s">
        <v>1431</v>
      </c>
      <c r="H31" s="5795"/>
      <c r="I31" s="5795"/>
      <c r="J31" s="5795"/>
      <c r="K31" s="5795"/>
      <c r="L31" s="5796"/>
      <c r="M31" s="513"/>
      <c r="N31" s="5784" t="s">
        <v>1432</v>
      </c>
      <c r="O31" s="5785"/>
      <c r="P31" s="5785"/>
      <c r="Q31" s="5785"/>
      <c r="R31" s="5785"/>
      <c r="S31" s="5786"/>
      <c r="T31" s="508"/>
    </row>
    <row r="32" spans="1:20" s="211" customFormat="1" ht="24" customHeight="1" x14ac:dyDescent="0.35">
      <c r="A32" s="5774" t="str">
        <f t="shared" ref="A32:A39" si="10">A15</f>
        <v>Ventes directes seules</v>
      </c>
      <c r="B32" s="5775"/>
      <c r="C32" s="5775"/>
      <c r="D32" s="5775"/>
      <c r="E32" s="5775"/>
      <c r="F32" s="5775"/>
      <c r="G32" s="1994"/>
      <c r="H32" s="1964"/>
      <c r="I32" s="1964"/>
      <c r="J32" s="1964"/>
      <c r="K32" s="1965"/>
      <c r="L32" s="1970">
        <f t="shared" ref="L32:L39" si="11">SUM(H32:K32)</f>
        <v>0</v>
      </c>
      <c r="M32" s="1491"/>
      <c r="N32" s="1492" t="str">
        <f>IF(G32=0,"",G32/G$41)</f>
        <v/>
      </c>
      <c r="O32" s="1998" t="str">
        <f t="shared" ref="O32:R39" si="12">IF(H32=0,"",H32/H$41)</f>
        <v/>
      </c>
      <c r="P32" s="1998" t="str">
        <f t="shared" si="12"/>
        <v/>
      </c>
      <c r="Q32" s="1998" t="str">
        <f t="shared" si="12"/>
        <v/>
      </c>
      <c r="R32" s="1999" t="str">
        <f t="shared" si="12"/>
        <v/>
      </c>
      <c r="S32" s="1495"/>
      <c r="T32" s="1496"/>
    </row>
    <row r="33" spans="1:20" ht="15.5" x14ac:dyDescent="0.35">
      <c r="A33" s="5774" t="str">
        <f t="shared" si="10"/>
        <v>ESN</v>
      </c>
      <c r="B33" s="5775"/>
      <c r="C33" s="5775"/>
      <c r="D33" s="5775"/>
      <c r="E33" s="5775"/>
      <c r="F33" s="5775"/>
      <c r="G33" s="1684"/>
      <c r="H33" s="1747"/>
      <c r="I33" s="1747"/>
      <c r="J33" s="1747"/>
      <c r="K33" s="1966"/>
      <c r="L33" s="1689">
        <f t="shared" si="11"/>
        <v>0</v>
      </c>
      <c r="M33" s="509"/>
      <c r="N33" s="1167" t="str">
        <f t="shared" ref="N33:N39" si="13">IF(G33=0,"",G33/G$41)</f>
        <v/>
      </c>
      <c r="O33" s="1995" t="str">
        <f t="shared" si="12"/>
        <v/>
      </c>
      <c r="P33" s="1995" t="str">
        <f t="shared" si="12"/>
        <v/>
      </c>
      <c r="Q33" s="1995" t="str">
        <f t="shared" si="12"/>
        <v/>
      </c>
      <c r="R33" s="1996" t="str">
        <f t="shared" si="12"/>
        <v/>
      </c>
      <c r="S33" s="1068"/>
      <c r="T33" s="513"/>
    </row>
    <row r="34" spans="1:20" ht="15.5" x14ac:dyDescent="0.35">
      <c r="A34" s="5774" t="str">
        <f t="shared" si="10"/>
        <v>Centres de contact</v>
      </c>
      <c r="B34" s="5775"/>
      <c r="C34" s="5775"/>
      <c r="D34" s="5775"/>
      <c r="E34" s="5775"/>
      <c r="F34" s="5775"/>
      <c r="G34" s="1684"/>
      <c r="H34" s="1747"/>
      <c r="I34" s="1747"/>
      <c r="J34" s="1747"/>
      <c r="K34" s="1966"/>
      <c r="L34" s="1689">
        <f t="shared" si="11"/>
        <v>0</v>
      </c>
      <c r="M34" s="509"/>
      <c r="N34" s="1167" t="str">
        <f t="shared" si="13"/>
        <v/>
      </c>
      <c r="O34" s="1995" t="str">
        <f t="shared" si="12"/>
        <v/>
      </c>
      <c r="P34" s="1995" t="str">
        <f t="shared" si="12"/>
        <v/>
      </c>
      <c r="Q34" s="1995" t="str">
        <f t="shared" si="12"/>
        <v/>
      </c>
      <c r="R34" s="1996" t="str">
        <f t="shared" si="12"/>
        <v/>
      </c>
      <c r="S34" s="1068"/>
      <c r="T34" s="512"/>
    </row>
    <row r="35" spans="1:20" ht="15.5" x14ac:dyDescent="0.35">
      <c r="A35" s="5774" t="str">
        <f t="shared" si="10"/>
        <v>Vars Nationaux</v>
      </c>
      <c r="B35" s="5775"/>
      <c r="C35" s="5775"/>
      <c r="D35" s="5775"/>
      <c r="E35" s="5775"/>
      <c r="F35" s="5775"/>
      <c r="G35" s="1684"/>
      <c r="H35" s="1747"/>
      <c r="I35" s="1747"/>
      <c r="J35" s="1747"/>
      <c r="K35" s="1966"/>
      <c r="L35" s="1689">
        <f t="shared" si="11"/>
        <v>0</v>
      </c>
      <c r="M35" s="509"/>
      <c r="N35" s="1167" t="str">
        <f t="shared" si="13"/>
        <v/>
      </c>
      <c r="O35" s="1995" t="str">
        <f t="shared" si="12"/>
        <v/>
      </c>
      <c r="P35" s="1995" t="str">
        <f t="shared" si="12"/>
        <v/>
      </c>
      <c r="Q35" s="1995" t="str">
        <f t="shared" si="12"/>
        <v/>
      </c>
      <c r="R35" s="1996" t="str">
        <f t="shared" si="12"/>
        <v/>
      </c>
      <c r="S35" s="1068"/>
      <c r="T35" s="512"/>
    </row>
    <row r="36" spans="1:20" ht="17.25" customHeight="1" x14ac:dyDescent="0.35">
      <c r="A36" s="5774" t="str">
        <f t="shared" si="10"/>
        <v>Editeurs</v>
      </c>
      <c r="B36" s="5775"/>
      <c r="C36" s="5775"/>
      <c r="D36" s="5775"/>
      <c r="E36" s="5775"/>
      <c r="F36" s="5775"/>
      <c r="G36" s="1684"/>
      <c r="H36" s="1747"/>
      <c r="I36" s="1747"/>
      <c r="J36" s="1747"/>
      <c r="K36" s="1747"/>
      <c r="L36" s="1689">
        <f t="shared" si="11"/>
        <v>0</v>
      </c>
      <c r="M36" s="513"/>
      <c r="N36" s="1167" t="str">
        <f t="shared" si="13"/>
        <v/>
      </c>
      <c r="O36" s="1995" t="str">
        <f t="shared" si="12"/>
        <v/>
      </c>
      <c r="P36" s="1995" t="str">
        <f t="shared" si="12"/>
        <v/>
      </c>
      <c r="Q36" s="1995" t="str">
        <f t="shared" si="12"/>
        <v/>
      </c>
      <c r="R36" s="1996" t="str">
        <f t="shared" si="12"/>
        <v/>
      </c>
      <c r="S36" s="1068"/>
      <c r="T36" s="512"/>
    </row>
    <row r="37" spans="1:20" ht="15.5" x14ac:dyDescent="0.35">
      <c r="A37" s="5774" t="str">
        <f t="shared" si="10"/>
        <v>Web Agencies</v>
      </c>
      <c r="B37" s="5775"/>
      <c r="C37" s="5775"/>
      <c r="D37" s="5775"/>
      <c r="E37" s="5775"/>
      <c r="F37" s="5775"/>
      <c r="G37" s="1684"/>
      <c r="H37" s="1747"/>
      <c r="I37" s="1747"/>
      <c r="J37" s="1747"/>
      <c r="K37" s="1966"/>
      <c r="L37" s="1689">
        <f t="shared" si="11"/>
        <v>0</v>
      </c>
      <c r="M37" s="513"/>
      <c r="N37" s="1167" t="str">
        <f t="shared" si="13"/>
        <v/>
      </c>
      <c r="O37" s="1995" t="str">
        <f t="shared" si="12"/>
        <v/>
      </c>
      <c r="P37" s="1995" t="str">
        <f t="shared" si="12"/>
        <v/>
      </c>
      <c r="Q37" s="1995" t="str">
        <f t="shared" si="12"/>
        <v/>
      </c>
      <c r="R37" s="1996" t="str">
        <f t="shared" si="12"/>
        <v/>
      </c>
      <c r="S37" s="1068"/>
      <c r="T37" s="512"/>
    </row>
    <row r="38" spans="1:20" ht="15.5" x14ac:dyDescent="0.35">
      <c r="A38" s="5774" t="str">
        <f t="shared" si="10"/>
        <v>Constructeurs</v>
      </c>
      <c r="B38" s="5775"/>
      <c r="C38" s="5775"/>
      <c r="D38" s="5775"/>
      <c r="E38" s="5775"/>
      <c r="F38" s="5775"/>
      <c r="G38" s="1684"/>
      <c r="H38" s="1747"/>
      <c r="I38" s="1747"/>
      <c r="J38" s="1747"/>
      <c r="K38" s="1966"/>
      <c r="L38" s="1689">
        <f t="shared" si="11"/>
        <v>0</v>
      </c>
      <c r="M38" s="513"/>
      <c r="N38" s="1167" t="str">
        <f t="shared" si="13"/>
        <v/>
      </c>
      <c r="O38" s="1995" t="str">
        <f t="shared" si="12"/>
        <v/>
      </c>
      <c r="P38" s="1995" t="str">
        <f t="shared" si="12"/>
        <v/>
      </c>
      <c r="Q38" s="1995" t="str">
        <f t="shared" si="12"/>
        <v/>
      </c>
      <c r="R38" s="1996" t="str">
        <f t="shared" si="12"/>
        <v/>
      </c>
      <c r="S38" s="1068"/>
      <c r="T38" s="512"/>
    </row>
    <row r="39" spans="1:20" ht="15.5" x14ac:dyDescent="0.35">
      <c r="A39" s="5774" t="str">
        <f t="shared" si="10"/>
        <v>Hébergeurs</v>
      </c>
      <c r="B39" s="5775"/>
      <c r="C39" s="5775"/>
      <c r="D39" s="5775"/>
      <c r="E39" s="5775"/>
      <c r="F39" s="5775"/>
      <c r="G39" s="1684"/>
      <c r="H39" s="1747"/>
      <c r="I39" s="1747"/>
      <c r="J39" s="1747"/>
      <c r="K39" s="1747"/>
      <c r="L39" s="1689">
        <f t="shared" si="11"/>
        <v>0</v>
      </c>
      <c r="M39" s="513"/>
      <c r="N39" s="1167" t="str">
        <f t="shared" si="13"/>
        <v/>
      </c>
      <c r="O39" s="1995" t="str">
        <f t="shared" si="12"/>
        <v/>
      </c>
      <c r="P39" s="1995" t="str">
        <f t="shared" si="12"/>
        <v/>
      </c>
      <c r="Q39" s="1995" t="str">
        <f t="shared" si="12"/>
        <v/>
      </c>
      <c r="R39" s="1996" t="str">
        <f t="shared" si="12"/>
        <v/>
      </c>
      <c r="S39" s="1068"/>
      <c r="T39" s="512"/>
    </row>
    <row r="40" spans="1:20" x14ac:dyDescent="0.35">
      <c r="A40" s="5776">
        <f>F23</f>
        <v>0</v>
      </c>
      <c r="B40" s="5777"/>
      <c r="C40" s="5777"/>
      <c r="D40" s="5777"/>
      <c r="E40" s="5777"/>
      <c r="F40" s="5777"/>
      <c r="G40" s="5777"/>
      <c r="H40" s="5777"/>
      <c r="I40" s="5777"/>
      <c r="J40" s="5777"/>
      <c r="K40" s="5777"/>
      <c r="L40" s="5778"/>
      <c r="M40" s="513"/>
      <c r="N40" s="5779"/>
      <c r="O40" s="5780"/>
      <c r="P40" s="5780"/>
      <c r="Q40" s="5780"/>
      <c r="R40" s="5780"/>
      <c r="S40" s="5781"/>
      <c r="T40" s="512"/>
    </row>
    <row r="41" spans="1:20" ht="17.25" customHeight="1" x14ac:dyDescent="0.35">
      <c r="A41" s="5782" t="s">
        <v>1433</v>
      </c>
      <c r="B41" s="5783"/>
      <c r="C41" s="5783"/>
      <c r="D41" s="5783"/>
      <c r="E41" s="5783"/>
      <c r="F41" s="5783"/>
      <c r="G41" s="1685">
        <f t="shared" ref="G41:L41" si="14">SUM(G32:G40)</f>
        <v>0</v>
      </c>
      <c r="H41" s="1686">
        <f t="shared" si="14"/>
        <v>0</v>
      </c>
      <c r="I41" s="1686">
        <f t="shared" si="14"/>
        <v>0</v>
      </c>
      <c r="J41" s="1686">
        <f t="shared" si="14"/>
        <v>0</v>
      </c>
      <c r="K41" s="1687">
        <f t="shared" si="14"/>
        <v>0</v>
      </c>
      <c r="L41" s="1688">
        <f t="shared" si="14"/>
        <v>0</v>
      </c>
      <c r="M41" s="513"/>
      <c r="N41" s="1168">
        <f t="shared" ref="N41:S41" si="15">SUM(N32:N40)</f>
        <v>0</v>
      </c>
      <c r="O41" s="516">
        <f t="shared" si="15"/>
        <v>0</v>
      </c>
      <c r="P41" s="516">
        <f t="shared" si="15"/>
        <v>0</v>
      </c>
      <c r="Q41" s="516">
        <f t="shared" si="15"/>
        <v>0</v>
      </c>
      <c r="R41" s="1103">
        <f t="shared" si="15"/>
        <v>0</v>
      </c>
      <c r="S41" s="1106">
        <f t="shared" si="15"/>
        <v>0</v>
      </c>
      <c r="T41" s="512"/>
    </row>
    <row r="42" spans="1:20" ht="15" thickBot="1" x14ac:dyDescent="0.4">
      <c r="A42" s="5767" t="s">
        <v>763</v>
      </c>
      <c r="B42" s="5768"/>
      <c r="C42" s="5768"/>
      <c r="D42" s="5768"/>
      <c r="E42" s="5768"/>
      <c r="F42" s="5768"/>
      <c r="G42" s="1421"/>
      <c r="H42" s="1422" t="e">
        <f>(H41-G41)/G41</f>
        <v>#DIV/0!</v>
      </c>
      <c r="I42" s="1422" t="e">
        <f>(I41-H41)/H41</f>
        <v>#DIV/0!</v>
      </c>
      <c r="J42" s="1422" t="e">
        <f>(J41-I41)/I41</f>
        <v>#DIV/0!</v>
      </c>
      <c r="K42" s="1422" t="e">
        <f>(K41-J41)/J41</f>
        <v>#DIV/0!</v>
      </c>
      <c r="L42" s="1423"/>
      <c r="M42" s="515"/>
      <c r="N42" s="518"/>
      <c r="O42" s="519"/>
      <c r="P42" s="519"/>
      <c r="Q42" s="519"/>
      <c r="R42" s="1104"/>
      <c r="S42" s="1107"/>
      <c r="T42" s="512"/>
    </row>
    <row r="43" spans="1:20" ht="15" thickTop="1" x14ac:dyDescent="0.35">
      <c r="A43" s="5769" t="s">
        <v>1434</v>
      </c>
      <c r="B43" s="5770"/>
      <c r="C43" s="5770"/>
      <c r="D43" s="5770"/>
      <c r="E43" s="5770"/>
      <c r="F43" s="5770"/>
      <c r="G43" s="2000">
        <f t="shared" ref="G43:L43" si="16">SUM(G33:G39)</f>
        <v>0</v>
      </c>
      <c r="H43" s="1971">
        <f t="shared" si="16"/>
        <v>0</v>
      </c>
      <c r="I43" s="1971">
        <f t="shared" si="16"/>
        <v>0</v>
      </c>
      <c r="J43" s="1971">
        <f t="shared" si="16"/>
        <v>0</v>
      </c>
      <c r="K43" s="1971">
        <f t="shared" si="16"/>
        <v>0</v>
      </c>
      <c r="L43" s="1972">
        <f t="shared" si="16"/>
        <v>0</v>
      </c>
      <c r="M43" s="530"/>
      <c r="N43" s="531"/>
      <c r="O43" s="496"/>
      <c r="P43" s="496"/>
      <c r="Q43" s="533"/>
      <c r="R43" s="496"/>
      <c r="S43" s="534"/>
      <c r="T43" s="512"/>
    </row>
    <row r="44" spans="1:20" ht="15" thickBot="1" x14ac:dyDescent="0.4">
      <c r="A44" s="1427"/>
      <c r="B44" s="1428"/>
      <c r="C44" s="1428"/>
      <c r="D44" s="1428"/>
      <c r="E44" s="1428"/>
      <c r="F44" s="1429" t="s">
        <v>1428</v>
      </c>
      <c r="G44" s="1430"/>
      <c r="H44" s="1431" t="e">
        <f>(H43-G43)/G43</f>
        <v>#DIV/0!</v>
      </c>
      <c r="I44" s="1431" t="e">
        <f>(I43-H43)/H43</f>
        <v>#DIV/0!</v>
      </c>
      <c r="J44" s="1431" t="e">
        <f>(J43-I43)/I43</f>
        <v>#DIV/0!</v>
      </c>
      <c r="K44" s="1431" t="e">
        <f>(K43-J43)/J43</f>
        <v>#DIV/0!</v>
      </c>
      <c r="L44" s="1432"/>
      <c r="M44" s="530"/>
      <c r="N44" s="496"/>
      <c r="O44" s="496"/>
      <c r="P44" s="496"/>
      <c r="Q44" s="513"/>
      <c r="R44" s="496"/>
      <c r="S44" s="536"/>
      <c r="T44" s="512"/>
    </row>
    <row r="45" spans="1:20" ht="15" thickTop="1" x14ac:dyDescent="0.35">
      <c r="A45" s="5771" t="s">
        <v>1429</v>
      </c>
      <c r="B45" s="5771"/>
      <c r="C45" s="5771"/>
      <c r="D45" s="5771"/>
      <c r="E45" s="5771"/>
      <c r="F45" s="5771"/>
      <c r="G45" s="521"/>
      <c r="H45" s="1419"/>
      <c r="I45" s="1419"/>
      <c r="J45" s="1419"/>
      <c r="K45" s="1419"/>
      <c r="L45" s="513"/>
      <c r="M45" s="530"/>
      <c r="N45" s="496"/>
      <c r="O45" s="496"/>
      <c r="P45" s="496"/>
      <c r="Q45" s="513"/>
      <c r="R45" s="496"/>
      <c r="S45" s="536"/>
      <c r="T45" s="512"/>
    </row>
    <row r="46" spans="1:20" ht="15.75" customHeight="1" thickBot="1" x14ac:dyDescent="0.4">
      <c r="A46" s="512"/>
      <c r="B46" s="512"/>
      <c r="C46" s="512"/>
      <c r="D46" s="512"/>
      <c r="E46" s="512"/>
      <c r="F46" s="535"/>
      <c r="G46" s="512"/>
      <c r="H46" s="1433"/>
      <c r="I46" s="1433"/>
      <c r="J46" s="1433"/>
      <c r="K46" s="1433"/>
      <c r="L46" s="512"/>
      <c r="M46" s="530"/>
      <c r="N46" s="496"/>
      <c r="O46" s="496"/>
      <c r="P46" s="496"/>
      <c r="Q46" s="513"/>
      <c r="R46" s="496"/>
      <c r="S46" s="536"/>
      <c r="T46" s="512"/>
    </row>
    <row r="47" spans="1:20" ht="41.25" customHeight="1" thickTop="1" thickBot="1" x14ac:dyDescent="0.4">
      <c r="A47" s="5772" t="s">
        <v>1445</v>
      </c>
      <c r="B47" s="5773"/>
      <c r="C47" s="5773"/>
      <c r="D47" s="5773"/>
      <c r="E47" s="5773"/>
      <c r="F47" s="5773"/>
      <c r="G47" s="1434">
        <f>AnReference-1</f>
        <v>2017</v>
      </c>
      <c r="H47" s="1434">
        <f>AnReference</f>
        <v>2018</v>
      </c>
      <c r="I47" s="1434">
        <f>I30</f>
        <v>2019</v>
      </c>
      <c r="J47" s="1434">
        <f>J30</f>
        <v>2020</v>
      </c>
      <c r="K47" s="1434">
        <f>K30</f>
        <v>2021</v>
      </c>
      <c r="L47" s="1435" t="s">
        <v>127</v>
      </c>
      <c r="M47" s="530"/>
      <c r="N47" s="496"/>
      <c r="O47" s="496"/>
      <c r="P47" s="496"/>
      <c r="Q47" s="513"/>
      <c r="R47" s="496"/>
      <c r="S47" s="536"/>
      <c r="T47" s="512"/>
    </row>
    <row r="48" spans="1:20" ht="21" customHeight="1" x14ac:dyDescent="0.35">
      <c r="A48" s="5746" t="s">
        <v>1435</v>
      </c>
      <c r="B48" s="5747"/>
      <c r="C48" s="5747"/>
      <c r="D48" s="5747"/>
      <c r="E48" s="5747"/>
      <c r="F48" s="5747"/>
      <c r="G48" s="1769">
        <f t="shared" ref="G48:L48" si="17">G24</f>
        <v>0</v>
      </c>
      <c r="H48" s="1769">
        <f t="shared" si="17"/>
        <v>0</v>
      </c>
      <c r="I48" s="1769">
        <f t="shared" si="17"/>
        <v>0</v>
      </c>
      <c r="J48" s="1769">
        <f t="shared" si="17"/>
        <v>0</v>
      </c>
      <c r="K48" s="1769">
        <f t="shared" si="17"/>
        <v>0</v>
      </c>
      <c r="L48" s="1770">
        <f t="shared" si="17"/>
        <v>0</v>
      </c>
      <c r="M48" s="520"/>
      <c r="N48" s="1580"/>
      <c r="O48" s="1580"/>
      <c r="P48" s="1580"/>
      <c r="Q48" s="1580"/>
      <c r="R48" s="1580"/>
      <c r="S48" s="528"/>
      <c r="T48" s="512"/>
    </row>
    <row r="49" spans="1:20" ht="19.5" customHeight="1" thickBot="1" x14ac:dyDescent="0.4">
      <c r="A49" s="5748" t="s">
        <v>1436</v>
      </c>
      <c r="B49" s="5749"/>
      <c r="C49" s="5749"/>
      <c r="D49" s="5749"/>
      <c r="E49" s="5749"/>
      <c r="F49" s="5749"/>
      <c r="G49" s="1772">
        <f t="shared" ref="G49:L49" si="18">G41</f>
        <v>0</v>
      </c>
      <c r="H49" s="1772">
        <f t="shared" si="18"/>
        <v>0</v>
      </c>
      <c r="I49" s="1772">
        <f t="shared" si="18"/>
        <v>0</v>
      </c>
      <c r="J49" s="1772">
        <f t="shared" si="18"/>
        <v>0</v>
      </c>
      <c r="K49" s="1772">
        <f t="shared" si="18"/>
        <v>0</v>
      </c>
      <c r="L49" s="1773">
        <f t="shared" si="18"/>
        <v>0</v>
      </c>
      <c r="M49" s="530"/>
      <c r="N49" s="496"/>
      <c r="O49" s="496"/>
      <c r="P49" s="496"/>
      <c r="Q49" s="513"/>
      <c r="R49" s="496"/>
      <c r="S49" s="536"/>
      <c r="T49" s="512"/>
    </row>
    <row r="50" spans="1:20" ht="21" customHeight="1" x14ac:dyDescent="0.35">
      <c r="A50" s="5757" t="s">
        <v>764</v>
      </c>
      <c r="B50" s="5758"/>
      <c r="C50" s="5758"/>
      <c r="D50" s="5758"/>
      <c r="E50" s="5758"/>
      <c r="F50" s="5758"/>
      <c r="G50" s="1774">
        <f>G24+G41</f>
        <v>0</v>
      </c>
      <c r="H50" s="1774">
        <f>H41+H24</f>
        <v>0</v>
      </c>
      <c r="I50" s="1774">
        <f>I41+I24</f>
        <v>0</v>
      </c>
      <c r="J50" s="1774">
        <f>J41+J24</f>
        <v>0</v>
      </c>
      <c r="K50" s="1774">
        <f>K41+K24</f>
        <v>0</v>
      </c>
      <c r="L50" s="1775">
        <f>L41+L24</f>
        <v>0</v>
      </c>
      <c r="M50" s="520"/>
      <c r="N50" s="1580"/>
      <c r="O50" s="1580"/>
      <c r="P50" s="1580"/>
      <c r="Q50" s="1580"/>
      <c r="R50" s="1580"/>
      <c r="S50" s="528"/>
      <c r="T50" s="512"/>
    </row>
    <row r="51" spans="1:20" ht="15.75" customHeight="1" x14ac:dyDescent="0.35">
      <c r="A51" s="5759" t="s">
        <v>761</v>
      </c>
      <c r="B51" s="5760"/>
      <c r="C51" s="5760"/>
      <c r="D51" s="5760"/>
      <c r="E51" s="5760"/>
      <c r="F51" s="5760"/>
      <c r="G51" s="1442">
        <f>G25+G42</f>
        <v>0</v>
      </c>
      <c r="H51" s="1442" t="e">
        <f>(H50-G50)/G50</f>
        <v>#DIV/0!</v>
      </c>
      <c r="I51" s="1442" t="e">
        <f>(I50-H50)/H50</f>
        <v>#DIV/0!</v>
      </c>
      <c r="J51" s="1442" t="e">
        <f>(J50-I50)/I50</f>
        <v>#DIV/0!</v>
      </c>
      <c r="K51" s="1442" t="e">
        <f>(K50-J50)/J50</f>
        <v>#DIV/0!</v>
      </c>
      <c r="L51" s="1443"/>
      <c r="M51" s="530"/>
      <c r="N51" s="531"/>
      <c r="O51" s="1580"/>
      <c r="P51" s="1580"/>
      <c r="Q51" s="532"/>
      <c r="R51" s="1580"/>
      <c r="S51" s="527"/>
      <c r="T51" s="512"/>
    </row>
    <row r="52" spans="1:20" x14ac:dyDescent="0.35">
      <c r="A52" s="5761"/>
      <c r="B52" s="5762"/>
      <c r="C52" s="5762"/>
      <c r="D52" s="5762"/>
      <c r="E52" s="5762"/>
      <c r="F52" s="5763"/>
      <c r="G52" s="529"/>
      <c r="H52" s="529"/>
      <c r="I52" s="529"/>
      <c r="J52" s="529"/>
      <c r="K52" s="529"/>
      <c r="L52" s="1444"/>
      <c r="M52" s="530"/>
      <c r="N52" s="531"/>
      <c r="O52" s="1580"/>
      <c r="P52" s="1580"/>
      <c r="Q52" s="532"/>
      <c r="R52" s="1580"/>
      <c r="S52" s="527"/>
      <c r="T52" s="512"/>
    </row>
    <row r="53" spans="1:20" s="168" customFormat="1" ht="16.5" customHeight="1" x14ac:dyDescent="0.35">
      <c r="A53" s="5759" t="s">
        <v>1437</v>
      </c>
      <c r="B53" s="5760"/>
      <c r="C53" s="5760"/>
      <c r="D53" s="5760"/>
      <c r="E53" s="5760"/>
      <c r="F53" s="5760"/>
      <c r="G53" s="1445" t="e">
        <f>G24/G50</f>
        <v>#DIV/0!</v>
      </c>
      <c r="H53" s="1445" t="e">
        <f>H24/H50</f>
        <v>#DIV/0!</v>
      </c>
      <c r="I53" s="1445" t="e">
        <f>I24/I50</f>
        <v>#DIV/0!</v>
      </c>
      <c r="J53" s="1445" t="e">
        <f>J24/J50</f>
        <v>#DIV/0!</v>
      </c>
      <c r="K53" s="1445" t="e">
        <f>K24/K50</f>
        <v>#DIV/0!</v>
      </c>
      <c r="L53" s="1443"/>
      <c r="M53" s="530"/>
      <c r="N53" s="531"/>
      <c r="O53" s="1580"/>
      <c r="P53" s="1580"/>
      <c r="Q53" s="531"/>
      <c r="R53" s="1580"/>
      <c r="S53" s="527"/>
      <c r="T53" s="530"/>
    </row>
    <row r="54" spans="1:20" ht="15" thickBot="1" x14ac:dyDescent="0.4">
      <c r="A54" s="5764" t="s">
        <v>1438</v>
      </c>
      <c r="B54" s="5765"/>
      <c r="C54" s="5765"/>
      <c r="D54" s="5765"/>
      <c r="E54" s="5765"/>
      <c r="F54" s="5765"/>
      <c r="G54" s="1446" t="e">
        <f>G41/G50</f>
        <v>#DIV/0!</v>
      </c>
      <c r="H54" s="1446" t="e">
        <f>H41/H50</f>
        <v>#DIV/0!</v>
      </c>
      <c r="I54" s="1446" t="e">
        <f>I41/I50</f>
        <v>#DIV/0!</v>
      </c>
      <c r="J54" s="1446" t="e">
        <f>J41/J50</f>
        <v>#DIV/0!</v>
      </c>
      <c r="K54" s="1446" t="e">
        <f>K41/K50</f>
        <v>#DIV/0!</v>
      </c>
      <c r="L54" s="1447"/>
      <c r="M54" s="530"/>
      <c r="N54" s="531"/>
      <c r="O54" s="496"/>
      <c r="P54" s="496"/>
      <c r="Q54" s="533"/>
      <c r="R54" s="496"/>
      <c r="S54" s="534"/>
      <c r="T54" s="512"/>
    </row>
    <row r="55" spans="1:20" ht="56.25" customHeight="1" thickBot="1" x14ac:dyDescent="0.4">
      <c r="A55" s="5766"/>
      <c r="B55" s="5766"/>
      <c r="C55" s="5766"/>
      <c r="D55" s="5766"/>
      <c r="E55" s="5766"/>
      <c r="F55" s="5766"/>
      <c r="G55" s="5766"/>
      <c r="H55" s="5766"/>
      <c r="I55" s="5766"/>
      <c r="J55" s="5766"/>
      <c r="K55" s="5766"/>
      <c r="L55" s="5766"/>
      <c r="M55" s="5766"/>
      <c r="N55" s="531"/>
      <c r="O55" s="496"/>
      <c r="P55" s="496"/>
      <c r="Q55" s="533"/>
      <c r="R55" s="496"/>
      <c r="S55" s="534"/>
      <c r="T55" s="512"/>
    </row>
    <row r="56" spans="1:20" s="168" customFormat="1" ht="39.75" customHeight="1" thickTop="1" thickBot="1" x14ac:dyDescent="0.4">
      <c r="A56" s="5744" t="s">
        <v>1446</v>
      </c>
      <c r="B56" s="5745"/>
      <c r="C56" s="5745"/>
      <c r="D56" s="5745"/>
      <c r="E56" s="5745"/>
      <c r="F56" s="5745"/>
      <c r="G56" s="1448">
        <f>AnReference-1</f>
        <v>2017</v>
      </c>
      <c r="H56" s="1448">
        <f>AnReference</f>
        <v>2018</v>
      </c>
      <c r="I56" s="1448">
        <f>I47</f>
        <v>2019</v>
      </c>
      <c r="J56" s="1448">
        <f>J47</f>
        <v>2020</v>
      </c>
      <c r="K56" s="1448">
        <f>K47</f>
        <v>2021</v>
      </c>
      <c r="L56" s="1449" t="s">
        <v>127</v>
      </c>
      <c r="M56" s="530"/>
      <c r="N56" s="496"/>
      <c r="O56" s="496"/>
      <c r="P56" s="496"/>
      <c r="Q56" s="513"/>
      <c r="R56" s="496"/>
      <c r="S56" s="536"/>
      <c r="T56" s="530"/>
    </row>
    <row r="57" spans="1:20" s="168" customFormat="1" ht="24" customHeight="1" x14ac:dyDescent="0.35">
      <c r="A57" s="5746" t="s">
        <v>1439</v>
      </c>
      <c r="B57" s="5747"/>
      <c r="C57" s="5747"/>
      <c r="D57" s="5747"/>
      <c r="E57" s="5747"/>
      <c r="F57" s="5747" t="s">
        <v>1440</v>
      </c>
      <c r="G57" s="1769">
        <f t="shared" ref="G57:L57" si="19">G15+G32</f>
        <v>0</v>
      </c>
      <c r="H57" s="1769">
        <f t="shared" si="19"/>
        <v>0</v>
      </c>
      <c r="I57" s="1769">
        <f t="shared" si="19"/>
        <v>0</v>
      </c>
      <c r="J57" s="1769">
        <f t="shared" si="19"/>
        <v>0</v>
      </c>
      <c r="K57" s="1769">
        <f t="shared" si="19"/>
        <v>0</v>
      </c>
      <c r="L57" s="1770">
        <f t="shared" si="19"/>
        <v>0</v>
      </c>
      <c r="M57" s="530"/>
      <c r="N57" s="496"/>
      <c r="O57" s="496"/>
      <c r="P57" s="496"/>
      <c r="Q57" s="513"/>
      <c r="R57" s="496"/>
      <c r="S57" s="536"/>
      <c r="T57" s="530"/>
    </row>
    <row r="58" spans="1:20" s="211" customFormat="1" ht="22.5" customHeight="1" thickBot="1" x14ac:dyDescent="0.4">
      <c r="A58" s="5748" t="s">
        <v>1441</v>
      </c>
      <c r="B58" s="5749"/>
      <c r="C58" s="5749"/>
      <c r="D58" s="5749"/>
      <c r="E58" s="5749"/>
      <c r="F58" s="5749" t="s">
        <v>1427</v>
      </c>
      <c r="G58" s="1772">
        <f t="shared" ref="G58:L58" si="20">G26+G43</f>
        <v>0</v>
      </c>
      <c r="H58" s="1772">
        <f t="shared" si="20"/>
        <v>0</v>
      </c>
      <c r="I58" s="1772">
        <f t="shared" si="20"/>
        <v>0</v>
      </c>
      <c r="J58" s="1772">
        <f t="shared" si="20"/>
        <v>0</v>
      </c>
      <c r="K58" s="1772">
        <f t="shared" si="20"/>
        <v>0</v>
      </c>
      <c r="L58" s="1773">
        <f t="shared" si="20"/>
        <v>0</v>
      </c>
      <c r="M58" s="1450"/>
      <c r="N58" s="1451"/>
      <c r="O58" s="1452"/>
      <c r="P58" s="1452"/>
      <c r="Q58" s="1453"/>
      <c r="R58" s="1452"/>
      <c r="S58" s="1454"/>
      <c r="T58" s="538"/>
    </row>
    <row r="59" spans="1:20" s="204" customFormat="1" ht="22.5" customHeight="1" x14ac:dyDescent="0.35">
      <c r="A59" s="1455"/>
      <c r="B59" s="1456"/>
      <c r="C59" s="1456"/>
      <c r="D59" s="1456"/>
      <c r="E59" s="1456"/>
      <c r="F59" s="1456" t="s">
        <v>764</v>
      </c>
      <c r="G59" s="1779">
        <f t="shared" ref="G59:L59" si="21">G58+G57</f>
        <v>0</v>
      </c>
      <c r="H59" s="1779">
        <f t="shared" si="21"/>
        <v>0</v>
      </c>
      <c r="I59" s="1779">
        <f t="shared" si="21"/>
        <v>0</v>
      </c>
      <c r="J59" s="1779">
        <f t="shared" si="21"/>
        <v>0</v>
      </c>
      <c r="K59" s="1779">
        <f t="shared" si="21"/>
        <v>0</v>
      </c>
      <c r="L59" s="1780">
        <f t="shared" si="21"/>
        <v>0</v>
      </c>
      <c r="M59" s="1459"/>
      <c r="N59" s="1460"/>
      <c r="O59" s="1452"/>
      <c r="P59" s="1452"/>
      <c r="Q59" s="1461"/>
      <c r="R59" s="1452"/>
      <c r="S59" s="1454"/>
      <c r="T59" s="508"/>
    </row>
    <row r="60" spans="1:20" ht="15" thickBot="1" x14ac:dyDescent="0.4">
      <c r="A60" s="5750"/>
      <c r="B60" s="5751"/>
      <c r="C60" s="5751"/>
      <c r="D60" s="5751"/>
      <c r="E60" s="5751"/>
      <c r="F60" s="5752"/>
      <c r="G60" s="1462"/>
      <c r="H60" s="1462"/>
      <c r="I60" s="1462"/>
      <c r="J60" s="1462"/>
      <c r="K60" s="1462"/>
      <c r="L60" s="1463"/>
      <c r="M60" s="530"/>
      <c r="N60" s="531"/>
      <c r="O60" s="1580"/>
      <c r="P60" s="1580"/>
      <c r="Q60" s="532"/>
      <c r="R60" s="1580"/>
      <c r="S60" s="527"/>
      <c r="T60" s="512"/>
    </row>
    <row r="61" spans="1:20" ht="15" thickTop="1" x14ac:dyDescent="0.35">
      <c r="A61" s="5753" t="s">
        <v>1442</v>
      </c>
      <c r="B61" s="5754"/>
      <c r="C61" s="5754"/>
      <c r="D61" s="5754"/>
      <c r="E61" s="5754"/>
      <c r="F61" s="5754"/>
      <c r="G61" s="1464" t="e">
        <f t="shared" ref="G61:L61" si="22">G58/G59</f>
        <v>#DIV/0!</v>
      </c>
      <c r="H61" s="1464" t="e">
        <f t="shared" si="22"/>
        <v>#DIV/0!</v>
      </c>
      <c r="I61" s="1464" t="e">
        <f t="shared" si="22"/>
        <v>#DIV/0!</v>
      </c>
      <c r="J61" s="1464" t="e">
        <f t="shared" si="22"/>
        <v>#DIV/0!</v>
      </c>
      <c r="K61" s="1464" t="e">
        <f t="shared" si="22"/>
        <v>#DIV/0!</v>
      </c>
      <c r="L61" s="1465" t="e">
        <f t="shared" si="22"/>
        <v>#DIV/0!</v>
      </c>
      <c r="M61" s="530"/>
      <c r="N61" s="496"/>
      <c r="O61" s="496"/>
      <c r="P61" s="496"/>
      <c r="Q61" s="513"/>
      <c r="R61" s="496"/>
      <c r="S61" s="536"/>
      <c r="T61" s="512"/>
    </row>
    <row r="62" spans="1:20" x14ac:dyDescent="0.35">
      <c r="A62" s="1466"/>
      <c r="B62" s="1467"/>
      <c r="C62" s="1467"/>
      <c r="D62" s="1467"/>
      <c r="E62" s="1467"/>
      <c r="F62" s="1468" t="s">
        <v>1443</v>
      </c>
      <c r="G62" s="1469"/>
      <c r="H62" s="1470" t="e">
        <f>SUM(H58-G58)/G58</f>
        <v>#DIV/0!</v>
      </c>
      <c r="I62" s="1470" t="e">
        <f>SUM(I58-H58)/H58</f>
        <v>#DIV/0!</v>
      </c>
      <c r="J62" s="1470" t="e">
        <f>SUM(J58-I58)/I58</f>
        <v>#DIV/0!</v>
      </c>
      <c r="K62" s="1470" t="e">
        <f>SUM(K58-J58)/J58</f>
        <v>#DIV/0!</v>
      </c>
      <c r="L62" s="1471" t="e">
        <f>SUM(L58-K58)/K58</f>
        <v>#DIV/0!</v>
      </c>
      <c r="M62" s="530"/>
      <c r="N62" s="496"/>
      <c r="O62" s="496"/>
      <c r="P62" s="496"/>
      <c r="Q62" s="513"/>
      <c r="R62" s="496"/>
      <c r="S62" s="536"/>
      <c r="T62" s="512"/>
    </row>
    <row r="63" spans="1:20" ht="15" thickBot="1" x14ac:dyDescent="0.4">
      <c r="A63" s="5755" t="s">
        <v>1444</v>
      </c>
      <c r="B63" s="5756"/>
      <c r="C63" s="5756"/>
      <c r="D63" s="5756"/>
      <c r="E63" s="5756"/>
      <c r="F63" s="5756"/>
      <c r="G63" s="1472"/>
      <c r="H63" s="1473" t="e">
        <f>H57/H50</f>
        <v>#DIV/0!</v>
      </c>
      <c r="I63" s="1473" t="e">
        <f>I57/I50</f>
        <v>#DIV/0!</v>
      </c>
      <c r="J63" s="1473" t="e">
        <f>J57/J50</f>
        <v>#DIV/0!</v>
      </c>
      <c r="K63" s="1473" t="e">
        <f>K57/K50</f>
        <v>#DIV/0!</v>
      </c>
      <c r="L63" s="1474" t="e">
        <f>L57/L50</f>
        <v>#DIV/0!</v>
      </c>
      <c r="M63" s="530"/>
      <c r="N63" s="496"/>
      <c r="O63" s="496"/>
      <c r="P63" s="496"/>
      <c r="Q63" s="513"/>
      <c r="R63" s="496"/>
      <c r="S63" s="536"/>
      <c r="T63" s="512"/>
    </row>
    <row r="64" spans="1:20" ht="15" thickBot="1" x14ac:dyDescent="0.4">
      <c r="A64" s="512"/>
      <c r="B64" s="512"/>
      <c r="C64" s="512"/>
      <c r="D64" s="512"/>
      <c r="E64" s="512"/>
      <c r="F64" s="535"/>
      <c r="G64" s="512"/>
      <c r="H64" s="508"/>
      <c r="I64" s="508"/>
      <c r="J64" s="508"/>
      <c r="K64" s="508"/>
      <c r="L64" s="512"/>
      <c r="M64" s="530"/>
      <c r="N64" s="496"/>
      <c r="O64" s="496"/>
      <c r="P64" s="496"/>
      <c r="Q64" s="496"/>
      <c r="R64" s="496"/>
      <c r="S64" s="536"/>
      <c r="T64" s="512"/>
    </row>
    <row r="65" spans="1:20" ht="19" thickTop="1" x14ac:dyDescent="0.35">
      <c r="A65" s="5744" t="s">
        <v>1447</v>
      </c>
      <c r="B65" s="5745"/>
      <c r="C65" s="5745"/>
      <c r="D65" s="5745"/>
      <c r="E65" s="5745"/>
      <c r="F65" s="5745"/>
      <c r="G65" s="1448">
        <f>AnReference-1</f>
        <v>2017</v>
      </c>
      <c r="H65" s="1448">
        <f>AnReference</f>
        <v>2018</v>
      </c>
      <c r="I65" s="1448">
        <f>I56</f>
        <v>2019</v>
      </c>
      <c r="J65" s="1448">
        <f>J56</f>
        <v>2020</v>
      </c>
      <c r="K65" s="1475">
        <f>K56</f>
        <v>2021</v>
      </c>
      <c r="L65" s="1476" t="s">
        <v>127</v>
      </c>
      <c r="M65" s="538"/>
      <c r="N65" s="1108">
        <f>AnReference-1</f>
        <v>2017</v>
      </c>
      <c r="O65" s="537">
        <f>AnReference</f>
        <v>2018</v>
      </c>
      <c r="P65" s="537">
        <f>I65</f>
        <v>2019</v>
      </c>
      <c r="Q65" s="537">
        <f>J65</f>
        <v>2020</v>
      </c>
      <c r="R65" s="1095">
        <f>K65</f>
        <v>2021</v>
      </c>
      <c r="S65" s="1100" t="s">
        <v>127</v>
      </c>
      <c r="T65" s="512"/>
    </row>
    <row r="66" spans="1:20" s="211" customFormat="1" ht="18.75" customHeight="1" x14ac:dyDescent="0.35">
      <c r="A66" s="5734" t="str">
        <f t="shared" ref="A66:A73" si="23">A15</f>
        <v>Ventes directes seules</v>
      </c>
      <c r="B66" s="5735"/>
      <c r="C66" s="5735"/>
      <c r="D66" s="5735"/>
      <c r="E66" s="5735"/>
      <c r="F66" s="5735"/>
      <c r="G66" s="1963">
        <f t="shared" ref="G66:K73" si="24">G32+G15</f>
        <v>0</v>
      </c>
      <c r="H66" s="1963">
        <f t="shared" si="24"/>
        <v>0</v>
      </c>
      <c r="I66" s="1963">
        <f t="shared" si="24"/>
        <v>0</v>
      </c>
      <c r="J66" s="1963">
        <f t="shared" si="24"/>
        <v>0</v>
      </c>
      <c r="K66" s="1963">
        <f t="shared" si="24"/>
        <v>0</v>
      </c>
      <c r="L66" s="1975">
        <f t="shared" ref="L66:L73" si="25">SUM(H66:K66)</f>
        <v>0</v>
      </c>
      <c r="M66" s="539"/>
      <c r="N66" s="510" t="str">
        <f>IF(G66=0,"",G66/G$75)</f>
        <v/>
      </c>
      <c r="O66" s="511" t="str">
        <f t="shared" ref="O66:R73" si="26">IF(H66=0,"",H66/H$75)</f>
        <v/>
      </c>
      <c r="P66" s="511" t="str">
        <f t="shared" si="26"/>
        <v/>
      </c>
      <c r="Q66" s="511" t="str">
        <f t="shared" si="26"/>
        <v/>
      </c>
      <c r="R66" s="637" t="str">
        <f t="shared" si="26"/>
        <v/>
      </c>
      <c r="S66" s="1068"/>
      <c r="T66" s="538"/>
    </row>
    <row r="67" spans="1:20" x14ac:dyDescent="0.35">
      <c r="A67" s="5734" t="str">
        <f t="shared" si="23"/>
        <v>ESN</v>
      </c>
      <c r="B67" s="5735"/>
      <c r="C67" s="5735"/>
      <c r="D67" s="5735"/>
      <c r="E67" s="5735"/>
      <c r="F67" s="5735"/>
      <c r="G67" s="1963">
        <f t="shared" si="24"/>
        <v>0</v>
      </c>
      <c r="H67" s="1963">
        <f t="shared" si="24"/>
        <v>0</v>
      </c>
      <c r="I67" s="1963">
        <f t="shared" si="24"/>
        <v>0</v>
      </c>
      <c r="J67" s="1963">
        <f t="shared" si="24"/>
        <v>0</v>
      </c>
      <c r="K67" s="1963">
        <f t="shared" si="24"/>
        <v>0</v>
      </c>
      <c r="L67" s="1975">
        <f t="shared" si="25"/>
        <v>0</v>
      </c>
      <c r="M67" s="539"/>
      <c r="N67" s="510" t="str">
        <f t="shared" ref="N67:N73" si="27">IF(G67=0,"",G67/G$75)</f>
        <v/>
      </c>
      <c r="O67" s="511" t="str">
        <f t="shared" si="26"/>
        <v/>
      </c>
      <c r="P67" s="511" t="str">
        <f t="shared" si="26"/>
        <v/>
      </c>
      <c r="Q67" s="511" t="str">
        <f t="shared" si="26"/>
        <v/>
      </c>
      <c r="R67" s="637" t="str">
        <f t="shared" si="26"/>
        <v/>
      </c>
      <c r="S67" s="1068"/>
      <c r="T67" s="512"/>
    </row>
    <row r="68" spans="1:20" x14ac:dyDescent="0.35">
      <c r="A68" s="5734" t="str">
        <f t="shared" si="23"/>
        <v>Centres de contact</v>
      </c>
      <c r="B68" s="5735"/>
      <c r="C68" s="5735"/>
      <c r="D68" s="5735"/>
      <c r="E68" s="5735"/>
      <c r="F68" s="5735"/>
      <c r="G68" s="1963">
        <f t="shared" si="24"/>
        <v>0</v>
      </c>
      <c r="H68" s="1963">
        <f t="shared" si="24"/>
        <v>0</v>
      </c>
      <c r="I68" s="1963">
        <f t="shared" si="24"/>
        <v>0</v>
      </c>
      <c r="J68" s="1963">
        <f t="shared" si="24"/>
        <v>0</v>
      </c>
      <c r="K68" s="1963">
        <f t="shared" si="24"/>
        <v>0</v>
      </c>
      <c r="L68" s="1975">
        <f t="shared" si="25"/>
        <v>0</v>
      </c>
      <c r="M68" s="539"/>
      <c r="N68" s="510" t="str">
        <f t="shared" si="27"/>
        <v/>
      </c>
      <c r="O68" s="511" t="str">
        <f t="shared" si="26"/>
        <v/>
      </c>
      <c r="P68" s="511" t="str">
        <f t="shared" si="26"/>
        <v/>
      </c>
      <c r="Q68" s="511" t="str">
        <f t="shared" si="26"/>
        <v/>
      </c>
      <c r="R68" s="637" t="str">
        <f t="shared" si="26"/>
        <v/>
      </c>
      <c r="S68" s="1068"/>
      <c r="T68" s="512"/>
    </row>
    <row r="69" spans="1:20" x14ac:dyDescent="0.35">
      <c r="A69" s="5734" t="str">
        <f t="shared" si="23"/>
        <v>Vars Nationaux</v>
      </c>
      <c r="B69" s="5735"/>
      <c r="C69" s="5735"/>
      <c r="D69" s="5735"/>
      <c r="E69" s="5735"/>
      <c r="F69" s="5735"/>
      <c r="G69" s="1963">
        <f t="shared" si="24"/>
        <v>0</v>
      </c>
      <c r="H69" s="1963">
        <f t="shared" si="24"/>
        <v>0</v>
      </c>
      <c r="I69" s="1963">
        <f t="shared" si="24"/>
        <v>0</v>
      </c>
      <c r="J69" s="1963">
        <f t="shared" si="24"/>
        <v>0</v>
      </c>
      <c r="K69" s="1963">
        <f t="shared" si="24"/>
        <v>0</v>
      </c>
      <c r="L69" s="1975">
        <f t="shared" si="25"/>
        <v>0</v>
      </c>
      <c r="M69" s="539"/>
      <c r="N69" s="510" t="str">
        <f t="shared" si="27"/>
        <v/>
      </c>
      <c r="O69" s="511" t="str">
        <f t="shared" si="26"/>
        <v/>
      </c>
      <c r="P69" s="511" t="str">
        <f t="shared" si="26"/>
        <v/>
      </c>
      <c r="Q69" s="511" t="str">
        <f t="shared" si="26"/>
        <v/>
      </c>
      <c r="R69" s="637" t="str">
        <f t="shared" si="26"/>
        <v/>
      </c>
      <c r="S69" s="1068"/>
      <c r="T69" s="512"/>
    </row>
    <row r="70" spans="1:20" ht="17.25" customHeight="1" x14ac:dyDescent="0.35">
      <c r="A70" s="5734" t="str">
        <f t="shared" si="23"/>
        <v>Editeurs</v>
      </c>
      <c r="B70" s="5735"/>
      <c r="C70" s="5735"/>
      <c r="D70" s="5735"/>
      <c r="E70" s="5735"/>
      <c r="F70" s="5735"/>
      <c r="G70" s="1963">
        <f t="shared" si="24"/>
        <v>0</v>
      </c>
      <c r="H70" s="1963">
        <f t="shared" si="24"/>
        <v>0</v>
      </c>
      <c r="I70" s="1963">
        <f t="shared" si="24"/>
        <v>0</v>
      </c>
      <c r="J70" s="1963">
        <f t="shared" si="24"/>
        <v>0</v>
      </c>
      <c r="K70" s="1963">
        <f t="shared" si="24"/>
        <v>0</v>
      </c>
      <c r="L70" s="1975">
        <f t="shared" si="25"/>
        <v>0</v>
      </c>
      <c r="M70" s="512"/>
      <c r="N70" s="510" t="str">
        <f t="shared" si="27"/>
        <v/>
      </c>
      <c r="O70" s="511" t="str">
        <f t="shared" si="26"/>
        <v/>
      </c>
      <c r="P70" s="511" t="str">
        <f t="shared" si="26"/>
        <v/>
      </c>
      <c r="Q70" s="511" t="str">
        <f t="shared" si="26"/>
        <v/>
      </c>
      <c r="R70" s="637" t="str">
        <f t="shared" si="26"/>
        <v/>
      </c>
      <c r="S70" s="1068"/>
      <c r="T70" s="512"/>
    </row>
    <row r="71" spans="1:20" x14ac:dyDescent="0.35">
      <c r="A71" s="5734" t="str">
        <f t="shared" si="23"/>
        <v>Web Agencies</v>
      </c>
      <c r="B71" s="5735"/>
      <c r="C71" s="5735"/>
      <c r="D71" s="5735"/>
      <c r="E71" s="5735"/>
      <c r="F71" s="5735"/>
      <c r="G71" s="1963">
        <f t="shared" si="24"/>
        <v>0</v>
      </c>
      <c r="H71" s="1963">
        <f t="shared" si="24"/>
        <v>0</v>
      </c>
      <c r="I71" s="1963">
        <f t="shared" si="24"/>
        <v>0</v>
      </c>
      <c r="J71" s="1963">
        <f t="shared" si="24"/>
        <v>0</v>
      </c>
      <c r="K71" s="1963">
        <f t="shared" si="24"/>
        <v>0</v>
      </c>
      <c r="L71" s="1975">
        <f t="shared" si="25"/>
        <v>0</v>
      </c>
      <c r="M71" s="512"/>
      <c r="N71" s="510" t="str">
        <f t="shared" si="27"/>
        <v/>
      </c>
      <c r="O71" s="511" t="str">
        <f t="shared" si="26"/>
        <v/>
      </c>
      <c r="P71" s="511" t="str">
        <f t="shared" si="26"/>
        <v/>
      </c>
      <c r="Q71" s="511" t="str">
        <f t="shared" si="26"/>
        <v/>
      </c>
      <c r="R71" s="637" t="str">
        <f t="shared" si="26"/>
        <v/>
      </c>
      <c r="S71" s="1068"/>
      <c r="T71" s="512"/>
    </row>
    <row r="72" spans="1:20" x14ac:dyDescent="0.35">
      <c r="A72" s="5734" t="str">
        <f t="shared" si="23"/>
        <v>Constructeurs</v>
      </c>
      <c r="B72" s="5735"/>
      <c r="C72" s="5735"/>
      <c r="D72" s="5735"/>
      <c r="E72" s="5735"/>
      <c r="F72" s="5735"/>
      <c r="G72" s="1963">
        <f t="shared" si="24"/>
        <v>0</v>
      </c>
      <c r="H72" s="1963">
        <f t="shared" si="24"/>
        <v>0</v>
      </c>
      <c r="I72" s="1963">
        <f t="shared" si="24"/>
        <v>0</v>
      </c>
      <c r="J72" s="1963">
        <f t="shared" si="24"/>
        <v>0</v>
      </c>
      <c r="K72" s="1963">
        <f t="shared" si="24"/>
        <v>0</v>
      </c>
      <c r="L72" s="1975">
        <f t="shared" si="25"/>
        <v>0</v>
      </c>
      <c r="M72" s="512"/>
      <c r="N72" s="510" t="str">
        <f t="shared" si="27"/>
        <v/>
      </c>
      <c r="O72" s="511" t="str">
        <f t="shared" si="26"/>
        <v/>
      </c>
      <c r="P72" s="511" t="str">
        <f t="shared" si="26"/>
        <v/>
      </c>
      <c r="Q72" s="511" t="str">
        <f t="shared" si="26"/>
        <v/>
      </c>
      <c r="R72" s="637" t="str">
        <f t="shared" si="26"/>
        <v/>
      </c>
      <c r="S72" s="1068"/>
      <c r="T72" s="512"/>
    </row>
    <row r="73" spans="1:20" x14ac:dyDescent="0.35">
      <c r="A73" s="5734" t="str">
        <f t="shared" si="23"/>
        <v>Hébergeurs</v>
      </c>
      <c r="B73" s="5735"/>
      <c r="C73" s="5735"/>
      <c r="D73" s="5735"/>
      <c r="E73" s="5735"/>
      <c r="F73" s="5735"/>
      <c r="G73" s="1963">
        <f t="shared" si="24"/>
        <v>0</v>
      </c>
      <c r="H73" s="1963">
        <f t="shared" si="24"/>
        <v>0</v>
      </c>
      <c r="I73" s="1963">
        <f t="shared" si="24"/>
        <v>0</v>
      </c>
      <c r="J73" s="1963">
        <f t="shared" si="24"/>
        <v>0</v>
      </c>
      <c r="K73" s="1963">
        <f t="shared" si="24"/>
        <v>0</v>
      </c>
      <c r="L73" s="1975">
        <f t="shared" si="25"/>
        <v>0</v>
      </c>
      <c r="M73" s="512"/>
      <c r="N73" s="510" t="str">
        <f t="shared" si="27"/>
        <v/>
      </c>
      <c r="O73" s="511" t="str">
        <f t="shared" si="26"/>
        <v/>
      </c>
      <c r="P73" s="511" t="str">
        <f t="shared" si="26"/>
        <v/>
      </c>
      <c r="Q73" s="511" t="str">
        <f t="shared" si="26"/>
        <v/>
      </c>
      <c r="R73" s="637" t="str">
        <f t="shared" si="26"/>
        <v/>
      </c>
      <c r="S73" s="1068"/>
      <c r="T73" s="512"/>
    </row>
    <row r="74" spans="1:20" x14ac:dyDescent="0.35">
      <c r="A74" s="5736"/>
      <c r="B74" s="5737"/>
      <c r="C74" s="5737"/>
      <c r="D74" s="5737"/>
      <c r="E74" s="5737"/>
      <c r="F74" s="5737"/>
      <c r="G74" s="5737"/>
      <c r="H74" s="5737"/>
      <c r="I74" s="5737"/>
      <c r="J74" s="5737"/>
      <c r="K74" s="5737"/>
      <c r="L74" s="5738"/>
      <c r="M74" s="512"/>
      <c r="N74" s="5739"/>
      <c r="O74" s="5740"/>
      <c r="P74" s="5740"/>
      <c r="Q74" s="5740"/>
      <c r="R74" s="5740"/>
      <c r="S74" s="5741"/>
      <c r="T74" s="512"/>
    </row>
    <row r="75" spans="1:20" ht="18" customHeight="1" thickBot="1" x14ac:dyDescent="0.4">
      <c r="A75" s="5742" t="s">
        <v>127</v>
      </c>
      <c r="B75" s="5743"/>
      <c r="C75" s="5743"/>
      <c r="D75" s="5743"/>
      <c r="E75" s="5743"/>
      <c r="F75" s="5743"/>
      <c r="G75" s="1976">
        <f>SUM(G66:G74)</f>
        <v>0</v>
      </c>
      <c r="H75" s="1977">
        <f>SUM(H66:H74)</f>
        <v>0</v>
      </c>
      <c r="I75" s="1977">
        <f>SUM(I66:I74)</f>
        <v>0</v>
      </c>
      <c r="J75" s="1977">
        <f>SUM(J66:J74)</f>
        <v>0</v>
      </c>
      <c r="K75" s="1978">
        <f>SUM(K66:K74)</f>
        <v>0</v>
      </c>
      <c r="L75" s="1979">
        <f>SUM(H75:K75)</f>
        <v>0</v>
      </c>
      <c r="M75" s="541"/>
      <c r="N75" s="542">
        <f>SUM(O66:O74)</f>
        <v>0</v>
      </c>
      <c r="O75" s="543">
        <f>SUM(O66:O74)</f>
        <v>0</v>
      </c>
      <c r="P75" s="543">
        <f>SUM(P66:P74)</f>
        <v>0</v>
      </c>
      <c r="Q75" s="543">
        <f>SUM(Q66:Q74)</f>
        <v>0</v>
      </c>
      <c r="R75" s="1099">
        <f>SUM(R66:R74)</f>
        <v>0</v>
      </c>
      <c r="S75" s="1101">
        <f>SUM(S66:S74)</f>
        <v>0</v>
      </c>
      <c r="T75" s="512"/>
    </row>
    <row r="76" spans="1:20" s="213" customFormat="1" ht="16.5" thickTop="1" thickBot="1" x14ac:dyDescent="0.4">
      <c r="A76" s="5723" t="s">
        <v>761</v>
      </c>
      <c r="B76" s="5724"/>
      <c r="C76" s="5724"/>
      <c r="D76" s="5724"/>
      <c r="E76" s="5724"/>
      <c r="F76" s="5724"/>
      <c r="G76" s="545"/>
      <c r="H76" s="546" t="e">
        <f>(H75-G75)/G75</f>
        <v>#DIV/0!</v>
      </c>
      <c r="I76" s="546" t="e">
        <f>(I75-H75)/H75</f>
        <v>#DIV/0!</v>
      </c>
      <c r="J76" s="546" t="e">
        <f>(J75-I75)/I75</f>
        <v>#DIV/0!</v>
      </c>
      <c r="K76" s="546" t="e">
        <f>(K75-J75)/J75</f>
        <v>#DIV/0!</v>
      </c>
      <c r="L76" s="1065"/>
      <c r="M76" s="520"/>
      <c r="N76" s="520"/>
      <c r="O76" s="513"/>
      <c r="P76" s="513"/>
      <c r="Q76" s="513"/>
      <c r="R76" s="513"/>
      <c r="S76" s="513"/>
      <c r="T76" s="544"/>
    </row>
    <row r="77" spans="1:20" s="205" customFormat="1" ht="15" thickTop="1" x14ac:dyDescent="0.35">
      <c r="A77" s="535"/>
      <c r="B77" s="535"/>
      <c r="C77" s="535"/>
      <c r="D77" s="535"/>
      <c r="E77" s="535"/>
      <c r="F77" s="535"/>
      <c r="G77" s="1480"/>
      <c r="H77" s="1480"/>
      <c r="I77" s="1480"/>
      <c r="J77" s="1480"/>
      <c r="K77" s="1480"/>
      <c r="L77" s="1480"/>
      <c r="M77" s="520"/>
      <c r="N77" s="520"/>
      <c r="O77" s="513"/>
      <c r="P77" s="513"/>
      <c r="Q77" s="513"/>
      <c r="R77" s="513"/>
      <c r="S77" s="513"/>
      <c r="T77" s="513"/>
    </row>
    <row r="78" spans="1:20" s="205" customFormat="1" x14ac:dyDescent="0.35">
      <c r="A78" s="535"/>
      <c r="B78" s="535"/>
      <c r="C78" s="535"/>
      <c r="D78" s="535"/>
      <c r="E78" s="535"/>
      <c r="F78" s="535"/>
      <c r="G78" s="512"/>
      <c r="H78" s="1433"/>
      <c r="I78" s="1433"/>
      <c r="J78" s="1433"/>
      <c r="K78" s="1433"/>
      <c r="L78" s="512"/>
      <c r="M78" s="520"/>
      <c r="N78" s="520"/>
      <c r="O78" s="513"/>
      <c r="P78" s="513"/>
      <c r="Q78" s="513"/>
      <c r="R78" s="513"/>
      <c r="S78" s="513"/>
      <c r="T78" s="513"/>
    </row>
    <row r="79" spans="1:20" s="205" customFormat="1" x14ac:dyDescent="0.35">
      <c r="A79" s="535"/>
      <c r="B79" s="535"/>
      <c r="C79" s="535"/>
      <c r="D79" s="535"/>
      <c r="E79" s="535"/>
      <c r="F79" s="535"/>
      <c r="G79" s="1575"/>
      <c r="H79" s="527"/>
      <c r="I79" s="527"/>
      <c r="J79" s="527"/>
      <c r="K79" s="527"/>
      <c r="L79" s="547"/>
      <c r="M79" s="520"/>
      <c r="N79" s="520"/>
      <c r="O79" s="513"/>
      <c r="P79" s="513"/>
      <c r="Q79" s="513"/>
      <c r="R79" s="513"/>
      <c r="S79" s="513"/>
      <c r="T79" s="513"/>
    </row>
    <row r="80" spans="1:20" s="60" customFormat="1" x14ac:dyDescent="0.35">
      <c r="A80" s="512"/>
      <c r="B80" s="512"/>
      <c r="C80" s="512"/>
      <c r="D80" s="512"/>
      <c r="E80" s="512"/>
      <c r="F80" s="512"/>
      <c r="G80" s="512"/>
      <c r="H80" s="512"/>
      <c r="I80" s="512"/>
      <c r="J80" s="512"/>
      <c r="K80" s="512"/>
      <c r="L80" s="512"/>
      <c r="M80" s="512"/>
      <c r="N80" s="530"/>
      <c r="O80" s="512"/>
      <c r="P80" s="512"/>
      <c r="Q80" s="512"/>
      <c r="R80" s="512"/>
      <c r="S80" s="512"/>
      <c r="T80" s="64"/>
    </row>
    <row r="81" spans="1:20" x14ac:dyDescent="0.35">
      <c r="A81" s="512"/>
      <c r="B81" s="512"/>
      <c r="C81" s="512"/>
      <c r="D81" s="512"/>
      <c r="E81" s="512"/>
      <c r="F81" s="512"/>
      <c r="G81" s="512"/>
      <c r="H81" s="512"/>
      <c r="I81" s="512"/>
      <c r="J81" s="512"/>
      <c r="K81" s="512"/>
      <c r="L81" s="512"/>
      <c r="M81" s="512"/>
      <c r="N81" s="512"/>
      <c r="O81" s="512"/>
      <c r="P81" s="512"/>
      <c r="Q81" s="512"/>
      <c r="R81" s="512"/>
      <c r="S81" s="512"/>
      <c r="T81" s="512"/>
    </row>
    <row r="82" spans="1:20" x14ac:dyDescent="0.35">
      <c r="A82" s="512"/>
      <c r="B82" s="512"/>
      <c r="C82" s="512"/>
      <c r="D82" s="512"/>
      <c r="E82" s="512"/>
      <c r="F82" s="512"/>
      <c r="G82" s="512"/>
      <c r="H82" s="512"/>
      <c r="I82" s="512"/>
      <c r="J82" s="512"/>
      <c r="K82" s="512"/>
      <c r="L82" s="512"/>
      <c r="M82" s="512"/>
      <c r="N82" s="586"/>
      <c r="O82" s="512"/>
      <c r="P82" s="512"/>
      <c r="Q82" s="512"/>
      <c r="R82" s="512"/>
      <c r="S82" s="512"/>
      <c r="T82" s="512"/>
    </row>
    <row r="83" spans="1:20" x14ac:dyDescent="0.35">
      <c r="A83" s="512"/>
      <c r="B83" s="512"/>
      <c r="C83" s="512"/>
      <c r="D83" s="512"/>
      <c r="E83" s="512"/>
      <c r="F83" s="512"/>
      <c r="G83" s="512"/>
      <c r="H83" s="512"/>
      <c r="I83" s="512"/>
      <c r="J83" s="512"/>
      <c r="K83" s="512"/>
      <c r="L83" s="512"/>
      <c r="M83" s="512"/>
      <c r="N83" s="587"/>
      <c r="O83" s="512"/>
      <c r="P83" s="512"/>
      <c r="Q83" s="512"/>
      <c r="R83" s="512"/>
      <c r="S83" s="512"/>
      <c r="T83" s="512"/>
    </row>
    <row r="84" spans="1:20" x14ac:dyDescent="0.35">
      <c r="A84" s="512"/>
      <c r="B84" s="512"/>
      <c r="C84" s="512"/>
      <c r="D84" s="512"/>
      <c r="E84" s="512"/>
      <c r="F84" s="512"/>
      <c r="G84" s="512"/>
      <c r="H84" s="512"/>
      <c r="I84" s="512"/>
      <c r="J84" s="512"/>
      <c r="K84" s="512"/>
      <c r="L84" s="512"/>
      <c r="M84" s="512"/>
      <c r="N84" s="587"/>
      <c r="O84" s="512"/>
      <c r="P84" s="512"/>
      <c r="Q84" s="512"/>
      <c r="R84" s="512"/>
      <c r="S84" s="512"/>
      <c r="T84" s="512"/>
    </row>
    <row r="85" spans="1:20" x14ac:dyDescent="0.35">
      <c r="A85" s="512"/>
      <c r="B85" s="512"/>
      <c r="C85" s="512"/>
      <c r="D85" s="512"/>
      <c r="E85" s="512"/>
      <c r="F85" s="512"/>
      <c r="G85" s="512"/>
      <c r="H85" s="512"/>
      <c r="I85" s="512"/>
      <c r="J85" s="512"/>
      <c r="K85" s="512"/>
      <c r="L85" s="512"/>
      <c r="M85" s="512"/>
      <c r="N85" s="587"/>
      <c r="O85" s="512"/>
      <c r="P85" s="512"/>
      <c r="Q85" s="512"/>
      <c r="R85" s="512"/>
      <c r="S85" s="512"/>
      <c r="T85" s="512"/>
    </row>
    <row r="86" spans="1:20" x14ac:dyDescent="0.35">
      <c r="A86" s="512"/>
      <c r="B86" s="512"/>
      <c r="C86" s="512"/>
      <c r="D86" s="512"/>
      <c r="E86" s="512"/>
      <c r="F86" s="512"/>
      <c r="G86" s="512"/>
      <c r="H86" s="512"/>
      <c r="I86" s="512"/>
      <c r="J86" s="512"/>
      <c r="K86" s="512"/>
      <c r="L86" s="512"/>
      <c r="M86" s="512"/>
      <c r="N86" s="587"/>
      <c r="O86" s="512"/>
      <c r="P86" s="512"/>
      <c r="Q86" s="512"/>
      <c r="R86" s="512"/>
      <c r="S86" s="512"/>
      <c r="T86" s="512"/>
    </row>
    <row r="87" spans="1:20" x14ac:dyDescent="0.35">
      <c r="A87" s="512"/>
      <c r="B87" s="512"/>
      <c r="C87" s="512"/>
      <c r="D87" s="512"/>
      <c r="E87" s="512"/>
      <c r="F87" s="512"/>
      <c r="G87" s="512"/>
      <c r="H87" s="512"/>
      <c r="I87" s="512"/>
      <c r="J87" s="512"/>
      <c r="K87" s="512"/>
      <c r="L87" s="512"/>
      <c r="M87" s="512"/>
      <c r="N87" s="587"/>
      <c r="O87" s="512"/>
      <c r="P87" s="512"/>
      <c r="Q87" s="512"/>
      <c r="R87" s="512"/>
      <c r="S87" s="512"/>
      <c r="T87" s="512"/>
    </row>
    <row r="88" spans="1:20" x14ac:dyDescent="0.35">
      <c r="A88" s="512"/>
      <c r="B88" s="512"/>
      <c r="C88" s="512"/>
      <c r="D88" s="512"/>
      <c r="E88" s="512"/>
      <c r="F88" s="512"/>
      <c r="G88" s="512"/>
      <c r="H88" s="512"/>
      <c r="I88" s="512"/>
      <c r="J88" s="512"/>
      <c r="K88" s="512"/>
      <c r="L88" s="512"/>
      <c r="M88" s="512"/>
      <c r="N88" s="587"/>
      <c r="O88" s="512"/>
      <c r="P88" s="512"/>
      <c r="Q88" s="512"/>
      <c r="R88" s="512"/>
      <c r="S88" s="512"/>
      <c r="T88" s="512"/>
    </row>
    <row r="89" spans="1:20" x14ac:dyDescent="0.35">
      <c r="A89" s="512"/>
      <c r="B89" s="512"/>
      <c r="C89" s="512"/>
      <c r="D89" s="512"/>
      <c r="E89" s="512"/>
      <c r="F89" s="588"/>
      <c r="G89" s="512"/>
      <c r="H89" s="512"/>
      <c r="I89" s="512"/>
      <c r="J89" s="512"/>
      <c r="K89" s="512"/>
      <c r="L89" s="512"/>
      <c r="M89" s="512"/>
      <c r="N89" s="512"/>
      <c r="O89" s="512"/>
      <c r="P89" s="512"/>
      <c r="Q89" s="512"/>
      <c r="R89" s="512"/>
      <c r="S89" s="512"/>
      <c r="T89" s="512"/>
    </row>
    <row r="90" spans="1:20" x14ac:dyDescent="0.35">
      <c r="A90" s="512"/>
      <c r="B90" s="512"/>
      <c r="C90" s="512"/>
      <c r="D90" s="512"/>
      <c r="E90" s="512"/>
      <c r="F90" s="588"/>
      <c r="G90" s="512"/>
      <c r="H90" s="512"/>
      <c r="I90" s="512"/>
      <c r="J90" s="512"/>
      <c r="K90" s="512"/>
      <c r="L90" s="512"/>
      <c r="M90" s="512"/>
      <c r="N90" s="512"/>
      <c r="O90" s="512"/>
      <c r="P90" s="512"/>
      <c r="Q90" s="512"/>
      <c r="R90" s="512"/>
      <c r="S90" s="512"/>
      <c r="T90" s="512"/>
    </row>
    <row r="91" spans="1:20" x14ac:dyDescent="0.35">
      <c r="A91" s="512"/>
      <c r="B91" s="512"/>
      <c r="C91" s="512"/>
      <c r="D91" s="512"/>
      <c r="E91" s="512"/>
      <c r="F91" s="588"/>
      <c r="G91" s="512"/>
      <c r="H91" s="512"/>
      <c r="I91" s="512"/>
      <c r="J91" s="512"/>
      <c r="K91" s="512"/>
      <c r="L91" s="512"/>
      <c r="M91" s="512"/>
      <c r="N91" s="586"/>
      <c r="O91" s="512"/>
      <c r="P91" s="512"/>
      <c r="Q91" s="512"/>
      <c r="R91" s="512"/>
      <c r="S91" s="512"/>
      <c r="T91" s="512"/>
    </row>
    <row r="92" spans="1:20" x14ac:dyDescent="0.35">
      <c r="A92" s="512"/>
      <c r="B92" s="512"/>
      <c r="C92" s="512"/>
      <c r="D92" s="512"/>
      <c r="E92" s="512"/>
      <c r="F92" s="512"/>
      <c r="G92" s="512"/>
      <c r="H92" s="512"/>
      <c r="I92" s="512"/>
      <c r="J92" s="512"/>
      <c r="K92" s="512"/>
      <c r="L92" s="512"/>
      <c r="M92" s="512"/>
      <c r="N92" s="587"/>
      <c r="O92" s="512"/>
      <c r="P92" s="512"/>
      <c r="Q92" s="512"/>
      <c r="R92" s="512"/>
      <c r="S92" s="512"/>
      <c r="T92" s="512"/>
    </row>
    <row r="93" spans="1:20" x14ac:dyDescent="0.35">
      <c r="A93" s="512"/>
      <c r="B93" s="512"/>
      <c r="C93" s="512"/>
      <c r="D93" s="512"/>
      <c r="E93" s="512"/>
      <c r="F93" s="588"/>
      <c r="G93" s="512"/>
      <c r="H93" s="512"/>
      <c r="I93" s="512"/>
      <c r="J93" s="512"/>
      <c r="K93" s="512"/>
      <c r="L93" s="512"/>
      <c r="M93" s="512"/>
      <c r="N93" s="512"/>
      <c r="O93" s="512"/>
      <c r="P93" s="512"/>
      <c r="Q93" s="512"/>
      <c r="R93" s="512"/>
      <c r="S93" s="512"/>
      <c r="T93" s="512"/>
    </row>
    <row r="94" spans="1:20" x14ac:dyDescent="0.35">
      <c r="A94" s="512"/>
      <c r="B94" s="512"/>
      <c r="C94" s="512"/>
      <c r="D94" s="512"/>
      <c r="E94" s="512"/>
      <c r="F94" s="588"/>
      <c r="G94" s="512"/>
      <c r="H94" s="512"/>
      <c r="I94" s="512"/>
      <c r="J94" s="512"/>
      <c r="K94" s="512"/>
      <c r="L94" s="512"/>
      <c r="M94" s="512"/>
      <c r="N94" s="512"/>
      <c r="O94" s="512"/>
      <c r="P94" s="512"/>
      <c r="Q94" s="512"/>
      <c r="R94" s="512"/>
      <c r="S94" s="512"/>
      <c r="T94" s="512"/>
    </row>
    <row r="95" spans="1:20" x14ac:dyDescent="0.35">
      <c r="A95" s="512"/>
      <c r="B95" s="512"/>
      <c r="C95" s="512"/>
      <c r="D95" s="512"/>
      <c r="E95" s="512"/>
      <c r="F95" s="588"/>
      <c r="G95" s="512"/>
      <c r="H95" s="512"/>
      <c r="I95" s="512"/>
      <c r="J95" s="512"/>
      <c r="K95" s="512"/>
      <c r="L95" s="512"/>
      <c r="M95" s="512"/>
      <c r="N95" s="512"/>
      <c r="O95" s="512"/>
      <c r="P95" s="512"/>
      <c r="Q95" s="512"/>
      <c r="R95" s="512"/>
      <c r="S95" s="512"/>
      <c r="T95" s="512"/>
    </row>
    <row r="96" spans="1:20" x14ac:dyDescent="0.35">
      <c r="A96" s="512"/>
      <c r="B96" s="512"/>
      <c r="C96" s="512"/>
      <c r="D96" s="512"/>
      <c r="E96" s="512"/>
      <c r="F96" s="512"/>
      <c r="G96" s="512"/>
      <c r="H96" s="512"/>
      <c r="I96" s="512"/>
      <c r="J96" s="512"/>
      <c r="K96" s="512"/>
      <c r="L96" s="512"/>
      <c r="M96" s="512"/>
      <c r="N96" s="512"/>
      <c r="O96" s="512"/>
      <c r="P96" s="512"/>
      <c r="Q96" s="512"/>
      <c r="R96" s="512"/>
      <c r="S96" s="512"/>
      <c r="T96" s="512"/>
    </row>
    <row r="97" spans="1:20" x14ac:dyDescent="0.35">
      <c r="A97" s="512"/>
      <c r="B97" s="512"/>
      <c r="C97" s="512"/>
      <c r="D97" s="512"/>
      <c r="E97" s="512"/>
      <c r="F97" s="512"/>
      <c r="G97" s="512"/>
      <c r="H97" s="512"/>
      <c r="I97" s="512"/>
      <c r="J97" s="512"/>
      <c r="K97" s="512"/>
      <c r="L97" s="512"/>
      <c r="M97" s="512"/>
      <c r="N97" s="512"/>
      <c r="O97" s="512"/>
      <c r="P97" s="512"/>
      <c r="Q97" s="512"/>
      <c r="R97" s="512"/>
      <c r="S97" s="512"/>
      <c r="T97" s="512"/>
    </row>
    <row r="98" spans="1:20" x14ac:dyDescent="0.35">
      <c r="A98" s="512"/>
      <c r="B98" s="512"/>
      <c r="C98" s="512"/>
      <c r="D98" s="512"/>
      <c r="E98" s="512"/>
      <c r="F98" s="512"/>
      <c r="G98" s="512"/>
      <c r="H98" s="512"/>
      <c r="I98" s="512"/>
      <c r="J98" s="512"/>
      <c r="K98" s="512"/>
      <c r="L98" s="512"/>
      <c r="M98" s="512"/>
      <c r="N98" s="512"/>
      <c r="O98" s="512"/>
      <c r="P98" s="512"/>
      <c r="Q98" s="512"/>
      <c r="R98" s="512"/>
      <c r="S98" s="512"/>
      <c r="T98" s="512"/>
    </row>
    <row r="99" spans="1:20" x14ac:dyDescent="0.35">
      <c r="A99" s="512"/>
      <c r="B99" s="512"/>
      <c r="C99" s="512"/>
      <c r="D99" s="512"/>
      <c r="E99" s="512"/>
      <c r="F99" s="512"/>
      <c r="G99" s="512"/>
      <c r="H99" s="512"/>
      <c r="I99" s="512"/>
      <c r="J99" s="512"/>
      <c r="K99" s="512"/>
      <c r="L99" s="512"/>
      <c r="M99" s="512"/>
      <c r="N99" s="512"/>
      <c r="O99" s="512"/>
      <c r="P99" s="512"/>
      <c r="Q99" s="512"/>
      <c r="R99" s="512"/>
      <c r="S99" s="512"/>
      <c r="T99" s="512"/>
    </row>
    <row r="100" spans="1:20" x14ac:dyDescent="0.35">
      <c r="A100" s="512"/>
      <c r="B100" s="512"/>
      <c r="C100" s="512"/>
      <c r="D100" s="512"/>
      <c r="E100" s="512"/>
      <c r="F100" s="512"/>
      <c r="G100" s="512"/>
      <c r="H100" s="512"/>
      <c r="I100" s="512"/>
      <c r="J100" s="512"/>
      <c r="K100" s="512"/>
      <c r="L100" s="512"/>
      <c r="M100" s="512"/>
      <c r="N100" s="512"/>
      <c r="O100" s="512"/>
      <c r="P100" s="512"/>
      <c r="Q100" s="512"/>
      <c r="R100" s="512"/>
      <c r="S100" s="512"/>
      <c r="T100" s="512"/>
    </row>
    <row r="101" spans="1:20" x14ac:dyDescent="0.35">
      <c r="A101" s="512"/>
      <c r="B101" s="512"/>
      <c r="C101" s="512"/>
      <c r="D101" s="512"/>
      <c r="E101" s="512"/>
      <c r="F101" s="512"/>
      <c r="G101" s="512"/>
      <c r="H101" s="512"/>
      <c r="I101" s="512"/>
      <c r="J101" s="512"/>
      <c r="K101" s="512"/>
      <c r="L101" s="512"/>
      <c r="M101" s="512"/>
      <c r="N101" s="512"/>
      <c r="O101" s="512"/>
      <c r="P101" s="512"/>
      <c r="Q101" s="512"/>
      <c r="R101" s="512"/>
      <c r="S101" s="512"/>
      <c r="T101" s="512"/>
    </row>
    <row r="102" spans="1:20" x14ac:dyDescent="0.35">
      <c r="A102" s="512"/>
      <c r="B102" s="512"/>
      <c r="C102" s="512"/>
      <c r="D102" s="512"/>
      <c r="E102" s="512"/>
      <c r="F102" s="512"/>
      <c r="G102" s="512"/>
      <c r="H102" s="512"/>
      <c r="I102" s="512"/>
      <c r="J102" s="512"/>
      <c r="K102" s="512"/>
      <c r="L102" s="512"/>
      <c r="M102" s="512"/>
      <c r="N102" s="512"/>
      <c r="O102" s="512"/>
      <c r="P102" s="512"/>
      <c r="Q102" s="512"/>
      <c r="R102" s="512"/>
      <c r="S102" s="512"/>
      <c r="T102" s="512"/>
    </row>
    <row r="103" spans="1:20" x14ac:dyDescent="0.35">
      <c r="A103" s="512"/>
      <c r="B103" s="512"/>
      <c r="C103" s="512"/>
      <c r="D103" s="512"/>
      <c r="E103" s="512"/>
      <c r="F103" s="512"/>
      <c r="G103" s="512"/>
      <c r="H103" s="512"/>
      <c r="I103" s="512"/>
      <c r="J103" s="512"/>
      <c r="K103" s="512"/>
      <c r="L103" s="512"/>
      <c r="M103" s="512"/>
      <c r="N103" s="512"/>
      <c r="O103" s="512"/>
      <c r="P103" s="512"/>
      <c r="Q103" s="512"/>
      <c r="R103" s="512"/>
      <c r="S103" s="512"/>
      <c r="T103" s="512"/>
    </row>
    <row r="104" spans="1:20" x14ac:dyDescent="0.35">
      <c r="A104" s="512"/>
      <c r="B104" s="512"/>
      <c r="C104" s="512"/>
      <c r="D104" s="512"/>
      <c r="E104" s="512"/>
      <c r="F104" s="512"/>
      <c r="G104" s="512"/>
      <c r="H104" s="512"/>
      <c r="I104" s="512"/>
      <c r="J104" s="512"/>
      <c r="K104" s="512"/>
      <c r="L104" s="512"/>
      <c r="M104" s="512"/>
      <c r="N104" s="512"/>
      <c r="O104" s="512"/>
      <c r="P104" s="512"/>
      <c r="Q104" s="512"/>
      <c r="R104" s="512"/>
      <c r="S104" s="512"/>
      <c r="T104" s="512"/>
    </row>
    <row r="105" spans="1:20" x14ac:dyDescent="0.35">
      <c r="A105" s="512"/>
      <c r="B105" s="512"/>
      <c r="C105" s="512"/>
      <c r="D105" s="512"/>
      <c r="E105" s="512"/>
      <c r="F105" s="512"/>
      <c r="G105" s="512"/>
      <c r="H105" s="512"/>
      <c r="I105" s="512"/>
      <c r="J105" s="512"/>
      <c r="K105" s="512"/>
      <c r="L105" s="512"/>
      <c r="M105" s="512"/>
      <c r="N105" s="512"/>
      <c r="O105" s="512"/>
      <c r="P105" s="512"/>
      <c r="Q105" s="512"/>
      <c r="R105" s="512"/>
      <c r="S105" s="512"/>
      <c r="T105" s="512"/>
    </row>
    <row r="106" spans="1:20" x14ac:dyDescent="0.35">
      <c r="A106" s="512"/>
      <c r="B106" s="512"/>
      <c r="C106" s="512"/>
      <c r="D106" s="512"/>
      <c r="E106" s="512"/>
      <c r="F106" s="512"/>
      <c r="G106" s="512"/>
      <c r="H106" s="512"/>
      <c r="I106" s="512"/>
      <c r="J106" s="512"/>
      <c r="K106" s="512"/>
      <c r="L106" s="512"/>
      <c r="M106" s="512"/>
      <c r="N106" s="512"/>
      <c r="O106" s="512"/>
      <c r="P106" s="512"/>
      <c r="Q106" s="512"/>
      <c r="R106" s="512"/>
      <c r="S106" s="512"/>
      <c r="T106" s="512"/>
    </row>
    <row r="107" spans="1:20" x14ac:dyDescent="0.35">
      <c r="A107" s="512"/>
      <c r="B107" s="512"/>
      <c r="C107" s="512"/>
      <c r="D107" s="512"/>
      <c r="E107" s="512"/>
      <c r="F107" s="512"/>
      <c r="G107" s="512"/>
      <c r="H107" s="512"/>
      <c r="I107" s="512"/>
      <c r="J107" s="512"/>
      <c r="K107" s="512"/>
      <c r="L107" s="512"/>
      <c r="M107" s="512"/>
      <c r="N107" s="512"/>
      <c r="O107" s="512"/>
      <c r="P107" s="512"/>
      <c r="Q107" s="512"/>
      <c r="R107" s="512"/>
      <c r="S107" s="512"/>
      <c r="T107" s="512"/>
    </row>
    <row r="108" spans="1:20" x14ac:dyDescent="0.35">
      <c r="A108" s="512"/>
      <c r="B108" s="512"/>
      <c r="C108" s="512"/>
      <c r="D108" s="512"/>
      <c r="E108" s="512"/>
      <c r="F108" s="512"/>
      <c r="G108" s="512"/>
      <c r="H108" s="512"/>
      <c r="I108" s="512"/>
      <c r="J108" s="512"/>
      <c r="K108" s="512"/>
      <c r="L108" s="512"/>
      <c r="M108" s="513"/>
      <c r="N108" s="512"/>
      <c r="O108" s="512"/>
      <c r="P108" s="512"/>
      <c r="Q108" s="512"/>
      <c r="R108" s="512"/>
      <c r="S108" s="512"/>
      <c r="T108" s="512"/>
    </row>
    <row r="109" spans="1:20" ht="15" thickBot="1" x14ac:dyDescent="0.4">
      <c r="A109" s="512"/>
      <c r="B109" s="512"/>
      <c r="C109" s="512"/>
      <c r="D109" s="512"/>
      <c r="E109" s="512"/>
      <c r="F109" s="512"/>
      <c r="G109" s="512"/>
      <c r="H109" s="512"/>
      <c r="I109" s="512"/>
      <c r="J109" s="512"/>
      <c r="K109" s="512"/>
      <c r="L109" s="512"/>
      <c r="M109" s="513"/>
      <c r="N109" s="512"/>
      <c r="O109" s="512"/>
      <c r="P109" s="512"/>
      <c r="Q109" s="512"/>
      <c r="R109" s="512"/>
      <c r="S109" s="512"/>
      <c r="T109" s="512"/>
    </row>
    <row r="110" spans="1:20" ht="19" thickTop="1" x14ac:dyDescent="0.45">
      <c r="A110" s="512"/>
      <c r="B110" s="512"/>
      <c r="C110" s="512"/>
      <c r="D110" s="5725" t="s">
        <v>793</v>
      </c>
      <c r="E110" s="5726"/>
      <c r="F110" s="5726"/>
      <c r="G110" s="5726"/>
      <c r="H110" s="5726"/>
      <c r="I110" s="5726"/>
      <c r="J110" s="5726"/>
      <c r="K110" s="5726"/>
      <c r="L110" s="5727"/>
      <c r="M110" s="589"/>
      <c r="N110" s="5728" t="s">
        <v>792</v>
      </c>
      <c r="O110" s="5729"/>
      <c r="P110" s="5729"/>
      <c r="Q110" s="5729"/>
      <c r="R110" s="5729"/>
      <c r="S110" s="5730"/>
      <c r="T110" s="512"/>
    </row>
    <row r="111" spans="1:20" ht="16.5" customHeight="1" x14ac:dyDescent="0.35">
      <c r="A111" s="512"/>
      <c r="B111" s="512"/>
      <c r="C111" s="512"/>
      <c r="D111" s="5731" t="str">
        <f t="shared" ref="D111:D119" si="28">A65</f>
        <v>Répartition de CA par canal de vente ( M€ )</v>
      </c>
      <c r="E111" s="5732"/>
      <c r="F111" s="5733"/>
      <c r="G111" s="590">
        <f>AnReference-1</f>
        <v>2017</v>
      </c>
      <c r="H111" s="590">
        <f>AnReference</f>
        <v>2018</v>
      </c>
      <c r="I111" s="590">
        <f>AnReference+1</f>
        <v>2019</v>
      </c>
      <c r="J111" s="590">
        <f>AnReference+2</f>
        <v>2020</v>
      </c>
      <c r="K111" s="590">
        <f>AnReference+3</f>
        <v>2021</v>
      </c>
      <c r="L111" s="591" t="str">
        <f>L65</f>
        <v>Total</v>
      </c>
      <c r="M111" s="507">
        <f>M65</f>
        <v>0</v>
      </c>
      <c r="N111" s="592">
        <f>AnReference-1</f>
        <v>2017</v>
      </c>
      <c r="O111" s="590">
        <f>AnReference</f>
        <v>2018</v>
      </c>
      <c r="P111" s="590">
        <f>AnReference+1</f>
        <v>2019</v>
      </c>
      <c r="Q111" s="590">
        <f>AnReference+2</f>
        <v>2020</v>
      </c>
      <c r="R111" s="590">
        <f>AnReference+3</f>
        <v>2021</v>
      </c>
      <c r="S111" s="591" t="str">
        <f>S65</f>
        <v>Total</v>
      </c>
      <c r="T111" s="512"/>
    </row>
    <row r="112" spans="1:20" ht="33" customHeight="1" x14ac:dyDescent="0.35">
      <c r="A112" s="512"/>
      <c r="B112" s="512"/>
      <c r="C112" s="512"/>
      <c r="D112" s="5721" t="str">
        <f t="shared" si="28"/>
        <v>Ventes directes seules</v>
      </c>
      <c r="E112" s="5722"/>
      <c r="F112" s="5722"/>
      <c r="G112" s="593">
        <f t="shared" ref="G112:S119" si="29">G66</f>
        <v>0</v>
      </c>
      <c r="H112" s="593">
        <f t="shared" si="29"/>
        <v>0</v>
      </c>
      <c r="I112" s="593">
        <f t="shared" si="29"/>
        <v>0</v>
      </c>
      <c r="J112" s="593">
        <f t="shared" si="29"/>
        <v>0</v>
      </c>
      <c r="K112" s="594">
        <f t="shared" si="29"/>
        <v>0</v>
      </c>
      <c r="L112" s="595">
        <f t="shared" si="29"/>
        <v>0</v>
      </c>
      <c r="M112" s="596">
        <f t="shared" si="29"/>
        <v>0</v>
      </c>
      <c r="N112" s="597" t="str">
        <f t="shared" si="29"/>
        <v/>
      </c>
      <c r="O112" s="598" t="str">
        <f t="shared" si="29"/>
        <v/>
      </c>
      <c r="P112" s="598" t="str">
        <f t="shared" si="29"/>
        <v/>
      </c>
      <c r="Q112" s="598" t="str">
        <f t="shared" si="29"/>
        <v/>
      </c>
      <c r="R112" s="599" t="str">
        <f t="shared" si="29"/>
        <v/>
      </c>
      <c r="S112" s="600">
        <f t="shared" si="29"/>
        <v>0</v>
      </c>
      <c r="T112" s="512"/>
    </row>
    <row r="113" spans="1:20" x14ac:dyDescent="0.35">
      <c r="A113" s="512"/>
      <c r="B113" s="512"/>
      <c r="C113" s="512"/>
      <c r="D113" s="5721" t="str">
        <f t="shared" si="28"/>
        <v>ESN</v>
      </c>
      <c r="E113" s="5722"/>
      <c r="F113" s="5722"/>
      <c r="G113" s="593">
        <f t="shared" si="29"/>
        <v>0</v>
      </c>
      <c r="H113" s="593">
        <f t="shared" si="29"/>
        <v>0</v>
      </c>
      <c r="I113" s="593">
        <f t="shared" si="29"/>
        <v>0</v>
      </c>
      <c r="J113" s="593">
        <f t="shared" si="29"/>
        <v>0</v>
      </c>
      <c r="K113" s="594">
        <f t="shared" si="29"/>
        <v>0</v>
      </c>
      <c r="L113" s="595">
        <f t="shared" si="29"/>
        <v>0</v>
      </c>
      <c r="M113" s="596">
        <f t="shared" si="29"/>
        <v>0</v>
      </c>
      <c r="N113" s="597" t="str">
        <f t="shared" si="29"/>
        <v/>
      </c>
      <c r="O113" s="598" t="str">
        <f t="shared" si="29"/>
        <v/>
      </c>
      <c r="P113" s="598" t="str">
        <f t="shared" si="29"/>
        <v/>
      </c>
      <c r="Q113" s="598" t="str">
        <f t="shared" si="29"/>
        <v/>
      </c>
      <c r="R113" s="599" t="str">
        <f t="shared" si="29"/>
        <v/>
      </c>
      <c r="S113" s="600">
        <f t="shared" si="29"/>
        <v>0</v>
      </c>
      <c r="T113" s="512"/>
    </row>
    <row r="114" spans="1:20" x14ac:dyDescent="0.35">
      <c r="A114" s="512"/>
      <c r="B114" s="512"/>
      <c r="C114" s="512"/>
      <c r="D114" s="5721" t="str">
        <f t="shared" si="28"/>
        <v>Centres de contact</v>
      </c>
      <c r="E114" s="5722"/>
      <c r="F114" s="5722"/>
      <c r="G114" s="593">
        <f t="shared" si="29"/>
        <v>0</v>
      </c>
      <c r="H114" s="593">
        <f t="shared" si="29"/>
        <v>0</v>
      </c>
      <c r="I114" s="593">
        <f t="shared" si="29"/>
        <v>0</v>
      </c>
      <c r="J114" s="593">
        <f t="shared" si="29"/>
        <v>0</v>
      </c>
      <c r="K114" s="594">
        <f t="shared" si="29"/>
        <v>0</v>
      </c>
      <c r="L114" s="595">
        <f t="shared" si="29"/>
        <v>0</v>
      </c>
      <c r="M114" s="596">
        <f t="shared" si="29"/>
        <v>0</v>
      </c>
      <c r="N114" s="597" t="str">
        <f t="shared" si="29"/>
        <v/>
      </c>
      <c r="O114" s="598" t="str">
        <f t="shared" si="29"/>
        <v/>
      </c>
      <c r="P114" s="598" t="str">
        <f t="shared" si="29"/>
        <v/>
      </c>
      <c r="Q114" s="598" t="str">
        <f t="shared" si="29"/>
        <v/>
      </c>
      <c r="R114" s="599" t="str">
        <f t="shared" si="29"/>
        <v/>
      </c>
      <c r="S114" s="600">
        <f t="shared" si="29"/>
        <v>0</v>
      </c>
      <c r="T114" s="512"/>
    </row>
    <row r="115" spans="1:20" x14ac:dyDescent="0.35">
      <c r="A115" s="512"/>
      <c r="B115" s="512"/>
      <c r="C115" s="512"/>
      <c r="D115" s="5721" t="str">
        <f t="shared" si="28"/>
        <v>Vars Nationaux</v>
      </c>
      <c r="E115" s="5722"/>
      <c r="F115" s="5722"/>
      <c r="G115" s="593">
        <f t="shared" si="29"/>
        <v>0</v>
      </c>
      <c r="H115" s="593">
        <f t="shared" si="29"/>
        <v>0</v>
      </c>
      <c r="I115" s="593">
        <f t="shared" si="29"/>
        <v>0</v>
      </c>
      <c r="J115" s="593">
        <f t="shared" si="29"/>
        <v>0</v>
      </c>
      <c r="K115" s="594">
        <f t="shared" si="29"/>
        <v>0</v>
      </c>
      <c r="L115" s="595">
        <f t="shared" si="29"/>
        <v>0</v>
      </c>
      <c r="M115" s="596">
        <f t="shared" si="29"/>
        <v>0</v>
      </c>
      <c r="N115" s="597" t="str">
        <f t="shared" si="29"/>
        <v/>
      </c>
      <c r="O115" s="598" t="str">
        <f t="shared" si="29"/>
        <v/>
      </c>
      <c r="P115" s="598" t="str">
        <f t="shared" si="29"/>
        <v/>
      </c>
      <c r="Q115" s="598" t="str">
        <f t="shared" si="29"/>
        <v/>
      </c>
      <c r="R115" s="599" t="str">
        <f t="shared" si="29"/>
        <v/>
      </c>
      <c r="S115" s="600">
        <f t="shared" si="29"/>
        <v>0</v>
      </c>
      <c r="T115" s="512"/>
    </row>
    <row r="116" spans="1:20" x14ac:dyDescent="0.35">
      <c r="A116" s="512"/>
      <c r="B116" s="512"/>
      <c r="C116" s="512"/>
      <c r="D116" s="5721" t="str">
        <f t="shared" si="28"/>
        <v>Editeurs</v>
      </c>
      <c r="E116" s="5722"/>
      <c r="F116" s="5722"/>
      <c r="G116" s="593">
        <f t="shared" si="29"/>
        <v>0</v>
      </c>
      <c r="H116" s="593">
        <f t="shared" si="29"/>
        <v>0</v>
      </c>
      <c r="I116" s="593">
        <f t="shared" si="29"/>
        <v>0</v>
      </c>
      <c r="J116" s="593">
        <f t="shared" si="29"/>
        <v>0</v>
      </c>
      <c r="K116" s="594">
        <f t="shared" si="29"/>
        <v>0</v>
      </c>
      <c r="L116" s="595">
        <f t="shared" si="29"/>
        <v>0</v>
      </c>
      <c r="M116" s="596"/>
      <c r="N116" s="597" t="str">
        <f t="shared" si="29"/>
        <v/>
      </c>
      <c r="O116" s="598" t="str">
        <f t="shared" si="29"/>
        <v/>
      </c>
      <c r="P116" s="598" t="str">
        <f t="shared" si="29"/>
        <v/>
      </c>
      <c r="Q116" s="598" t="str">
        <f t="shared" si="29"/>
        <v/>
      </c>
      <c r="R116" s="599" t="str">
        <f t="shared" si="29"/>
        <v/>
      </c>
      <c r="S116" s="600">
        <f t="shared" si="29"/>
        <v>0</v>
      </c>
      <c r="T116" s="512"/>
    </row>
    <row r="117" spans="1:20" x14ac:dyDescent="0.35">
      <c r="A117" s="512"/>
      <c r="B117" s="512"/>
      <c r="C117" s="512"/>
      <c r="D117" s="5721" t="str">
        <f t="shared" si="28"/>
        <v>Web Agencies</v>
      </c>
      <c r="E117" s="5722"/>
      <c r="F117" s="5722"/>
      <c r="G117" s="593">
        <f t="shared" si="29"/>
        <v>0</v>
      </c>
      <c r="H117" s="593">
        <f t="shared" si="29"/>
        <v>0</v>
      </c>
      <c r="I117" s="593">
        <f t="shared" si="29"/>
        <v>0</v>
      </c>
      <c r="J117" s="593">
        <f t="shared" si="29"/>
        <v>0</v>
      </c>
      <c r="K117" s="594">
        <f t="shared" si="29"/>
        <v>0</v>
      </c>
      <c r="L117" s="595">
        <f t="shared" si="29"/>
        <v>0</v>
      </c>
      <c r="M117" s="596"/>
      <c r="N117" s="597" t="str">
        <f t="shared" si="29"/>
        <v/>
      </c>
      <c r="O117" s="598" t="str">
        <f t="shared" si="29"/>
        <v/>
      </c>
      <c r="P117" s="598" t="str">
        <f t="shared" si="29"/>
        <v/>
      </c>
      <c r="Q117" s="598" t="str">
        <f t="shared" si="29"/>
        <v/>
      </c>
      <c r="R117" s="599" t="str">
        <f t="shared" si="29"/>
        <v/>
      </c>
      <c r="S117" s="600">
        <f t="shared" si="29"/>
        <v>0</v>
      </c>
      <c r="T117" s="512"/>
    </row>
    <row r="118" spans="1:20" x14ac:dyDescent="0.35">
      <c r="A118" s="512"/>
      <c r="B118" s="512"/>
      <c r="C118" s="512"/>
      <c r="D118" s="5721" t="str">
        <f t="shared" si="28"/>
        <v>Constructeurs</v>
      </c>
      <c r="E118" s="5722"/>
      <c r="F118" s="5722"/>
      <c r="G118" s="593">
        <f t="shared" si="29"/>
        <v>0</v>
      </c>
      <c r="H118" s="593">
        <f t="shared" si="29"/>
        <v>0</v>
      </c>
      <c r="I118" s="593">
        <f t="shared" si="29"/>
        <v>0</v>
      </c>
      <c r="J118" s="593">
        <f t="shared" si="29"/>
        <v>0</v>
      </c>
      <c r="K118" s="594">
        <f t="shared" si="29"/>
        <v>0</v>
      </c>
      <c r="L118" s="595">
        <f t="shared" si="29"/>
        <v>0</v>
      </c>
      <c r="M118" s="596"/>
      <c r="N118" s="597" t="str">
        <f t="shared" si="29"/>
        <v/>
      </c>
      <c r="O118" s="598" t="str">
        <f t="shared" si="29"/>
        <v/>
      </c>
      <c r="P118" s="598" t="str">
        <f t="shared" si="29"/>
        <v/>
      </c>
      <c r="Q118" s="598" t="str">
        <f t="shared" si="29"/>
        <v/>
      </c>
      <c r="R118" s="599" t="str">
        <f t="shared" si="29"/>
        <v/>
      </c>
      <c r="S118" s="600">
        <f t="shared" si="29"/>
        <v>0</v>
      </c>
      <c r="T118" s="512"/>
    </row>
    <row r="119" spans="1:20" ht="15" thickBot="1" x14ac:dyDescent="0.4">
      <c r="A119" s="512"/>
      <c r="B119" s="512"/>
      <c r="C119" s="512"/>
      <c r="D119" s="5721" t="str">
        <f t="shared" si="28"/>
        <v>Hébergeurs</v>
      </c>
      <c r="E119" s="5722"/>
      <c r="F119" s="5722"/>
      <c r="G119" s="593">
        <f t="shared" si="29"/>
        <v>0</v>
      </c>
      <c r="H119" s="593">
        <f t="shared" si="29"/>
        <v>0</v>
      </c>
      <c r="I119" s="593">
        <f t="shared" si="29"/>
        <v>0</v>
      </c>
      <c r="J119" s="593">
        <f t="shared" si="29"/>
        <v>0</v>
      </c>
      <c r="K119" s="594">
        <f t="shared" si="29"/>
        <v>0</v>
      </c>
      <c r="L119" s="595">
        <f t="shared" si="29"/>
        <v>0</v>
      </c>
      <c r="M119" s="596"/>
      <c r="N119" s="597" t="str">
        <f t="shared" si="29"/>
        <v/>
      </c>
      <c r="O119" s="598" t="str">
        <f t="shared" si="29"/>
        <v/>
      </c>
      <c r="P119" s="598" t="str">
        <f t="shared" si="29"/>
        <v/>
      </c>
      <c r="Q119" s="598" t="str">
        <f t="shared" si="29"/>
        <v/>
      </c>
      <c r="R119" s="599" t="str">
        <f t="shared" si="29"/>
        <v/>
      </c>
      <c r="S119" s="600">
        <f t="shared" si="29"/>
        <v>0</v>
      </c>
      <c r="T119" s="512"/>
    </row>
    <row r="120" spans="1:20" ht="15" thickTop="1" x14ac:dyDescent="0.35">
      <c r="A120" s="512"/>
      <c r="B120" s="512"/>
      <c r="C120" s="512"/>
      <c r="D120" s="5715" t="str">
        <f>A75</f>
        <v>Total</v>
      </c>
      <c r="E120" s="5716"/>
      <c r="F120" s="5716"/>
      <c r="G120" s="1576">
        <f t="shared" ref="G120:S121" si="30">G75</f>
        <v>0</v>
      </c>
      <c r="H120" s="1576">
        <f t="shared" si="30"/>
        <v>0</v>
      </c>
      <c r="I120" s="1576">
        <f t="shared" si="30"/>
        <v>0</v>
      </c>
      <c r="J120" s="1576">
        <f t="shared" si="30"/>
        <v>0</v>
      </c>
      <c r="K120" s="601">
        <f t="shared" si="30"/>
        <v>0</v>
      </c>
      <c r="L120" s="602">
        <f t="shared" si="30"/>
        <v>0</v>
      </c>
      <c r="M120" s="596">
        <f t="shared" si="30"/>
        <v>0</v>
      </c>
      <c r="N120" s="603">
        <f t="shared" si="30"/>
        <v>0</v>
      </c>
      <c r="O120" s="604">
        <f t="shared" si="30"/>
        <v>0</v>
      </c>
      <c r="P120" s="604">
        <f t="shared" si="30"/>
        <v>0</v>
      </c>
      <c r="Q120" s="604">
        <f t="shared" si="30"/>
        <v>0</v>
      </c>
      <c r="R120" s="605">
        <f t="shared" si="30"/>
        <v>0</v>
      </c>
      <c r="S120" s="606">
        <f t="shared" si="30"/>
        <v>0</v>
      </c>
      <c r="T120" s="512"/>
    </row>
    <row r="121" spans="1:20" ht="15" thickBot="1" x14ac:dyDescent="0.4">
      <c r="A121" s="512"/>
      <c r="B121" s="512"/>
      <c r="C121" s="512"/>
      <c r="D121" s="5717" t="str">
        <f>A76</f>
        <v>Taux de croissance annuel</v>
      </c>
      <c r="E121" s="5718"/>
      <c r="F121" s="5718"/>
      <c r="G121" s="1578">
        <f t="shared" si="30"/>
        <v>0</v>
      </c>
      <c r="H121" s="607" t="e">
        <f t="shared" si="30"/>
        <v>#DIV/0!</v>
      </c>
      <c r="I121" s="607" t="e">
        <f t="shared" si="30"/>
        <v>#DIV/0!</v>
      </c>
      <c r="J121" s="607" t="e">
        <f t="shared" si="30"/>
        <v>#DIV/0!</v>
      </c>
      <c r="K121" s="608" t="e">
        <f t="shared" si="30"/>
        <v>#DIV/0!</v>
      </c>
      <c r="L121" s="609">
        <f t="shared" si="30"/>
        <v>0</v>
      </c>
      <c r="M121" s="596">
        <f t="shared" si="30"/>
        <v>0</v>
      </c>
      <c r="N121" s="1577">
        <f t="shared" si="30"/>
        <v>0</v>
      </c>
      <c r="O121" s="1578">
        <f t="shared" si="30"/>
        <v>0</v>
      </c>
      <c r="P121" s="1578">
        <f t="shared" si="30"/>
        <v>0</v>
      </c>
      <c r="Q121" s="1578">
        <f t="shared" si="30"/>
        <v>0</v>
      </c>
      <c r="R121" s="610">
        <f t="shared" si="30"/>
        <v>0</v>
      </c>
      <c r="S121" s="609">
        <f t="shared" si="30"/>
        <v>0</v>
      </c>
      <c r="T121" s="512"/>
    </row>
    <row r="122" spans="1:20" ht="15" thickTop="1" x14ac:dyDescent="0.35">
      <c r="A122" s="512"/>
      <c r="B122" s="512"/>
      <c r="C122" s="512"/>
      <c r="D122" s="512"/>
      <c r="E122" s="512"/>
      <c r="F122" s="512"/>
      <c r="G122" s="512"/>
      <c r="H122" s="512"/>
      <c r="I122" s="512"/>
      <c r="J122" s="512"/>
      <c r="K122" s="512"/>
      <c r="L122" s="512"/>
      <c r="M122" s="513"/>
      <c r="N122" s="512"/>
      <c r="O122" s="512"/>
      <c r="P122" s="512"/>
      <c r="Q122" s="512"/>
      <c r="R122" s="512"/>
      <c r="S122" s="512"/>
      <c r="T122" s="512"/>
    </row>
    <row r="123" spans="1:20" x14ac:dyDescent="0.35">
      <c r="M123" s="205"/>
      <c r="T123" s="512"/>
    </row>
    <row r="124" spans="1:20" s="205" customFormat="1" ht="15" thickBot="1" x14ac:dyDescent="0.4">
      <c r="A124" s="513"/>
      <c r="B124" s="513"/>
      <c r="C124" s="513"/>
      <c r="D124" s="513"/>
      <c r="E124" s="513"/>
      <c r="F124" s="548"/>
      <c r="G124" s="1575"/>
      <c r="H124" s="549"/>
      <c r="I124" s="550"/>
      <c r="J124" s="550"/>
      <c r="K124" s="550"/>
      <c r="L124" s="550"/>
      <c r="M124" s="520"/>
      <c r="N124" s="520"/>
      <c r="O124" s="513"/>
      <c r="P124" s="513"/>
      <c r="Q124" s="513"/>
      <c r="R124" s="513"/>
      <c r="S124" s="513"/>
      <c r="T124" s="513"/>
    </row>
    <row r="125" spans="1:20" s="210" customFormat="1" ht="15" hidden="1" thickBot="1" x14ac:dyDescent="0.4">
      <c r="A125" s="551"/>
      <c r="B125" s="551"/>
      <c r="C125" s="551"/>
      <c r="D125" s="551"/>
      <c r="E125" s="551"/>
      <c r="F125" s="551"/>
      <c r="G125" s="551"/>
      <c r="H125" s="551"/>
      <c r="I125" s="551"/>
      <c r="J125" s="551"/>
      <c r="K125" s="551"/>
      <c r="L125" s="551"/>
      <c r="M125" s="551"/>
      <c r="N125" s="551"/>
      <c r="O125" s="551"/>
      <c r="P125" s="551"/>
      <c r="Q125" s="551"/>
      <c r="R125" s="512"/>
      <c r="S125" s="551"/>
      <c r="T125" s="551"/>
    </row>
    <row r="126" spans="1:20" s="211" customFormat="1" ht="37.5" hidden="1" customHeight="1" thickTop="1" thickBot="1" x14ac:dyDescent="0.4">
      <c r="A126" s="538"/>
      <c r="B126" s="538"/>
      <c r="C126" s="538"/>
      <c r="D126" s="538"/>
      <c r="E126" s="538"/>
      <c r="F126" s="552" t="s">
        <v>766</v>
      </c>
      <c r="G126" s="553">
        <v>2012</v>
      </c>
      <c r="H126" s="553">
        <v>2013</v>
      </c>
      <c r="I126" s="553">
        <v>2014</v>
      </c>
      <c r="J126" s="553">
        <v>2015</v>
      </c>
      <c r="K126" s="553">
        <v>2016</v>
      </c>
      <c r="L126" s="554" t="s">
        <v>765</v>
      </c>
      <c r="M126" s="538"/>
      <c r="N126" s="538"/>
      <c r="O126" s="538"/>
      <c r="P126" s="538"/>
      <c r="Q126" s="538"/>
      <c r="R126" s="512"/>
      <c r="S126" s="538"/>
      <c r="T126" s="538"/>
    </row>
    <row r="127" spans="1:20" ht="39.5" hidden="1" thickBot="1" x14ac:dyDescent="0.4">
      <c r="A127" s="512"/>
      <c r="B127" s="512"/>
      <c r="C127" s="512"/>
      <c r="D127" s="512"/>
      <c r="E127" s="512"/>
      <c r="F127" s="555" t="s">
        <v>767</v>
      </c>
      <c r="G127" s="556"/>
      <c r="H127" s="557" t="e">
        <f>#REF!/#REF!</f>
        <v>#REF!</v>
      </c>
      <c r="I127" s="557" t="e">
        <f>#REF!/#REF!</f>
        <v>#REF!</v>
      </c>
      <c r="J127" s="557" t="e">
        <f>#REF!/#REF!</f>
        <v>#REF!</v>
      </c>
      <c r="K127" s="557" t="e">
        <f>#REF!/#REF!</f>
        <v>#REF!</v>
      </c>
      <c r="L127" s="558" t="e">
        <f t="shared" ref="L127:L132" si="31">SUM(H127:K127)</f>
        <v>#REF!</v>
      </c>
      <c r="M127" s="559"/>
      <c r="N127" s="551"/>
      <c r="O127" s="551"/>
      <c r="P127" s="551"/>
      <c r="Q127" s="551"/>
      <c r="R127" s="551"/>
      <c r="S127" s="512"/>
      <c r="T127" s="512"/>
    </row>
    <row r="128" spans="1:20" ht="26.5" hidden="1" thickBot="1" x14ac:dyDescent="0.4">
      <c r="A128" s="512"/>
      <c r="B128" s="512"/>
      <c r="C128" s="512"/>
      <c r="D128" s="512"/>
      <c r="E128" s="512"/>
      <c r="F128" s="555" t="s">
        <v>768</v>
      </c>
      <c r="G128" s="556"/>
      <c r="H128" s="557" t="e">
        <f>#REF!/#REF!</f>
        <v>#REF!</v>
      </c>
      <c r="I128" s="557" t="e">
        <f>#REF!/#REF!</f>
        <v>#REF!</v>
      </c>
      <c r="J128" s="557" t="e">
        <f>#REF!/#REF!</f>
        <v>#REF!</v>
      </c>
      <c r="K128" s="557" t="e">
        <f>#REF!/#REF!</f>
        <v>#REF!</v>
      </c>
      <c r="L128" s="558" t="e">
        <f t="shared" si="31"/>
        <v>#REF!</v>
      </c>
      <c r="M128" s="559"/>
      <c r="N128" s="538"/>
      <c r="O128" s="538"/>
      <c r="P128" s="538"/>
      <c r="Q128" s="538"/>
      <c r="R128" s="538"/>
      <c r="S128" s="512"/>
      <c r="T128" s="512"/>
    </row>
    <row r="129" spans="1:20" s="212" customFormat="1" ht="12.75" hidden="1" customHeight="1" x14ac:dyDescent="0.35">
      <c r="A129" s="560"/>
      <c r="B129" s="560"/>
      <c r="C129" s="560"/>
      <c r="D129" s="560"/>
      <c r="E129" s="560"/>
      <c r="F129" s="555" t="s">
        <v>759</v>
      </c>
      <c r="G129" s="561"/>
      <c r="H129" s="557" t="e">
        <f>#REF!/#REF!</f>
        <v>#REF!</v>
      </c>
      <c r="I129" s="557" t="e">
        <f>#REF!/#REF!</f>
        <v>#REF!</v>
      </c>
      <c r="J129" s="557" t="e">
        <f>#REF!/#REF!</f>
        <v>#REF!</v>
      </c>
      <c r="K129" s="557" t="e">
        <f>#REF!/#REF!</f>
        <v>#REF!</v>
      </c>
      <c r="L129" s="562" t="e">
        <f t="shared" si="31"/>
        <v>#REF!</v>
      </c>
      <c r="M129" s="563"/>
      <c r="N129" s="564"/>
      <c r="O129" s="565"/>
      <c r="P129" s="565"/>
      <c r="Q129" s="512"/>
      <c r="R129" s="512"/>
      <c r="S129" s="560"/>
      <c r="T129" s="560"/>
    </row>
    <row r="130" spans="1:20" ht="17.25" hidden="1" customHeight="1" x14ac:dyDescent="0.35">
      <c r="A130" s="512"/>
      <c r="B130" s="512"/>
      <c r="C130" s="512"/>
      <c r="D130" s="512"/>
      <c r="E130" s="512"/>
      <c r="F130" s="555" t="s">
        <v>760</v>
      </c>
      <c r="G130" s="566"/>
      <c r="H130" s="557" t="e">
        <f>#REF!/#REF!</f>
        <v>#REF!</v>
      </c>
      <c r="I130" s="557" t="e">
        <f>#REF!/#REF!</f>
        <v>#REF!</v>
      </c>
      <c r="J130" s="557" t="e">
        <f>#REF!/#REF!</f>
        <v>#REF!</v>
      </c>
      <c r="K130" s="557" t="e">
        <f>#REF!/#REF!</f>
        <v>#REF!</v>
      </c>
      <c r="L130" s="567" t="e">
        <f t="shared" si="31"/>
        <v>#REF!</v>
      </c>
      <c r="M130" s="559"/>
      <c r="N130" s="564"/>
      <c r="O130" s="565"/>
      <c r="P130" s="565"/>
      <c r="Q130" s="512"/>
      <c r="R130" s="512"/>
      <c r="S130" s="512"/>
      <c r="T130" s="512"/>
    </row>
    <row r="131" spans="1:20" ht="15" hidden="1" thickBot="1" x14ac:dyDescent="0.4">
      <c r="A131" s="512"/>
      <c r="B131" s="512"/>
      <c r="C131" s="512"/>
      <c r="D131" s="512"/>
      <c r="E131" s="512"/>
      <c r="F131" s="568"/>
      <c r="G131" s="566"/>
      <c r="H131" s="557"/>
      <c r="I131" s="557"/>
      <c r="J131" s="557"/>
      <c r="K131" s="557"/>
      <c r="L131" s="567">
        <f t="shared" si="31"/>
        <v>0</v>
      </c>
      <c r="M131" s="569"/>
      <c r="N131" s="570"/>
      <c r="O131" s="571"/>
      <c r="P131" s="571"/>
      <c r="Q131" s="560"/>
      <c r="R131" s="560"/>
      <c r="S131" s="512"/>
      <c r="T131" s="512"/>
    </row>
    <row r="132" spans="1:20" ht="15" hidden="1" thickBot="1" x14ac:dyDescent="0.4">
      <c r="A132" s="512"/>
      <c r="B132" s="512"/>
      <c r="C132" s="512"/>
      <c r="D132" s="512"/>
      <c r="E132" s="512"/>
      <c r="F132" s="555"/>
      <c r="G132" s="566"/>
      <c r="H132" s="557"/>
      <c r="I132" s="557"/>
      <c r="J132" s="557"/>
      <c r="K132" s="557"/>
      <c r="L132" s="567">
        <f t="shared" si="31"/>
        <v>0</v>
      </c>
      <c r="M132" s="512"/>
      <c r="N132" s="564"/>
      <c r="O132" s="565"/>
      <c r="P132" s="565"/>
      <c r="Q132" s="512"/>
      <c r="R132" s="512"/>
      <c r="S132" s="512"/>
      <c r="T132" s="512"/>
    </row>
    <row r="133" spans="1:20" ht="15" hidden="1" customHeight="1" x14ac:dyDescent="0.35">
      <c r="A133" s="512"/>
      <c r="B133" s="512"/>
      <c r="C133" s="512"/>
      <c r="D133" s="512"/>
      <c r="E133" s="512"/>
      <c r="F133" s="572"/>
      <c r="G133" s="573"/>
      <c r="H133" s="574"/>
      <c r="I133" s="574"/>
      <c r="J133" s="574"/>
      <c r="K133" s="574"/>
      <c r="L133" s="575"/>
      <c r="M133" s="512"/>
      <c r="N133" s="564"/>
      <c r="O133" s="565"/>
      <c r="P133" s="565"/>
      <c r="Q133" s="512"/>
      <c r="R133" s="512"/>
      <c r="S133" s="512"/>
      <c r="T133" s="512"/>
    </row>
    <row r="134" spans="1:20" ht="15" hidden="1" thickBot="1" x14ac:dyDescent="0.4">
      <c r="A134" s="512"/>
      <c r="B134" s="512"/>
      <c r="C134" s="512"/>
      <c r="D134" s="512"/>
      <c r="E134" s="512"/>
      <c r="F134" s="576"/>
      <c r="G134" s="573"/>
      <c r="H134" s="577"/>
      <c r="I134" s="577"/>
      <c r="J134" s="577"/>
      <c r="K134" s="577"/>
      <c r="L134" s="578"/>
      <c r="M134" s="512"/>
      <c r="N134" s="565"/>
      <c r="O134" s="565"/>
      <c r="P134" s="565"/>
      <c r="Q134" s="512"/>
      <c r="R134" s="512"/>
      <c r="S134" s="512"/>
      <c r="T134" s="512"/>
    </row>
    <row r="135" spans="1:20" ht="15.5" hidden="1" thickTop="1" thickBot="1" x14ac:dyDescent="0.4">
      <c r="A135" s="512"/>
      <c r="B135" s="512"/>
      <c r="C135" s="512"/>
      <c r="D135" s="512"/>
      <c r="E135" s="512"/>
      <c r="F135" s="579" t="s">
        <v>127</v>
      </c>
      <c r="G135" s="580">
        <f>SUM(G127:G134)</f>
        <v>0</v>
      </c>
      <c r="H135" s="581" t="e">
        <f>SUM(H127:H134)</f>
        <v>#REF!</v>
      </c>
      <c r="I135" s="581" t="e">
        <f>SUM(I127:I134)</f>
        <v>#REF!</v>
      </c>
      <c r="J135" s="581" t="e">
        <f>SUM(J127:J134)</f>
        <v>#REF!</v>
      </c>
      <c r="K135" s="581" t="e">
        <f>SUM(K127:K134)</f>
        <v>#REF!</v>
      </c>
      <c r="L135" s="582" t="e">
        <f>SUM(H135:K135)</f>
        <v>#REF!</v>
      </c>
      <c r="M135" s="530"/>
      <c r="N135" s="512"/>
      <c r="O135" s="512"/>
      <c r="P135" s="512"/>
      <c r="Q135" s="512"/>
      <c r="R135" s="512"/>
      <c r="S135" s="512"/>
      <c r="T135" s="512"/>
    </row>
    <row r="136" spans="1:20" s="210" customFormat="1" ht="15" hidden="1" thickBot="1" x14ac:dyDescent="0.4">
      <c r="A136" s="551"/>
      <c r="B136" s="551"/>
      <c r="C136" s="551"/>
      <c r="D136" s="551"/>
      <c r="E136" s="551"/>
      <c r="F136" s="551"/>
      <c r="G136" s="551"/>
      <c r="H136" s="551"/>
      <c r="I136" s="551"/>
      <c r="J136" s="551"/>
      <c r="K136" s="551"/>
      <c r="L136" s="551"/>
      <c r="M136" s="551"/>
      <c r="N136" s="512"/>
      <c r="O136" s="512"/>
      <c r="P136" s="512"/>
      <c r="Q136" s="512"/>
      <c r="R136" s="512"/>
      <c r="S136" s="551"/>
      <c r="T136" s="551"/>
    </row>
    <row r="137" spans="1:20" s="210" customFormat="1" ht="15" hidden="1" thickBot="1" x14ac:dyDescent="0.4">
      <c r="A137" s="551"/>
      <c r="B137" s="551"/>
      <c r="C137" s="551"/>
      <c r="D137" s="551"/>
      <c r="E137" s="551"/>
      <c r="F137" s="551"/>
      <c r="G137" s="551"/>
      <c r="H137" s="551"/>
      <c r="I137" s="551"/>
      <c r="J137" s="551"/>
      <c r="K137" s="551"/>
      <c r="L137" s="551"/>
      <c r="M137" s="551"/>
      <c r="N137" s="530"/>
      <c r="O137" s="512"/>
      <c r="P137" s="512"/>
      <c r="Q137" s="512"/>
      <c r="R137" s="512"/>
      <c r="S137" s="551"/>
      <c r="T137" s="551"/>
    </row>
    <row r="138" spans="1:20" s="210" customFormat="1" ht="15" hidden="1" thickBot="1" x14ac:dyDescent="0.4">
      <c r="A138" s="551"/>
      <c r="B138" s="551"/>
      <c r="C138" s="551"/>
      <c r="D138" s="551"/>
      <c r="E138" s="551"/>
      <c r="F138" s="551"/>
      <c r="G138" s="551"/>
      <c r="H138" s="551"/>
      <c r="I138" s="551"/>
      <c r="J138" s="551"/>
      <c r="K138" s="551"/>
      <c r="L138" s="551"/>
      <c r="M138" s="551"/>
      <c r="N138" s="520"/>
      <c r="O138" s="513"/>
      <c r="P138" s="513"/>
      <c r="Q138" s="513"/>
      <c r="R138" s="513"/>
      <c r="S138" s="551"/>
      <c r="T138" s="551"/>
    </row>
    <row r="139" spans="1:20" s="211" customFormat="1" ht="37.5" hidden="1" customHeight="1" thickTop="1" thickBot="1" x14ac:dyDescent="0.4">
      <c r="A139" s="538"/>
      <c r="B139" s="538"/>
      <c r="C139" s="538"/>
      <c r="D139" s="538"/>
      <c r="E139" s="538"/>
      <c r="F139" s="552" t="s">
        <v>769</v>
      </c>
      <c r="G139" s="553">
        <v>2012</v>
      </c>
      <c r="H139" s="553">
        <v>2013</v>
      </c>
      <c r="I139" s="553">
        <v>2014</v>
      </c>
      <c r="J139" s="553">
        <v>2015</v>
      </c>
      <c r="K139" s="553">
        <v>2016</v>
      </c>
      <c r="L139" s="554" t="s">
        <v>765</v>
      </c>
      <c r="M139" s="538"/>
      <c r="N139" s="520"/>
      <c r="O139" s="513"/>
      <c r="P139" s="513"/>
      <c r="Q139" s="513"/>
      <c r="R139" s="513"/>
      <c r="S139" s="538"/>
      <c r="T139" s="538"/>
    </row>
    <row r="140" spans="1:20" ht="39.5" hidden="1" thickBot="1" x14ac:dyDescent="0.4">
      <c r="A140" s="512"/>
      <c r="B140" s="512"/>
      <c r="C140" s="512"/>
      <c r="D140" s="512"/>
      <c r="E140" s="512"/>
      <c r="F140" s="555" t="s">
        <v>767</v>
      </c>
      <c r="G140" s="556"/>
      <c r="H140" s="557" t="e">
        <f>H127/#REF!</f>
        <v>#REF!</v>
      </c>
      <c r="I140" s="557" t="e">
        <f>I127/#REF!</f>
        <v>#REF!</v>
      </c>
      <c r="J140" s="557" t="e">
        <f>J127/#REF!</f>
        <v>#REF!</v>
      </c>
      <c r="K140" s="557" t="e">
        <f>K127/#REF!</f>
        <v>#REF!</v>
      </c>
      <c r="L140" s="558" t="e">
        <f t="shared" ref="L140:L145" si="32">SUM(H140:K140)</f>
        <v>#REF!</v>
      </c>
      <c r="M140" s="559"/>
      <c r="N140" s="551"/>
      <c r="O140" s="551"/>
      <c r="P140" s="551"/>
      <c r="Q140" s="551"/>
      <c r="R140" s="551"/>
      <c r="S140" s="512"/>
      <c r="T140" s="512"/>
    </row>
    <row r="141" spans="1:20" ht="26.5" hidden="1" thickBot="1" x14ac:dyDescent="0.4">
      <c r="A141" s="512"/>
      <c r="B141" s="512"/>
      <c r="C141" s="512"/>
      <c r="D141" s="512"/>
      <c r="E141" s="512"/>
      <c r="F141" s="555" t="s">
        <v>768</v>
      </c>
      <c r="G141" s="556"/>
      <c r="H141" s="557" t="e">
        <f>H128/#REF!</f>
        <v>#REF!</v>
      </c>
      <c r="I141" s="557" t="e">
        <f>I128/#REF!</f>
        <v>#REF!</v>
      </c>
      <c r="J141" s="557" t="e">
        <f>J128/#REF!</f>
        <v>#REF!</v>
      </c>
      <c r="K141" s="557" t="e">
        <f>K128/#REF!</f>
        <v>#REF!</v>
      </c>
      <c r="L141" s="558" t="e">
        <f t="shared" si="32"/>
        <v>#REF!</v>
      </c>
      <c r="M141" s="559"/>
      <c r="N141" s="538"/>
      <c r="O141" s="538"/>
      <c r="P141" s="538"/>
      <c r="Q141" s="538"/>
      <c r="R141" s="538"/>
      <c r="S141" s="512"/>
      <c r="T141" s="512"/>
    </row>
    <row r="142" spans="1:20" s="212" customFormat="1" ht="12.75" hidden="1" customHeight="1" x14ac:dyDescent="0.35">
      <c r="A142" s="560"/>
      <c r="B142" s="560"/>
      <c r="C142" s="560"/>
      <c r="D142" s="560"/>
      <c r="E142" s="560"/>
      <c r="F142" s="555" t="s">
        <v>759</v>
      </c>
      <c r="G142" s="561"/>
      <c r="H142" s="557" t="e">
        <f>H129/#REF!</f>
        <v>#REF!</v>
      </c>
      <c r="I142" s="557" t="e">
        <f>I129/#REF!</f>
        <v>#REF!</v>
      </c>
      <c r="J142" s="557" t="e">
        <f>J129/#REF!</f>
        <v>#REF!</v>
      </c>
      <c r="K142" s="557" t="e">
        <f>K129/#REF!</f>
        <v>#REF!</v>
      </c>
      <c r="L142" s="562" t="e">
        <f t="shared" si="32"/>
        <v>#REF!</v>
      </c>
      <c r="M142" s="563"/>
      <c r="N142" s="564"/>
      <c r="O142" s="565"/>
      <c r="P142" s="565"/>
      <c r="Q142" s="512"/>
      <c r="R142" s="512"/>
      <c r="S142" s="560"/>
      <c r="T142" s="560"/>
    </row>
    <row r="143" spans="1:20" ht="17.25" hidden="1" customHeight="1" x14ac:dyDescent="0.35">
      <c r="A143" s="512"/>
      <c r="B143" s="512"/>
      <c r="C143" s="512"/>
      <c r="D143" s="512"/>
      <c r="E143" s="512"/>
      <c r="F143" s="555" t="s">
        <v>760</v>
      </c>
      <c r="G143" s="566"/>
      <c r="H143" s="557" t="e">
        <f>H130/#REF!</f>
        <v>#REF!</v>
      </c>
      <c r="I143" s="557" t="e">
        <f>I130/#REF!</f>
        <v>#REF!</v>
      </c>
      <c r="J143" s="557" t="e">
        <f>J130/#REF!</f>
        <v>#REF!</v>
      </c>
      <c r="K143" s="557" t="e">
        <f>K130/#REF!</f>
        <v>#REF!</v>
      </c>
      <c r="L143" s="567" t="e">
        <f t="shared" si="32"/>
        <v>#REF!</v>
      </c>
      <c r="M143" s="559"/>
      <c r="N143" s="564"/>
      <c r="O143" s="565"/>
      <c r="P143" s="565"/>
      <c r="Q143" s="512"/>
      <c r="R143" s="512"/>
      <c r="S143" s="512"/>
      <c r="T143" s="512"/>
    </row>
    <row r="144" spans="1:20" ht="15" hidden="1" thickBot="1" x14ac:dyDescent="0.4">
      <c r="A144" s="512"/>
      <c r="B144" s="512"/>
      <c r="C144" s="512"/>
      <c r="D144" s="512"/>
      <c r="E144" s="512"/>
      <c r="F144" s="568"/>
      <c r="G144" s="566"/>
      <c r="H144" s="583"/>
      <c r="I144" s="583"/>
      <c r="J144" s="583"/>
      <c r="K144" s="584"/>
      <c r="L144" s="567">
        <f t="shared" si="32"/>
        <v>0</v>
      </c>
      <c r="M144" s="569"/>
      <c r="N144" s="570"/>
      <c r="O144" s="571"/>
      <c r="P144" s="571"/>
      <c r="Q144" s="560"/>
      <c r="R144" s="560"/>
      <c r="S144" s="512"/>
      <c r="T144" s="512"/>
    </row>
    <row r="145" spans="1:21" ht="15" hidden="1" thickBot="1" x14ac:dyDescent="0.4">
      <c r="A145" s="512"/>
      <c r="B145" s="512"/>
      <c r="C145" s="512"/>
      <c r="D145" s="512"/>
      <c r="E145" s="512"/>
      <c r="F145" s="555"/>
      <c r="G145" s="566"/>
      <c r="H145" s="583"/>
      <c r="I145" s="583"/>
      <c r="J145" s="583"/>
      <c r="K145" s="584"/>
      <c r="L145" s="567">
        <f t="shared" si="32"/>
        <v>0</v>
      </c>
      <c r="M145" s="512"/>
      <c r="N145" s="564"/>
      <c r="O145" s="565"/>
      <c r="P145" s="565"/>
      <c r="Q145" s="512"/>
      <c r="R145" s="512"/>
      <c r="S145" s="512"/>
      <c r="T145" s="512"/>
    </row>
    <row r="146" spans="1:21" ht="15" hidden="1" customHeight="1" x14ac:dyDescent="0.35">
      <c r="A146" s="512"/>
      <c r="B146" s="512"/>
      <c r="C146" s="512"/>
      <c r="D146" s="512"/>
      <c r="E146" s="512"/>
      <c r="F146" s="572"/>
      <c r="G146" s="573"/>
      <c r="H146" s="574"/>
      <c r="I146" s="574"/>
      <c r="J146" s="574"/>
      <c r="K146" s="574"/>
      <c r="L146" s="575"/>
      <c r="M146" s="512"/>
      <c r="N146" s="564"/>
      <c r="O146" s="565"/>
      <c r="P146" s="565"/>
      <c r="Q146" s="512"/>
      <c r="R146" s="512"/>
      <c r="S146" s="512"/>
      <c r="T146" s="512"/>
    </row>
    <row r="147" spans="1:21" ht="15" hidden="1" thickBot="1" x14ac:dyDescent="0.4">
      <c r="A147" s="512"/>
      <c r="B147" s="512"/>
      <c r="C147" s="512"/>
      <c r="D147" s="512"/>
      <c r="E147" s="512"/>
      <c r="F147" s="576"/>
      <c r="G147" s="573"/>
      <c r="H147" s="577"/>
      <c r="I147" s="577"/>
      <c r="J147" s="577"/>
      <c r="K147" s="577"/>
      <c r="L147" s="578"/>
      <c r="M147" s="512"/>
      <c r="N147" s="565"/>
      <c r="O147" s="565"/>
      <c r="P147" s="565"/>
      <c r="Q147" s="512"/>
      <c r="R147" s="512"/>
      <c r="S147" s="512"/>
      <c r="T147" s="512"/>
    </row>
    <row r="148" spans="1:21" ht="15.5" hidden="1" thickTop="1" thickBot="1" x14ac:dyDescent="0.4">
      <c r="A148" s="512"/>
      <c r="B148" s="512"/>
      <c r="C148" s="512"/>
      <c r="D148" s="512"/>
      <c r="E148" s="512"/>
      <c r="F148" s="585" t="s">
        <v>770</v>
      </c>
      <c r="G148" s="580">
        <f>SUM(G140:G147)</f>
        <v>0</v>
      </c>
      <c r="H148" s="581" t="e">
        <f>SUM(H140:H147)</f>
        <v>#REF!</v>
      </c>
      <c r="I148" s="581" t="e">
        <f>SUM(I140:I147)</f>
        <v>#REF!</v>
      </c>
      <c r="J148" s="581" t="e">
        <f>SUM(J140:J147)</f>
        <v>#REF!</v>
      </c>
      <c r="K148" s="581" t="e">
        <f>SUM(K140:K147)</f>
        <v>#REF!</v>
      </c>
      <c r="L148" s="582" t="e">
        <f>SUM(H148:K148)</f>
        <v>#REF!</v>
      </c>
      <c r="M148" s="530"/>
      <c r="N148" s="512"/>
      <c r="O148" s="512"/>
      <c r="P148" s="512"/>
      <c r="Q148" s="512"/>
      <c r="R148" s="512"/>
      <c r="S148" s="512"/>
      <c r="T148" s="512"/>
    </row>
    <row r="149" spans="1:21" s="211" customFormat="1" ht="37.5" hidden="1" customHeight="1" thickTop="1" thickBot="1" x14ac:dyDescent="0.4">
      <c r="A149" s="538"/>
      <c r="B149" s="538"/>
      <c r="C149" s="538"/>
      <c r="D149" s="538"/>
      <c r="E149" s="538"/>
      <c r="F149" s="552" t="s">
        <v>766</v>
      </c>
      <c r="G149" s="553">
        <v>2012</v>
      </c>
      <c r="H149" s="553">
        <v>2013</v>
      </c>
      <c r="I149" s="553">
        <v>2014</v>
      </c>
      <c r="J149" s="553">
        <v>2015</v>
      </c>
      <c r="K149" s="553">
        <v>2016</v>
      </c>
      <c r="L149" s="554" t="s">
        <v>765</v>
      </c>
      <c r="M149" s="538"/>
      <c r="N149" s="512"/>
      <c r="O149" s="512"/>
      <c r="P149" s="512"/>
      <c r="Q149" s="512"/>
      <c r="R149" s="512"/>
      <c r="S149" s="538"/>
      <c r="T149" s="538"/>
    </row>
    <row r="150" spans="1:21" ht="39.5" hidden="1" thickBot="1" x14ac:dyDescent="0.4">
      <c r="A150" s="512"/>
      <c r="B150" s="512"/>
      <c r="C150" s="512"/>
      <c r="D150" s="512"/>
      <c r="E150" s="512"/>
      <c r="F150" s="555" t="s">
        <v>767</v>
      </c>
      <c r="G150" s="556"/>
      <c r="H150" s="557"/>
      <c r="I150" s="557" t="e">
        <f>#REF!/#REF!</f>
        <v>#REF!</v>
      </c>
      <c r="J150" s="557" t="e">
        <f>#REF!/#REF!</f>
        <v>#REF!</v>
      </c>
      <c r="K150" s="557" t="e">
        <f>#REF!/#REF!</f>
        <v>#REF!</v>
      </c>
      <c r="L150" s="558" t="e">
        <f t="shared" ref="L150:L155" si="33">SUM(H150:K150)</f>
        <v>#REF!</v>
      </c>
      <c r="M150" s="559"/>
      <c r="N150" s="530"/>
      <c r="O150" s="512"/>
      <c r="P150" s="512"/>
      <c r="Q150" s="512"/>
      <c r="R150" s="512"/>
      <c r="S150" s="512"/>
      <c r="T150" s="512"/>
    </row>
    <row r="151" spans="1:21" ht="26.5" hidden="1" thickBot="1" x14ac:dyDescent="0.4">
      <c r="A151" s="512"/>
      <c r="B151" s="512"/>
      <c r="C151" s="512"/>
      <c r="D151" s="512"/>
      <c r="E151" s="512"/>
      <c r="F151" s="555" t="s">
        <v>768</v>
      </c>
      <c r="G151" s="556"/>
      <c r="H151" s="557" t="e">
        <f>#REF!/#REF!</f>
        <v>#REF!</v>
      </c>
      <c r="I151" s="557" t="e">
        <f>#REF!/#REF!</f>
        <v>#REF!</v>
      </c>
      <c r="J151" s="557" t="e">
        <f>#REF!/#REF!</f>
        <v>#REF!</v>
      </c>
      <c r="K151" s="557" t="e">
        <f>#REF!/#REF!</f>
        <v>#REF!</v>
      </c>
      <c r="L151" s="558" t="e">
        <f t="shared" si="33"/>
        <v>#REF!</v>
      </c>
      <c r="M151" s="559"/>
      <c r="N151" s="538"/>
      <c r="O151" s="538"/>
      <c r="P151" s="538"/>
      <c r="Q151" s="538"/>
      <c r="R151" s="538"/>
      <c r="S151" s="512"/>
      <c r="T151" s="512"/>
    </row>
    <row r="152" spans="1:21" s="212" customFormat="1" ht="12.75" hidden="1" customHeight="1" x14ac:dyDescent="0.35">
      <c r="A152" s="560"/>
      <c r="B152" s="560"/>
      <c r="C152" s="560"/>
      <c r="D152" s="560"/>
      <c r="E152" s="560"/>
      <c r="F152" s="555" t="s">
        <v>759</v>
      </c>
      <c r="G152" s="561"/>
      <c r="H152" s="557" t="e">
        <f>#REF!/#REF!</f>
        <v>#REF!</v>
      </c>
      <c r="I152" s="557" t="e">
        <f>#REF!/#REF!</f>
        <v>#REF!</v>
      </c>
      <c r="J152" s="557" t="e">
        <f>#REF!/#REF!</f>
        <v>#REF!</v>
      </c>
      <c r="K152" s="557" t="e">
        <f>#REF!/#REF!</f>
        <v>#REF!</v>
      </c>
      <c r="L152" s="562" t="e">
        <f t="shared" si="33"/>
        <v>#REF!</v>
      </c>
      <c r="M152" s="563"/>
      <c r="N152" s="564"/>
      <c r="O152" s="565"/>
      <c r="P152" s="565"/>
      <c r="Q152" s="512"/>
      <c r="R152" s="512"/>
      <c r="S152" s="560"/>
      <c r="T152" s="560"/>
    </row>
    <row r="153" spans="1:21" ht="17.25" hidden="1" customHeight="1" x14ac:dyDescent="0.35">
      <c r="A153" s="512"/>
      <c r="B153" s="512"/>
      <c r="C153" s="512"/>
      <c r="D153" s="512"/>
      <c r="E153" s="512"/>
      <c r="F153" s="555" t="s">
        <v>760</v>
      </c>
      <c r="G153" s="566"/>
      <c r="H153" s="557" t="e">
        <f>#REF!/#REF!</f>
        <v>#REF!</v>
      </c>
      <c r="I153" s="557" t="e">
        <f>#REF!/#REF!</f>
        <v>#REF!</v>
      </c>
      <c r="J153" s="557" t="e">
        <f>#REF!/#REF!</f>
        <v>#REF!</v>
      </c>
      <c r="K153" s="557" t="e">
        <f>#REF!/#REF!</f>
        <v>#REF!</v>
      </c>
      <c r="L153" s="567" t="e">
        <f t="shared" si="33"/>
        <v>#REF!</v>
      </c>
      <c r="M153" s="559"/>
      <c r="N153" s="564"/>
      <c r="O153" s="565"/>
      <c r="P153" s="565"/>
      <c r="Q153" s="512"/>
      <c r="R153" s="512"/>
      <c r="S153" s="512"/>
      <c r="T153" s="512"/>
    </row>
    <row r="154" spans="1:21" ht="15" hidden="1" thickBot="1" x14ac:dyDescent="0.4">
      <c r="A154" s="512"/>
      <c r="B154" s="512"/>
      <c r="C154" s="512"/>
      <c r="D154" s="512"/>
      <c r="E154" s="512"/>
      <c r="F154" s="568"/>
      <c r="G154" s="566"/>
      <c r="H154" s="557"/>
      <c r="I154" s="557"/>
      <c r="J154" s="557"/>
      <c r="K154" s="557"/>
      <c r="L154" s="567">
        <f t="shared" si="33"/>
        <v>0</v>
      </c>
      <c r="M154" s="569"/>
      <c r="N154" s="570"/>
      <c r="O154" s="571"/>
      <c r="P154" s="571"/>
      <c r="Q154" s="560"/>
      <c r="R154" s="560"/>
      <c r="S154" s="512"/>
      <c r="T154" s="512"/>
    </row>
    <row r="155" spans="1:21" ht="15" hidden="1" thickBot="1" x14ac:dyDescent="0.4">
      <c r="A155" s="512"/>
      <c r="B155" s="512"/>
      <c r="C155" s="512"/>
      <c r="D155" s="512"/>
      <c r="E155" s="512"/>
      <c r="F155" s="555"/>
      <c r="G155" s="566"/>
      <c r="H155" s="557"/>
      <c r="I155" s="557"/>
      <c r="J155" s="557"/>
      <c r="K155" s="557"/>
      <c r="L155" s="567">
        <f t="shared" si="33"/>
        <v>0</v>
      </c>
      <c r="M155" s="512"/>
      <c r="N155" s="564"/>
      <c r="O155" s="565"/>
      <c r="P155" s="565"/>
      <c r="Q155" s="512"/>
      <c r="R155" s="512"/>
      <c r="S155" s="512"/>
      <c r="T155" s="512"/>
    </row>
    <row r="156" spans="1:21" ht="15" hidden="1" customHeight="1" x14ac:dyDescent="0.35">
      <c r="A156" s="512"/>
      <c r="B156" s="512"/>
      <c r="C156" s="512"/>
      <c r="D156" s="512"/>
      <c r="E156" s="512"/>
      <c r="F156" s="572"/>
      <c r="G156" s="573"/>
      <c r="H156" s="574"/>
      <c r="I156" s="574"/>
      <c r="J156" s="574"/>
      <c r="K156" s="574"/>
      <c r="L156" s="575"/>
      <c r="M156" s="512"/>
      <c r="N156" s="564"/>
      <c r="O156" s="565"/>
      <c r="P156" s="565"/>
      <c r="Q156" s="512"/>
      <c r="R156" s="512"/>
      <c r="S156" s="512"/>
      <c r="T156" s="512"/>
    </row>
    <row r="157" spans="1:21" ht="15" hidden="1" thickBot="1" x14ac:dyDescent="0.4">
      <c r="A157" s="512"/>
      <c r="B157" s="512"/>
      <c r="C157" s="512"/>
      <c r="D157" s="512"/>
      <c r="E157" s="512"/>
      <c r="F157" s="576"/>
      <c r="G157" s="573"/>
      <c r="H157" s="577"/>
      <c r="I157" s="577"/>
      <c r="J157" s="577"/>
      <c r="K157" s="577"/>
      <c r="L157" s="578"/>
      <c r="M157" s="512"/>
      <c r="N157" s="565"/>
      <c r="O157" s="565"/>
      <c r="P157" s="565"/>
      <c r="Q157" s="512"/>
      <c r="R157" s="512"/>
      <c r="S157" s="512"/>
      <c r="T157" s="512"/>
    </row>
    <row r="158" spans="1:21" ht="15.5" hidden="1" thickTop="1" thickBot="1" x14ac:dyDescent="0.4">
      <c r="A158" s="512"/>
      <c r="B158" s="512"/>
      <c r="C158" s="512"/>
      <c r="D158" s="512"/>
      <c r="E158" s="512"/>
      <c r="F158" s="579" t="s">
        <v>127</v>
      </c>
      <c r="G158" s="580">
        <f>SUM(G150:G157)</f>
        <v>0</v>
      </c>
      <c r="H158" s="581" t="e">
        <f>SUM(H150:H157)</f>
        <v>#REF!</v>
      </c>
      <c r="I158" s="581" t="e">
        <f>SUM(I150:I157)</f>
        <v>#REF!</v>
      </c>
      <c r="J158" s="581" t="e">
        <f>SUM(J150:J157)</f>
        <v>#REF!</v>
      </c>
      <c r="K158" s="581" t="e">
        <f>SUM(K150:K157)</f>
        <v>#REF!</v>
      </c>
      <c r="L158" s="582" t="e">
        <f>SUM(H158:K158)</f>
        <v>#REF!</v>
      </c>
      <c r="M158" s="530"/>
      <c r="N158" s="512"/>
      <c r="O158" s="512"/>
      <c r="P158" s="512"/>
      <c r="Q158" s="512"/>
      <c r="R158" s="512"/>
      <c r="S158" s="512"/>
      <c r="T158" s="512"/>
    </row>
    <row r="159" spans="1:21" ht="15" hidden="1" thickBot="1" x14ac:dyDescent="0.4">
      <c r="A159" s="512"/>
      <c r="B159" s="512"/>
      <c r="C159" s="512"/>
      <c r="D159" s="512"/>
      <c r="E159" s="512"/>
      <c r="F159" s="512"/>
      <c r="G159" s="512"/>
      <c r="H159" s="512"/>
      <c r="I159" s="512"/>
      <c r="J159" s="512"/>
      <c r="K159" s="512"/>
      <c r="L159" s="512"/>
      <c r="M159" s="512"/>
      <c r="N159" s="512"/>
      <c r="O159" s="512"/>
      <c r="P159" s="512"/>
      <c r="Q159" s="512"/>
      <c r="R159" s="512"/>
      <c r="S159" s="512"/>
      <c r="T159" s="512"/>
    </row>
    <row r="160" spans="1:21" s="60" customFormat="1" ht="20.25" customHeight="1" thickTop="1" thickBot="1" x14ac:dyDescent="0.4">
      <c r="A160" s="5712" t="s">
        <v>10</v>
      </c>
      <c r="B160" s="5719"/>
      <c r="C160" s="5719"/>
      <c r="D160" s="5719"/>
      <c r="E160" s="5719"/>
      <c r="F160" s="5719"/>
      <c r="G160" s="5719"/>
      <c r="H160" s="5719"/>
      <c r="I160" s="5719"/>
      <c r="J160" s="5719"/>
      <c r="K160" s="5720"/>
      <c r="L160" s="34"/>
      <c r="M160" s="3725" t="s">
        <v>748</v>
      </c>
      <c r="N160" s="3726"/>
      <c r="O160" s="3727"/>
      <c r="P160" s="34"/>
      <c r="Q160" s="64"/>
      <c r="R160" s="64"/>
      <c r="S160" s="64"/>
      <c r="T160" s="64"/>
      <c r="U160" s="64"/>
    </row>
    <row r="161" spans="1:21" s="60" customFormat="1" ht="20.25" customHeight="1" x14ac:dyDescent="0.35">
      <c r="A161" s="5060"/>
      <c r="B161" s="5061"/>
      <c r="C161" s="5061"/>
      <c r="D161" s="5061"/>
      <c r="E161" s="5061"/>
      <c r="F161" s="5061"/>
      <c r="G161" s="5061"/>
      <c r="H161" s="5061"/>
      <c r="I161" s="5061"/>
      <c r="J161" s="5061"/>
      <c r="K161" s="5062"/>
      <c r="L161" s="35"/>
      <c r="M161" s="3750" t="s">
        <v>750</v>
      </c>
      <c r="N161" s="3751"/>
      <c r="O161" s="3752"/>
      <c r="P161" s="35"/>
      <c r="Q161" s="64"/>
      <c r="R161" s="64"/>
      <c r="S161" s="64"/>
      <c r="T161" s="64"/>
      <c r="U161" s="64"/>
    </row>
    <row r="162" spans="1:21" s="60" customFormat="1" ht="20.25" customHeight="1" x14ac:dyDescent="0.35">
      <c r="A162" s="5060"/>
      <c r="B162" s="5061"/>
      <c r="C162" s="5061"/>
      <c r="D162" s="5061"/>
      <c r="E162" s="5061"/>
      <c r="F162" s="5061"/>
      <c r="G162" s="5061"/>
      <c r="H162" s="5061"/>
      <c r="I162" s="5061"/>
      <c r="J162" s="5061"/>
      <c r="K162" s="5062"/>
      <c r="L162" s="35"/>
      <c r="M162" s="3753"/>
      <c r="N162" s="3754"/>
      <c r="O162" s="3755"/>
      <c r="P162" s="35"/>
      <c r="Q162" s="64"/>
      <c r="R162" s="64"/>
      <c r="S162" s="64"/>
      <c r="T162" s="64"/>
      <c r="U162" s="64"/>
    </row>
    <row r="163" spans="1:21" s="60" customFormat="1" ht="20.25" customHeight="1" x14ac:dyDescent="0.35">
      <c r="A163" s="5060"/>
      <c r="B163" s="5061"/>
      <c r="C163" s="5061"/>
      <c r="D163" s="5061"/>
      <c r="E163" s="5061"/>
      <c r="F163" s="5061"/>
      <c r="G163" s="5061"/>
      <c r="H163" s="5061"/>
      <c r="I163" s="5061"/>
      <c r="J163" s="5061"/>
      <c r="K163" s="5062"/>
      <c r="L163" s="35"/>
      <c r="M163" s="3753"/>
      <c r="N163" s="3754"/>
      <c r="O163" s="3755"/>
      <c r="P163" s="35"/>
      <c r="Q163" s="64"/>
      <c r="R163" s="64"/>
      <c r="S163" s="64"/>
      <c r="T163" s="64"/>
      <c r="U163" s="64"/>
    </row>
    <row r="164" spans="1:21" s="60" customFormat="1" ht="20.25" customHeight="1" x14ac:dyDescent="0.35">
      <c r="A164" s="5060"/>
      <c r="B164" s="5061"/>
      <c r="C164" s="5061"/>
      <c r="D164" s="5061"/>
      <c r="E164" s="5061"/>
      <c r="F164" s="5061"/>
      <c r="G164" s="5061"/>
      <c r="H164" s="5061"/>
      <c r="I164" s="5061"/>
      <c r="J164" s="5061"/>
      <c r="K164" s="5062"/>
      <c r="L164" s="35"/>
      <c r="M164" s="3753"/>
      <c r="N164" s="3754"/>
      <c r="O164" s="3755"/>
      <c r="P164" s="35"/>
      <c r="Q164" s="64"/>
      <c r="R164" s="64"/>
      <c r="S164" s="64"/>
      <c r="T164" s="64"/>
      <c r="U164" s="64"/>
    </row>
    <row r="165" spans="1:21" s="60" customFormat="1" ht="20.25" customHeight="1" thickBot="1" x14ac:dyDescent="0.4">
      <c r="A165" s="5063"/>
      <c r="B165" s="5064"/>
      <c r="C165" s="5064"/>
      <c r="D165" s="5064"/>
      <c r="E165" s="5064"/>
      <c r="F165" s="5064"/>
      <c r="G165" s="5064"/>
      <c r="H165" s="5064"/>
      <c r="I165" s="5064"/>
      <c r="J165" s="5064"/>
      <c r="K165" s="5065"/>
      <c r="L165" s="35"/>
      <c r="M165" s="5334"/>
      <c r="N165" s="5468"/>
      <c r="O165" s="5469"/>
      <c r="P165" s="35"/>
      <c r="Q165" s="64"/>
      <c r="R165" s="64"/>
      <c r="S165" s="64"/>
      <c r="T165" s="64"/>
      <c r="U165" s="64"/>
    </row>
    <row r="166" spans="1:21" s="60" customFormat="1" ht="20.25" customHeight="1" thickTop="1" thickBot="1" x14ac:dyDescent="0.4">
      <c r="A166" s="64"/>
      <c r="B166" s="64"/>
      <c r="C166" s="64"/>
      <c r="D166" s="64"/>
      <c r="E166" s="64"/>
      <c r="F166" s="64"/>
      <c r="G166" s="64"/>
      <c r="H166" s="64"/>
      <c r="I166" s="64"/>
      <c r="J166" s="64"/>
      <c r="K166" s="64"/>
      <c r="L166" s="64"/>
      <c r="M166" s="475"/>
      <c r="N166" s="475"/>
      <c r="O166" s="475"/>
      <c r="P166" s="64"/>
      <c r="Q166" s="64"/>
      <c r="R166" s="64"/>
      <c r="S166" s="64"/>
      <c r="T166" s="64"/>
      <c r="U166" s="64"/>
    </row>
    <row r="167" spans="1:21" s="60" customFormat="1" ht="20.25" customHeight="1" thickTop="1" thickBot="1" x14ac:dyDescent="0.4">
      <c r="A167" s="5712" t="s">
        <v>11</v>
      </c>
      <c r="B167" s="5713"/>
      <c r="C167" s="5713"/>
      <c r="D167" s="5713"/>
      <c r="E167" s="5713"/>
      <c r="F167" s="5713"/>
      <c r="G167" s="5713"/>
      <c r="H167" s="5713"/>
      <c r="I167" s="5713"/>
      <c r="J167" s="5713"/>
      <c r="K167" s="5714"/>
      <c r="L167" s="34"/>
      <c r="M167" s="476"/>
      <c r="N167" s="476"/>
      <c r="O167" s="476"/>
      <c r="P167" s="34"/>
      <c r="Q167" s="64"/>
      <c r="R167" s="64"/>
      <c r="S167" s="64"/>
      <c r="T167" s="64"/>
      <c r="U167" s="64"/>
    </row>
    <row r="168" spans="1:21" s="60" customFormat="1" ht="20.25" customHeight="1" thickBot="1" x14ac:dyDescent="0.4">
      <c r="A168" s="5060" t="s">
        <v>1532</v>
      </c>
      <c r="B168" s="5061"/>
      <c r="C168" s="5061"/>
      <c r="D168" s="5061"/>
      <c r="E168" s="5061"/>
      <c r="F168" s="5061"/>
      <c r="G168" s="5061"/>
      <c r="H168" s="5061"/>
      <c r="I168" s="5061"/>
      <c r="J168" s="5061"/>
      <c r="K168" s="5062"/>
      <c r="L168" s="35"/>
      <c r="M168" s="3725" t="s">
        <v>748</v>
      </c>
      <c r="N168" s="3726"/>
      <c r="O168" s="3727"/>
      <c r="P168" s="35"/>
      <c r="Q168" s="64"/>
      <c r="R168" s="64"/>
      <c r="S168" s="64"/>
      <c r="T168" s="64"/>
      <c r="U168" s="64"/>
    </row>
    <row r="169" spans="1:21" s="60" customFormat="1" ht="20.25" customHeight="1" x14ac:dyDescent="0.35">
      <c r="A169" s="5060"/>
      <c r="B169" s="5061"/>
      <c r="C169" s="5061"/>
      <c r="D169" s="5061"/>
      <c r="E169" s="5061"/>
      <c r="F169" s="5061"/>
      <c r="G169" s="5061"/>
      <c r="H169" s="5061"/>
      <c r="I169" s="5061"/>
      <c r="J169" s="5061"/>
      <c r="K169" s="5062"/>
      <c r="L169" s="35"/>
      <c r="M169" s="3750" t="s">
        <v>749</v>
      </c>
      <c r="N169" s="3751"/>
      <c r="O169" s="3752"/>
      <c r="P169" s="35"/>
      <c r="Q169" s="64"/>
      <c r="R169" s="64"/>
      <c r="S169" s="64"/>
      <c r="T169" s="64"/>
      <c r="U169" s="64"/>
    </row>
    <row r="170" spans="1:21" s="60" customFormat="1" ht="20.25" customHeight="1" x14ac:dyDescent="0.35">
      <c r="A170" s="5060"/>
      <c r="B170" s="5061"/>
      <c r="C170" s="5061"/>
      <c r="D170" s="5061"/>
      <c r="E170" s="5061"/>
      <c r="F170" s="5061"/>
      <c r="G170" s="5061"/>
      <c r="H170" s="5061"/>
      <c r="I170" s="5061"/>
      <c r="J170" s="5061"/>
      <c r="K170" s="5062"/>
      <c r="L170" s="35"/>
      <c r="M170" s="3753"/>
      <c r="N170" s="3754"/>
      <c r="O170" s="3755"/>
      <c r="P170" s="35"/>
      <c r="Q170" s="64"/>
      <c r="R170" s="64"/>
      <c r="S170" s="64"/>
      <c r="T170" s="64"/>
      <c r="U170" s="64"/>
    </row>
    <row r="171" spans="1:21" s="60" customFormat="1" ht="20.25" customHeight="1" x14ac:dyDescent="0.35">
      <c r="A171" s="5060"/>
      <c r="B171" s="5061"/>
      <c r="C171" s="5061"/>
      <c r="D171" s="5061"/>
      <c r="E171" s="5061"/>
      <c r="F171" s="5061"/>
      <c r="G171" s="5061"/>
      <c r="H171" s="5061"/>
      <c r="I171" s="5061"/>
      <c r="J171" s="5061"/>
      <c r="K171" s="5062"/>
      <c r="L171" s="35"/>
      <c r="M171" s="3753"/>
      <c r="N171" s="3754"/>
      <c r="O171" s="3755"/>
      <c r="P171" s="35"/>
      <c r="Q171" s="64"/>
      <c r="R171" s="64"/>
      <c r="S171" s="64"/>
      <c r="T171" s="64"/>
      <c r="U171" s="64"/>
    </row>
    <row r="172" spans="1:21" s="60" customFormat="1" x14ac:dyDescent="0.35">
      <c r="A172" s="5060"/>
      <c r="B172" s="5061"/>
      <c r="C172" s="5061"/>
      <c r="D172" s="5061"/>
      <c r="E172" s="5061"/>
      <c r="F172" s="5061"/>
      <c r="G172" s="5061"/>
      <c r="H172" s="5061"/>
      <c r="I172" s="5061"/>
      <c r="J172" s="5061"/>
      <c r="K172" s="5062"/>
      <c r="L172" s="35"/>
      <c r="M172" s="3753"/>
      <c r="N172" s="3754"/>
      <c r="O172" s="3755"/>
      <c r="P172" s="35"/>
      <c r="Q172" s="64"/>
      <c r="R172" s="64"/>
      <c r="S172" s="64"/>
      <c r="T172" s="64"/>
      <c r="U172" s="64"/>
    </row>
    <row r="173" spans="1:21" s="60" customFormat="1" ht="15" thickBot="1" x14ac:dyDescent="0.4">
      <c r="A173" s="5063"/>
      <c r="B173" s="5064"/>
      <c r="C173" s="5064"/>
      <c r="D173" s="5064"/>
      <c r="E173" s="5064"/>
      <c r="F173" s="5064"/>
      <c r="G173" s="5064"/>
      <c r="H173" s="5064"/>
      <c r="I173" s="5064"/>
      <c r="J173" s="5064"/>
      <c r="K173" s="5065"/>
      <c r="L173" s="64"/>
      <c r="M173" s="5334"/>
      <c r="N173" s="5468"/>
      <c r="O173" s="5469"/>
      <c r="P173" s="64"/>
      <c r="Q173" s="64"/>
      <c r="R173" s="64"/>
      <c r="S173" s="64"/>
      <c r="T173" s="64"/>
      <c r="U173" s="64"/>
    </row>
    <row r="174" spans="1:21" s="60" customFormat="1" ht="15" thickTop="1" x14ac:dyDescent="0.35">
      <c r="A174" s="64"/>
      <c r="B174" s="64"/>
      <c r="C174" s="64"/>
      <c r="D174" s="64"/>
      <c r="E174" s="64"/>
      <c r="F174" s="64"/>
      <c r="G174" s="64"/>
      <c r="H174" s="64"/>
      <c r="I174" s="64"/>
      <c r="J174" s="64"/>
      <c r="K174" s="64"/>
      <c r="L174" s="64"/>
      <c r="M174" s="64"/>
      <c r="N174" s="64"/>
      <c r="O174" s="64"/>
      <c r="P174" s="64"/>
      <c r="Q174" s="64"/>
      <c r="R174" s="64"/>
      <c r="S174" s="64"/>
      <c r="T174" s="64"/>
    </row>
    <row r="175" spans="1:21" x14ac:dyDescent="0.35">
      <c r="A175" s="512"/>
      <c r="B175" s="512"/>
      <c r="C175" s="512"/>
      <c r="D175" s="512"/>
      <c r="E175" s="512"/>
      <c r="F175" s="512"/>
      <c r="G175" s="512"/>
      <c r="H175" s="512"/>
      <c r="I175" s="512"/>
      <c r="J175" s="512"/>
      <c r="K175" s="512"/>
      <c r="L175" s="512"/>
      <c r="M175" s="512"/>
      <c r="N175" s="530"/>
      <c r="O175" s="512"/>
      <c r="P175" s="512"/>
      <c r="Q175" s="512"/>
      <c r="R175" s="512"/>
      <c r="S175" s="512"/>
      <c r="T175" s="512"/>
    </row>
  </sheetData>
  <mergeCells count="102">
    <mergeCell ref="D1:G1"/>
    <mergeCell ref="I1:J1"/>
    <mergeCell ref="L1:M1"/>
    <mergeCell ref="D2:G2"/>
    <mergeCell ref="I2:J2"/>
    <mergeCell ref="L2:M2"/>
    <mergeCell ref="D8:G8"/>
    <mergeCell ref="D9:G9"/>
    <mergeCell ref="A10:C11"/>
    <mergeCell ref="D10:G11"/>
    <mergeCell ref="D3:G3"/>
    <mergeCell ref="A13:F13"/>
    <mergeCell ref="A14:F14"/>
    <mergeCell ref="G14:L14"/>
    <mergeCell ref="A4:G4"/>
    <mergeCell ref="H4:P4"/>
    <mergeCell ref="A5:B5"/>
    <mergeCell ref="C5:P5"/>
    <mergeCell ref="A7:G7"/>
    <mergeCell ref="J7:O7"/>
    <mergeCell ref="A20:F20"/>
    <mergeCell ref="A21:F21"/>
    <mergeCell ref="A22:F22"/>
    <mergeCell ref="A23:L23"/>
    <mergeCell ref="N23:S23"/>
    <mergeCell ref="A24:F24"/>
    <mergeCell ref="N14:S14"/>
    <mergeCell ref="A15:F15"/>
    <mergeCell ref="A16:F16"/>
    <mergeCell ref="A17:F17"/>
    <mergeCell ref="A18:F18"/>
    <mergeCell ref="A19:F19"/>
    <mergeCell ref="N40:S40"/>
    <mergeCell ref="A41:F41"/>
    <mergeCell ref="N31:S31"/>
    <mergeCell ref="A32:F32"/>
    <mergeCell ref="A33:F33"/>
    <mergeCell ref="A34:F34"/>
    <mergeCell ref="A35:F35"/>
    <mergeCell ref="A36:F36"/>
    <mergeCell ref="A25:F25"/>
    <mergeCell ref="A26:F26"/>
    <mergeCell ref="A28:F28"/>
    <mergeCell ref="A30:F30"/>
    <mergeCell ref="A31:F31"/>
    <mergeCell ref="G31:L31"/>
    <mergeCell ref="A42:F42"/>
    <mergeCell ref="A43:F43"/>
    <mergeCell ref="A45:F45"/>
    <mergeCell ref="A47:F47"/>
    <mergeCell ref="A48:F48"/>
    <mergeCell ref="A49:F49"/>
    <mergeCell ref="A37:F37"/>
    <mergeCell ref="A38:F38"/>
    <mergeCell ref="A39:F39"/>
    <mergeCell ref="A40:L40"/>
    <mergeCell ref="A56:F56"/>
    <mergeCell ref="A57:F57"/>
    <mergeCell ref="A58:F58"/>
    <mergeCell ref="A60:F60"/>
    <mergeCell ref="A61:F61"/>
    <mergeCell ref="A63:F63"/>
    <mergeCell ref="A50:F50"/>
    <mergeCell ref="A51:F51"/>
    <mergeCell ref="A52:F52"/>
    <mergeCell ref="A53:F53"/>
    <mergeCell ref="A54:F54"/>
    <mergeCell ref="A55:M55"/>
    <mergeCell ref="A71:F71"/>
    <mergeCell ref="A72:F72"/>
    <mergeCell ref="A73:F73"/>
    <mergeCell ref="A74:L74"/>
    <mergeCell ref="N74:S74"/>
    <mergeCell ref="A75:F75"/>
    <mergeCell ref="A65:F65"/>
    <mergeCell ref="A66:F66"/>
    <mergeCell ref="A67:F67"/>
    <mergeCell ref="A68:F68"/>
    <mergeCell ref="A69:F69"/>
    <mergeCell ref="A70:F70"/>
    <mergeCell ref="D114:F114"/>
    <mergeCell ref="D115:F115"/>
    <mergeCell ref="D116:F116"/>
    <mergeCell ref="D117:F117"/>
    <mergeCell ref="D118:F118"/>
    <mergeCell ref="D119:F119"/>
    <mergeCell ref="A76:F76"/>
    <mergeCell ref="D110:L110"/>
    <mergeCell ref="N110:S110"/>
    <mergeCell ref="D111:F111"/>
    <mergeCell ref="D112:F112"/>
    <mergeCell ref="D113:F113"/>
    <mergeCell ref="A167:K167"/>
    <mergeCell ref="A168:K173"/>
    <mergeCell ref="M168:O168"/>
    <mergeCell ref="M169:O173"/>
    <mergeCell ref="D120:F120"/>
    <mergeCell ref="D121:F121"/>
    <mergeCell ref="A160:K160"/>
    <mergeCell ref="M160:O160"/>
    <mergeCell ref="A161:K165"/>
    <mergeCell ref="M161:O16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3F00-000000000000}">
      <formula1>AvancementTheme</formula1>
    </dataValidation>
  </dataValidations>
  <hyperlinks>
    <hyperlink ref="O1" location="DPDV_02MV2" display="PdV" xr:uid="{00000000-0004-0000-3F00-000000000000}"/>
    <hyperlink ref="P1" location="DKPI_02MV2" display="KPI's" xr:uid="{00000000-0004-0000-3F00-000001000000}"/>
  </hyperlinks>
  <pageMargins left="0.70866141732283472" right="0.70866141732283472" top="0.74803149606299213" bottom="0.74803149606299213" header="0.31496062992125984" footer="0.31496062992125984"/>
  <pageSetup paperSize="9" scale="38"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70">
    <tabColor rgb="FF92D050"/>
    <pageSetUpPr fitToPage="1"/>
  </sheetPr>
  <dimension ref="A1:V164"/>
  <sheetViews>
    <sheetView showGridLines="0" showRowColHeaders="0" showZeros="0" zoomScaleNormal="100" workbookViewId="0">
      <pane ySplit="5" topLeftCell="A6" activePane="bottomLeft" state="frozen"/>
      <selection activeCell="H7" sqref="H7"/>
      <selection pane="bottomLeft" activeCell="D7" sqref="D7:K7"/>
    </sheetView>
  </sheetViews>
  <sheetFormatPr baseColWidth="10" defaultColWidth="11.453125" defaultRowHeight="13" x14ac:dyDescent="0.3"/>
  <cols>
    <col min="1" max="2" width="9.1796875" style="116" customWidth="1"/>
    <col min="3" max="3" width="13" style="116" customWidth="1"/>
    <col min="4" max="5" width="10.26953125" style="116" customWidth="1"/>
    <col min="6" max="17" width="9.1796875" style="116" customWidth="1"/>
    <col min="18" max="16384" width="11.453125" style="116"/>
  </cols>
  <sheetData>
    <row r="1" spans="1:22" s="54" customFormat="1" ht="15" customHeight="1" x14ac:dyDescent="0.35">
      <c r="A1" s="1570"/>
      <c r="B1" s="1570"/>
      <c r="C1" s="1570"/>
      <c r="D1" s="3341" t="s">
        <v>5</v>
      </c>
      <c r="E1" s="3341"/>
      <c r="F1" s="3341"/>
      <c r="G1" s="3341"/>
      <c r="H1" s="391"/>
      <c r="I1" s="3341" t="s">
        <v>6</v>
      </c>
      <c r="J1" s="3341"/>
      <c r="K1" s="1570"/>
      <c r="L1" s="3341" t="s">
        <v>9</v>
      </c>
      <c r="M1" s="3341"/>
      <c r="N1" s="1570"/>
      <c r="O1" s="479" t="s">
        <v>2</v>
      </c>
      <c r="P1" s="479" t="s">
        <v>3</v>
      </c>
      <c r="Q1" s="458"/>
      <c r="R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42419.899629629632</v>
      </c>
      <c r="M2" s="3348"/>
      <c r="N2" s="394"/>
      <c r="O2" s="451">
        <f>IF(LEN(DPDV_02OP2)&gt;0,LEN(DPDV_02OP2),0-PDV_NBmini)</f>
        <v>141</v>
      </c>
      <c r="P2" s="2306">
        <f>IF(LEN(DKPI_02OP2)&gt;0,LEN(DKPI_02OP2),0-KPI_NBmini)</f>
        <v>101</v>
      </c>
      <c r="Q2" s="459"/>
      <c r="R2" s="459"/>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806" t="str">
        <f>Parametre!B24  &amp; "  : "</f>
        <v xml:space="preserve">Vision, Attente &amp; Stratégie  : </v>
      </c>
      <c r="B4" s="5806"/>
      <c r="C4" s="5806"/>
      <c r="D4" s="5806"/>
      <c r="E4" s="5806"/>
      <c r="F4" s="5806"/>
      <c r="G4" s="5806"/>
      <c r="H4" s="5807" t="str">
        <f>"Opportunité de revenus pour les partenaires pour " &amp;NomProd2</f>
        <v>Opportunité de revenus pour les partenaires pour ASEMA</v>
      </c>
      <c r="I4" s="5807"/>
      <c r="J4" s="5807"/>
      <c r="K4" s="5807"/>
      <c r="L4" s="5807"/>
      <c r="M4" s="5807"/>
      <c r="N4" s="5807"/>
      <c r="O4" s="5807"/>
      <c r="P4" s="5808"/>
      <c r="Q4" s="444"/>
      <c r="R4" s="444"/>
    </row>
    <row r="5" spans="1:22" s="193" customFormat="1" ht="25.5" customHeight="1" thickBot="1" x14ac:dyDescent="0.4">
      <c r="A5" s="3438" t="s">
        <v>14</v>
      </c>
      <c r="B5" s="3438"/>
      <c r="C5" s="3508" t="s">
        <v>1007</v>
      </c>
      <c r="D5" s="3508"/>
      <c r="E5" s="3508"/>
      <c r="F5" s="3508"/>
      <c r="G5" s="3508"/>
      <c r="H5" s="3508"/>
      <c r="I5" s="3508"/>
      <c r="J5" s="3508"/>
      <c r="K5" s="3508"/>
      <c r="L5" s="3508"/>
      <c r="M5" s="3508"/>
      <c r="N5" s="3508"/>
      <c r="O5" s="3508"/>
      <c r="P5" s="3508"/>
      <c r="Q5" s="460"/>
      <c r="R5" s="460"/>
    </row>
    <row r="6" spans="1:22" s="216" customFormat="1" ht="51.75" customHeight="1" thickTop="1" x14ac:dyDescent="0.35">
      <c r="A6" s="5891" t="s">
        <v>1650</v>
      </c>
      <c r="B6" s="5892"/>
      <c r="C6" s="5892"/>
      <c r="D6" s="5892" t="s">
        <v>777</v>
      </c>
      <c r="E6" s="5892"/>
      <c r="F6" s="506">
        <f>AnReference-1</f>
        <v>2017</v>
      </c>
      <c r="G6" s="506">
        <f>AnReference</f>
        <v>2018</v>
      </c>
      <c r="H6" s="506">
        <f>IF(NbAnVision&gt;=1,AnReference+1,"NA")</f>
        <v>2019</v>
      </c>
      <c r="I6" s="506">
        <f>IF(NbAnVision&gt;=2,AnReference+2,"NA")</f>
        <v>2020</v>
      </c>
      <c r="J6" s="1093">
        <f>IF(NbAnVision&gt;=3,AnReference+3,"NA")</f>
        <v>2021</v>
      </c>
      <c r="K6" s="1074" t="s">
        <v>822</v>
      </c>
      <c r="L6" s="612"/>
      <c r="M6" s="612"/>
      <c r="N6" s="612"/>
      <c r="O6" s="612"/>
      <c r="P6" s="612"/>
      <c r="Q6" s="612"/>
      <c r="R6" s="612"/>
    </row>
    <row r="7" spans="1:22" s="217" customFormat="1" ht="25.5" customHeight="1" x14ac:dyDescent="0.35">
      <c r="A7" s="5893" t="s">
        <v>1006</v>
      </c>
      <c r="B7" s="5894"/>
      <c r="C7" s="5894"/>
      <c r="D7" s="5895" t="s">
        <v>1450</v>
      </c>
      <c r="E7" s="5896"/>
      <c r="F7" s="5896"/>
      <c r="G7" s="5896"/>
      <c r="H7" s="5896"/>
      <c r="I7" s="5896"/>
      <c r="J7" s="5896"/>
      <c r="K7" s="5897"/>
      <c r="L7" s="613"/>
      <c r="M7" s="613"/>
      <c r="N7" s="613"/>
      <c r="O7" s="613"/>
      <c r="P7" s="613"/>
      <c r="Q7" s="613"/>
      <c r="R7" s="613"/>
    </row>
    <row r="8" spans="1:22" s="218" customFormat="1" ht="15" customHeight="1" x14ac:dyDescent="0.35">
      <c r="A8" s="5881" t="str">
        <f>'02-SALESPLAN-OFR2'!A15:F15</f>
        <v>Ventes directes seules</v>
      </c>
      <c r="B8" s="5882"/>
      <c r="C8" s="5882"/>
      <c r="D8" s="4623">
        <v>0</v>
      </c>
      <c r="E8" s="4623"/>
      <c r="F8" s="1174">
        <v>0</v>
      </c>
      <c r="G8" s="1174">
        <v>0</v>
      </c>
      <c r="H8" s="1174">
        <v>0</v>
      </c>
      <c r="I8" s="1174">
        <v>0</v>
      </c>
      <c r="J8" s="1175">
        <v>0</v>
      </c>
      <c r="K8" s="1176">
        <f t="shared" ref="K8:K15" si="0">SUM(G8:J8)</f>
        <v>0</v>
      </c>
      <c r="L8" s="587"/>
      <c r="M8" s="587"/>
      <c r="N8" s="587"/>
      <c r="O8" s="587"/>
      <c r="P8" s="587"/>
      <c r="Q8" s="587"/>
      <c r="R8" s="587"/>
    </row>
    <row r="9" spans="1:22" s="218" customFormat="1" ht="15" customHeight="1" x14ac:dyDescent="0.35">
      <c r="A9" s="5881" t="str">
        <f>'02-SALESPLAN-OFR2'!A16:F16</f>
        <v>ESN</v>
      </c>
      <c r="B9" s="5882"/>
      <c r="C9" s="5882"/>
      <c r="D9" s="5883">
        <v>0.2</v>
      </c>
      <c r="E9" s="5883"/>
      <c r="F9" s="1980">
        <f>'02-SALESPLAN-OFR2'!G16*$D9</f>
        <v>0</v>
      </c>
      <c r="G9" s="1980">
        <f>'02-SALESPLAN-OFR2'!H16*$D9</f>
        <v>0</v>
      </c>
      <c r="H9" s="1980">
        <f>'02-SALESPLAN-OFR2'!I16*$D9</f>
        <v>0</v>
      </c>
      <c r="I9" s="1980">
        <f>'02-SALESPLAN-OFR2'!J16*$D9</f>
        <v>0</v>
      </c>
      <c r="J9" s="1980">
        <f>'02-SALESPLAN-OFR2'!K16*$D9</f>
        <v>0</v>
      </c>
      <c r="K9" s="1981">
        <f t="shared" si="0"/>
        <v>0</v>
      </c>
      <c r="L9" s="587"/>
      <c r="M9" s="587"/>
      <c r="N9" s="587"/>
      <c r="O9" s="587"/>
      <c r="P9" s="587"/>
      <c r="Q9" s="587"/>
      <c r="R9" s="587"/>
    </row>
    <row r="10" spans="1:22" s="218" customFormat="1" ht="15" customHeight="1" x14ac:dyDescent="0.35">
      <c r="A10" s="5881" t="str">
        <f>'02-SALESPLAN-OFR2'!A17:F17</f>
        <v>Centres de contact</v>
      </c>
      <c r="B10" s="5882"/>
      <c r="C10" s="5882"/>
      <c r="D10" s="5883">
        <v>0.2</v>
      </c>
      <c r="E10" s="5883"/>
      <c r="F10" s="1980">
        <f>'02-SALESPLAN-OFR2'!G17*$D10</f>
        <v>0</v>
      </c>
      <c r="G10" s="1980">
        <f>'02-SALESPLAN-OFR2'!H17*$D10</f>
        <v>0</v>
      </c>
      <c r="H10" s="1980">
        <f>'02-SALESPLAN-OFR2'!I17*$D10</f>
        <v>0</v>
      </c>
      <c r="I10" s="1980">
        <f>'02-SALESPLAN-OFR2'!J17*$D10</f>
        <v>0</v>
      </c>
      <c r="J10" s="1980">
        <f>'02-SALESPLAN-OFR2'!K17*$D10</f>
        <v>0</v>
      </c>
      <c r="K10" s="1981">
        <f t="shared" si="0"/>
        <v>0</v>
      </c>
      <c r="L10" s="587"/>
      <c r="M10" s="587"/>
      <c r="N10" s="587"/>
      <c r="O10" s="587"/>
      <c r="P10" s="587"/>
      <c r="Q10" s="587"/>
      <c r="R10" s="587"/>
    </row>
    <row r="11" spans="1:22" s="218" customFormat="1" ht="15" customHeight="1" x14ac:dyDescent="0.35">
      <c r="A11" s="5881" t="str">
        <f>'02-SALESPLAN-OFR2'!A18:F18</f>
        <v>Vars Nationaux</v>
      </c>
      <c r="B11" s="5882"/>
      <c r="C11" s="5882"/>
      <c r="D11" s="5883">
        <v>0.2</v>
      </c>
      <c r="E11" s="5883"/>
      <c r="F11" s="1980">
        <f>'02-SALESPLAN-OFR2'!G18*$D11</f>
        <v>0</v>
      </c>
      <c r="G11" s="1980">
        <f>'02-SALESPLAN-OFR2'!H18*$D11</f>
        <v>0</v>
      </c>
      <c r="H11" s="1980">
        <f>'02-SALESPLAN-OFR2'!I18*$D11</f>
        <v>0</v>
      </c>
      <c r="I11" s="1980">
        <f>'02-SALESPLAN-OFR2'!J18*$D11</f>
        <v>0</v>
      </c>
      <c r="J11" s="1980">
        <f>'02-SALESPLAN-OFR2'!K18*$D11</f>
        <v>0</v>
      </c>
      <c r="K11" s="1981">
        <f t="shared" si="0"/>
        <v>0</v>
      </c>
      <c r="L11" s="587"/>
      <c r="M11" s="587"/>
      <c r="N11" s="587"/>
      <c r="O11" s="587"/>
      <c r="P11" s="587"/>
      <c r="Q11" s="587"/>
      <c r="R11" s="587"/>
    </row>
    <row r="12" spans="1:22" s="218" customFormat="1" ht="15" customHeight="1" x14ac:dyDescent="0.35">
      <c r="A12" s="5881" t="str">
        <f>'02-SALESPLAN-OFR2'!A19:F19</f>
        <v>Editeurs</v>
      </c>
      <c r="B12" s="5882"/>
      <c r="C12" s="5882"/>
      <c r="D12" s="5883">
        <v>0.2</v>
      </c>
      <c r="E12" s="5883"/>
      <c r="F12" s="1980">
        <f>'02-SALESPLAN-OFR2'!G19*$D12</f>
        <v>0</v>
      </c>
      <c r="G12" s="1980">
        <f>'02-SALESPLAN-OFR2'!H19*$D12</f>
        <v>0</v>
      </c>
      <c r="H12" s="1980">
        <f>'02-SALESPLAN-OFR2'!I19*$D12</f>
        <v>0</v>
      </c>
      <c r="I12" s="1980">
        <f>'02-SALESPLAN-OFR2'!J19*$D12</f>
        <v>0</v>
      </c>
      <c r="J12" s="1980">
        <f>'02-SALESPLAN-OFR2'!K19*$D12</f>
        <v>0</v>
      </c>
      <c r="K12" s="1981">
        <f t="shared" si="0"/>
        <v>0</v>
      </c>
      <c r="L12" s="587"/>
      <c r="M12" s="587"/>
      <c r="N12" s="587"/>
      <c r="O12" s="587"/>
      <c r="P12" s="587"/>
      <c r="Q12" s="587"/>
      <c r="R12" s="587"/>
    </row>
    <row r="13" spans="1:22" s="218" customFormat="1" ht="15" customHeight="1" x14ac:dyDescent="0.35">
      <c r="A13" s="5881" t="str">
        <f>'02-SALESPLAN-OFR2'!A20:F20</f>
        <v>Web Agencies</v>
      </c>
      <c r="B13" s="5882"/>
      <c r="C13" s="5882"/>
      <c r="D13" s="5883">
        <v>0.2</v>
      </c>
      <c r="E13" s="5883"/>
      <c r="F13" s="1980">
        <f>'02-SALESPLAN-OFR2'!G20*$D13</f>
        <v>0</v>
      </c>
      <c r="G13" s="1980">
        <f>'02-SALESPLAN-OFR2'!H20*$D13</f>
        <v>0</v>
      </c>
      <c r="H13" s="1980">
        <f>'02-SALESPLAN-OFR2'!I20*$D13</f>
        <v>0</v>
      </c>
      <c r="I13" s="1980">
        <f>'02-SALESPLAN-OFR2'!J20*$D13</f>
        <v>0</v>
      </c>
      <c r="J13" s="1980">
        <f>'02-SALESPLAN-OFR2'!K20*$D13</f>
        <v>0</v>
      </c>
      <c r="K13" s="1981">
        <f t="shared" si="0"/>
        <v>0</v>
      </c>
      <c r="L13" s="587"/>
      <c r="M13" s="587"/>
      <c r="N13" s="587"/>
      <c r="O13" s="587"/>
      <c r="P13" s="587"/>
      <c r="Q13" s="587"/>
      <c r="R13" s="587"/>
    </row>
    <row r="14" spans="1:22" s="218" customFormat="1" ht="15" customHeight="1" x14ac:dyDescent="0.35">
      <c r="A14" s="5881" t="str">
        <f>'02-SALESPLAN-OFR2'!A21:F21</f>
        <v>Constructeurs</v>
      </c>
      <c r="B14" s="5882"/>
      <c r="C14" s="5882"/>
      <c r="D14" s="5883">
        <v>0.2</v>
      </c>
      <c r="E14" s="5883"/>
      <c r="F14" s="1980">
        <f>'02-SALESPLAN-OFR2'!G21*$D14</f>
        <v>0</v>
      </c>
      <c r="G14" s="1980">
        <f>'02-SALESPLAN-OFR2'!H21*$D14</f>
        <v>0</v>
      </c>
      <c r="H14" s="1980">
        <f>'02-SALESPLAN-OFR2'!I21*$D14</f>
        <v>0</v>
      </c>
      <c r="I14" s="1980">
        <f>'02-SALESPLAN-OFR2'!J21*$D14</f>
        <v>0</v>
      </c>
      <c r="J14" s="1980">
        <f>'02-SALESPLAN-OFR2'!K21*$D14</f>
        <v>0</v>
      </c>
      <c r="K14" s="1981">
        <f t="shared" si="0"/>
        <v>0</v>
      </c>
      <c r="L14" s="587"/>
      <c r="M14" s="587"/>
      <c r="N14" s="587"/>
      <c r="O14" s="587"/>
      <c r="P14" s="587"/>
      <c r="Q14" s="587"/>
      <c r="R14" s="587"/>
    </row>
    <row r="15" spans="1:22" s="218" customFormat="1" ht="15" customHeight="1" x14ac:dyDescent="0.35">
      <c r="A15" s="5881" t="str">
        <f>'02-SALESPLAN-OFR2'!A22:F22</f>
        <v>Hébergeurs</v>
      </c>
      <c r="B15" s="5882"/>
      <c r="C15" s="5882"/>
      <c r="D15" s="5884"/>
      <c r="E15" s="5885"/>
      <c r="F15" s="1980">
        <f>'02-SALESPLAN-OFR2'!G22*$D15</f>
        <v>0</v>
      </c>
      <c r="G15" s="1980">
        <f>'02-SALESPLAN-OFR2'!H22*$D15</f>
        <v>0</v>
      </c>
      <c r="H15" s="1980">
        <f>'02-SALESPLAN-OFR2'!I22*$D15</f>
        <v>0</v>
      </c>
      <c r="I15" s="1980">
        <f>'02-SALESPLAN-OFR2'!J22*$D15</f>
        <v>0</v>
      </c>
      <c r="J15" s="1980">
        <f>'02-SALESPLAN-OFR2'!K22*$D15</f>
        <v>0</v>
      </c>
      <c r="K15" s="1981">
        <f t="shared" si="0"/>
        <v>0</v>
      </c>
      <c r="L15" s="587"/>
      <c r="M15" s="587"/>
      <c r="N15" s="587"/>
      <c r="O15" s="587"/>
      <c r="P15" s="587"/>
      <c r="Q15" s="587"/>
      <c r="R15" s="587"/>
    </row>
    <row r="16" spans="1:22" s="218" customFormat="1" ht="9" customHeight="1" x14ac:dyDescent="0.35">
      <c r="A16" s="5886"/>
      <c r="B16" s="5887"/>
      <c r="C16" s="5887"/>
      <c r="D16" s="5887"/>
      <c r="E16" s="5887"/>
      <c r="F16" s="5887"/>
      <c r="G16" s="5887"/>
      <c r="H16" s="5887"/>
      <c r="I16" s="5887"/>
      <c r="J16" s="5887"/>
      <c r="K16" s="5888"/>
      <c r="L16" s="587"/>
      <c r="M16" s="587"/>
      <c r="N16" s="587"/>
      <c r="O16" s="587"/>
      <c r="P16" s="587"/>
      <c r="Q16" s="587"/>
      <c r="R16" s="587"/>
    </row>
    <row r="17" spans="1:18" s="218" customFormat="1" ht="18" customHeight="1" thickBot="1" x14ac:dyDescent="0.4">
      <c r="A17" s="5889" t="s">
        <v>1158</v>
      </c>
      <c r="B17" s="5890"/>
      <c r="C17" s="5890"/>
      <c r="D17" s="5890"/>
      <c r="E17" s="5890"/>
      <c r="F17" s="1796">
        <f>SUM(F8:F15)</f>
        <v>0</v>
      </c>
      <c r="G17" s="1982">
        <f>SUM(G8:G16)</f>
        <v>0</v>
      </c>
      <c r="H17" s="1982">
        <f>SUM(H8:H16)</f>
        <v>0</v>
      </c>
      <c r="I17" s="1982">
        <f>SUM(I8:I16)</f>
        <v>0</v>
      </c>
      <c r="J17" s="1983">
        <f>SUM(J8:J16)</f>
        <v>0</v>
      </c>
      <c r="K17" s="1797">
        <f>SUM(K8:K16)</f>
        <v>0</v>
      </c>
      <c r="L17" s="587"/>
      <c r="M17" s="587"/>
      <c r="N17" s="587"/>
      <c r="O17" s="587"/>
      <c r="P17" s="587"/>
      <c r="Q17" s="587"/>
      <c r="R17" s="587"/>
    </row>
    <row r="18" spans="1:18" s="218" customFormat="1" ht="18" customHeight="1" thickTop="1" x14ac:dyDescent="0.35">
      <c r="A18" s="587"/>
      <c r="B18" s="587"/>
      <c r="C18" s="587"/>
      <c r="D18" s="548"/>
      <c r="E18" s="548"/>
      <c r="F18" s="618"/>
      <c r="G18" s="619"/>
      <c r="H18" s="619"/>
      <c r="I18" s="619"/>
      <c r="J18" s="619"/>
      <c r="K18" s="620"/>
      <c r="L18" s="587"/>
      <c r="M18" s="587"/>
      <c r="N18" s="587"/>
      <c r="O18" s="587"/>
      <c r="P18" s="587"/>
      <c r="Q18" s="587"/>
      <c r="R18" s="587"/>
    </row>
    <row r="19" spans="1:18" s="218" customFormat="1" ht="18" hidden="1" customHeight="1" x14ac:dyDescent="0.35">
      <c r="A19" s="587"/>
      <c r="B19" s="587"/>
      <c r="C19" s="587"/>
      <c r="D19" s="548"/>
      <c r="E19" s="548"/>
      <c r="F19" s="618"/>
      <c r="G19" s="619"/>
      <c r="H19" s="619"/>
      <c r="I19" s="619"/>
      <c r="J19" s="619"/>
      <c r="K19" s="620"/>
      <c r="L19" s="587"/>
      <c r="M19" s="587"/>
      <c r="N19" s="587"/>
      <c r="O19" s="587"/>
      <c r="P19" s="587"/>
      <c r="Q19" s="587"/>
      <c r="R19" s="587"/>
    </row>
    <row r="20" spans="1:18" s="218" customFormat="1" ht="9.75" customHeight="1" thickBot="1" x14ac:dyDescent="0.4">
      <c r="A20" s="587"/>
      <c r="B20" s="587"/>
      <c r="C20" s="587"/>
      <c r="D20" s="548"/>
      <c r="E20" s="548"/>
      <c r="F20" s="618"/>
      <c r="G20" s="619"/>
      <c r="H20" s="619"/>
      <c r="I20" s="619"/>
      <c r="J20" s="619"/>
      <c r="K20" s="620"/>
      <c r="L20" s="587"/>
      <c r="M20" s="587"/>
      <c r="N20" s="587"/>
      <c r="O20" s="587"/>
      <c r="P20" s="587"/>
      <c r="Q20" s="587"/>
      <c r="R20" s="587"/>
    </row>
    <row r="21" spans="1:18" s="219" customFormat="1" ht="38.25" customHeight="1" thickTop="1" x14ac:dyDescent="0.35">
      <c r="A21" s="5891" t="s">
        <v>1650</v>
      </c>
      <c r="B21" s="5892"/>
      <c r="C21" s="5892"/>
      <c r="D21" s="5892" t="s">
        <v>776</v>
      </c>
      <c r="E21" s="5892"/>
      <c r="F21" s="1579">
        <f t="shared" ref="F21:K21" si="1">F6</f>
        <v>2017</v>
      </c>
      <c r="G21" s="1579">
        <f t="shared" si="1"/>
        <v>2018</v>
      </c>
      <c r="H21" s="1579">
        <f t="shared" si="1"/>
        <v>2019</v>
      </c>
      <c r="I21" s="1579">
        <f t="shared" si="1"/>
        <v>2020</v>
      </c>
      <c r="J21" s="621">
        <f t="shared" si="1"/>
        <v>2021</v>
      </c>
      <c r="K21" s="1077" t="str">
        <f t="shared" si="1"/>
        <v xml:space="preserve">Total </v>
      </c>
      <c r="L21" s="5855" t="s">
        <v>762</v>
      </c>
      <c r="M21" s="5855"/>
      <c r="N21" s="5855"/>
      <c r="O21" s="5855"/>
      <c r="P21" s="5855"/>
      <c r="Q21" s="5856"/>
      <c r="R21" s="622"/>
    </row>
    <row r="22" spans="1:18" s="218" customFormat="1" ht="28.5" customHeight="1" thickBot="1" x14ac:dyDescent="0.4">
      <c r="A22" s="5876" t="s">
        <v>774</v>
      </c>
      <c r="B22" s="5877"/>
      <c r="C22" s="5877"/>
      <c r="D22" s="623" t="s">
        <v>775</v>
      </c>
      <c r="E22" s="623" t="s">
        <v>842</v>
      </c>
      <c r="F22" s="5878" t="s">
        <v>1241</v>
      </c>
      <c r="G22" s="5879"/>
      <c r="H22" s="5879"/>
      <c r="I22" s="5879"/>
      <c r="J22" s="5880"/>
      <c r="K22" s="1083"/>
      <c r="L22" s="624"/>
      <c r="M22" s="624"/>
      <c r="N22" s="624"/>
      <c r="O22" s="624"/>
      <c r="P22" s="624"/>
      <c r="Q22" s="625"/>
      <c r="R22" s="531"/>
    </row>
    <row r="23" spans="1:18" s="218" customFormat="1" ht="22.5" customHeight="1" thickBot="1" x14ac:dyDescent="0.4">
      <c r="A23" s="5876"/>
      <c r="B23" s="5877"/>
      <c r="C23" s="5877"/>
      <c r="D23" s="659">
        <v>0.2</v>
      </c>
      <c r="E23" s="659">
        <v>0.1</v>
      </c>
      <c r="F23" s="626"/>
      <c r="G23" s="1481"/>
      <c r="H23" s="1481"/>
      <c r="I23" s="1481"/>
      <c r="J23" s="1482"/>
      <c r="K23" s="1084"/>
      <c r="L23" s="627"/>
      <c r="M23" s="628">
        <f>F21</f>
        <v>2017</v>
      </c>
      <c r="N23" s="629">
        <f>G21</f>
        <v>2018</v>
      </c>
      <c r="O23" s="629">
        <f>H21</f>
        <v>2019</v>
      </c>
      <c r="P23" s="629">
        <f>I21</f>
        <v>2020</v>
      </c>
      <c r="Q23" s="630">
        <f>J21</f>
        <v>2021</v>
      </c>
      <c r="R23" s="531"/>
    </row>
    <row r="24" spans="1:18" s="218" customFormat="1" ht="15" customHeight="1" x14ac:dyDescent="0.35">
      <c r="A24" s="5859" t="str">
        <f t="shared" ref="A24:A31" si="2">A8</f>
        <v>Ventes directes seules</v>
      </c>
      <c r="B24" s="5860"/>
      <c r="C24" s="5860"/>
      <c r="D24" s="4623">
        <v>0</v>
      </c>
      <c r="E24" s="4623"/>
      <c r="F24" s="1174">
        <v>0</v>
      </c>
      <c r="G24" s="1174">
        <v>0</v>
      </c>
      <c r="H24" s="1174">
        <v>0</v>
      </c>
      <c r="I24" s="1174">
        <v>0</v>
      </c>
      <c r="J24" s="1175">
        <v>0</v>
      </c>
      <c r="K24" s="1176">
        <v>0</v>
      </c>
      <c r="L24" s="5861"/>
      <c r="M24" s="632" t="str">
        <f t="shared" ref="M24:M31" si="3">IF($F$33=0,"",F24/$F$33)</f>
        <v/>
      </c>
      <c r="N24" s="633" t="str">
        <f t="shared" ref="N24:N31" si="4">IF($G$33=0,"",G24/$G$33)</f>
        <v/>
      </c>
      <c r="O24" s="633" t="str">
        <f t="shared" ref="O24:O31" si="5">IF($H$33=0,"",H24/$H$33)</f>
        <v/>
      </c>
      <c r="P24" s="633" t="str">
        <f t="shared" ref="P24:P31" si="6">IF($I$33=0,"",I24/$I$33)</f>
        <v/>
      </c>
      <c r="Q24" s="634" t="str">
        <f t="shared" ref="Q24:Q31" si="7">IF($J$33=0,"",J24/$J$33)</f>
        <v/>
      </c>
      <c r="R24" s="635"/>
    </row>
    <row r="25" spans="1:18" s="218" customFormat="1" ht="15" customHeight="1" x14ac:dyDescent="0.35">
      <c r="A25" s="5859" t="str">
        <f t="shared" si="2"/>
        <v>ESN</v>
      </c>
      <c r="B25" s="5860"/>
      <c r="C25" s="5860"/>
      <c r="D25" s="631"/>
      <c r="E25" s="631"/>
      <c r="F25" s="1987">
        <f>'02-SALESPLAN-OFR2'!G33*'02-BUSINESS4PARTNER-OFR2'!$D$23</f>
        <v>0</v>
      </c>
      <c r="G25" s="1987">
        <f>('02-SALESPLAN-OFR2'!H33*'02-BUSINESS4PARTNER-OFR2'!$D$23)+(E23*'02-SALESPLAN-OFR2'!G33)</f>
        <v>0</v>
      </c>
      <c r="H25" s="1987">
        <f>('02-SALESPLAN-OFR2'!I33*'02-BUSINESS4PARTNER-OFR2'!$D$23)+(E23*('02-SALESPLAN-OFR2'!G33+'02-SALESPLAN-OFR2'!H33))</f>
        <v>0</v>
      </c>
      <c r="I25" s="1987">
        <f>('02-SALESPLAN-OFR2'!J33*'02-BUSINESS4PARTNER-OFR2'!$D$23)+(E23*('02-SALESPLAN-OFR2'!G33+'02-SALESPLAN-OFR2'!H33+'02-SALESPLAN-OFR2'!I33))</f>
        <v>0</v>
      </c>
      <c r="J25" s="1987">
        <f>('02-SALESPLAN-OFR2'!K33*'02-BUSINESS4PARTNER-OFR2'!$D$23)+(E23*('02-SALESPLAN-OFR2'!H33+'02-SALESPLAN-OFR2'!I33+'02-SALESPLAN-OFR2'!J33+'02-SALESPLAN-OFR2'!G33))</f>
        <v>0</v>
      </c>
      <c r="K25" s="1988">
        <f>SUM(F25:J25)</f>
        <v>0</v>
      </c>
      <c r="L25" s="5861"/>
      <c r="M25" s="636" t="str">
        <f t="shared" si="3"/>
        <v/>
      </c>
      <c r="N25" s="511" t="str">
        <f t="shared" si="4"/>
        <v/>
      </c>
      <c r="O25" s="511" t="str">
        <f t="shared" si="5"/>
        <v/>
      </c>
      <c r="P25" s="511" t="str">
        <f t="shared" si="6"/>
        <v/>
      </c>
      <c r="Q25" s="637" t="str">
        <f t="shared" si="7"/>
        <v/>
      </c>
      <c r="R25" s="587"/>
    </row>
    <row r="26" spans="1:18" s="218" customFormat="1" ht="15" customHeight="1" x14ac:dyDescent="0.35">
      <c r="A26" s="5862" t="str">
        <f t="shared" si="2"/>
        <v>Centres de contact</v>
      </c>
      <c r="B26" s="5863"/>
      <c r="C26" s="5864"/>
      <c r="D26" s="631"/>
      <c r="E26" s="631"/>
      <c r="F26" s="1987">
        <f>'02-SALESPLAN-OFR2'!G34*'02-BUSINESS4PARTNER-OFR2'!$D$23</f>
        <v>0</v>
      </c>
      <c r="G26" s="1987">
        <f>('02-SALESPLAN-OFR2'!H34*'02-BUSINESS4PARTNER-OFR2'!$D$23)+($E$23*'02-SALESPLAN-OFR2'!G34)</f>
        <v>0</v>
      </c>
      <c r="H26" s="1987">
        <f>('02-SALESPLAN-OFR2'!I34*'02-BUSINESS4PARTNER-OFR2'!$D$23)+($E$23*('02-SALESPLAN-OFR2'!G34+'02-SALESPLAN-OFR2'!H34))</f>
        <v>0</v>
      </c>
      <c r="I26" s="1987">
        <f>('02-SALESPLAN-OFR2'!J34*'02-BUSINESS4PARTNER-OFR2'!$D$23)+($E$23*('02-SALESPLAN-OFR2'!G34+'02-SALESPLAN-OFR2'!H34+'02-SALESPLAN-OFR2'!I34))</f>
        <v>0</v>
      </c>
      <c r="J26" s="1987">
        <f>('02-SALESPLAN-OFR2'!K34*'02-BUSINESS4PARTNER-OFR2'!$D$23)+($E$23*('02-SALESPLAN-OFR2'!H34+'02-SALESPLAN-OFR2'!I34+'02-SALESPLAN-OFR2'!J34+'02-SALESPLAN-OFR2'!G34))</f>
        <v>0</v>
      </c>
      <c r="K26" s="1988">
        <f t="shared" ref="K26:K31" si="8">SUM(F26:J26)</f>
        <v>0</v>
      </c>
      <c r="L26" s="5861"/>
      <c r="M26" s="636" t="str">
        <f t="shared" si="3"/>
        <v/>
      </c>
      <c r="N26" s="511" t="str">
        <f t="shared" si="4"/>
        <v/>
      </c>
      <c r="O26" s="511" t="str">
        <f t="shared" si="5"/>
        <v/>
      </c>
      <c r="P26" s="511" t="str">
        <f t="shared" si="6"/>
        <v/>
      </c>
      <c r="Q26" s="637" t="str">
        <f t="shared" si="7"/>
        <v/>
      </c>
      <c r="R26" s="587"/>
    </row>
    <row r="27" spans="1:18" s="218" customFormat="1" ht="15" customHeight="1" x14ac:dyDescent="0.35">
      <c r="A27" s="5862" t="str">
        <f t="shared" si="2"/>
        <v>Vars Nationaux</v>
      </c>
      <c r="B27" s="5863"/>
      <c r="C27" s="5864"/>
      <c r="D27" s="631"/>
      <c r="E27" s="631"/>
      <c r="F27" s="1987">
        <f>'02-SALESPLAN-OFR2'!G35*'02-BUSINESS4PARTNER-OFR2'!$D$23</f>
        <v>0</v>
      </c>
      <c r="G27" s="1987">
        <f>('02-SALESPLAN-OFR2'!H35*'02-BUSINESS4PARTNER-OFR2'!$D$23)+($E$23*'02-SALESPLAN-OFR2'!G35)</f>
        <v>0</v>
      </c>
      <c r="H27" s="1987">
        <f>('02-SALESPLAN-OFR2'!I35*'02-BUSINESS4PARTNER-OFR2'!$D$23)+($E$23*('02-SALESPLAN-OFR2'!G35+'02-SALESPLAN-OFR2'!H35))</f>
        <v>0</v>
      </c>
      <c r="I27" s="1987">
        <f>('02-SALESPLAN-OFR2'!J35*'02-BUSINESS4PARTNER-OFR2'!$D$23)+($E$23*('02-SALESPLAN-OFR2'!G35+'02-SALESPLAN-OFR2'!H35+'02-SALESPLAN-OFR2'!I35))</f>
        <v>0</v>
      </c>
      <c r="J27" s="1987">
        <f>('02-SALESPLAN-OFR2'!K35*'02-BUSINESS4PARTNER-OFR2'!$D$23)+($E$23*('02-SALESPLAN-OFR2'!H35+'02-SALESPLAN-OFR2'!I35+'02-SALESPLAN-OFR2'!J35+'02-SALESPLAN-OFR2'!G35))</f>
        <v>0</v>
      </c>
      <c r="K27" s="1988">
        <f t="shared" si="8"/>
        <v>0</v>
      </c>
      <c r="L27" s="5861"/>
      <c r="M27" s="636" t="str">
        <f t="shared" si="3"/>
        <v/>
      </c>
      <c r="N27" s="511" t="str">
        <f t="shared" si="4"/>
        <v/>
      </c>
      <c r="O27" s="511" t="str">
        <f t="shared" si="5"/>
        <v/>
      </c>
      <c r="P27" s="511" t="str">
        <f t="shared" si="6"/>
        <v/>
      </c>
      <c r="Q27" s="637" t="str">
        <f t="shared" si="7"/>
        <v/>
      </c>
      <c r="R27" s="587"/>
    </row>
    <row r="28" spans="1:18" s="218" customFormat="1" ht="15" customHeight="1" x14ac:dyDescent="0.35">
      <c r="A28" s="5862" t="str">
        <f t="shared" si="2"/>
        <v>Editeurs</v>
      </c>
      <c r="B28" s="5863"/>
      <c r="C28" s="5864"/>
      <c r="D28" s="631"/>
      <c r="E28" s="631"/>
      <c r="F28" s="1987">
        <f>'02-SALESPLAN-OFR2'!G36*'02-BUSINESS4PARTNER-OFR2'!$D$23</f>
        <v>0</v>
      </c>
      <c r="G28" s="1987">
        <f>('02-SALESPLAN-OFR2'!H36*'02-BUSINESS4PARTNER-OFR2'!$D$23)+($E$23*'02-SALESPLAN-OFR2'!G36)</f>
        <v>0</v>
      </c>
      <c r="H28" s="1987">
        <f>('02-SALESPLAN-OFR2'!I36*'02-BUSINESS4PARTNER-OFR2'!$D$23)+($E$23*('02-SALESPLAN-OFR2'!G36+'02-SALESPLAN-OFR2'!H36))</f>
        <v>0</v>
      </c>
      <c r="I28" s="1987">
        <f>('02-SALESPLAN-OFR2'!J36*'02-BUSINESS4PARTNER-OFR2'!$D$23)+($E$23*('02-SALESPLAN-OFR2'!G36+'02-SALESPLAN-OFR2'!H36+'02-SALESPLAN-OFR2'!I36))</f>
        <v>0</v>
      </c>
      <c r="J28" s="1987">
        <f>('02-SALESPLAN-OFR2'!K36*'02-BUSINESS4PARTNER-OFR2'!$D$23)+($E$23*('02-SALESPLAN-OFR2'!H36+'02-SALESPLAN-OFR2'!I36+'02-SALESPLAN-OFR2'!J36+'02-SALESPLAN-OFR2'!G36))</f>
        <v>0</v>
      </c>
      <c r="K28" s="1988">
        <f t="shared" si="8"/>
        <v>0</v>
      </c>
      <c r="L28" s="5861"/>
      <c r="M28" s="636" t="str">
        <f t="shared" si="3"/>
        <v/>
      </c>
      <c r="N28" s="511" t="str">
        <f t="shared" si="4"/>
        <v/>
      </c>
      <c r="O28" s="511" t="str">
        <f t="shared" si="5"/>
        <v/>
      </c>
      <c r="P28" s="511" t="str">
        <f t="shared" si="6"/>
        <v/>
      </c>
      <c r="Q28" s="637" t="str">
        <f t="shared" si="7"/>
        <v/>
      </c>
      <c r="R28" s="587"/>
    </row>
    <row r="29" spans="1:18" s="218" customFormat="1" ht="15" customHeight="1" x14ac:dyDescent="0.35">
      <c r="A29" s="5859" t="str">
        <f t="shared" si="2"/>
        <v>Web Agencies</v>
      </c>
      <c r="B29" s="5860"/>
      <c r="C29" s="5860"/>
      <c r="D29" s="631"/>
      <c r="E29" s="631"/>
      <c r="F29" s="1987">
        <f>'02-SALESPLAN-OFR2'!G37*'02-BUSINESS4PARTNER-OFR2'!$D$23</f>
        <v>0</v>
      </c>
      <c r="G29" s="1987">
        <f>('02-SALESPLAN-OFR2'!H37*'02-BUSINESS4PARTNER-OFR2'!$D$23)+($E$23*'02-SALESPLAN-OFR2'!G37)</f>
        <v>0</v>
      </c>
      <c r="H29" s="1987">
        <f>('02-SALESPLAN-OFR2'!I37*'02-BUSINESS4PARTNER-OFR2'!$D$23)+($E$23*('02-SALESPLAN-OFR2'!G37+'02-SALESPLAN-OFR2'!H37))</f>
        <v>0</v>
      </c>
      <c r="I29" s="1987">
        <f>('02-SALESPLAN-OFR2'!J37*'02-BUSINESS4PARTNER-OFR2'!$D$23)+($E$23*('02-SALESPLAN-OFR2'!G37+'02-SALESPLAN-OFR2'!H37+'02-SALESPLAN-OFR2'!I37))</f>
        <v>0</v>
      </c>
      <c r="J29" s="1987">
        <f>('02-SALESPLAN-OFR2'!K37*'02-BUSINESS4PARTNER-OFR2'!$D$23)+($E$23*('02-SALESPLAN-OFR2'!H37+'02-SALESPLAN-OFR2'!I37+'02-SALESPLAN-OFR2'!J37+'02-SALESPLAN-OFR2'!G37))</f>
        <v>0</v>
      </c>
      <c r="K29" s="1988">
        <f t="shared" si="8"/>
        <v>0</v>
      </c>
      <c r="L29" s="5861"/>
      <c r="M29" s="636" t="str">
        <f t="shared" si="3"/>
        <v/>
      </c>
      <c r="N29" s="511" t="str">
        <f t="shared" si="4"/>
        <v/>
      </c>
      <c r="O29" s="511" t="str">
        <f t="shared" si="5"/>
        <v/>
      </c>
      <c r="P29" s="511" t="str">
        <f t="shared" si="6"/>
        <v/>
      </c>
      <c r="Q29" s="637" t="str">
        <f t="shared" si="7"/>
        <v/>
      </c>
      <c r="R29" s="587"/>
    </row>
    <row r="30" spans="1:18" s="218" customFormat="1" ht="14.5" x14ac:dyDescent="0.35">
      <c r="A30" s="5859" t="str">
        <f t="shared" si="2"/>
        <v>Constructeurs</v>
      </c>
      <c r="B30" s="5860"/>
      <c r="C30" s="5860"/>
      <c r="D30" s="631"/>
      <c r="E30" s="631"/>
      <c r="F30" s="1987">
        <f>'02-SALESPLAN-OFR2'!G38*'02-BUSINESS4PARTNER-OFR2'!$D$23</f>
        <v>0</v>
      </c>
      <c r="G30" s="1987">
        <f>('02-SALESPLAN-OFR2'!H38*'02-BUSINESS4PARTNER-OFR2'!$D$23)+($E$23*'02-SALESPLAN-OFR2'!G38)</f>
        <v>0</v>
      </c>
      <c r="H30" s="1987">
        <f>('02-SALESPLAN-OFR2'!I38*'02-BUSINESS4PARTNER-OFR2'!$D$23)+($E$23*('02-SALESPLAN-OFR2'!G38+'02-SALESPLAN-OFR2'!H38))</f>
        <v>0</v>
      </c>
      <c r="I30" s="1987">
        <f>('02-SALESPLAN-OFR2'!J38*'02-BUSINESS4PARTNER-OFR2'!$D$23)+($E$23*('02-SALESPLAN-OFR2'!G38+'02-SALESPLAN-OFR2'!H38+'02-SALESPLAN-OFR2'!I38))</f>
        <v>0</v>
      </c>
      <c r="J30" s="1987">
        <f>('02-SALESPLAN-OFR2'!K38*'02-BUSINESS4PARTNER-OFR2'!$D$23)+($E$23*('02-SALESPLAN-OFR2'!H38+'02-SALESPLAN-OFR2'!I38+'02-SALESPLAN-OFR2'!J38+'02-SALESPLAN-OFR2'!G38))</f>
        <v>0</v>
      </c>
      <c r="K30" s="1988">
        <f t="shared" si="8"/>
        <v>0</v>
      </c>
      <c r="L30" s="5861"/>
      <c r="M30" s="636" t="str">
        <f t="shared" si="3"/>
        <v/>
      </c>
      <c r="N30" s="511" t="str">
        <f t="shared" si="4"/>
        <v/>
      </c>
      <c r="O30" s="511" t="str">
        <f t="shared" si="5"/>
        <v/>
      </c>
      <c r="P30" s="511" t="str">
        <f t="shared" si="6"/>
        <v/>
      </c>
      <c r="Q30" s="637" t="str">
        <f t="shared" si="7"/>
        <v/>
      </c>
      <c r="R30" s="587"/>
    </row>
    <row r="31" spans="1:18" s="218" customFormat="1" ht="15" thickBot="1" x14ac:dyDescent="0.4">
      <c r="A31" s="5865" t="str">
        <f t="shared" si="2"/>
        <v>Hébergeurs</v>
      </c>
      <c r="B31" s="5866"/>
      <c r="C31" s="5866"/>
      <c r="D31" s="2017"/>
      <c r="E31" s="2017"/>
      <c r="F31" s="1987">
        <f>'02-SALESPLAN-OFR2'!G39*'02-BUSINESS4PARTNER-OFR2'!$D$23</f>
        <v>0</v>
      </c>
      <c r="G31" s="1987">
        <f>('02-SALESPLAN-OFR2'!H39*'02-BUSINESS4PARTNER-OFR2'!$D$23)+($E$23*'02-SALESPLAN-OFR2'!G39)</f>
        <v>0</v>
      </c>
      <c r="H31" s="1987">
        <f>('02-SALESPLAN-OFR2'!I39*'02-BUSINESS4PARTNER-OFR2'!$D$23)+($E$23*('02-SALESPLAN-OFR2'!G39+'02-SALESPLAN-OFR2'!H39))</f>
        <v>0</v>
      </c>
      <c r="I31" s="1987">
        <f>('02-SALESPLAN-OFR2'!J39*'02-BUSINESS4PARTNER-OFR2'!$D$23)+($E$23*('02-SALESPLAN-OFR2'!G39+'02-SALESPLAN-OFR2'!H39+'02-SALESPLAN-OFR2'!I39))</f>
        <v>0</v>
      </c>
      <c r="J31" s="1987">
        <f>('02-SALESPLAN-OFR2'!K39*'02-BUSINESS4PARTNER-OFR2'!$D$23)+($E$23*('02-SALESPLAN-OFR2'!H39+'02-SALESPLAN-OFR2'!I39+'02-SALESPLAN-OFR2'!J39+'02-SALESPLAN-OFR2'!G39))</f>
        <v>0</v>
      </c>
      <c r="K31" s="1988">
        <f t="shared" si="8"/>
        <v>0</v>
      </c>
      <c r="L31" s="5861"/>
      <c r="M31" s="636" t="str">
        <f t="shared" si="3"/>
        <v/>
      </c>
      <c r="N31" s="511" t="str">
        <f t="shared" si="4"/>
        <v/>
      </c>
      <c r="O31" s="511" t="str">
        <f t="shared" si="5"/>
        <v/>
      </c>
      <c r="P31" s="511" t="str">
        <f t="shared" si="6"/>
        <v/>
      </c>
      <c r="Q31" s="637" t="str">
        <f t="shared" si="7"/>
        <v/>
      </c>
      <c r="R31" s="587"/>
    </row>
    <row r="32" spans="1:18" s="218" customFormat="1" ht="9" customHeight="1" thickBot="1" x14ac:dyDescent="0.4">
      <c r="A32" s="5867">
        <v>0</v>
      </c>
      <c r="B32" s="5868"/>
      <c r="C32" s="5868"/>
      <c r="D32" s="5868"/>
      <c r="E32" s="5868"/>
      <c r="F32" s="5868"/>
      <c r="G32" s="5868"/>
      <c r="H32" s="5868"/>
      <c r="I32" s="5868"/>
      <c r="J32" s="5868"/>
      <c r="K32" s="5868"/>
      <c r="L32" s="5868"/>
      <c r="M32" s="5868"/>
      <c r="N32" s="5868"/>
      <c r="O32" s="5868"/>
      <c r="P32" s="5868"/>
      <c r="Q32" s="5869"/>
      <c r="R32" s="587"/>
    </row>
    <row r="33" spans="1:18" s="211" customFormat="1" ht="18" customHeight="1" thickTop="1" thickBot="1" x14ac:dyDescent="0.4">
      <c r="A33" s="5870" t="s">
        <v>773</v>
      </c>
      <c r="B33" s="5871"/>
      <c r="C33" s="5871"/>
      <c r="D33" s="5871"/>
      <c r="E33" s="5871"/>
      <c r="F33" s="1798">
        <f t="shared" ref="F33:K33" si="9">SUM(F24:F32)</f>
        <v>0</v>
      </c>
      <c r="G33" s="1984">
        <f t="shared" si="9"/>
        <v>0</v>
      </c>
      <c r="H33" s="1984">
        <f t="shared" si="9"/>
        <v>0</v>
      </c>
      <c r="I33" s="1984">
        <f t="shared" si="9"/>
        <v>0</v>
      </c>
      <c r="J33" s="1985">
        <f t="shared" si="9"/>
        <v>0</v>
      </c>
      <c r="K33" s="1986">
        <f t="shared" si="9"/>
        <v>0</v>
      </c>
      <c r="L33" s="538"/>
      <c r="M33" s="640"/>
      <c r="N33" s="641">
        <f>SUM(N24:N31)</f>
        <v>0</v>
      </c>
      <c r="O33" s="641">
        <f>SUM(O24:O31)</f>
        <v>0</v>
      </c>
      <c r="P33" s="641">
        <f>SUM(P24:P31)</f>
        <v>0</v>
      </c>
      <c r="Q33" s="642">
        <f>SUM(Q24:Q31)</f>
        <v>0</v>
      </c>
      <c r="R33" s="538"/>
    </row>
    <row r="34" spans="1:18" s="218" customFormat="1" ht="18" customHeight="1" thickTop="1" x14ac:dyDescent="0.35">
      <c r="A34" s="587"/>
      <c r="B34" s="587"/>
      <c r="C34" s="587"/>
      <c r="D34" s="548"/>
      <c r="E34" s="548"/>
      <c r="F34" s="618"/>
      <c r="G34" s="618"/>
      <c r="H34" s="618"/>
      <c r="I34" s="618"/>
      <c r="J34" s="618"/>
      <c r="K34" s="643"/>
      <c r="L34" s="587"/>
      <c r="M34" s="587"/>
      <c r="N34" s="587"/>
      <c r="O34" s="587"/>
      <c r="P34" s="587"/>
      <c r="Q34" s="587"/>
      <c r="R34" s="587"/>
    </row>
    <row r="35" spans="1:18" s="218" customFormat="1" ht="18" customHeight="1" thickBot="1" x14ac:dyDescent="0.4">
      <c r="A35" s="587"/>
      <c r="B35" s="587"/>
      <c r="C35" s="587"/>
      <c r="D35" s="548"/>
      <c r="E35" s="548"/>
      <c r="F35" s="618"/>
      <c r="G35" s="618"/>
      <c r="H35" s="618"/>
      <c r="I35" s="618"/>
      <c r="J35" s="618"/>
      <c r="K35" s="643"/>
      <c r="L35" s="587"/>
      <c r="M35" s="587"/>
      <c r="N35" s="587"/>
      <c r="O35" s="587"/>
      <c r="P35" s="587"/>
      <c r="Q35" s="587"/>
      <c r="R35" s="587"/>
    </row>
    <row r="36" spans="1:18" s="216" customFormat="1" ht="51.75" customHeight="1" thickTop="1" thickBot="1" x14ac:dyDescent="0.4">
      <c r="A36" s="612"/>
      <c r="B36" s="5872" t="s">
        <v>1651</v>
      </c>
      <c r="C36" s="5873"/>
      <c r="D36" s="5873"/>
      <c r="E36" s="5873"/>
      <c r="F36" s="1581">
        <f t="shared" ref="F36:K36" si="10">F6</f>
        <v>2017</v>
      </c>
      <c r="G36" s="1581">
        <f t="shared" si="10"/>
        <v>2018</v>
      </c>
      <c r="H36" s="1581">
        <f t="shared" si="10"/>
        <v>2019</v>
      </c>
      <c r="I36" s="1581">
        <f t="shared" si="10"/>
        <v>2020</v>
      </c>
      <c r="J36" s="644">
        <f t="shared" si="10"/>
        <v>2021</v>
      </c>
      <c r="K36" s="1085" t="str">
        <f t="shared" si="10"/>
        <v xml:space="preserve">Total </v>
      </c>
      <c r="L36" s="612"/>
      <c r="M36" s="612"/>
      <c r="N36" s="612"/>
      <c r="O36" s="612"/>
      <c r="P36" s="612"/>
      <c r="Q36" s="612"/>
      <c r="R36" s="612"/>
    </row>
    <row r="37" spans="1:18" s="217" customFormat="1" ht="21.75" customHeight="1" x14ac:dyDescent="0.35">
      <c r="A37" s="613"/>
      <c r="B37" s="5874" t="s">
        <v>757</v>
      </c>
      <c r="C37" s="5875"/>
      <c r="D37" s="5875"/>
      <c r="E37" s="5875"/>
      <c r="F37" s="1799">
        <f t="shared" ref="F37:K37" si="11">F17</f>
        <v>0</v>
      </c>
      <c r="G37" s="1799">
        <f t="shared" si="11"/>
        <v>0</v>
      </c>
      <c r="H37" s="1799">
        <f t="shared" si="11"/>
        <v>0</v>
      </c>
      <c r="I37" s="1799">
        <f t="shared" si="11"/>
        <v>0</v>
      </c>
      <c r="J37" s="1800">
        <f t="shared" si="11"/>
        <v>0</v>
      </c>
      <c r="K37" s="1801">
        <f t="shared" si="11"/>
        <v>0</v>
      </c>
      <c r="L37" s="613"/>
      <c r="M37" s="613"/>
      <c r="N37" s="613"/>
      <c r="O37" s="613"/>
      <c r="P37" s="613"/>
      <c r="Q37" s="613"/>
      <c r="R37" s="613"/>
    </row>
    <row r="38" spans="1:18" s="218" customFormat="1" ht="18" customHeight="1" thickBot="1" x14ac:dyDescent="0.4">
      <c r="A38" s="587"/>
      <c r="B38" s="5848" t="s">
        <v>762</v>
      </c>
      <c r="C38" s="5849"/>
      <c r="D38" s="5849"/>
      <c r="E38" s="5849"/>
      <c r="F38" s="1802">
        <f t="shared" ref="F38:K38" si="12">F33</f>
        <v>0</v>
      </c>
      <c r="G38" s="1802">
        <f t="shared" si="12"/>
        <v>0</v>
      </c>
      <c r="H38" s="1802">
        <f t="shared" si="12"/>
        <v>0</v>
      </c>
      <c r="I38" s="1802">
        <f t="shared" si="12"/>
        <v>0</v>
      </c>
      <c r="J38" s="1989">
        <f t="shared" si="12"/>
        <v>0</v>
      </c>
      <c r="K38" s="1803">
        <f t="shared" si="12"/>
        <v>0</v>
      </c>
      <c r="L38" s="643"/>
      <c r="M38" s="587"/>
      <c r="N38" s="587"/>
      <c r="O38" s="587"/>
      <c r="P38" s="587"/>
      <c r="Q38" s="587"/>
      <c r="R38" s="587"/>
    </row>
    <row r="39" spans="1:18" s="170" customFormat="1" ht="18" customHeight="1" thickBot="1" x14ac:dyDescent="0.4">
      <c r="A39" s="586"/>
      <c r="B39" s="5857" t="s">
        <v>772</v>
      </c>
      <c r="C39" s="5858"/>
      <c r="D39" s="5858"/>
      <c r="E39" s="5858"/>
      <c r="F39" s="1804">
        <f t="shared" ref="F39:K39" si="13">SUM(F37:F38)</f>
        <v>0</v>
      </c>
      <c r="G39" s="1804">
        <f t="shared" si="13"/>
        <v>0</v>
      </c>
      <c r="H39" s="1804">
        <f t="shared" si="13"/>
        <v>0</v>
      </c>
      <c r="I39" s="1804">
        <f t="shared" si="13"/>
        <v>0</v>
      </c>
      <c r="J39" s="1805">
        <f t="shared" si="13"/>
        <v>0</v>
      </c>
      <c r="K39" s="1806">
        <f t="shared" si="13"/>
        <v>0</v>
      </c>
      <c r="L39" s="643"/>
      <c r="M39" s="586"/>
      <c r="N39" s="586"/>
      <c r="O39" s="586"/>
      <c r="P39" s="586"/>
      <c r="Q39" s="586"/>
      <c r="R39" s="586"/>
    </row>
    <row r="40" spans="1:18" ht="13.5" thickTop="1" x14ac:dyDescent="0.3">
      <c r="A40" s="651"/>
      <c r="B40" s="651"/>
      <c r="C40" s="651"/>
      <c r="D40" s="651"/>
      <c r="E40" s="651"/>
      <c r="F40" s="651"/>
      <c r="G40" s="651"/>
      <c r="H40" s="651"/>
      <c r="I40" s="651"/>
      <c r="J40" s="651"/>
      <c r="K40" s="651"/>
      <c r="L40" s="651"/>
      <c r="M40" s="651"/>
      <c r="N40" s="651"/>
      <c r="O40" s="651"/>
      <c r="P40" s="651"/>
      <c r="Q40" s="651"/>
      <c r="R40" s="651"/>
    </row>
    <row r="41" spans="1:18" s="218" customFormat="1" ht="18" customHeight="1" thickBot="1" x14ac:dyDescent="0.4">
      <c r="A41" s="587"/>
      <c r="B41" s="587"/>
      <c r="C41" s="587"/>
      <c r="D41" s="652"/>
      <c r="E41" s="548"/>
      <c r="F41" s="548"/>
      <c r="G41" s="548"/>
      <c r="H41" s="548"/>
      <c r="I41" s="548"/>
      <c r="J41" s="548"/>
      <c r="K41" s="587"/>
      <c r="L41" s="587"/>
      <c r="M41" s="587"/>
      <c r="N41" s="587"/>
      <c r="O41" s="587"/>
      <c r="P41" s="587"/>
      <c r="Q41" s="587"/>
      <c r="R41" s="587"/>
    </row>
    <row r="42" spans="1:18" s="220" customFormat="1" ht="34.5" customHeight="1" thickTop="1" thickBot="1" x14ac:dyDescent="0.4">
      <c r="A42" s="5850" t="s">
        <v>1652</v>
      </c>
      <c r="B42" s="5851"/>
      <c r="C42" s="5851"/>
      <c r="D42" s="5852" t="s">
        <v>129</v>
      </c>
      <c r="E42" s="5852"/>
      <c r="F42" s="1962">
        <f t="shared" ref="F42:K42" si="14">F6</f>
        <v>2017</v>
      </c>
      <c r="G42" s="1962">
        <f t="shared" si="14"/>
        <v>2018</v>
      </c>
      <c r="H42" s="1962">
        <f t="shared" si="14"/>
        <v>2019</v>
      </c>
      <c r="I42" s="1962">
        <f t="shared" si="14"/>
        <v>2020</v>
      </c>
      <c r="J42" s="644">
        <f t="shared" si="14"/>
        <v>2021</v>
      </c>
      <c r="K42" s="1085" t="str">
        <f t="shared" si="14"/>
        <v xml:space="preserve">Total </v>
      </c>
      <c r="L42" s="2051"/>
      <c r="M42" s="2052">
        <f>F42</f>
        <v>2017</v>
      </c>
      <c r="N42" s="2052">
        <f>G42</f>
        <v>2018</v>
      </c>
      <c r="O42" s="2052">
        <f>H42</f>
        <v>2019</v>
      </c>
      <c r="P42" s="2052">
        <f>I42</f>
        <v>2020</v>
      </c>
      <c r="Q42" s="2053">
        <f>J42</f>
        <v>2021</v>
      </c>
      <c r="R42" s="653"/>
    </row>
    <row r="43" spans="1:18" s="221" customFormat="1" ht="18" customHeight="1" x14ac:dyDescent="0.35">
      <c r="A43" s="5853" t="str">
        <f t="shared" ref="A43:A50" si="15">A8</f>
        <v>Ventes directes seules</v>
      </c>
      <c r="B43" s="5854"/>
      <c r="C43" s="5854"/>
      <c r="D43" s="4623">
        <v>0</v>
      </c>
      <c r="E43" s="4623"/>
      <c r="F43" s="1174"/>
      <c r="G43" s="1174">
        <v>0</v>
      </c>
      <c r="H43" s="1174">
        <v>0</v>
      </c>
      <c r="I43" s="1174">
        <v>0</v>
      </c>
      <c r="J43" s="1175">
        <v>0</v>
      </c>
      <c r="K43" s="1176">
        <f t="shared" ref="K43:K50" si="16">SUM(F43:J43)</f>
        <v>0</v>
      </c>
      <c r="L43" s="2031"/>
      <c r="M43" s="632" t="str">
        <f>IF($F$33=0,"",F43/$F$33)</f>
        <v/>
      </c>
      <c r="N43" s="633" t="str">
        <f>IF($G$33=0,"",G43/$G$33)</f>
        <v/>
      </c>
      <c r="O43" s="633" t="str">
        <f>IF($H$33=0,"",H43/$H$33)</f>
        <v/>
      </c>
      <c r="P43" s="633" t="str">
        <f>IF($I$33=0,"",I43/$I$33)</f>
        <v/>
      </c>
      <c r="Q43" s="2032" t="str">
        <f>IF($J$33=0,"",J43/$J$33)</f>
        <v/>
      </c>
      <c r="R43" s="654"/>
    </row>
    <row r="44" spans="1:18" s="221" customFormat="1" ht="14.5" x14ac:dyDescent="0.35">
      <c r="A44" s="5844" t="str">
        <f t="shared" si="15"/>
        <v>ESN</v>
      </c>
      <c r="B44" s="5845"/>
      <c r="C44" s="5845"/>
      <c r="D44" s="5832">
        <v>2</v>
      </c>
      <c r="E44" s="5832"/>
      <c r="F44" s="1990">
        <f>'02-SALESPLAN-OFR2'!G67*'02-BUSINESS4PARTNER-OFR2'!$D44</f>
        <v>0</v>
      </c>
      <c r="G44" s="1990">
        <f>'02-SALESPLAN-OFR2'!H67*'02-BUSINESS4PARTNER-OFR2'!$D44</f>
        <v>0</v>
      </c>
      <c r="H44" s="1990">
        <f>'02-SALESPLAN-OFR2'!I67*'02-BUSINESS4PARTNER-OFR2'!$D44</f>
        <v>0</v>
      </c>
      <c r="I44" s="1990">
        <f>'02-SALESPLAN-OFR2'!J67*'02-BUSINESS4PARTNER-OFR2'!$D44</f>
        <v>0</v>
      </c>
      <c r="J44" s="1990">
        <f>'02-SALESPLAN-OFR2'!K67*'02-BUSINESS4PARTNER-OFR2'!$D44</f>
        <v>0</v>
      </c>
      <c r="K44" s="1991">
        <f t="shared" si="16"/>
        <v>0</v>
      </c>
      <c r="L44" s="2031"/>
      <c r="M44" s="636" t="e">
        <f>F44/F$52</f>
        <v>#DIV/0!</v>
      </c>
      <c r="N44" s="636" t="e">
        <f>G44/G$52</f>
        <v>#DIV/0!</v>
      </c>
      <c r="O44" s="636" t="e">
        <f>H44/H$52</f>
        <v>#DIV/0!</v>
      </c>
      <c r="P44" s="636" t="e">
        <f>I44/I$52</f>
        <v>#DIV/0!</v>
      </c>
      <c r="Q44" s="2033" t="e">
        <f>J44/J$52</f>
        <v>#DIV/0!</v>
      </c>
      <c r="R44" s="654"/>
    </row>
    <row r="45" spans="1:18" s="221" customFormat="1" ht="14.5" x14ac:dyDescent="0.35">
      <c r="A45" s="5830" t="str">
        <f t="shared" si="15"/>
        <v>Centres de contact</v>
      </c>
      <c r="B45" s="5831"/>
      <c r="C45" s="5831"/>
      <c r="D45" s="5832">
        <v>5</v>
      </c>
      <c r="E45" s="5832"/>
      <c r="F45" s="1990">
        <f>'02-SALESPLAN-OFR2'!G68*'02-BUSINESS4PARTNER-OFR2'!$D45</f>
        <v>0</v>
      </c>
      <c r="G45" s="1990">
        <f>'02-SALESPLAN-OFR2'!H68*'02-BUSINESS4PARTNER-OFR2'!$D45</f>
        <v>0</v>
      </c>
      <c r="H45" s="1990">
        <f>'02-SALESPLAN-OFR2'!I68*'02-BUSINESS4PARTNER-OFR2'!$D45</f>
        <v>0</v>
      </c>
      <c r="I45" s="1990">
        <f>'02-SALESPLAN-OFR2'!J68*'02-BUSINESS4PARTNER-OFR2'!$D45</f>
        <v>0</v>
      </c>
      <c r="J45" s="1990">
        <f>'02-SALESPLAN-OFR2'!K68*'02-BUSINESS4PARTNER-OFR2'!$D45</f>
        <v>0</v>
      </c>
      <c r="K45" s="1992">
        <f t="shared" si="16"/>
        <v>0</v>
      </c>
      <c r="L45" s="2031"/>
      <c r="M45" s="636" t="e">
        <f t="shared" ref="M45:M50" si="17">F45/F$52</f>
        <v>#DIV/0!</v>
      </c>
      <c r="N45" s="636" t="e">
        <f t="shared" ref="N45:N50" si="18">G45/G$52</f>
        <v>#DIV/0!</v>
      </c>
      <c r="O45" s="636" t="e">
        <f t="shared" ref="O45:O50" si="19">H45/H$52</f>
        <v>#DIV/0!</v>
      </c>
      <c r="P45" s="636" t="e">
        <f t="shared" ref="P45:P50" si="20">I45/I$52</f>
        <v>#DIV/0!</v>
      </c>
      <c r="Q45" s="2033" t="e">
        <f t="shared" ref="Q45:Q50" si="21">J45/J$52</f>
        <v>#DIV/0!</v>
      </c>
      <c r="R45" s="654"/>
    </row>
    <row r="46" spans="1:18" s="221" customFormat="1" ht="18" customHeight="1" x14ac:dyDescent="0.35">
      <c r="A46" s="5846" t="str">
        <f t="shared" si="15"/>
        <v>Vars Nationaux</v>
      </c>
      <c r="B46" s="5847"/>
      <c r="C46" s="5847"/>
      <c r="D46" s="5832">
        <v>1.5</v>
      </c>
      <c r="E46" s="5832"/>
      <c r="F46" s="1990">
        <f>'02-SALESPLAN-OFR2'!G69*'02-BUSINESS4PARTNER-OFR2'!$D46</f>
        <v>0</v>
      </c>
      <c r="G46" s="1990">
        <f>'02-SALESPLAN-OFR2'!H69*'02-BUSINESS4PARTNER-OFR2'!$D46</f>
        <v>0</v>
      </c>
      <c r="H46" s="1990">
        <f>'02-SALESPLAN-OFR2'!I69*'02-BUSINESS4PARTNER-OFR2'!$D46</f>
        <v>0</v>
      </c>
      <c r="I46" s="1990">
        <f>'02-SALESPLAN-OFR2'!J69*'02-BUSINESS4PARTNER-OFR2'!$D46</f>
        <v>0</v>
      </c>
      <c r="J46" s="1990">
        <f>'02-SALESPLAN-OFR2'!K69*'02-BUSINESS4PARTNER-OFR2'!$D46</f>
        <v>0</v>
      </c>
      <c r="K46" s="1993">
        <f t="shared" si="16"/>
        <v>0</v>
      </c>
      <c r="L46" s="2031"/>
      <c r="M46" s="636" t="e">
        <f t="shared" si="17"/>
        <v>#DIV/0!</v>
      </c>
      <c r="N46" s="636" t="e">
        <f t="shared" si="18"/>
        <v>#DIV/0!</v>
      </c>
      <c r="O46" s="636" t="e">
        <f t="shared" si="19"/>
        <v>#DIV/0!</v>
      </c>
      <c r="P46" s="636" t="e">
        <f t="shared" si="20"/>
        <v>#DIV/0!</v>
      </c>
      <c r="Q46" s="2033" t="e">
        <f t="shared" si="21"/>
        <v>#DIV/0!</v>
      </c>
      <c r="R46" s="654"/>
    </row>
    <row r="47" spans="1:18" s="221" customFormat="1" ht="18" customHeight="1" x14ac:dyDescent="0.35">
      <c r="A47" s="5830" t="str">
        <f t="shared" si="15"/>
        <v>Editeurs</v>
      </c>
      <c r="B47" s="5831"/>
      <c r="C47" s="5831"/>
      <c r="D47" s="5832">
        <v>1</v>
      </c>
      <c r="E47" s="5832"/>
      <c r="F47" s="1990">
        <f>'02-SALESPLAN-OFR2'!G70*'02-BUSINESS4PARTNER-OFR2'!$D47</f>
        <v>0</v>
      </c>
      <c r="G47" s="1990">
        <f>'02-SALESPLAN-OFR2'!H70*'02-BUSINESS4PARTNER-OFR2'!$D47</f>
        <v>0</v>
      </c>
      <c r="H47" s="1990">
        <f>'02-SALESPLAN-OFR2'!I70*'02-BUSINESS4PARTNER-OFR2'!$D47</f>
        <v>0</v>
      </c>
      <c r="I47" s="1990">
        <f>'02-SALESPLAN-OFR2'!J70*'02-BUSINESS4PARTNER-OFR2'!$D47</f>
        <v>0</v>
      </c>
      <c r="J47" s="1990">
        <f>'02-SALESPLAN-OFR2'!K70*'02-BUSINESS4PARTNER-OFR2'!$D47</f>
        <v>0</v>
      </c>
      <c r="K47" s="1992">
        <f t="shared" si="16"/>
        <v>0</v>
      </c>
      <c r="L47" s="2031"/>
      <c r="M47" s="636" t="e">
        <f t="shared" si="17"/>
        <v>#DIV/0!</v>
      </c>
      <c r="N47" s="636" t="e">
        <f t="shared" si="18"/>
        <v>#DIV/0!</v>
      </c>
      <c r="O47" s="636" t="e">
        <f t="shared" si="19"/>
        <v>#DIV/0!</v>
      </c>
      <c r="P47" s="636" t="e">
        <f t="shared" si="20"/>
        <v>#DIV/0!</v>
      </c>
      <c r="Q47" s="2033" t="e">
        <f t="shared" si="21"/>
        <v>#DIV/0!</v>
      </c>
      <c r="R47" s="654"/>
    </row>
    <row r="48" spans="1:18" s="221" customFormat="1" ht="18" customHeight="1" x14ac:dyDescent="0.35">
      <c r="A48" s="5830" t="str">
        <f t="shared" si="15"/>
        <v>Web Agencies</v>
      </c>
      <c r="B48" s="5831"/>
      <c r="C48" s="5831"/>
      <c r="D48" s="5832">
        <v>0.5</v>
      </c>
      <c r="E48" s="5832"/>
      <c r="F48" s="1990">
        <f>'02-SALESPLAN-OFR2'!G71*'02-BUSINESS4PARTNER-OFR2'!$D48</f>
        <v>0</v>
      </c>
      <c r="G48" s="1990">
        <f>'02-SALESPLAN-OFR2'!H71*'02-BUSINESS4PARTNER-OFR2'!$D48</f>
        <v>0</v>
      </c>
      <c r="H48" s="1990">
        <f>'02-SALESPLAN-OFR2'!I71*'02-BUSINESS4PARTNER-OFR2'!$D48</f>
        <v>0</v>
      </c>
      <c r="I48" s="1990">
        <f>'02-SALESPLAN-OFR2'!J71*'02-BUSINESS4PARTNER-OFR2'!$D48</f>
        <v>0</v>
      </c>
      <c r="J48" s="1990">
        <f>'02-SALESPLAN-OFR2'!K71*'02-BUSINESS4PARTNER-OFR2'!$D48</f>
        <v>0</v>
      </c>
      <c r="K48" s="1992">
        <f t="shared" si="16"/>
        <v>0</v>
      </c>
      <c r="L48" s="2031"/>
      <c r="M48" s="636" t="e">
        <f t="shared" si="17"/>
        <v>#DIV/0!</v>
      </c>
      <c r="N48" s="636" t="e">
        <f t="shared" si="18"/>
        <v>#DIV/0!</v>
      </c>
      <c r="O48" s="636" t="e">
        <f t="shared" si="19"/>
        <v>#DIV/0!</v>
      </c>
      <c r="P48" s="636" t="e">
        <f t="shared" si="20"/>
        <v>#DIV/0!</v>
      </c>
      <c r="Q48" s="2033" t="e">
        <f t="shared" si="21"/>
        <v>#DIV/0!</v>
      </c>
      <c r="R48" s="654"/>
    </row>
    <row r="49" spans="1:18" s="221" customFormat="1" ht="18" customHeight="1" x14ac:dyDescent="0.35">
      <c r="A49" s="5830" t="str">
        <f t="shared" si="15"/>
        <v>Constructeurs</v>
      </c>
      <c r="B49" s="5831"/>
      <c r="C49" s="5831"/>
      <c r="D49" s="5832">
        <v>1</v>
      </c>
      <c r="E49" s="5832"/>
      <c r="F49" s="1990">
        <f>'02-SALESPLAN-OFR2'!G72*'02-BUSINESS4PARTNER-OFR2'!$D49</f>
        <v>0</v>
      </c>
      <c r="G49" s="1990">
        <f>'02-SALESPLAN-OFR2'!H72*'02-BUSINESS4PARTNER-OFR2'!$D49</f>
        <v>0</v>
      </c>
      <c r="H49" s="1990">
        <f>'02-SALESPLAN-OFR2'!I72*'02-BUSINESS4PARTNER-OFR2'!$D49</f>
        <v>0</v>
      </c>
      <c r="I49" s="1990">
        <f>'02-SALESPLAN-OFR2'!J72*'02-BUSINESS4PARTNER-OFR2'!$D49</f>
        <v>0</v>
      </c>
      <c r="J49" s="1990">
        <f>'02-SALESPLAN-OFR2'!K72*'02-BUSINESS4PARTNER-OFR2'!$D49</f>
        <v>0</v>
      </c>
      <c r="K49" s="1992">
        <f t="shared" si="16"/>
        <v>0</v>
      </c>
      <c r="L49" s="2031"/>
      <c r="M49" s="636" t="e">
        <f t="shared" si="17"/>
        <v>#DIV/0!</v>
      </c>
      <c r="N49" s="636" t="e">
        <f t="shared" si="18"/>
        <v>#DIV/0!</v>
      </c>
      <c r="O49" s="636" t="e">
        <f t="shared" si="19"/>
        <v>#DIV/0!</v>
      </c>
      <c r="P49" s="636" t="e">
        <f t="shared" si="20"/>
        <v>#DIV/0!</v>
      </c>
      <c r="Q49" s="2033" t="e">
        <f t="shared" si="21"/>
        <v>#DIV/0!</v>
      </c>
      <c r="R49" s="654"/>
    </row>
    <row r="50" spans="1:18" s="221" customFormat="1" ht="18" customHeight="1" x14ac:dyDescent="0.35">
      <c r="A50" s="5830" t="str">
        <f t="shared" si="15"/>
        <v>Hébergeurs</v>
      </c>
      <c r="B50" s="5831"/>
      <c r="C50" s="5831"/>
      <c r="D50" s="5832">
        <v>1</v>
      </c>
      <c r="E50" s="5832"/>
      <c r="F50" s="1990">
        <f>'02-SALESPLAN-OFR2'!G73*'02-BUSINESS4PARTNER-OFR2'!$D50</f>
        <v>0</v>
      </c>
      <c r="G50" s="1990">
        <f>'02-SALESPLAN-OFR2'!H73*'02-BUSINESS4PARTNER-OFR2'!$D50</f>
        <v>0</v>
      </c>
      <c r="H50" s="1990">
        <f>'02-SALESPLAN-OFR2'!I73*'02-BUSINESS4PARTNER-OFR2'!$D50</f>
        <v>0</v>
      </c>
      <c r="I50" s="1990">
        <f>'02-SALESPLAN-OFR2'!J73*'02-BUSINESS4PARTNER-OFR2'!$D50</f>
        <v>0</v>
      </c>
      <c r="J50" s="1990">
        <f>'02-SALESPLAN-OFR2'!K73*'02-BUSINESS4PARTNER-OFR2'!$D50</f>
        <v>0</v>
      </c>
      <c r="K50" s="1992">
        <f t="shared" si="16"/>
        <v>0</v>
      </c>
      <c r="L50" s="2031"/>
      <c r="M50" s="636" t="e">
        <f t="shared" si="17"/>
        <v>#DIV/0!</v>
      </c>
      <c r="N50" s="636" t="e">
        <f t="shared" si="18"/>
        <v>#DIV/0!</v>
      </c>
      <c r="O50" s="636" t="e">
        <f t="shared" si="19"/>
        <v>#DIV/0!</v>
      </c>
      <c r="P50" s="636" t="e">
        <f t="shared" si="20"/>
        <v>#DIV/0!</v>
      </c>
      <c r="Q50" s="2033" t="e">
        <f t="shared" si="21"/>
        <v>#DIV/0!</v>
      </c>
      <c r="R50" s="654"/>
    </row>
    <row r="51" spans="1:18" s="221" customFormat="1" ht="9" customHeight="1" thickBot="1" x14ac:dyDescent="0.4">
      <c r="A51" s="5833"/>
      <c r="B51" s="5834"/>
      <c r="C51" s="5834"/>
      <c r="D51" s="5834"/>
      <c r="E51" s="5834"/>
      <c r="F51" s="5834"/>
      <c r="G51" s="5834"/>
      <c r="H51" s="5834"/>
      <c r="I51" s="5834"/>
      <c r="J51" s="5834"/>
      <c r="K51" s="5835"/>
      <c r="L51" s="2031"/>
      <c r="M51" s="2031"/>
      <c r="N51" s="2031"/>
      <c r="O51" s="2031"/>
      <c r="P51" s="2031"/>
      <c r="Q51" s="2054"/>
      <c r="R51" s="654"/>
    </row>
    <row r="52" spans="1:18" s="211" customFormat="1" ht="18" customHeight="1" thickBot="1" x14ac:dyDescent="0.4">
      <c r="A52" s="5836" t="s">
        <v>852</v>
      </c>
      <c r="B52" s="5837"/>
      <c r="C52" s="5837"/>
      <c r="D52" s="5837"/>
      <c r="E52" s="5837"/>
      <c r="F52" s="1816">
        <f>SUM(F43:F51)</f>
        <v>0</v>
      </c>
      <c r="G52" s="1816">
        <f>SUM(G43:G51)</f>
        <v>0</v>
      </c>
      <c r="H52" s="1816">
        <f>SUM(H43:H51)</f>
        <v>0</v>
      </c>
      <c r="I52" s="1816">
        <f>SUM(I43:I51)</f>
        <v>0</v>
      </c>
      <c r="J52" s="1817">
        <f>SUM(J43:J51)</f>
        <v>0</v>
      </c>
      <c r="K52" s="1818">
        <f>SUM(F52:J52)</f>
        <v>0</v>
      </c>
      <c r="L52" s="2055"/>
      <c r="M52" s="2044" t="e">
        <f>SUM(M43:M50)</f>
        <v>#DIV/0!</v>
      </c>
      <c r="N52" s="2044" t="e">
        <f>SUM(N43:N50)</f>
        <v>#DIV/0!</v>
      </c>
      <c r="O52" s="2044" t="e">
        <f>SUM(O43:O50)</f>
        <v>#DIV/0!</v>
      </c>
      <c r="P52" s="2044" t="e">
        <f>SUM(P43:P50)</f>
        <v>#DIV/0!</v>
      </c>
      <c r="Q52" s="2045" t="e">
        <f>SUM(Q43:Q50)</f>
        <v>#DIV/0!</v>
      </c>
      <c r="R52" s="538"/>
    </row>
    <row r="53" spans="1:18" s="205" customFormat="1" ht="15" thickTop="1" x14ac:dyDescent="0.35">
      <c r="A53" s="513"/>
      <c r="B53" s="513"/>
      <c r="C53" s="513"/>
      <c r="D53" s="513"/>
      <c r="E53" s="513"/>
      <c r="F53" s="548"/>
      <c r="G53" s="1575"/>
      <c r="H53" s="549"/>
      <c r="I53" s="550"/>
      <c r="J53" s="550"/>
      <c r="K53" s="550"/>
      <c r="L53" s="550"/>
      <c r="M53" s="520"/>
      <c r="N53" s="520"/>
      <c r="O53" s="513"/>
      <c r="P53" s="513"/>
      <c r="Q53" s="513"/>
      <c r="R53" s="513"/>
    </row>
    <row r="54" spans="1:18" s="210" customFormat="1" ht="14.5" x14ac:dyDescent="0.35">
      <c r="A54" s="551"/>
      <c r="B54" s="551"/>
      <c r="C54" s="551"/>
      <c r="D54" s="551"/>
      <c r="E54" s="551"/>
      <c r="F54" s="551"/>
      <c r="G54" s="551"/>
      <c r="H54" s="551"/>
      <c r="I54" s="551"/>
      <c r="J54" s="551"/>
      <c r="K54" s="551"/>
      <c r="L54" s="551"/>
      <c r="M54" s="551"/>
      <c r="N54" s="551"/>
      <c r="O54" s="551"/>
      <c r="P54" s="551"/>
      <c r="Q54" s="551"/>
      <c r="R54" s="512"/>
    </row>
    <row r="55" spans="1:18" s="218" customFormat="1" ht="18" customHeight="1" thickBot="1" x14ac:dyDescent="0.4">
      <c r="A55" s="587"/>
      <c r="B55" s="587"/>
      <c r="C55" s="587"/>
      <c r="D55" s="587"/>
      <c r="E55" s="587"/>
      <c r="F55" s="587"/>
      <c r="G55" s="587"/>
      <c r="H55" s="587"/>
      <c r="I55" s="587"/>
      <c r="J55" s="587"/>
      <c r="K55" s="587"/>
      <c r="L55" s="587"/>
      <c r="M55" s="587"/>
      <c r="N55" s="587"/>
      <c r="O55" s="587"/>
      <c r="P55" s="587"/>
      <c r="Q55" s="587"/>
      <c r="R55" s="587"/>
    </row>
    <row r="56" spans="1:18" s="1811" customFormat="1" ht="34.5" customHeight="1" thickTop="1" x14ac:dyDescent="0.35">
      <c r="A56" s="5838" t="s">
        <v>1655</v>
      </c>
      <c r="B56" s="5839"/>
      <c r="C56" s="5839"/>
      <c r="D56" s="5840"/>
      <c r="E56" s="5840"/>
      <c r="F56" s="1961">
        <f t="shared" ref="F56:K56" si="22">F42</f>
        <v>2017</v>
      </c>
      <c r="G56" s="1961">
        <f t="shared" si="22"/>
        <v>2018</v>
      </c>
      <c r="H56" s="1961">
        <f t="shared" si="22"/>
        <v>2019</v>
      </c>
      <c r="I56" s="1961">
        <f t="shared" si="22"/>
        <v>2020</v>
      </c>
      <c r="J56" s="1961">
        <f t="shared" si="22"/>
        <v>2021</v>
      </c>
      <c r="K56" s="2048" t="str">
        <f t="shared" si="22"/>
        <v xml:space="preserve">Total </v>
      </c>
      <c r="L56" s="1810"/>
      <c r="M56" s="1810"/>
      <c r="N56" s="1810"/>
      <c r="O56" s="1810"/>
      <c r="P56" s="1810"/>
      <c r="Q56" s="1810"/>
      <c r="R56" s="1810"/>
    </row>
    <row r="57" spans="1:18" s="1813" customFormat="1" ht="18" customHeight="1" thickBot="1" x14ac:dyDescent="0.4">
      <c r="A57" s="2049"/>
      <c r="B57" s="2049"/>
      <c r="C57" s="2049"/>
      <c r="D57" s="5841">
        <v>0</v>
      </c>
      <c r="E57" s="5841"/>
      <c r="F57" s="1827"/>
      <c r="G57" s="1827">
        <v>0</v>
      </c>
      <c r="H57" s="1827">
        <v>0</v>
      </c>
      <c r="I57" s="1827">
        <v>0</v>
      </c>
      <c r="J57" s="1828">
        <v>0</v>
      </c>
      <c r="K57" s="1886">
        <f>SUM(F57:J57)</f>
        <v>0</v>
      </c>
      <c r="L57" s="1812"/>
      <c r="M57" s="1812"/>
      <c r="N57" s="1812"/>
      <c r="O57" s="1812"/>
      <c r="P57" s="1812"/>
      <c r="Q57" s="1812"/>
      <c r="R57" s="1812"/>
    </row>
    <row r="58" spans="1:18" s="1813" customFormat="1" ht="40.5" customHeight="1" x14ac:dyDescent="0.35">
      <c r="A58" s="5842" t="str">
        <f>B36</f>
        <v>Total des Commissions à verser aux partenaires K Euros</v>
      </c>
      <c r="B58" s="5843"/>
      <c r="C58" s="5843"/>
      <c r="D58" s="5903"/>
      <c r="E58" s="5903"/>
      <c r="F58" s="1697">
        <f t="shared" ref="F58:K58" si="23">F39</f>
        <v>0</v>
      </c>
      <c r="G58" s="1697">
        <f t="shared" si="23"/>
        <v>0</v>
      </c>
      <c r="H58" s="1697">
        <f t="shared" si="23"/>
        <v>0</v>
      </c>
      <c r="I58" s="1697">
        <f t="shared" si="23"/>
        <v>0</v>
      </c>
      <c r="J58" s="1697">
        <f t="shared" si="23"/>
        <v>0</v>
      </c>
      <c r="K58" s="2050">
        <f t="shared" si="23"/>
        <v>0</v>
      </c>
      <c r="L58" s="1812"/>
      <c r="M58" s="1812"/>
      <c r="N58" s="1812"/>
      <c r="O58" s="1812"/>
      <c r="P58" s="1812"/>
      <c r="Q58" s="1812"/>
      <c r="R58" s="1812"/>
    </row>
    <row r="59" spans="1:18" s="1813" customFormat="1" ht="6.75" customHeight="1" x14ac:dyDescent="0.35">
      <c r="A59" s="5904"/>
      <c r="B59" s="5905"/>
      <c r="C59" s="5905"/>
      <c r="D59" s="5906"/>
      <c r="E59" s="5906"/>
      <c r="F59" s="1697" t="e">
        <f>('SALESPLAN 3Y'!#REF!+'SALESPLAN 3Y'!#REF!)*$D59</f>
        <v>#REF!</v>
      </c>
      <c r="G59" s="1697" t="e">
        <f>('SALESPLAN 3Y'!#REF!+'SALESPLAN 3Y'!#REF!)*$D59</f>
        <v>#REF!</v>
      </c>
      <c r="H59" s="1697" t="e">
        <f>('SALESPLAN 3Y'!#REF!+'SALESPLAN 3Y'!#REF!)*$D59</f>
        <v>#REF!</v>
      </c>
      <c r="I59" s="1697" t="e">
        <f>('SALESPLAN 3Y'!#REF!+'SALESPLAN 3Y'!#REF!)*$D59</f>
        <v>#REF!</v>
      </c>
      <c r="J59" s="1697" t="e">
        <f>('SALESPLAN 3Y'!#REF!+'SALESPLAN 3Y'!#REF!)*$D59</f>
        <v>#REF!</v>
      </c>
      <c r="K59" s="1814" t="e">
        <f>SUM(F59:J59)</f>
        <v>#REF!</v>
      </c>
      <c r="L59" s="1812"/>
      <c r="M59" s="1812"/>
      <c r="N59" s="1812"/>
      <c r="O59" s="1812"/>
      <c r="P59" s="1812"/>
      <c r="Q59" s="1812"/>
      <c r="R59" s="1812"/>
    </row>
    <row r="60" spans="1:18" s="1813" customFormat="1" ht="34.5" customHeight="1" x14ac:dyDescent="0.35">
      <c r="A60" s="5907" t="str">
        <f>A42</f>
        <v>Total du CA Services vendus par les partenaires K €</v>
      </c>
      <c r="B60" s="5908"/>
      <c r="C60" s="5908"/>
      <c r="D60" s="5906"/>
      <c r="E60" s="5906"/>
      <c r="F60" s="1697">
        <f t="shared" ref="F60:K60" si="24">F52</f>
        <v>0</v>
      </c>
      <c r="G60" s="1697">
        <f t="shared" si="24"/>
        <v>0</v>
      </c>
      <c r="H60" s="1697">
        <f t="shared" si="24"/>
        <v>0</v>
      </c>
      <c r="I60" s="1697">
        <f t="shared" si="24"/>
        <v>0</v>
      </c>
      <c r="J60" s="1697">
        <f t="shared" si="24"/>
        <v>0</v>
      </c>
      <c r="K60" s="2050">
        <f t="shared" si="24"/>
        <v>0</v>
      </c>
      <c r="L60" s="1812"/>
      <c r="M60" s="1812"/>
      <c r="N60" s="1812"/>
      <c r="O60" s="1812"/>
      <c r="P60" s="1812"/>
      <c r="Q60" s="1812"/>
      <c r="R60" s="1812"/>
    </row>
    <row r="61" spans="1:18" s="1813" customFormat="1" ht="9" customHeight="1" thickBot="1" x14ac:dyDescent="0.4">
      <c r="A61" s="5898"/>
      <c r="B61" s="5899"/>
      <c r="C61" s="5899"/>
      <c r="D61" s="5899"/>
      <c r="E61" s="5899"/>
      <c r="F61" s="5899"/>
      <c r="G61" s="5899"/>
      <c r="H61" s="5899"/>
      <c r="I61" s="5899"/>
      <c r="J61" s="5899"/>
      <c r="K61" s="5900"/>
      <c r="L61" s="1812"/>
      <c r="M61" s="1812"/>
      <c r="N61" s="1812"/>
      <c r="O61" s="1812"/>
      <c r="P61" s="1812"/>
      <c r="Q61" s="1812"/>
      <c r="R61" s="1812"/>
    </row>
    <row r="62" spans="1:18" s="1767" customFormat="1" ht="18" customHeight="1" thickBot="1" x14ac:dyDescent="0.4">
      <c r="A62" s="5901" t="s">
        <v>852</v>
      </c>
      <c r="B62" s="5902"/>
      <c r="C62" s="5902"/>
      <c r="D62" s="5902"/>
      <c r="E62" s="5902"/>
      <c r="F62" s="2046" t="e">
        <f>SUM(F57:F61)</f>
        <v>#REF!</v>
      </c>
      <c r="G62" s="2046" t="e">
        <f>SUM(G57:G61)</f>
        <v>#REF!</v>
      </c>
      <c r="H62" s="2046" t="e">
        <f>SUM(H57:H61)</f>
        <v>#REF!</v>
      </c>
      <c r="I62" s="2046" t="e">
        <f>SUM(I57:I61)</f>
        <v>#REF!</v>
      </c>
      <c r="J62" s="2047" t="e">
        <f>SUM(J57:J61)</f>
        <v>#REF!</v>
      </c>
      <c r="K62" s="2043" t="e">
        <f>SUM(F62:J62)</f>
        <v>#REF!</v>
      </c>
      <c r="L62" s="1778"/>
      <c r="M62" s="1778"/>
      <c r="N62" s="1778"/>
      <c r="O62" s="1778"/>
      <c r="P62" s="1778"/>
      <c r="Q62" s="1778"/>
      <c r="R62" s="1778"/>
    </row>
    <row r="63" spans="1:18" s="218" customFormat="1" ht="18" customHeight="1" thickTop="1" x14ac:dyDescent="0.35">
      <c r="A63" s="587"/>
      <c r="B63" s="587"/>
      <c r="C63" s="587"/>
      <c r="D63" s="658"/>
      <c r="E63" s="651"/>
      <c r="F63" s="651"/>
      <c r="G63" s="651"/>
      <c r="H63" s="651"/>
      <c r="I63" s="651"/>
      <c r="J63" s="651"/>
      <c r="K63" s="651"/>
      <c r="L63" s="587"/>
      <c r="M63" s="587"/>
      <c r="N63" s="587"/>
      <c r="O63" s="587"/>
      <c r="P63" s="587"/>
      <c r="Q63" s="587"/>
      <c r="R63" s="587"/>
    </row>
    <row r="64" spans="1:18" s="218" customFormat="1" ht="18" customHeight="1" x14ac:dyDescent="0.35">
      <c r="A64" s="587"/>
      <c r="B64" s="587"/>
      <c r="C64" s="587"/>
      <c r="D64" s="658"/>
      <c r="E64" s="651"/>
      <c r="F64" s="651"/>
      <c r="G64" s="651"/>
      <c r="H64" s="651"/>
      <c r="I64" s="651"/>
      <c r="J64" s="651"/>
      <c r="K64" s="651"/>
      <c r="L64" s="587"/>
      <c r="M64" s="587"/>
      <c r="N64" s="587"/>
      <c r="O64" s="587"/>
      <c r="P64" s="587"/>
      <c r="Q64" s="587"/>
      <c r="R64" s="587"/>
    </row>
    <row r="65" spans="1:18" s="218" customFormat="1" ht="18" customHeight="1" x14ac:dyDescent="0.35">
      <c r="A65" s="587"/>
      <c r="B65" s="587"/>
      <c r="C65" s="587"/>
      <c r="D65" s="651"/>
      <c r="E65" s="651"/>
      <c r="F65" s="651"/>
      <c r="G65" s="651"/>
      <c r="H65" s="651"/>
      <c r="I65" s="651"/>
      <c r="J65" s="651"/>
      <c r="K65" s="651"/>
      <c r="L65" s="587"/>
      <c r="M65" s="587"/>
      <c r="N65" s="587"/>
      <c r="O65" s="587"/>
      <c r="P65" s="587"/>
      <c r="Q65" s="587"/>
      <c r="R65" s="587"/>
    </row>
    <row r="66" spans="1:18" s="218" customFormat="1" ht="14.5" x14ac:dyDescent="0.35">
      <c r="A66" s="587"/>
      <c r="B66" s="587"/>
      <c r="C66" s="587"/>
      <c r="D66" s="651"/>
      <c r="E66" s="651"/>
      <c r="F66" s="651"/>
      <c r="G66" s="651"/>
      <c r="H66" s="651"/>
      <c r="I66" s="651"/>
      <c r="J66" s="651"/>
      <c r="K66" s="651"/>
      <c r="L66" s="587"/>
      <c r="M66" s="587"/>
      <c r="N66" s="587"/>
      <c r="O66" s="587"/>
      <c r="P66" s="587"/>
      <c r="Q66" s="587"/>
      <c r="R66" s="587"/>
    </row>
    <row r="67" spans="1:18" x14ac:dyDescent="0.3">
      <c r="A67" s="651"/>
      <c r="B67" s="651"/>
      <c r="C67" s="651"/>
      <c r="D67" s="651"/>
      <c r="E67" s="651"/>
      <c r="F67" s="651"/>
      <c r="G67" s="651"/>
      <c r="H67" s="651"/>
      <c r="I67" s="651"/>
      <c r="J67" s="651"/>
      <c r="K67" s="651"/>
      <c r="L67" s="651"/>
      <c r="M67" s="651"/>
      <c r="N67" s="651"/>
      <c r="O67" s="651"/>
      <c r="P67" s="651"/>
      <c r="Q67" s="651"/>
      <c r="R67" s="651"/>
    </row>
    <row r="68" spans="1:18" x14ac:dyDescent="0.3">
      <c r="A68" s="651"/>
      <c r="B68" s="651"/>
      <c r="C68" s="651"/>
      <c r="D68" s="651"/>
      <c r="E68" s="651"/>
      <c r="F68" s="651"/>
      <c r="G68" s="651"/>
      <c r="H68" s="651"/>
      <c r="I68" s="651"/>
      <c r="J68" s="651"/>
      <c r="K68" s="651"/>
      <c r="L68" s="651"/>
      <c r="M68" s="651"/>
      <c r="N68" s="651"/>
      <c r="O68" s="651"/>
      <c r="P68" s="651"/>
      <c r="Q68" s="651"/>
      <c r="R68" s="651"/>
    </row>
    <row r="69" spans="1:18" x14ac:dyDescent="0.3">
      <c r="A69" s="651"/>
      <c r="B69" s="651"/>
      <c r="C69" s="651"/>
      <c r="D69" s="651"/>
      <c r="E69" s="651"/>
      <c r="F69" s="651"/>
      <c r="G69" s="651"/>
      <c r="H69" s="651"/>
      <c r="I69" s="651"/>
      <c r="J69" s="651"/>
      <c r="K69" s="651"/>
      <c r="L69" s="651"/>
      <c r="M69" s="651"/>
      <c r="N69" s="651"/>
      <c r="O69" s="651"/>
      <c r="P69" s="651"/>
      <c r="Q69" s="651"/>
      <c r="R69" s="651"/>
    </row>
    <row r="70" spans="1:18" x14ac:dyDescent="0.3">
      <c r="A70" s="651"/>
      <c r="B70" s="651"/>
      <c r="C70" s="651"/>
      <c r="D70" s="651"/>
      <c r="E70" s="651"/>
      <c r="F70" s="651"/>
      <c r="G70" s="651"/>
      <c r="H70" s="651"/>
      <c r="I70" s="651"/>
      <c r="J70" s="651"/>
      <c r="K70" s="651"/>
      <c r="L70" s="651"/>
      <c r="M70" s="651"/>
      <c r="N70" s="651"/>
      <c r="O70" s="651"/>
      <c r="P70" s="651"/>
      <c r="Q70" s="651"/>
      <c r="R70" s="651"/>
    </row>
    <row r="71" spans="1:18" x14ac:dyDescent="0.3">
      <c r="A71" s="651"/>
      <c r="B71" s="651"/>
      <c r="C71" s="651"/>
      <c r="D71" s="651"/>
      <c r="E71" s="651"/>
      <c r="F71" s="651"/>
      <c r="G71" s="651"/>
      <c r="H71" s="651"/>
      <c r="I71" s="651"/>
      <c r="J71" s="651"/>
      <c r="K71" s="651"/>
      <c r="L71" s="651"/>
      <c r="M71" s="651"/>
      <c r="N71" s="651"/>
      <c r="O71" s="651"/>
      <c r="P71" s="651"/>
      <c r="Q71" s="651"/>
      <c r="R71" s="651"/>
    </row>
    <row r="72" spans="1:18" x14ac:dyDescent="0.3">
      <c r="A72" s="651"/>
      <c r="B72" s="651"/>
      <c r="C72" s="651"/>
      <c r="D72" s="651"/>
      <c r="E72" s="651"/>
      <c r="F72" s="651"/>
      <c r="G72" s="651"/>
      <c r="H72" s="651"/>
      <c r="I72" s="651"/>
      <c r="J72" s="651"/>
      <c r="K72" s="651"/>
      <c r="L72" s="651"/>
      <c r="M72" s="651"/>
      <c r="N72" s="651"/>
      <c r="O72" s="651"/>
      <c r="P72" s="651"/>
      <c r="Q72" s="651"/>
      <c r="R72" s="651"/>
    </row>
    <row r="73" spans="1:18" x14ac:dyDescent="0.3">
      <c r="A73" s="651"/>
      <c r="B73" s="651"/>
      <c r="C73" s="651"/>
      <c r="D73" s="651"/>
      <c r="E73" s="651"/>
      <c r="F73" s="651"/>
      <c r="G73" s="651"/>
      <c r="H73" s="651"/>
      <c r="I73" s="651"/>
      <c r="J73" s="651"/>
      <c r="K73" s="651"/>
      <c r="L73" s="651"/>
      <c r="M73" s="651"/>
      <c r="N73" s="651"/>
      <c r="O73" s="651"/>
      <c r="P73" s="651"/>
      <c r="Q73" s="651"/>
      <c r="R73" s="651"/>
    </row>
    <row r="74" spans="1:18" x14ac:dyDescent="0.3">
      <c r="A74" s="651"/>
      <c r="B74" s="651"/>
      <c r="C74" s="651"/>
      <c r="D74" s="651"/>
      <c r="E74" s="651"/>
      <c r="F74" s="651"/>
      <c r="G74" s="651"/>
      <c r="H74" s="651"/>
      <c r="I74" s="651"/>
      <c r="J74" s="651"/>
      <c r="K74" s="651"/>
      <c r="L74" s="651"/>
      <c r="M74" s="651"/>
      <c r="N74" s="651"/>
      <c r="O74" s="651"/>
      <c r="P74" s="651"/>
      <c r="Q74" s="651"/>
      <c r="R74" s="651"/>
    </row>
    <row r="75" spans="1:18" x14ac:dyDescent="0.3">
      <c r="A75" s="651"/>
      <c r="B75" s="651"/>
      <c r="C75" s="651"/>
      <c r="D75" s="651"/>
      <c r="E75" s="651"/>
      <c r="F75" s="651"/>
      <c r="G75" s="651"/>
      <c r="H75" s="651"/>
      <c r="I75" s="651"/>
      <c r="J75" s="651"/>
      <c r="K75" s="651"/>
      <c r="L75" s="651"/>
      <c r="M75" s="651"/>
      <c r="N75" s="651"/>
      <c r="O75" s="651"/>
      <c r="P75" s="651"/>
      <c r="Q75" s="651"/>
      <c r="R75" s="651"/>
    </row>
    <row r="76" spans="1:18" x14ac:dyDescent="0.3">
      <c r="A76" s="651"/>
      <c r="B76" s="651"/>
      <c r="C76" s="651"/>
      <c r="D76" s="651"/>
      <c r="E76" s="651"/>
      <c r="F76" s="651"/>
      <c r="G76" s="651"/>
      <c r="H76" s="651"/>
      <c r="I76" s="651"/>
      <c r="J76" s="651"/>
      <c r="K76" s="651"/>
      <c r="L76" s="651"/>
      <c r="M76" s="651"/>
      <c r="N76" s="651"/>
      <c r="O76" s="651"/>
      <c r="P76" s="651"/>
      <c r="Q76" s="651"/>
      <c r="R76" s="651"/>
    </row>
    <row r="77" spans="1:18" x14ac:dyDescent="0.3">
      <c r="A77" s="651"/>
      <c r="B77" s="651"/>
      <c r="C77" s="651"/>
      <c r="D77" s="651"/>
      <c r="E77" s="651"/>
      <c r="F77" s="651"/>
      <c r="G77" s="651"/>
      <c r="H77" s="651"/>
      <c r="I77" s="651"/>
      <c r="J77" s="651"/>
      <c r="K77" s="651"/>
      <c r="L77" s="651"/>
      <c r="M77" s="651"/>
      <c r="N77" s="651"/>
      <c r="O77" s="651"/>
      <c r="P77" s="651"/>
      <c r="Q77" s="651"/>
      <c r="R77" s="651"/>
    </row>
    <row r="78" spans="1:18" x14ac:dyDescent="0.3">
      <c r="A78" s="651"/>
      <c r="B78" s="651"/>
      <c r="C78" s="651"/>
      <c r="D78" s="651"/>
      <c r="E78" s="651"/>
      <c r="F78" s="651"/>
      <c r="G78" s="651"/>
      <c r="H78" s="651"/>
      <c r="I78" s="651"/>
      <c r="J78" s="651"/>
      <c r="K78" s="651"/>
      <c r="L78" s="651"/>
      <c r="M78" s="651"/>
      <c r="N78" s="651"/>
      <c r="O78" s="651"/>
      <c r="P78" s="651"/>
      <c r="Q78" s="651"/>
      <c r="R78" s="651"/>
    </row>
    <row r="79" spans="1:18" x14ac:dyDescent="0.3">
      <c r="A79" s="651"/>
      <c r="B79" s="651"/>
      <c r="C79" s="651"/>
      <c r="D79" s="651"/>
      <c r="E79" s="651"/>
      <c r="F79" s="651"/>
      <c r="G79" s="651"/>
      <c r="H79" s="651"/>
      <c r="I79" s="651"/>
      <c r="J79" s="651"/>
      <c r="K79" s="651"/>
      <c r="L79" s="651"/>
      <c r="M79" s="651"/>
      <c r="N79" s="651"/>
      <c r="O79" s="651"/>
      <c r="P79" s="651"/>
      <c r="Q79" s="651"/>
      <c r="R79" s="651"/>
    </row>
    <row r="80" spans="1:18" x14ac:dyDescent="0.3">
      <c r="A80" s="651"/>
      <c r="B80" s="651"/>
      <c r="C80" s="651"/>
      <c r="D80" s="651"/>
      <c r="E80" s="651"/>
      <c r="F80" s="651"/>
      <c r="G80" s="651"/>
      <c r="H80" s="651"/>
      <c r="I80" s="651"/>
      <c r="J80" s="651"/>
      <c r="K80" s="651"/>
      <c r="L80" s="651"/>
      <c r="M80" s="651"/>
      <c r="N80" s="651"/>
      <c r="O80" s="651"/>
      <c r="P80" s="651"/>
      <c r="Q80" s="651"/>
      <c r="R80" s="651"/>
    </row>
    <row r="81" spans="1:18" x14ac:dyDescent="0.3">
      <c r="A81" s="651"/>
      <c r="B81" s="651"/>
      <c r="C81" s="651"/>
      <c r="D81" s="651"/>
      <c r="E81" s="651"/>
      <c r="F81" s="651"/>
      <c r="G81" s="651"/>
      <c r="H81" s="651"/>
      <c r="I81" s="651"/>
      <c r="J81" s="651"/>
      <c r="K81" s="651"/>
      <c r="L81" s="651"/>
      <c r="M81" s="651"/>
      <c r="N81" s="651"/>
      <c r="O81" s="651"/>
      <c r="P81" s="651"/>
      <c r="Q81" s="651"/>
      <c r="R81" s="651"/>
    </row>
    <row r="82" spans="1:18" x14ac:dyDescent="0.3">
      <c r="A82" s="651"/>
      <c r="B82" s="651"/>
      <c r="C82" s="651"/>
      <c r="D82" s="651"/>
      <c r="E82" s="651"/>
      <c r="F82" s="651"/>
      <c r="G82" s="651"/>
      <c r="H82" s="651"/>
      <c r="I82" s="651"/>
      <c r="J82" s="651"/>
      <c r="K82" s="651"/>
      <c r="L82" s="651"/>
      <c r="M82" s="651"/>
      <c r="N82" s="651"/>
      <c r="O82" s="651"/>
      <c r="P82" s="651"/>
      <c r="Q82" s="651"/>
      <c r="R82" s="651"/>
    </row>
    <row r="83" spans="1:18" x14ac:dyDescent="0.3">
      <c r="A83" s="651"/>
      <c r="B83" s="651"/>
      <c r="C83" s="651"/>
      <c r="D83" s="651"/>
      <c r="E83" s="651"/>
      <c r="F83" s="651"/>
      <c r="G83" s="651"/>
      <c r="H83" s="651"/>
      <c r="I83" s="651"/>
      <c r="J83" s="651"/>
      <c r="K83" s="651"/>
      <c r="L83" s="651"/>
      <c r="M83" s="651"/>
      <c r="N83" s="651"/>
      <c r="O83" s="651"/>
      <c r="P83" s="651"/>
      <c r="Q83" s="651"/>
      <c r="R83" s="651"/>
    </row>
    <row r="84" spans="1:18" x14ac:dyDescent="0.3">
      <c r="A84" s="651"/>
      <c r="B84" s="651"/>
      <c r="C84" s="651"/>
      <c r="D84" s="651"/>
      <c r="E84" s="651"/>
      <c r="F84" s="651"/>
      <c r="G84" s="651"/>
      <c r="H84" s="651"/>
      <c r="I84" s="651"/>
      <c r="J84" s="651"/>
      <c r="K84" s="651"/>
      <c r="L84" s="651"/>
      <c r="M84" s="651"/>
      <c r="N84" s="651"/>
      <c r="O84" s="651"/>
      <c r="P84" s="651"/>
      <c r="Q84" s="651"/>
      <c r="R84" s="651"/>
    </row>
    <row r="86" spans="1:18" s="210" customFormat="1" ht="15" thickBot="1" x14ac:dyDescent="0.4">
      <c r="D86" s="116"/>
      <c r="E86" s="116"/>
      <c r="F86" s="116"/>
      <c r="G86" s="116"/>
      <c r="H86" s="116"/>
      <c r="I86" s="116"/>
      <c r="J86" s="116"/>
      <c r="K86" s="116"/>
    </row>
    <row r="87" spans="1:18" s="210" customFormat="1" ht="15" hidden="1" thickBot="1" x14ac:dyDescent="0.4">
      <c r="A87" s="551"/>
      <c r="B87" s="551"/>
      <c r="C87" s="551"/>
      <c r="D87" s="551"/>
      <c r="E87" s="551"/>
      <c r="F87" s="551"/>
      <c r="G87" s="551"/>
      <c r="H87" s="551"/>
      <c r="I87" s="551"/>
      <c r="J87" s="551"/>
      <c r="K87" s="551"/>
      <c r="L87" s="551"/>
      <c r="M87" s="551"/>
      <c r="N87" s="551"/>
      <c r="O87" s="551"/>
      <c r="P87" s="551"/>
      <c r="Q87" s="551"/>
      <c r="R87" s="512"/>
    </row>
    <row r="88" spans="1:18" s="211" customFormat="1" ht="37.5" hidden="1" customHeight="1" x14ac:dyDescent="0.35">
      <c r="A88" s="538"/>
      <c r="B88" s="538"/>
      <c r="C88" s="538"/>
      <c r="D88" s="538"/>
      <c r="E88" s="538"/>
      <c r="F88" s="552" t="s">
        <v>766</v>
      </c>
      <c r="G88" s="553">
        <v>2012</v>
      </c>
      <c r="H88" s="553">
        <v>2013</v>
      </c>
      <c r="I88" s="553">
        <v>2014</v>
      </c>
      <c r="J88" s="553">
        <v>2015</v>
      </c>
      <c r="K88" s="553">
        <v>2016</v>
      </c>
      <c r="L88" s="554" t="s">
        <v>765</v>
      </c>
      <c r="M88" s="538"/>
      <c r="N88" s="538"/>
      <c r="O88" s="538"/>
      <c r="P88" s="538"/>
      <c r="Q88" s="538"/>
      <c r="R88" s="512"/>
    </row>
    <row r="89" spans="1:18" s="166" customFormat="1" ht="39.5" hidden="1" thickBot="1" x14ac:dyDescent="0.4">
      <c r="A89" s="512"/>
      <c r="B89" s="512"/>
      <c r="C89" s="512"/>
      <c r="D89" s="512"/>
      <c r="E89" s="512"/>
      <c r="F89" s="555" t="s">
        <v>767</v>
      </c>
      <c r="G89" s="556"/>
      <c r="H89" s="557" t="e">
        <f>#REF!/#REF!</f>
        <v>#REF!</v>
      </c>
      <c r="I89" s="557" t="e">
        <f>#REF!/#REF!</f>
        <v>#REF!</v>
      </c>
      <c r="J89" s="557" t="e">
        <f>#REF!/#REF!</f>
        <v>#REF!</v>
      </c>
      <c r="K89" s="557" t="e">
        <f>#REF!/#REF!</f>
        <v>#REF!</v>
      </c>
      <c r="L89" s="558" t="e">
        <f t="shared" ref="L89:L94" si="25">SUM(H89:K89)</f>
        <v>#REF!</v>
      </c>
      <c r="M89" s="559"/>
      <c r="N89" s="551"/>
      <c r="O89" s="551"/>
      <c r="P89" s="551"/>
      <c r="Q89" s="551"/>
      <c r="R89" s="551"/>
    </row>
    <row r="90" spans="1:18" s="166" customFormat="1" ht="26.5" hidden="1" thickBot="1" x14ac:dyDescent="0.4">
      <c r="A90" s="512"/>
      <c r="B90" s="512"/>
      <c r="C90" s="512"/>
      <c r="D90" s="512"/>
      <c r="E90" s="512"/>
      <c r="F90" s="555" t="s">
        <v>768</v>
      </c>
      <c r="G90" s="556"/>
      <c r="H90" s="557" t="e">
        <f>#REF!/#REF!</f>
        <v>#REF!</v>
      </c>
      <c r="I90" s="557" t="e">
        <f>#REF!/#REF!</f>
        <v>#REF!</v>
      </c>
      <c r="J90" s="557" t="e">
        <f>#REF!/#REF!</f>
        <v>#REF!</v>
      </c>
      <c r="K90" s="557" t="e">
        <f>#REF!/#REF!</f>
        <v>#REF!</v>
      </c>
      <c r="L90" s="558" t="e">
        <f t="shared" si="25"/>
        <v>#REF!</v>
      </c>
      <c r="M90" s="559"/>
      <c r="N90" s="538"/>
      <c r="O90" s="538"/>
      <c r="P90" s="538"/>
      <c r="Q90" s="538"/>
      <c r="R90" s="538"/>
    </row>
    <row r="91" spans="1:18" s="212" customFormat="1" ht="12.75" hidden="1" customHeight="1" x14ac:dyDescent="0.35">
      <c r="A91" s="560"/>
      <c r="B91" s="560"/>
      <c r="C91" s="560"/>
      <c r="D91" s="560"/>
      <c r="E91" s="560"/>
      <c r="F91" s="555" t="s">
        <v>759</v>
      </c>
      <c r="G91" s="561"/>
      <c r="H91" s="557" t="e">
        <f>#REF!/#REF!</f>
        <v>#REF!</v>
      </c>
      <c r="I91" s="557" t="e">
        <f>#REF!/#REF!</f>
        <v>#REF!</v>
      </c>
      <c r="J91" s="557" t="e">
        <f>#REF!/#REF!</f>
        <v>#REF!</v>
      </c>
      <c r="K91" s="557" t="e">
        <f>#REF!/#REF!</f>
        <v>#REF!</v>
      </c>
      <c r="L91" s="562" t="e">
        <f t="shared" si="25"/>
        <v>#REF!</v>
      </c>
      <c r="M91" s="563"/>
      <c r="N91" s="564"/>
      <c r="O91" s="565"/>
      <c r="P91" s="565"/>
      <c r="Q91" s="512"/>
      <c r="R91" s="512"/>
    </row>
    <row r="92" spans="1:18" s="166" customFormat="1" ht="17.25" hidden="1" customHeight="1" x14ac:dyDescent="0.35">
      <c r="A92" s="512"/>
      <c r="B92" s="512"/>
      <c r="C92" s="512"/>
      <c r="D92" s="512"/>
      <c r="E92" s="512"/>
      <c r="F92" s="555" t="s">
        <v>760</v>
      </c>
      <c r="G92" s="566"/>
      <c r="H92" s="557" t="e">
        <f>#REF!/#REF!</f>
        <v>#REF!</v>
      </c>
      <c r="I92" s="557" t="e">
        <f>#REF!/#REF!</f>
        <v>#REF!</v>
      </c>
      <c r="J92" s="557" t="e">
        <f>#REF!/#REF!</f>
        <v>#REF!</v>
      </c>
      <c r="K92" s="557" t="e">
        <f>#REF!/#REF!</f>
        <v>#REF!</v>
      </c>
      <c r="L92" s="567" t="e">
        <f t="shared" si="25"/>
        <v>#REF!</v>
      </c>
      <c r="M92" s="559"/>
      <c r="N92" s="564"/>
      <c r="O92" s="565"/>
      <c r="P92" s="565"/>
      <c r="Q92" s="512"/>
      <c r="R92" s="512"/>
    </row>
    <row r="93" spans="1:18" s="166" customFormat="1" ht="15" hidden="1" thickBot="1" x14ac:dyDescent="0.4">
      <c r="A93" s="512"/>
      <c r="B93" s="512"/>
      <c r="C93" s="512"/>
      <c r="D93" s="512"/>
      <c r="E93" s="512"/>
      <c r="F93" s="568"/>
      <c r="G93" s="566"/>
      <c r="H93" s="557"/>
      <c r="I93" s="557"/>
      <c r="J93" s="557"/>
      <c r="K93" s="557"/>
      <c r="L93" s="567">
        <f t="shared" si="25"/>
        <v>0</v>
      </c>
      <c r="M93" s="569"/>
      <c r="N93" s="570"/>
      <c r="O93" s="571"/>
      <c r="P93" s="571"/>
      <c r="Q93" s="560"/>
      <c r="R93" s="560"/>
    </row>
    <row r="94" spans="1:18" s="166" customFormat="1" ht="15" hidden="1" thickBot="1" x14ac:dyDescent="0.4">
      <c r="A94" s="512"/>
      <c r="B94" s="512"/>
      <c r="C94" s="512"/>
      <c r="D94" s="512"/>
      <c r="E94" s="512"/>
      <c r="F94" s="555"/>
      <c r="G94" s="566"/>
      <c r="H94" s="557"/>
      <c r="I94" s="557"/>
      <c r="J94" s="557"/>
      <c r="K94" s="557"/>
      <c r="L94" s="567">
        <f t="shared" si="25"/>
        <v>0</v>
      </c>
      <c r="M94" s="512"/>
      <c r="N94" s="564"/>
      <c r="O94" s="565"/>
      <c r="P94" s="565"/>
      <c r="Q94" s="512"/>
      <c r="R94" s="512"/>
    </row>
    <row r="95" spans="1:18" s="166" customFormat="1" ht="15" hidden="1" customHeight="1" x14ac:dyDescent="0.35">
      <c r="A95" s="512"/>
      <c r="B95" s="512"/>
      <c r="C95" s="512"/>
      <c r="D95" s="512"/>
      <c r="E95" s="512"/>
      <c r="F95" s="572"/>
      <c r="G95" s="573"/>
      <c r="H95" s="574"/>
      <c r="I95" s="574"/>
      <c r="J95" s="574"/>
      <c r="K95" s="574"/>
      <c r="L95" s="575"/>
      <c r="M95" s="512"/>
      <c r="N95" s="564"/>
      <c r="O95" s="565"/>
      <c r="P95" s="565"/>
      <c r="Q95" s="512"/>
      <c r="R95" s="512"/>
    </row>
    <row r="96" spans="1:18" s="166" customFormat="1" ht="15" hidden="1" thickBot="1" x14ac:dyDescent="0.4">
      <c r="A96" s="512"/>
      <c r="B96" s="512"/>
      <c r="C96" s="512"/>
      <c r="D96" s="512"/>
      <c r="E96" s="512"/>
      <c r="F96" s="576"/>
      <c r="G96" s="573"/>
      <c r="H96" s="577"/>
      <c r="I96" s="577"/>
      <c r="J96" s="577"/>
      <c r="K96" s="577"/>
      <c r="L96" s="578"/>
      <c r="M96" s="512"/>
      <c r="N96" s="565"/>
      <c r="O96" s="565"/>
      <c r="P96" s="565"/>
      <c r="Q96" s="512"/>
      <c r="R96" s="512"/>
    </row>
    <row r="97" spans="1:18" s="166" customFormat="1" ht="15.5" hidden="1" thickTop="1" thickBot="1" x14ac:dyDescent="0.4">
      <c r="A97" s="512"/>
      <c r="B97" s="512"/>
      <c r="C97" s="512"/>
      <c r="D97" s="512"/>
      <c r="E97" s="512"/>
      <c r="F97" s="579" t="s">
        <v>127</v>
      </c>
      <c r="G97" s="580">
        <f>SUM(G89:G96)</f>
        <v>0</v>
      </c>
      <c r="H97" s="581" t="e">
        <f>SUM(H89:H96)</f>
        <v>#REF!</v>
      </c>
      <c r="I97" s="581" t="e">
        <f>SUM(I89:I96)</f>
        <v>#REF!</v>
      </c>
      <c r="J97" s="581" t="e">
        <f>SUM(J89:J96)</f>
        <v>#REF!</v>
      </c>
      <c r="K97" s="581" t="e">
        <f>SUM(K89:K96)</f>
        <v>#REF!</v>
      </c>
      <c r="L97" s="582" t="e">
        <f>SUM(H97:K97)</f>
        <v>#REF!</v>
      </c>
      <c r="M97" s="530"/>
      <c r="N97" s="512"/>
      <c r="O97" s="512"/>
      <c r="P97" s="512"/>
      <c r="Q97" s="512"/>
      <c r="R97" s="512"/>
    </row>
    <row r="98" spans="1:18" s="210" customFormat="1" ht="15" hidden="1" thickBot="1" x14ac:dyDescent="0.4">
      <c r="A98" s="551"/>
      <c r="B98" s="551"/>
      <c r="C98" s="551"/>
      <c r="D98" s="551"/>
      <c r="E98" s="551"/>
      <c r="F98" s="551"/>
      <c r="G98" s="551"/>
      <c r="H98" s="551"/>
      <c r="I98" s="551"/>
      <c r="J98" s="551"/>
      <c r="K98" s="551"/>
      <c r="L98" s="551"/>
      <c r="M98" s="551"/>
      <c r="N98" s="512"/>
      <c r="O98" s="512"/>
      <c r="P98" s="512"/>
      <c r="Q98" s="512"/>
      <c r="R98" s="512"/>
    </row>
    <row r="99" spans="1:18" s="210" customFormat="1" ht="15" hidden="1" thickBot="1" x14ac:dyDescent="0.4">
      <c r="A99" s="551"/>
      <c r="B99" s="551"/>
      <c r="C99" s="551"/>
      <c r="D99" s="551"/>
      <c r="E99" s="551"/>
      <c r="F99" s="551"/>
      <c r="G99" s="551"/>
      <c r="H99" s="551"/>
      <c r="I99" s="551"/>
      <c r="J99" s="551"/>
      <c r="K99" s="551"/>
      <c r="L99" s="551"/>
      <c r="M99" s="551"/>
      <c r="N99" s="530"/>
      <c r="O99" s="512"/>
      <c r="P99" s="512"/>
      <c r="Q99" s="512"/>
      <c r="R99" s="512"/>
    </row>
    <row r="100" spans="1:18" s="210" customFormat="1" ht="15" hidden="1" thickBot="1" x14ac:dyDescent="0.4">
      <c r="A100" s="551"/>
      <c r="B100" s="551"/>
      <c r="C100" s="551"/>
      <c r="D100" s="551"/>
      <c r="E100" s="551"/>
      <c r="F100" s="551"/>
      <c r="G100" s="551"/>
      <c r="H100" s="551"/>
      <c r="I100" s="551"/>
      <c r="J100" s="551"/>
      <c r="K100" s="551"/>
      <c r="L100" s="551"/>
      <c r="M100" s="551"/>
      <c r="N100" s="520"/>
      <c r="O100" s="513"/>
      <c r="P100" s="513"/>
      <c r="Q100" s="513"/>
      <c r="R100" s="513"/>
    </row>
    <row r="101" spans="1:18" s="211" customFormat="1" ht="37.5" hidden="1" customHeight="1" x14ac:dyDescent="0.35">
      <c r="A101" s="538"/>
      <c r="B101" s="538"/>
      <c r="C101" s="538"/>
      <c r="D101" s="538"/>
      <c r="E101" s="538"/>
      <c r="F101" s="552" t="s">
        <v>769</v>
      </c>
      <c r="G101" s="553">
        <v>2012</v>
      </c>
      <c r="H101" s="553">
        <v>2013</v>
      </c>
      <c r="I101" s="553">
        <v>2014</v>
      </c>
      <c r="J101" s="553">
        <v>2015</v>
      </c>
      <c r="K101" s="553">
        <v>2016</v>
      </c>
      <c r="L101" s="554" t="s">
        <v>765</v>
      </c>
      <c r="M101" s="538"/>
      <c r="N101" s="520"/>
      <c r="O101" s="513"/>
      <c r="P101" s="513"/>
      <c r="Q101" s="513"/>
      <c r="R101" s="513"/>
    </row>
    <row r="102" spans="1:18" s="166" customFormat="1" ht="39.5" hidden="1" thickBot="1" x14ac:dyDescent="0.4">
      <c r="A102" s="512"/>
      <c r="B102" s="512"/>
      <c r="C102" s="512"/>
      <c r="D102" s="512"/>
      <c r="E102" s="512"/>
      <c r="F102" s="555" t="s">
        <v>767</v>
      </c>
      <c r="G102" s="556"/>
      <c r="H102" s="557" t="e">
        <f>H89/#REF!</f>
        <v>#REF!</v>
      </c>
      <c r="I102" s="557" t="e">
        <f>I89/#REF!</f>
        <v>#REF!</v>
      </c>
      <c r="J102" s="557" t="e">
        <f>J89/#REF!</f>
        <v>#REF!</v>
      </c>
      <c r="K102" s="557" t="e">
        <f>K89/#REF!</f>
        <v>#REF!</v>
      </c>
      <c r="L102" s="558" t="e">
        <f t="shared" ref="L102:L107" si="26">SUM(H102:K102)</f>
        <v>#REF!</v>
      </c>
      <c r="M102" s="559"/>
      <c r="N102" s="551"/>
      <c r="O102" s="551"/>
      <c r="P102" s="551"/>
      <c r="Q102" s="551"/>
      <c r="R102" s="551"/>
    </row>
    <row r="103" spans="1:18" s="166" customFormat="1" ht="26.5" hidden="1" thickBot="1" x14ac:dyDescent="0.4">
      <c r="A103" s="512"/>
      <c r="B103" s="512"/>
      <c r="C103" s="512"/>
      <c r="D103" s="512"/>
      <c r="E103" s="512"/>
      <c r="F103" s="555" t="s">
        <v>768</v>
      </c>
      <c r="G103" s="556"/>
      <c r="H103" s="557" t="e">
        <f>H90/#REF!</f>
        <v>#REF!</v>
      </c>
      <c r="I103" s="557" t="e">
        <f>I90/#REF!</f>
        <v>#REF!</v>
      </c>
      <c r="J103" s="557" t="e">
        <f>J90/#REF!</f>
        <v>#REF!</v>
      </c>
      <c r="K103" s="557" t="e">
        <f>K90/#REF!</f>
        <v>#REF!</v>
      </c>
      <c r="L103" s="558" t="e">
        <f t="shared" si="26"/>
        <v>#REF!</v>
      </c>
      <c r="M103" s="559"/>
      <c r="N103" s="538"/>
      <c r="O103" s="538"/>
      <c r="P103" s="538"/>
      <c r="Q103" s="538"/>
      <c r="R103" s="538"/>
    </row>
    <row r="104" spans="1:18" s="212" customFormat="1" ht="12.75" hidden="1" customHeight="1" x14ac:dyDescent="0.35">
      <c r="A104" s="560"/>
      <c r="B104" s="560"/>
      <c r="C104" s="560"/>
      <c r="D104" s="560"/>
      <c r="E104" s="560"/>
      <c r="F104" s="555" t="s">
        <v>759</v>
      </c>
      <c r="G104" s="561"/>
      <c r="H104" s="557" t="e">
        <f>H91/#REF!</f>
        <v>#REF!</v>
      </c>
      <c r="I104" s="557" t="e">
        <f>I91/#REF!</f>
        <v>#REF!</v>
      </c>
      <c r="J104" s="557" t="e">
        <f>J91/#REF!</f>
        <v>#REF!</v>
      </c>
      <c r="K104" s="557" t="e">
        <f>K91/#REF!</f>
        <v>#REF!</v>
      </c>
      <c r="L104" s="562" t="e">
        <f t="shared" si="26"/>
        <v>#REF!</v>
      </c>
      <c r="M104" s="563"/>
      <c r="N104" s="564"/>
      <c r="O104" s="565"/>
      <c r="P104" s="565"/>
      <c r="Q104" s="512"/>
      <c r="R104" s="512"/>
    </row>
    <row r="105" spans="1:18" s="166" customFormat="1" ht="17.25" hidden="1" customHeight="1" x14ac:dyDescent="0.35">
      <c r="A105" s="512"/>
      <c r="B105" s="512"/>
      <c r="C105" s="512"/>
      <c r="D105" s="512"/>
      <c r="E105" s="512"/>
      <c r="F105" s="555" t="s">
        <v>760</v>
      </c>
      <c r="G105" s="566"/>
      <c r="H105" s="557" t="e">
        <f>H92/#REF!</f>
        <v>#REF!</v>
      </c>
      <c r="I105" s="557" t="e">
        <f>I92/#REF!</f>
        <v>#REF!</v>
      </c>
      <c r="J105" s="557" t="e">
        <f>J92/#REF!</f>
        <v>#REF!</v>
      </c>
      <c r="K105" s="557" t="e">
        <f>K92/#REF!</f>
        <v>#REF!</v>
      </c>
      <c r="L105" s="567" t="e">
        <f t="shared" si="26"/>
        <v>#REF!</v>
      </c>
      <c r="M105" s="559"/>
      <c r="N105" s="564"/>
      <c r="O105" s="565"/>
      <c r="P105" s="565"/>
      <c r="Q105" s="512"/>
      <c r="R105" s="512"/>
    </row>
    <row r="106" spans="1:18" s="166" customFormat="1" ht="15" hidden="1" thickBot="1" x14ac:dyDescent="0.4">
      <c r="A106" s="512"/>
      <c r="B106" s="512"/>
      <c r="C106" s="512"/>
      <c r="D106" s="512"/>
      <c r="E106" s="512"/>
      <c r="F106" s="568"/>
      <c r="G106" s="566"/>
      <c r="H106" s="583"/>
      <c r="I106" s="583"/>
      <c r="J106" s="583"/>
      <c r="K106" s="584"/>
      <c r="L106" s="567">
        <f t="shared" si="26"/>
        <v>0</v>
      </c>
      <c r="M106" s="569"/>
      <c r="N106" s="570"/>
      <c r="O106" s="571"/>
      <c r="P106" s="571"/>
      <c r="Q106" s="560"/>
      <c r="R106" s="560"/>
    </row>
    <row r="107" spans="1:18" s="166" customFormat="1" ht="15" hidden="1" thickBot="1" x14ac:dyDescent="0.4">
      <c r="A107" s="512"/>
      <c r="B107" s="512"/>
      <c r="C107" s="512"/>
      <c r="D107" s="512"/>
      <c r="E107" s="512"/>
      <c r="F107" s="555"/>
      <c r="G107" s="566"/>
      <c r="H107" s="583"/>
      <c r="I107" s="583"/>
      <c r="J107" s="583"/>
      <c r="K107" s="584"/>
      <c r="L107" s="567">
        <f t="shared" si="26"/>
        <v>0</v>
      </c>
      <c r="M107" s="512"/>
      <c r="N107" s="564"/>
      <c r="O107" s="565"/>
      <c r="P107" s="565"/>
      <c r="Q107" s="512"/>
      <c r="R107" s="512"/>
    </row>
    <row r="108" spans="1:18" s="166" customFormat="1" ht="15" hidden="1" customHeight="1" x14ac:dyDescent="0.35">
      <c r="A108" s="512"/>
      <c r="B108" s="512"/>
      <c r="C108" s="512"/>
      <c r="D108" s="512"/>
      <c r="E108" s="512"/>
      <c r="F108" s="572"/>
      <c r="G108" s="573"/>
      <c r="H108" s="574"/>
      <c r="I108" s="574"/>
      <c r="J108" s="574"/>
      <c r="K108" s="574"/>
      <c r="L108" s="575"/>
      <c r="M108" s="512"/>
      <c r="N108" s="564"/>
      <c r="O108" s="565"/>
      <c r="P108" s="565"/>
      <c r="Q108" s="512"/>
      <c r="R108" s="512"/>
    </row>
    <row r="109" spans="1:18" s="166" customFormat="1" ht="15" hidden="1" thickBot="1" x14ac:dyDescent="0.4">
      <c r="A109" s="512"/>
      <c r="B109" s="512"/>
      <c r="C109" s="512"/>
      <c r="D109" s="512"/>
      <c r="E109" s="512"/>
      <c r="F109" s="576"/>
      <c r="G109" s="573"/>
      <c r="H109" s="577"/>
      <c r="I109" s="577"/>
      <c r="J109" s="577"/>
      <c r="K109" s="577"/>
      <c r="L109" s="578"/>
      <c r="M109" s="512"/>
      <c r="N109" s="565"/>
      <c r="O109" s="565"/>
      <c r="P109" s="565"/>
      <c r="Q109" s="512"/>
      <c r="R109" s="512"/>
    </row>
    <row r="110" spans="1:18" s="166" customFormat="1" ht="15.5" hidden="1" thickTop="1" thickBot="1" x14ac:dyDescent="0.4">
      <c r="A110" s="512"/>
      <c r="B110" s="512"/>
      <c r="C110" s="512"/>
      <c r="D110" s="512"/>
      <c r="E110" s="512"/>
      <c r="F110" s="585" t="s">
        <v>770</v>
      </c>
      <c r="G110" s="580">
        <f>SUM(G102:G109)</f>
        <v>0</v>
      </c>
      <c r="H110" s="581" t="e">
        <f>SUM(H102:H109)</f>
        <v>#REF!</v>
      </c>
      <c r="I110" s="581" t="e">
        <f>SUM(I102:I109)</f>
        <v>#REF!</v>
      </c>
      <c r="J110" s="581" t="e">
        <f>SUM(J102:J109)</f>
        <v>#REF!</v>
      </c>
      <c r="K110" s="581" t="e">
        <f>SUM(K102:K109)</f>
        <v>#REF!</v>
      </c>
      <c r="L110" s="582" t="e">
        <f>SUM(H110:K110)</f>
        <v>#REF!</v>
      </c>
      <c r="M110" s="530"/>
      <c r="N110" s="512"/>
      <c r="O110" s="512"/>
      <c r="P110" s="512"/>
      <c r="Q110" s="512"/>
      <c r="R110" s="512"/>
    </row>
    <row r="111" spans="1:18" s="211" customFormat="1" ht="37.5" hidden="1" customHeight="1" x14ac:dyDescent="0.35">
      <c r="A111" s="538"/>
      <c r="B111" s="538"/>
      <c r="C111" s="538"/>
      <c r="D111" s="538"/>
      <c r="E111" s="538"/>
      <c r="F111" s="552" t="s">
        <v>766</v>
      </c>
      <c r="G111" s="553">
        <v>2012</v>
      </c>
      <c r="H111" s="553">
        <v>2013</v>
      </c>
      <c r="I111" s="553">
        <v>2014</v>
      </c>
      <c r="J111" s="553">
        <v>2015</v>
      </c>
      <c r="K111" s="553">
        <v>2016</v>
      </c>
      <c r="L111" s="554" t="s">
        <v>765</v>
      </c>
      <c r="M111" s="538"/>
      <c r="N111" s="512"/>
      <c r="O111" s="512"/>
      <c r="P111" s="512"/>
      <c r="Q111" s="512"/>
      <c r="R111" s="512"/>
    </row>
    <row r="112" spans="1:18" s="166" customFormat="1" ht="39.5" hidden="1" thickBot="1" x14ac:dyDescent="0.4">
      <c r="A112" s="512"/>
      <c r="B112" s="512"/>
      <c r="C112" s="512"/>
      <c r="D112" s="512"/>
      <c r="E112" s="512"/>
      <c r="F112" s="555" t="s">
        <v>767</v>
      </c>
      <c r="G112" s="556"/>
      <c r="H112" s="557"/>
      <c r="I112" s="557" t="e">
        <f>#REF!/#REF!</f>
        <v>#REF!</v>
      </c>
      <c r="J112" s="557" t="e">
        <f>#REF!/#REF!</f>
        <v>#REF!</v>
      </c>
      <c r="K112" s="557" t="e">
        <f>#REF!/#REF!</f>
        <v>#REF!</v>
      </c>
      <c r="L112" s="558" t="e">
        <f t="shared" ref="L112:L117" si="27">SUM(H112:K112)</f>
        <v>#REF!</v>
      </c>
      <c r="M112" s="559"/>
      <c r="N112" s="530"/>
      <c r="O112" s="512"/>
      <c r="P112" s="512"/>
      <c r="Q112" s="512"/>
      <c r="R112" s="512"/>
    </row>
    <row r="113" spans="1:21" s="166" customFormat="1" ht="26.5" hidden="1" thickBot="1" x14ac:dyDescent="0.4">
      <c r="A113" s="512"/>
      <c r="B113" s="512"/>
      <c r="C113" s="512"/>
      <c r="D113" s="512"/>
      <c r="E113" s="512"/>
      <c r="F113" s="555" t="s">
        <v>768</v>
      </c>
      <c r="G113" s="556"/>
      <c r="H113" s="557" t="e">
        <f>#REF!/#REF!</f>
        <v>#REF!</v>
      </c>
      <c r="I113" s="557" t="e">
        <f>#REF!/#REF!</f>
        <v>#REF!</v>
      </c>
      <c r="J113" s="557" t="e">
        <f>#REF!/#REF!</f>
        <v>#REF!</v>
      </c>
      <c r="K113" s="557" t="e">
        <f>#REF!/#REF!</f>
        <v>#REF!</v>
      </c>
      <c r="L113" s="558" t="e">
        <f t="shared" si="27"/>
        <v>#REF!</v>
      </c>
      <c r="M113" s="559"/>
      <c r="N113" s="538"/>
      <c r="O113" s="538"/>
      <c r="P113" s="538"/>
      <c r="Q113" s="538"/>
      <c r="R113" s="538"/>
    </row>
    <row r="114" spans="1:21" s="212" customFormat="1" ht="12.75" hidden="1" customHeight="1" x14ac:dyDescent="0.35">
      <c r="A114" s="560"/>
      <c r="B114" s="560"/>
      <c r="C114" s="560"/>
      <c r="D114" s="560"/>
      <c r="E114" s="560"/>
      <c r="F114" s="555" t="s">
        <v>759</v>
      </c>
      <c r="G114" s="561"/>
      <c r="H114" s="557" t="e">
        <f>#REF!/#REF!</f>
        <v>#REF!</v>
      </c>
      <c r="I114" s="557" t="e">
        <f>#REF!/#REF!</f>
        <v>#REF!</v>
      </c>
      <c r="J114" s="557" t="e">
        <f>#REF!/#REF!</f>
        <v>#REF!</v>
      </c>
      <c r="K114" s="557" t="e">
        <f>#REF!/#REF!</f>
        <v>#REF!</v>
      </c>
      <c r="L114" s="562" t="e">
        <f t="shared" si="27"/>
        <v>#REF!</v>
      </c>
      <c r="M114" s="563"/>
      <c r="N114" s="564"/>
      <c r="O114" s="565"/>
      <c r="P114" s="565"/>
      <c r="Q114" s="512"/>
      <c r="R114" s="512"/>
    </row>
    <row r="115" spans="1:21" s="166" customFormat="1" ht="17.25" hidden="1" customHeight="1" x14ac:dyDescent="0.35">
      <c r="A115" s="512"/>
      <c r="B115" s="512"/>
      <c r="C115" s="512"/>
      <c r="D115" s="512"/>
      <c r="E115" s="512"/>
      <c r="F115" s="555" t="s">
        <v>760</v>
      </c>
      <c r="G115" s="566"/>
      <c r="H115" s="557" t="e">
        <f>#REF!/#REF!</f>
        <v>#REF!</v>
      </c>
      <c r="I115" s="557" t="e">
        <f>#REF!/#REF!</f>
        <v>#REF!</v>
      </c>
      <c r="J115" s="557" t="e">
        <f>#REF!/#REF!</f>
        <v>#REF!</v>
      </c>
      <c r="K115" s="557" t="e">
        <f>#REF!/#REF!</f>
        <v>#REF!</v>
      </c>
      <c r="L115" s="567" t="e">
        <f t="shared" si="27"/>
        <v>#REF!</v>
      </c>
      <c r="M115" s="559"/>
      <c r="N115" s="564"/>
      <c r="O115" s="565"/>
      <c r="P115" s="565"/>
      <c r="Q115" s="512"/>
      <c r="R115" s="512"/>
    </row>
    <row r="116" spans="1:21" s="166" customFormat="1" ht="15" hidden="1" thickBot="1" x14ac:dyDescent="0.4">
      <c r="A116" s="512"/>
      <c r="B116" s="512"/>
      <c r="C116" s="512"/>
      <c r="D116" s="512"/>
      <c r="E116" s="512"/>
      <c r="F116" s="568"/>
      <c r="G116" s="566"/>
      <c r="H116" s="557"/>
      <c r="I116" s="557"/>
      <c r="J116" s="557"/>
      <c r="K116" s="557"/>
      <c r="L116" s="567">
        <f t="shared" si="27"/>
        <v>0</v>
      </c>
      <c r="M116" s="569"/>
      <c r="N116" s="570"/>
      <c r="O116" s="571"/>
      <c r="P116" s="571"/>
      <c r="Q116" s="560"/>
      <c r="R116" s="560"/>
    </row>
    <row r="117" spans="1:21" s="166" customFormat="1" ht="15" hidden="1" thickBot="1" x14ac:dyDescent="0.4">
      <c r="A117" s="512"/>
      <c r="B117" s="512"/>
      <c r="C117" s="512"/>
      <c r="D117" s="512"/>
      <c r="E117" s="512"/>
      <c r="F117" s="555"/>
      <c r="G117" s="566"/>
      <c r="H117" s="557"/>
      <c r="I117" s="557"/>
      <c r="J117" s="557"/>
      <c r="K117" s="557"/>
      <c r="L117" s="567">
        <f t="shared" si="27"/>
        <v>0</v>
      </c>
      <c r="M117" s="512"/>
      <c r="N117" s="564"/>
      <c r="O117" s="565"/>
      <c r="P117" s="565"/>
      <c r="Q117" s="512"/>
      <c r="R117" s="512"/>
    </row>
    <row r="118" spans="1:21" s="166" customFormat="1" ht="15" hidden="1" customHeight="1" x14ac:dyDescent="0.35">
      <c r="A118" s="512"/>
      <c r="B118" s="512"/>
      <c r="C118" s="512"/>
      <c r="D118" s="512"/>
      <c r="E118" s="512"/>
      <c r="F118" s="572"/>
      <c r="G118" s="573"/>
      <c r="H118" s="574"/>
      <c r="I118" s="574"/>
      <c r="J118" s="574"/>
      <c r="K118" s="574"/>
      <c r="L118" s="575"/>
      <c r="M118" s="512"/>
      <c r="N118" s="564"/>
      <c r="O118" s="565"/>
      <c r="P118" s="565"/>
      <c r="Q118" s="512"/>
      <c r="R118" s="512"/>
    </row>
    <row r="119" spans="1:21" s="166" customFormat="1" ht="15" hidden="1" thickBot="1" x14ac:dyDescent="0.4">
      <c r="A119" s="512"/>
      <c r="B119" s="512"/>
      <c r="C119" s="512"/>
      <c r="D119" s="512"/>
      <c r="E119" s="512"/>
      <c r="F119" s="576"/>
      <c r="G119" s="573"/>
      <c r="H119" s="577"/>
      <c r="I119" s="577"/>
      <c r="J119" s="577"/>
      <c r="K119" s="577"/>
      <c r="L119" s="578"/>
      <c r="M119" s="512"/>
      <c r="N119" s="565"/>
      <c r="O119" s="565"/>
      <c r="P119" s="565"/>
      <c r="Q119" s="512"/>
      <c r="R119" s="512"/>
    </row>
    <row r="120" spans="1:21" s="166" customFormat="1" ht="15.5" hidden="1" thickTop="1" thickBot="1" x14ac:dyDescent="0.4">
      <c r="A120" s="512"/>
      <c r="B120" s="512"/>
      <c r="C120" s="512"/>
      <c r="D120" s="512"/>
      <c r="E120" s="512"/>
      <c r="F120" s="579" t="s">
        <v>127</v>
      </c>
      <c r="G120" s="580">
        <f>SUM(G112:G119)</f>
        <v>0</v>
      </c>
      <c r="H120" s="581" t="e">
        <f>SUM(H112:H119)</f>
        <v>#REF!</v>
      </c>
      <c r="I120" s="581" t="e">
        <f>SUM(I112:I119)</f>
        <v>#REF!</v>
      </c>
      <c r="J120" s="581" t="e">
        <f>SUM(J112:J119)</f>
        <v>#REF!</v>
      </c>
      <c r="K120" s="581" t="e">
        <f>SUM(K112:K119)</f>
        <v>#REF!</v>
      </c>
      <c r="L120" s="582" t="e">
        <f>SUM(H120:K120)</f>
        <v>#REF!</v>
      </c>
      <c r="M120" s="530"/>
      <c r="N120" s="512"/>
      <c r="O120" s="512"/>
      <c r="P120" s="512"/>
      <c r="Q120" s="512"/>
      <c r="R120" s="512"/>
    </row>
    <row r="121" spans="1:21" s="166" customFormat="1" ht="15" hidden="1" thickBot="1" x14ac:dyDescent="0.4">
      <c r="A121" s="512"/>
      <c r="B121" s="512"/>
      <c r="C121" s="512"/>
      <c r="D121" s="512"/>
      <c r="E121" s="512"/>
      <c r="F121" s="512"/>
      <c r="G121" s="512"/>
      <c r="H121" s="512"/>
      <c r="I121" s="512"/>
      <c r="J121" s="512"/>
      <c r="K121" s="512"/>
      <c r="L121" s="512"/>
      <c r="M121" s="512"/>
      <c r="N121" s="512"/>
      <c r="O121" s="512"/>
      <c r="P121" s="512"/>
      <c r="Q121" s="512"/>
      <c r="R121" s="512"/>
    </row>
    <row r="122" spans="1:21" s="60" customFormat="1" ht="20.25" customHeight="1" thickTop="1" thickBot="1" x14ac:dyDescent="0.4">
      <c r="A122" s="5712" t="s">
        <v>10</v>
      </c>
      <c r="B122" s="5719"/>
      <c r="C122" s="5719"/>
      <c r="D122" s="5719"/>
      <c r="E122" s="5719"/>
      <c r="F122" s="5719"/>
      <c r="G122" s="5719"/>
      <c r="H122" s="5719"/>
      <c r="I122" s="5719"/>
      <c r="J122" s="5719"/>
      <c r="K122" s="5720"/>
      <c r="L122" s="34"/>
      <c r="M122" s="3725" t="s">
        <v>748</v>
      </c>
      <c r="N122" s="3726"/>
      <c r="O122" s="3727"/>
      <c r="P122" s="34"/>
      <c r="Q122" s="64"/>
      <c r="R122" s="64"/>
      <c r="S122" s="64"/>
      <c r="T122" s="64"/>
      <c r="U122" s="64"/>
    </row>
    <row r="123" spans="1:21" s="60" customFormat="1" ht="20.25" customHeight="1" x14ac:dyDescent="0.35">
      <c r="A123" s="5060" t="s">
        <v>1453</v>
      </c>
      <c r="B123" s="5061"/>
      <c r="C123" s="5061"/>
      <c r="D123" s="5061"/>
      <c r="E123" s="5061"/>
      <c r="F123" s="5061"/>
      <c r="G123" s="5061"/>
      <c r="H123" s="5061"/>
      <c r="I123" s="5061"/>
      <c r="J123" s="5061"/>
      <c r="K123" s="5062"/>
      <c r="L123" s="35"/>
      <c r="M123" s="3750" t="s">
        <v>1452</v>
      </c>
      <c r="N123" s="3751"/>
      <c r="O123" s="3752"/>
      <c r="P123" s="35"/>
      <c r="Q123" s="64"/>
      <c r="R123" s="64"/>
      <c r="S123" s="64"/>
      <c r="T123" s="64"/>
      <c r="U123" s="64"/>
    </row>
    <row r="124" spans="1:21" s="60" customFormat="1" ht="20.25" customHeight="1" x14ac:dyDescent="0.35">
      <c r="A124" s="5060"/>
      <c r="B124" s="5061"/>
      <c r="C124" s="5061"/>
      <c r="D124" s="5061"/>
      <c r="E124" s="5061"/>
      <c r="F124" s="5061"/>
      <c r="G124" s="5061"/>
      <c r="H124" s="5061"/>
      <c r="I124" s="5061"/>
      <c r="J124" s="5061"/>
      <c r="K124" s="5062"/>
      <c r="L124" s="35"/>
      <c r="M124" s="3753"/>
      <c r="N124" s="3754"/>
      <c r="O124" s="3755"/>
      <c r="P124" s="35"/>
      <c r="Q124" s="64"/>
      <c r="R124" s="64"/>
      <c r="S124" s="64"/>
      <c r="T124" s="64"/>
      <c r="U124" s="64"/>
    </row>
    <row r="125" spans="1:21" s="60" customFormat="1" ht="20.25" customHeight="1" x14ac:dyDescent="0.35">
      <c r="A125" s="5060"/>
      <c r="B125" s="5061"/>
      <c r="C125" s="5061"/>
      <c r="D125" s="5061"/>
      <c r="E125" s="5061"/>
      <c r="F125" s="5061"/>
      <c r="G125" s="5061"/>
      <c r="H125" s="5061"/>
      <c r="I125" s="5061"/>
      <c r="J125" s="5061"/>
      <c r="K125" s="5062"/>
      <c r="L125" s="35"/>
      <c r="M125" s="3753"/>
      <c r="N125" s="3754"/>
      <c r="O125" s="3755"/>
      <c r="P125" s="35"/>
      <c r="Q125" s="64"/>
      <c r="R125" s="64"/>
      <c r="S125" s="64"/>
      <c r="T125" s="64"/>
      <c r="U125" s="64"/>
    </row>
    <row r="126" spans="1:21" s="60" customFormat="1" ht="20.25" customHeight="1" x14ac:dyDescent="0.35">
      <c r="A126" s="5060"/>
      <c r="B126" s="5061"/>
      <c r="C126" s="5061"/>
      <c r="D126" s="5061"/>
      <c r="E126" s="5061"/>
      <c r="F126" s="5061"/>
      <c r="G126" s="5061"/>
      <c r="H126" s="5061"/>
      <c r="I126" s="5061"/>
      <c r="J126" s="5061"/>
      <c r="K126" s="5062"/>
      <c r="L126" s="35"/>
      <c r="M126" s="3753"/>
      <c r="N126" s="3754"/>
      <c r="O126" s="3755"/>
      <c r="P126" s="35"/>
      <c r="Q126" s="64"/>
      <c r="R126" s="64"/>
      <c r="S126" s="64"/>
      <c r="T126" s="64"/>
      <c r="U126" s="64"/>
    </row>
    <row r="127" spans="1:21" s="60" customFormat="1" ht="20.25" customHeight="1" thickBot="1" x14ac:dyDescent="0.4">
      <c r="A127" s="5063"/>
      <c r="B127" s="5064"/>
      <c r="C127" s="5064"/>
      <c r="D127" s="5064"/>
      <c r="E127" s="5064"/>
      <c r="F127" s="5064"/>
      <c r="G127" s="5064"/>
      <c r="H127" s="5064"/>
      <c r="I127" s="5064"/>
      <c r="J127" s="5064"/>
      <c r="K127" s="5065"/>
      <c r="L127" s="35"/>
      <c r="M127" s="5334"/>
      <c r="N127" s="5468"/>
      <c r="O127" s="5469"/>
      <c r="P127" s="35"/>
      <c r="Q127" s="64"/>
      <c r="R127" s="64"/>
      <c r="S127" s="64"/>
      <c r="T127" s="64"/>
      <c r="U127" s="64"/>
    </row>
    <row r="128" spans="1:21" s="60" customFormat="1" ht="20.25" customHeight="1" thickTop="1" thickBot="1" x14ac:dyDescent="0.4">
      <c r="A128" s="64"/>
      <c r="B128" s="64"/>
      <c r="C128" s="64"/>
      <c r="D128" s="64"/>
      <c r="E128" s="64"/>
      <c r="F128" s="64"/>
      <c r="G128" s="64"/>
      <c r="H128" s="64"/>
      <c r="I128" s="64"/>
      <c r="J128" s="64"/>
      <c r="K128" s="64"/>
      <c r="L128" s="64"/>
      <c r="M128" s="475"/>
      <c r="N128" s="475"/>
      <c r="O128" s="475"/>
      <c r="P128" s="64"/>
      <c r="Q128" s="64"/>
      <c r="R128" s="64"/>
      <c r="S128" s="64"/>
      <c r="T128" s="64"/>
      <c r="U128" s="64"/>
    </row>
    <row r="129" spans="1:21" s="60" customFormat="1" ht="20.25" customHeight="1" thickTop="1" thickBot="1" x14ac:dyDescent="0.4">
      <c r="A129" s="5712" t="s">
        <v>11</v>
      </c>
      <c r="B129" s="5713"/>
      <c r="C129" s="5713"/>
      <c r="D129" s="5713"/>
      <c r="E129" s="5713"/>
      <c r="F129" s="5713"/>
      <c r="G129" s="5713"/>
      <c r="H129" s="5713"/>
      <c r="I129" s="5713"/>
      <c r="J129" s="5713"/>
      <c r="K129" s="5714"/>
      <c r="L129" s="34"/>
      <c r="M129" s="476"/>
      <c r="N129" s="476"/>
      <c r="O129" s="476"/>
      <c r="P129" s="34"/>
      <c r="Q129" s="64"/>
      <c r="R129" s="64"/>
      <c r="S129" s="64"/>
      <c r="T129" s="64"/>
      <c r="U129" s="64"/>
    </row>
    <row r="130" spans="1:21" s="60" customFormat="1" ht="20.25" customHeight="1" thickBot="1" x14ac:dyDescent="0.4">
      <c r="A130" s="5060" t="s">
        <v>1454</v>
      </c>
      <c r="B130" s="5061"/>
      <c r="C130" s="5061"/>
      <c r="D130" s="5061"/>
      <c r="E130" s="5061"/>
      <c r="F130" s="5061"/>
      <c r="G130" s="5061"/>
      <c r="H130" s="5061"/>
      <c r="I130" s="5061"/>
      <c r="J130" s="5061"/>
      <c r="K130" s="5062"/>
      <c r="L130" s="35"/>
      <c r="M130" s="3725" t="s">
        <v>748</v>
      </c>
      <c r="N130" s="3726"/>
      <c r="O130" s="3727"/>
      <c r="P130" s="35"/>
      <c r="Q130" s="64"/>
      <c r="R130" s="64"/>
      <c r="S130" s="64"/>
      <c r="T130" s="64"/>
      <c r="U130" s="64"/>
    </row>
    <row r="131" spans="1:21" s="60" customFormat="1" ht="20.25" customHeight="1" x14ac:dyDescent="0.35">
      <c r="A131" s="5060"/>
      <c r="B131" s="5061"/>
      <c r="C131" s="5061"/>
      <c r="D131" s="5061"/>
      <c r="E131" s="5061"/>
      <c r="F131" s="5061"/>
      <c r="G131" s="5061"/>
      <c r="H131" s="5061"/>
      <c r="I131" s="5061"/>
      <c r="J131" s="5061"/>
      <c r="K131" s="5062"/>
      <c r="L131" s="35"/>
      <c r="M131" s="3750" t="s">
        <v>1451</v>
      </c>
      <c r="N131" s="3751"/>
      <c r="O131" s="3752"/>
      <c r="P131" s="35"/>
      <c r="Q131" s="64"/>
      <c r="R131" s="64"/>
      <c r="S131" s="64"/>
      <c r="T131" s="64"/>
      <c r="U131" s="64"/>
    </row>
    <row r="132" spans="1:21" s="60" customFormat="1" ht="20.25" customHeight="1" x14ac:dyDescent="0.35">
      <c r="A132" s="5060"/>
      <c r="B132" s="5061"/>
      <c r="C132" s="5061"/>
      <c r="D132" s="5061"/>
      <c r="E132" s="5061"/>
      <c r="F132" s="5061"/>
      <c r="G132" s="5061"/>
      <c r="H132" s="5061"/>
      <c r="I132" s="5061"/>
      <c r="J132" s="5061"/>
      <c r="K132" s="5062"/>
      <c r="L132" s="35"/>
      <c r="M132" s="3753"/>
      <c r="N132" s="3754"/>
      <c r="O132" s="3755"/>
      <c r="P132" s="35"/>
      <c r="Q132" s="64"/>
      <c r="R132" s="64"/>
      <c r="S132" s="64"/>
      <c r="T132" s="64"/>
      <c r="U132" s="64"/>
    </row>
    <row r="133" spans="1:21" s="60" customFormat="1" ht="20.25" customHeight="1" x14ac:dyDescent="0.35">
      <c r="A133" s="5060"/>
      <c r="B133" s="5061"/>
      <c r="C133" s="5061"/>
      <c r="D133" s="5061"/>
      <c r="E133" s="5061"/>
      <c r="F133" s="5061"/>
      <c r="G133" s="5061"/>
      <c r="H133" s="5061"/>
      <c r="I133" s="5061"/>
      <c r="J133" s="5061"/>
      <c r="K133" s="5062"/>
      <c r="L133" s="35"/>
      <c r="M133" s="3753"/>
      <c r="N133" s="3754"/>
      <c r="O133" s="3755"/>
      <c r="P133" s="35"/>
      <c r="Q133" s="64"/>
      <c r="R133" s="64"/>
      <c r="S133" s="64"/>
      <c r="T133" s="64"/>
      <c r="U133" s="64"/>
    </row>
    <row r="134" spans="1:21" s="60" customFormat="1" ht="14.5" x14ac:dyDescent="0.35">
      <c r="A134" s="5060"/>
      <c r="B134" s="5061"/>
      <c r="C134" s="5061"/>
      <c r="D134" s="5061"/>
      <c r="E134" s="5061"/>
      <c r="F134" s="5061"/>
      <c r="G134" s="5061"/>
      <c r="H134" s="5061"/>
      <c r="I134" s="5061"/>
      <c r="J134" s="5061"/>
      <c r="K134" s="5062"/>
      <c r="L134" s="35"/>
      <c r="M134" s="3753"/>
      <c r="N134" s="3754"/>
      <c r="O134" s="3755"/>
      <c r="P134" s="35"/>
      <c r="Q134" s="64"/>
      <c r="R134" s="64"/>
      <c r="S134" s="64"/>
      <c r="T134" s="64"/>
      <c r="U134" s="64"/>
    </row>
    <row r="135" spans="1:21" s="60" customFormat="1" ht="15" thickBot="1" x14ac:dyDescent="0.4">
      <c r="A135" s="5063"/>
      <c r="B135" s="5064"/>
      <c r="C135" s="5064"/>
      <c r="D135" s="5064"/>
      <c r="E135" s="5064"/>
      <c r="F135" s="5064"/>
      <c r="G135" s="5064"/>
      <c r="H135" s="5064"/>
      <c r="I135" s="5064"/>
      <c r="J135" s="5064"/>
      <c r="K135" s="5065"/>
      <c r="L135" s="64"/>
      <c r="M135" s="5334"/>
      <c r="N135" s="5468"/>
      <c r="O135" s="5469"/>
      <c r="P135" s="64"/>
      <c r="Q135" s="64"/>
      <c r="R135" s="64"/>
      <c r="S135" s="64"/>
      <c r="T135" s="64"/>
      <c r="U135" s="64"/>
    </row>
    <row r="136" spans="1:21" s="60" customFormat="1" ht="15" thickTop="1" x14ac:dyDescent="0.35">
      <c r="A136" s="64"/>
      <c r="B136" s="64"/>
      <c r="C136" s="64"/>
      <c r="D136" s="64"/>
      <c r="E136" s="64"/>
      <c r="F136" s="64"/>
      <c r="G136" s="64"/>
      <c r="H136" s="64"/>
      <c r="I136" s="64"/>
      <c r="J136" s="64"/>
      <c r="K136" s="64"/>
      <c r="L136" s="64"/>
      <c r="M136" s="64"/>
      <c r="N136" s="64"/>
      <c r="O136" s="64"/>
      <c r="P136" s="64"/>
      <c r="Q136" s="64"/>
      <c r="R136" s="64"/>
    </row>
    <row r="137" spans="1:21" s="218" customFormat="1" ht="18" customHeight="1" x14ac:dyDescent="0.35">
      <c r="A137" s="587"/>
      <c r="B137" s="587"/>
      <c r="C137" s="587"/>
      <c r="D137" s="587"/>
      <c r="E137" s="587"/>
      <c r="F137" s="587"/>
      <c r="G137" s="587"/>
      <c r="H137" s="587"/>
      <c r="I137" s="587"/>
      <c r="J137" s="587"/>
      <c r="K137" s="587"/>
      <c r="L137" s="587"/>
      <c r="M137" s="587"/>
      <c r="N137" s="587"/>
      <c r="O137" s="587"/>
      <c r="P137" s="587"/>
      <c r="Q137" s="587"/>
      <c r="R137" s="587"/>
    </row>
    <row r="138" spans="1:21" s="218" customFormat="1" ht="18" customHeight="1" x14ac:dyDescent="0.35">
      <c r="A138" s="587"/>
      <c r="B138" s="587"/>
      <c r="C138" s="587"/>
      <c r="D138" s="658"/>
      <c r="E138" s="651"/>
      <c r="F138" s="651"/>
      <c r="G138" s="651"/>
      <c r="H138" s="651"/>
      <c r="I138" s="651"/>
      <c r="J138" s="651"/>
      <c r="K138" s="651"/>
      <c r="L138" s="587"/>
      <c r="M138" s="587"/>
      <c r="N138" s="587"/>
      <c r="O138" s="587"/>
      <c r="P138" s="587"/>
      <c r="Q138" s="587"/>
      <c r="R138" s="587"/>
    </row>
    <row r="139" spans="1:21" s="218" customFormat="1" ht="18" customHeight="1" x14ac:dyDescent="0.35">
      <c r="A139" s="587"/>
      <c r="B139" s="587"/>
      <c r="C139" s="587"/>
      <c r="D139" s="658"/>
      <c r="E139" s="651"/>
      <c r="F139" s="651"/>
      <c r="G139" s="651"/>
      <c r="H139" s="651"/>
      <c r="I139" s="651"/>
      <c r="J139" s="651"/>
      <c r="K139" s="651"/>
      <c r="L139" s="587"/>
      <c r="M139" s="587"/>
      <c r="N139" s="587"/>
      <c r="O139" s="587"/>
      <c r="P139" s="587"/>
      <c r="Q139" s="587"/>
      <c r="R139" s="587"/>
    </row>
    <row r="140" spans="1:21" s="218" customFormat="1" ht="18" customHeight="1" x14ac:dyDescent="0.35">
      <c r="A140" s="587"/>
      <c r="B140" s="587"/>
      <c r="C140" s="587"/>
      <c r="D140" s="651"/>
      <c r="E140" s="651"/>
      <c r="F140" s="651"/>
      <c r="G140" s="651"/>
      <c r="H140" s="651"/>
      <c r="I140" s="651"/>
      <c r="J140" s="651"/>
      <c r="K140" s="651"/>
      <c r="L140" s="587"/>
      <c r="M140" s="587"/>
      <c r="N140" s="587"/>
      <c r="O140" s="587"/>
      <c r="P140" s="587"/>
      <c r="Q140" s="587"/>
      <c r="R140" s="587"/>
    </row>
    <row r="141" spans="1:21" s="218" customFormat="1" ht="14.5" x14ac:dyDescent="0.35">
      <c r="A141" s="587"/>
      <c r="B141" s="587"/>
      <c r="C141" s="587"/>
      <c r="D141" s="651"/>
      <c r="E141" s="651"/>
      <c r="F141" s="651"/>
      <c r="G141" s="651"/>
      <c r="H141" s="651"/>
      <c r="I141" s="651"/>
      <c r="J141" s="651"/>
      <c r="K141" s="651"/>
      <c r="L141" s="587"/>
      <c r="M141" s="587"/>
      <c r="N141" s="587"/>
      <c r="O141" s="587"/>
      <c r="P141" s="587"/>
      <c r="Q141" s="587"/>
      <c r="R141" s="587"/>
    </row>
    <row r="142" spans="1:21" x14ac:dyDescent="0.3">
      <c r="A142" s="651"/>
      <c r="B142" s="651"/>
      <c r="C142" s="651"/>
      <c r="D142" s="651"/>
      <c r="E142" s="651"/>
      <c r="F142" s="651"/>
      <c r="G142" s="651"/>
      <c r="H142" s="651"/>
      <c r="I142" s="651"/>
      <c r="J142" s="651"/>
      <c r="K142" s="651"/>
      <c r="L142" s="651"/>
      <c r="M142" s="651"/>
      <c r="N142" s="651"/>
      <c r="O142" s="651"/>
      <c r="P142" s="651"/>
      <c r="Q142" s="651"/>
      <c r="R142" s="651"/>
    </row>
    <row r="143" spans="1:21" x14ac:dyDescent="0.3">
      <c r="A143" s="651"/>
      <c r="B143" s="651"/>
      <c r="C143" s="651"/>
      <c r="D143" s="651"/>
      <c r="E143" s="651"/>
      <c r="F143" s="651"/>
      <c r="G143" s="651"/>
      <c r="H143" s="651"/>
      <c r="I143" s="651"/>
      <c r="J143" s="651"/>
      <c r="K143" s="651"/>
      <c r="L143" s="651"/>
      <c r="M143" s="651"/>
      <c r="N143" s="651"/>
      <c r="O143" s="651"/>
      <c r="P143" s="651"/>
      <c r="Q143" s="651"/>
      <c r="R143" s="651"/>
    </row>
    <row r="144" spans="1:21" x14ac:dyDescent="0.3">
      <c r="A144" s="651"/>
      <c r="B144" s="651"/>
      <c r="C144" s="651"/>
      <c r="D144" s="651"/>
      <c r="E144" s="651"/>
      <c r="F144" s="651"/>
      <c r="G144" s="651"/>
      <c r="H144" s="651"/>
      <c r="I144" s="651"/>
      <c r="J144" s="651"/>
      <c r="K144" s="651"/>
      <c r="L144" s="651"/>
      <c r="M144" s="651"/>
      <c r="N144" s="651"/>
      <c r="O144" s="651"/>
      <c r="P144" s="651"/>
      <c r="Q144" s="651"/>
      <c r="R144" s="651"/>
    </row>
    <row r="145" spans="1:18" x14ac:dyDescent="0.3">
      <c r="A145" s="651"/>
      <c r="B145" s="651"/>
      <c r="C145" s="651"/>
      <c r="D145" s="651"/>
      <c r="E145" s="651"/>
      <c r="F145" s="651"/>
      <c r="G145" s="651"/>
      <c r="H145" s="651"/>
      <c r="I145" s="651"/>
      <c r="J145" s="651"/>
      <c r="K145" s="651"/>
      <c r="L145" s="651"/>
      <c r="M145" s="651"/>
      <c r="N145" s="651"/>
      <c r="O145" s="651"/>
      <c r="P145" s="651"/>
      <c r="Q145" s="651"/>
      <c r="R145" s="651"/>
    </row>
    <row r="146" spans="1:18" x14ac:dyDescent="0.3">
      <c r="A146" s="651"/>
      <c r="B146" s="651"/>
      <c r="C146" s="651"/>
      <c r="D146" s="651"/>
      <c r="E146" s="651"/>
      <c r="F146" s="651"/>
      <c r="G146" s="651"/>
      <c r="H146" s="651"/>
      <c r="I146" s="651"/>
      <c r="J146" s="651"/>
      <c r="K146" s="651"/>
      <c r="L146" s="651"/>
      <c r="M146" s="651"/>
      <c r="N146" s="651"/>
      <c r="O146" s="651"/>
      <c r="P146" s="651"/>
      <c r="Q146" s="651"/>
      <c r="R146" s="651"/>
    </row>
    <row r="147" spans="1:18" x14ac:dyDescent="0.3">
      <c r="A147" s="651"/>
      <c r="B147" s="651"/>
      <c r="C147" s="651"/>
      <c r="D147" s="651"/>
      <c r="E147" s="651"/>
      <c r="F147" s="651"/>
      <c r="G147" s="651"/>
      <c r="H147" s="651"/>
      <c r="I147" s="651"/>
      <c r="J147" s="651"/>
      <c r="K147" s="651"/>
      <c r="L147" s="651"/>
      <c r="M147" s="651"/>
      <c r="N147" s="651"/>
      <c r="O147" s="651"/>
      <c r="P147" s="651"/>
      <c r="Q147" s="651"/>
      <c r="R147" s="651"/>
    </row>
    <row r="148" spans="1:18" x14ac:dyDescent="0.3">
      <c r="A148" s="651"/>
      <c r="B148" s="651"/>
      <c r="C148" s="651"/>
      <c r="D148" s="651"/>
      <c r="E148" s="651"/>
      <c r="F148" s="651"/>
      <c r="G148" s="651"/>
      <c r="H148" s="651"/>
      <c r="I148" s="651"/>
      <c r="J148" s="651"/>
      <c r="K148" s="651"/>
      <c r="L148" s="651"/>
      <c r="M148" s="651"/>
      <c r="N148" s="651"/>
      <c r="O148" s="651"/>
      <c r="P148" s="651"/>
      <c r="Q148" s="651"/>
      <c r="R148" s="651"/>
    </row>
    <row r="149" spans="1:18" x14ac:dyDescent="0.3">
      <c r="A149" s="651"/>
      <c r="B149" s="651"/>
      <c r="C149" s="651"/>
      <c r="D149" s="651"/>
      <c r="E149" s="651"/>
      <c r="F149" s="651"/>
      <c r="G149" s="651"/>
      <c r="H149" s="651"/>
      <c r="I149" s="651"/>
      <c r="J149" s="651"/>
      <c r="K149" s="651"/>
      <c r="L149" s="651"/>
      <c r="M149" s="651"/>
      <c r="N149" s="651"/>
      <c r="O149" s="651"/>
      <c r="P149" s="651"/>
      <c r="Q149" s="651"/>
      <c r="R149" s="651"/>
    </row>
    <row r="150" spans="1:18" x14ac:dyDescent="0.3">
      <c r="A150" s="651"/>
      <c r="B150" s="651"/>
      <c r="C150" s="651"/>
      <c r="D150" s="651"/>
      <c r="E150" s="651"/>
      <c r="F150" s="651"/>
      <c r="G150" s="651"/>
      <c r="H150" s="651"/>
      <c r="I150" s="651"/>
      <c r="J150" s="651"/>
      <c r="K150" s="651"/>
      <c r="L150" s="651"/>
      <c r="M150" s="651"/>
      <c r="N150" s="651"/>
      <c r="O150" s="651"/>
      <c r="P150" s="651"/>
      <c r="Q150" s="651"/>
      <c r="R150" s="651"/>
    </row>
    <row r="151" spans="1:18" x14ac:dyDescent="0.3">
      <c r="A151" s="651"/>
      <c r="B151" s="651"/>
      <c r="C151" s="651"/>
      <c r="D151" s="651"/>
      <c r="E151" s="651"/>
      <c r="F151" s="651"/>
      <c r="G151" s="651"/>
      <c r="H151" s="651"/>
      <c r="I151" s="651"/>
      <c r="J151" s="651"/>
      <c r="K151" s="651"/>
      <c r="L151" s="651"/>
      <c r="M151" s="651"/>
      <c r="N151" s="651"/>
      <c r="O151" s="651"/>
      <c r="P151" s="651"/>
      <c r="Q151" s="651"/>
      <c r="R151" s="651"/>
    </row>
    <row r="152" spans="1:18" x14ac:dyDescent="0.3">
      <c r="A152" s="651"/>
      <c r="B152" s="651"/>
      <c r="C152" s="651"/>
      <c r="D152" s="651"/>
      <c r="E152" s="651"/>
      <c r="F152" s="651"/>
      <c r="G152" s="651"/>
      <c r="H152" s="651"/>
      <c r="I152" s="651"/>
      <c r="J152" s="651"/>
      <c r="K152" s="651"/>
      <c r="L152" s="651"/>
      <c r="M152" s="651"/>
      <c r="N152" s="651"/>
      <c r="O152" s="651"/>
      <c r="P152" s="651"/>
      <c r="Q152" s="651"/>
      <c r="R152" s="651"/>
    </row>
    <row r="153" spans="1:18" x14ac:dyDescent="0.3">
      <c r="A153" s="651"/>
      <c r="B153" s="651"/>
      <c r="C153" s="651"/>
      <c r="D153" s="651"/>
      <c r="E153" s="651"/>
      <c r="F153" s="651"/>
      <c r="G153" s="651"/>
      <c r="H153" s="651"/>
      <c r="I153" s="651"/>
      <c r="J153" s="651"/>
      <c r="K153" s="651"/>
      <c r="L153" s="651"/>
      <c r="M153" s="651"/>
      <c r="N153" s="651"/>
      <c r="O153" s="651"/>
      <c r="P153" s="651"/>
      <c r="Q153" s="651"/>
      <c r="R153" s="651"/>
    </row>
    <row r="154" spans="1:18" x14ac:dyDescent="0.3">
      <c r="A154" s="651"/>
      <c r="B154" s="651"/>
      <c r="C154" s="651"/>
      <c r="D154" s="651"/>
      <c r="E154" s="651"/>
      <c r="F154" s="651"/>
      <c r="G154" s="651"/>
      <c r="H154" s="651"/>
      <c r="I154" s="651"/>
      <c r="J154" s="651"/>
      <c r="K154" s="651"/>
      <c r="L154" s="651"/>
      <c r="M154" s="651"/>
      <c r="N154" s="651"/>
      <c r="O154" s="651"/>
      <c r="P154" s="651"/>
      <c r="Q154" s="651"/>
      <c r="R154" s="651"/>
    </row>
    <row r="155" spans="1:18" x14ac:dyDescent="0.3">
      <c r="A155" s="651"/>
      <c r="B155" s="651"/>
      <c r="C155" s="651"/>
      <c r="D155" s="651"/>
      <c r="E155" s="651"/>
      <c r="F155" s="651"/>
      <c r="G155" s="651"/>
      <c r="H155" s="651"/>
      <c r="I155" s="651"/>
      <c r="J155" s="651"/>
      <c r="K155" s="651"/>
      <c r="L155" s="651"/>
      <c r="M155" s="651"/>
      <c r="N155" s="651"/>
      <c r="O155" s="651"/>
      <c r="P155" s="651"/>
      <c r="Q155" s="651"/>
      <c r="R155" s="651"/>
    </row>
    <row r="156" spans="1:18" x14ac:dyDescent="0.3">
      <c r="A156" s="651"/>
      <c r="B156" s="651"/>
      <c r="C156" s="651"/>
      <c r="D156" s="651"/>
      <c r="E156" s="651"/>
      <c r="F156" s="651"/>
      <c r="G156" s="651"/>
      <c r="H156" s="651"/>
      <c r="I156" s="651"/>
      <c r="J156" s="651"/>
      <c r="K156" s="651"/>
      <c r="L156" s="651"/>
      <c r="M156" s="651"/>
      <c r="N156" s="651"/>
      <c r="O156" s="651"/>
      <c r="P156" s="651"/>
      <c r="Q156" s="651"/>
      <c r="R156" s="651"/>
    </row>
    <row r="157" spans="1:18" x14ac:dyDescent="0.3">
      <c r="A157" s="651"/>
      <c r="B157" s="651"/>
      <c r="C157" s="651"/>
      <c r="D157" s="651"/>
      <c r="E157" s="651"/>
      <c r="F157" s="651"/>
      <c r="G157" s="651"/>
      <c r="H157" s="651"/>
      <c r="I157" s="651"/>
      <c r="J157" s="651"/>
      <c r="K157" s="651"/>
      <c r="L157" s="651"/>
      <c r="M157" s="651"/>
      <c r="N157" s="651"/>
      <c r="O157" s="651"/>
      <c r="P157" s="651"/>
      <c r="Q157" s="651"/>
      <c r="R157" s="651"/>
    </row>
    <row r="158" spans="1:18" x14ac:dyDescent="0.3">
      <c r="A158" s="651"/>
      <c r="B158" s="651"/>
      <c r="C158" s="651"/>
      <c r="D158" s="651"/>
      <c r="E158" s="651"/>
      <c r="F158" s="651"/>
      <c r="G158" s="651"/>
      <c r="H158" s="651"/>
      <c r="I158" s="651"/>
      <c r="J158" s="651"/>
      <c r="K158" s="651"/>
      <c r="L158" s="651"/>
      <c r="M158" s="651"/>
      <c r="N158" s="651"/>
      <c r="O158" s="651"/>
      <c r="P158" s="651"/>
      <c r="Q158" s="651"/>
      <c r="R158" s="651"/>
    </row>
    <row r="159" spans="1:18" x14ac:dyDescent="0.3">
      <c r="A159" s="651"/>
      <c r="B159" s="651"/>
      <c r="C159" s="651"/>
      <c r="D159" s="651"/>
      <c r="E159" s="651"/>
      <c r="F159" s="651"/>
      <c r="G159" s="651"/>
      <c r="H159" s="651"/>
      <c r="I159" s="651"/>
      <c r="J159" s="651"/>
      <c r="K159" s="651"/>
      <c r="L159" s="651"/>
      <c r="M159" s="651"/>
      <c r="N159" s="651"/>
      <c r="O159" s="651"/>
      <c r="P159" s="651"/>
      <c r="Q159" s="651"/>
      <c r="R159" s="651"/>
    </row>
    <row r="161" spans="4:11" s="210" customFormat="1" ht="14.5" x14ac:dyDescent="0.35">
      <c r="D161" s="116"/>
      <c r="E161" s="116"/>
      <c r="F161" s="116"/>
      <c r="G161" s="116"/>
      <c r="H161" s="116"/>
      <c r="I161" s="116"/>
      <c r="J161" s="116"/>
      <c r="K161" s="116"/>
    </row>
    <row r="162" spans="4:11" s="210" customFormat="1" ht="14.5" x14ac:dyDescent="0.35">
      <c r="D162" s="116"/>
      <c r="E162" s="116"/>
      <c r="F162" s="116"/>
      <c r="G162" s="116"/>
      <c r="H162" s="116"/>
      <c r="I162" s="116"/>
      <c r="J162" s="116"/>
      <c r="K162" s="116"/>
    </row>
    <row r="163" spans="4:11" s="210" customFormat="1" ht="14.5" x14ac:dyDescent="0.35">
      <c r="D163" s="116"/>
      <c r="E163" s="116"/>
      <c r="F163" s="116"/>
      <c r="G163" s="116"/>
      <c r="H163" s="116"/>
      <c r="I163" s="116"/>
      <c r="J163" s="116"/>
      <c r="K163" s="116"/>
    </row>
    <row r="164" spans="4:11" s="210" customFormat="1" ht="14.5" x14ac:dyDescent="0.35">
      <c r="D164" s="116"/>
      <c r="E164" s="116"/>
      <c r="F164" s="116"/>
      <c r="G164" s="116"/>
      <c r="H164" s="116"/>
      <c r="I164" s="116"/>
      <c r="J164" s="116"/>
      <c r="K164" s="116"/>
    </row>
  </sheetData>
  <mergeCells count="93">
    <mergeCell ref="A61:K61"/>
    <mergeCell ref="A62:E62"/>
    <mergeCell ref="D58:E58"/>
    <mergeCell ref="A59:C59"/>
    <mergeCell ref="D59:E59"/>
    <mergeCell ref="A60:C60"/>
    <mergeCell ref="D60:E60"/>
    <mergeCell ref="D3:G3"/>
    <mergeCell ref="D1:G1"/>
    <mergeCell ref="I1:J1"/>
    <mergeCell ref="L1:M1"/>
    <mergeCell ref="D2:G2"/>
    <mergeCell ref="I2:J2"/>
    <mergeCell ref="L2:M2"/>
    <mergeCell ref="A4:G4"/>
    <mergeCell ref="H4:P4"/>
    <mergeCell ref="A5:B5"/>
    <mergeCell ref="C5:P5"/>
    <mergeCell ref="A6:C6"/>
    <mergeCell ref="D6:E6"/>
    <mergeCell ref="A7:C7"/>
    <mergeCell ref="D7:K7"/>
    <mergeCell ref="A8:C8"/>
    <mergeCell ref="D8:E8"/>
    <mergeCell ref="A9:C9"/>
    <mergeCell ref="D9:E9"/>
    <mergeCell ref="A10:C10"/>
    <mergeCell ref="D10:E10"/>
    <mergeCell ref="A11:C11"/>
    <mergeCell ref="D11:E11"/>
    <mergeCell ref="A12:C12"/>
    <mergeCell ref="D12:E12"/>
    <mergeCell ref="A22:C23"/>
    <mergeCell ref="F22:J22"/>
    <mergeCell ref="A13:C13"/>
    <mergeCell ref="D13:E13"/>
    <mergeCell ref="A14:C14"/>
    <mergeCell ref="D14:E14"/>
    <mergeCell ref="A15:C15"/>
    <mergeCell ref="D15:E15"/>
    <mergeCell ref="A16:K16"/>
    <mergeCell ref="A17:E17"/>
    <mergeCell ref="A21:C21"/>
    <mergeCell ref="D21:E21"/>
    <mergeCell ref="L21:Q21"/>
    <mergeCell ref="B39:E39"/>
    <mergeCell ref="A24:C24"/>
    <mergeCell ref="D24:E24"/>
    <mergeCell ref="L24:L31"/>
    <mergeCell ref="A25:C25"/>
    <mergeCell ref="A26:C26"/>
    <mergeCell ref="A27:C27"/>
    <mergeCell ref="A28:C28"/>
    <mergeCell ref="A29:C29"/>
    <mergeCell ref="A30:C30"/>
    <mergeCell ref="A31:C31"/>
    <mergeCell ref="A32:Q32"/>
    <mergeCell ref="A33:E33"/>
    <mergeCell ref="B36:E36"/>
    <mergeCell ref="B37:E37"/>
    <mergeCell ref="B38:E38"/>
    <mergeCell ref="A42:C42"/>
    <mergeCell ref="D42:E42"/>
    <mergeCell ref="A43:C43"/>
    <mergeCell ref="D43:E43"/>
    <mergeCell ref="A44:C44"/>
    <mergeCell ref="D44:E44"/>
    <mergeCell ref="A45:C45"/>
    <mergeCell ref="D45:E45"/>
    <mergeCell ref="A46:C46"/>
    <mergeCell ref="D46:E46"/>
    <mergeCell ref="A47:C47"/>
    <mergeCell ref="D47:E47"/>
    <mergeCell ref="A48:C48"/>
    <mergeCell ref="D48:E48"/>
    <mergeCell ref="A49:C49"/>
    <mergeCell ref="D49:E49"/>
    <mergeCell ref="A50:C50"/>
    <mergeCell ref="D50:E50"/>
    <mergeCell ref="A129:K129"/>
    <mergeCell ref="A130:K135"/>
    <mergeCell ref="M130:O130"/>
    <mergeCell ref="M131:O135"/>
    <mergeCell ref="A51:K51"/>
    <mergeCell ref="A52:E52"/>
    <mergeCell ref="A122:K122"/>
    <mergeCell ref="M122:O122"/>
    <mergeCell ref="A123:K127"/>
    <mergeCell ref="M123:O127"/>
    <mergeCell ref="A56:C56"/>
    <mergeCell ref="D56:E56"/>
    <mergeCell ref="D57:E57"/>
    <mergeCell ref="A58:C58"/>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000-000000000000}">
      <formula1>AvancementTheme</formula1>
    </dataValidation>
  </dataValidations>
  <hyperlinks>
    <hyperlink ref="O1" location="DPDV_02OP2" display="PdV" xr:uid="{00000000-0004-0000-4000-000000000000}"/>
    <hyperlink ref="P1" location="DKPI_02OP2" display="KPI's" xr:uid="{00000000-0004-0000-4000-000001000000}"/>
  </hyperlinks>
  <pageMargins left="0.70866141732283472" right="0.70866141732283472" top="0.74803149606299213" bottom="0.74803149606299213" header="0.31496062992125984" footer="0.31496062992125984"/>
  <pageSetup paperSize="9" scale="43" orientation="portrait" r:id="rId1"/>
  <headerFooter>
    <oddHeader>&amp;LPAD Methodology (c) 2013-2014&amp;RStrategic Management Workshop</oddHeader>
    <oddFooter>&amp;L&amp;F&amp;C&amp;A&amp;RSituation au : &amp;D - page : &amp;P/&amp;N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85">
    <tabColor rgb="FF92D050"/>
    <pageSetUpPr fitToPage="1"/>
  </sheetPr>
  <dimension ref="A1:V98"/>
  <sheetViews>
    <sheetView showGridLines="0" showRowColHeaders="0" showZeros="0" zoomScaleNormal="100" workbookViewId="0">
      <pane ySplit="5" topLeftCell="A6" activePane="bottomLeft" state="frozen"/>
      <selection activeCell="H7" sqref="H7"/>
      <selection pane="bottomLeft" activeCell="H7" sqref="H7"/>
    </sheetView>
  </sheetViews>
  <sheetFormatPr baseColWidth="10" defaultColWidth="11.453125" defaultRowHeight="13" x14ac:dyDescent="0.3"/>
  <cols>
    <col min="1" max="2" width="11.453125" style="116"/>
    <col min="3" max="3" width="13.1796875" style="116" customWidth="1"/>
    <col min="4" max="4" width="12.54296875" style="116" customWidth="1"/>
    <col min="5" max="5" width="9.453125" style="116" customWidth="1"/>
    <col min="6" max="8" width="11.453125" style="116"/>
    <col min="9" max="9" width="11.81640625" style="116" customWidth="1"/>
    <col min="10" max="16384" width="11.453125" style="116"/>
  </cols>
  <sheetData>
    <row r="1" spans="1:22" s="54" customFormat="1" ht="15" customHeight="1" x14ac:dyDescent="0.35">
      <c r="A1" s="1570"/>
      <c r="B1" s="1570"/>
      <c r="C1" s="1570"/>
      <c r="D1" s="3341" t="s">
        <v>5</v>
      </c>
      <c r="E1" s="3341"/>
      <c r="F1" s="3341"/>
      <c r="G1" s="3341"/>
      <c r="H1" s="391"/>
      <c r="I1" s="3341" t="s">
        <v>6</v>
      </c>
      <c r="J1" s="3341"/>
      <c r="K1" s="1570"/>
      <c r="L1" s="3341" t="s">
        <v>9</v>
      </c>
      <c r="M1" s="3341"/>
      <c r="N1" s="1570"/>
      <c r="O1" s="479" t="s">
        <v>2</v>
      </c>
      <c r="P1" s="479" t="s">
        <v>3</v>
      </c>
      <c r="Q1" s="458"/>
      <c r="R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42419.907141203701</v>
      </c>
      <c r="M2" s="3348"/>
      <c r="N2" s="394"/>
      <c r="O2" s="451">
        <f>IF(LEN(DPDV_02DS2)&gt;0,LEN(DPDV_02DS2),0-PDV_NBmini)</f>
        <v>-10</v>
      </c>
      <c r="P2" s="451">
        <f>IF(LEN(DKPI_02DS2)&gt;0,LEN(DKPI_02DS2),0-KPI_NBmini)</f>
        <v>24</v>
      </c>
      <c r="Q2" s="459"/>
      <c r="R2" s="459"/>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806" t="str">
        <f>Parametre!B24  &amp; "  : "</f>
        <v xml:space="preserve">Vision, Attente &amp; Stratégie  : </v>
      </c>
      <c r="B4" s="5806"/>
      <c r="C4" s="5806"/>
      <c r="D4" s="5806"/>
      <c r="E4" s="5806"/>
      <c r="F4" s="5806"/>
      <c r="G4" s="5806"/>
      <c r="H4" s="5807" t="str">
        <f>"SaaS Estimation du nombre de clients et de partenaires pour " &amp; NomProd2</f>
        <v>SaaS Estimation du nombre de clients et de partenaires pour ASEMA</v>
      </c>
      <c r="I4" s="5807"/>
      <c r="J4" s="5807"/>
      <c r="K4" s="5807"/>
      <c r="L4" s="5807"/>
      <c r="M4" s="5807"/>
      <c r="N4" s="5807"/>
      <c r="O4" s="5807"/>
      <c r="P4" s="5808"/>
      <c r="Q4" s="444"/>
      <c r="R4" s="444"/>
    </row>
    <row r="5" spans="1:22" s="193" customFormat="1" ht="27" customHeight="1" thickBot="1" x14ac:dyDescent="0.4">
      <c r="A5" s="3438" t="s">
        <v>14</v>
      </c>
      <c r="B5" s="3438"/>
      <c r="C5" s="3508" t="s">
        <v>1244</v>
      </c>
      <c r="D5" s="3508"/>
      <c r="E5" s="3508"/>
      <c r="F5" s="3508"/>
      <c r="G5" s="3508"/>
      <c r="H5" s="3508"/>
      <c r="I5" s="3508"/>
      <c r="J5" s="3508"/>
      <c r="K5" s="3508"/>
      <c r="L5" s="3508"/>
      <c r="M5" s="3508"/>
      <c r="N5" s="3508"/>
      <c r="O5" s="3508"/>
      <c r="P5" s="3508"/>
      <c r="Q5" s="460"/>
      <c r="R5" s="460"/>
    </row>
    <row r="6" spans="1:22" s="159" customFormat="1" ht="45" customHeight="1" thickTop="1" x14ac:dyDescent="0.35">
      <c r="A6" s="5891" t="s">
        <v>1459</v>
      </c>
      <c r="B6" s="5933"/>
      <c r="C6" s="5933"/>
      <c r="D6" s="5950"/>
      <c r="E6" s="5950"/>
      <c r="F6" s="506">
        <f>AnReference-1</f>
        <v>2017</v>
      </c>
      <c r="G6" s="506">
        <f>AnReference</f>
        <v>2018</v>
      </c>
      <c r="H6" s="506">
        <f>IF(NbAnVision&gt;=1,AnReference+1,"NA")</f>
        <v>2019</v>
      </c>
      <c r="I6" s="506">
        <f>IF(NbAnVision&gt;=2,AnReference+2,"NA")</f>
        <v>2020</v>
      </c>
      <c r="J6" s="1093">
        <f>IF(NbAnVision&gt;=3,AnReference+3,"NA")</f>
        <v>2021</v>
      </c>
      <c r="K6" s="1062" t="s">
        <v>127</v>
      </c>
      <c r="L6" s="538"/>
      <c r="M6" s="662">
        <f t="shared" ref="M6:R6" si="0">F6</f>
        <v>2017</v>
      </c>
      <c r="N6" s="660">
        <f t="shared" si="0"/>
        <v>2018</v>
      </c>
      <c r="O6" s="660">
        <f t="shared" si="0"/>
        <v>2019</v>
      </c>
      <c r="P6" s="660">
        <f t="shared" si="0"/>
        <v>2020</v>
      </c>
      <c r="Q6" s="1060">
        <f t="shared" si="0"/>
        <v>2021</v>
      </c>
      <c r="R6" s="1062" t="str">
        <f t="shared" si="0"/>
        <v>Total</v>
      </c>
    </row>
    <row r="7" spans="1:22" ht="15.5" x14ac:dyDescent="0.35">
      <c r="A7" s="5923" t="str">
        <f>'02-SALESPLAN-OFR2'!A15:F15</f>
        <v>Ventes directes seules</v>
      </c>
      <c r="B7" s="5924"/>
      <c r="C7" s="5924"/>
      <c r="D7" s="5948"/>
      <c r="E7" s="5949"/>
      <c r="F7" s="2001">
        <f>'02-SALESPLAN-OFR2'!G32</f>
        <v>0</v>
      </c>
      <c r="G7" s="2001">
        <f>'02-SALESPLAN-OFR2'!H32-'02-SALESPLAN-OFR2'!G32</f>
        <v>0</v>
      </c>
      <c r="H7" s="2001">
        <f>'02-SALESPLAN-OFR2'!I32-'02-SALESPLAN-OFR2'!H32</f>
        <v>0</v>
      </c>
      <c r="I7" s="2001">
        <f>'02-SALESPLAN-OFR2'!J32-'02-SALESPLAN-OFR2'!I32</f>
        <v>0</v>
      </c>
      <c r="J7" s="2001">
        <f>'02-SALESPLAN-OFR2'!K32-'02-SALESPLAN-OFR2'!J32</f>
        <v>0</v>
      </c>
      <c r="K7" s="1975">
        <f>SUM(F7:J7)</f>
        <v>0</v>
      </c>
      <c r="L7" s="539"/>
      <c r="M7" s="663" t="e">
        <f t="shared" ref="M7:N14" si="1">F7/$G$16</f>
        <v>#DIV/0!</v>
      </c>
      <c r="N7" s="664" t="e">
        <f t="shared" si="1"/>
        <v>#DIV/0!</v>
      </c>
      <c r="O7" s="664" t="e">
        <f t="shared" ref="O7:R14" si="2">H7/H$16</f>
        <v>#DIV/0!</v>
      </c>
      <c r="P7" s="664" t="e">
        <f t="shared" si="2"/>
        <v>#DIV/0!</v>
      </c>
      <c r="Q7" s="1066" t="e">
        <f t="shared" si="2"/>
        <v>#DIV/0!</v>
      </c>
      <c r="R7" s="1068" t="e">
        <f t="shared" si="2"/>
        <v>#DIV/0!</v>
      </c>
    </row>
    <row r="8" spans="1:22" ht="15.5" x14ac:dyDescent="0.35">
      <c r="A8" s="5923" t="str">
        <f>'02-SALESPLAN-OFR2'!A16:F16</f>
        <v>ESN</v>
      </c>
      <c r="B8" s="5924"/>
      <c r="C8" s="5924"/>
      <c r="D8" s="5944"/>
      <c r="E8" s="5944"/>
      <c r="F8" s="2001">
        <f>'02-SALESPLAN-OFR2'!G33/2</f>
        <v>0</v>
      </c>
      <c r="G8" s="2001">
        <f>'02-SALESPLAN-OFR2'!H33-'02-SALESPLAN-OFR2'!G33</f>
        <v>0</v>
      </c>
      <c r="H8" s="2001">
        <f>'02-SALESPLAN-OFR2'!I33-'02-SALESPLAN-OFR2'!H33</f>
        <v>0</v>
      </c>
      <c r="I8" s="2001">
        <f>'02-SALESPLAN-OFR2'!J33-'02-SALESPLAN-OFR2'!I33</f>
        <v>0</v>
      </c>
      <c r="J8" s="2001">
        <f>'02-SALESPLAN-OFR2'!K33-'02-SALESPLAN-OFR2'!J33</f>
        <v>0</v>
      </c>
      <c r="K8" s="1975">
        <f t="shared" ref="K8:K16" si="3">SUM(F8:J8)</f>
        <v>0</v>
      </c>
      <c r="L8" s="539"/>
      <c r="M8" s="663" t="e">
        <f t="shared" si="1"/>
        <v>#DIV/0!</v>
      </c>
      <c r="N8" s="664" t="e">
        <f t="shared" si="1"/>
        <v>#DIV/0!</v>
      </c>
      <c r="O8" s="664" t="e">
        <f t="shared" si="2"/>
        <v>#DIV/0!</v>
      </c>
      <c r="P8" s="664" t="e">
        <f t="shared" si="2"/>
        <v>#DIV/0!</v>
      </c>
      <c r="Q8" s="1066" t="e">
        <f t="shared" si="2"/>
        <v>#DIV/0!</v>
      </c>
      <c r="R8" s="1068" t="e">
        <f t="shared" si="2"/>
        <v>#DIV/0!</v>
      </c>
    </row>
    <row r="9" spans="1:22" ht="15.5" x14ac:dyDescent="0.35">
      <c r="A9" s="5923" t="str">
        <f>'02-SALESPLAN-OFR2'!A17:F17</f>
        <v>Centres de contact</v>
      </c>
      <c r="B9" s="5924"/>
      <c r="C9" s="5924"/>
      <c r="D9" s="5944"/>
      <c r="E9" s="5944"/>
      <c r="F9" s="2001">
        <f>'02-SALESPLAN-OFR2'!G34/2</f>
        <v>0</v>
      </c>
      <c r="G9" s="2001">
        <f>'02-SALESPLAN-OFR2'!H34-'02-SALESPLAN-OFR2'!G34</f>
        <v>0</v>
      </c>
      <c r="H9" s="2001">
        <f>'02-SALESPLAN-OFR2'!I34-'02-SALESPLAN-OFR2'!H34</f>
        <v>0</v>
      </c>
      <c r="I9" s="2001">
        <f>'02-SALESPLAN-OFR2'!J34-'02-SALESPLAN-OFR2'!I34</f>
        <v>0</v>
      </c>
      <c r="J9" s="2001">
        <f>'02-SALESPLAN-OFR2'!K34-'02-SALESPLAN-OFR2'!J34</f>
        <v>0</v>
      </c>
      <c r="K9" s="1975">
        <f t="shared" si="3"/>
        <v>0</v>
      </c>
      <c r="L9" s="539"/>
      <c r="M9" s="663" t="e">
        <f t="shared" si="1"/>
        <v>#DIV/0!</v>
      </c>
      <c r="N9" s="664" t="e">
        <f t="shared" si="1"/>
        <v>#DIV/0!</v>
      </c>
      <c r="O9" s="664" t="e">
        <f t="shared" si="2"/>
        <v>#DIV/0!</v>
      </c>
      <c r="P9" s="664" t="e">
        <f t="shared" si="2"/>
        <v>#DIV/0!</v>
      </c>
      <c r="Q9" s="1066" t="e">
        <f t="shared" si="2"/>
        <v>#DIV/0!</v>
      </c>
      <c r="R9" s="1068" t="e">
        <f t="shared" si="2"/>
        <v>#DIV/0!</v>
      </c>
    </row>
    <row r="10" spans="1:22" ht="15.5" x14ac:dyDescent="0.35">
      <c r="A10" s="5923" t="str">
        <f>'02-SALESPLAN-OFR2'!A18:F18</f>
        <v>Vars Nationaux</v>
      </c>
      <c r="B10" s="5924"/>
      <c r="C10" s="5924"/>
      <c r="D10" s="5944"/>
      <c r="E10" s="5944"/>
      <c r="F10" s="2001">
        <f>'02-SALESPLAN-OFR2'!G35/2</f>
        <v>0</v>
      </c>
      <c r="G10" s="2001">
        <f>'02-SALESPLAN-OFR2'!H35-'02-SALESPLAN-OFR2'!G35</f>
        <v>0</v>
      </c>
      <c r="H10" s="2001">
        <f>'02-SALESPLAN-OFR2'!I35-'02-SALESPLAN-OFR2'!H35</f>
        <v>0</v>
      </c>
      <c r="I10" s="2001">
        <f>'02-SALESPLAN-OFR2'!J35-'02-SALESPLAN-OFR2'!I35</f>
        <v>0</v>
      </c>
      <c r="J10" s="2001">
        <f>'02-SALESPLAN-OFR2'!K35-'02-SALESPLAN-OFR2'!J35</f>
        <v>0</v>
      </c>
      <c r="K10" s="1975">
        <f t="shared" si="3"/>
        <v>0</v>
      </c>
      <c r="L10" s="539"/>
      <c r="M10" s="663" t="e">
        <f t="shared" si="1"/>
        <v>#DIV/0!</v>
      </c>
      <c r="N10" s="664" t="e">
        <f t="shared" si="1"/>
        <v>#DIV/0!</v>
      </c>
      <c r="O10" s="664" t="e">
        <f t="shared" si="2"/>
        <v>#DIV/0!</v>
      </c>
      <c r="P10" s="664" t="e">
        <f t="shared" si="2"/>
        <v>#DIV/0!</v>
      </c>
      <c r="Q10" s="1066" t="e">
        <f t="shared" si="2"/>
        <v>#DIV/0!</v>
      </c>
      <c r="R10" s="1068" t="e">
        <f t="shared" si="2"/>
        <v>#DIV/0!</v>
      </c>
    </row>
    <row r="11" spans="1:22" ht="15.5" x14ac:dyDescent="0.35">
      <c r="A11" s="5923" t="str">
        <f>'02-SALESPLAN-OFR2'!A19:F19</f>
        <v>Editeurs</v>
      </c>
      <c r="B11" s="5924"/>
      <c r="C11" s="5924"/>
      <c r="D11" s="5944"/>
      <c r="E11" s="5944"/>
      <c r="F11" s="2001">
        <f>'02-SALESPLAN-OFR2'!G36/2</f>
        <v>0</v>
      </c>
      <c r="G11" s="2001">
        <f>'02-SALESPLAN-OFR2'!H36-'02-SALESPLAN-OFR2'!G36</f>
        <v>0</v>
      </c>
      <c r="H11" s="2001">
        <f>'02-SALESPLAN-OFR2'!I36-'02-SALESPLAN-OFR2'!H36</f>
        <v>0</v>
      </c>
      <c r="I11" s="2001">
        <f>'02-SALESPLAN-OFR2'!J36-'02-SALESPLAN-OFR2'!I36</f>
        <v>0</v>
      </c>
      <c r="J11" s="2001">
        <f>'02-SALESPLAN-OFR2'!K36-'02-SALESPLAN-OFR2'!J36</f>
        <v>0</v>
      </c>
      <c r="K11" s="1975">
        <f>SUM(F11:J11)</f>
        <v>0</v>
      </c>
      <c r="L11" s="512"/>
      <c r="M11" s="663" t="e">
        <f t="shared" si="1"/>
        <v>#DIV/0!</v>
      </c>
      <c r="N11" s="664" t="e">
        <f t="shared" si="1"/>
        <v>#DIV/0!</v>
      </c>
      <c r="O11" s="664" t="e">
        <f t="shared" si="2"/>
        <v>#DIV/0!</v>
      </c>
      <c r="P11" s="664" t="e">
        <f t="shared" si="2"/>
        <v>#DIV/0!</v>
      </c>
      <c r="Q11" s="1066" t="e">
        <f t="shared" si="2"/>
        <v>#DIV/0!</v>
      </c>
      <c r="R11" s="1068" t="e">
        <f t="shared" si="2"/>
        <v>#DIV/0!</v>
      </c>
    </row>
    <row r="12" spans="1:22" ht="15.5" x14ac:dyDescent="0.35">
      <c r="A12" s="5923" t="str">
        <f>'02-SALESPLAN-OFR2'!A20:F20</f>
        <v>Web Agencies</v>
      </c>
      <c r="B12" s="5924"/>
      <c r="C12" s="5924"/>
      <c r="D12" s="5944"/>
      <c r="E12" s="5944"/>
      <c r="F12" s="2001">
        <f>'02-SALESPLAN-OFR2'!G37/2</f>
        <v>0</v>
      </c>
      <c r="G12" s="2001">
        <f>'02-SALESPLAN-OFR2'!H37-'02-SALESPLAN-OFR2'!G37</f>
        <v>0</v>
      </c>
      <c r="H12" s="2001">
        <f>'02-SALESPLAN-OFR2'!I37-'02-SALESPLAN-OFR2'!H37</f>
        <v>0</v>
      </c>
      <c r="I12" s="2001">
        <f>'02-SALESPLAN-OFR2'!J37-'02-SALESPLAN-OFR2'!I37</f>
        <v>0</v>
      </c>
      <c r="J12" s="2001">
        <f>'02-SALESPLAN-OFR2'!K37-'02-SALESPLAN-OFR2'!J37</f>
        <v>0</v>
      </c>
      <c r="K12" s="1975">
        <f t="shared" si="3"/>
        <v>0</v>
      </c>
      <c r="L12" s="512"/>
      <c r="M12" s="663" t="e">
        <f t="shared" si="1"/>
        <v>#DIV/0!</v>
      </c>
      <c r="N12" s="664" t="e">
        <f t="shared" si="1"/>
        <v>#DIV/0!</v>
      </c>
      <c r="O12" s="664" t="e">
        <f t="shared" si="2"/>
        <v>#DIV/0!</v>
      </c>
      <c r="P12" s="664" t="e">
        <f t="shared" si="2"/>
        <v>#DIV/0!</v>
      </c>
      <c r="Q12" s="1066" t="e">
        <f t="shared" si="2"/>
        <v>#DIV/0!</v>
      </c>
      <c r="R12" s="1068" t="e">
        <f t="shared" si="2"/>
        <v>#DIV/0!</v>
      </c>
    </row>
    <row r="13" spans="1:22" ht="15.5" x14ac:dyDescent="0.35">
      <c r="A13" s="5923" t="str">
        <f>'02-SALESPLAN-OFR2'!A21:F21</f>
        <v>Constructeurs</v>
      </c>
      <c r="B13" s="5924"/>
      <c r="C13" s="5924"/>
      <c r="D13" s="5944"/>
      <c r="E13" s="5944"/>
      <c r="F13" s="2001">
        <f>'02-SALESPLAN-OFR2'!G38/2</f>
        <v>0</v>
      </c>
      <c r="G13" s="2001">
        <f>'02-SALESPLAN-OFR2'!H38-'02-SALESPLAN-OFR2'!G38</f>
        <v>0</v>
      </c>
      <c r="H13" s="2001">
        <f>'02-SALESPLAN-OFR2'!I38-'02-SALESPLAN-OFR2'!H38</f>
        <v>0</v>
      </c>
      <c r="I13" s="2001">
        <f>'02-SALESPLAN-OFR2'!J38-'02-SALESPLAN-OFR2'!I38</f>
        <v>0</v>
      </c>
      <c r="J13" s="2001">
        <f>'02-SALESPLAN-OFR2'!K38-'02-SALESPLAN-OFR2'!J38</f>
        <v>0</v>
      </c>
      <c r="K13" s="1975">
        <f>SUM(F13:J13)</f>
        <v>0</v>
      </c>
      <c r="L13" s="512"/>
      <c r="M13" s="663" t="e">
        <f t="shared" si="1"/>
        <v>#DIV/0!</v>
      </c>
      <c r="N13" s="664" t="e">
        <f t="shared" si="1"/>
        <v>#DIV/0!</v>
      </c>
      <c r="O13" s="664" t="e">
        <f t="shared" si="2"/>
        <v>#DIV/0!</v>
      </c>
      <c r="P13" s="664" t="e">
        <f t="shared" si="2"/>
        <v>#DIV/0!</v>
      </c>
      <c r="Q13" s="1066" t="e">
        <f t="shared" si="2"/>
        <v>#DIV/0!</v>
      </c>
      <c r="R13" s="1068" t="e">
        <f t="shared" si="2"/>
        <v>#DIV/0!</v>
      </c>
    </row>
    <row r="14" spans="1:22" ht="15.5" x14ac:dyDescent="0.35">
      <c r="A14" s="5923" t="str">
        <f>'02-SALESPLAN-OFR2'!A22:F22</f>
        <v>Hébergeurs</v>
      </c>
      <c r="B14" s="5924"/>
      <c r="C14" s="5924"/>
      <c r="D14" s="5944"/>
      <c r="E14" s="5944"/>
      <c r="F14" s="2001">
        <f>'02-SALESPLAN-OFR2'!G39/2</f>
        <v>0</v>
      </c>
      <c r="G14" s="2001">
        <f>'02-SALESPLAN-OFR2'!H39-'02-SALESPLAN-OFR2'!G39</f>
        <v>0</v>
      </c>
      <c r="H14" s="2001">
        <f>'02-SALESPLAN-OFR2'!I39-'02-SALESPLAN-OFR2'!H39</f>
        <v>0</v>
      </c>
      <c r="I14" s="2001">
        <f>'02-SALESPLAN-OFR2'!J39-'02-SALESPLAN-OFR2'!I39</f>
        <v>0</v>
      </c>
      <c r="J14" s="2001">
        <f>'02-SALESPLAN-OFR2'!K39-'02-SALESPLAN-OFR2'!J39</f>
        <v>0</v>
      </c>
      <c r="K14" s="1975">
        <f t="shared" si="3"/>
        <v>0</v>
      </c>
      <c r="L14" s="512"/>
      <c r="M14" s="663" t="e">
        <f t="shared" si="1"/>
        <v>#DIV/0!</v>
      </c>
      <c r="N14" s="664" t="e">
        <f t="shared" si="1"/>
        <v>#DIV/0!</v>
      </c>
      <c r="O14" s="664" t="e">
        <f t="shared" si="2"/>
        <v>#DIV/0!</v>
      </c>
      <c r="P14" s="664" t="e">
        <f t="shared" si="2"/>
        <v>#DIV/0!</v>
      </c>
      <c r="Q14" s="1066" t="e">
        <f t="shared" si="2"/>
        <v>#DIV/0!</v>
      </c>
      <c r="R14" s="1068" t="e">
        <f t="shared" si="2"/>
        <v>#DIV/0!</v>
      </c>
    </row>
    <row r="15" spans="1:22" ht="15" thickBot="1" x14ac:dyDescent="0.4">
      <c r="A15" s="5945"/>
      <c r="B15" s="5946"/>
      <c r="C15" s="5946"/>
      <c r="D15" s="5946"/>
      <c r="E15" s="5946"/>
      <c r="F15" s="5946"/>
      <c r="G15" s="5946"/>
      <c r="H15" s="5946"/>
      <c r="I15" s="5946"/>
      <c r="J15" s="5946"/>
      <c r="K15" s="5947"/>
      <c r="L15" s="512"/>
      <c r="M15" s="5941"/>
      <c r="N15" s="5942"/>
      <c r="O15" s="5942"/>
      <c r="P15" s="5942"/>
      <c r="Q15" s="5942"/>
      <c r="R15" s="5943"/>
    </row>
    <row r="16" spans="1:22" ht="15.5" thickTop="1" thickBot="1" x14ac:dyDescent="0.4">
      <c r="A16" s="651"/>
      <c r="B16" s="651"/>
      <c r="C16" s="5789" t="s">
        <v>436</v>
      </c>
      <c r="D16" s="5790"/>
      <c r="E16" s="5934"/>
      <c r="F16" s="2002">
        <f>SUM(F7:F15)</f>
        <v>0</v>
      </c>
      <c r="G16" s="1690">
        <f>SUM(G7:G15)</f>
        <v>0</v>
      </c>
      <c r="H16" s="1690">
        <f>SUM(H7:H15)</f>
        <v>0</v>
      </c>
      <c r="I16" s="1690">
        <f>SUM(I7:I15)</f>
        <v>0</v>
      </c>
      <c r="J16" s="1691">
        <f>SUM(J7:J15)</f>
        <v>0</v>
      </c>
      <c r="K16" s="1692">
        <f t="shared" si="3"/>
        <v>0</v>
      </c>
      <c r="L16" s="530"/>
      <c r="M16" s="666" t="e">
        <f t="shared" ref="M16:R16" si="4">SUM(M7:M15)</f>
        <v>#DIV/0!</v>
      </c>
      <c r="N16" s="667" t="e">
        <f t="shared" si="4"/>
        <v>#DIV/0!</v>
      </c>
      <c r="O16" s="667" t="e">
        <f t="shared" si="4"/>
        <v>#DIV/0!</v>
      </c>
      <c r="P16" s="667" t="e">
        <f t="shared" si="4"/>
        <v>#DIV/0!</v>
      </c>
      <c r="Q16" s="1067" t="e">
        <f t="shared" si="4"/>
        <v>#DIV/0!</v>
      </c>
      <c r="R16" s="1069" t="e">
        <f t="shared" si="4"/>
        <v>#DIV/0!</v>
      </c>
    </row>
    <row r="17" spans="1:18" ht="15" thickTop="1" x14ac:dyDescent="0.35">
      <c r="A17" s="651"/>
      <c r="B17" s="651"/>
      <c r="C17" s="1611"/>
      <c r="D17" s="535"/>
      <c r="E17" s="1612" t="s">
        <v>1528</v>
      </c>
      <c r="F17" s="1693">
        <f t="shared" ref="F17:K17" si="5">SUM(F8:F14)</f>
        <v>0</v>
      </c>
      <c r="G17" s="1693">
        <f t="shared" si="5"/>
        <v>0</v>
      </c>
      <c r="H17" s="1693">
        <f t="shared" si="5"/>
        <v>0</v>
      </c>
      <c r="I17" s="1693">
        <f t="shared" si="5"/>
        <v>0</v>
      </c>
      <c r="J17" s="1693">
        <f t="shared" si="5"/>
        <v>0</v>
      </c>
      <c r="K17" s="1694">
        <f t="shared" si="5"/>
        <v>0</v>
      </c>
      <c r="L17" s="530"/>
      <c r="M17" s="528"/>
      <c r="N17" s="528"/>
      <c r="O17" s="528"/>
      <c r="P17" s="528"/>
      <c r="Q17" s="528"/>
      <c r="R17" s="528"/>
    </row>
    <row r="18" spans="1:18" ht="15" thickBot="1" x14ac:dyDescent="0.4">
      <c r="A18" s="651"/>
      <c r="B18" s="651"/>
      <c r="C18" s="5935" t="s">
        <v>1529</v>
      </c>
      <c r="D18" s="5936"/>
      <c r="E18" s="5937"/>
      <c r="F18" s="668"/>
      <c r="G18" s="546" t="e">
        <f>SUM(G17-F17)/F16</f>
        <v>#DIV/0!</v>
      </c>
      <c r="H18" s="546" t="e">
        <f>SUM(H17-G17)/G16</f>
        <v>#DIV/0!</v>
      </c>
      <c r="I18" s="546" t="e">
        <f>SUM(I17-H17)/H16</f>
        <v>#DIV/0!</v>
      </c>
      <c r="J18" s="546" t="e">
        <f>SUM(J17-I17)/I16</f>
        <v>#DIV/0!</v>
      </c>
      <c r="K18" s="1065"/>
      <c r="L18" s="520"/>
      <c r="M18" s="512"/>
      <c r="N18" s="512"/>
      <c r="O18" s="512"/>
      <c r="P18" s="512"/>
      <c r="Q18" s="512"/>
      <c r="R18" s="513"/>
    </row>
    <row r="19" spans="1:18" ht="13.5" thickTop="1" x14ac:dyDescent="0.3">
      <c r="A19" s="651"/>
      <c r="B19" s="651"/>
      <c r="C19" s="651"/>
      <c r="D19" s="651"/>
      <c r="E19" s="651"/>
      <c r="F19" s="651"/>
      <c r="G19" s="651"/>
      <c r="H19" s="651"/>
      <c r="I19" s="651"/>
      <c r="J19" s="651"/>
      <c r="K19" s="651"/>
      <c r="L19" s="651"/>
      <c r="M19" s="651"/>
      <c r="N19" s="651"/>
      <c r="O19" s="651"/>
      <c r="P19" s="651"/>
      <c r="Q19" s="651"/>
      <c r="R19" s="651"/>
    </row>
    <row r="20" spans="1:18" x14ac:dyDescent="0.3">
      <c r="A20" s="651"/>
      <c r="B20" s="651"/>
      <c r="C20" s="651"/>
      <c r="D20" s="651"/>
      <c r="E20" s="651"/>
      <c r="F20" s="651"/>
      <c r="G20" s="651"/>
      <c r="H20" s="651"/>
      <c r="I20" s="651"/>
      <c r="J20" s="651"/>
      <c r="K20" s="651"/>
      <c r="L20" s="651"/>
      <c r="M20" s="651"/>
      <c r="N20" s="651"/>
      <c r="O20" s="651"/>
      <c r="P20" s="651"/>
      <c r="Q20" s="651"/>
      <c r="R20" s="651"/>
    </row>
    <row r="21" spans="1:18" ht="13.5" thickBot="1" x14ac:dyDescent="0.35">
      <c r="A21" s="651"/>
      <c r="B21" s="651"/>
      <c r="C21" s="651"/>
      <c r="D21" s="651"/>
      <c r="E21" s="651"/>
      <c r="F21" s="651"/>
      <c r="G21" s="651"/>
      <c r="H21" s="651"/>
      <c r="I21" s="651"/>
      <c r="J21" s="651"/>
      <c r="K21" s="651"/>
      <c r="L21" s="651"/>
      <c r="M21" s="651"/>
      <c r="N21" s="651"/>
      <c r="O21" s="651"/>
      <c r="P21" s="651"/>
      <c r="Q21" s="651"/>
      <c r="R21" s="651"/>
    </row>
    <row r="22" spans="1:18" s="210" customFormat="1" ht="39.75" customHeight="1" thickTop="1" x14ac:dyDescent="0.45">
      <c r="A22" s="5938" t="s">
        <v>1458</v>
      </c>
      <c r="B22" s="5939"/>
      <c r="C22" s="5940"/>
      <c r="D22" s="5933" t="s">
        <v>1797</v>
      </c>
      <c r="E22" s="5933"/>
      <c r="F22" s="660">
        <f t="shared" ref="F22:K22" si="6">F6</f>
        <v>2017</v>
      </c>
      <c r="G22" s="660">
        <f t="shared" si="6"/>
        <v>2018</v>
      </c>
      <c r="H22" s="660">
        <f t="shared" si="6"/>
        <v>2019</v>
      </c>
      <c r="I22" s="660">
        <f t="shared" si="6"/>
        <v>2020</v>
      </c>
      <c r="J22" s="1060">
        <f t="shared" si="6"/>
        <v>2021</v>
      </c>
      <c r="K22" s="1062" t="str">
        <f t="shared" si="6"/>
        <v>Total</v>
      </c>
      <c r="L22" s="551"/>
      <c r="M22" s="551"/>
      <c r="N22" s="551"/>
      <c r="O22" s="551"/>
      <c r="P22" s="551"/>
      <c r="Q22" s="551"/>
      <c r="R22" s="551"/>
    </row>
    <row r="23" spans="1:18" ht="15.5" x14ac:dyDescent="0.35">
      <c r="A23" s="5923" t="str">
        <f t="shared" ref="A23:A30" si="7">A7</f>
        <v>Ventes directes seules</v>
      </c>
      <c r="B23" s="5924"/>
      <c r="C23" s="5924"/>
      <c r="D23" s="5925">
        <v>30</v>
      </c>
      <c r="E23" s="5925"/>
      <c r="F23" s="2003">
        <f t="shared" ref="F23:J30" si="8">IF($D23=0,0,F7/$D23)</f>
        <v>0</v>
      </c>
      <c r="G23" s="2003">
        <f t="shared" si="8"/>
        <v>0</v>
      </c>
      <c r="H23" s="2003">
        <f t="shared" si="8"/>
        <v>0</v>
      </c>
      <c r="I23" s="2003">
        <f t="shared" si="8"/>
        <v>0</v>
      </c>
      <c r="J23" s="2004">
        <f t="shared" si="8"/>
        <v>0</v>
      </c>
      <c r="K23" s="2005">
        <f t="shared" ref="K23:K30" si="9">SUM(G23:J23)</f>
        <v>0</v>
      </c>
      <c r="L23" s="651"/>
      <c r="M23" s="651"/>
      <c r="N23" s="1483"/>
      <c r="O23" s="651"/>
      <c r="P23" s="651"/>
      <c r="Q23" s="651"/>
      <c r="R23" s="651"/>
    </row>
    <row r="24" spans="1:18" ht="15.5" x14ac:dyDescent="0.35">
      <c r="A24" s="5923" t="str">
        <f t="shared" si="7"/>
        <v>ESN</v>
      </c>
      <c r="B24" s="5924"/>
      <c r="C24" s="5924"/>
      <c r="D24" s="5925">
        <v>17</v>
      </c>
      <c r="E24" s="5925"/>
      <c r="F24" s="2001">
        <f t="shared" si="8"/>
        <v>0</v>
      </c>
      <c r="G24" s="2006">
        <f t="shared" si="8"/>
        <v>0</v>
      </c>
      <c r="H24" s="2006">
        <f t="shared" si="8"/>
        <v>0</v>
      </c>
      <c r="I24" s="2006">
        <f t="shared" si="8"/>
        <v>0</v>
      </c>
      <c r="J24" s="2007">
        <f t="shared" si="8"/>
        <v>0</v>
      </c>
      <c r="K24" s="1975">
        <f t="shared" si="9"/>
        <v>0</v>
      </c>
      <c r="L24" s="651"/>
      <c r="M24" s="651"/>
      <c r="N24" s="651"/>
      <c r="O24" s="651"/>
      <c r="P24" s="651"/>
      <c r="Q24" s="651"/>
      <c r="R24" s="651"/>
    </row>
    <row r="25" spans="1:18" ht="15.5" x14ac:dyDescent="0.35">
      <c r="A25" s="5923" t="str">
        <f t="shared" si="7"/>
        <v>Centres de contact</v>
      </c>
      <c r="B25" s="5924"/>
      <c r="C25" s="5924"/>
      <c r="D25" s="5925">
        <v>10</v>
      </c>
      <c r="E25" s="5925"/>
      <c r="F25" s="2001">
        <f t="shared" si="8"/>
        <v>0</v>
      </c>
      <c r="G25" s="2006">
        <f t="shared" si="8"/>
        <v>0</v>
      </c>
      <c r="H25" s="2006">
        <f t="shared" si="8"/>
        <v>0</v>
      </c>
      <c r="I25" s="2006">
        <f t="shared" si="8"/>
        <v>0</v>
      </c>
      <c r="J25" s="2007">
        <f t="shared" si="8"/>
        <v>0</v>
      </c>
      <c r="K25" s="2008">
        <f t="shared" si="9"/>
        <v>0</v>
      </c>
      <c r="L25" s="651"/>
      <c r="M25" s="651"/>
      <c r="N25" s="651"/>
      <c r="O25" s="651"/>
      <c r="P25" s="651"/>
      <c r="Q25" s="651"/>
      <c r="R25" s="651"/>
    </row>
    <row r="26" spans="1:18" ht="15.5" x14ac:dyDescent="0.35">
      <c r="A26" s="5923" t="str">
        <f t="shared" si="7"/>
        <v>Vars Nationaux</v>
      </c>
      <c r="B26" s="5924"/>
      <c r="C26" s="5924"/>
      <c r="D26" s="5925">
        <v>5</v>
      </c>
      <c r="E26" s="5925"/>
      <c r="F26" s="2001">
        <f t="shared" si="8"/>
        <v>0</v>
      </c>
      <c r="G26" s="2006">
        <f t="shared" si="8"/>
        <v>0</v>
      </c>
      <c r="H26" s="2006">
        <f t="shared" si="8"/>
        <v>0</v>
      </c>
      <c r="I26" s="2006">
        <f t="shared" si="8"/>
        <v>0</v>
      </c>
      <c r="J26" s="2007">
        <f t="shared" si="8"/>
        <v>0</v>
      </c>
      <c r="K26" s="1975">
        <f t="shared" si="9"/>
        <v>0</v>
      </c>
      <c r="L26" s="651"/>
      <c r="M26" s="651"/>
      <c r="N26" s="651"/>
      <c r="O26" s="651"/>
      <c r="P26" s="651"/>
      <c r="Q26" s="651"/>
      <c r="R26" s="651"/>
    </row>
    <row r="27" spans="1:18" ht="15.5" x14ac:dyDescent="0.35">
      <c r="A27" s="5923" t="str">
        <f t="shared" si="7"/>
        <v>Editeurs</v>
      </c>
      <c r="B27" s="5924"/>
      <c r="C27" s="5924"/>
      <c r="D27" s="5925">
        <v>15</v>
      </c>
      <c r="E27" s="5925"/>
      <c r="F27" s="2001">
        <f t="shared" si="8"/>
        <v>0</v>
      </c>
      <c r="G27" s="2006">
        <f t="shared" si="8"/>
        <v>0</v>
      </c>
      <c r="H27" s="2006">
        <f t="shared" si="8"/>
        <v>0</v>
      </c>
      <c r="I27" s="2006">
        <f t="shared" si="8"/>
        <v>0</v>
      </c>
      <c r="J27" s="2007">
        <f t="shared" si="8"/>
        <v>0</v>
      </c>
      <c r="K27" s="1975">
        <f t="shared" si="9"/>
        <v>0</v>
      </c>
      <c r="L27" s="651"/>
      <c r="M27" s="651"/>
      <c r="N27" s="651"/>
      <c r="O27" s="651"/>
      <c r="P27" s="651"/>
      <c r="Q27" s="651"/>
      <c r="R27" s="651"/>
    </row>
    <row r="28" spans="1:18" ht="15.5" x14ac:dyDescent="0.35">
      <c r="A28" s="5923" t="str">
        <f t="shared" si="7"/>
        <v>Web Agencies</v>
      </c>
      <c r="B28" s="5924"/>
      <c r="C28" s="5924"/>
      <c r="D28" s="5925">
        <v>5</v>
      </c>
      <c r="E28" s="5925"/>
      <c r="F28" s="2001">
        <f t="shared" si="8"/>
        <v>0</v>
      </c>
      <c r="G28" s="2006">
        <f t="shared" si="8"/>
        <v>0</v>
      </c>
      <c r="H28" s="2006">
        <f t="shared" si="8"/>
        <v>0</v>
      </c>
      <c r="I28" s="2006">
        <f t="shared" si="8"/>
        <v>0</v>
      </c>
      <c r="J28" s="2007">
        <f t="shared" si="8"/>
        <v>0</v>
      </c>
      <c r="K28" s="1975">
        <f t="shared" si="9"/>
        <v>0</v>
      </c>
      <c r="L28" s="651"/>
      <c r="M28" s="651"/>
      <c r="N28" s="651"/>
      <c r="O28" s="651"/>
      <c r="P28" s="651"/>
      <c r="Q28" s="651"/>
      <c r="R28" s="651"/>
    </row>
    <row r="29" spans="1:18" ht="15.5" x14ac:dyDescent="0.35">
      <c r="A29" s="5923" t="str">
        <f t="shared" si="7"/>
        <v>Constructeurs</v>
      </c>
      <c r="B29" s="5924"/>
      <c r="C29" s="5924"/>
      <c r="D29" s="5925"/>
      <c r="E29" s="5925"/>
      <c r="F29" s="2001">
        <f t="shared" si="8"/>
        <v>0</v>
      </c>
      <c r="G29" s="2006">
        <f t="shared" si="8"/>
        <v>0</v>
      </c>
      <c r="H29" s="2006">
        <f t="shared" si="8"/>
        <v>0</v>
      </c>
      <c r="I29" s="2006">
        <f t="shared" si="8"/>
        <v>0</v>
      </c>
      <c r="J29" s="2007">
        <f t="shared" si="8"/>
        <v>0</v>
      </c>
      <c r="K29" s="1975">
        <f t="shared" si="9"/>
        <v>0</v>
      </c>
      <c r="L29" s="651"/>
      <c r="M29" s="651"/>
      <c r="N29" s="651"/>
      <c r="O29" s="651"/>
      <c r="P29" s="651"/>
      <c r="Q29" s="651"/>
      <c r="R29" s="651"/>
    </row>
    <row r="30" spans="1:18" ht="15.5" x14ac:dyDescent="0.35">
      <c r="A30" s="5923" t="str">
        <f t="shared" si="7"/>
        <v>Hébergeurs</v>
      </c>
      <c r="B30" s="5924"/>
      <c r="C30" s="5924"/>
      <c r="D30" s="5925"/>
      <c r="E30" s="5925"/>
      <c r="F30" s="2001">
        <f t="shared" si="8"/>
        <v>0</v>
      </c>
      <c r="G30" s="2006">
        <f t="shared" si="8"/>
        <v>0</v>
      </c>
      <c r="H30" s="2006">
        <f t="shared" si="8"/>
        <v>0</v>
      </c>
      <c r="I30" s="2006">
        <f t="shared" si="8"/>
        <v>0</v>
      </c>
      <c r="J30" s="2007">
        <f t="shared" si="8"/>
        <v>0</v>
      </c>
      <c r="K30" s="1975">
        <f t="shared" si="9"/>
        <v>0</v>
      </c>
      <c r="L30" s="651"/>
      <c r="M30" s="651"/>
      <c r="N30" s="651"/>
      <c r="O30" s="651"/>
      <c r="P30" s="651"/>
      <c r="Q30" s="651"/>
      <c r="R30" s="651"/>
    </row>
    <row r="31" spans="1:18" ht="15.75" customHeight="1" thickBot="1" x14ac:dyDescent="0.35">
      <c r="A31" s="5926"/>
      <c r="B31" s="5927"/>
      <c r="C31" s="5927"/>
      <c r="D31" s="5927"/>
      <c r="E31" s="5927"/>
      <c r="F31" s="5927"/>
      <c r="G31" s="5927"/>
      <c r="H31" s="5927"/>
      <c r="I31" s="5927"/>
      <c r="J31" s="5927"/>
      <c r="K31" s="5928"/>
      <c r="L31" s="651"/>
      <c r="M31" s="651"/>
      <c r="N31" s="651"/>
      <c r="O31" s="651"/>
      <c r="P31" s="651"/>
      <c r="Q31" s="651"/>
      <c r="R31" s="651"/>
    </row>
    <row r="32" spans="1:18" ht="19" thickTop="1" x14ac:dyDescent="0.3">
      <c r="A32" s="651"/>
      <c r="B32" s="651"/>
      <c r="C32" s="651"/>
      <c r="D32" s="5929" t="s">
        <v>127</v>
      </c>
      <c r="E32" s="5930"/>
      <c r="F32" s="1614">
        <f>SUM(F23:F31)</f>
        <v>0</v>
      </c>
      <c r="G32" s="1615">
        <f>SUM(G23:G31)</f>
        <v>0</v>
      </c>
      <c r="H32" s="1615">
        <f>SUM(H23:H31)</f>
        <v>0</v>
      </c>
      <c r="I32" s="1615">
        <f>SUM(I23:I31)</f>
        <v>0</v>
      </c>
      <c r="J32" s="1616">
        <f>SUM(J23:J31)</f>
        <v>0</v>
      </c>
      <c r="K32" s="1617">
        <f>SUM(G32:J32)</f>
        <v>0</v>
      </c>
      <c r="L32" s="651"/>
      <c r="M32" s="651"/>
      <c r="N32" s="651"/>
      <c r="O32" s="651"/>
      <c r="P32" s="651"/>
      <c r="Q32" s="651"/>
      <c r="R32" s="651"/>
    </row>
    <row r="33" spans="1:18" ht="15" thickBot="1" x14ac:dyDescent="0.35">
      <c r="A33" s="651"/>
      <c r="B33" s="651"/>
      <c r="C33" s="651"/>
      <c r="D33" s="1618"/>
      <c r="E33" s="1619" t="s">
        <v>1528</v>
      </c>
      <c r="F33" s="1620">
        <f t="shared" ref="F33:K33" si="10">SUM(F24:F30)</f>
        <v>0</v>
      </c>
      <c r="G33" s="1620">
        <f t="shared" si="10"/>
        <v>0</v>
      </c>
      <c r="H33" s="1620">
        <f t="shared" si="10"/>
        <v>0</v>
      </c>
      <c r="I33" s="1620">
        <f t="shared" si="10"/>
        <v>0</v>
      </c>
      <c r="J33" s="1620">
        <f t="shared" si="10"/>
        <v>0</v>
      </c>
      <c r="K33" s="1621">
        <f t="shared" si="10"/>
        <v>0</v>
      </c>
      <c r="L33" s="651"/>
      <c r="M33" s="651"/>
      <c r="N33" s="651"/>
      <c r="O33" s="651"/>
      <c r="P33" s="651"/>
      <c r="Q33" s="651"/>
      <c r="R33" s="651"/>
    </row>
    <row r="34" spans="1:18" ht="13.5" thickTop="1" x14ac:dyDescent="0.3">
      <c r="A34" s="651"/>
      <c r="B34" s="651"/>
      <c r="C34" s="651"/>
      <c r="D34" s="651"/>
      <c r="E34" s="651"/>
      <c r="F34" s="651"/>
      <c r="G34" s="651"/>
      <c r="H34" s="651"/>
      <c r="I34" s="651"/>
      <c r="J34" s="651"/>
      <c r="K34" s="651"/>
      <c r="L34" s="651"/>
      <c r="M34" s="651"/>
      <c r="N34" s="651"/>
      <c r="O34" s="651"/>
      <c r="P34" s="651"/>
      <c r="Q34" s="651"/>
      <c r="R34" s="651"/>
    </row>
    <row r="35" spans="1:18" ht="13.5" thickBot="1" x14ac:dyDescent="0.35">
      <c r="A35" s="651"/>
      <c r="B35" s="651"/>
      <c r="C35" s="651"/>
      <c r="D35" s="651"/>
      <c r="E35" s="651"/>
      <c r="F35" s="651"/>
      <c r="G35" s="651"/>
      <c r="H35" s="651"/>
      <c r="I35" s="651"/>
      <c r="J35" s="651"/>
      <c r="K35" s="651"/>
      <c r="L35" s="651"/>
      <c r="M35" s="651"/>
      <c r="N35" s="651"/>
      <c r="O35" s="651"/>
      <c r="P35" s="651"/>
      <c r="Q35" s="651"/>
      <c r="R35" s="651"/>
    </row>
    <row r="36" spans="1:18" s="210" customFormat="1" ht="47.25" customHeight="1" thickTop="1" x14ac:dyDescent="0.35">
      <c r="A36" s="5931" t="s">
        <v>1461</v>
      </c>
      <c r="B36" s="5932"/>
      <c r="C36" s="5932"/>
      <c r="D36" s="5933" t="s">
        <v>1455</v>
      </c>
      <c r="E36" s="5933"/>
      <c r="F36" s="660">
        <f>F6</f>
        <v>2017</v>
      </c>
      <c r="G36" s="660">
        <f>G6</f>
        <v>2018</v>
      </c>
      <c r="H36" s="660">
        <f>H6</f>
        <v>2019</v>
      </c>
      <c r="I36" s="660">
        <f>I6</f>
        <v>2020</v>
      </c>
      <c r="J36" s="661">
        <f>J6</f>
        <v>2021</v>
      </c>
      <c r="K36" s="551"/>
      <c r="L36" s="551"/>
      <c r="M36" s="551"/>
      <c r="N36" s="551"/>
      <c r="O36" s="551"/>
      <c r="P36" s="551"/>
      <c r="Q36" s="551"/>
      <c r="R36" s="551"/>
    </row>
    <row r="37" spans="1:18" ht="15.75" customHeight="1" x14ac:dyDescent="0.35">
      <c r="A37" s="5917" t="str">
        <f t="shared" ref="A37:A44" si="11">A7</f>
        <v>Ventes directes seules</v>
      </c>
      <c r="B37" s="5918"/>
      <c r="C37" s="5918"/>
      <c r="D37" s="4623"/>
      <c r="E37" s="4623"/>
      <c r="F37" s="1174">
        <f t="shared" ref="F37:J44" si="12">IF($D37=0,0,F23/$D37)</f>
        <v>0</v>
      </c>
      <c r="G37" s="1174">
        <f t="shared" si="12"/>
        <v>0</v>
      </c>
      <c r="H37" s="1174">
        <f t="shared" si="12"/>
        <v>0</v>
      </c>
      <c r="I37" s="1174">
        <f t="shared" si="12"/>
        <v>0</v>
      </c>
      <c r="J37" s="2056">
        <f t="shared" si="12"/>
        <v>0</v>
      </c>
      <c r="K37" s="651"/>
      <c r="L37" s="651"/>
      <c r="M37" s="651"/>
      <c r="N37" s="651"/>
      <c r="O37" s="651"/>
      <c r="P37" s="651"/>
      <c r="Q37" s="651"/>
      <c r="R37" s="651"/>
    </row>
    <row r="38" spans="1:18" ht="15" customHeight="1" x14ac:dyDescent="0.35">
      <c r="A38" s="5917" t="str">
        <f t="shared" si="11"/>
        <v>ESN</v>
      </c>
      <c r="B38" s="5918"/>
      <c r="C38" s="5918"/>
      <c r="D38" s="5919">
        <v>3</v>
      </c>
      <c r="E38" s="5919"/>
      <c r="F38" s="669">
        <f t="shared" si="12"/>
        <v>0</v>
      </c>
      <c r="G38" s="669">
        <f t="shared" si="12"/>
        <v>0</v>
      </c>
      <c r="H38" s="669">
        <f t="shared" si="12"/>
        <v>0</v>
      </c>
      <c r="I38" s="669">
        <f t="shared" si="12"/>
        <v>0</v>
      </c>
      <c r="J38" s="670">
        <f t="shared" si="12"/>
        <v>0</v>
      </c>
      <c r="K38" s="651"/>
      <c r="L38" s="651"/>
      <c r="M38" s="651"/>
      <c r="N38" s="651"/>
      <c r="O38" s="651"/>
      <c r="P38" s="651"/>
      <c r="Q38" s="651"/>
      <c r="R38" s="651"/>
    </row>
    <row r="39" spans="1:18" ht="15" customHeight="1" x14ac:dyDescent="0.35">
      <c r="A39" s="5917" t="str">
        <f t="shared" si="11"/>
        <v>Centres de contact</v>
      </c>
      <c r="B39" s="5918"/>
      <c r="C39" s="5918"/>
      <c r="D39" s="5919">
        <v>2</v>
      </c>
      <c r="E39" s="5919"/>
      <c r="F39" s="669">
        <f t="shared" si="12"/>
        <v>0</v>
      </c>
      <c r="G39" s="669">
        <f t="shared" si="12"/>
        <v>0</v>
      </c>
      <c r="H39" s="669">
        <f t="shared" si="12"/>
        <v>0</v>
      </c>
      <c r="I39" s="669">
        <f t="shared" si="12"/>
        <v>0</v>
      </c>
      <c r="J39" s="670">
        <f t="shared" si="12"/>
        <v>0</v>
      </c>
      <c r="K39" s="651"/>
      <c r="L39" s="651"/>
      <c r="M39" s="651"/>
      <c r="N39" s="651"/>
      <c r="O39" s="651"/>
      <c r="P39" s="651"/>
      <c r="Q39" s="651"/>
      <c r="R39" s="651"/>
    </row>
    <row r="40" spans="1:18" ht="15" customHeight="1" x14ac:dyDescent="0.35">
      <c r="A40" s="5917" t="str">
        <f t="shared" si="11"/>
        <v>Vars Nationaux</v>
      </c>
      <c r="B40" s="5918"/>
      <c r="C40" s="5918"/>
      <c r="D40" s="5919">
        <v>3</v>
      </c>
      <c r="E40" s="5919"/>
      <c r="F40" s="669">
        <f t="shared" si="12"/>
        <v>0</v>
      </c>
      <c r="G40" s="669">
        <f t="shared" si="12"/>
        <v>0</v>
      </c>
      <c r="H40" s="669">
        <f t="shared" si="12"/>
        <v>0</v>
      </c>
      <c r="I40" s="669">
        <f t="shared" si="12"/>
        <v>0</v>
      </c>
      <c r="J40" s="670">
        <f t="shared" si="12"/>
        <v>0</v>
      </c>
      <c r="K40" s="651"/>
      <c r="L40" s="651"/>
      <c r="M40" s="651"/>
      <c r="N40" s="651"/>
      <c r="O40" s="651"/>
      <c r="P40" s="651"/>
      <c r="Q40" s="651"/>
      <c r="R40" s="651"/>
    </row>
    <row r="41" spans="1:18" ht="15" customHeight="1" x14ac:dyDescent="0.35">
      <c r="A41" s="5917" t="str">
        <f t="shared" si="11"/>
        <v>Editeurs</v>
      </c>
      <c r="B41" s="5918"/>
      <c r="C41" s="5918"/>
      <c r="D41" s="5919">
        <v>3</v>
      </c>
      <c r="E41" s="5919"/>
      <c r="F41" s="669">
        <f t="shared" si="12"/>
        <v>0</v>
      </c>
      <c r="G41" s="669">
        <f t="shared" si="12"/>
        <v>0</v>
      </c>
      <c r="H41" s="669">
        <f t="shared" si="12"/>
        <v>0</v>
      </c>
      <c r="I41" s="669">
        <f t="shared" si="12"/>
        <v>0</v>
      </c>
      <c r="J41" s="670">
        <f t="shared" si="12"/>
        <v>0</v>
      </c>
      <c r="K41" s="651"/>
      <c r="L41" s="651"/>
      <c r="M41" s="651"/>
      <c r="N41" s="651"/>
      <c r="O41" s="651"/>
      <c r="P41" s="651"/>
      <c r="Q41" s="651"/>
      <c r="R41" s="651"/>
    </row>
    <row r="42" spans="1:18" ht="15" customHeight="1" x14ac:dyDescent="0.35">
      <c r="A42" s="5917" t="str">
        <f t="shared" si="11"/>
        <v>Web Agencies</v>
      </c>
      <c r="B42" s="5918"/>
      <c r="C42" s="5918"/>
      <c r="D42" s="5919">
        <v>1</v>
      </c>
      <c r="E42" s="5919"/>
      <c r="F42" s="669">
        <f t="shared" si="12"/>
        <v>0</v>
      </c>
      <c r="G42" s="669">
        <f t="shared" si="12"/>
        <v>0</v>
      </c>
      <c r="H42" s="669">
        <f t="shared" si="12"/>
        <v>0</v>
      </c>
      <c r="I42" s="669">
        <f t="shared" si="12"/>
        <v>0</v>
      </c>
      <c r="J42" s="670">
        <f t="shared" si="12"/>
        <v>0</v>
      </c>
      <c r="K42" s="651"/>
      <c r="L42" s="651"/>
      <c r="M42" s="651"/>
      <c r="N42" s="651"/>
      <c r="O42" s="651"/>
      <c r="P42" s="651"/>
      <c r="Q42" s="651"/>
      <c r="R42" s="651"/>
    </row>
    <row r="43" spans="1:18" ht="15" customHeight="1" x14ac:dyDescent="0.35">
      <c r="A43" s="5917" t="str">
        <f t="shared" si="11"/>
        <v>Constructeurs</v>
      </c>
      <c r="B43" s="5918"/>
      <c r="C43" s="5918"/>
      <c r="D43" s="5919">
        <v>1</v>
      </c>
      <c r="E43" s="5919"/>
      <c r="F43" s="669">
        <f t="shared" si="12"/>
        <v>0</v>
      </c>
      <c r="G43" s="669">
        <f t="shared" si="12"/>
        <v>0</v>
      </c>
      <c r="H43" s="669">
        <f t="shared" si="12"/>
        <v>0</v>
      </c>
      <c r="I43" s="669">
        <f t="shared" si="12"/>
        <v>0</v>
      </c>
      <c r="J43" s="670">
        <f t="shared" si="12"/>
        <v>0</v>
      </c>
      <c r="K43" s="651"/>
      <c r="L43" s="651"/>
      <c r="M43" s="651"/>
      <c r="N43" s="651"/>
      <c r="O43" s="651"/>
      <c r="P43" s="651"/>
      <c r="Q43" s="651"/>
      <c r="R43" s="651"/>
    </row>
    <row r="44" spans="1:18" ht="15" customHeight="1" x14ac:dyDescent="0.35">
      <c r="A44" s="5917" t="str">
        <f t="shared" si="11"/>
        <v>Hébergeurs</v>
      </c>
      <c r="B44" s="5918"/>
      <c r="C44" s="5918"/>
      <c r="D44" s="5919">
        <v>1</v>
      </c>
      <c r="E44" s="5919"/>
      <c r="F44" s="669">
        <f t="shared" si="12"/>
        <v>0</v>
      </c>
      <c r="G44" s="669">
        <f t="shared" si="12"/>
        <v>0</v>
      </c>
      <c r="H44" s="669">
        <f t="shared" si="12"/>
        <v>0</v>
      </c>
      <c r="I44" s="669">
        <f t="shared" si="12"/>
        <v>0</v>
      </c>
      <c r="J44" s="670">
        <f t="shared" si="12"/>
        <v>0</v>
      </c>
      <c r="K44" s="651"/>
      <c r="L44" s="651"/>
      <c r="M44" s="651"/>
      <c r="N44" s="651"/>
      <c r="O44" s="651"/>
      <c r="P44" s="651"/>
      <c r="Q44" s="651"/>
      <c r="R44" s="651"/>
    </row>
    <row r="45" spans="1:18" ht="15.75" customHeight="1" thickBot="1" x14ac:dyDescent="0.35">
      <c r="A45" s="5920"/>
      <c r="B45" s="5921"/>
      <c r="C45" s="5921"/>
      <c r="D45" s="5921"/>
      <c r="E45" s="5921"/>
      <c r="F45" s="5921"/>
      <c r="G45" s="5921"/>
      <c r="H45" s="5921"/>
      <c r="I45" s="5921"/>
      <c r="J45" s="5922"/>
      <c r="K45" s="651"/>
      <c r="L45" s="651"/>
      <c r="M45" s="651"/>
      <c r="N45" s="651"/>
      <c r="O45" s="651"/>
      <c r="P45" s="651"/>
      <c r="Q45" s="651"/>
      <c r="R45" s="651"/>
    </row>
    <row r="46" spans="1:18" ht="15.5" thickTop="1" thickBot="1" x14ac:dyDescent="0.4">
      <c r="A46" s="678"/>
      <c r="B46" s="5914" t="s">
        <v>1456</v>
      </c>
      <c r="C46" s="5915"/>
      <c r="D46" s="5915"/>
      <c r="E46" s="5916"/>
      <c r="F46" s="671">
        <f>SUM(F37:F45)</f>
        <v>0</v>
      </c>
      <c r="G46" s="671">
        <f>SUM(G37:G45)</f>
        <v>0</v>
      </c>
      <c r="H46" s="671">
        <f>SUM(H37:H45)</f>
        <v>0</v>
      </c>
      <c r="I46" s="671">
        <f>SUM(I37:I45)</f>
        <v>0</v>
      </c>
      <c r="J46" s="672">
        <f>SUM(J37:J45)</f>
        <v>0</v>
      </c>
      <c r="K46" s="651"/>
      <c r="L46" s="651"/>
      <c r="M46" s="651"/>
      <c r="N46" s="651"/>
      <c r="O46" s="651"/>
      <c r="P46" s="651"/>
      <c r="Q46" s="651"/>
      <c r="R46" s="651"/>
    </row>
    <row r="47" spans="1:18" ht="13.5" thickTop="1" x14ac:dyDescent="0.3">
      <c r="A47" s="651"/>
      <c r="B47" s="651"/>
      <c r="C47" s="651"/>
      <c r="D47" s="651"/>
      <c r="E47" s="651"/>
      <c r="F47" s="651"/>
      <c r="G47" s="651"/>
      <c r="H47" s="651"/>
      <c r="I47" s="651"/>
      <c r="J47" s="651"/>
      <c r="K47" s="651"/>
      <c r="L47" s="651"/>
      <c r="M47" s="651"/>
      <c r="N47" s="651"/>
      <c r="O47" s="651"/>
      <c r="P47" s="651"/>
      <c r="Q47" s="651"/>
      <c r="R47" s="651"/>
    </row>
    <row r="48" spans="1:18" s="166" customFormat="1" ht="15" thickBot="1" x14ac:dyDescent="0.4">
      <c r="A48" s="512"/>
      <c r="B48" s="512"/>
      <c r="C48" s="512"/>
      <c r="D48" s="512"/>
      <c r="E48" s="512"/>
      <c r="F48" s="512"/>
      <c r="G48" s="512"/>
      <c r="H48" s="512"/>
      <c r="I48" s="512"/>
      <c r="J48" s="512"/>
      <c r="K48" s="512"/>
      <c r="L48" s="512"/>
      <c r="M48" s="512"/>
      <c r="N48" s="512"/>
      <c r="O48" s="512"/>
      <c r="P48" s="512"/>
      <c r="Q48" s="512"/>
      <c r="R48" s="512"/>
    </row>
    <row r="49" spans="1:21" s="60" customFormat="1" ht="20.25" customHeight="1" thickTop="1" thickBot="1" x14ac:dyDescent="0.4">
      <c r="A49" s="5712" t="s">
        <v>10</v>
      </c>
      <c r="B49" s="5719"/>
      <c r="C49" s="5719"/>
      <c r="D49" s="5719"/>
      <c r="E49" s="5719"/>
      <c r="F49" s="5719"/>
      <c r="G49" s="5719"/>
      <c r="H49" s="5719"/>
      <c r="I49" s="5719"/>
      <c r="J49" s="5719"/>
      <c r="K49" s="5720"/>
      <c r="L49" s="34"/>
      <c r="M49" s="3725" t="s">
        <v>748</v>
      </c>
      <c r="N49" s="3726"/>
      <c r="O49" s="3727"/>
      <c r="P49" s="34"/>
      <c r="Q49" s="64"/>
      <c r="R49" s="64"/>
      <c r="S49" s="64"/>
      <c r="T49" s="64"/>
      <c r="U49" s="64"/>
    </row>
    <row r="50" spans="1:21" s="60" customFormat="1" ht="20.25" customHeight="1" x14ac:dyDescent="0.35">
      <c r="A50" s="5060"/>
      <c r="B50" s="5061"/>
      <c r="C50" s="5061"/>
      <c r="D50" s="5061"/>
      <c r="E50" s="5061"/>
      <c r="F50" s="5061"/>
      <c r="G50" s="5061"/>
      <c r="H50" s="5061"/>
      <c r="I50" s="5061"/>
      <c r="J50" s="5061"/>
      <c r="K50" s="5062"/>
      <c r="L50" s="35"/>
      <c r="M50" s="3750" t="s">
        <v>1457</v>
      </c>
      <c r="N50" s="5066"/>
      <c r="O50" s="3752"/>
      <c r="P50" s="35"/>
      <c r="Q50" s="64"/>
      <c r="R50" s="64"/>
      <c r="S50" s="64"/>
      <c r="T50" s="64"/>
      <c r="U50" s="64"/>
    </row>
    <row r="51" spans="1:21" s="60" customFormat="1" ht="20.25" customHeight="1" x14ac:dyDescent="0.35">
      <c r="A51" s="5060"/>
      <c r="B51" s="5061"/>
      <c r="C51" s="5061"/>
      <c r="D51" s="5061"/>
      <c r="E51" s="5061"/>
      <c r="F51" s="5061"/>
      <c r="G51" s="5061"/>
      <c r="H51" s="5061"/>
      <c r="I51" s="5061"/>
      <c r="J51" s="5061"/>
      <c r="K51" s="5062"/>
      <c r="L51" s="35"/>
      <c r="M51" s="3753"/>
      <c r="N51" s="3754"/>
      <c r="O51" s="5067"/>
      <c r="P51" s="35"/>
      <c r="Q51" s="64"/>
      <c r="R51" s="64"/>
      <c r="S51" s="64"/>
      <c r="T51" s="64"/>
      <c r="U51" s="64"/>
    </row>
    <row r="52" spans="1:21" s="60" customFormat="1" ht="20.25" customHeight="1" x14ac:dyDescent="0.35">
      <c r="A52" s="5060"/>
      <c r="B52" s="5061"/>
      <c r="C52" s="5061"/>
      <c r="D52" s="5061"/>
      <c r="E52" s="5061"/>
      <c r="F52" s="5061"/>
      <c r="G52" s="5061"/>
      <c r="H52" s="5061"/>
      <c r="I52" s="5061"/>
      <c r="J52" s="5061"/>
      <c r="K52" s="5062"/>
      <c r="L52" s="35"/>
      <c r="M52" s="3753"/>
      <c r="N52" s="3754"/>
      <c r="O52" s="5067"/>
      <c r="P52" s="35"/>
      <c r="Q52" s="64"/>
      <c r="R52" s="64"/>
      <c r="S52" s="64"/>
      <c r="T52" s="64"/>
      <c r="U52" s="64"/>
    </row>
    <row r="53" spans="1:21" s="60" customFormat="1" ht="20.25" customHeight="1" x14ac:dyDescent="0.35">
      <c r="A53" s="5060"/>
      <c r="B53" s="5061"/>
      <c r="C53" s="5061"/>
      <c r="D53" s="5061"/>
      <c r="E53" s="5061"/>
      <c r="F53" s="5061"/>
      <c r="G53" s="5061"/>
      <c r="H53" s="5061"/>
      <c r="I53" s="5061"/>
      <c r="J53" s="5061"/>
      <c r="K53" s="5062"/>
      <c r="L53" s="35"/>
      <c r="M53" s="3753"/>
      <c r="N53" s="3754"/>
      <c r="O53" s="5067"/>
      <c r="P53" s="35"/>
      <c r="Q53" s="64"/>
      <c r="R53" s="64"/>
      <c r="S53" s="64"/>
      <c r="T53" s="64"/>
      <c r="U53" s="64"/>
    </row>
    <row r="54" spans="1:21" s="60" customFormat="1" ht="20.25" customHeight="1" thickBot="1" x14ac:dyDescent="0.4">
      <c r="A54" s="5063"/>
      <c r="B54" s="5064"/>
      <c r="C54" s="5064"/>
      <c r="D54" s="5064"/>
      <c r="E54" s="5064"/>
      <c r="F54" s="5064"/>
      <c r="G54" s="5064"/>
      <c r="H54" s="5064"/>
      <c r="I54" s="5064"/>
      <c r="J54" s="5064"/>
      <c r="K54" s="5065"/>
      <c r="L54" s="35"/>
      <c r="M54" s="3756"/>
      <c r="N54" s="3757"/>
      <c r="O54" s="3758"/>
      <c r="P54" s="35"/>
      <c r="Q54" s="64"/>
      <c r="R54" s="64"/>
      <c r="S54" s="64"/>
      <c r="T54" s="64"/>
      <c r="U54" s="64"/>
    </row>
    <row r="55" spans="1:21" s="60" customFormat="1" ht="20.25" customHeight="1" thickTop="1" thickBot="1" x14ac:dyDescent="0.4">
      <c r="A55" s="64"/>
      <c r="B55" s="64"/>
      <c r="C55" s="64"/>
      <c r="D55" s="64"/>
      <c r="E55" s="64"/>
      <c r="F55" s="64"/>
      <c r="G55" s="64"/>
      <c r="H55" s="64"/>
      <c r="I55" s="64"/>
      <c r="J55" s="64"/>
      <c r="K55" s="64"/>
      <c r="L55" s="64"/>
      <c r="M55" s="475"/>
      <c r="N55" s="475"/>
      <c r="O55" s="475"/>
      <c r="P55" s="64"/>
      <c r="Q55" s="64"/>
      <c r="R55" s="64"/>
      <c r="S55" s="64"/>
      <c r="T55" s="64"/>
      <c r="U55" s="64"/>
    </row>
    <row r="56" spans="1:21" s="60" customFormat="1" ht="20.25" customHeight="1" thickTop="1" thickBot="1" x14ac:dyDescent="0.4">
      <c r="A56" s="5712" t="s">
        <v>11</v>
      </c>
      <c r="B56" s="5713"/>
      <c r="C56" s="5713"/>
      <c r="D56" s="5713"/>
      <c r="E56" s="5713"/>
      <c r="F56" s="5713"/>
      <c r="G56" s="5713"/>
      <c r="H56" s="5713"/>
      <c r="I56" s="5713"/>
      <c r="J56" s="5713"/>
      <c r="K56" s="5714"/>
      <c r="L56" s="34"/>
      <c r="M56" s="476"/>
      <c r="N56" s="476"/>
      <c r="O56" s="476"/>
      <c r="P56" s="34"/>
      <c r="Q56" s="64"/>
      <c r="R56" s="64"/>
      <c r="S56" s="64"/>
      <c r="T56" s="64"/>
      <c r="U56" s="64"/>
    </row>
    <row r="57" spans="1:21" s="60" customFormat="1" ht="20.25" customHeight="1" thickBot="1" x14ac:dyDescent="0.4">
      <c r="A57" s="5060" t="s">
        <v>1462</v>
      </c>
      <c r="B57" s="5061"/>
      <c r="C57" s="5061"/>
      <c r="D57" s="5061"/>
      <c r="E57" s="5061"/>
      <c r="F57" s="5061"/>
      <c r="G57" s="5061"/>
      <c r="H57" s="5061"/>
      <c r="I57" s="5061"/>
      <c r="J57" s="5061"/>
      <c r="K57" s="5062"/>
      <c r="L57" s="35"/>
      <c r="M57" s="3725" t="s">
        <v>748</v>
      </c>
      <c r="N57" s="3726"/>
      <c r="O57" s="3727"/>
      <c r="P57" s="35"/>
      <c r="Q57" s="64"/>
      <c r="R57" s="64"/>
      <c r="S57" s="64"/>
      <c r="T57" s="64"/>
      <c r="U57" s="64"/>
    </row>
    <row r="58" spans="1:21" s="60" customFormat="1" ht="20.25" customHeight="1" x14ac:dyDescent="0.35">
      <c r="A58" s="5060"/>
      <c r="B58" s="5061"/>
      <c r="C58" s="5061"/>
      <c r="D58" s="5061"/>
      <c r="E58" s="5061"/>
      <c r="F58" s="5061"/>
      <c r="G58" s="5061"/>
      <c r="H58" s="5061"/>
      <c r="I58" s="5061"/>
      <c r="J58" s="5061"/>
      <c r="K58" s="5062"/>
      <c r="L58" s="35"/>
      <c r="M58" s="3750" t="s">
        <v>1260</v>
      </c>
      <c r="N58" s="5066"/>
      <c r="O58" s="3752"/>
      <c r="P58" s="35"/>
      <c r="Q58" s="64"/>
      <c r="R58" s="64"/>
      <c r="S58" s="64"/>
      <c r="T58" s="64"/>
      <c r="U58" s="64"/>
    </row>
    <row r="59" spans="1:21" s="60" customFormat="1" ht="20.25" customHeight="1" x14ac:dyDescent="0.35">
      <c r="A59" s="5060"/>
      <c r="B59" s="5061"/>
      <c r="C59" s="5061"/>
      <c r="D59" s="5061"/>
      <c r="E59" s="5061"/>
      <c r="F59" s="5061"/>
      <c r="G59" s="5061"/>
      <c r="H59" s="5061"/>
      <c r="I59" s="5061"/>
      <c r="J59" s="5061"/>
      <c r="K59" s="5062"/>
      <c r="L59" s="35"/>
      <c r="M59" s="3753"/>
      <c r="N59" s="3754"/>
      <c r="O59" s="5067"/>
      <c r="P59" s="35"/>
      <c r="Q59" s="64"/>
      <c r="R59" s="64"/>
      <c r="S59" s="64"/>
      <c r="T59" s="64"/>
      <c r="U59" s="64"/>
    </row>
    <row r="60" spans="1:21" s="60" customFormat="1" ht="20.25" customHeight="1" x14ac:dyDescent="0.35">
      <c r="A60" s="5060"/>
      <c r="B60" s="5061"/>
      <c r="C60" s="5061"/>
      <c r="D60" s="5061"/>
      <c r="E60" s="5061"/>
      <c r="F60" s="5061"/>
      <c r="G60" s="5061"/>
      <c r="H60" s="5061"/>
      <c r="I60" s="5061"/>
      <c r="J60" s="5061"/>
      <c r="K60" s="5062"/>
      <c r="L60" s="35"/>
      <c r="M60" s="3753"/>
      <c r="N60" s="3754"/>
      <c r="O60" s="5067"/>
      <c r="P60" s="35"/>
      <c r="Q60" s="64"/>
      <c r="R60" s="64"/>
      <c r="S60" s="64"/>
      <c r="T60" s="64"/>
      <c r="U60" s="64"/>
    </row>
    <row r="61" spans="1:21" s="60" customFormat="1" ht="14.5" x14ac:dyDescent="0.35">
      <c r="A61" s="5060"/>
      <c r="B61" s="5061"/>
      <c r="C61" s="5061"/>
      <c r="D61" s="5061"/>
      <c r="E61" s="5061"/>
      <c r="F61" s="5061"/>
      <c r="G61" s="5061"/>
      <c r="H61" s="5061"/>
      <c r="I61" s="5061"/>
      <c r="J61" s="5061"/>
      <c r="K61" s="5062"/>
      <c r="L61" s="35"/>
      <c r="M61" s="3753"/>
      <c r="N61" s="3754"/>
      <c r="O61" s="5067"/>
      <c r="P61" s="35"/>
      <c r="Q61" s="64"/>
      <c r="R61" s="64"/>
      <c r="S61" s="64"/>
      <c r="T61" s="64"/>
      <c r="U61" s="64"/>
    </row>
    <row r="62" spans="1:21" s="60" customFormat="1" ht="15" thickBot="1" x14ac:dyDescent="0.4">
      <c r="A62" s="5063"/>
      <c r="B62" s="5064"/>
      <c r="C62" s="5064"/>
      <c r="D62" s="5064"/>
      <c r="E62" s="5064"/>
      <c r="F62" s="5064"/>
      <c r="G62" s="5064"/>
      <c r="H62" s="5064"/>
      <c r="I62" s="5064"/>
      <c r="J62" s="5064"/>
      <c r="K62" s="5065"/>
      <c r="L62" s="64"/>
      <c r="M62" s="3756"/>
      <c r="N62" s="3757"/>
      <c r="O62" s="3758"/>
      <c r="P62" s="64"/>
      <c r="Q62" s="64"/>
      <c r="R62" s="64"/>
      <c r="S62" s="64"/>
      <c r="T62" s="64"/>
      <c r="U62" s="64"/>
    </row>
    <row r="63" spans="1:21" s="60" customFormat="1" ht="15" thickTop="1" x14ac:dyDescent="0.35">
      <c r="A63" s="64"/>
      <c r="B63" s="64"/>
      <c r="C63" s="64"/>
      <c r="D63" s="64"/>
      <c r="E63" s="64"/>
      <c r="F63" s="64"/>
      <c r="G63" s="64"/>
      <c r="H63" s="64"/>
      <c r="I63" s="64"/>
      <c r="J63" s="64"/>
      <c r="K63" s="64"/>
      <c r="L63" s="64"/>
      <c r="M63" s="64"/>
      <c r="N63" s="64"/>
      <c r="O63" s="64"/>
      <c r="P63" s="64"/>
      <c r="Q63" s="64"/>
      <c r="R63" s="64"/>
    </row>
    <row r="64" spans="1:21" x14ac:dyDescent="0.3">
      <c r="A64" s="651"/>
      <c r="B64" s="651"/>
      <c r="C64" s="651"/>
      <c r="D64" s="651"/>
      <c r="E64" s="651"/>
      <c r="F64" s="651"/>
      <c r="G64" s="651"/>
      <c r="H64" s="651"/>
      <c r="I64" s="651"/>
      <c r="J64" s="651"/>
      <c r="K64" s="651"/>
      <c r="L64" s="651"/>
      <c r="M64" s="651"/>
      <c r="N64" s="651"/>
      <c r="O64" s="651"/>
      <c r="P64" s="651"/>
      <c r="Q64" s="651"/>
      <c r="R64" s="651"/>
    </row>
    <row r="65" spans="1:18" x14ac:dyDescent="0.3">
      <c r="A65" s="651"/>
      <c r="B65" s="651"/>
      <c r="C65" s="651"/>
      <c r="D65" s="651"/>
      <c r="E65" s="651"/>
      <c r="F65" s="651"/>
      <c r="G65" s="651"/>
      <c r="H65" s="651"/>
      <c r="I65" s="651"/>
      <c r="J65" s="651"/>
      <c r="K65" s="651"/>
      <c r="L65" s="651"/>
      <c r="M65" s="651"/>
      <c r="N65" s="651"/>
      <c r="O65" s="651"/>
      <c r="P65" s="651"/>
      <c r="Q65" s="651"/>
      <c r="R65" s="651"/>
    </row>
    <row r="66" spans="1:18" x14ac:dyDescent="0.3">
      <c r="A66" s="651"/>
      <c r="B66" s="651"/>
      <c r="C66" s="651"/>
      <c r="D66" s="651"/>
      <c r="E66" s="651"/>
      <c r="F66" s="651"/>
      <c r="G66" s="651"/>
      <c r="H66" s="651"/>
      <c r="I66" s="651"/>
      <c r="J66" s="651"/>
      <c r="K66" s="651"/>
      <c r="L66" s="651"/>
      <c r="M66" s="651"/>
      <c r="N66" s="651"/>
      <c r="O66" s="651"/>
      <c r="P66" s="651"/>
      <c r="Q66" s="651"/>
      <c r="R66" s="651"/>
    </row>
    <row r="67" spans="1:18" ht="13.5" thickBot="1" x14ac:dyDescent="0.35">
      <c r="A67" s="651"/>
      <c r="B67" s="651"/>
      <c r="C67" s="651"/>
      <c r="D67" s="651"/>
      <c r="E67" s="651"/>
      <c r="F67" s="651"/>
      <c r="G67" s="651"/>
      <c r="H67" s="651"/>
      <c r="I67" s="651"/>
      <c r="J67" s="651"/>
      <c r="K67" s="651"/>
      <c r="L67" s="651"/>
      <c r="M67" s="651"/>
      <c r="N67" s="651"/>
      <c r="O67" s="651"/>
      <c r="P67" s="651"/>
      <c r="Q67" s="651"/>
      <c r="R67" s="651"/>
    </row>
    <row r="68" spans="1:18" s="118" customFormat="1" ht="35.25" customHeight="1" thickBot="1" x14ac:dyDescent="0.4">
      <c r="A68" s="836"/>
      <c r="B68" s="836"/>
      <c r="C68" s="836"/>
      <c r="D68" s="836"/>
      <c r="E68" s="5911" t="s">
        <v>1531</v>
      </c>
      <c r="F68" s="5912"/>
      <c r="G68" s="5912"/>
      <c r="H68" s="5912"/>
      <c r="I68" s="5912"/>
      <c r="J68" s="5912"/>
      <c r="K68" s="5912"/>
      <c r="L68" s="5913"/>
      <c r="M68" s="836"/>
      <c r="N68" s="836"/>
      <c r="O68" s="836"/>
      <c r="P68" s="836"/>
      <c r="Q68" s="836"/>
      <c r="R68" s="836"/>
    </row>
    <row r="69" spans="1:18" ht="13.5" thickBot="1" x14ac:dyDescent="0.35">
      <c r="A69" s="651"/>
      <c r="B69" s="651"/>
      <c r="C69" s="651"/>
      <c r="D69" s="651"/>
      <c r="E69" s="673"/>
      <c r="F69" s="1484"/>
      <c r="G69" s="1484"/>
      <c r="H69" s="1484"/>
      <c r="I69" s="1484"/>
      <c r="J69" s="1484"/>
      <c r="K69" s="1484"/>
      <c r="L69" s="674"/>
      <c r="M69" s="651"/>
      <c r="N69" s="651"/>
      <c r="O69" s="651"/>
      <c r="P69" s="651"/>
      <c r="Q69" s="651"/>
      <c r="R69" s="651"/>
    </row>
    <row r="70" spans="1:18" ht="13.5" thickBot="1" x14ac:dyDescent="0.35">
      <c r="A70" s="675"/>
      <c r="B70" s="651"/>
      <c r="C70" s="651"/>
      <c r="D70" s="651"/>
      <c r="E70" s="676" t="s">
        <v>779</v>
      </c>
      <c r="F70" s="677"/>
      <c r="G70" s="678"/>
      <c r="H70" s="678"/>
      <c r="I70" s="679">
        <f>F36</f>
        <v>2017</v>
      </c>
      <c r="J70" s="679">
        <f>G36</f>
        <v>2018</v>
      </c>
      <c r="K70" s="679">
        <f>H36</f>
        <v>2019</v>
      </c>
      <c r="L70" s="679">
        <f>I36</f>
        <v>2020</v>
      </c>
      <c r="M70" s="651"/>
      <c r="N70" s="651"/>
      <c r="O70" s="651"/>
      <c r="P70" s="651"/>
      <c r="Q70" s="651"/>
      <c r="R70" s="651"/>
    </row>
    <row r="71" spans="1:18" ht="15" thickBot="1" x14ac:dyDescent="0.4">
      <c r="A71" s="651"/>
      <c r="B71" s="651"/>
      <c r="C71" s="651"/>
      <c r="D71" s="651"/>
      <c r="E71" s="680"/>
      <c r="F71" s="678"/>
      <c r="G71" s="678"/>
      <c r="H71" s="678"/>
      <c r="I71" s="681">
        <f>G16</f>
        <v>0</v>
      </c>
      <c r="J71" s="681">
        <f>H16</f>
        <v>0</v>
      </c>
      <c r="K71" s="681">
        <f>I16</f>
        <v>0</v>
      </c>
      <c r="L71" s="681">
        <f>J16</f>
        <v>0</v>
      </c>
      <c r="M71" s="651"/>
      <c r="N71" s="651"/>
      <c r="O71" s="651"/>
      <c r="P71" s="651"/>
      <c r="Q71" s="651"/>
      <c r="R71" s="651"/>
    </row>
    <row r="72" spans="1:18" x14ac:dyDescent="0.3">
      <c r="A72" s="651"/>
      <c r="B72" s="651"/>
      <c r="C72" s="651"/>
      <c r="D72" s="651"/>
      <c r="E72" s="680"/>
      <c r="F72" s="678"/>
      <c r="G72" s="678"/>
      <c r="H72" s="678"/>
      <c r="I72" s="682"/>
      <c r="J72" s="682"/>
      <c r="K72" s="682"/>
      <c r="L72" s="1485"/>
      <c r="M72" s="651"/>
      <c r="N72" s="651"/>
      <c r="O72" s="651"/>
      <c r="P72" s="651"/>
      <c r="Q72" s="651"/>
      <c r="R72" s="651"/>
    </row>
    <row r="73" spans="1:18" x14ac:dyDescent="0.3">
      <c r="A73" s="683"/>
      <c r="B73" s="651"/>
      <c r="C73" s="651"/>
      <c r="D73" s="651"/>
      <c r="E73" s="680"/>
      <c r="F73" s="678"/>
      <c r="G73" s="678"/>
      <c r="H73" s="678"/>
      <c r="I73" s="678"/>
      <c r="J73" s="678"/>
      <c r="K73" s="678"/>
      <c r="L73" s="1486"/>
      <c r="M73" s="651"/>
      <c r="N73" s="651"/>
      <c r="O73" s="651"/>
      <c r="P73" s="651"/>
      <c r="Q73" s="651"/>
      <c r="R73" s="651"/>
    </row>
    <row r="74" spans="1:18" x14ac:dyDescent="0.3">
      <c r="A74" s="651"/>
      <c r="B74" s="651"/>
      <c r="C74" s="651"/>
      <c r="D74" s="651"/>
      <c r="E74" s="676" t="s">
        <v>857</v>
      </c>
      <c r="F74" s="677"/>
      <c r="G74" s="678"/>
      <c r="H74" s="678"/>
      <c r="I74" s="678"/>
      <c r="J74" s="678"/>
      <c r="K74" s="678"/>
      <c r="L74" s="1486"/>
      <c r="M74" s="651"/>
      <c r="N74" s="651"/>
      <c r="O74" s="651"/>
      <c r="P74" s="651"/>
      <c r="Q74" s="651"/>
      <c r="R74" s="651"/>
    </row>
    <row r="75" spans="1:18" x14ac:dyDescent="0.3">
      <c r="A75" s="651"/>
      <c r="B75" s="651"/>
      <c r="C75" s="651"/>
      <c r="D75" s="651"/>
      <c r="E75" s="5909" t="str">
        <f t="shared" ref="E75:E80" si="13">A37</f>
        <v>Ventes directes seules</v>
      </c>
      <c r="F75" s="5910"/>
      <c r="G75" s="678">
        <f>C37</f>
        <v>0</v>
      </c>
      <c r="H75" s="684">
        <f t="shared" ref="H75:I80" si="14">D23</f>
        <v>30</v>
      </c>
      <c r="I75" s="685">
        <f t="shared" si="14"/>
        <v>0</v>
      </c>
      <c r="J75" s="678"/>
      <c r="K75" s="678"/>
      <c r="L75" s="1486"/>
      <c r="M75" s="651"/>
      <c r="N75" s="651"/>
      <c r="O75" s="651"/>
      <c r="P75" s="651"/>
      <c r="Q75" s="651"/>
      <c r="R75" s="651"/>
    </row>
    <row r="76" spans="1:18" x14ac:dyDescent="0.3">
      <c r="A76" s="651"/>
      <c r="B76" s="651"/>
      <c r="C76" s="651"/>
      <c r="D76" s="651"/>
      <c r="E76" s="5909" t="str">
        <f t="shared" si="13"/>
        <v>ESN</v>
      </c>
      <c r="F76" s="5910">
        <f>B38</f>
        <v>0</v>
      </c>
      <c r="G76" s="678">
        <f>C38</f>
        <v>0</v>
      </c>
      <c r="H76" s="684">
        <f t="shared" si="14"/>
        <v>17</v>
      </c>
      <c r="I76" s="685">
        <f t="shared" si="14"/>
        <v>0</v>
      </c>
      <c r="J76" s="678"/>
      <c r="K76" s="678"/>
      <c r="L76" s="1486"/>
      <c r="M76" s="651"/>
      <c r="N76" s="651"/>
      <c r="O76" s="651"/>
      <c r="P76" s="651"/>
      <c r="Q76" s="651"/>
      <c r="R76" s="651"/>
    </row>
    <row r="77" spans="1:18" x14ac:dyDescent="0.3">
      <c r="A77" s="651"/>
      <c r="B77" s="651"/>
      <c r="C77" s="651"/>
      <c r="D77" s="651"/>
      <c r="E77" s="5909" t="str">
        <f t="shared" si="13"/>
        <v>Centres de contact</v>
      </c>
      <c r="F77" s="5910">
        <f>B39</f>
        <v>0</v>
      </c>
      <c r="G77" s="678">
        <f>C39</f>
        <v>0</v>
      </c>
      <c r="H77" s="686">
        <f t="shared" si="14"/>
        <v>10</v>
      </c>
      <c r="I77" s="687">
        <f t="shared" si="14"/>
        <v>0</v>
      </c>
      <c r="J77" s="678"/>
      <c r="K77" s="678"/>
      <c r="L77" s="1486"/>
      <c r="M77" s="651"/>
      <c r="N77" s="651"/>
      <c r="O77" s="651"/>
      <c r="P77" s="651"/>
      <c r="Q77" s="651"/>
      <c r="R77" s="651"/>
    </row>
    <row r="78" spans="1:18" x14ac:dyDescent="0.3">
      <c r="A78" s="651"/>
      <c r="B78" s="651"/>
      <c r="C78" s="651"/>
      <c r="D78" s="651"/>
      <c r="E78" s="5909" t="str">
        <f t="shared" si="13"/>
        <v>Vars Nationaux</v>
      </c>
      <c r="F78" s="5910">
        <f>B40</f>
        <v>0</v>
      </c>
      <c r="G78" s="678">
        <f>C40</f>
        <v>0</v>
      </c>
      <c r="H78" s="686">
        <f t="shared" si="14"/>
        <v>5</v>
      </c>
      <c r="I78" s="687">
        <f t="shared" si="14"/>
        <v>0</v>
      </c>
      <c r="J78" s="678"/>
      <c r="K78" s="678"/>
      <c r="L78" s="1486"/>
      <c r="M78" s="651"/>
      <c r="N78" s="651"/>
      <c r="O78" s="651"/>
      <c r="P78" s="651"/>
      <c r="Q78" s="651"/>
      <c r="R78" s="651"/>
    </row>
    <row r="79" spans="1:18" x14ac:dyDescent="0.3">
      <c r="A79" s="651"/>
      <c r="B79" s="651"/>
      <c r="C79" s="651"/>
      <c r="D79" s="651"/>
      <c r="E79" s="5909" t="str">
        <f t="shared" si="13"/>
        <v>Editeurs</v>
      </c>
      <c r="F79" s="5910">
        <f>B41</f>
        <v>0</v>
      </c>
      <c r="G79" s="678">
        <f>C41</f>
        <v>0</v>
      </c>
      <c r="H79" s="686">
        <f t="shared" si="14"/>
        <v>15</v>
      </c>
      <c r="I79" s="687">
        <f t="shared" si="14"/>
        <v>0</v>
      </c>
      <c r="J79" s="678"/>
      <c r="K79" s="678"/>
      <c r="L79" s="1486"/>
      <c r="M79" s="651"/>
      <c r="N79" s="651"/>
      <c r="O79" s="651"/>
      <c r="P79" s="651"/>
      <c r="Q79" s="651"/>
      <c r="R79" s="651"/>
    </row>
    <row r="80" spans="1:18" x14ac:dyDescent="0.3">
      <c r="A80" s="651"/>
      <c r="B80" s="651"/>
      <c r="C80" s="651"/>
      <c r="D80" s="651"/>
      <c r="E80" s="5909" t="str">
        <f t="shared" si="13"/>
        <v>Web Agencies</v>
      </c>
      <c r="F80" s="5910">
        <f>B42</f>
        <v>0</v>
      </c>
      <c r="G80" s="678"/>
      <c r="H80" s="686">
        <f t="shared" si="14"/>
        <v>5</v>
      </c>
      <c r="I80" s="687">
        <f t="shared" si="14"/>
        <v>0</v>
      </c>
      <c r="J80" s="678"/>
      <c r="K80" s="678"/>
      <c r="L80" s="1486"/>
      <c r="M80" s="651"/>
      <c r="N80" s="651"/>
      <c r="O80" s="651"/>
      <c r="P80" s="651"/>
      <c r="Q80" s="651"/>
      <c r="R80" s="651"/>
    </row>
    <row r="81" spans="1:18" x14ac:dyDescent="0.3">
      <c r="A81" s="651"/>
      <c r="B81" s="651"/>
      <c r="C81" s="651"/>
      <c r="D81" s="651"/>
      <c r="E81" s="1582"/>
      <c r="F81" s="678"/>
      <c r="G81" s="678"/>
      <c r="H81" s="651"/>
      <c r="I81" s="687"/>
      <c r="J81" s="678"/>
      <c r="K81" s="678"/>
      <c r="L81" s="1486"/>
      <c r="M81" s="651"/>
      <c r="N81" s="651"/>
      <c r="O81" s="651"/>
      <c r="P81" s="651"/>
      <c r="Q81" s="651"/>
      <c r="R81" s="651"/>
    </row>
    <row r="82" spans="1:18" x14ac:dyDescent="0.3">
      <c r="A82" s="651"/>
      <c r="B82" s="651"/>
      <c r="C82" s="651"/>
      <c r="D82" s="651"/>
      <c r="E82" s="676" t="s">
        <v>778</v>
      </c>
      <c r="F82" s="677"/>
      <c r="G82" s="678"/>
      <c r="H82" s="678"/>
      <c r="I82" s="678"/>
      <c r="J82" s="678"/>
      <c r="K82" s="678"/>
      <c r="L82" s="1486"/>
      <c r="M82" s="651"/>
      <c r="N82" s="651"/>
      <c r="O82" s="651"/>
      <c r="P82" s="651"/>
      <c r="Q82" s="651"/>
      <c r="R82" s="651"/>
    </row>
    <row r="83" spans="1:18" x14ac:dyDescent="0.3">
      <c r="A83" s="651"/>
      <c r="B83" s="651"/>
      <c r="C83" s="651"/>
      <c r="D83" s="651"/>
      <c r="E83" s="5909" t="str">
        <f t="shared" ref="E83:F88" si="15">E75</f>
        <v>Ventes directes seules</v>
      </c>
      <c r="F83" s="5910">
        <f t="shared" si="15"/>
        <v>0</v>
      </c>
      <c r="G83" s="678"/>
      <c r="H83" s="688">
        <f t="shared" ref="H83:I88" si="16">D37</f>
        <v>0</v>
      </c>
      <c r="I83" s="678">
        <f t="shared" si="16"/>
        <v>0</v>
      </c>
      <c r="J83" s="678"/>
      <c r="K83" s="678"/>
      <c r="L83" s="1486"/>
      <c r="M83" s="651"/>
      <c r="N83" s="651"/>
      <c r="O83" s="651"/>
      <c r="P83" s="651"/>
      <c r="Q83" s="651"/>
      <c r="R83" s="651"/>
    </row>
    <row r="84" spans="1:18" x14ac:dyDescent="0.3">
      <c r="A84" s="651"/>
      <c r="B84" s="651"/>
      <c r="C84" s="651"/>
      <c r="D84" s="651"/>
      <c r="E84" s="5909" t="str">
        <f t="shared" si="15"/>
        <v>ESN</v>
      </c>
      <c r="F84" s="5910">
        <f t="shared" si="15"/>
        <v>0</v>
      </c>
      <c r="G84" s="678"/>
      <c r="H84" s="688">
        <f t="shared" si="16"/>
        <v>3</v>
      </c>
      <c r="I84" s="678">
        <f t="shared" si="16"/>
        <v>0</v>
      </c>
      <c r="J84" s="678"/>
      <c r="K84" s="678"/>
      <c r="L84" s="1486"/>
      <c r="M84" s="651"/>
      <c r="N84" s="651"/>
      <c r="O84" s="651"/>
      <c r="P84" s="651"/>
      <c r="Q84" s="651"/>
      <c r="R84" s="651"/>
    </row>
    <row r="85" spans="1:18" x14ac:dyDescent="0.3">
      <c r="A85" s="651"/>
      <c r="B85" s="651"/>
      <c r="C85" s="651"/>
      <c r="D85" s="651"/>
      <c r="E85" s="5909" t="str">
        <f t="shared" si="15"/>
        <v>Centres de contact</v>
      </c>
      <c r="F85" s="5910">
        <f t="shared" si="15"/>
        <v>0</v>
      </c>
      <c r="G85" s="678"/>
      <c r="H85" s="688">
        <f t="shared" si="16"/>
        <v>2</v>
      </c>
      <c r="I85" s="687">
        <f t="shared" si="16"/>
        <v>0</v>
      </c>
      <c r="J85" s="678"/>
      <c r="K85" s="678"/>
      <c r="L85" s="1486"/>
      <c r="M85" s="651"/>
      <c r="N85" s="651"/>
      <c r="O85" s="651"/>
      <c r="P85" s="651"/>
      <c r="Q85" s="651"/>
      <c r="R85" s="651"/>
    </row>
    <row r="86" spans="1:18" x14ac:dyDescent="0.3">
      <c r="A86" s="651"/>
      <c r="B86" s="651"/>
      <c r="C86" s="651"/>
      <c r="D86" s="651"/>
      <c r="E86" s="5909" t="str">
        <f t="shared" si="15"/>
        <v>Vars Nationaux</v>
      </c>
      <c r="F86" s="5910">
        <f t="shared" si="15"/>
        <v>0</v>
      </c>
      <c r="G86" s="678"/>
      <c r="H86" s="688">
        <f t="shared" si="16"/>
        <v>3</v>
      </c>
      <c r="I86" s="687">
        <f t="shared" si="16"/>
        <v>0</v>
      </c>
      <c r="J86" s="678"/>
      <c r="K86" s="678"/>
      <c r="L86" s="1486"/>
      <c r="M86" s="651"/>
      <c r="N86" s="651"/>
      <c r="O86" s="651"/>
      <c r="P86" s="651"/>
      <c r="Q86" s="651"/>
      <c r="R86" s="651"/>
    </row>
    <row r="87" spans="1:18" x14ac:dyDescent="0.3">
      <c r="A87" s="651"/>
      <c r="B87" s="651"/>
      <c r="C87" s="651"/>
      <c r="D87" s="651"/>
      <c r="E87" s="5909" t="str">
        <f t="shared" si="15"/>
        <v>Editeurs</v>
      </c>
      <c r="F87" s="5910">
        <f t="shared" si="15"/>
        <v>0</v>
      </c>
      <c r="G87" s="678"/>
      <c r="H87" s="689">
        <f t="shared" si="16"/>
        <v>3</v>
      </c>
      <c r="I87" s="678">
        <f t="shared" si="16"/>
        <v>0</v>
      </c>
      <c r="J87" s="678"/>
      <c r="K87" s="678"/>
      <c r="L87" s="1486"/>
      <c r="M87" s="651"/>
      <c r="N87" s="651"/>
      <c r="O87" s="651"/>
      <c r="P87" s="651"/>
      <c r="Q87" s="651"/>
      <c r="R87" s="651"/>
    </row>
    <row r="88" spans="1:18" x14ac:dyDescent="0.3">
      <c r="A88" s="651"/>
      <c r="B88" s="651"/>
      <c r="C88" s="651"/>
      <c r="D88" s="651"/>
      <c r="E88" s="5909" t="str">
        <f t="shared" si="15"/>
        <v>Web Agencies</v>
      </c>
      <c r="F88" s="5910">
        <f t="shared" si="15"/>
        <v>0</v>
      </c>
      <c r="G88" s="678"/>
      <c r="H88" s="688">
        <f t="shared" si="16"/>
        <v>1</v>
      </c>
      <c r="I88" s="678">
        <f t="shared" si="16"/>
        <v>0</v>
      </c>
      <c r="J88" s="678"/>
      <c r="K88" s="678"/>
      <c r="L88" s="1486"/>
      <c r="M88" s="651"/>
      <c r="N88" s="651"/>
      <c r="O88" s="651"/>
      <c r="P88" s="651"/>
      <c r="Q88" s="651"/>
      <c r="R88" s="651"/>
    </row>
    <row r="89" spans="1:18" ht="13.5" thickBot="1" x14ac:dyDescent="0.35">
      <c r="A89" s="651"/>
      <c r="B89" s="651"/>
      <c r="C89" s="651"/>
      <c r="D89" s="651"/>
      <c r="E89" s="676" t="s">
        <v>781</v>
      </c>
      <c r="F89" s="677"/>
      <c r="G89" s="678"/>
      <c r="H89" s="678"/>
      <c r="I89" s="678"/>
      <c r="J89" s="678"/>
      <c r="K89" s="678"/>
      <c r="L89" s="1486"/>
      <c r="M89" s="651"/>
      <c r="N89" s="651"/>
      <c r="O89" s="651"/>
      <c r="P89" s="651"/>
      <c r="Q89" s="651"/>
      <c r="R89" s="651"/>
    </row>
    <row r="90" spans="1:18" ht="13.5" thickBot="1" x14ac:dyDescent="0.35">
      <c r="A90" s="651"/>
      <c r="B90" s="651"/>
      <c r="C90" s="651"/>
      <c r="D90" s="651"/>
      <c r="E90" s="680"/>
      <c r="F90" s="678"/>
      <c r="G90" s="678"/>
      <c r="H90" s="678"/>
      <c r="I90" s="690">
        <f>I70</f>
        <v>2017</v>
      </c>
      <c r="J90" s="690">
        <f>J70</f>
        <v>2018</v>
      </c>
      <c r="K90" s="690">
        <f>K70</f>
        <v>2019</v>
      </c>
      <c r="L90" s="690">
        <f>L70</f>
        <v>2020</v>
      </c>
      <c r="M90" s="651"/>
      <c r="N90" s="651"/>
      <c r="O90" s="651"/>
      <c r="P90" s="651"/>
      <c r="Q90" s="651"/>
      <c r="R90" s="651"/>
    </row>
    <row r="91" spans="1:18" x14ac:dyDescent="0.3">
      <c r="A91" s="651"/>
      <c r="B91" s="651"/>
      <c r="C91" s="651"/>
      <c r="D91" s="651"/>
      <c r="E91" s="691" t="s">
        <v>782</v>
      </c>
      <c r="F91" s="678"/>
      <c r="G91" s="678"/>
      <c r="H91" s="678"/>
      <c r="I91" s="692">
        <f>G46</f>
        <v>0</v>
      </c>
      <c r="J91" s="692">
        <f>H46</f>
        <v>0</v>
      </c>
      <c r="K91" s="692">
        <f>I46</f>
        <v>0</v>
      </c>
      <c r="L91" s="692">
        <f>J46</f>
        <v>0</v>
      </c>
      <c r="M91" s="651"/>
      <c r="N91" s="651"/>
      <c r="O91" s="651"/>
      <c r="P91" s="651"/>
      <c r="Q91" s="651"/>
      <c r="R91" s="651"/>
    </row>
    <row r="92" spans="1:18" x14ac:dyDescent="0.3">
      <c r="A92" s="651"/>
      <c r="B92" s="651"/>
      <c r="C92" s="651"/>
      <c r="D92" s="651"/>
      <c r="E92" s="693" t="s">
        <v>858</v>
      </c>
      <c r="F92" s="651"/>
      <c r="G92" s="651"/>
      <c r="H92" s="651"/>
      <c r="I92" s="694">
        <v>0.5</v>
      </c>
      <c r="J92" s="694">
        <v>0.4</v>
      </c>
      <c r="K92" s="694">
        <v>0.3</v>
      </c>
      <c r="L92" s="694">
        <v>0.2</v>
      </c>
      <c r="M92" s="651"/>
      <c r="N92" s="651"/>
      <c r="O92" s="651"/>
      <c r="P92" s="651"/>
      <c r="Q92" s="651"/>
      <c r="R92" s="651"/>
    </row>
    <row r="93" spans="1:18" ht="15.5" x14ac:dyDescent="0.35">
      <c r="A93" s="651"/>
      <c r="B93" s="651"/>
      <c r="C93" s="651"/>
      <c r="D93" s="651"/>
      <c r="E93" s="1641" t="s">
        <v>859</v>
      </c>
      <c r="F93" s="1642"/>
      <c r="G93" s="1642"/>
      <c r="H93" s="1642"/>
      <c r="I93" s="1643">
        <f>I91/(100%-I92)</f>
        <v>0</v>
      </c>
      <c r="J93" s="1643">
        <f>J91/(100%-J92)</f>
        <v>0</v>
      </c>
      <c r="K93" s="1643">
        <f>K91/(100%-K92)</f>
        <v>0</v>
      </c>
      <c r="L93" s="1643">
        <f>L91/(100%-L92)</f>
        <v>0</v>
      </c>
      <c r="M93" s="651"/>
      <c r="N93" s="651"/>
      <c r="O93" s="651"/>
      <c r="P93" s="651"/>
      <c r="Q93" s="651"/>
      <c r="R93" s="651"/>
    </row>
    <row r="94" spans="1:18" ht="13.5" thickBot="1" x14ac:dyDescent="0.35">
      <c r="A94" s="651"/>
      <c r="B94" s="651"/>
      <c r="C94" s="651"/>
      <c r="D94" s="651"/>
      <c r="E94" s="680"/>
      <c r="F94" s="678"/>
      <c r="G94" s="678"/>
      <c r="H94" s="678"/>
      <c r="I94" s="695"/>
      <c r="J94" s="695"/>
      <c r="K94" s="695"/>
      <c r="L94" s="695"/>
      <c r="M94" s="651"/>
      <c r="N94" s="651"/>
      <c r="O94" s="651"/>
      <c r="P94" s="651"/>
      <c r="Q94" s="651"/>
      <c r="R94" s="651"/>
    </row>
    <row r="95" spans="1:18" x14ac:dyDescent="0.3">
      <c r="A95" s="651"/>
      <c r="B95" s="651"/>
      <c r="C95" s="651"/>
      <c r="D95" s="651"/>
      <c r="E95" s="680"/>
      <c r="F95" s="678"/>
      <c r="G95" s="678"/>
      <c r="H95" s="678"/>
      <c r="I95" s="678"/>
      <c r="J95" s="678"/>
      <c r="K95" s="678"/>
      <c r="L95" s="1486"/>
      <c r="M95" s="651"/>
      <c r="N95" s="651"/>
      <c r="O95" s="651"/>
      <c r="P95" s="651"/>
      <c r="Q95" s="651"/>
      <c r="R95" s="651"/>
    </row>
    <row r="96" spans="1:18" x14ac:dyDescent="0.3">
      <c r="A96" s="651"/>
      <c r="B96" s="651"/>
      <c r="C96" s="651"/>
      <c r="D96" s="651"/>
      <c r="E96" s="680"/>
      <c r="F96" s="678"/>
      <c r="G96" s="678"/>
      <c r="H96" s="678"/>
      <c r="I96" s="678"/>
      <c r="J96" s="678"/>
      <c r="K96" s="678"/>
      <c r="L96" s="1486"/>
      <c r="M96" s="651"/>
      <c r="N96" s="651"/>
      <c r="O96" s="651"/>
      <c r="P96" s="651"/>
      <c r="Q96" s="651"/>
      <c r="R96" s="651"/>
    </row>
    <row r="97" spans="1:18" ht="13.5" thickBot="1" x14ac:dyDescent="0.35">
      <c r="A97" s="651"/>
      <c r="B97" s="651"/>
      <c r="C97" s="651"/>
      <c r="D97" s="651"/>
      <c r="E97" s="696"/>
      <c r="F97" s="697"/>
      <c r="G97" s="697"/>
      <c r="H97" s="697"/>
      <c r="I97" s="697"/>
      <c r="J97" s="697"/>
      <c r="K97" s="697"/>
      <c r="L97" s="698"/>
      <c r="M97" s="651"/>
      <c r="N97" s="651"/>
      <c r="O97" s="651"/>
      <c r="P97" s="651"/>
      <c r="Q97" s="651"/>
      <c r="R97" s="651"/>
    </row>
    <row r="98" spans="1:18" x14ac:dyDescent="0.3">
      <c r="A98" s="651"/>
      <c r="B98" s="651"/>
      <c r="C98" s="651"/>
      <c r="D98" s="651"/>
      <c r="E98" s="651"/>
      <c r="F98" s="651"/>
      <c r="G98" s="651"/>
      <c r="H98" s="651"/>
      <c r="I98" s="651"/>
      <c r="J98" s="651"/>
      <c r="K98" s="651"/>
      <c r="L98" s="651"/>
      <c r="M98" s="651"/>
      <c r="N98" s="651"/>
      <c r="O98" s="651"/>
      <c r="P98" s="651"/>
      <c r="Q98" s="651"/>
      <c r="R98" s="651"/>
    </row>
  </sheetData>
  <mergeCells count="94">
    <mergeCell ref="D3:G3"/>
    <mergeCell ref="D1:G1"/>
    <mergeCell ref="I1:J1"/>
    <mergeCell ref="L1:M1"/>
    <mergeCell ref="D2:G2"/>
    <mergeCell ref="I2:J2"/>
    <mergeCell ref="L2:M2"/>
    <mergeCell ref="A4:G4"/>
    <mergeCell ref="H4:P4"/>
    <mergeCell ref="A5:B5"/>
    <mergeCell ref="C5:P5"/>
    <mergeCell ref="A6:C6"/>
    <mergeCell ref="D6:E6"/>
    <mergeCell ref="A7:C7"/>
    <mergeCell ref="D7:E7"/>
    <mergeCell ref="A8:C8"/>
    <mergeCell ref="D8:E8"/>
    <mergeCell ref="A9:C9"/>
    <mergeCell ref="D9:E9"/>
    <mergeCell ref="M15:R15"/>
    <mergeCell ref="A10:C10"/>
    <mergeCell ref="D10:E10"/>
    <mergeCell ref="A11:C11"/>
    <mergeCell ref="D11:E11"/>
    <mergeCell ref="A12:C12"/>
    <mergeCell ref="D12:E12"/>
    <mergeCell ref="A13:C13"/>
    <mergeCell ref="D13:E13"/>
    <mergeCell ref="A14:C14"/>
    <mergeCell ref="D14:E14"/>
    <mergeCell ref="A15:K15"/>
    <mergeCell ref="C16:E16"/>
    <mergeCell ref="C18:E18"/>
    <mergeCell ref="A22:C22"/>
    <mergeCell ref="D22:E22"/>
    <mergeCell ref="A23:C23"/>
    <mergeCell ref="D23:E23"/>
    <mergeCell ref="A24:C24"/>
    <mergeCell ref="D24:E24"/>
    <mergeCell ref="A25:C25"/>
    <mergeCell ref="D25:E25"/>
    <mergeCell ref="A26:C26"/>
    <mergeCell ref="D26:E26"/>
    <mergeCell ref="A27:C27"/>
    <mergeCell ref="D27:E27"/>
    <mergeCell ref="A28:C28"/>
    <mergeCell ref="D28:E28"/>
    <mergeCell ref="A29:C29"/>
    <mergeCell ref="D29:E29"/>
    <mergeCell ref="A30:C30"/>
    <mergeCell ref="D30:E30"/>
    <mergeCell ref="A31:K31"/>
    <mergeCell ref="D32:E32"/>
    <mergeCell ref="A36:C36"/>
    <mergeCell ref="D36:E36"/>
    <mergeCell ref="A37:C37"/>
    <mergeCell ref="D37:E37"/>
    <mergeCell ref="A38:C38"/>
    <mergeCell ref="D38:E38"/>
    <mergeCell ref="A39:C39"/>
    <mergeCell ref="D39:E39"/>
    <mergeCell ref="B46:E46"/>
    <mergeCell ref="A40:C40"/>
    <mergeCell ref="D40:E40"/>
    <mergeCell ref="A41:C41"/>
    <mergeCell ref="D41:E41"/>
    <mergeCell ref="A42:C42"/>
    <mergeCell ref="D42:E42"/>
    <mergeCell ref="A43:C43"/>
    <mergeCell ref="D43:E43"/>
    <mergeCell ref="A44:C44"/>
    <mergeCell ref="D44:E44"/>
    <mergeCell ref="A45:J45"/>
    <mergeCell ref="E79:F79"/>
    <mergeCell ref="A49:K49"/>
    <mergeCell ref="M49:O49"/>
    <mergeCell ref="A50:K54"/>
    <mergeCell ref="M50:O54"/>
    <mergeCell ref="A56:K56"/>
    <mergeCell ref="A57:K62"/>
    <mergeCell ref="M57:O57"/>
    <mergeCell ref="M58:O62"/>
    <mergeCell ref="E68:L68"/>
    <mergeCell ref="E75:F75"/>
    <mergeCell ref="E76:F76"/>
    <mergeCell ref="E77:F77"/>
    <mergeCell ref="E78:F78"/>
    <mergeCell ref="E88:F88"/>
    <mergeCell ref="E80:F80"/>
    <mergeCell ref="E83:F83"/>
    <mergeCell ref="E84:F84"/>
    <mergeCell ref="E85:F85"/>
    <mergeCell ref="E86:F86"/>
    <mergeCell ref="E87:F87"/>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100-000000000000}">
      <formula1>AvancementTheme</formula1>
    </dataValidation>
  </dataValidations>
  <hyperlinks>
    <hyperlink ref="O1" location="DPDV_02DS2" display="PdV" xr:uid="{00000000-0004-0000-4100-000000000000}"/>
    <hyperlink ref="P1" location="DKPI_02DS2" display="KPI's" xr:uid="{00000000-0004-0000-4100-000001000000}"/>
  </hyperlinks>
  <pageMargins left="0.70866141732283472" right="0.70866141732283472" top="0.74803149606299213" bottom="0.74803149606299213" header="0.31496062992125984" footer="0.31496062992125984"/>
  <pageSetup paperSize="9" scale="42" orientation="portrait" horizontalDpi="4294967293" verticalDpi="360" r:id="rId1"/>
  <headerFooter>
    <oddHeader>&amp;LPAD Methodology (c) 2013-2014&amp;RStrategic Management Workshop</oddHeader>
    <oddFooter>&amp;L&amp;F&amp;C&amp;A&amp;RSituation au : &amp;D - page : &amp;P/&amp;N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69">
    <tabColor rgb="FF92D050"/>
    <pageSetUpPr fitToPage="1"/>
  </sheetPr>
  <dimension ref="A1:V104"/>
  <sheetViews>
    <sheetView showGridLines="0" showRowColHeaders="0" showZeros="0" zoomScaleNormal="100" workbookViewId="0">
      <pane ySplit="5" topLeftCell="A39" activePane="bottomLeft" state="frozen"/>
      <selection activeCell="H7" sqref="H7"/>
      <selection pane="bottomLeft" activeCell="H7" sqref="H7"/>
    </sheetView>
  </sheetViews>
  <sheetFormatPr baseColWidth="10" defaultColWidth="11.453125" defaultRowHeight="13" x14ac:dyDescent="0.3"/>
  <cols>
    <col min="1" max="2" width="11.453125" style="116"/>
    <col min="3" max="3" width="13.453125" style="116" customWidth="1"/>
    <col min="4" max="4" width="12.54296875" style="116" customWidth="1"/>
    <col min="5" max="5" width="9.453125" style="116" customWidth="1"/>
    <col min="6" max="16384" width="11.453125" style="116"/>
  </cols>
  <sheetData>
    <row r="1" spans="1:22" s="54" customFormat="1" ht="15" customHeight="1" x14ac:dyDescent="0.35">
      <c r="A1" s="195"/>
      <c r="B1" s="195"/>
      <c r="C1" s="195"/>
      <c r="D1" s="3262" t="s">
        <v>5</v>
      </c>
      <c r="E1" s="3262"/>
      <c r="F1" s="3262"/>
      <c r="G1" s="3262"/>
      <c r="H1" s="53"/>
      <c r="I1" s="3262" t="s">
        <v>6</v>
      </c>
      <c r="J1" s="3262"/>
      <c r="K1" s="195"/>
      <c r="L1" s="3262" t="s">
        <v>9</v>
      </c>
      <c r="M1" s="3262"/>
      <c r="N1" s="195"/>
      <c r="O1" s="10" t="s">
        <v>2</v>
      </c>
      <c r="P1" s="10" t="s">
        <v>3</v>
      </c>
    </row>
    <row r="2" spans="1:22" s="58" customFormat="1" ht="18" customHeight="1" x14ac:dyDescent="0.35">
      <c r="A2" s="55"/>
      <c r="B2" s="55"/>
      <c r="C2" s="55"/>
      <c r="D2" s="3263" t="str">
        <f>NomClient</f>
        <v xml:space="preserve">EQUINIX </v>
      </c>
      <c r="E2" s="3264"/>
      <c r="F2" s="3264"/>
      <c r="G2" s="3265"/>
      <c r="H2" s="55"/>
      <c r="I2" s="3345" t="s">
        <v>406</v>
      </c>
      <c r="J2" s="3346"/>
      <c r="K2" s="55"/>
      <c r="L2" s="4859">
        <v>42419.90960648148</v>
      </c>
      <c r="M2" s="4861"/>
      <c r="N2" s="56"/>
      <c r="O2" s="57">
        <f>IF(LEN(DPDV_02DL2)&gt;0,LEN(DPDV_02DL2),0-PDV_NBmini)</f>
        <v>10</v>
      </c>
      <c r="P2" s="57">
        <f>IF(LEN(DKPI_02DL2)&gt;0,LEN(DKPI_02DL2),0-KPI_NBmini)</f>
        <v>21</v>
      </c>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101" t="str">
        <f>Parametre!B24  &amp; "  : "</f>
        <v xml:space="preserve">Vision, Attente &amp; Stratégie  : </v>
      </c>
      <c r="B4" s="5101"/>
      <c r="C4" s="5101"/>
      <c r="D4" s="5101"/>
      <c r="E4" s="5101"/>
      <c r="F4" s="5101"/>
      <c r="G4" s="5101"/>
      <c r="H4" s="5102" t="str">
        <f xml:space="preserve"> "Licences -  Estimation du nombre de clients et de partenaires pour " &amp; NomProd2</f>
        <v>Licences -  Estimation du nombre de clients et de partenaires pour ASEMA</v>
      </c>
      <c r="I4" s="5102"/>
      <c r="J4" s="5102"/>
      <c r="K4" s="5102"/>
      <c r="L4" s="5102"/>
      <c r="M4" s="5102"/>
      <c r="N4" s="5102"/>
      <c r="O4" s="5102"/>
      <c r="P4" s="5103"/>
    </row>
    <row r="5" spans="1:22" s="193" customFormat="1" ht="19.5" customHeight="1" thickBot="1" x14ac:dyDescent="0.4">
      <c r="A5" s="4865" t="s">
        <v>14</v>
      </c>
      <c r="B5" s="4865"/>
      <c r="C5" s="4875" t="s">
        <v>1008</v>
      </c>
      <c r="D5" s="4875"/>
      <c r="E5" s="4875"/>
      <c r="F5" s="4875"/>
      <c r="G5" s="4875"/>
      <c r="H5" s="4875"/>
      <c r="I5" s="4875"/>
      <c r="J5" s="4875"/>
      <c r="K5" s="4875"/>
      <c r="L5" s="4875"/>
      <c r="M5" s="4875"/>
      <c r="N5" s="4875"/>
      <c r="O5" s="4875"/>
      <c r="P5" s="4875"/>
    </row>
    <row r="6" spans="1:22" s="159" customFormat="1" ht="30" customHeight="1" thickTop="1" x14ac:dyDescent="0.35">
      <c r="A6" s="5085" t="s">
        <v>843</v>
      </c>
      <c r="B6" s="5086"/>
      <c r="C6" s="5086"/>
      <c r="D6" s="5104" t="s">
        <v>18</v>
      </c>
      <c r="E6" s="5104"/>
      <c r="F6" s="506">
        <f>AnReference-1</f>
        <v>2017</v>
      </c>
      <c r="G6" s="506">
        <f>AnReference</f>
        <v>2018</v>
      </c>
      <c r="H6" s="225">
        <f>IF(NbAnVision&gt;=1,AnReference+1,"NA")</f>
        <v>2019</v>
      </c>
      <c r="I6" s="225">
        <f>IF(NbAnVision&gt;=2,AnReference+2,"NA")</f>
        <v>2020</v>
      </c>
      <c r="J6" s="244">
        <f>IF(NbAnVision&gt;=3,AnReference+3,"NA")</f>
        <v>2021</v>
      </c>
      <c r="K6" s="1045" t="s">
        <v>822</v>
      </c>
      <c r="L6" s="211"/>
      <c r="M6" s="1043">
        <f t="shared" ref="M6:R6" si="0">F6</f>
        <v>2017</v>
      </c>
      <c r="N6" s="256">
        <f t="shared" si="0"/>
        <v>2018</v>
      </c>
      <c r="O6" s="256">
        <f t="shared" si="0"/>
        <v>2019</v>
      </c>
      <c r="P6" s="257">
        <f t="shared" si="0"/>
        <v>2020</v>
      </c>
      <c r="Q6" s="257">
        <f t="shared" si="0"/>
        <v>2021</v>
      </c>
      <c r="R6" s="1051" t="str">
        <f t="shared" si="0"/>
        <v xml:space="preserve">Total </v>
      </c>
    </row>
    <row r="7" spans="1:22" ht="15.5" x14ac:dyDescent="0.35">
      <c r="A7" s="5076" t="str">
        <f>'02-SALESPLAN-OFR2'!A15:F15</f>
        <v>Ventes directes seules</v>
      </c>
      <c r="B7" s="5077"/>
      <c r="C7" s="5077"/>
      <c r="D7" s="5097"/>
      <c r="E7" s="5097"/>
      <c r="F7" s="2009">
        <f>'02-SALESPLAN-OFR2'!G15</f>
        <v>0</v>
      </c>
      <c r="G7" s="2009">
        <f>'02-SALESPLAN-OFR2'!H15</f>
        <v>0</v>
      </c>
      <c r="H7" s="2009">
        <f>'02-SALESPLAN-OFR2'!I15</f>
        <v>0</v>
      </c>
      <c r="I7" s="2009">
        <f>'02-SALESPLAN-OFR2'!J15</f>
        <v>0</v>
      </c>
      <c r="J7" s="2009">
        <f>'02-SALESPLAN-OFR2'!K15</f>
        <v>0</v>
      </c>
      <c r="K7" s="2010">
        <f>SUM(F7:J7)</f>
        <v>0</v>
      </c>
      <c r="L7" s="169"/>
      <c r="M7" s="2015">
        <f t="shared" ref="M7:M14" si="1">IF($F$16=0,0,F7/$F$16)</f>
        <v>0</v>
      </c>
      <c r="N7" s="242">
        <f t="shared" ref="N7:N14" si="2">IF($G$16=0,0,G7/$G$16)</f>
        <v>0</v>
      </c>
      <c r="O7" s="242">
        <f t="shared" ref="O7:O14" si="3">IF($H$16=0,0,H7/$H$16)</f>
        <v>0</v>
      </c>
      <c r="P7" s="242">
        <f t="shared" ref="P7:P14" si="4">IF($I$16=0,0,I7/$I$16)</f>
        <v>0</v>
      </c>
      <c r="Q7" s="243">
        <f t="shared" ref="Q7:Q14" si="5">IF($J$16=0,0,J7/$J$16)</f>
        <v>0</v>
      </c>
      <c r="R7" s="1052" t="e">
        <f t="shared" ref="R7:R14" si="6">K7/K$16</f>
        <v>#DIV/0!</v>
      </c>
    </row>
    <row r="8" spans="1:22" ht="15.5" x14ac:dyDescent="0.35">
      <c r="A8" s="5076" t="str">
        <f>'02-SALESPLAN-OFR2'!A16:F16</f>
        <v>ESN</v>
      </c>
      <c r="B8" s="5077"/>
      <c r="C8" s="5077"/>
      <c r="D8" s="5097"/>
      <c r="E8" s="5097"/>
      <c r="F8" s="2009">
        <f>'02-SALESPLAN-OFR2'!G16</f>
        <v>0</v>
      </c>
      <c r="G8" s="2009">
        <f>'02-SALESPLAN-OFR2'!H16</f>
        <v>0</v>
      </c>
      <c r="H8" s="2009">
        <f>'02-SALESPLAN-OFR2'!I16</f>
        <v>0</v>
      </c>
      <c r="I8" s="2009">
        <f>'02-SALESPLAN-OFR2'!J16</f>
        <v>0</v>
      </c>
      <c r="J8" s="2009">
        <f>'02-SALESPLAN-OFR2'!K16</f>
        <v>0</v>
      </c>
      <c r="K8" s="2010">
        <f t="shared" ref="K8:K14" si="7">SUM(F8:J8)</f>
        <v>0</v>
      </c>
      <c r="L8" s="169"/>
      <c r="M8" s="2015">
        <f t="shared" si="1"/>
        <v>0</v>
      </c>
      <c r="N8" s="242">
        <f t="shared" si="2"/>
        <v>0</v>
      </c>
      <c r="O8" s="242">
        <f t="shared" si="3"/>
        <v>0</v>
      </c>
      <c r="P8" s="242">
        <f t="shared" si="4"/>
        <v>0</v>
      </c>
      <c r="Q8" s="243">
        <f t="shared" si="5"/>
        <v>0</v>
      </c>
      <c r="R8" s="1052" t="e">
        <f t="shared" si="6"/>
        <v>#DIV/0!</v>
      </c>
    </row>
    <row r="9" spans="1:22" ht="15.5" x14ac:dyDescent="0.35">
      <c r="A9" s="5076" t="str">
        <f>'02-SALESPLAN-OFR2'!A17:F17</f>
        <v>Centres de contact</v>
      </c>
      <c r="B9" s="5077"/>
      <c r="C9" s="5077"/>
      <c r="D9" s="5097"/>
      <c r="E9" s="5097"/>
      <c r="F9" s="2009">
        <f>'02-SALESPLAN-OFR2'!G17</f>
        <v>0</v>
      </c>
      <c r="G9" s="2009">
        <f>'02-SALESPLAN-OFR2'!H17</f>
        <v>0</v>
      </c>
      <c r="H9" s="2009">
        <f>'02-SALESPLAN-OFR2'!I17</f>
        <v>0</v>
      </c>
      <c r="I9" s="2009">
        <f>'02-SALESPLAN-OFR2'!J17</f>
        <v>0</v>
      </c>
      <c r="J9" s="2009">
        <f>'02-SALESPLAN-OFR2'!K17</f>
        <v>0</v>
      </c>
      <c r="K9" s="2010">
        <f t="shared" si="7"/>
        <v>0</v>
      </c>
      <c r="L9" s="169"/>
      <c r="M9" s="2015">
        <f t="shared" si="1"/>
        <v>0</v>
      </c>
      <c r="N9" s="242">
        <f t="shared" si="2"/>
        <v>0</v>
      </c>
      <c r="O9" s="242">
        <f t="shared" si="3"/>
        <v>0</v>
      </c>
      <c r="P9" s="242">
        <f t="shared" si="4"/>
        <v>0</v>
      </c>
      <c r="Q9" s="243">
        <f t="shared" si="5"/>
        <v>0</v>
      </c>
      <c r="R9" s="1052" t="e">
        <f t="shared" si="6"/>
        <v>#DIV/0!</v>
      </c>
    </row>
    <row r="10" spans="1:22" ht="15.5" x14ac:dyDescent="0.35">
      <c r="A10" s="5076" t="str">
        <f>'02-SALESPLAN-OFR2'!A18:F18</f>
        <v>Vars Nationaux</v>
      </c>
      <c r="B10" s="5077"/>
      <c r="C10" s="5077"/>
      <c r="D10" s="5097"/>
      <c r="E10" s="5097"/>
      <c r="F10" s="2009">
        <f>'02-SALESPLAN-OFR2'!G18</f>
        <v>0</v>
      </c>
      <c r="G10" s="2009">
        <f>'02-SALESPLAN-OFR2'!H18</f>
        <v>0</v>
      </c>
      <c r="H10" s="2009">
        <f>'02-SALESPLAN-OFR2'!I18</f>
        <v>0</v>
      </c>
      <c r="I10" s="2009">
        <f>'02-SALESPLAN-OFR2'!J18</f>
        <v>0</v>
      </c>
      <c r="J10" s="2009">
        <f>'02-SALESPLAN-OFR2'!K18</f>
        <v>0</v>
      </c>
      <c r="K10" s="2010">
        <f t="shared" si="7"/>
        <v>0</v>
      </c>
      <c r="L10" s="169"/>
      <c r="M10" s="2015">
        <f t="shared" si="1"/>
        <v>0</v>
      </c>
      <c r="N10" s="242">
        <f t="shared" si="2"/>
        <v>0</v>
      </c>
      <c r="O10" s="242">
        <f t="shared" si="3"/>
        <v>0</v>
      </c>
      <c r="P10" s="242">
        <f t="shared" si="4"/>
        <v>0</v>
      </c>
      <c r="Q10" s="243">
        <f t="shared" si="5"/>
        <v>0</v>
      </c>
      <c r="R10" s="1052" t="e">
        <f t="shared" si="6"/>
        <v>#DIV/0!</v>
      </c>
    </row>
    <row r="11" spans="1:22" ht="15.5" x14ac:dyDescent="0.35">
      <c r="A11" s="5076" t="str">
        <f>'02-SALESPLAN-OFR2'!A19:F19</f>
        <v>Editeurs</v>
      </c>
      <c r="B11" s="5077"/>
      <c r="C11" s="5077"/>
      <c r="D11" s="5097"/>
      <c r="E11" s="5097"/>
      <c r="F11" s="2009">
        <f>'02-SALESPLAN-OFR2'!G19</f>
        <v>0</v>
      </c>
      <c r="G11" s="2009">
        <f>'02-SALESPLAN-OFR2'!H19</f>
        <v>0</v>
      </c>
      <c r="H11" s="2009">
        <f>'02-SALESPLAN-OFR2'!I19</f>
        <v>0</v>
      </c>
      <c r="I11" s="2009">
        <f>'02-SALESPLAN-OFR2'!J19</f>
        <v>0</v>
      </c>
      <c r="J11" s="2009">
        <f>'02-SALESPLAN-OFR2'!K19</f>
        <v>0</v>
      </c>
      <c r="K11" s="2010">
        <f t="shared" si="7"/>
        <v>0</v>
      </c>
      <c r="L11" s="166"/>
      <c r="M11" s="2015">
        <f t="shared" si="1"/>
        <v>0</v>
      </c>
      <c r="N11" s="242">
        <f t="shared" si="2"/>
        <v>0</v>
      </c>
      <c r="O11" s="242">
        <f t="shared" si="3"/>
        <v>0</v>
      </c>
      <c r="P11" s="242">
        <f t="shared" si="4"/>
        <v>0</v>
      </c>
      <c r="Q11" s="243">
        <f t="shared" si="5"/>
        <v>0</v>
      </c>
      <c r="R11" s="1052" t="e">
        <f t="shared" si="6"/>
        <v>#DIV/0!</v>
      </c>
    </row>
    <row r="12" spans="1:22" ht="15.5" x14ac:dyDescent="0.35">
      <c r="A12" s="5076" t="str">
        <f>'02-SALESPLAN-OFR2'!A20:F20</f>
        <v>Web Agencies</v>
      </c>
      <c r="B12" s="5077"/>
      <c r="C12" s="5077"/>
      <c r="D12" s="5097"/>
      <c r="E12" s="5097"/>
      <c r="F12" s="2009">
        <f>'02-SALESPLAN-OFR2'!G20</f>
        <v>0</v>
      </c>
      <c r="G12" s="2009">
        <f>'02-SALESPLAN-OFR2'!H20</f>
        <v>0</v>
      </c>
      <c r="H12" s="2009">
        <f>'02-SALESPLAN-OFR2'!I20</f>
        <v>0</v>
      </c>
      <c r="I12" s="2009">
        <f>'02-SALESPLAN-OFR2'!J20</f>
        <v>0</v>
      </c>
      <c r="J12" s="2009">
        <f>'02-SALESPLAN-OFR2'!K20</f>
        <v>0</v>
      </c>
      <c r="K12" s="2010">
        <f t="shared" si="7"/>
        <v>0</v>
      </c>
      <c r="L12" s="166"/>
      <c r="M12" s="2015">
        <f t="shared" si="1"/>
        <v>0</v>
      </c>
      <c r="N12" s="242">
        <f t="shared" si="2"/>
        <v>0</v>
      </c>
      <c r="O12" s="242">
        <f t="shared" si="3"/>
        <v>0</v>
      </c>
      <c r="P12" s="242">
        <f t="shared" si="4"/>
        <v>0</v>
      </c>
      <c r="Q12" s="243">
        <f t="shared" si="5"/>
        <v>0</v>
      </c>
      <c r="R12" s="1052" t="e">
        <f t="shared" si="6"/>
        <v>#DIV/0!</v>
      </c>
    </row>
    <row r="13" spans="1:22" ht="15.5" x14ac:dyDescent="0.35">
      <c r="A13" s="5076" t="str">
        <f>'02-SALESPLAN-OFR2'!A21:F21</f>
        <v>Constructeurs</v>
      </c>
      <c r="B13" s="5077"/>
      <c r="C13" s="5077"/>
      <c r="D13" s="5097"/>
      <c r="E13" s="5097"/>
      <c r="F13" s="2009">
        <f>'02-SALESPLAN-OFR2'!G21</f>
        <v>0</v>
      </c>
      <c r="G13" s="2009">
        <f>'02-SALESPLAN-OFR2'!H21</f>
        <v>0</v>
      </c>
      <c r="H13" s="2009">
        <f>'02-SALESPLAN-OFR2'!I21</f>
        <v>0</v>
      </c>
      <c r="I13" s="2009">
        <f>'02-SALESPLAN-OFR2'!J21</f>
        <v>0</v>
      </c>
      <c r="J13" s="2009">
        <f>'02-SALESPLAN-OFR2'!K21</f>
        <v>0</v>
      </c>
      <c r="K13" s="2010">
        <f t="shared" si="7"/>
        <v>0</v>
      </c>
      <c r="L13" s="166"/>
      <c r="M13" s="2015">
        <f t="shared" si="1"/>
        <v>0</v>
      </c>
      <c r="N13" s="242">
        <f t="shared" si="2"/>
        <v>0</v>
      </c>
      <c r="O13" s="242">
        <f t="shared" si="3"/>
        <v>0</v>
      </c>
      <c r="P13" s="242">
        <f t="shared" si="4"/>
        <v>0</v>
      </c>
      <c r="Q13" s="243">
        <f t="shared" si="5"/>
        <v>0</v>
      </c>
      <c r="R13" s="1052" t="e">
        <f t="shared" si="6"/>
        <v>#DIV/0!</v>
      </c>
    </row>
    <row r="14" spans="1:22" ht="15.5" x14ac:dyDescent="0.35">
      <c r="A14" s="5076" t="str">
        <f>'02-SALESPLAN-OFR2'!A22:F22</f>
        <v>Hébergeurs</v>
      </c>
      <c r="B14" s="5077"/>
      <c r="C14" s="5077"/>
      <c r="D14" s="5097"/>
      <c r="E14" s="5097"/>
      <c r="F14" s="2009">
        <f>'02-SALESPLAN-OFR2'!G22</f>
        <v>0</v>
      </c>
      <c r="G14" s="2009">
        <f>'02-SALESPLAN-OFR2'!H22</f>
        <v>0</v>
      </c>
      <c r="H14" s="2009">
        <f>'02-SALESPLAN-OFR2'!I22</f>
        <v>0</v>
      </c>
      <c r="I14" s="2009">
        <f>'02-SALESPLAN-OFR2'!J22</f>
        <v>0</v>
      </c>
      <c r="J14" s="2009">
        <f>'02-SALESPLAN-OFR2'!K22</f>
        <v>0</v>
      </c>
      <c r="K14" s="2010">
        <f t="shared" si="7"/>
        <v>0</v>
      </c>
      <c r="L14" s="166"/>
      <c r="M14" s="2015">
        <f t="shared" si="1"/>
        <v>0</v>
      </c>
      <c r="N14" s="242">
        <f t="shared" si="2"/>
        <v>0</v>
      </c>
      <c r="O14" s="242">
        <f t="shared" si="3"/>
        <v>0</v>
      </c>
      <c r="P14" s="242">
        <f t="shared" si="4"/>
        <v>0</v>
      </c>
      <c r="Q14" s="243">
        <f t="shared" si="5"/>
        <v>0</v>
      </c>
      <c r="R14" s="1052" t="e">
        <f t="shared" si="6"/>
        <v>#DIV/0!</v>
      </c>
    </row>
    <row r="15" spans="1:22" ht="7.5" customHeight="1" thickBot="1" x14ac:dyDescent="0.4">
      <c r="A15" s="5098"/>
      <c r="B15" s="5099"/>
      <c r="C15" s="5099"/>
      <c r="D15" s="5099"/>
      <c r="E15" s="5099"/>
      <c r="F15" s="5099"/>
      <c r="G15" s="5099"/>
      <c r="H15" s="5099"/>
      <c r="I15" s="5099"/>
      <c r="J15" s="5099"/>
      <c r="K15" s="5100"/>
      <c r="L15" s="166"/>
      <c r="M15" s="5094"/>
      <c r="N15" s="5095"/>
      <c r="O15" s="5095"/>
      <c r="P15" s="5095"/>
      <c r="Q15" s="5095"/>
      <c r="R15" s="5096"/>
    </row>
    <row r="16" spans="1:22" ht="15.5" thickTop="1" thickBot="1" x14ac:dyDescent="0.4">
      <c r="C16" s="5088" t="s">
        <v>436</v>
      </c>
      <c r="D16" s="5089"/>
      <c r="E16" s="5090"/>
      <c r="F16" s="2011">
        <f>SUM(F7:F15)</f>
        <v>0</v>
      </c>
      <c r="G16" s="2012">
        <f>SUM(G7:G15)</f>
        <v>0</v>
      </c>
      <c r="H16" s="2012">
        <f>SUM(H7:H15)</f>
        <v>0</v>
      </c>
      <c r="I16" s="2012">
        <f>SUM(I7:I15)</f>
        <v>0</v>
      </c>
      <c r="J16" s="2013">
        <f>SUM(J7:J15)</f>
        <v>0</v>
      </c>
      <c r="K16" s="2014">
        <f>SUM(F16:J16)</f>
        <v>0</v>
      </c>
      <c r="L16" s="168"/>
      <c r="M16" s="2016">
        <f t="shared" ref="M16:R16" si="8">SUM(M7:M15)</f>
        <v>0</v>
      </c>
      <c r="N16" s="254">
        <f t="shared" si="8"/>
        <v>0</v>
      </c>
      <c r="O16" s="254">
        <f t="shared" si="8"/>
        <v>0</v>
      </c>
      <c r="P16" s="254">
        <f t="shared" si="8"/>
        <v>0</v>
      </c>
      <c r="Q16" s="255">
        <f t="shared" si="8"/>
        <v>0</v>
      </c>
      <c r="R16" s="1053" t="e">
        <f t="shared" si="8"/>
        <v>#DIV/0!</v>
      </c>
    </row>
    <row r="17" spans="1:18" ht="15.5" thickTop="1" thickBot="1" x14ac:dyDescent="0.4">
      <c r="C17" s="5091" t="s">
        <v>761</v>
      </c>
      <c r="D17" s="5092"/>
      <c r="E17" s="5093"/>
      <c r="F17" s="224"/>
      <c r="G17" s="215" t="str">
        <f>IF(F16=0,"",G16/F16)</f>
        <v/>
      </c>
      <c r="H17" s="215" t="e">
        <f>H16/G16</f>
        <v>#DIV/0!</v>
      </c>
      <c r="I17" s="215" t="e">
        <f>I16/H16</f>
        <v>#DIV/0!</v>
      </c>
      <c r="J17" s="246" t="e">
        <f>J16/I16</f>
        <v>#DIV/0!</v>
      </c>
      <c r="K17" s="1059"/>
      <c r="L17" s="167"/>
      <c r="M17" s="166"/>
      <c r="N17" s="166"/>
      <c r="O17" s="166"/>
      <c r="P17" s="166"/>
      <c r="Q17" s="166"/>
      <c r="R17" s="205"/>
    </row>
    <row r="18" spans="1:18" ht="13.5" thickTop="1" x14ac:dyDescent="0.3"/>
    <row r="20" spans="1:18" ht="13.5" thickBot="1" x14ac:dyDescent="0.35"/>
    <row r="21" spans="1:18" s="210" customFormat="1" ht="30.75" customHeight="1" thickTop="1" x14ac:dyDescent="0.35">
      <c r="A21" s="5085" t="s">
        <v>853</v>
      </c>
      <c r="B21" s="5086"/>
      <c r="C21" s="5086"/>
      <c r="D21" s="5086" t="s">
        <v>1798</v>
      </c>
      <c r="E21" s="5086"/>
      <c r="F21" s="225">
        <f t="shared" ref="F21:K21" si="9">F6</f>
        <v>2017</v>
      </c>
      <c r="G21" s="225">
        <f t="shared" si="9"/>
        <v>2018</v>
      </c>
      <c r="H21" s="225">
        <f>H6</f>
        <v>2019</v>
      </c>
      <c r="I21" s="225">
        <f>I6</f>
        <v>2020</v>
      </c>
      <c r="J21" s="244">
        <f>J6</f>
        <v>2021</v>
      </c>
      <c r="K21" s="1045" t="str">
        <f t="shared" si="9"/>
        <v xml:space="preserve">Total </v>
      </c>
    </row>
    <row r="22" spans="1:18" ht="15.5" x14ac:dyDescent="0.35">
      <c r="A22" s="5076" t="str">
        <f t="shared" ref="A22:A29" si="10">A7</f>
        <v>Ventes directes seules</v>
      </c>
      <c r="B22" s="5077"/>
      <c r="C22" s="5077"/>
      <c r="D22" s="4623"/>
      <c r="E22" s="4623"/>
      <c r="F22" s="1174">
        <f>IF($D22=0,0,F7/$D22)</f>
        <v>0</v>
      </c>
      <c r="G22" s="1174">
        <f>IF($D22=0,0,G7/$D22)</f>
        <v>0</v>
      </c>
      <c r="H22" s="1174">
        <f>IF($D22=0,0,H7/$D22)</f>
        <v>0</v>
      </c>
      <c r="I22" s="1174">
        <f>IF($D22=0,0,I7/$D22)</f>
        <v>0</v>
      </c>
      <c r="J22" s="1175">
        <f>IF($D22=0,0,J7/$D22)</f>
        <v>0</v>
      </c>
      <c r="K22" s="1523">
        <f>SUM(G22:J22)</f>
        <v>0</v>
      </c>
    </row>
    <row r="23" spans="1:18" ht="15.5" x14ac:dyDescent="0.35">
      <c r="A23" s="5076" t="str">
        <f t="shared" si="10"/>
        <v>ESN</v>
      </c>
      <c r="B23" s="5077"/>
      <c r="C23" s="5077"/>
      <c r="D23" s="5087">
        <v>50</v>
      </c>
      <c r="E23" s="5087"/>
      <c r="F23" s="1182">
        <f t="shared" ref="F23:J29" si="11">IF($D23=0,0,F8/$D23)</f>
        <v>0</v>
      </c>
      <c r="G23" s="295">
        <f t="shared" si="11"/>
        <v>0</v>
      </c>
      <c r="H23" s="295">
        <f t="shared" si="11"/>
        <v>0</v>
      </c>
      <c r="I23" s="295">
        <f t="shared" si="11"/>
        <v>0</v>
      </c>
      <c r="J23" s="1044">
        <f t="shared" si="11"/>
        <v>0</v>
      </c>
      <c r="K23" s="1046">
        <f t="shared" ref="K23:K29" si="12">SUM(G23:J23)</f>
        <v>0</v>
      </c>
    </row>
    <row r="24" spans="1:18" ht="15.5" x14ac:dyDescent="0.35">
      <c r="A24" s="5076" t="str">
        <f t="shared" si="10"/>
        <v>Centres de contact</v>
      </c>
      <c r="B24" s="5077"/>
      <c r="C24" s="5077"/>
      <c r="D24" s="5087">
        <v>40</v>
      </c>
      <c r="E24" s="5087"/>
      <c r="F24" s="1182">
        <f t="shared" si="11"/>
        <v>0</v>
      </c>
      <c r="G24" s="295">
        <f t="shared" si="11"/>
        <v>0</v>
      </c>
      <c r="H24" s="295">
        <f t="shared" si="11"/>
        <v>0</v>
      </c>
      <c r="I24" s="295">
        <f t="shared" si="11"/>
        <v>0</v>
      </c>
      <c r="J24" s="1044">
        <f t="shared" si="11"/>
        <v>0</v>
      </c>
      <c r="K24" s="1047">
        <f t="shared" si="12"/>
        <v>0</v>
      </c>
    </row>
    <row r="25" spans="1:18" ht="15.5" x14ac:dyDescent="0.35">
      <c r="A25" s="5076" t="str">
        <f t="shared" si="10"/>
        <v>Vars Nationaux</v>
      </c>
      <c r="B25" s="5077"/>
      <c r="C25" s="5077"/>
      <c r="D25" s="5087">
        <v>30</v>
      </c>
      <c r="E25" s="5087"/>
      <c r="F25" s="1182">
        <f t="shared" si="11"/>
        <v>0</v>
      </c>
      <c r="G25" s="295">
        <f t="shared" si="11"/>
        <v>0</v>
      </c>
      <c r="H25" s="295">
        <f t="shared" si="11"/>
        <v>0</v>
      </c>
      <c r="I25" s="295">
        <f t="shared" si="11"/>
        <v>0</v>
      </c>
      <c r="J25" s="1044">
        <f t="shared" si="11"/>
        <v>0</v>
      </c>
      <c r="K25" s="1046">
        <f t="shared" si="12"/>
        <v>0</v>
      </c>
    </row>
    <row r="26" spans="1:18" ht="15.5" x14ac:dyDescent="0.35">
      <c r="A26" s="5076" t="str">
        <f t="shared" si="10"/>
        <v>Editeurs</v>
      </c>
      <c r="B26" s="5077"/>
      <c r="C26" s="5077"/>
      <c r="D26" s="5087">
        <v>20</v>
      </c>
      <c r="E26" s="5087"/>
      <c r="F26" s="1182">
        <f t="shared" si="11"/>
        <v>0</v>
      </c>
      <c r="G26" s="295">
        <f t="shared" si="11"/>
        <v>0</v>
      </c>
      <c r="H26" s="295">
        <f t="shared" si="11"/>
        <v>0</v>
      </c>
      <c r="I26" s="295">
        <f t="shared" si="11"/>
        <v>0</v>
      </c>
      <c r="J26" s="1044">
        <f t="shared" si="11"/>
        <v>0</v>
      </c>
      <c r="K26" s="1046">
        <f t="shared" si="12"/>
        <v>0</v>
      </c>
    </row>
    <row r="27" spans="1:18" ht="15.5" x14ac:dyDescent="0.35">
      <c r="A27" s="5076" t="str">
        <f t="shared" si="10"/>
        <v>Web Agencies</v>
      </c>
      <c r="B27" s="5077"/>
      <c r="C27" s="5077"/>
      <c r="D27" s="5087">
        <v>10</v>
      </c>
      <c r="E27" s="5087"/>
      <c r="F27" s="1182">
        <f t="shared" si="11"/>
        <v>0</v>
      </c>
      <c r="G27" s="295">
        <f t="shared" si="11"/>
        <v>0</v>
      </c>
      <c r="H27" s="295">
        <f t="shared" si="11"/>
        <v>0</v>
      </c>
      <c r="I27" s="295">
        <f t="shared" si="11"/>
        <v>0</v>
      </c>
      <c r="J27" s="1044">
        <f t="shared" si="11"/>
        <v>0</v>
      </c>
      <c r="K27" s="1046">
        <f t="shared" si="12"/>
        <v>0</v>
      </c>
    </row>
    <row r="28" spans="1:18" ht="15.5" x14ac:dyDescent="0.35">
      <c r="A28" s="5076" t="str">
        <f t="shared" si="10"/>
        <v>Constructeurs</v>
      </c>
      <c r="B28" s="5077"/>
      <c r="C28" s="5077"/>
      <c r="D28" s="5087"/>
      <c r="E28" s="5087"/>
      <c r="F28" s="1182">
        <f t="shared" si="11"/>
        <v>0</v>
      </c>
      <c r="G28" s="295">
        <f t="shared" si="11"/>
        <v>0</v>
      </c>
      <c r="H28" s="295">
        <f t="shared" si="11"/>
        <v>0</v>
      </c>
      <c r="I28" s="295">
        <f t="shared" si="11"/>
        <v>0</v>
      </c>
      <c r="J28" s="1044">
        <f t="shared" si="11"/>
        <v>0</v>
      </c>
      <c r="K28" s="1046">
        <f t="shared" si="12"/>
        <v>0</v>
      </c>
    </row>
    <row r="29" spans="1:18" ht="15.5" x14ac:dyDescent="0.35">
      <c r="A29" s="5076" t="str">
        <f t="shared" si="10"/>
        <v>Hébergeurs</v>
      </c>
      <c r="B29" s="5077"/>
      <c r="C29" s="5077"/>
      <c r="D29" s="5087"/>
      <c r="E29" s="5087"/>
      <c r="F29" s="1182">
        <f t="shared" si="11"/>
        <v>0</v>
      </c>
      <c r="G29" s="295">
        <f t="shared" si="11"/>
        <v>0</v>
      </c>
      <c r="H29" s="295">
        <f t="shared" si="11"/>
        <v>0</v>
      </c>
      <c r="I29" s="295">
        <f t="shared" si="11"/>
        <v>0</v>
      </c>
      <c r="J29" s="1044">
        <f t="shared" si="11"/>
        <v>0</v>
      </c>
      <c r="K29" s="1046">
        <f t="shared" si="12"/>
        <v>0</v>
      </c>
    </row>
    <row r="30" spans="1:18" ht="7.5" customHeight="1" thickBot="1" x14ac:dyDescent="0.35">
      <c r="A30" s="5079"/>
      <c r="B30" s="5080"/>
      <c r="C30" s="5080"/>
      <c r="D30" s="5080"/>
      <c r="E30" s="5080"/>
      <c r="F30" s="5080"/>
      <c r="G30" s="5080"/>
      <c r="H30" s="5080"/>
      <c r="I30" s="5080"/>
      <c r="J30" s="5080"/>
      <c r="K30" s="5081"/>
    </row>
    <row r="31" spans="1:18" ht="16.5" thickTop="1" thickBot="1" x14ac:dyDescent="0.4">
      <c r="D31" s="5083" t="s">
        <v>127</v>
      </c>
      <c r="E31" s="5084"/>
      <c r="F31" s="1183">
        <f>SUM(F22:F30)</f>
        <v>0</v>
      </c>
      <c r="G31" s="223">
        <f>SUM(G22:G30)</f>
        <v>0</v>
      </c>
      <c r="H31" s="223">
        <f>SUM(H22:H30)</f>
        <v>0</v>
      </c>
      <c r="I31" s="223">
        <f>SUM(I22:I30)</f>
        <v>0</v>
      </c>
      <c r="J31" s="1054">
        <f>SUM(J22:J30)</f>
        <v>0</v>
      </c>
      <c r="K31" s="1055">
        <f>SUM(G31:J31)</f>
        <v>0</v>
      </c>
    </row>
    <row r="32" spans="1:18" ht="13.5" thickTop="1" x14ac:dyDescent="0.3"/>
    <row r="33" spans="1:18" ht="13.5" thickBot="1" x14ac:dyDescent="0.35"/>
    <row r="34" spans="1:18" s="210" customFormat="1" ht="46.5" customHeight="1" thickTop="1" x14ac:dyDescent="0.35">
      <c r="A34" s="5085" t="s">
        <v>854</v>
      </c>
      <c r="B34" s="5086"/>
      <c r="C34" s="5086"/>
      <c r="D34" s="5086" t="s">
        <v>1523</v>
      </c>
      <c r="E34" s="5086"/>
      <c r="F34" s="225">
        <f t="shared" ref="F34:K34" si="13">F6</f>
        <v>2017</v>
      </c>
      <c r="G34" s="225">
        <f t="shared" si="13"/>
        <v>2018</v>
      </c>
      <c r="H34" s="225">
        <f t="shared" si="13"/>
        <v>2019</v>
      </c>
      <c r="I34" s="244">
        <f t="shared" si="13"/>
        <v>2020</v>
      </c>
      <c r="J34" s="244">
        <f t="shared" si="13"/>
        <v>2021</v>
      </c>
      <c r="K34" s="1045" t="str">
        <f t="shared" si="13"/>
        <v xml:space="preserve">Total </v>
      </c>
    </row>
    <row r="35" spans="1:18" ht="15.75" customHeight="1" x14ac:dyDescent="0.35">
      <c r="A35" s="5076" t="str">
        <f t="shared" ref="A35:A42" si="14">A7</f>
        <v>Ventes directes seules</v>
      </c>
      <c r="B35" s="5077"/>
      <c r="C35" s="5077"/>
      <c r="D35" s="4623"/>
      <c r="E35" s="4623"/>
      <c r="F35" s="1174">
        <f>IF($D35=0,0,F20/$D35)</f>
        <v>0</v>
      </c>
      <c r="G35" s="1174">
        <f>IF($D35=0,0,G20/$D35)</f>
        <v>0</v>
      </c>
      <c r="H35" s="1174">
        <f>IF($D35=0,0,H20/$D35)</f>
        <v>0</v>
      </c>
      <c r="I35" s="1174">
        <f>IF($D35=0,0,I20/$D35)</f>
        <v>0</v>
      </c>
      <c r="J35" s="1175">
        <f>IF($D35=0,0,J20/$D35)</f>
        <v>0</v>
      </c>
      <c r="K35" s="1523">
        <f>SUM(G35:J35)</f>
        <v>0</v>
      </c>
    </row>
    <row r="36" spans="1:18" ht="15" customHeight="1" x14ac:dyDescent="0.35">
      <c r="A36" s="5076" t="str">
        <f t="shared" si="14"/>
        <v>ESN</v>
      </c>
      <c r="B36" s="5077"/>
      <c r="C36" s="5077"/>
      <c r="D36" s="5078">
        <v>2</v>
      </c>
      <c r="E36" s="5078"/>
      <c r="F36" s="1184">
        <f t="shared" ref="F36:J42" si="15">IF($D36=0,0,F23/$D36)</f>
        <v>0</v>
      </c>
      <c r="G36" s="214">
        <f t="shared" si="15"/>
        <v>0</v>
      </c>
      <c r="H36" s="214">
        <f t="shared" si="15"/>
        <v>0</v>
      </c>
      <c r="I36" s="214">
        <f t="shared" si="15"/>
        <v>0</v>
      </c>
      <c r="J36" s="247">
        <f t="shared" si="15"/>
        <v>0</v>
      </c>
      <c r="K36" s="1048">
        <f>SUM(G36:J36)</f>
        <v>0</v>
      </c>
    </row>
    <row r="37" spans="1:18" ht="15" customHeight="1" x14ac:dyDescent="0.35">
      <c r="A37" s="5076" t="str">
        <f t="shared" si="14"/>
        <v>Centres de contact</v>
      </c>
      <c r="B37" s="5077"/>
      <c r="C37" s="5077"/>
      <c r="D37" s="5078">
        <v>4</v>
      </c>
      <c r="E37" s="5078"/>
      <c r="F37" s="1184">
        <f t="shared" si="15"/>
        <v>0</v>
      </c>
      <c r="G37" s="214">
        <f t="shared" si="15"/>
        <v>0</v>
      </c>
      <c r="H37" s="214">
        <f t="shared" si="15"/>
        <v>0</v>
      </c>
      <c r="I37" s="214">
        <f t="shared" si="15"/>
        <v>0</v>
      </c>
      <c r="J37" s="247">
        <f t="shared" si="15"/>
        <v>0</v>
      </c>
      <c r="K37" s="1049">
        <f>SUM(G37:J37)</f>
        <v>0</v>
      </c>
    </row>
    <row r="38" spans="1:18" ht="15" customHeight="1" x14ac:dyDescent="0.35">
      <c r="A38" s="5076" t="str">
        <f t="shared" si="14"/>
        <v>Vars Nationaux</v>
      </c>
      <c r="B38" s="5077"/>
      <c r="C38" s="5077"/>
      <c r="D38" s="5078">
        <v>3</v>
      </c>
      <c r="E38" s="5078"/>
      <c r="F38" s="1184">
        <f t="shared" si="15"/>
        <v>0</v>
      </c>
      <c r="G38" s="214">
        <f t="shared" si="15"/>
        <v>0</v>
      </c>
      <c r="H38" s="214">
        <f t="shared" si="15"/>
        <v>0</v>
      </c>
      <c r="I38" s="214">
        <f t="shared" si="15"/>
        <v>0</v>
      </c>
      <c r="J38" s="247">
        <f t="shared" si="15"/>
        <v>0</v>
      </c>
      <c r="K38" s="1048">
        <f>SUM(G38:J38)</f>
        <v>0</v>
      </c>
    </row>
    <row r="39" spans="1:18" ht="15" customHeight="1" x14ac:dyDescent="0.35">
      <c r="A39" s="5076" t="str">
        <f t="shared" si="14"/>
        <v>Editeurs</v>
      </c>
      <c r="B39" s="5077"/>
      <c r="C39" s="5077"/>
      <c r="D39" s="5078">
        <v>2</v>
      </c>
      <c r="E39" s="5078"/>
      <c r="F39" s="1184">
        <f t="shared" si="15"/>
        <v>0</v>
      </c>
      <c r="G39" s="214">
        <f t="shared" si="15"/>
        <v>0</v>
      </c>
      <c r="H39" s="214">
        <f t="shared" si="15"/>
        <v>0</v>
      </c>
      <c r="I39" s="214">
        <f t="shared" si="15"/>
        <v>0</v>
      </c>
      <c r="J39" s="247">
        <f t="shared" si="15"/>
        <v>0</v>
      </c>
      <c r="K39" s="1048"/>
    </row>
    <row r="40" spans="1:18" ht="15" customHeight="1" x14ac:dyDescent="0.35">
      <c r="A40" s="5076" t="str">
        <f t="shared" si="14"/>
        <v>Web Agencies</v>
      </c>
      <c r="B40" s="5077"/>
      <c r="C40" s="5077"/>
      <c r="D40" s="5078">
        <v>1</v>
      </c>
      <c r="E40" s="5078"/>
      <c r="F40" s="1184">
        <f t="shared" si="15"/>
        <v>0</v>
      </c>
      <c r="G40" s="214">
        <f t="shared" si="15"/>
        <v>0</v>
      </c>
      <c r="H40" s="214">
        <f t="shared" si="15"/>
        <v>0</v>
      </c>
      <c r="I40" s="214">
        <f t="shared" si="15"/>
        <v>0</v>
      </c>
      <c r="J40" s="247">
        <f t="shared" si="15"/>
        <v>0</v>
      </c>
      <c r="K40" s="1048"/>
    </row>
    <row r="41" spans="1:18" ht="15" customHeight="1" x14ac:dyDescent="0.35">
      <c r="A41" s="5076" t="str">
        <f t="shared" si="14"/>
        <v>Constructeurs</v>
      </c>
      <c r="B41" s="5077"/>
      <c r="C41" s="5077"/>
      <c r="D41" s="5078"/>
      <c r="E41" s="5078"/>
      <c r="F41" s="1184">
        <f t="shared" si="15"/>
        <v>0</v>
      </c>
      <c r="G41" s="214">
        <f t="shared" si="15"/>
        <v>0</v>
      </c>
      <c r="H41" s="214">
        <f t="shared" si="15"/>
        <v>0</v>
      </c>
      <c r="I41" s="214">
        <f t="shared" si="15"/>
        <v>0</v>
      </c>
      <c r="J41" s="247">
        <f t="shared" si="15"/>
        <v>0</v>
      </c>
      <c r="K41" s="1048"/>
    </row>
    <row r="42" spans="1:18" ht="15" customHeight="1" x14ac:dyDescent="0.35">
      <c r="A42" s="5076" t="str">
        <f t="shared" si="14"/>
        <v>Hébergeurs</v>
      </c>
      <c r="B42" s="5077"/>
      <c r="C42" s="5077"/>
      <c r="D42" s="5078"/>
      <c r="E42" s="5078"/>
      <c r="F42" s="1184">
        <f t="shared" si="15"/>
        <v>0</v>
      </c>
      <c r="G42" s="214">
        <f t="shared" si="15"/>
        <v>0</v>
      </c>
      <c r="H42" s="214">
        <f t="shared" si="15"/>
        <v>0</v>
      </c>
      <c r="I42" s="214">
        <f t="shared" si="15"/>
        <v>0</v>
      </c>
      <c r="J42" s="247">
        <f t="shared" si="15"/>
        <v>0</v>
      </c>
      <c r="K42" s="1048"/>
    </row>
    <row r="43" spans="1:18" ht="15.75" customHeight="1" thickBot="1" x14ac:dyDescent="0.35">
      <c r="A43" s="5079"/>
      <c r="B43" s="5080"/>
      <c r="C43" s="5080"/>
      <c r="D43" s="5080"/>
      <c r="E43" s="5080"/>
      <c r="F43" s="5080"/>
      <c r="G43" s="5080"/>
      <c r="H43" s="5080"/>
      <c r="I43" s="5080"/>
      <c r="J43" s="5080"/>
      <c r="K43" s="5081"/>
    </row>
    <row r="44" spans="1:18" ht="15.5" thickTop="1" thickBot="1" x14ac:dyDescent="0.4">
      <c r="B44" s="5073" t="s">
        <v>1456</v>
      </c>
      <c r="C44" s="5074"/>
      <c r="D44" s="5074"/>
      <c r="E44" s="5075"/>
      <c r="F44" s="1185">
        <f t="shared" ref="F44:K44" si="16">SUM(F35:F43)</f>
        <v>0</v>
      </c>
      <c r="G44" s="222">
        <f t="shared" si="16"/>
        <v>0</v>
      </c>
      <c r="H44" s="222">
        <f t="shared" si="16"/>
        <v>0</v>
      </c>
      <c r="I44" s="222">
        <f t="shared" si="16"/>
        <v>0</v>
      </c>
      <c r="J44" s="248">
        <f t="shared" si="16"/>
        <v>0</v>
      </c>
      <c r="K44" s="1056">
        <f t="shared" si="16"/>
        <v>0</v>
      </c>
    </row>
    <row r="45" spans="1:18" ht="13.5" thickTop="1" x14ac:dyDescent="0.3">
      <c r="K45" s="1057"/>
    </row>
    <row r="47" spans="1:18" s="205" customFormat="1" ht="14.5" x14ac:dyDescent="0.35">
      <c r="F47" s="207"/>
      <c r="G47" s="206"/>
      <c r="H47" s="208"/>
      <c r="I47" s="209"/>
      <c r="J47" s="209"/>
      <c r="K47" s="209"/>
      <c r="L47" s="209"/>
      <c r="M47" s="167"/>
      <c r="N47" s="167"/>
    </row>
    <row r="48" spans="1:18" s="210" customFormat="1" ht="14.5" x14ac:dyDescent="0.35">
      <c r="R48" s="166"/>
    </row>
    <row r="49" spans="1:21" s="166" customFormat="1" ht="15" thickBot="1" x14ac:dyDescent="0.4"/>
    <row r="50" spans="1:21" s="60" customFormat="1" ht="20.25" customHeight="1" thickTop="1" thickBot="1" x14ac:dyDescent="0.4">
      <c r="A50" s="5057" t="s">
        <v>10</v>
      </c>
      <c r="B50" s="5058"/>
      <c r="C50" s="5058"/>
      <c r="D50" s="5058"/>
      <c r="E50" s="5058"/>
      <c r="F50" s="5058"/>
      <c r="G50" s="5058"/>
      <c r="H50" s="5058"/>
      <c r="I50" s="5058"/>
      <c r="J50" s="5058"/>
      <c r="K50" s="5059"/>
      <c r="L50" s="34"/>
      <c r="M50" s="4823" t="s">
        <v>748</v>
      </c>
      <c r="N50" s="4824"/>
      <c r="O50" s="4825"/>
      <c r="P50" s="34"/>
      <c r="Q50" s="64"/>
      <c r="R50" s="64"/>
      <c r="S50" s="64"/>
      <c r="T50" s="64"/>
      <c r="U50" s="64"/>
    </row>
    <row r="51" spans="1:21" s="60" customFormat="1" ht="20.25" customHeight="1" x14ac:dyDescent="0.35">
      <c r="A51" s="5060" t="s">
        <v>1463</v>
      </c>
      <c r="B51" s="5061"/>
      <c r="C51" s="5061"/>
      <c r="D51" s="5061"/>
      <c r="E51" s="5061"/>
      <c r="F51" s="5061"/>
      <c r="G51" s="5061"/>
      <c r="H51" s="5061"/>
      <c r="I51" s="5061"/>
      <c r="J51" s="5061"/>
      <c r="K51" s="5062"/>
      <c r="L51" s="35"/>
      <c r="M51" s="3750" t="s">
        <v>1457</v>
      </c>
      <c r="N51" s="5066"/>
      <c r="O51" s="3752"/>
      <c r="P51" s="35"/>
      <c r="Q51" s="64"/>
      <c r="R51" s="64"/>
      <c r="S51" s="64"/>
      <c r="T51" s="64"/>
      <c r="U51" s="64"/>
    </row>
    <row r="52" spans="1:21" s="60" customFormat="1" ht="20.25" customHeight="1" x14ac:dyDescent="0.35">
      <c r="A52" s="5060"/>
      <c r="B52" s="5061"/>
      <c r="C52" s="5061"/>
      <c r="D52" s="5061"/>
      <c r="E52" s="5061"/>
      <c r="F52" s="5061"/>
      <c r="G52" s="5061"/>
      <c r="H52" s="5061"/>
      <c r="I52" s="5061"/>
      <c r="J52" s="5061"/>
      <c r="K52" s="5062"/>
      <c r="L52" s="35"/>
      <c r="M52" s="3753"/>
      <c r="N52" s="3754"/>
      <c r="O52" s="5067"/>
      <c r="P52" s="35"/>
      <c r="Q52" s="64"/>
      <c r="R52" s="64"/>
      <c r="S52" s="64"/>
      <c r="T52" s="64"/>
      <c r="U52" s="64"/>
    </row>
    <row r="53" spans="1:21" s="60" customFormat="1" ht="20.25" customHeight="1" x14ac:dyDescent="0.35">
      <c r="A53" s="5060"/>
      <c r="B53" s="5061"/>
      <c r="C53" s="5061"/>
      <c r="D53" s="5061"/>
      <c r="E53" s="5061"/>
      <c r="F53" s="5061"/>
      <c r="G53" s="5061"/>
      <c r="H53" s="5061"/>
      <c r="I53" s="5061"/>
      <c r="J53" s="5061"/>
      <c r="K53" s="5062"/>
      <c r="L53" s="35"/>
      <c r="M53" s="3753"/>
      <c r="N53" s="3754"/>
      <c r="O53" s="5067"/>
      <c r="P53" s="35"/>
      <c r="Q53" s="64"/>
      <c r="R53" s="64"/>
      <c r="S53" s="64"/>
      <c r="T53" s="64"/>
      <c r="U53" s="64"/>
    </row>
    <row r="54" spans="1:21" s="60" customFormat="1" ht="20.25" customHeight="1" x14ac:dyDescent="0.35">
      <c r="A54" s="5060"/>
      <c r="B54" s="5061"/>
      <c r="C54" s="5061"/>
      <c r="D54" s="5061"/>
      <c r="E54" s="5061"/>
      <c r="F54" s="5061"/>
      <c r="G54" s="5061"/>
      <c r="H54" s="5061"/>
      <c r="I54" s="5061"/>
      <c r="J54" s="5061"/>
      <c r="K54" s="5062"/>
      <c r="L54" s="35"/>
      <c r="M54" s="3753"/>
      <c r="N54" s="3754"/>
      <c r="O54" s="5067"/>
      <c r="P54" s="35"/>
      <c r="Q54" s="64"/>
      <c r="R54" s="64"/>
      <c r="S54" s="64"/>
      <c r="T54" s="64"/>
      <c r="U54" s="64"/>
    </row>
    <row r="55" spans="1:21" s="60" customFormat="1" ht="20.25" customHeight="1" thickBot="1" x14ac:dyDescent="0.4">
      <c r="A55" s="5063"/>
      <c r="B55" s="5064"/>
      <c r="C55" s="5064"/>
      <c r="D55" s="5064"/>
      <c r="E55" s="5064"/>
      <c r="F55" s="5064"/>
      <c r="G55" s="5064"/>
      <c r="H55" s="5064"/>
      <c r="I55" s="5064"/>
      <c r="J55" s="5064"/>
      <c r="K55" s="5065"/>
      <c r="L55" s="35"/>
      <c r="M55" s="3756"/>
      <c r="N55" s="3757"/>
      <c r="O55" s="3758"/>
      <c r="P55" s="35"/>
      <c r="Q55" s="64"/>
      <c r="R55" s="64"/>
      <c r="S55" s="64"/>
      <c r="T55" s="64"/>
      <c r="U55" s="64"/>
    </row>
    <row r="56" spans="1:21" s="60" customFormat="1" ht="20.25" customHeight="1" thickTop="1" thickBot="1" x14ac:dyDescent="0.4">
      <c r="L56" s="64"/>
      <c r="M56" s="162"/>
      <c r="N56" s="162"/>
      <c r="O56" s="162"/>
      <c r="P56" s="64"/>
      <c r="Q56" s="64"/>
      <c r="R56" s="64"/>
      <c r="S56" s="64"/>
      <c r="T56" s="64"/>
      <c r="U56" s="64"/>
    </row>
    <row r="57" spans="1:21" s="60" customFormat="1" ht="20.25" customHeight="1" thickTop="1" thickBot="1" x14ac:dyDescent="0.4">
      <c r="A57" s="5057" t="s">
        <v>11</v>
      </c>
      <c r="B57" s="5068"/>
      <c r="C57" s="5068"/>
      <c r="D57" s="5068"/>
      <c r="E57" s="5068"/>
      <c r="F57" s="5068"/>
      <c r="G57" s="5068"/>
      <c r="H57" s="5068"/>
      <c r="I57" s="5068"/>
      <c r="J57" s="5068"/>
      <c r="K57" s="5069"/>
      <c r="L57" s="34"/>
      <c r="M57" s="163"/>
      <c r="N57" s="163"/>
      <c r="O57" s="163"/>
      <c r="P57" s="34"/>
      <c r="Q57" s="64"/>
      <c r="R57" s="64"/>
      <c r="S57" s="64"/>
      <c r="T57" s="64"/>
      <c r="U57" s="64"/>
    </row>
    <row r="58" spans="1:21" s="60" customFormat="1" ht="20.25" customHeight="1" thickBot="1" x14ac:dyDescent="0.4">
      <c r="A58" s="5060" t="s">
        <v>1258</v>
      </c>
      <c r="B58" s="5061"/>
      <c r="C58" s="5061"/>
      <c r="D58" s="5061"/>
      <c r="E58" s="5061"/>
      <c r="F58" s="5061"/>
      <c r="G58" s="5061"/>
      <c r="H58" s="5061"/>
      <c r="I58" s="5061"/>
      <c r="J58" s="5061"/>
      <c r="K58" s="5062"/>
      <c r="L58" s="35"/>
      <c r="M58" s="4823" t="s">
        <v>748</v>
      </c>
      <c r="N58" s="4824"/>
      <c r="O58" s="4825"/>
      <c r="P58" s="35"/>
      <c r="Q58" s="64"/>
      <c r="R58" s="64"/>
      <c r="S58" s="64"/>
      <c r="T58" s="64"/>
      <c r="U58" s="64"/>
    </row>
    <row r="59" spans="1:21" s="60" customFormat="1" ht="20.25" customHeight="1" x14ac:dyDescent="0.35">
      <c r="A59" s="5060"/>
      <c r="B59" s="5061"/>
      <c r="C59" s="5061"/>
      <c r="D59" s="5061"/>
      <c r="E59" s="5061"/>
      <c r="F59" s="5061"/>
      <c r="G59" s="5061"/>
      <c r="H59" s="5061"/>
      <c r="I59" s="5061"/>
      <c r="J59" s="5061"/>
      <c r="K59" s="5062"/>
      <c r="L59" s="35"/>
      <c r="M59" s="3750" t="s">
        <v>1260</v>
      </c>
      <c r="N59" s="5066"/>
      <c r="O59" s="3752"/>
      <c r="P59" s="35"/>
      <c r="Q59" s="64"/>
      <c r="R59" s="64"/>
      <c r="S59" s="64"/>
      <c r="T59" s="64"/>
      <c r="U59" s="64"/>
    </row>
    <row r="60" spans="1:21" s="60" customFormat="1" ht="20.25" customHeight="1" x14ac:dyDescent="0.35">
      <c r="A60" s="5060"/>
      <c r="B60" s="5061"/>
      <c r="C60" s="5061"/>
      <c r="D60" s="5061"/>
      <c r="E60" s="5061"/>
      <c r="F60" s="5061"/>
      <c r="G60" s="5061"/>
      <c r="H60" s="5061"/>
      <c r="I60" s="5061"/>
      <c r="J60" s="5061"/>
      <c r="K60" s="5062"/>
      <c r="L60" s="35"/>
      <c r="M60" s="3753"/>
      <c r="N60" s="3754"/>
      <c r="O60" s="5067"/>
      <c r="P60" s="35"/>
      <c r="Q60" s="64"/>
      <c r="R60" s="64"/>
      <c r="S60" s="64"/>
      <c r="T60" s="64"/>
      <c r="U60" s="64"/>
    </row>
    <row r="61" spans="1:21" s="60" customFormat="1" ht="20.25" customHeight="1" x14ac:dyDescent="0.35">
      <c r="A61" s="5060"/>
      <c r="B61" s="5061"/>
      <c r="C61" s="5061"/>
      <c r="D61" s="5061"/>
      <c r="E61" s="5061"/>
      <c r="F61" s="5061"/>
      <c r="G61" s="5061"/>
      <c r="H61" s="5061"/>
      <c r="I61" s="5061"/>
      <c r="J61" s="5061"/>
      <c r="K61" s="5062"/>
      <c r="L61" s="35"/>
      <c r="M61" s="3753"/>
      <c r="N61" s="3754"/>
      <c r="O61" s="5067"/>
      <c r="P61" s="35"/>
      <c r="Q61" s="64"/>
      <c r="R61" s="64"/>
      <c r="S61" s="64"/>
      <c r="T61" s="64"/>
      <c r="U61" s="64"/>
    </row>
    <row r="62" spans="1:21" s="60" customFormat="1" ht="14.5" x14ac:dyDescent="0.35">
      <c r="A62" s="5060"/>
      <c r="B62" s="5061"/>
      <c r="C62" s="5061"/>
      <c r="D62" s="5061"/>
      <c r="E62" s="5061"/>
      <c r="F62" s="5061"/>
      <c r="G62" s="5061"/>
      <c r="H62" s="5061"/>
      <c r="I62" s="5061"/>
      <c r="J62" s="5061"/>
      <c r="K62" s="5062"/>
      <c r="L62" s="35"/>
      <c r="M62" s="3753"/>
      <c r="N62" s="3754"/>
      <c r="O62" s="5067"/>
      <c r="P62" s="35"/>
      <c r="Q62" s="64"/>
      <c r="R62" s="64"/>
      <c r="S62" s="64"/>
      <c r="T62" s="64"/>
      <c r="U62" s="64"/>
    </row>
    <row r="63" spans="1:21" s="60" customFormat="1" ht="15" thickBot="1" x14ac:dyDescent="0.4">
      <c r="A63" s="5063"/>
      <c r="B63" s="5064"/>
      <c r="C63" s="5064"/>
      <c r="D63" s="5064"/>
      <c r="E63" s="5064"/>
      <c r="F63" s="5064"/>
      <c r="G63" s="5064"/>
      <c r="H63" s="5064"/>
      <c r="I63" s="5064"/>
      <c r="J63" s="5064"/>
      <c r="K63" s="5065"/>
      <c r="L63" s="64"/>
      <c r="M63" s="3756"/>
      <c r="N63" s="3757"/>
      <c r="O63" s="3758"/>
      <c r="P63" s="64"/>
      <c r="Q63" s="64"/>
      <c r="R63" s="64"/>
      <c r="S63" s="64"/>
      <c r="T63" s="64"/>
      <c r="U63" s="64"/>
    </row>
    <row r="64" spans="1:21" s="60" customFormat="1" ht="15" thickTop="1" x14ac:dyDescent="0.35"/>
    <row r="71" spans="1:14" x14ac:dyDescent="0.3">
      <c r="A71" s="45"/>
    </row>
    <row r="72" spans="1:14" ht="13.5" thickBot="1" x14ac:dyDescent="0.35">
      <c r="A72" s="50"/>
    </row>
    <row r="73" spans="1:14" ht="18.5" thickBot="1" x14ac:dyDescent="0.45">
      <c r="A73" s="50"/>
      <c r="G73" s="40"/>
      <c r="H73" s="40"/>
      <c r="I73" s="40"/>
      <c r="J73" s="5070" t="s">
        <v>771</v>
      </c>
      <c r="K73" s="5071"/>
      <c r="L73" s="5072"/>
      <c r="M73" s="40"/>
      <c r="N73" s="40"/>
    </row>
    <row r="74" spans="1:14" ht="13.5" thickBot="1" x14ac:dyDescent="0.35">
      <c r="A74" s="176"/>
      <c r="G74" s="184"/>
      <c r="H74" s="185"/>
      <c r="I74" s="185"/>
      <c r="J74" s="185"/>
      <c r="K74" s="185"/>
      <c r="L74" s="185"/>
      <c r="M74" s="185"/>
      <c r="N74" s="186"/>
    </row>
    <row r="75" spans="1:14" ht="13.5" thickBot="1" x14ac:dyDescent="0.35">
      <c r="G75" s="171" t="s">
        <v>779</v>
      </c>
      <c r="H75" s="172"/>
      <c r="I75" s="43"/>
      <c r="J75" s="43"/>
      <c r="K75" s="173">
        <f>F6</f>
        <v>2017</v>
      </c>
      <c r="L75" s="173">
        <f>G6</f>
        <v>2018</v>
      </c>
      <c r="M75" s="173">
        <f>H6</f>
        <v>2019</v>
      </c>
      <c r="N75" s="173">
        <f>I6</f>
        <v>2020</v>
      </c>
    </row>
    <row r="76" spans="1:14" ht="15" thickBot="1" x14ac:dyDescent="0.4">
      <c r="G76" s="44"/>
      <c r="H76" s="43"/>
      <c r="I76" s="43"/>
      <c r="J76" s="43"/>
      <c r="K76" s="249">
        <f>G16</f>
        <v>0</v>
      </c>
      <c r="L76" s="249">
        <f>H16</f>
        <v>0</v>
      </c>
      <c r="M76" s="249">
        <f>I16</f>
        <v>0</v>
      </c>
      <c r="N76" s="249">
        <f>J16</f>
        <v>0</v>
      </c>
    </row>
    <row r="77" spans="1:14" x14ac:dyDescent="0.3">
      <c r="G77" s="44"/>
      <c r="H77" s="43"/>
      <c r="I77" s="43"/>
      <c r="J77" s="43"/>
      <c r="K77" s="174"/>
      <c r="L77" s="174"/>
      <c r="M77" s="174"/>
      <c r="N77" s="175"/>
    </row>
    <row r="78" spans="1:14" x14ac:dyDescent="0.3">
      <c r="G78" s="171" t="s">
        <v>780</v>
      </c>
      <c r="H78" s="172"/>
      <c r="I78" s="43"/>
      <c r="J78" s="43"/>
      <c r="K78" s="43"/>
      <c r="L78" s="43"/>
      <c r="M78" s="43"/>
      <c r="N78" s="46"/>
    </row>
    <row r="79" spans="1:14" x14ac:dyDescent="0.3">
      <c r="G79" s="5055" t="str">
        <f t="shared" ref="G79:G84" si="17">A35</f>
        <v>Ventes directes seules</v>
      </c>
      <c r="H79" s="5056"/>
      <c r="I79" s="43">
        <f t="shared" ref="I79:I84" si="18">C35</f>
        <v>0</v>
      </c>
      <c r="J79" s="250">
        <f t="shared" ref="J79:J84" si="19">D22</f>
        <v>0</v>
      </c>
      <c r="K79" s="43"/>
      <c r="L79" s="43"/>
      <c r="M79" s="43"/>
      <c r="N79" s="46"/>
    </row>
    <row r="80" spans="1:14" x14ac:dyDescent="0.3">
      <c r="G80" s="5055" t="str">
        <f t="shared" si="17"/>
        <v>ESN</v>
      </c>
      <c r="H80" s="5056">
        <f>B36</f>
        <v>0</v>
      </c>
      <c r="I80" s="43">
        <f t="shared" si="18"/>
        <v>0</v>
      </c>
      <c r="J80" s="250">
        <f t="shared" si="19"/>
        <v>50</v>
      </c>
      <c r="K80" s="43"/>
      <c r="L80" s="43"/>
      <c r="M80" s="43"/>
      <c r="N80" s="46"/>
    </row>
    <row r="81" spans="7:14" x14ac:dyDescent="0.3">
      <c r="G81" s="5055" t="str">
        <f t="shared" si="17"/>
        <v>Centres de contact</v>
      </c>
      <c r="H81" s="5056">
        <f>B37</f>
        <v>0</v>
      </c>
      <c r="I81" s="43">
        <f t="shared" si="18"/>
        <v>0</v>
      </c>
      <c r="J81" s="250">
        <f t="shared" si="19"/>
        <v>40</v>
      </c>
      <c r="K81" s="43"/>
      <c r="L81" s="43"/>
      <c r="M81" s="43"/>
      <c r="N81" s="46"/>
    </row>
    <row r="82" spans="7:14" x14ac:dyDescent="0.3">
      <c r="G82" s="5055" t="str">
        <f t="shared" si="17"/>
        <v>Vars Nationaux</v>
      </c>
      <c r="H82" s="5056">
        <f>B38</f>
        <v>0</v>
      </c>
      <c r="I82" s="43">
        <f t="shared" si="18"/>
        <v>0</v>
      </c>
      <c r="J82" s="250">
        <f t="shared" si="19"/>
        <v>30</v>
      </c>
      <c r="K82" s="178"/>
      <c r="L82" s="43"/>
      <c r="M82" s="43"/>
      <c r="N82" s="46"/>
    </row>
    <row r="83" spans="7:14" x14ac:dyDescent="0.3">
      <c r="G83" s="5055" t="str">
        <f t="shared" si="17"/>
        <v>Editeurs</v>
      </c>
      <c r="H83" s="5056">
        <f>B39</f>
        <v>0</v>
      </c>
      <c r="I83" s="43">
        <f t="shared" si="18"/>
        <v>0</v>
      </c>
      <c r="J83" s="250">
        <f t="shared" si="19"/>
        <v>20</v>
      </c>
      <c r="K83" s="178"/>
      <c r="L83" s="43"/>
      <c r="M83" s="43"/>
      <c r="N83" s="46"/>
    </row>
    <row r="84" spans="7:14" x14ac:dyDescent="0.3">
      <c r="G84" s="5055" t="str">
        <f t="shared" si="17"/>
        <v>Web Agencies</v>
      </c>
      <c r="H84" s="5056">
        <f>B40</f>
        <v>0</v>
      </c>
      <c r="I84" s="43">
        <f t="shared" si="18"/>
        <v>0</v>
      </c>
      <c r="J84" s="250">
        <f t="shared" si="19"/>
        <v>10</v>
      </c>
      <c r="K84" s="43"/>
      <c r="L84" s="43"/>
      <c r="M84" s="43"/>
      <c r="N84" s="46"/>
    </row>
    <row r="85" spans="7:14" x14ac:dyDescent="0.3">
      <c r="G85" s="44"/>
      <c r="H85" s="43"/>
      <c r="I85" s="43"/>
      <c r="J85" s="43"/>
      <c r="K85" s="174"/>
      <c r="L85" s="174"/>
      <c r="M85" s="174"/>
      <c r="N85" s="175"/>
    </row>
    <row r="86" spans="7:14" x14ac:dyDescent="0.3">
      <c r="G86" s="171" t="s">
        <v>855</v>
      </c>
      <c r="H86" s="172"/>
      <c r="I86" s="43"/>
      <c r="J86" s="43"/>
      <c r="K86" s="43"/>
      <c r="L86" s="43"/>
      <c r="M86" s="43"/>
      <c r="N86" s="46"/>
    </row>
    <row r="87" spans="7:14" x14ac:dyDescent="0.3">
      <c r="G87" s="5055" t="str">
        <f t="shared" ref="G87:G92" si="20">A35</f>
        <v>Ventes directes seules</v>
      </c>
      <c r="H87" s="5056" t="e">
        <f>#REF!</f>
        <v>#REF!</v>
      </c>
      <c r="I87" s="43"/>
      <c r="J87" s="251">
        <f t="shared" ref="J87:K91" si="21">D35</f>
        <v>0</v>
      </c>
      <c r="K87" s="43">
        <f t="shared" si="21"/>
        <v>0</v>
      </c>
      <c r="L87" s="43"/>
      <c r="M87" s="43"/>
      <c r="N87" s="46"/>
    </row>
    <row r="88" spans="7:14" x14ac:dyDescent="0.3">
      <c r="G88" s="5055" t="str">
        <f t="shared" si="20"/>
        <v>ESN</v>
      </c>
      <c r="H88" s="5056" t="e">
        <f>#REF!</f>
        <v>#REF!</v>
      </c>
      <c r="I88" s="43"/>
      <c r="J88" s="251">
        <f t="shared" si="21"/>
        <v>2</v>
      </c>
      <c r="K88" s="43">
        <f t="shared" si="21"/>
        <v>0</v>
      </c>
      <c r="L88" s="43"/>
      <c r="M88" s="43"/>
      <c r="N88" s="46"/>
    </row>
    <row r="89" spans="7:14" x14ac:dyDescent="0.3">
      <c r="G89" s="5055" t="str">
        <f t="shared" si="20"/>
        <v>Centres de contact</v>
      </c>
      <c r="H89" s="5056">
        <f>B43</f>
        <v>0</v>
      </c>
      <c r="I89" s="43">
        <f>C43</f>
        <v>0</v>
      </c>
      <c r="J89" s="251">
        <f t="shared" si="21"/>
        <v>4</v>
      </c>
      <c r="K89" s="43">
        <f t="shared" si="21"/>
        <v>0</v>
      </c>
      <c r="L89" s="43"/>
      <c r="M89" s="43"/>
      <c r="N89" s="46"/>
    </row>
    <row r="90" spans="7:14" x14ac:dyDescent="0.3">
      <c r="G90" s="5055" t="str">
        <f t="shared" si="20"/>
        <v>Vars Nationaux</v>
      </c>
      <c r="H90" s="5056"/>
      <c r="I90" s="43">
        <f>C44</f>
        <v>0</v>
      </c>
      <c r="J90" s="251">
        <f t="shared" si="21"/>
        <v>3</v>
      </c>
      <c r="K90" s="178">
        <f t="shared" si="21"/>
        <v>0</v>
      </c>
      <c r="L90" s="43"/>
      <c r="M90" s="43"/>
      <c r="N90" s="46"/>
    </row>
    <row r="91" spans="7:14" x14ac:dyDescent="0.3">
      <c r="G91" s="5055" t="str">
        <f t="shared" si="20"/>
        <v>Editeurs</v>
      </c>
      <c r="H91" s="5056">
        <f>B45</f>
        <v>0</v>
      </c>
      <c r="I91" s="43">
        <f>C45</f>
        <v>0</v>
      </c>
      <c r="J91" s="251">
        <f t="shared" si="21"/>
        <v>2</v>
      </c>
      <c r="K91" s="178">
        <f t="shared" si="21"/>
        <v>0</v>
      </c>
      <c r="L91" s="43"/>
      <c r="M91" s="43"/>
      <c r="N91" s="46"/>
    </row>
    <row r="92" spans="7:14" x14ac:dyDescent="0.3">
      <c r="G92" s="5055" t="str">
        <f t="shared" si="20"/>
        <v>Web Agencies</v>
      </c>
      <c r="H92" s="5056">
        <f>B46</f>
        <v>0</v>
      </c>
      <c r="I92" s="43">
        <f>C46</f>
        <v>0</v>
      </c>
      <c r="J92" s="251">
        <f>D40</f>
        <v>1</v>
      </c>
      <c r="K92" s="178"/>
      <c r="L92" s="43"/>
      <c r="M92" s="43"/>
      <c r="N92" s="46"/>
    </row>
    <row r="93" spans="7:14" x14ac:dyDescent="0.3">
      <c r="G93" s="270"/>
      <c r="H93" s="271"/>
      <c r="I93" s="43"/>
      <c r="J93" s="251"/>
      <c r="K93" s="178"/>
      <c r="L93" s="43"/>
      <c r="M93" s="43"/>
      <c r="N93" s="46"/>
    </row>
    <row r="94" spans="7:14" ht="13.5" thickBot="1" x14ac:dyDescent="0.35">
      <c r="G94" s="171" t="s">
        <v>781</v>
      </c>
      <c r="H94" s="172"/>
      <c r="I94" s="43"/>
      <c r="J94" s="43"/>
      <c r="K94" s="43"/>
      <c r="L94" s="43"/>
      <c r="M94" s="43"/>
      <c r="N94" s="46"/>
    </row>
    <row r="95" spans="7:14" ht="13.5" thickBot="1" x14ac:dyDescent="0.35">
      <c r="G95" s="44"/>
      <c r="H95" s="43"/>
      <c r="I95" s="43"/>
      <c r="J95" s="43"/>
      <c r="K95" s="173">
        <f>K75</f>
        <v>2017</v>
      </c>
      <c r="L95" s="173">
        <f>L75</f>
        <v>2018</v>
      </c>
      <c r="M95" s="173">
        <f>M75</f>
        <v>2019</v>
      </c>
      <c r="N95" s="173">
        <f>N75</f>
        <v>2020</v>
      </c>
    </row>
    <row r="96" spans="7:14" ht="15" thickTop="1" x14ac:dyDescent="0.35">
      <c r="G96" s="177" t="s">
        <v>782</v>
      </c>
      <c r="H96" s="43"/>
      <c r="I96" s="43"/>
      <c r="J96" s="43"/>
      <c r="K96" s="187">
        <f>G44</f>
        <v>0</v>
      </c>
      <c r="L96" s="187">
        <f>H44</f>
        <v>0</v>
      </c>
      <c r="M96" s="187">
        <f>I44</f>
        <v>0</v>
      </c>
      <c r="N96" s="187">
        <f>J44</f>
        <v>0</v>
      </c>
    </row>
    <row r="97" spans="7:14" x14ac:dyDescent="0.3">
      <c r="G97" s="179" t="s">
        <v>856</v>
      </c>
      <c r="H97" s="43"/>
      <c r="I97" s="43"/>
      <c r="J97" s="43"/>
      <c r="K97" s="252">
        <v>0.5</v>
      </c>
      <c r="L97" s="252">
        <v>0.4</v>
      </c>
      <c r="M97" s="252">
        <v>0.3</v>
      </c>
      <c r="N97" s="252">
        <v>0.2</v>
      </c>
    </row>
    <row r="98" spans="7:14" x14ac:dyDescent="0.3">
      <c r="G98" s="177" t="s">
        <v>1524</v>
      </c>
      <c r="H98" s="43"/>
      <c r="I98" s="43"/>
      <c r="J98" s="43"/>
      <c r="K98" s="1186">
        <f>K96/(100%-K97)</f>
        <v>0</v>
      </c>
      <c r="L98" s="1186">
        <f>L96/(100%-L97)</f>
        <v>0</v>
      </c>
      <c r="M98" s="1186">
        <f>M96/(100%-M97)</f>
        <v>0</v>
      </c>
      <c r="N98" s="1186">
        <f>N96/(100%-N97)</f>
        <v>0</v>
      </c>
    </row>
    <row r="99" spans="7:14" ht="13.5" thickBot="1" x14ac:dyDescent="0.35">
      <c r="G99" s="44"/>
      <c r="H99" s="43"/>
      <c r="I99" s="43"/>
      <c r="J99" s="43"/>
      <c r="K99" s="180"/>
      <c r="L99" s="180"/>
      <c r="M99" s="180"/>
      <c r="N99" s="188"/>
    </row>
    <row r="100" spans="7:14" x14ac:dyDescent="0.3">
      <c r="G100" s="44"/>
      <c r="H100" s="43"/>
      <c r="I100" s="43"/>
      <c r="J100" s="43"/>
      <c r="K100" s="43"/>
      <c r="L100" s="43"/>
      <c r="M100" s="43"/>
      <c r="N100" s="46"/>
    </row>
    <row r="101" spans="7:14" x14ac:dyDescent="0.3">
      <c r="G101" s="44"/>
      <c r="H101" s="43"/>
      <c r="I101" s="43"/>
      <c r="J101" s="43"/>
      <c r="K101" s="43"/>
      <c r="L101" s="43"/>
      <c r="M101" s="43"/>
      <c r="N101" s="46"/>
    </row>
    <row r="102" spans="7:14" x14ac:dyDescent="0.3">
      <c r="G102" s="44"/>
      <c r="H102" s="43"/>
      <c r="I102" s="43"/>
      <c r="J102" s="43"/>
      <c r="K102" s="43"/>
      <c r="L102" s="43"/>
      <c r="M102" s="43"/>
      <c r="N102" s="46"/>
    </row>
    <row r="103" spans="7:14" ht="13.5" thickBot="1" x14ac:dyDescent="0.35">
      <c r="G103" s="181"/>
      <c r="H103" s="182"/>
      <c r="I103" s="182"/>
      <c r="J103" s="182"/>
      <c r="K103" s="182"/>
      <c r="L103" s="182"/>
      <c r="M103" s="182"/>
      <c r="N103" s="183"/>
    </row>
    <row r="104" spans="7:14" x14ac:dyDescent="0.3">
      <c r="G104" s="40"/>
      <c r="H104" s="40"/>
      <c r="I104" s="40"/>
      <c r="J104" s="40"/>
      <c r="K104" s="40"/>
      <c r="L104" s="40"/>
      <c r="M104" s="40"/>
      <c r="N104" s="40"/>
    </row>
  </sheetData>
  <mergeCells count="94">
    <mergeCell ref="G92:H92"/>
    <mergeCell ref="D31:E31"/>
    <mergeCell ref="G87:H87"/>
    <mergeCell ref="G88:H88"/>
    <mergeCell ref="G89:H89"/>
    <mergeCell ref="G90:H90"/>
    <mergeCell ref="G91:H91"/>
    <mergeCell ref="G79:H79"/>
    <mergeCell ref="G80:H80"/>
    <mergeCell ref="G81:H81"/>
    <mergeCell ref="G82:H82"/>
    <mergeCell ref="G83:H83"/>
    <mergeCell ref="G84:H84"/>
    <mergeCell ref="A57:K57"/>
    <mergeCell ref="A58:K63"/>
    <mergeCell ref="J73:L73"/>
    <mergeCell ref="A50:K50"/>
    <mergeCell ref="B44:E44"/>
    <mergeCell ref="A35:C35"/>
    <mergeCell ref="D35:E35"/>
    <mergeCell ref="A36:C36"/>
    <mergeCell ref="D36:E36"/>
    <mergeCell ref="A37:C37"/>
    <mergeCell ref="D37:E37"/>
    <mergeCell ref="A38:C38"/>
    <mergeCell ref="D38:E38"/>
    <mergeCell ref="A42:C42"/>
    <mergeCell ref="D42:E42"/>
    <mergeCell ref="A41:C41"/>
    <mergeCell ref="D41:E41"/>
    <mergeCell ref="A40:C40"/>
    <mergeCell ref="M58:O58"/>
    <mergeCell ref="M59:O63"/>
    <mergeCell ref="A43:K43"/>
    <mergeCell ref="A11:C11"/>
    <mergeCell ref="D11:E11"/>
    <mergeCell ref="M50:O50"/>
    <mergeCell ref="A51:K55"/>
    <mergeCell ref="M51:O55"/>
    <mergeCell ref="D40:E40"/>
    <mergeCell ref="A39:C39"/>
    <mergeCell ref="D39:E39"/>
    <mergeCell ref="A29:C29"/>
    <mergeCell ref="D29:E29"/>
    <mergeCell ref="A34:C34"/>
    <mergeCell ref="D34:E34"/>
    <mergeCell ref="A28:C28"/>
    <mergeCell ref="D28:E28"/>
    <mergeCell ref="A30:K30"/>
    <mergeCell ref="A14:C14"/>
    <mergeCell ref="D14:E14"/>
    <mergeCell ref="A13:C13"/>
    <mergeCell ref="D13:E13"/>
    <mergeCell ref="A21:C21"/>
    <mergeCell ref="D21:E21"/>
    <mergeCell ref="A15:K15"/>
    <mergeCell ref="A12:C12"/>
    <mergeCell ref="D12:E12"/>
    <mergeCell ref="A27:C27"/>
    <mergeCell ref="D27:E27"/>
    <mergeCell ref="A26:C26"/>
    <mergeCell ref="D26:E26"/>
    <mergeCell ref="A24:C24"/>
    <mergeCell ref="D24:E24"/>
    <mergeCell ref="A25:C25"/>
    <mergeCell ref="D25:E25"/>
    <mergeCell ref="A22:C22"/>
    <mergeCell ref="D22:E22"/>
    <mergeCell ref="A23:C23"/>
    <mergeCell ref="D23:E23"/>
    <mergeCell ref="C16:E16"/>
    <mergeCell ref="C17:E17"/>
    <mergeCell ref="I1:J1"/>
    <mergeCell ref="A7:C7"/>
    <mergeCell ref="D7:E7"/>
    <mergeCell ref="A8:C8"/>
    <mergeCell ref="D8:E8"/>
    <mergeCell ref="D3:G3"/>
    <mergeCell ref="A10:C10"/>
    <mergeCell ref="D10:E10"/>
    <mergeCell ref="M15:R15"/>
    <mergeCell ref="L1:M1"/>
    <mergeCell ref="D2:G2"/>
    <mergeCell ref="I2:J2"/>
    <mergeCell ref="L2:M2"/>
    <mergeCell ref="A9:C9"/>
    <mergeCell ref="D9:E9"/>
    <mergeCell ref="A4:G4"/>
    <mergeCell ref="H4:P4"/>
    <mergeCell ref="A5:B5"/>
    <mergeCell ref="C5:P5"/>
    <mergeCell ref="A6:C6"/>
    <mergeCell ref="D6:E6"/>
    <mergeCell ref="D1:G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200-000000000000}">
      <formula1>AvancementTheme</formula1>
    </dataValidation>
  </dataValidations>
  <hyperlinks>
    <hyperlink ref="O1" location="DPDV_02DL2" display="PdV" xr:uid="{00000000-0004-0000-4200-000000000000}"/>
    <hyperlink ref="P1" location="DKPI_02DL2" display="KPI's" xr:uid="{00000000-0004-0000-4200-000001000000}"/>
  </hyperlinks>
  <pageMargins left="0.70866141732283472" right="0.70866141732283472" top="0.74803149606299213" bottom="0.74803149606299213" header="0.31496062992125984" footer="0.31496062992125984"/>
  <pageSetup paperSize="9" scale="42" orientation="portrait" r:id="rId1"/>
  <headerFooter>
    <oddHeader>&amp;LPAD Methodology (c) 2013-2014&amp;RStrategic Management Workshop</oddHeader>
    <oddFooter>&amp;L&amp;F&amp;C&amp;A&amp;RSituation au : &amp;D - page : &amp;P/&amp;N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92D050"/>
    <pageSetUpPr fitToPage="1"/>
  </sheetPr>
  <dimension ref="A1:P105"/>
  <sheetViews>
    <sheetView showGridLines="0" showZeros="0" zoomScaleNormal="100" workbookViewId="0">
      <pane ySplit="4" topLeftCell="A11" activePane="bottomLeft" state="frozen"/>
      <selection activeCell="H7" sqref="H7"/>
      <selection pane="bottomLeft"/>
    </sheetView>
  </sheetViews>
  <sheetFormatPr baseColWidth="10" defaultColWidth="11.453125" defaultRowHeight="14.5" x14ac:dyDescent="0.35"/>
  <cols>
    <col min="1" max="7" width="11.453125" style="60"/>
    <col min="8" max="8" width="12.81640625" style="60" customWidth="1"/>
    <col min="9" max="11" width="11.453125" style="60"/>
    <col min="12" max="12" width="12.81640625" style="60" customWidth="1"/>
    <col min="13" max="14" width="11.453125" style="60"/>
    <col min="15" max="15" width="11.453125" style="60" customWidth="1"/>
    <col min="16" max="16384" width="11.453125" style="60"/>
  </cols>
  <sheetData>
    <row r="1" spans="1:16" s="54" customFormat="1" ht="15" customHeight="1" x14ac:dyDescent="0.35">
      <c r="A1" s="389"/>
      <c r="B1" s="389"/>
      <c r="C1" s="389"/>
      <c r="D1" s="3341" t="s">
        <v>5</v>
      </c>
      <c r="E1" s="3341"/>
      <c r="F1" s="3341"/>
      <c r="G1" s="3341"/>
      <c r="H1" s="391"/>
      <c r="I1" s="3341" t="s">
        <v>6</v>
      </c>
      <c r="J1" s="3341"/>
      <c r="K1" s="389"/>
      <c r="L1" s="3341" t="s">
        <v>9</v>
      </c>
      <c r="M1" s="3341"/>
      <c r="N1" s="389"/>
      <c r="O1" s="2304"/>
      <c r="P1" s="2304"/>
    </row>
    <row r="2" spans="1:16" s="58" customFormat="1" ht="18" customHeight="1" x14ac:dyDescent="0.35">
      <c r="A2" s="393"/>
      <c r="B2" s="393"/>
      <c r="C2" s="393"/>
      <c r="D2" s="3342" t="str">
        <f>NomClient</f>
        <v xml:space="preserve">EQUINIX </v>
      </c>
      <c r="E2" s="3343"/>
      <c r="F2" s="3343"/>
      <c r="G2" s="3344"/>
      <c r="H2" s="393"/>
      <c r="I2" s="3345" t="s">
        <v>410</v>
      </c>
      <c r="J2" s="3346"/>
      <c r="K2" s="393"/>
      <c r="L2" s="3347">
        <v>42971.837592592594</v>
      </c>
      <c r="M2" s="3348"/>
      <c r="N2" s="394"/>
      <c r="O2" s="395"/>
      <c r="P2" s="395"/>
    </row>
    <row r="3" spans="1:16" ht="13.5" customHeight="1" thickBot="1" x14ac:dyDescent="0.4">
      <c r="A3" s="396"/>
      <c r="B3" s="396"/>
      <c r="C3" s="396"/>
      <c r="D3" s="3470" t="s">
        <v>1792</v>
      </c>
      <c r="E3" s="3470"/>
      <c r="F3" s="3470"/>
      <c r="G3" s="3470"/>
      <c r="H3" s="396"/>
      <c r="I3" s="396"/>
      <c r="J3" s="396"/>
      <c r="K3" s="396"/>
      <c r="L3" s="396"/>
      <c r="M3" s="396"/>
      <c r="N3" s="396"/>
      <c r="O3" s="396"/>
      <c r="P3" s="396"/>
    </row>
    <row r="4" spans="1:16" s="1" customFormat="1" ht="24.75" customHeight="1" thickBot="1" x14ac:dyDescent="0.4">
      <c r="A4" s="453"/>
      <c r="B4" s="3432" t="s">
        <v>2284</v>
      </c>
      <c r="C4" s="3432"/>
      <c r="D4" s="3432"/>
      <c r="E4" s="3432"/>
      <c r="F4" s="3432"/>
      <c r="G4" s="3432"/>
      <c r="H4" s="3432"/>
      <c r="I4" s="3432"/>
      <c r="J4" s="3432"/>
      <c r="K4" s="3432"/>
      <c r="L4" s="3432"/>
      <c r="M4" s="3432"/>
      <c r="N4" s="2619"/>
      <c r="O4" s="2620"/>
      <c r="P4" s="2620"/>
    </row>
    <row r="5" spans="1:16" s="193" customFormat="1" ht="24" customHeight="1" x14ac:dyDescent="0.35">
      <c r="A5" s="3438" t="s">
        <v>14</v>
      </c>
      <c r="B5" s="3438"/>
      <c r="C5" s="3439" t="s">
        <v>2867</v>
      </c>
      <c r="D5" s="3439"/>
      <c r="E5" s="3439"/>
      <c r="F5" s="3439"/>
      <c r="G5" s="3439"/>
      <c r="H5" s="3439"/>
      <c r="I5" s="3439"/>
      <c r="J5" s="3439"/>
      <c r="K5" s="3439"/>
      <c r="L5" s="3439"/>
      <c r="M5" s="3439"/>
      <c r="N5" s="3439"/>
      <c r="O5" s="3439"/>
      <c r="P5" s="3439"/>
    </row>
    <row r="6" spans="1:16" s="193" customFormat="1" ht="16.5" customHeight="1" x14ac:dyDescent="0.35">
      <c r="A6" s="454"/>
      <c r="B6" s="454"/>
      <c r="C6" s="455" t="s">
        <v>2868</v>
      </c>
      <c r="D6" s="455"/>
      <c r="E6" s="455"/>
      <c r="F6" s="455"/>
      <c r="G6" s="455"/>
      <c r="H6" s="455"/>
      <c r="I6" s="455"/>
      <c r="J6" s="455"/>
      <c r="K6" s="455"/>
      <c r="L6" s="455"/>
      <c r="M6" s="455"/>
      <c r="N6" s="455"/>
      <c r="O6" s="455"/>
      <c r="P6" s="455"/>
    </row>
    <row r="7" spans="1:16" s="25" customFormat="1" ht="15" customHeight="1" thickBot="1" x14ac:dyDescent="0.4">
      <c r="A7" s="456"/>
      <c r="B7" s="456"/>
      <c r="C7" s="457"/>
      <c r="D7" s="457"/>
      <c r="E7" s="457"/>
      <c r="F7" s="457"/>
      <c r="G7" s="457"/>
      <c r="H7" s="457"/>
      <c r="I7" s="457"/>
      <c r="J7" s="457"/>
      <c r="K7" s="457"/>
      <c r="L7" s="457"/>
      <c r="M7" s="457"/>
      <c r="N7" s="457"/>
      <c r="O7" s="457"/>
      <c r="P7" s="457"/>
    </row>
    <row r="8" spans="1:16" ht="19" thickTop="1" x14ac:dyDescent="0.35">
      <c r="B8" s="3403" t="s">
        <v>2699</v>
      </c>
      <c r="C8" s="3404"/>
      <c r="D8" s="3404"/>
      <c r="E8" s="3404"/>
      <c r="F8" s="3404"/>
      <c r="G8" s="3404"/>
      <c r="H8" s="3404"/>
      <c r="I8" s="3404"/>
      <c r="J8" s="3404"/>
      <c r="K8" s="3404"/>
      <c r="L8" s="3404"/>
      <c r="M8" s="3405"/>
    </row>
    <row r="9" spans="1:16" x14ac:dyDescent="0.35">
      <c r="B9" s="3406"/>
      <c r="C9" s="3407"/>
      <c r="D9" s="3407"/>
      <c r="E9" s="3407"/>
      <c r="F9" s="3407"/>
      <c r="G9" s="3407"/>
      <c r="H9" s="3407"/>
      <c r="I9" s="3407"/>
      <c r="J9" s="3407"/>
      <c r="K9" s="3407"/>
      <c r="L9" s="3407"/>
      <c r="M9" s="3408"/>
    </row>
    <row r="10" spans="1:16" x14ac:dyDescent="0.35">
      <c r="B10" s="3406"/>
      <c r="C10" s="3407"/>
      <c r="D10" s="3407"/>
      <c r="E10" s="3407"/>
      <c r="F10" s="3407"/>
      <c r="G10" s="3407"/>
      <c r="H10" s="3407"/>
      <c r="I10" s="3407"/>
      <c r="J10" s="3407"/>
      <c r="K10" s="3407"/>
      <c r="L10" s="3407"/>
      <c r="M10" s="3408"/>
    </row>
    <row r="11" spans="1:16" x14ac:dyDescent="0.35">
      <c r="B11" s="3406"/>
      <c r="C11" s="3407"/>
      <c r="D11" s="3407"/>
      <c r="E11" s="3407"/>
      <c r="F11" s="3407"/>
      <c r="G11" s="3407"/>
      <c r="H11" s="3407"/>
      <c r="I11" s="3407"/>
      <c r="J11" s="3407"/>
      <c r="K11" s="3407"/>
      <c r="L11" s="3407"/>
      <c r="M11" s="3408"/>
    </row>
    <row r="12" spans="1:16" x14ac:dyDescent="0.35">
      <c r="B12" s="3406"/>
      <c r="C12" s="3407"/>
      <c r="D12" s="3407"/>
      <c r="E12" s="3407"/>
      <c r="F12" s="3407"/>
      <c r="G12" s="3407"/>
      <c r="H12" s="3407"/>
      <c r="I12" s="3407"/>
      <c r="J12" s="3407"/>
      <c r="K12" s="3407"/>
      <c r="L12" s="3407"/>
      <c r="M12" s="3408"/>
    </row>
    <row r="13" spans="1:16" x14ac:dyDescent="0.35">
      <c r="B13" s="3406"/>
      <c r="C13" s="3407"/>
      <c r="D13" s="3407"/>
      <c r="E13" s="3407"/>
      <c r="F13" s="3407"/>
      <c r="G13" s="3407"/>
      <c r="H13" s="3407"/>
      <c r="I13" s="3407"/>
      <c r="J13" s="3407"/>
      <c r="K13" s="3407"/>
      <c r="L13" s="3407"/>
      <c r="M13" s="3408"/>
    </row>
    <row r="14" spans="1:16" ht="15" thickBot="1" x14ac:dyDescent="0.4">
      <c r="B14" s="3406"/>
      <c r="C14" s="3407"/>
      <c r="D14" s="3407"/>
      <c r="E14" s="3407"/>
      <c r="F14" s="3407"/>
      <c r="G14" s="3407"/>
      <c r="H14" s="3407"/>
      <c r="I14" s="3407"/>
      <c r="J14" s="3407"/>
      <c r="K14" s="3407"/>
      <c r="L14" s="3407"/>
      <c r="M14" s="3408"/>
    </row>
    <row r="15" spans="1:16" ht="19" thickTop="1" x14ac:dyDescent="0.35">
      <c r="B15" s="3441" t="s">
        <v>2828</v>
      </c>
      <c r="C15" s="3442"/>
      <c r="D15" s="3442"/>
      <c r="E15" s="3442"/>
      <c r="F15" s="3442"/>
      <c r="G15" s="3443"/>
      <c r="H15" s="3444" t="s">
        <v>2829</v>
      </c>
      <c r="I15" s="3445"/>
      <c r="J15" s="3445"/>
      <c r="K15" s="3445"/>
      <c r="L15" s="3445"/>
      <c r="M15" s="3446"/>
    </row>
    <row r="16" spans="1:16" x14ac:dyDescent="0.35">
      <c r="B16" s="3413"/>
      <c r="C16" s="3414"/>
      <c r="D16" s="3414"/>
      <c r="E16" s="3414"/>
      <c r="F16" s="3414"/>
      <c r="G16" s="3415"/>
      <c r="H16" s="3413"/>
      <c r="I16" s="3414"/>
      <c r="J16" s="3414"/>
      <c r="K16" s="3414"/>
      <c r="L16" s="3414"/>
      <c r="M16" s="3416"/>
    </row>
    <row r="17" spans="2:13" ht="17.25" customHeight="1" x14ac:dyDescent="0.35">
      <c r="B17" s="3409"/>
      <c r="C17" s="3410"/>
      <c r="D17" s="3410"/>
      <c r="E17" s="3410"/>
      <c r="F17" s="3410"/>
      <c r="G17" s="3411"/>
      <c r="H17" s="3409"/>
      <c r="I17" s="3410"/>
      <c r="J17" s="3410"/>
      <c r="K17" s="3410"/>
      <c r="L17" s="3410"/>
      <c r="M17" s="3412"/>
    </row>
    <row r="18" spans="2:13" x14ac:dyDescent="0.35">
      <c r="B18" s="3413"/>
      <c r="C18" s="3414"/>
      <c r="D18" s="3414"/>
      <c r="E18" s="3414"/>
      <c r="F18" s="3414"/>
      <c r="G18" s="3415"/>
      <c r="H18" s="3413"/>
      <c r="I18" s="3414"/>
      <c r="J18" s="3414"/>
      <c r="K18" s="3414"/>
      <c r="L18" s="3414"/>
      <c r="M18" s="3416"/>
    </row>
    <row r="19" spans="2:13" x14ac:dyDescent="0.35">
      <c r="B19" s="3413"/>
      <c r="C19" s="3414"/>
      <c r="D19" s="3414"/>
      <c r="E19" s="3414"/>
      <c r="F19" s="3414"/>
      <c r="G19" s="3415"/>
      <c r="H19" s="3413"/>
      <c r="I19" s="3414"/>
      <c r="J19" s="3414"/>
      <c r="K19" s="3414"/>
      <c r="L19" s="3414"/>
      <c r="M19" s="3416"/>
    </row>
    <row r="20" spans="2:13" ht="17.25" customHeight="1" x14ac:dyDescent="0.35">
      <c r="B20" s="3409"/>
      <c r="C20" s="3410"/>
      <c r="D20" s="3410"/>
      <c r="E20" s="3410"/>
      <c r="F20" s="3410"/>
      <c r="G20" s="3411"/>
      <c r="H20" s="3409"/>
      <c r="I20" s="3410"/>
      <c r="J20" s="3410"/>
      <c r="K20" s="3410"/>
      <c r="L20" s="3410"/>
      <c r="M20" s="3412"/>
    </row>
    <row r="21" spans="2:13" x14ac:dyDescent="0.35">
      <c r="B21" s="3413"/>
      <c r="C21" s="3414"/>
      <c r="D21" s="3414"/>
      <c r="E21" s="3414"/>
      <c r="F21" s="3414"/>
      <c r="G21" s="3415"/>
      <c r="H21" s="3413"/>
      <c r="I21" s="3414"/>
      <c r="J21" s="3414"/>
      <c r="K21" s="3414"/>
      <c r="L21" s="3414"/>
      <c r="M21" s="3416"/>
    </row>
    <row r="22" spans="2:13" x14ac:dyDescent="0.35">
      <c r="B22" s="3413"/>
      <c r="C22" s="3414"/>
      <c r="D22" s="3414"/>
      <c r="E22" s="3414"/>
      <c r="F22" s="3414"/>
      <c r="G22" s="3415"/>
      <c r="H22" s="3413"/>
      <c r="I22" s="3414"/>
      <c r="J22" s="3414"/>
      <c r="K22" s="3414"/>
      <c r="L22" s="3414"/>
      <c r="M22" s="3416"/>
    </row>
    <row r="23" spans="2:13" x14ac:dyDescent="0.35">
      <c r="B23" s="3413"/>
      <c r="C23" s="3414"/>
      <c r="D23" s="3414"/>
      <c r="E23" s="3414"/>
      <c r="F23" s="3414"/>
      <c r="G23" s="3415"/>
      <c r="H23" s="3413"/>
      <c r="I23" s="3414"/>
      <c r="J23" s="3414"/>
      <c r="K23" s="3414"/>
      <c r="L23" s="3414"/>
      <c r="M23" s="3416"/>
    </row>
    <row r="24" spans="2:13" ht="15" thickBot="1" x14ac:dyDescent="0.4">
      <c r="B24" s="3400"/>
      <c r="C24" s="3401"/>
      <c r="D24" s="3401"/>
      <c r="E24" s="3401"/>
      <c r="F24" s="3401"/>
      <c r="G24" s="3402"/>
      <c r="H24" s="3400"/>
      <c r="I24" s="3401"/>
      <c r="J24" s="3401"/>
      <c r="K24" s="3401"/>
      <c r="L24" s="3401"/>
      <c r="M24" s="3440"/>
    </row>
    <row r="25" spans="2:13" ht="19" thickTop="1" x14ac:dyDescent="0.35">
      <c r="B25" s="3433" t="s">
        <v>2287</v>
      </c>
      <c r="C25" s="3434"/>
      <c r="D25" s="3434"/>
      <c r="E25" s="3434"/>
      <c r="F25" s="3434"/>
      <c r="G25" s="3435"/>
      <c r="H25" s="3436" t="s">
        <v>2769</v>
      </c>
      <c r="I25" s="3434"/>
      <c r="J25" s="3434"/>
      <c r="K25" s="3434"/>
      <c r="L25" s="3434"/>
      <c r="M25" s="3437"/>
    </row>
    <row r="26" spans="2:13" x14ac:dyDescent="0.35">
      <c r="B26" s="3429" t="s">
        <v>2830</v>
      </c>
      <c r="C26" s="3414"/>
      <c r="D26" s="3414"/>
      <c r="E26" s="3414"/>
      <c r="F26" s="3414"/>
      <c r="G26" s="3415"/>
      <c r="H26" s="3413" t="s">
        <v>2830</v>
      </c>
      <c r="I26" s="3414"/>
      <c r="J26" s="3414"/>
      <c r="K26" s="3414"/>
      <c r="L26" s="3414"/>
      <c r="M26" s="3430"/>
    </row>
    <row r="27" spans="2:13" ht="46.5" customHeight="1" x14ac:dyDescent="0.35">
      <c r="B27" s="3426" t="s">
        <v>2831</v>
      </c>
      <c r="C27" s="3410"/>
      <c r="D27" s="3410"/>
      <c r="E27" s="3410"/>
      <c r="F27" s="3410"/>
      <c r="G27" s="3411"/>
      <c r="H27" s="3427" t="s">
        <v>2831</v>
      </c>
      <c r="I27" s="3410"/>
      <c r="J27" s="3410"/>
      <c r="K27" s="3410"/>
      <c r="L27" s="3410"/>
      <c r="M27" s="3428"/>
    </row>
    <row r="28" spans="2:13" x14ac:dyDescent="0.35">
      <c r="B28" s="3429"/>
      <c r="C28" s="3414"/>
      <c r="D28" s="3414"/>
      <c r="E28" s="3414"/>
      <c r="F28" s="3414"/>
      <c r="G28" s="3415"/>
      <c r="H28" s="3413"/>
      <c r="I28" s="3414"/>
      <c r="J28" s="3414"/>
      <c r="K28" s="3414"/>
      <c r="L28" s="3414"/>
      <c r="M28" s="3430"/>
    </row>
    <row r="29" spans="2:13" x14ac:dyDescent="0.35">
      <c r="B29" s="3429"/>
      <c r="C29" s="3414"/>
      <c r="D29" s="3414"/>
      <c r="E29" s="3414"/>
      <c r="F29" s="3414"/>
      <c r="G29" s="3415"/>
      <c r="H29" s="3413"/>
      <c r="I29" s="3414"/>
      <c r="J29" s="3414"/>
      <c r="K29" s="3414"/>
      <c r="L29" s="3414"/>
      <c r="M29" s="3430"/>
    </row>
    <row r="30" spans="2:13" x14ac:dyDescent="0.35">
      <c r="B30" s="3429"/>
      <c r="C30" s="3414"/>
      <c r="D30" s="3414"/>
      <c r="E30" s="3414"/>
      <c r="F30" s="3414"/>
      <c r="G30" s="3415"/>
      <c r="H30" s="3413"/>
      <c r="I30" s="3414"/>
      <c r="J30" s="3414"/>
      <c r="K30" s="3414"/>
      <c r="L30" s="3414"/>
      <c r="M30" s="3430"/>
    </row>
    <row r="31" spans="2:13" ht="15" thickBot="1" x14ac:dyDescent="0.4">
      <c r="B31" s="3417"/>
      <c r="C31" s="3418"/>
      <c r="D31" s="3418"/>
      <c r="E31" s="3418"/>
      <c r="F31" s="3418"/>
      <c r="G31" s="3419"/>
      <c r="H31" s="3420"/>
      <c r="I31" s="3418"/>
      <c r="J31" s="3418"/>
      <c r="K31" s="3418"/>
      <c r="L31" s="3418"/>
      <c r="M31" s="3421"/>
    </row>
    <row r="32" spans="2:13" ht="19" thickTop="1" x14ac:dyDescent="0.35">
      <c r="B32" s="3464" t="s">
        <v>2832</v>
      </c>
      <c r="C32" s="3465"/>
      <c r="D32" s="3465"/>
      <c r="E32" s="3465"/>
      <c r="F32" s="3465"/>
      <c r="G32" s="3466"/>
      <c r="H32" s="3467" t="s">
        <v>2833</v>
      </c>
      <c r="I32" s="3468"/>
      <c r="J32" s="3468"/>
      <c r="K32" s="3468"/>
      <c r="L32" s="3468"/>
      <c r="M32" s="3469"/>
    </row>
    <row r="33" spans="2:13" x14ac:dyDescent="0.35">
      <c r="B33" s="3447"/>
      <c r="C33" s="3448"/>
      <c r="D33" s="3448"/>
      <c r="E33" s="3448"/>
      <c r="F33" s="3448"/>
      <c r="G33" s="3449"/>
      <c r="H33" s="3450"/>
      <c r="I33" s="3451"/>
      <c r="J33" s="3451"/>
      <c r="K33" s="3451"/>
      <c r="L33" s="3451"/>
      <c r="M33" s="3452"/>
    </row>
    <row r="34" spans="2:13" x14ac:dyDescent="0.35">
      <c r="B34" s="3447"/>
      <c r="C34" s="3448"/>
      <c r="D34" s="3448"/>
      <c r="E34" s="3448"/>
      <c r="F34" s="3448"/>
      <c r="G34" s="3449"/>
      <c r="H34" s="3450"/>
      <c r="I34" s="3451"/>
      <c r="J34" s="3451"/>
      <c r="K34" s="3451"/>
      <c r="L34" s="3451"/>
      <c r="M34" s="3452"/>
    </row>
    <row r="35" spans="2:13" x14ac:dyDescent="0.35">
      <c r="B35" s="3447"/>
      <c r="C35" s="3448"/>
      <c r="D35" s="3448"/>
      <c r="E35" s="3448"/>
      <c r="F35" s="3448"/>
      <c r="G35" s="3449"/>
      <c r="H35" s="3450"/>
      <c r="I35" s="3451"/>
      <c r="J35" s="3451"/>
      <c r="K35" s="3451"/>
      <c r="L35" s="3451"/>
      <c r="M35" s="3452"/>
    </row>
    <row r="36" spans="2:13" x14ac:dyDescent="0.35">
      <c r="B36" s="3447"/>
      <c r="C36" s="3448"/>
      <c r="D36" s="3448"/>
      <c r="E36" s="3448"/>
      <c r="F36" s="3448"/>
      <c r="G36" s="3449"/>
      <c r="H36" s="3450"/>
      <c r="I36" s="3451"/>
      <c r="J36" s="3451"/>
      <c r="K36" s="3451"/>
      <c r="L36" s="3451"/>
      <c r="M36" s="3452"/>
    </row>
    <row r="37" spans="2:13" x14ac:dyDescent="0.35">
      <c r="B37" s="3447"/>
      <c r="C37" s="3448"/>
      <c r="D37" s="3448"/>
      <c r="E37" s="3448"/>
      <c r="F37" s="3448"/>
      <c r="G37" s="3449"/>
      <c r="H37" s="3450"/>
      <c r="I37" s="3451"/>
      <c r="J37" s="3451"/>
      <c r="K37" s="3451"/>
      <c r="L37" s="3451"/>
      <c r="M37" s="3452"/>
    </row>
    <row r="38" spans="2:13" x14ac:dyDescent="0.35">
      <c r="B38" s="3447"/>
      <c r="C38" s="3448"/>
      <c r="D38" s="3448"/>
      <c r="E38" s="3448"/>
      <c r="F38" s="3448"/>
      <c r="G38" s="3449"/>
      <c r="H38" s="3450"/>
      <c r="I38" s="3451"/>
      <c r="J38" s="3451"/>
      <c r="K38" s="3451"/>
      <c r="L38" s="3451"/>
      <c r="M38" s="3452"/>
    </row>
    <row r="39" spans="2:13" ht="13.5" customHeight="1" x14ac:dyDescent="0.35">
      <c r="B39" s="3447"/>
      <c r="C39" s="3448"/>
      <c r="D39" s="3448"/>
      <c r="E39" s="3448"/>
      <c r="F39" s="3448"/>
      <c r="G39" s="3449"/>
      <c r="H39" s="3450"/>
      <c r="I39" s="3451"/>
      <c r="J39" s="3451"/>
      <c r="K39" s="3451"/>
      <c r="L39" s="3451"/>
      <c r="M39" s="3452"/>
    </row>
    <row r="40" spans="2:13" x14ac:dyDescent="0.35">
      <c r="B40" s="3447"/>
      <c r="C40" s="3448"/>
      <c r="D40" s="3448"/>
      <c r="E40" s="3448"/>
      <c r="F40" s="3448"/>
      <c r="G40" s="3449"/>
      <c r="H40" s="3450"/>
      <c r="I40" s="3451"/>
      <c r="J40" s="3451"/>
      <c r="K40" s="3451"/>
      <c r="L40" s="3451"/>
      <c r="M40" s="3452"/>
    </row>
    <row r="41" spans="2:13" ht="15" thickBot="1" x14ac:dyDescent="0.4">
      <c r="B41" s="3453"/>
      <c r="C41" s="3454"/>
      <c r="D41" s="3454"/>
      <c r="E41" s="3454"/>
      <c r="F41" s="3454"/>
      <c r="G41" s="2992"/>
      <c r="H41" s="3455"/>
      <c r="I41" s="3454"/>
      <c r="J41" s="3454"/>
      <c r="K41" s="3454"/>
      <c r="L41" s="3454"/>
      <c r="M41" s="2992"/>
    </row>
    <row r="42" spans="2:13" ht="19" thickTop="1" x14ac:dyDescent="0.35">
      <c r="B42" s="3456" t="s">
        <v>2843</v>
      </c>
      <c r="C42" s="3457"/>
      <c r="D42" s="3457"/>
      <c r="E42" s="3457"/>
      <c r="F42" s="3457"/>
      <c r="G42" s="3458"/>
      <c r="H42" s="3459" t="s">
        <v>2844</v>
      </c>
      <c r="I42" s="3460"/>
      <c r="J42" s="3460"/>
      <c r="K42" s="3460"/>
      <c r="L42" s="3460"/>
      <c r="M42" s="3461"/>
    </row>
    <row r="43" spans="2:13" x14ac:dyDescent="0.35">
      <c r="B43" s="3413"/>
      <c r="C43" s="3414"/>
      <c r="D43" s="3414"/>
      <c r="E43" s="3414"/>
      <c r="F43" s="3414"/>
      <c r="G43" s="3415"/>
      <c r="H43" s="3413"/>
      <c r="I43" s="3414"/>
      <c r="J43" s="3414"/>
      <c r="K43" s="3414"/>
      <c r="L43" s="3414"/>
      <c r="M43" s="3431"/>
    </row>
    <row r="44" spans="2:13" x14ac:dyDescent="0.35">
      <c r="B44" s="3462"/>
      <c r="C44" s="3414"/>
      <c r="D44" s="3414"/>
      <c r="E44" s="3414"/>
      <c r="F44" s="3414"/>
      <c r="G44" s="3415"/>
      <c r="H44" s="3413"/>
      <c r="I44" s="3414"/>
      <c r="J44" s="3414"/>
      <c r="K44" s="3414"/>
      <c r="L44" s="3414"/>
      <c r="M44" s="3431"/>
    </row>
    <row r="45" spans="2:13" ht="15.75" customHeight="1" x14ac:dyDescent="0.35">
      <c r="B45" s="3463"/>
      <c r="C45" s="3410"/>
      <c r="D45" s="3410"/>
      <c r="E45" s="3410"/>
      <c r="F45" s="3410"/>
      <c r="G45" s="3411"/>
      <c r="H45" s="3413"/>
      <c r="I45" s="3414"/>
      <c r="J45" s="3414"/>
      <c r="K45" s="3414"/>
      <c r="L45" s="3414"/>
      <c r="M45" s="3431"/>
    </row>
    <row r="46" spans="2:13" x14ac:dyDescent="0.35">
      <c r="B46" s="3413"/>
      <c r="C46" s="3414"/>
      <c r="D46" s="3414"/>
      <c r="E46" s="3414"/>
      <c r="F46" s="3414"/>
      <c r="G46" s="3415"/>
      <c r="H46" s="3413"/>
      <c r="I46" s="3414"/>
      <c r="J46" s="3414"/>
      <c r="K46" s="3414"/>
      <c r="L46" s="3414"/>
      <c r="M46" s="3431"/>
    </row>
    <row r="47" spans="2:13" x14ac:dyDescent="0.35">
      <c r="B47" s="3413"/>
      <c r="C47" s="3414"/>
      <c r="D47" s="3414"/>
      <c r="E47" s="3414"/>
      <c r="F47" s="3414"/>
      <c r="G47" s="3415"/>
      <c r="H47" s="3413"/>
      <c r="I47" s="3414"/>
      <c r="J47" s="3414"/>
      <c r="K47" s="3414"/>
      <c r="L47" s="3414"/>
      <c r="M47" s="3431"/>
    </row>
    <row r="48" spans="2:13" x14ac:dyDescent="0.35">
      <c r="B48" s="3413"/>
      <c r="C48" s="3414"/>
      <c r="D48" s="3414"/>
      <c r="E48" s="3414"/>
      <c r="F48" s="3414"/>
      <c r="G48" s="3415"/>
      <c r="H48" s="3413"/>
      <c r="I48" s="3414"/>
      <c r="J48" s="3414"/>
      <c r="K48" s="3414"/>
      <c r="L48" s="3414"/>
      <c r="M48" s="3431"/>
    </row>
    <row r="49" spans="1:16" x14ac:dyDescent="0.35">
      <c r="B49" s="3413"/>
      <c r="C49" s="3414"/>
      <c r="D49" s="3414"/>
      <c r="E49" s="3414"/>
      <c r="F49" s="3414"/>
      <c r="G49" s="3415"/>
      <c r="H49" s="3413"/>
      <c r="I49" s="3414"/>
      <c r="J49" s="3414"/>
      <c r="K49" s="3414"/>
      <c r="L49" s="3414"/>
      <c r="M49" s="3431"/>
    </row>
    <row r="50" spans="1:16" x14ac:dyDescent="0.35">
      <c r="B50" s="3413"/>
      <c r="C50" s="3414"/>
      <c r="D50" s="3414"/>
      <c r="E50" s="3414"/>
      <c r="F50" s="3414"/>
      <c r="G50" s="3415"/>
      <c r="H50" s="3413"/>
      <c r="I50" s="3414"/>
      <c r="J50" s="3414"/>
      <c r="K50" s="3414"/>
      <c r="L50" s="3414"/>
      <c r="M50" s="3431"/>
    </row>
    <row r="51" spans="1:16" ht="15" thickBot="1" x14ac:dyDescent="0.4">
      <c r="B51" s="3422"/>
      <c r="C51" s="3423"/>
      <c r="D51" s="3423"/>
      <c r="E51" s="3423"/>
      <c r="F51" s="3423"/>
      <c r="G51" s="3424"/>
      <c r="H51" s="3422"/>
      <c r="I51" s="3423"/>
      <c r="J51" s="3423"/>
      <c r="K51" s="3423"/>
      <c r="L51" s="3423"/>
      <c r="M51" s="3425"/>
    </row>
    <row r="52" spans="1:16" ht="18" customHeight="1" thickTop="1" x14ac:dyDescent="0.35">
      <c r="A52" s="1672"/>
      <c r="B52" s="1673"/>
      <c r="C52" s="1673"/>
      <c r="D52" s="1673"/>
      <c r="E52" s="1674"/>
      <c r="F52" s="1674"/>
      <c r="G52" s="1674"/>
      <c r="H52" s="1674"/>
      <c r="I52" s="1674"/>
      <c r="J52" s="1674"/>
      <c r="K52" s="1675"/>
      <c r="L52" s="1675"/>
      <c r="M52" s="1675"/>
      <c r="N52" s="1675"/>
      <c r="O52" s="63"/>
      <c r="P52" s="63"/>
    </row>
    <row r="53" spans="1:16" ht="18.75" customHeight="1" x14ac:dyDescent="0.35">
      <c r="A53" s="1667"/>
      <c r="B53" s="1667"/>
      <c r="C53" s="1667"/>
      <c r="D53" s="1667"/>
      <c r="E53" s="1667"/>
      <c r="F53" s="1667"/>
      <c r="G53" s="1667"/>
      <c r="H53" s="1667"/>
      <c r="I53" s="1667"/>
      <c r="J53" s="1667"/>
      <c r="K53" s="1667"/>
      <c r="L53" s="1667"/>
      <c r="M53" s="1667"/>
      <c r="N53" s="1667"/>
      <c r="O53" s="1667"/>
      <c r="P53" s="1667"/>
    </row>
    <row r="54" spans="1:16" x14ac:dyDescent="0.35">
      <c r="A54" s="64"/>
      <c r="B54" s="64"/>
      <c r="C54" s="64"/>
      <c r="D54" s="64"/>
      <c r="E54" s="64"/>
      <c r="F54" s="64"/>
      <c r="G54" s="64"/>
      <c r="H54" s="64"/>
      <c r="I54" s="64"/>
      <c r="J54" s="64"/>
      <c r="K54" s="64"/>
      <c r="L54" s="64"/>
      <c r="M54" s="64"/>
      <c r="N54" s="64"/>
      <c r="O54" s="64"/>
      <c r="P54" s="64"/>
    </row>
    <row r="55" spans="1:16" ht="15" thickBot="1" x14ac:dyDescent="0.4"/>
    <row r="56" spans="1:16" ht="15.5" thickTop="1" thickBot="1" x14ac:dyDescent="0.4">
      <c r="B56" s="2098" t="s">
        <v>2866</v>
      </c>
      <c r="C56" s="2099"/>
      <c r="D56" s="2099"/>
      <c r="E56" s="2099"/>
      <c r="F56" s="2099"/>
      <c r="G56" s="2099"/>
      <c r="H56" s="2100"/>
    </row>
    <row r="57" spans="1:16" ht="15" thickTop="1" x14ac:dyDescent="0.35">
      <c r="B57" s="2585"/>
      <c r="C57" s="103"/>
      <c r="D57" s="103"/>
      <c r="E57" s="103"/>
      <c r="F57" s="103"/>
      <c r="G57" s="103"/>
      <c r="H57" s="2586"/>
    </row>
    <row r="58" spans="1:16" x14ac:dyDescent="0.35">
      <c r="B58" s="2585" t="s">
        <v>2004</v>
      </c>
      <c r="C58" s="103"/>
      <c r="D58" s="103"/>
      <c r="E58" s="103"/>
      <c r="F58" s="103"/>
      <c r="G58" s="103"/>
      <c r="H58" s="2586"/>
    </row>
    <row r="59" spans="1:16" x14ac:dyDescent="0.35">
      <c r="B59" s="2585" t="s">
        <v>2005</v>
      </c>
      <c r="C59" s="103"/>
      <c r="D59" s="103"/>
      <c r="E59" s="103"/>
      <c r="F59" s="103"/>
      <c r="G59" s="103"/>
      <c r="H59" s="2586"/>
    </row>
    <row r="60" spans="1:16" x14ac:dyDescent="0.35">
      <c r="B60" s="2585" t="s">
        <v>2006</v>
      </c>
      <c r="C60" s="103"/>
      <c r="D60" s="103"/>
      <c r="E60" s="103"/>
      <c r="F60" s="103"/>
      <c r="G60" s="103"/>
      <c r="H60" s="2586"/>
    </row>
    <row r="61" spans="1:16" x14ac:dyDescent="0.35">
      <c r="B61" s="2585"/>
      <c r="C61" s="103"/>
      <c r="D61" s="103"/>
      <c r="E61" s="103"/>
      <c r="F61" s="103"/>
      <c r="G61" s="103"/>
      <c r="H61" s="2586"/>
    </row>
    <row r="62" spans="1:16" x14ac:dyDescent="0.35">
      <c r="B62" s="2585"/>
      <c r="C62" s="103"/>
      <c r="D62" s="103"/>
      <c r="E62" s="103"/>
      <c r="F62" s="103"/>
      <c r="G62" s="103"/>
      <c r="H62" s="2586"/>
    </row>
    <row r="63" spans="1:16" x14ac:dyDescent="0.35">
      <c r="B63" s="2585"/>
      <c r="C63" s="103"/>
      <c r="D63" s="103"/>
      <c r="E63" s="103"/>
      <c r="F63" s="103"/>
      <c r="G63" s="103"/>
      <c r="H63" s="2586"/>
    </row>
    <row r="64" spans="1:16" x14ac:dyDescent="0.35">
      <c r="B64" s="2585"/>
      <c r="C64" s="103"/>
      <c r="D64" s="103"/>
      <c r="E64" s="103"/>
      <c r="F64" s="103"/>
      <c r="G64" s="103"/>
      <c r="H64" s="2586"/>
    </row>
    <row r="65" spans="2:8" x14ac:dyDescent="0.35">
      <c r="B65" s="2585"/>
      <c r="C65" s="103"/>
      <c r="D65" s="103"/>
      <c r="E65" s="103"/>
      <c r="F65" s="103"/>
      <c r="G65" s="103"/>
      <c r="H65" s="2586"/>
    </row>
    <row r="66" spans="2:8" ht="15" thickBot="1" x14ac:dyDescent="0.4">
      <c r="B66" s="2587"/>
      <c r="C66" s="2588"/>
      <c r="D66" s="2588"/>
      <c r="E66" s="2588"/>
      <c r="F66" s="2588"/>
      <c r="G66" s="2588"/>
      <c r="H66" s="2589"/>
    </row>
    <row r="67" spans="2:8" ht="15" thickTop="1" x14ac:dyDescent="0.35">
      <c r="B67" s="101"/>
      <c r="C67" s="101"/>
      <c r="D67" s="101"/>
      <c r="E67" s="101"/>
      <c r="F67" s="101"/>
      <c r="G67" s="101"/>
      <c r="H67" s="101"/>
    </row>
    <row r="68" spans="2:8" x14ac:dyDescent="0.35">
      <c r="B68" s="101"/>
      <c r="C68" s="101"/>
      <c r="D68" s="101"/>
      <c r="E68" s="101"/>
      <c r="F68" s="101"/>
      <c r="G68" s="101"/>
      <c r="H68" s="101"/>
    </row>
    <row r="69" spans="2:8" x14ac:dyDescent="0.35">
      <c r="B69" s="101"/>
      <c r="C69" s="101"/>
      <c r="D69" s="101"/>
      <c r="E69" s="101"/>
      <c r="F69" s="101"/>
      <c r="G69" s="101"/>
      <c r="H69" s="101"/>
    </row>
    <row r="70" spans="2:8" ht="15" thickBot="1" x14ac:dyDescent="0.4">
      <c r="B70" s="101"/>
      <c r="C70" s="101"/>
      <c r="D70" s="101"/>
      <c r="E70" s="101"/>
      <c r="F70" s="101"/>
      <c r="G70" s="101"/>
      <c r="H70" s="101"/>
    </row>
    <row r="71" spans="2:8" ht="15.5" thickTop="1" thickBot="1" x14ac:dyDescent="0.4">
      <c r="B71" s="2098" t="s">
        <v>2865</v>
      </c>
      <c r="C71" s="2099"/>
      <c r="D71" s="2099"/>
      <c r="E71" s="2099"/>
      <c r="F71" s="2099"/>
      <c r="G71" s="2099"/>
      <c r="H71" s="2100"/>
    </row>
    <row r="72" spans="2:8" ht="15" thickTop="1" x14ac:dyDescent="0.35">
      <c r="B72" s="2585"/>
      <c r="C72" s="103"/>
      <c r="D72" s="103"/>
      <c r="E72" s="103"/>
      <c r="F72" s="103"/>
      <c r="G72" s="103"/>
      <c r="H72" s="2586"/>
    </row>
    <row r="73" spans="2:8" x14ac:dyDescent="0.35">
      <c r="B73" s="2585"/>
      <c r="C73" s="103"/>
      <c r="D73" s="103"/>
      <c r="E73" s="103"/>
      <c r="F73" s="103"/>
      <c r="G73" s="103"/>
      <c r="H73" s="2586"/>
    </row>
    <row r="74" spans="2:8" x14ac:dyDescent="0.35">
      <c r="B74" s="2585"/>
      <c r="C74" s="103"/>
      <c r="D74" s="103"/>
      <c r="E74" s="103"/>
      <c r="F74" s="103"/>
      <c r="G74" s="103"/>
      <c r="H74" s="2586"/>
    </row>
    <row r="75" spans="2:8" x14ac:dyDescent="0.35">
      <c r="B75" s="2585"/>
      <c r="C75" s="103"/>
      <c r="D75" s="103"/>
      <c r="E75" s="103"/>
      <c r="F75" s="103"/>
      <c r="G75" s="103"/>
      <c r="H75" s="2586"/>
    </row>
    <row r="76" spans="2:8" x14ac:dyDescent="0.35">
      <c r="B76" s="2585"/>
      <c r="C76" s="103"/>
      <c r="D76" s="103"/>
      <c r="E76" s="103"/>
      <c r="F76" s="103"/>
      <c r="G76" s="103"/>
      <c r="H76" s="2586"/>
    </row>
    <row r="77" spans="2:8" x14ac:dyDescent="0.35">
      <c r="B77" s="2585"/>
      <c r="C77" s="103"/>
      <c r="D77" s="103"/>
      <c r="E77" s="103"/>
      <c r="F77" s="103"/>
      <c r="G77" s="103"/>
      <c r="H77" s="2586"/>
    </row>
    <row r="78" spans="2:8" x14ac:dyDescent="0.35">
      <c r="B78" s="2585"/>
      <c r="C78" s="103"/>
      <c r="D78" s="103"/>
      <c r="E78" s="103"/>
      <c r="F78" s="103"/>
      <c r="G78" s="103"/>
      <c r="H78" s="2586"/>
    </row>
    <row r="79" spans="2:8" ht="15" thickBot="1" x14ac:dyDescent="0.4">
      <c r="B79" s="2587"/>
      <c r="C79" s="2588"/>
      <c r="D79" s="2588"/>
      <c r="E79" s="2588"/>
      <c r="F79" s="2588"/>
      <c r="G79" s="2588"/>
      <c r="H79" s="2589"/>
    </row>
    <row r="80" spans="2:8" ht="15" thickTop="1" x14ac:dyDescent="0.35">
      <c r="B80" s="101"/>
      <c r="C80" s="101"/>
      <c r="D80" s="101"/>
      <c r="E80" s="101"/>
      <c r="F80" s="101"/>
      <c r="G80" s="101"/>
      <c r="H80" s="101"/>
    </row>
    <row r="81" spans="2:8" x14ac:dyDescent="0.35">
      <c r="B81" s="101"/>
      <c r="C81" s="101"/>
      <c r="D81" s="101"/>
      <c r="E81" s="101"/>
      <c r="F81" s="101"/>
      <c r="G81" s="101"/>
      <c r="H81" s="101"/>
    </row>
    <row r="82" spans="2:8" x14ac:dyDescent="0.35">
      <c r="B82" s="101"/>
      <c r="C82" s="101"/>
      <c r="D82" s="101"/>
      <c r="E82" s="101"/>
      <c r="F82" s="101"/>
      <c r="G82" s="101"/>
      <c r="H82" s="101"/>
    </row>
    <row r="83" spans="2:8" ht="15" thickBot="1" x14ac:dyDescent="0.4">
      <c r="B83" s="101"/>
      <c r="C83" s="101"/>
      <c r="D83" s="101"/>
      <c r="E83" s="101"/>
      <c r="F83" s="101"/>
      <c r="G83" s="101"/>
      <c r="H83" s="101"/>
    </row>
    <row r="84" spans="2:8" ht="15.5" thickTop="1" thickBot="1" x14ac:dyDescent="0.4">
      <c r="B84" s="2098" t="s">
        <v>2278</v>
      </c>
      <c r="C84" s="2099"/>
      <c r="D84" s="2099"/>
      <c r="E84" s="2099"/>
      <c r="F84" s="2099"/>
      <c r="G84" s="2099"/>
      <c r="H84" s="2100"/>
    </row>
    <row r="85" spans="2:8" ht="15" thickTop="1" x14ac:dyDescent="0.35">
      <c r="B85" s="2585"/>
      <c r="C85" s="103"/>
      <c r="D85" s="103"/>
      <c r="E85" s="103"/>
      <c r="F85" s="103"/>
      <c r="G85" s="103"/>
      <c r="H85" s="2586"/>
    </row>
    <row r="86" spans="2:8" x14ac:dyDescent="0.35">
      <c r="B86" s="2585"/>
      <c r="C86" s="103"/>
      <c r="D86" s="103"/>
      <c r="E86" s="103"/>
      <c r="F86" s="103"/>
      <c r="G86" s="103"/>
      <c r="H86" s="2586"/>
    </row>
    <row r="87" spans="2:8" x14ac:dyDescent="0.35">
      <c r="B87" s="2585"/>
      <c r="C87" s="103"/>
      <c r="D87" s="103"/>
      <c r="E87" s="103"/>
      <c r="F87" s="103"/>
      <c r="G87" s="103"/>
      <c r="H87" s="2586"/>
    </row>
    <row r="88" spans="2:8" x14ac:dyDescent="0.35">
      <c r="B88" s="2585"/>
      <c r="C88" s="103"/>
      <c r="D88" s="103"/>
      <c r="E88" s="103"/>
      <c r="F88" s="103"/>
      <c r="G88" s="103"/>
      <c r="H88" s="2586"/>
    </row>
    <row r="89" spans="2:8" x14ac:dyDescent="0.35">
      <c r="B89" s="2585"/>
      <c r="C89" s="103"/>
      <c r="D89" s="103"/>
      <c r="E89" s="103"/>
      <c r="F89" s="103"/>
      <c r="G89" s="103"/>
      <c r="H89" s="2586"/>
    </row>
    <row r="90" spans="2:8" x14ac:dyDescent="0.35">
      <c r="B90" s="2585"/>
      <c r="C90" s="103"/>
      <c r="D90" s="103"/>
      <c r="E90" s="103"/>
      <c r="F90" s="103"/>
      <c r="G90" s="103"/>
      <c r="H90" s="2586"/>
    </row>
    <row r="91" spans="2:8" x14ac:dyDescent="0.35">
      <c r="B91" s="2585"/>
      <c r="C91" s="103"/>
      <c r="D91" s="103"/>
      <c r="E91" s="103"/>
      <c r="F91" s="103"/>
      <c r="G91" s="103"/>
      <c r="H91" s="2586"/>
    </row>
    <row r="92" spans="2:8" x14ac:dyDescent="0.35">
      <c r="B92" s="2585"/>
      <c r="C92" s="103"/>
      <c r="D92" s="103"/>
      <c r="E92" s="103"/>
      <c r="F92" s="103"/>
      <c r="G92" s="103"/>
      <c r="H92" s="2586"/>
    </row>
    <row r="93" spans="2:8" x14ac:dyDescent="0.35">
      <c r="B93" s="2585"/>
      <c r="C93" s="103"/>
      <c r="D93" s="103"/>
      <c r="E93" s="103"/>
      <c r="F93" s="103"/>
      <c r="G93" s="103"/>
      <c r="H93" s="2586"/>
    </row>
    <row r="94" spans="2:8" x14ac:dyDescent="0.35">
      <c r="B94" s="2585"/>
      <c r="C94" s="103"/>
      <c r="D94" s="103"/>
      <c r="E94" s="103"/>
      <c r="F94" s="103"/>
      <c r="G94" s="103"/>
      <c r="H94" s="2586"/>
    </row>
    <row r="95" spans="2:8" x14ac:dyDescent="0.35">
      <c r="B95" s="2585"/>
      <c r="C95" s="103"/>
      <c r="D95" s="103"/>
      <c r="E95" s="103"/>
      <c r="F95" s="103"/>
      <c r="G95" s="103"/>
      <c r="H95" s="2586"/>
    </row>
    <row r="96" spans="2:8" x14ac:dyDescent="0.35">
      <c r="B96" s="2585"/>
      <c r="C96" s="103"/>
      <c r="D96" s="103"/>
      <c r="E96" s="103"/>
      <c r="F96" s="103"/>
      <c r="G96" s="103"/>
      <c r="H96" s="2586"/>
    </row>
    <row r="97" spans="2:8" x14ac:dyDescent="0.35">
      <c r="B97" s="2585"/>
      <c r="C97" s="103"/>
      <c r="D97" s="103"/>
      <c r="E97" s="103"/>
      <c r="F97" s="103"/>
      <c r="G97" s="103"/>
      <c r="H97" s="2586"/>
    </row>
    <row r="98" spans="2:8" x14ac:dyDescent="0.35">
      <c r="B98" s="2585"/>
      <c r="C98" s="103"/>
      <c r="D98" s="103"/>
      <c r="E98" s="103"/>
      <c r="F98" s="103"/>
      <c r="G98" s="103"/>
      <c r="H98" s="2586"/>
    </row>
    <row r="99" spans="2:8" x14ac:dyDescent="0.35">
      <c r="B99" s="2585"/>
      <c r="C99" s="103"/>
      <c r="D99" s="103"/>
      <c r="E99" s="103"/>
      <c r="F99" s="103"/>
      <c r="G99" s="103"/>
      <c r="H99" s="2586"/>
    </row>
    <row r="100" spans="2:8" x14ac:dyDescent="0.35">
      <c r="B100" s="2585"/>
      <c r="C100" s="103"/>
      <c r="D100" s="103"/>
      <c r="E100" s="103"/>
      <c r="F100" s="103"/>
      <c r="G100" s="103"/>
      <c r="H100" s="2586"/>
    </row>
    <row r="101" spans="2:8" x14ac:dyDescent="0.35">
      <c r="B101" s="2585"/>
      <c r="C101" s="103"/>
      <c r="D101" s="103"/>
      <c r="E101" s="103"/>
      <c r="F101" s="103"/>
      <c r="G101" s="103"/>
      <c r="H101" s="2586"/>
    </row>
    <row r="102" spans="2:8" x14ac:dyDescent="0.35">
      <c r="B102" s="2585"/>
      <c r="C102" s="103"/>
      <c r="D102" s="103"/>
      <c r="E102" s="103"/>
      <c r="F102" s="103"/>
      <c r="G102" s="103"/>
      <c r="H102" s="2586"/>
    </row>
    <row r="103" spans="2:8" x14ac:dyDescent="0.35">
      <c r="B103" s="2585"/>
      <c r="C103" s="103"/>
      <c r="D103" s="103"/>
      <c r="E103" s="103"/>
      <c r="F103" s="103"/>
      <c r="G103" s="103"/>
      <c r="H103" s="2586"/>
    </row>
    <row r="104" spans="2:8" ht="15" thickBot="1" x14ac:dyDescent="0.4">
      <c r="B104" s="2587"/>
      <c r="C104" s="2588"/>
      <c r="D104" s="2588"/>
      <c r="E104" s="2588"/>
      <c r="F104" s="2588"/>
      <c r="G104" s="2588"/>
      <c r="H104" s="2589"/>
    </row>
    <row r="105" spans="2:8" ht="15" thickTop="1" x14ac:dyDescent="0.35"/>
  </sheetData>
  <mergeCells count="91">
    <mergeCell ref="D3:G3"/>
    <mergeCell ref="D1:G1"/>
    <mergeCell ref="I1:J1"/>
    <mergeCell ref="L1:M1"/>
    <mergeCell ref="D2:G2"/>
    <mergeCell ref="I2:J2"/>
    <mergeCell ref="L2:M2"/>
    <mergeCell ref="B32:G32"/>
    <mergeCell ref="H32:M32"/>
    <mergeCell ref="B33:G33"/>
    <mergeCell ref="H33:M33"/>
    <mergeCell ref="B34:G34"/>
    <mergeCell ref="H34:M34"/>
    <mergeCell ref="B35:G35"/>
    <mergeCell ref="H35:M35"/>
    <mergeCell ref="B36:G36"/>
    <mergeCell ref="H36:M36"/>
    <mergeCell ref="B37:G37"/>
    <mergeCell ref="H37:M37"/>
    <mergeCell ref="B48:G48"/>
    <mergeCell ref="H48:M48"/>
    <mergeCell ref="B43:G43"/>
    <mergeCell ref="H43:M43"/>
    <mergeCell ref="B44:G44"/>
    <mergeCell ref="H44:M44"/>
    <mergeCell ref="B45:G45"/>
    <mergeCell ref="H45:M45"/>
    <mergeCell ref="B20:G20"/>
    <mergeCell ref="H20:M20"/>
    <mergeCell ref="B46:G46"/>
    <mergeCell ref="H46:M46"/>
    <mergeCell ref="B47:G47"/>
    <mergeCell ref="H47:M47"/>
    <mergeCell ref="B40:G40"/>
    <mergeCell ref="H40:M40"/>
    <mergeCell ref="B41:F41"/>
    <mergeCell ref="H41:L41"/>
    <mergeCell ref="B42:G42"/>
    <mergeCell ref="H42:M42"/>
    <mergeCell ref="B39:G39"/>
    <mergeCell ref="H39:M39"/>
    <mergeCell ref="B38:G38"/>
    <mergeCell ref="H38:M38"/>
    <mergeCell ref="H50:M50"/>
    <mergeCell ref="H30:M30"/>
    <mergeCell ref="B4:M4"/>
    <mergeCell ref="B25:G25"/>
    <mergeCell ref="H25:M25"/>
    <mergeCell ref="B26:G26"/>
    <mergeCell ref="H26:M26"/>
    <mergeCell ref="A5:B5"/>
    <mergeCell ref="C5:P5"/>
    <mergeCell ref="H24:M24"/>
    <mergeCell ref="B13:M13"/>
    <mergeCell ref="B14:M14"/>
    <mergeCell ref="B15:G15"/>
    <mergeCell ref="H15:M15"/>
    <mergeCell ref="B16:G16"/>
    <mergeCell ref="H16:M16"/>
    <mergeCell ref="B23:G23"/>
    <mergeCell ref="H23:M23"/>
    <mergeCell ref="B31:G31"/>
    <mergeCell ref="H31:M31"/>
    <mergeCell ref="B51:G51"/>
    <mergeCell ref="H51:M51"/>
    <mergeCell ref="B27:G27"/>
    <mergeCell ref="H27:M27"/>
    <mergeCell ref="B28:G28"/>
    <mergeCell ref="H28:M28"/>
    <mergeCell ref="B29:G29"/>
    <mergeCell ref="H29:M29"/>
    <mergeCell ref="B30:G30"/>
    <mergeCell ref="B49:G49"/>
    <mergeCell ref="H49:M49"/>
    <mergeCell ref="B50:G50"/>
    <mergeCell ref="B24:G24"/>
    <mergeCell ref="B8:M8"/>
    <mergeCell ref="B9:M9"/>
    <mergeCell ref="B10:M10"/>
    <mergeCell ref="B11:M11"/>
    <mergeCell ref="B12:M12"/>
    <mergeCell ref="B17:G17"/>
    <mergeCell ref="H17:M17"/>
    <mergeCell ref="B18:G18"/>
    <mergeCell ref="H18:M18"/>
    <mergeCell ref="B19:G19"/>
    <mergeCell ref="H19:M19"/>
    <mergeCell ref="B21:G21"/>
    <mergeCell ref="H21:M21"/>
    <mergeCell ref="B22:G22"/>
    <mergeCell ref="H22:M2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500-000000000000}">
      <formula1>AvancementTheme</formula1>
    </dataValidation>
  </dataValidation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67">
    <tabColor theme="2" tint="-0.499984740745262"/>
    <pageSetUpPr fitToPage="1"/>
  </sheetPr>
  <dimension ref="A1:V189"/>
  <sheetViews>
    <sheetView showGridLines="0" showRowColHeaders="0" zoomScale="120" zoomScaleNormal="120" workbookViewId="0">
      <pane ySplit="3" topLeftCell="A151" activePane="bottomLeft" state="frozen"/>
      <selection activeCell="H7" sqref="H7"/>
      <selection pane="bottomLeft" activeCell="H7" sqref="H7"/>
    </sheetView>
  </sheetViews>
  <sheetFormatPr baseColWidth="10" defaultColWidth="11.453125" defaultRowHeight="14.5" x14ac:dyDescent="0.35"/>
  <cols>
    <col min="1" max="1" width="8.26953125" style="60" customWidth="1"/>
    <col min="2" max="3" width="11.453125" style="60"/>
    <col min="4" max="16" width="10.7265625" style="60" customWidth="1"/>
    <col min="17" max="16384" width="11.453125" style="60"/>
  </cols>
  <sheetData>
    <row r="1" spans="1:22" s="54" customFormat="1" ht="15" customHeight="1" x14ac:dyDescent="0.35">
      <c r="A1" s="1570"/>
      <c r="B1" s="1570"/>
      <c r="C1" s="1570"/>
      <c r="D1" s="3341" t="s">
        <v>5</v>
      </c>
      <c r="E1" s="3341"/>
      <c r="F1" s="3341"/>
      <c r="G1" s="3341"/>
      <c r="H1" s="391"/>
      <c r="I1" s="3341" t="s">
        <v>6</v>
      </c>
      <c r="J1" s="3341"/>
      <c r="K1" s="1570"/>
      <c r="L1" s="3341" t="s">
        <v>9</v>
      </c>
      <c r="M1" s="3341"/>
      <c r="N1" s="1570"/>
      <c r="O1" s="479" t="s">
        <v>2</v>
      </c>
      <c r="P1" s="479" t="s">
        <v>3</v>
      </c>
      <c r="Q1" s="458"/>
    </row>
    <row r="2" spans="1:22" s="58" customFormat="1" ht="18" customHeight="1" x14ac:dyDescent="0.35">
      <c r="A2" s="393"/>
      <c r="B2" s="393"/>
      <c r="C2" s="393"/>
      <c r="D2" s="3342" t="str">
        <f>NomClient</f>
        <v xml:space="preserve">EQUINIX </v>
      </c>
      <c r="E2" s="3343"/>
      <c r="F2" s="3343"/>
      <c r="G2" s="3344"/>
      <c r="H2" s="393"/>
      <c r="I2" s="3345" t="s">
        <v>410</v>
      </c>
      <c r="J2" s="3346"/>
      <c r="K2" s="393"/>
      <c r="L2" s="3347">
        <v>42420.733101851853</v>
      </c>
      <c r="M2" s="3348"/>
      <c r="N2" s="394"/>
      <c r="O2" s="451">
        <f>IF(LEN(DPDV_09PP2)&gt;0,LEN(DPDV_09PP2),0-PDV_NBmini)</f>
        <v>167</v>
      </c>
      <c r="P2" s="451">
        <f>IF(LEN(DKPI_09PP2)&gt;0,LEN(DKPI_09PP2),0-KPI_NBmini)</f>
        <v>171</v>
      </c>
      <c r="Q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6342" t="str">
        <f>Parametre!B31  &amp; "   : "</f>
        <v xml:space="preserve">Profitabilité des partenaires   : </v>
      </c>
      <c r="B4" s="6342"/>
      <c r="C4" s="6342"/>
      <c r="D4" s="6342"/>
      <c r="E4" s="6342"/>
      <c r="F4" s="6342"/>
      <c r="G4" s="6342"/>
      <c r="H4" s="6343" t="str">
        <f xml:space="preserve"> "Mesure du Retour sur Investissement pour " &amp; NomProd2</f>
        <v>Mesure du Retour sur Investissement pour ASEMA</v>
      </c>
      <c r="I4" s="6343"/>
      <c r="J4" s="6343"/>
      <c r="K4" s="6343"/>
      <c r="L4" s="6343"/>
      <c r="M4" s="6343"/>
      <c r="N4" s="6343"/>
      <c r="O4" s="6343"/>
      <c r="P4" s="6344"/>
      <c r="Q4" s="444"/>
    </row>
    <row r="5" spans="1:22" s="193" customFormat="1" ht="36.75" customHeight="1" x14ac:dyDescent="0.35">
      <c r="A5" s="3438" t="s">
        <v>14</v>
      </c>
      <c r="B5" s="3438"/>
      <c r="C5" s="3508" t="s">
        <v>498</v>
      </c>
      <c r="D5" s="3508"/>
      <c r="E5" s="3508"/>
      <c r="F5" s="3508"/>
      <c r="G5" s="3508"/>
      <c r="H5" s="3508"/>
      <c r="I5" s="3508"/>
      <c r="J5" s="3508"/>
      <c r="K5" s="3508"/>
      <c r="L5" s="3508"/>
      <c r="M5" s="3508"/>
      <c r="N5" s="3508"/>
      <c r="O5" s="3508"/>
      <c r="P5" s="3508"/>
      <c r="Q5" s="460"/>
    </row>
    <row r="6" spans="1:22" s="193" customFormat="1" ht="8.25" customHeight="1" thickBot="1" x14ac:dyDescent="0.4">
      <c r="A6" s="1571"/>
      <c r="B6" s="1571"/>
      <c r="C6" s="1573"/>
      <c r="D6" s="1573"/>
      <c r="E6" s="1573"/>
      <c r="F6" s="1573"/>
      <c r="G6" s="1573"/>
      <c r="H6" s="1573"/>
      <c r="I6" s="1573"/>
      <c r="J6" s="1573"/>
      <c r="K6" s="1573"/>
      <c r="L6" s="1573"/>
      <c r="M6" s="1573"/>
      <c r="N6" s="1573"/>
      <c r="O6" s="1573"/>
      <c r="P6" s="1573"/>
      <c r="Q6" s="460"/>
    </row>
    <row r="7" spans="1:22" s="193" customFormat="1" ht="23.25" customHeight="1" thickBot="1" x14ac:dyDescent="0.4">
      <c r="A7" s="1571"/>
      <c r="B7" s="6345" t="s">
        <v>1313</v>
      </c>
      <c r="C7" s="6345"/>
      <c r="D7" s="6345"/>
      <c r="E7" s="6345"/>
      <c r="F7" s="6345"/>
      <c r="G7" s="6345"/>
      <c r="H7" s="1573"/>
      <c r="I7" s="1573"/>
      <c r="J7" s="6346"/>
      <c r="K7" s="6346"/>
      <c r="L7" s="1573"/>
      <c r="M7" s="1573"/>
      <c r="N7" s="1573"/>
      <c r="O7" s="1573"/>
      <c r="P7" s="1573"/>
      <c r="Q7" s="460"/>
    </row>
    <row r="8" spans="1:22" s="193" customFormat="1" ht="28.5" customHeight="1" thickTop="1" x14ac:dyDescent="0.35">
      <c r="A8" s="1571"/>
      <c r="B8" s="6347"/>
      <c r="C8" s="6348"/>
      <c r="D8" s="1244" t="s">
        <v>1310</v>
      </c>
      <c r="E8" s="1244" t="s">
        <v>1311</v>
      </c>
      <c r="F8" s="1244" t="s">
        <v>1312</v>
      </c>
      <c r="G8" s="1241"/>
      <c r="H8" s="1573"/>
      <c r="I8" s="1573"/>
      <c r="J8" s="6346"/>
      <c r="K8" s="6346"/>
      <c r="L8" s="1573"/>
      <c r="M8" s="1573"/>
      <c r="N8" s="1573"/>
      <c r="O8" s="1573"/>
      <c r="P8" s="1573"/>
      <c r="Q8" s="460"/>
    </row>
    <row r="9" spans="1:22" s="193" customFormat="1" ht="16.899999999999999" customHeight="1" x14ac:dyDescent="0.35">
      <c r="A9" s="1571"/>
      <c r="B9" s="6328" t="s">
        <v>1306</v>
      </c>
      <c r="C9" s="6329"/>
      <c r="D9" s="1248">
        <v>200</v>
      </c>
      <c r="E9" s="1245">
        <v>0.5</v>
      </c>
      <c r="F9" s="1247">
        <f>D9+(E9*D9)</f>
        <v>300</v>
      </c>
      <c r="G9" s="1242"/>
      <c r="H9" s="1573"/>
      <c r="I9" s="1573"/>
      <c r="J9" s="1573"/>
      <c r="K9" s="1573"/>
      <c r="L9" s="1573"/>
      <c r="M9" s="1573"/>
      <c r="N9" s="1573"/>
      <c r="O9" s="1573"/>
      <c r="P9" s="1573"/>
      <c r="Q9" s="460"/>
    </row>
    <row r="10" spans="1:22" s="193" customFormat="1" ht="16.899999999999999" customHeight="1" x14ac:dyDescent="0.35">
      <c r="A10" s="1571"/>
      <c r="B10" s="6328" t="s">
        <v>583</v>
      </c>
      <c r="C10" s="6329"/>
      <c r="D10" s="1248">
        <v>150</v>
      </c>
      <c r="E10" s="1245">
        <v>0.5</v>
      </c>
      <c r="F10" s="1247">
        <f t="shared" ref="F10:F15" si="0">D10+(E10*D10)</f>
        <v>225</v>
      </c>
      <c r="G10" s="1242"/>
      <c r="H10" s="1573"/>
      <c r="I10" s="1573"/>
      <c r="J10" s="6346"/>
      <c r="K10" s="6346"/>
      <c r="L10" s="1573"/>
      <c r="M10" s="1573"/>
      <c r="N10" s="1573"/>
      <c r="O10" s="1573"/>
      <c r="P10" s="1573"/>
      <c r="Q10" s="460"/>
    </row>
    <row r="11" spans="1:22" s="193" customFormat="1" ht="16.899999999999999" customHeight="1" x14ac:dyDescent="0.35">
      <c r="A11" s="1571"/>
      <c r="B11" s="6340" t="s">
        <v>1307</v>
      </c>
      <c r="C11" s="6341"/>
      <c r="D11" s="1248">
        <v>150</v>
      </c>
      <c r="E11" s="1245">
        <v>0.5</v>
      </c>
      <c r="F11" s="1247">
        <f t="shared" si="0"/>
        <v>225</v>
      </c>
      <c r="G11" s="1242"/>
      <c r="H11" s="1573"/>
      <c r="I11" s="1573"/>
      <c r="J11" s="6346"/>
      <c r="K11" s="6346"/>
      <c r="L11" s="1573"/>
      <c r="M11" s="1573"/>
      <c r="N11" s="1573"/>
      <c r="O11" s="1573"/>
      <c r="P11" s="1573"/>
      <c r="Q11" s="460"/>
    </row>
    <row r="12" spans="1:22" s="193" customFormat="1" ht="16.899999999999999" customHeight="1" x14ac:dyDescent="0.35">
      <c r="A12" s="1571"/>
      <c r="B12" s="6340" t="s">
        <v>1308</v>
      </c>
      <c r="C12" s="6341"/>
      <c r="D12" s="1248">
        <v>150</v>
      </c>
      <c r="E12" s="1245">
        <v>0.5</v>
      </c>
      <c r="F12" s="1247">
        <f t="shared" si="0"/>
        <v>225</v>
      </c>
      <c r="G12" s="1242"/>
      <c r="H12" s="1573"/>
      <c r="I12" s="1573"/>
      <c r="J12" s="1573"/>
      <c r="K12" s="1573"/>
      <c r="L12" s="1573"/>
      <c r="M12" s="1573"/>
      <c r="N12" s="1573"/>
      <c r="O12" s="1573"/>
      <c r="P12" s="1573"/>
      <c r="Q12" s="460"/>
    </row>
    <row r="13" spans="1:22" s="193" customFormat="1" ht="16.899999999999999" customHeight="1" x14ac:dyDescent="0.35">
      <c r="A13" s="1571"/>
      <c r="B13" s="6328" t="s">
        <v>1309</v>
      </c>
      <c r="C13" s="6329"/>
      <c r="D13" s="1248">
        <v>100</v>
      </c>
      <c r="E13" s="1245">
        <v>0.5</v>
      </c>
      <c r="F13" s="1247">
        <f t="shared" si="0"/>
        <v>150</v>
      </c>
      <c r="G13" s="1242"/>
      <c r="H13" s="1573"/>
      <c r="I13" s="1573"/>
      <c r="J13" s="1573"/>
      <c r="K13" s="1573"/>
      <c r="L13" s="1573"/>
      <c r="M13" s="1573"/>
      <c r="N13" s="1573"/>
      <c r="O13" s="1573"/>
      <c r="P13" s="1573"/>
      <c r="Q13" s="460"/>
    </row>
    <row r="14" spans="1:22" s="193" customFormat="1" ht="16.899999999999999" customHeight="1" x14ac:dyDescent="0.35">
      <c r="A14" s="1571"/>
      <c r="B14" s="6328" t="s">
        <v>102</v>
      </c>
      <c r="C14" s="6329"/>
      <c r="D14" s="1248"/>
      <c r="E14" s="1245"/>
      <c r="F14" s="1247">
        <f>D14+(E14*D14)</f>
        <v>0</v>
      </c>
      <c r="G14" s="1242"/>
      <c r="H14" s="1573"/>
      <c r="I14" s="1573"/>
      <c r="J14" s="1573"/>
      <c r="K14" s="1573"/>
      <c r="L14" s="1573"/>
      <c r="M14" s="1573"/>
      <c r="N14" s="1573"/>
      <c r="O14" s="1573"/>
      <c r="P14" s="1573"/>
      <c r="Q14" s="460"/>
    </row>
    <row r="15" spans="1:22" s="193" customFormat="1" ht="16.899999999999999" customHeight="1" thickBot="1" x14ac:dyDescent="0.4">
      <c r="A15" s="1571"/>
      <c r="B15" s="6330"/>
      <c r="C15" s="6331"/>
      <c r="D15" s="1249"/>
      <c r="E15" s="1246"/>
      <c r="F15" s="1250">
        <f t="shared" si="0"/>
        <v>0</v>
      </c>
      <c r="G15" s="1243"/>
      <c r="H15" s="1573"/>
      <c r="I15" s="1573"/>
      <c r="J15" s="1573"/>
      <c r="K15" s="1573"/>
      <c r="L15" s="1573"/>
      <c r="M15" s="1573"/>
      <c r="N15" s="1573"/>
      <c r="O15" s="1573"/>
      <c r="P15" s="1573"/>
      <c r="Q15" s="460"/>
    </row>
    <row r="16" spans="1:22" s="193" customFormat="1" ht="25.5" customHeight="1" thickTop="1" thickBot="1" x14ac:dyDescent="0.4">
      <c r="A16" s="1571"/>
      <c r="B16" s="1571"/>
      <c r="C16" s="1573"/>
      <c r="D16" s="1573"/>
      <c r="E16" s="1573"/>
      <c r="F16" s="1573"/>
      <c r="G16" s="1573"/>
      <c r="H16" s="1573"/>
      <c r="I16" s="1573"/>
      <c r="J16" s="1573"/>
      <c r="K16" s="1573"/>
      <c r="L16" s="1573"/>
      <c r="M16" s="1573"/>
      <c r="N16" s="1573"/>
      <c r="O16" s="1573"/>
      <c r="P16" s="1573"/>
      <c r="Q16" s="460"/>
    </row>
    <row r="17" spans="1:17" s="158" customFormat="1" ht="33" customHeight="1" thickTop="1" x14ac:dyDescent="0.3">
      <c r="A17" s="675"/>
      <c r="B17" s="6332" t="s">
        <v>513</v>
      </c>
      <c r="C17" s="6333"/>
      <c r="D17" s="6333"/>
      <c r="E17" s="6333"/>
      <c r="F17" s="6333"/>
      <c r="G17" s="6333"/>
      <c r="H17" s="6333"/>
      <c r="I17" s="6333"/>
      <c r="J17" s="6333"/>
      <c r="K17" s="6333"/>
      <c r="L17" s="6333"/>
      <c r="M17" s="6334"/>
      <c r="N17" s="675"/>
      <c r="O17" s="675"/>
      <c r="P17" s="675"/>
      <c r="Q17" s="675"/>
    </row>
    <row r="18" spans="1:17" s="124" customFormat="1" ht="27" customHeight="1" x14ac:dyDescent="0.35">
      <c r="A18" s="858"/>
      <c r="B18" s="6335" t="s">
        <v>514</v>
      </c>
      <c r="C18" s="6336"/>
      <c r="D18" s="6336"/>
      <c r="E18" s="6336"/>
      <c r="F18" s="6336" t="s">
        <v>497</v>
      </c>
      <c r="G18" s="6336"/>
      <c r="H18" s="6336" t="s">
        <v>492</v>
      </c>
      <c r="I18" s="6337"/>
      <c r="J18" s="6338" t="s">
        <v>515</v>
      </c>
      <c r="K18" s="6337"/>
      <c r="L18" s="6338" t="s">
        <v>127</v>
      </c>
      <c r="M18" s="6339"/>
      <c r="N18" s="858"/>
      <c r="O18" s="858"/>
      <c r="P18" s="858"/>
      <c r="Q18" s="858"/>
    </row>
    <row r="19" spans="1:17" s="124" customFormat="1" ht="7.5" customHeight="1" thickBot="1" x14ac:dyDescent="0.4">
      <c r="A19" s="858"/>
      <c r="B19" s="969"/>
      <c r="C19" s="970"/>
      <c r="D19" s="970"/>
      <c r="E19" s="970"/>
      <c r="F19" s="970"/>
      <c r="G19" s="970"/>
      <c r="H19" s="970"/>
      <c r="I19" s="970"/>
      <c r="J19" s="970"/>
      <c r="K19" s="970"/>
      <c r="L19" s="970"/>
      <c r="M19" s="971"/>
      <c r="N19" s="858"/>
      <c r="O19" s="858"/>
      <c r="P19" s="858"/>
      <c r="Q19" s="858"/>
    </row>
    <row r="20" spans="1:17" s="158" customFormat="1" ht="16.899999999999999" customHeight="1" x14ac:dyDescent="0.3">
      <c r="A20" s="675"/>
      <c r="B20" s="6322" t="s">
        <v>496</v>
      </c>
      <c r="C20" s="6323"/>
      <c r="D20" s="6323"/>
      <c r="E20" s="6324"/>
      <c r="F20" s="1251"/>
      <c r="G20" s="1252"/>
      <c r="H20" s="1251"/>
      <c r="I20" s="1252"/>
      <c r="J20" s="1251"/>
      <c r="K20" s="1252"/>
      <c r="L20" s="6325">
        <v>0</v>
      </c>
      <c r="M20" s="6326"/>
      <c r="N20" s="675"/>
      <c r="O20" s="675"/>
      <c r="P20" s="675"/>
      <c r="Q20" s="675"/>
    </row>
    <row r="21" spans="1:17" s="116" customFormat="1" ht="16.899999999999999" customHeight="1" x14ac:dyDescent="0.3">
      <c r="A21" s="651"/>
      <c r="B21" s="6224" t="s">
        <v>495</v>
      </c>
      <c r="C21" s="6225"/>
      <c r="D21" s="6225"/>
      <c r="E21" s="6226"/>
      <c r="F21" s="6239">
        <v>2</v>
      </c>
      <c r="G21" s="6240"/>
      <c r="H21" s="6239">
        <v>1</v>
      </c>
      <c r="I21" s="6240"/>
      <c r="J21" s="6310">
        <f>F9</f>
        <v>300</v>
      </c>
      <c r="K21" s="6228"/>
      <c r="L21" s="6244">
        <f t="shared" ref="L21:L29" si="1">J21*H21*F21</f>
        <v>600</v>
      </c>
      <c r="M21" s="6327"/>
      <c r="N21" s="651"/>
      <c r="O21" s="651"/>
      <c r="P21" s="651"/>
      <c r="Q21" s="651"/>
    </row>
    <row r="22" spans="1:17" s="116" customFormat="1" ht="16.899999999999999" customHeight="1" x14ac:dyDescent="0.3">
      <c r="A22" s="651"/>
      <c r="B22" s="6315" t="s">
        <v>1314</v>
      </c>
      <c r="C22" s="6316"/>
      <c r="D22" s="6316"/>
      <c r="E22" s="6317"/>
      <c r="F22" s="6318">
        <v>0</v>
      </c>
      <c r="G22" s="6319"/>
      <c r="H22" s="6318"/>
      <c r="I22" s="6319"/>
      <c r="J22" s="6320">
        <f>F11</f>
        <v>225</v>
      </c>
      <c r="K22" s="6321"/>
      <c r="L22" s="6313">
        <f>J22*H22*F22</f>
        <v>0</v>
      </c>
      <c r="M22" s="6314"/>
      <c r="N22" s="651"/>
      <c r="O22" s="651"/>
      <c r="P22" s="651"/>
      <c r="Q22" s="651"/>
    </row>
    <row r="23" spans="1:17" s="116" customFormat="1" ht="16.899999999999999" customHeight="1" x14ac:dyDescent="0.3">
      <c r="A23" s="651"/>
      <c r="B23" s="6224" t="s">
        <v>1315</v>
      </c>
      <c r="C23" s="6225"/>
      <c r="D23" s="6225"/>
      <c r="E23" s="6226"/>
      <c r="F23" s="6239">
        <v>1</v>
      </c>
      <c r="G23" s="6240"/>
      <c r="H23" s="6239">
        <v>0.5</v>
      </c>
      <c r="I23" s="6240"/>
      <c r="J23" s="6310">
        <f>D12</f>
        <v>150</v>
      </c>
      <c r="K23" s="6228"/>
      <c r="L23" s="6313">
        <f t="shared" si="1"/>
        <v>75</v>
      </c>
      <c r="M23" s="6314"/>
      <c r="N23" s="651"/>
      <c r="O23" s="651"/>
      <c r="P23" s="651"/>
      <c r="Q23" s="651"/>
    </row>
    <row r="24" spans="1:17" s="116" customFormat="1" ht="16.899999999999999" customHeight="1" x14ac:dyDescent="0.3">
      <c r="A24" s="651"/>
      <c r="B24" s="6224" t="s">
        <v>1478</v>
      </c>
      <c r="C24" s="6225"/>
      <c r="D24" s="6225"/>
      <c r="E24" s="6226"/>
      <c r="F24" s="6239">
        <v>0</v>
      </c>
      <c r="G24" s="6240"/>
      <c r="H24" s="6239"/>
      <c r="I24" s="6240"/>
      <c r="J24" s="6310">
        <f>F13</f>
        <v>150</v>
      </c>
      <c r="K24" s="6228"/>
      <c r="L24" s="6313">
        <f>J24*H24*F24</f>
        <v>0</v>
      </c>
      <c r="M24" s="6314"/>
      <c r="N24" s="651"/>
      <c r="O24" s="651"/>
      <c r="P24" s="651"/>
      <c r="Q24" s="651"/>
    </row>
    <row r="25" spans="1:17" s="116" customFormat="1" ht="16.5" customHeight="1" x14ac:dyDescent="0.3">
      <c r="A25" s="651"/>
      <c r="B25" s="6224" t="s">
        <v>1479</v>
      </c>
      <c r="C25" s="6225"/>
      <c r="D25" s="6225"/>
      <c r="E25" s="6226"/>
      <c r="F25" s="6227">
        <v>0</v>
      </c>
      <c r="G25" s="6228"/>
      <c r="H25" s="6227">
        <v>0</v>
      </c>
      <c r="I25" s="6228"/>
      <c r="J25" s="6310">
        <v>400</v>
      </c>
      <c r="K25" s="6228"/>
      <c r="L25" s="6311">
        <f t="shared" si="1"/>
        <v>0</v>
      </c>
      <c r="M25" s="6312"/>
      <c r="N25" s="651"/>
      <c r="O25" s="651"/>
      <c r="P25" s="651"/>
      <c r="Q25" s="651"/>
    </row>
    <row r="26" spans="1:17" s="116" customFormat="1" ht="16.5" customHeight="1" x14ac:dyDescent="0.3">
      <c r="A26" s="651"/>
      <c r="B26" s="6224" t="s">
        <v>637</v>
      </c>
      <c r="C26" s="6225"/>
      <c r="D26" s="6225"/>
      <c r="E26" s="6226"/>
      <c r="F26" s="6227"/>
      <c r="G26" s="6228"/>
      <c r="H26" s="6227"/>
      <c r="I26" s="6228"/>
      <c r="J26" s="6310"/>
      <c r="K26" s="6228"/>
      <c r="L26" s="6311">
        <f t="shared" si="1"/>
        <v>0</v>
      </c>
      <c r="M26" s="6312"/>
      <c r="N26" s="651"/>
      <c r="O26" s="651"/>
      <c r="P26" s="651"/>
      <c r="Q26" s="651"/>
    </row>
    <row r="27" spans="1:17" s="116" customFormat="1" ht="16.5" customHeight="1" x14ac:dyDescent="0.3">
      <c r="A27" s="651"/>
      <c r="B27" s="6224" t="s">
        <v>897</v>
      </c>
      <c r="C27" s="6225"/>
      <c r="D27" s="6225"/>
      <c r="E27" s="6226"/>
      <c r="F27" s="6227"/>
      <c r="G27" s="6228"/>
      <c r="H27" s="6227"/>
      <c r="I27" s="6228"/>
      <c r="J27" s="6310"/>
      <c r="K27" s="6228"/>
      <c r="L27" s="6311">
        <v>0</v>
      </c>
      <c r="M27" s="6312"/>
      <c r="N27" s="651"/>
      <c r="O27" s="651"/>
      <c r="P27" s="651"/>
      <c r="Q27" s="651"/>
    </row>
    <row r="28" spans="1:17" s="116" customFormat="1" ht="16.5" customHeight="1" x14ac:dyDescent="0.3">
      <c r="A28" s="651"/>
      <c r="B28" s="6224" t="s">
        <v>898</v>
      </c>
      <c r="C28" s="6225"/>
      <c r="D28" s="6225"/>
      <c r="E28" s="6226"/>
      <c r="F28" s="6227"/>
      <c r="G28" s="6228"/>
      <c r="H28" s="6227"/>
      <c r="I28" s="6228"/>
      <c r="J28" s="6310"/>
      <c r="K28" s="6228"/>
      <c r="L28" s="6311">
        <f t="shared" si="1"/>
        <v>0</v>
      </c>
      <c r="M28" s="6312"/>
      <c r="N28" s="651"/>
      <c r="O28" s="651"/>
      <c r="P28" s="651"/>
      <c r="Q28" s="651"/>
    </row>
    <row r="29" spans="1:17" s="116" customFormat="1" ht="16.5" customHeight="1" x14ac:dyDescent="0.3">
      <c r="A29" s="651"/>
      <c r="B29" s="6224" t="s">
        <v>898</v>
      </c>
      <c r="C29" s="6225"/>
      <c r="D29" s="6225"/>
      <c r="E29" s="6226"/>
      <c r="F29" s="6227"/>
      <c r="G29" s="6228"/>
      <c r="H29" s="6227"/>
      <c r="I29" s="6228"/>
      <c r="J29" s="6310"/>
      <c r="K29" s="6228"/>
      <c r="L29" s="6311">
        <f t="shared" si="1"/>
        <v>0</v>
      </c>
      <c r="M29" s="6312"/>
      <c r="N29" s="651"/>
      <c r="O29" s="651"/>
      <c r="P29" s="651"/>
      <c r="Q29" s="651"/>
    </row>
    <row r="30" spans="1:17" s="116" customFormat="1" ht="9.75" customHeight="1" thickBot="1" x14ac:dyDescent="0.35">
      <c r="A30" s="651"/>
      <c r="B30" s="972"/>
      <c r="C30" s="973"/>
      <c r="D30" s="973"/>
      <c r="E30" s="974"/>
      <c r="F30" s="975"/>
      <c r="G30" s="976"/>
      <c r="H30" s="975"/>
      <c r="I30" s="976"/>
      <c r="J30" s="975"/>
      <c r="K30" s="976"/>
      <c r="L30" s="977"/>
      <c r="M30" s="978"/>
      <c r="N30" s="651"/>
      <c r="O30" s="651"/>
      <c r="P30" s="651"/>
      <c r="Q30" s="651"/>
    </row>
    <row r="31" spans="1:17" s="118" customFormat="1" ht="19.5" thickTop="1" thickBot="1" x14ac:dyDescent="0.4">
      <c r="A31" s="979"/>
      <c r="B31" s="6301" t="s">
        <v>222</v>
      </c>
      <c r="C31" s="6302"/>
      <c r="D31" s="6302"/>
      <c r="E31" s="6302"/>
      <c r="F31" s="6303">
        <f>SUM(F21:F30)</f>
        <v>3</v>
      </c>
      <c r="G31" s="6304"/>
      <c r="H31" s="6303">
        <f>SUM(H21:H30)</f>
        <v>1.5</v>
      </c>
      <c r="I31" s="6304"/>
      <c r="J31" s="6303"/>
      <c r="K31" s="6304"/>
      <c r="L31" s="6305">
        <f>SUM(L20:M30)</f>
        <v>675</v>
      </c>
      <c r="M31" s="6306"/>
      <c r="N31" s="836"/>
      <c r="O31" s="836"/>
      <c r="P31" s="836"/>
      <c r="Q31" s="836"/>
    </row>
    <row r="32" spans="1:17" s="116" customFormat="1" ht="15.75" customHeight="1" thickTop="1" x14ac:dyDescent="0.3">
      <c r="A32" s="651"/>
      <c r="B32" s="651"/>
      <c r="C32" s="651"/>
      <c r="D32" s="651"/>
      <c r="E32" s="651"/>
      <c r="F32" s="651"/>
      <c r="G32" s="678"/>
      <c r="H32" s="678"/>
      <c r="I32" s="651"/>
      <c r="J32" s="651"/>
      <c r="K32" s="651"/>
      <c r="L32" s="651"/>
      <c r="M32" s="651"/>
      <c r="N32" s="651"/>
      <c r="O32" s="651"/>
      <c r="P32" s="651"/>
      <c r="Q32" s="651"/>
    </row>
    <row r="33" spans="1:17" s="116" customFormat="1" ht="16" thickBot="1" x14ac:dyDescent="0.4">
      <c r="A33" s="980"/>
      <c r="B33" s="981"/>
      <c r="C33" s="981"/>
      <c r="D33" s="981"/>
      <c r="E33" s="651"/>
      <c r="F33" s="651"/>
      <c r="G33" s="651"/>
      <c r="H33" s="651"/>
      <c r="I33" s="651"/>
      <c r="J33" s="651"/>
      <c r="K33" s="651"/>
      <c r="L33" s="651"/>
      <c r="M33" s="651"/>
      <c r="N33" s="651"/>
      <c r="O33" s="651"/>
      <c r="P33" s="651"/>
      <c r="Q33" s="651"/>
    </row>
    <row r="34" spans="1:17" s="116" customFormat="1" ht="32.25" customHeight="1" thickTop="1" thickBot="1" x14ac:dyDescent="0.35">
      <c r="A34" s="651"/>
      <c r="B34" s="6307" t="s">
        <v>899</v>
      </c>
      <c r="C34" s="6308"/>
      <c r="D34" s="6308"/>
      <c r="E34" s="6308"/>
      <c r="F34" s="6308"/>
      <c r="G34" s="6308"/>
      <c r="H34" s="6308"/>
      <c r="I34" s="6308"/>
      <c r="J34" s="6308"/>
      <c r="K34" s="6308"/>
      <c r="L34" s="6308"/>
      <c r="M34" s="6308"/>
      <c r="N34" s="6308"/>
      <c r="O34" s="6308"/>
      <c r="P34" s="6309"/>
      <c r="Q34" s="651"/>
    </row>
    <row r="35" spans="1:17" s="118" customFormat="1" ht="51" customHeight="1" thickTop="1" x14ac:dyDescent="0.35">
      <c r="A35" s="836"/>
      <c r="B35" s="6290" t="s">
        <v>494</v>
      </c>
      <c r="C35" s="6291"/>
      <c r="D35" s="6291"/>
      <c r="E35" s="6291"/>
      <c r="F35" s="6292" t="s">
        <v>493</v>
      </c>
      <c r="G35" s="6292"/>
      <c r="H35" s="6293" t="s">
        <v>1317</v>
      </c>
      <c r="I35" s="6293"/>
      <c r="J35" s="6293" t="s">
        <v>1480</v>
      </c>
      <c r="K35" s="6293"/>
      <c r="L35" s="6292" t="s">
        <v>18</v>
      </c>
      <c r="M35" s="6292"/>
      <c r="N35" s="6292"/>
      <c r="O35" s="6292"/>
      <c r="P35" s="6294"/>
      <c r="Q35" s="836"/>
    </row>
    <row r="36" spans="1:17" s="118" customFormat="1" ht="18.75" customHeight="1" x14ac:dyDescent="0.35">
      <c r="A36" s="836"/>
      <c r="B36" s="5588" t="str">
        <f>'03-BUSINESSCARD-OFR2'!B9:F9</f>
        <v xml:space="preserve">CA issu de l'offre EQUNIX </v>
      </c>
      <c r="C36" s="5589"/>
      <c r="D36" s="5589"/>
      <c r="E36" s="5589"/>
      <c r="F36" s="6281"/>
      <c r="G36" s="6282"/>
      <c r="H36" s="6275" t="s">
        <v>900</v>
      </c>
      <c r="I36" s="6275"/>
      <c r="J36" s="6295"/>
      <c r="K36" s="6296"/>
      <c r="L36" s="6281"/>
      <c r="M36" s="6297"/>
      <c r="N36" s="6297"/>
      <c r="O36" s="6297"/>
      <c r="P36" s="6298"/>
      <c r="Q36" s="836"/>
    </row>
    <row r="37" spans="1:17" s="118" customFormat="1" ht="16.899999999999999" customHeight="1" x14ac:dyDescent="0.35">
      <c r="A37" s="1529"/>
      <c r="B37" s="6170" t="str">
        <f>'03-BUSINESSCARD-OFR2'!B10</f>
        <v>CA Payement "one shot" ( mode licence, frais de set up … )</v>
      </c>
      <c r="C37" s="6171"/>
      <c r="D37" s="6171"/>
      <c r="E37" s="6171"/>
      <c r="F37" s="6172">
        <f>'03-BUSINESSCARD-OFR2'!G10</f>
        <v>10000</v>
      </c>
      <c r="G37" s="6172"/>
      <c r="H37" s="6149">
        <f>'03-BUSINESSCARD-OFR2'!J9</f>
        <v>0.35</v>
      </c>
      <c r="I37" s="6149"/>
      <c r="J37" s="6172">
        <f>F37*H37</f>
        <v>3500</v>
      </c>
      <c r="K37" s="6172"/>
      <c r="L37" s="6299"/>
      <c r="M37" s="6299"/>
      <c r="N37" s="6299"/>
      <c r="O37" s="6299"/>
      <c r="P37" s="6300"/>
      <c r="Q37" s="836"/>
    </row>
    <row r="38" spans="1:17" s="118" customFormat="1" ht="16.899999999999999" customHeight="1" x14ac:dyDescent="0.35">
      <c r="A38" s="982"/>
      <c r="B38" s="6146" t="str">
        <f>'03-BUSINESSCARD-OFR2'!B11</f>
        <v>Licence</v>
      </c>
      <c r="C38" s="6009"/>
      <c r="D38" s="6009"/>
      <c r="E38" s="6009"/>
      <c r="F38" s="6173">
        <f>'03-BUSINESSCARD-OFR2'!G11</f>
        <v>2500</v>
      </c>
      <c r="G38" s="6173"/>
      <c r="H38" s="6149">
        <f>'03-BUSINESSCARD-OFR2'!J9</f>
        <v>0.35</v>
      </c>
      <c r="I38" s="6149"/>
      <c r="J38" s="6150">
        <f>F38*H38</f>
        <v>875</v>
      </c>
      <c r="K38" s="6150"/>
      <c r="L38" s="6151"/>
      <c r="M38" s="6151"/>
      <c r="N38" s="6151"/>
      <c r="O38" s="6151"/>
      <c r="P38" s="6152"/>
      <c r="Q38" s="836"/>
    </row>
    <row r="39" spans="1:17" s="118" customFormat="1" ht="16.899999999999999" customHeight="1" x14ac:dyDescent="0.35">
      <c r="A39" s="982"/>
      <c r="B39" s="6146" t="str">
        <f>'03-BUSINESSCARD-OFR2'!B12</f>
        <v>Connecteur GF</v>
      </c>
      <c r="C39" s="6009"/>
      <c r="D39" s="6009"/>
      <c r="E39" s="6009"/>
      <c r="F39" s="6173">
        <f>'03-BUSINESSCARD-OFR2'!G12</f>
        <v>1100</v>
      </c>
      <c r="G39" s="6173"/>
      <c r="H39" s="6149">
        <f>'03-BUSINESSCARD-OFR2'!J9</f>
        <v>0.35</v>
      </c>
      <c r="I39" s="6149"/>
      <c r="J39" s="6150">
        <f>F39*H39</f>
        <v>385</v>
      </c>
      <c r="K39" s="6150"/>
      <c r="L39" s="2070"/>
      <c r="M39" s="2071"/>
      <c r="N39" s="2071"/>
      <c r="O39" s="2071"/>
      <c r="P39" s="2072"/>
      <c r="Q39" s="836"/>
    </row>
    <row r="40" spans="1:17" s="118" customFormat="1" ht="16.899999999999999" customHeight="1" x14ac:dyDescent="0.35">
      <c r="A40" s="982"/>
      <c r="B40" s="6146" t="str">
        <f>'03-BUSINESSCARD-OFR2'!B13</f>
        <v>Installation à distance</v>
      </c>
      <c r="C40" s="6009"/>
      <c r="D40" s="6009"/>
      <c r="E40" s="6009"/>
      <c r="F40" s="6173">
        <f>'03-BUSINESSCARD-OFR2'!G13</f>
        <v>2900</v>
      </c>
      <c r="G40" s="6173"/>
      <c r="H40" s="6149">
        <f>'03-BUSINESSCARD-OFR2'!J9</f>
        <v>0.35</v>
      </c>
      <c r="I40" s="6149"/>
      <c r="J40" s="6150">
        <f>F40*H40</f>
        <v>1014.9999999999999</v>
      </c>
      <c r="K40" s="6150"/>
      <c r="L40" s="2070"/>
      <c r="M40" s="2071"/>
      <c r="N40" s="2071"/>
      <c r="O40" s="2071"/>
      <c r="P40" s="2072"/>
      <c r="Q40" s="836"/>
    </row>
    <row r="41" spans="1:17" s="118" customFormat="1" ht="16.899999999999999" customHeight="1" x14ac:dyDescent="0.35">
      <c r="A41" s="982"/>
      <c r="B41" s="6146" t="str">
        <f>'03-BUSINESSCARD-OFR2'!B15</f>
        <v>Cadrage projet</v>
      </c>
      <c r="C41" s="6009"/>
      <c r="D41" s="6009"/>
      <c r="E41" s="6009"/>
      <c r="F41" s="6173">
        <f>'03-BUSINESSCARD-OFR2'!G15</f>
        <v>2000</v>
      </c>
      <c r="G41" s="6173"/>
      <c r="H41" s="6149">
        <f>'03-BUSINESSCARD-OFR2'!J9</f>
        <v>0.35</v>
      </c>
      <c r="I41" s="6149"/>
      <c r="J41" s="6150">
        <f>F41*H41</f>
        <v>700</v>
      </c>
      <c r="K41" s="6150"/>
      <c r="L41" s="2070"/>
      <c r="M41" s="2071"/>
      <c r="N41" s="2071"/>
      <c r="O41" s="2071"/>
      <c r="P41" s="2072"/>
      <c r="Q41" s="836"/>
    </row>
    <row r="42" spans="1:17" s="118" customFormat="1" ht="16.899999999999999" customHeight="1" x14ac:dyDescent="0.35">
      <c r="A42" s="982"/>
      <c r="B42" s="6146">
        <f>'03-BUSINESSCARD-OFR2'!B16</f>
        <v>0</v>
      </c>
      <c r="C42" s="6009"/>
      <c r="D42" s="6009"/>
      <c r="E42" s="6009"/>
      <c r="F42" s="2101"/>
      <c r="G42" s="2102"/>
      <c r="H42" s="2122"/>
      <c r="I42" s="2123"/>
      <c r="J42" s="2120"/>
      <c r="K42" s="2121"/>
      <c r="L42" s="2070"/>
      <c r="M42" s="2071"/>
      <c r="N42" s="2071"/>
      <c r="O42" s="2071"/>
      <c r="P42" s="2072"/>
      <c r="Q42" s="836"/>
    </row>
    <row r="43" spans="1:17" s="118" customFormat="1" ht="10.9" customHeight="1" x14ac:dyDescent="0.35">
      <c r="A43" s="1530" t="s">
        <v>1811</v>
      </c>
      <c r="B43" s="6162"/>
      <c r="C43" s="6163"/>
      <c r="D43" s="6163"/>
      <c r="E43" s="6164"/>
      <c r="F43" s="6165"/>
      <c r="G43" s="6166"/>
      <c r="H43" s="6160"/>
      <c r="I43" s="6161"/>
      <c r="J43" s="6165"/>
      <c r="K43" s="6166"/>
      <c r="L43" s="6167"/>
      <c r="M43" s="6168"/>
      <c r="N43" s="6168"/>
      <c r="O43" s="6168"/>
      <c r="P43" s="6169"/>
      <c r="Q43" s="836"/>
    </row>
    <row r="44" spans="1:17" s="118" customFormat="1" ht="16.899999999999999" customHeight="1" x14ac:dyDescent="0.35">
      <c r="A44" s="982"/>
      <c r="B44" s="6170" t="str">
        <f>'03-BUSINESSCARD-OFR2'!B17</f>
        <v>CA payement annuel récurrent ( SaaS, maintenance ... )</v>
      </c>
      <c r="C44" s="6171"/>
      <c r="D44" s="6171"/>
      <c r="E44" s="6171"/>
      <c r="F44" s="6172">
        <f>'03-BUSINESSCARD-OFR2'!G17</f>
        <v>2000</v>
      </c>
      <c r="G44" s="6172"/>
      <c r="H44" s="6149">
        <f>'03-BUSINESSCARD-OFR2'!J9</f>
        <v>0.35</v>
      </c>
      <c r="I44" s="6149"/>
      <c r="J44" s="6172">
        <f>F44*H44</f>
        <v>700</v>
      </c>
      <c r="K44" s="6172"/>
      <c r="L44" s="6151"/>
      <c r="M44" s="6151"/>
      <c r="N44" s="6151"/>
      <c r="O44" s="6151"/>
      <c r="P44" s="6152"/>
      <c r="Q44" s="836"/>
    </row>
    <row r="45" spans="1:17" s="118" customFormat="1" ht="19.149999999999999" customHeight="1" x14ac:dyDescent="0.35">
      <c r="A45" s="982"/>
      <c r="B45" s="6146" t="str">
        <f>'03-BUSINESSCARD-OFR2'!B18:F18</f>
        <v>Services Hébergement</v>
      </c>
      <c r="C45" s="6009"/>
      <c r="D45" s="6009"/>
      <c r="E45" s="6009"/>
      <c r="F45" s="6147">
        <f>'03-BUSINESSCARD-OFR2'!G18</f>
        <v>400</v>
      </c>
      <c r="G45" s="6148"/>
      <c r="H45" s="6160">
        <f>'03-BUSINESSCARD-OFR2'!J9</f>
        <v>0.35</v>
      </c>
      <c r="I45" s="6161"/>
      <c r="J45" s="6150">
        <f>F45*H45</f>
        <v>140</v>
      </c>
      <c r="K45" s="6150"/>
      <c r="L45" s="6151"/>
      <c r="M45" s="6151"/>
      <c r="N45" s="6151"/>
      <c r="O45" s="6151"/>
      <c r="P45" s="6152"/>
      <c r="Q45" s="836"/>
    </row>
    <row r="46" spans="1:17" s="118" customFormat="1" ht="16.899999999999999" customHeight="1" x14ac:dyDescent="0.35">
      <c r="A46" s="982"/>
      <c r="B46" s="6146" t="str">
        <f>'03-BUSINESSCARD-OFR2'!B19:F19</f>
        <v>Maintenance licence</v>
      </c>
      <c r="C46" s="6009"/>
      <c r="D46" s="6009"/>
      <c r="E46" s="6009"/>
      <c r="F46" s="6147">
        <f>'03-BUSINESSCARD-OFR2'!G19</f>
        <v>449</v>
      </c>
      <c r="G46" s="6148"/>
      <c r="H46" s="6149">
        <f>'03-BUSINESSCARD-OFR2'!J9</f>
        <v>0.35</v>
      </c>
      <c r="I46" s="6149"/>
      <c r="J46" s="6150">
        <f t="shared" ref="J46:J51" si="2">F46*H46</f>
        <v>157.14999999999998</v>
      </c>
      <c r="K46" s="6150"/>
      <c r="L46" s="6151"/>
      <c r="M46" s="6151"/>
      <c r="N46" s="6151"/>
      <c r="O46" s="6151"/>
      <c r="P46" s="6152"/>
      <c r="Q46" s="836"/>
    </row>
    <row r="47" spans="1:17" s="118" customFormat="1" ht="16.899999999999999" customHeight="1" x14ac:dyDescent="0.35">
      <c r="A47" s="982"/>
      <c r="B47" s="6146" t="str">
        <f>'03-BUSINESSCARD-OFR2'!B20:F20</f>
        <v>Maintenance connecteur</v>
      </c>
      <c r="C47" s="6009"/>
      <c r="D47" s="6009"/>
      <c r="E47" s="6009"/>
      <c r="F47" s="6147">
        <f>'03-BUSINESSCARD-OFR2'!G20</f>
        <v>530</v>
      </c>
      <c r="G47" s="6148"/>
      <c r="H47" s="6149">
        <f>'03-BUSINESSCARD-OFR2'!J9</f>
        <v>0.35</v>
      </c>
      <c r="I47" s="6149"/>
      <c r="J47" s="6150">
        <f t="shared" si="2"/>
        <v>185.5</v>
      </c>
      <c r="K47" s="6150"/>
      <c r="L47" s="6151"/>
      <c r="M47" s="6151"/>
      <c r="N47" s="6151"/>
      <c r="O47" s="6151"/>
      <c r="P47" s="6152"/>
      <c r="Q47" s="836"/>
    </row>
    <row r="48" spans="1:17" s="118" customFormat="1" ht="16.899999999999999" customHeight="1" x14ac:dyDescent="0.35">
      <c r="A48" s="982"/>
      <c r="B48" s="6146">
        <f>'03-BUSINESSCARD-OFR2'!B21:F21</f>
        <v>0</v>
      </c>
      <c r="C48" s="6009"/>
      <c r="D48" s="6009"/>
      <c r="E48" s="6009"/>
      <c r="F48" s="6147">
        <f>'03-BUSINESSCARD-OFR2'!G21</f>
        <v>221</v>
      </c>
      <c r="G48" s="6148"/>
      <c r="H48" s="6149">
        <f>'03-BUSINESSCARD-OFR2'!J9</f>
        <v>0.35</v>
      </c>
      <c r="I48" s="6149"/>
      <c r="J48" s="6150">
        <f t="shared" si="2"/>
        <v>77.349999999999994</v>
      </c>
      <c r="K48" s="6150"/>
      <c r="L48" s="6151"/>
      <c r="M48" s="6151"/>
      <c r="N48" s="6151"/>
      <c r="O48" s="6151"/>
      <c r="P48" s="6152"/>
      <c r="Q48" s="836"/>
    </row>
    <row r="49" spans="1:17" s="118" customFormat="1" ht="16.899999999999999" customHeight="1" x14ac:dyDescent="0.35">
      <c r="A49" s="982"/>
      <c r="B49" s="6146">
        <f>'03-BUSINESSCARD-OFR2'!B22:F22</f>
        <v>0</v>
      </c>
      <c r="C49" s="6009"/>
      <c r="D49" s="6009"/>
      <c r="E49" s="6009"/>
      <c r="F49" s="6147">
        <f>'03-BUSINESSCARD-OFR2'!G22</f>
        <v>400</v>
      </c>
      <c r="G49" s="6148"/>
      <c r="H49" s="6149">
        <f>'03-BUSINESSCARD-OFR2'!J9</f>
        <v>0.35</v>
      </c>
      <c r="I49" s="6149"/>
      <c r="J49" s="6150">
        <f t="shared" si="2"/>
        <v>140</v>
      </c>
      <c r="K49" s="6150"/>
      <c r="L49" s="6151"/>
      <c r="M49" s="6151"/>
      <c r="N49" s="6151"/>
      <c r="O49" s="6151"/>
      <c r="P49" s="6152"/>
      <c r="Q49" s="836"/>
    </row>
    <row r="50" spans="1:17" s="118" customFormat="1" ht="16.899999999999999" customHeight="1" x14ac:dyDescent="0.35">
      <c r="A50" s="982"/>
      <c r="B50" s="6146">
        <f>'03-BUSINESSCARD-OFR2'!B23:F23</f>
        <v>0</v>
      </c>
      <c r="C50" s="6009"/>
      <c r="D50" s="6009"/>
      <c r="E50" s="6009"/>
      <c r="F50" s="6147">
        <f>'03-BUSINESSCARD-OFR2'!G23</f>
        <v>0</v>
      </c>
      <c r="G50" s="6148"/>
      <c r="H50" s="6149">
        <f>'03-BUSINESSCARD-OFR2'!J9</f>
        <v>0.35</v>
      </c>
      <c r="I50" s="6149"/>
      <c r="J50" s="6150">
        <f t="shared" si="2"/>
        <v>0</v>
      </c>
      <c r="K50" s="6150"/>
      <c r="L50" s="6151"/>
      <c r="M50" s="6151"/>
      <c r="N50" s="6151"/>
      <c r="O50" s="6151"/>
      <c r="P50" s="6152"/>
      <c r="Q50" s="836"/>
    </row>
    <row r="51" spans="1:17" s="118" customFormat="1" ht="16.5" customHeight="1" x14ac:dyDescent="0.35">
      <c r="A51" s="982"/>
      <c r="B51" s="6146">
        <f>'03-BUSINESSCARD-OFR2'!B24:F24</f>
        <v>0</v>
      </c>
      <c r="C51" s="6009"/>
      <c r="D51" s="6009"/>
      <c r="E51" s="6009"/>
      <c r="F51" s="6147">
        <f>'03-BUSINESSCARD-OFR2'!G24</f>
        <v>0</v>
      </c>
      <c r="G51" s="6148"/>
      <c r="H51" s="6149">
        <f>'03-BUSINESSCARD-OFR2'!J9</f>
        <v>0.35</v>
      </c>
      <c r="I51" s="6149"/>
      <c r="J51" s="6150">
        <f t="shared" si="2"/>
        <v>0</v>
      </c>
      <c r="K51" s="6150"/>
      <c r="L51" s="6151"/>
      <c r="M51" s="6151"/>
      <c r="N51" s="6151"/>
      <c r="O51" s="6151"/>
      <c r="P51" s="6152"/>
      <c r="Q51" s="836"/>
    </row>
    <row r="52" spans="1:17" s="118" customFormat="1" ht="16.899999999999999" customHeight="1" x14ac:dyDescent="0.35">
      <c r="A52" s="979"/>
      <c r="B52" s="6153" t="s">
        <v>535</v>
      </c>
      <c r="C52" s="6154"/>
      <c r="D52" s="6154"/>
      <c r="E52" s="6154"/>
      <c r="F52" s="6155">
        <f>SUM(F37,F44)</f>
        <v>12000</v>
      </c>
      <c r="G52" s="6155"/>
      <c r="H52" s="6156"/>
      <c r="I52" s="6157"/>
      <c r="J52" s="6155">
        <f>SUM(J44+J37)</f>
        <v>4200</v>
      </c>
      <c r="K52" s="6155"/>
      <c r="L52" s="6158"/>
      <c r="M52" s="6158"/>
      <c r="N52" s="6158"/>
      <c r="O52" s="6158"/>
      <c r="P52" s="6159"/>
      <c r="Q52" s="836"/>
    </row>
    <row r="53" spans="1:17" s="118" customFormat="1" ht="6.75" customHeight="1" x14ac:dyDescent="0.35">
      <c r="A53" s="983"/>
      <c r="B53" s="6287"/>
      <c r="C53" s="6288"/>
      <c r="D53" s="6288"/>
      <c r="E53" s="6288"/>
      <c r="F53" s="6288"/>
      <c r="G53" s="6288"/>
      <c r="H53" s="6288"/>
      <c r="I53" s="6288"/>
      <c r="J53" s="6288"/>
      <c r="K53" s="6288"/>
      <c r="L53" s="6288"/>
      <c r="M53" s="6288"/>
      <c r="N53" s="6288"/>
      <c r="O53" s="6288"/>
      <c r="P53" s="6289"/>
      <c r="Q53" s="836"/>
    </row>
    <row r="54" spans="1:17" s="118" customFormat="1" ht="33" customHeight="1" x14ac:dyDescent="0.35">
      <c r="A54" s="979"/>
      <c r="B54" s="5588" t="s">
        <v>872</v>
      </c>
      <c r="C54" s="5589"/>
      <c r="D54" s="5589"/>
      <c r="E54" s="5589"/>
      <c r="F54" s="6281" t="s">
        <v>493</v>
      </c>
      <c r="G54" s="6282"/>
      <c r="H54" s="6275" t="s">
        <v>867</v>
      </c>
      <c r="I54" s="6275"/>
      <c r="J54" s="6283" t="s">
        <v>1316</v>
      </c>
      <c r="K54" s="6284"/>
      <c r="L54" s="6285"/>
      <c r="M54" s="6285"/>
      <c r="N54" s="6285"/>
      <c r="O54" s="6285"/>
      <c r="P54" s="6286"/>
      <c r="Q54" s="836"/>
    </row>
    <row r="55" spans="1:17" s="118" customFormat="1" ht="16.899999999999999" customHeight="1" x14ac:dyDescent="0.35">
      <c r="A55" s="836"/>
      <c r="B55" s="6146" t="str">
        <f>'03-BUSINESSCARD-OFR2'!B28:F28</f>
        <v>Avant vente: Analyse , audit, conseil</v>
      </c>
      <c r="C55" s="6009"/>
      <c r="D55" s="6009"/>
      <c r="E55" s="6009"/>
      <c r="F55" s="6267">
        <f>'03-BUSINESSCARD-OFR2'!K28</f>
        <v>1000</v>
      </c>
      <c r="G55" s="6267"/>
      <c r="H55" s="6280">
        <f>'03-BUSINESSCARD-OFR2'!I28</f>
        <v>1</v>
      </c>
      <c r="I55" s="6280"/>
      <c r="J55" s="6270">
        <f>F55-(H55*F11)</f>
        <v>775</v>
      </c>
      <c r="K55" s="6270"/>
      <c r="L55" s="6271"/>
      <c r="M55" s="6271"/>
      <c r="N55" s="6271"/>
      <c r="O55" s="6271"/>
      <c r="P55" s="6272"/>
      <c r="Q55" s="836"/>
    </row>
    <row r="56" spans="1:17" s="118" customFormat="1" ht="16.899999999999999" customHeight="1" x14ac:dyDescent="0.35">
      <c r="A56" s="836"/>
      <c r="B56" s="6146" t="str">
        <f>'03-BUSINESSCARD-OFR2'!B29:F29</f>
        <v>Installation : paramétrage</v>
      </c>
      <c r="C56" s="6009"/>
      <c r="D56" s="6009"/>
      <c r="E56" s="6009"/>
      <c r="F56" s="6267">
        <f>'03-BUSINESSCARD-OFR2'!K29</f>
        <v>500</v>
      </c>
      <c r="G56" s="6267"/>
      <c r="H56" s="6280">
        <f>'03-BUSINESSCARD-OFR2'!I29</f>
        <v>0.5</v>
      </c>
      <c r="I56" s="6280"/>
      <c r="J56" s="6270">
        <f>F56-(H56*F12)</f>
        <v>387.5</v>
      </c>
      <c r="K56" s="6270"/>
      <c r="L56" s="6271"/>
      <c r="M56" s="6271"/>
      <c r="N56" s="6271"/>
      <c r="O56" s="6271"/>
      <c r="P56" s="6272"/>
      <c r="Q56" s="836"/>
    </row>
    <row r="57" spans="1:17" s="118" customFormat="1" ht="16.899999999999999" customHeight="1" x14ac:dyDescent="0.35">
      <c r="A57" s="836"/>
      <c r="B57" s="6146" t="str">
        <f>'03-BUSINESSCARD-OFR2'!B30:F30</f>
        <v xml:space="preserve">Suivi </v>
      </c>
      <c r="C57" s="6009"/>
      <c r="D57" s="6009"/>
      <c r="E57" s="6009"/>
      <c r="F57" s="6267">
        <f>'03-BUSINESSCARD-OFR2'!K30</f>
        <v>0</v>
      </c>
      <c r="G57" s="6267"/>
      <c r="H57" s="6280">
        <f>'03-BUSINESSCARD-OFR2'!I30</f>
        <v>0</v>
      </c>
      <c r="I57" s="6280"/>
      <c r="J57" s="6270">
        <f>F57-(H57*F12)</f>
        <v>0</v>
      </c>
      <c r="K57" s="6270"/>
      <c r="L57" s="6271"/>
      <c r="M57" s="6271"/>
      <c r="N57" s="6271"/>
      <c r="O57" s="6271"/>
      <c r="P57" s="6272"/>
      <c r="Q57" s="836"/>
    </row>
    <row r="58" spans="1:17" s="118" customFormat="1" ht="16.899999999999999" customHeight="1" x14ac:dyDescent="0.35">
      <c r="A58" s="836"/>
      <c r="B58" s="6146" t="str">
        <f>'03-BUSINESSCARD-OFR2'!B31:F31</f>
        <v>integration avec le SI client /Déployement/ Installation</v>
      </c>
      <c r="C58" s="6009"/>
      <c r="D58" s="6009"/>
      <c r="E58" s="6009"/>
      <c r="F58" s="6267">
        <f>'03-BUSINESSCARD-OFR2'!K31</f>
        <v>0</v>
      </c>
      <c r="G58" s="6267"/>
      <c r="H58" s="6280">
        <f>'03-BUSINESSCARD-OFR2'!I31</f>
        <v>0</v>
      </c>
      <c r="I58" s="6280"/>
      <c r="J58" s="6270">
        <f>F58-(H58*F12)</f>
        <v>0</v>
      </c>
      <c r="K58" s="6270"/>
      <c r="L58" s="6271"/>
      <c r="M58" s="6271"/>
      <c r="N58" s="6271"/>
      <c r="O58" s="6271"/>
      <c r="P58" s="6272"/>
      <c r="Q58" s="836"/>
    </row>
    <row r="59" spans="1:17" s="118" customFormat="1" ht="16.899999999999999" customHeight="1" x14ac:dyDescent="0.35">
      <c r="A59" s="836"/>
      <c r="B59" s="6146" t="str">
        <f>'03-BUSINESSCARD-OFR2'!B32:F32</f>
        <v>Formation des utilisateurs</v>
      </c>
      <c r="C59" s="6009"/>
      <c r="D59" s="6009"/>
      <c r="E59" s="6009"/>
      <c r="F59" s="6267">
        <f>'03-BUSINESSCARD-OFR2'!K32</f>
        <v>0</v>
      </c>
      <c r="G59" s="6267"/>
      <c r="H59" s="6280">
        <f>'03-BUSINESSCARD-OFR2'!I32</f>
        <v>0</v>
      </c>
      <c r="I59" s="6280"/>
      <c r="J59" s="6270">
        <f>F59-(H59*F12)</f>
        <v>0</v>
      </c>
      <c r="K59" s="6270"/>
      <c r="L59" s="6271"/>
      <c r="M59" s="6271"/>
      <c r="N59" s="6271"/>
      <c r="O59" s="6271"/>
      <c r="P59" s="6272"/>
      <c r="Q59" s="836"/>
    </row>
    <row r="60" spans="1:17" s="118" customFormat="1" ht="16.899999999999999" customHeight="1" x14ac:dyDescent="0.35">
      <c r="A60" s="836"/>
      <c r="B60" s="6146" t="str">
        <f>'03-BUSINESSCARD-OFR2'!B33:F33</f>
        <v>Formation des administrateurs</v>
      </c>
      <c r="C60" s="6009"/>
      <c r="D60" s="6009"/>
      <c r="E60" s="6009"/>
      <c r="F60" s="6267">
        <f>'03-BUSINESSCARD-OFR2'!K33</f>
        <v>0</v>
      </c>
      <c r="G60" s="6267"/>
      <c r="H60" s="6280">
        <f>'03-BUSINESSCARD-OFR2'!I33</f>
        <v>0</v>
      </c>
      <c r="I60" s="6280"/>
      <c r="J60" s="6270">
        <f>F60-(H60*F12)</f>
        <v>0</v>
      </c>
      <c r="K60" s="6270"/>
      <c r="L60" s="6271"/>
      <c r="M60" s="6271"/>
      <c r="N60" s="6271"/>
      <c r="O60" s="6271"/>
      <c r="P60" s="6272"/>
      <c r="Q60" s="836"/>
    </row>
    <row r="61" spans="1:17" s="118" customFormat="1" ht="16.899999999999999" customHeight="1" x14ac:dyDescent="0.35">
      <c r="A61" s="836"/>
      <c r="B61" s="6146" t="str">
        <f>'03-BUSINESSCARD-OFR2'!B34:F34</f>
        <v>Accompagnement au changement</v>
      </c>
      <c r="C61" s="6009"/>
      <c r="D61" s="6009"/>
      <c r="E61" s="6009"/>
      <c r="F61" s="6267">
        <f>'03-BUSINESSCARD-OFR2'!K34</f>
        <v>0</v>
      </c>
      <c r="G61" s="6267"/>
      <c r="H61" s="6280">
        <f>'03-BUSINESSCARD-OFR2'!I34</f>
        <v>0</v>
      </c>
      <c r="I61" s="6280"/>
      <c r="J61" s="6270">
        <f>F61-(H61*F12)</f>
        <v>0</v>
      </c>
      <c r="K61" s="6270"/>
      <c r="L61" s="6271"/>
      <c r="M61" s="6271"/>
      <c r="N61" s="6271"/>
      <c r="O61" s="6271"/>
      <c r="P61" s="6272"/>
      <c r="Q61" s="836"/>
    </row>
    <row r="62" spans="1:17" s="118" customFormat="1" ht="16.899999999999999" customHeight="1" x14ac:dyDescent="0.35">
      <c r="A62" s="836"/>
      <c r="B62" s="6146" t="str">
        <f>'03-BUSINESSCARD-OFR2'!B35:F35</f>
        <v>Autre prestation 1</v>
      </c>
      <c r="C62" s="6009"/>
      <c r="D62" s="6009"/>
      <c r="E62" s="6009"/>
      <c r="F62" s="6267">
        <f>'03-BUSINESSCARD-OFR2'!K35</f>
        <v>0</v>
      </c>
      <c r="G62" s="6267"/>
      <c r="H62" s="6280">
        <f>'03-BUSINESSCARD-OFR2'!I35</f>
        <v>0</v>
      </c>
      <c r="I62" s="6280"/>
      <c r="J62" s="6270">
        <f>F62-(H62*F12)</f>
        <v>0</v>
      </c>
      <c r="K62" s="6270"/>
      <c r="L62" s="1253"/>
      <c r="M62" s="1254"/>
      <c r="N62" s="1254"/>
      <c r="O62" s="1254"/>
      <c r="P62" s="1255"/>
      <c r="Q62" s="836"/>
    </row>
    <row r="63" spans="1:17" s="118" customFormat="1" ht="16.899999999999999" customHeight="1" x14ac:dyDescent="0.35">
      <c r="A63" s="836"/>
      <c r="B63" s="6146" t="str">
        <f>'03-BUSINESSCARD-OFR2'!B36:F36</f>
        <v>Autre prestation 2</v>
      </c>
      <c r="C63" s="6009"/>
      <c r="D63" s="6009"/>
      <c r="E63" s="6009"/>
      <c r="F63" s="6267">
        <f>'03-BUSINESSCARD-OFR2'!K36</f>
        <v>0</v>
      </c>
      <c r="G63" s="6267"/>
      <c r="H63" s="6280">
        <f>'03-BUSINESSCARD-OFR2'!I36</f>
        <v>0</v>
      </c>
      <c r="I63" s="6280"/>
      <c r="J63" s="6270">
        <f>F63-(H63*F12)</f>
        <v>0</v>
      </c>
      <c r="K63" s="6270"/>
      <c r="L63" s="1253"/>
      <c r="M63" s="1254"/>
      <c r="N63" s="1254"/>
      <c r="O63" s="1254"/>
      <c r="P63" s="1255"/>
      <c r="Q63" s="836"/>
    </row>
    <row r="64" spans="1:17" s="118" customFormat="1" ht="15.75" customHeight="1" x14ac:dyDescent="0.35">
      <c r="A64" s="836"/>
      <c r="B64" s="6162"/>
      <c r="C64" s="6163"/>
      <c r="D64" s="6163"/>
      <c r="E64" s="6164"/>
      <c r="F64" s="6273"/>
      <c r="G64" s="6274"/>
      <c r="H64" s="6275" t="s">
        <v>1482</v>
      </c>
      <c r="I64" s="6275"/>
      <c r="J64" s="6241"/>
      <c r="K64" s="6276"/>
      <c r="L64" s="6277"/>
      <c r="M64" s="6278"/>
      <c r="N64" s="6278"/>
      <c r="O64" s="6278"/>
      <c r="P64" s="6279"/>
      <c r="Q64" s="836"/>
    </row>
    <row r="65" spans="1:17" s="118" customFormat="1" ht="16.5" customHeight="1" x14ac:dyDescent="0.35">
      <c r="A65" s="836"/>
      <c r="B65" s="6146" t="str">
        <f>'03-BUSINESSCARD-OFR2'!B38:F38</f>
        <v>Suivi / Support niveau 1 et 2.  Suivi des sélections</v>
      </c>
      <c r="C65" s="6009"/>
      <c r="D65" s="6009"/>
      <c r="E65" s="6009"/>
      <c r="F65" s="6267">
        <f>'03-BUSINESSCARD-OFR2'!K38</f>
        <v>1000</v>
      </c>
      <c r="G65" s="6267"/>
      <c r="H65" s="6268">
        <v>0.5</v>
      </c>
      <c r="I65" s="6269"/>
      <c r="J65" s="6270">
        <f>F65- (F65*H65)</f>
        <v>500</v>
      </c>
      <c r="K65" s="6270"/>
      <c r="L65" s="6271"/>
      <c r="M65" s="6271"/>
      <c r="N65" s="6271"/>
      <c r="O65" s="6271"/>
      <c r="P65" s="6272"/>
      <c r="Q65" s="836"/>
    </row>
    <row r="66" spans="1:17" s="118" customFormat="1" ht="16.5" customHeight="1" x14ac:dyDescent="0.35">
      <c r="A66" s="836"/>
      <c r="B66" s="6146" t="str">
        <f>'03-BUSINESSCARD-OFR2'!B39:F39</f>
        <v>Restauration</v>
      </c>
      <c r="C66" s="6009"/>
      <c r="D66" s="6009"/>
      <c r="E66" s="6009"/>
      <c r="F66" s="6267">
        <f>'03-BUSINESSCARD-OFR2'!K39</f>
        <v>500</v>
      </c>
      <c r="G66" s="6267"/>
      <c r="H66" s="6268">
        <v>0.5</v>
      </c>
      <c r="I66" s="6269"/>
      <c r="J66" s="6270">
        <f>F66- (F66*H66)</f>
        <v>250</v>
      </c>
      <c r="K66" s="6270"/>
      <c r="L66" s="6271"/>
      <c r="M66" s="6271"/>
      <c r="N66" s="6271"/>
      <c r="O66" s="6271"/>
      <c r="P66" s="6272"/>
      <c r="Q66" s="836"/>
    </row>
    <row r="67" spans="1:17" s="118" customFormat="1" ht="16.5" customHeight="1" x14ac:dyDescent="0.35">
      <c r="A67" s="836"/>
      <c r="B67" s="6146" t="str">
        <f>'03-BUSINESSCARD-OFR2'!B40:F40</f>
        <v>Infogérance administration</v>
      </c>
      <c r="C67" s="6009"/>
      <c r="D67" s="6009"/>
      <c r="E67" s="6009"/>
      <c r="F67" s="6267">
        <f>'03-BUSINESSCARD-OFR2'!K40</f>
        <v>0</v>
      </c>
      <c r="G67" s="6267"/>
      <c r="H67" s="6268">
        <v>0.5</v>
      </c>
      <c r="I67" s="6269"/>
      <c r="J67" s="6270">
        <f>F67- (F67*H67)</f>
        <v>0</v>
      </c>
      <c r="K67" s="6270"/>
      <c r="L67" s="6271"/>
      <c r="M67" s="6271"/>
      <c r="N67" s="6271"/>
      <c r="O67" s="6271"/>
      <c r="P67" s="6272"/>
      <c r="Q67" s="836"/>
    </row>
    <row r="68" spans="1:17" s="118" customFormat="1" ht="16.5" customHeight="1" x14ac:dyDescent="0.35">
      <c r="A68" s="836"/>
      <c r="B68" s="6146" t="str">
        <f>'03-BUSINESSCARD-OFR2'!B41:F41</f>
        <v>Autres</v>
      </c>
      <c r="C68" s="6009"/>
      <c r="D68" s="6009"/>
      <c r="E68" s="6009"/>
      <c r="F68" s="6267">
        <f>'03-BUSINESSCARD-OFR2'!K41</f>
        <v>0</v>
      </c>
      <c r="G68" s="6267"/>
      <c r="H68" s="6268"/>
      <c r="I68" s="6269"/>
      <c r="J68" s="6270">
        <f>F68- (F68*H68)</f>
        <v>0</v>
      </c>
      <c r="K68" s="6270"/>
      <c r="L68" s="6271"/>
      <c r="M68" s="6271"/>
      <c r="N68" s="6271"/>
      <c r="O68" s="6271"/>
      <c r="P68" s="6272"/>
      <c r="Q68" s="836"/>
    </row>
    <row r="69" spans="1:17" s="118" customFormat="1" ht="16.5" customHeight="1" x14ac:dyDescent="0.35">
      <c r="A69" s="836"/>
      <c r="B69" s="6146" t="str">
        <f>'03-BUSINESSCARD-OFR2'!B42:F42</f>
        <v>Autres</v>
      </c>
      <c r="C69" s="6009"/>
      <c r="D69" s="6009"/>
      <c r="E69" s="6009"/>
      <c r="F69" s="6267">
        <f>'03-BUSINESSCARD-OFR2'!K42</f>
        <v>0</v>
      </c>
      <c r="G69" s="6267"/>
      <c r="H69" s="6268"/>
      <c r="I69" s="6269"/>
      <c r="J69" s="6270">
        <f>F69- (F69*H69)</f>
        <v>0</v>
      </c>
      <c r="K69" s="6270"/>
      <c r="L69" s="6271"/>
      <c r="M69" s="6271"/>
      <c r="N69" s="6271"/>
      <c r="O69" s="6271"/>
      <c r="P69" s="6272"/>
      <c r="Q69" s="836"/>
    </row>
    <row r="70" spans="1:17" s="118" customFormat="1" ht="16.899999999999999" customHeight="1" x14ac:dyDescent="0.35">
      <c r="A70" s="836"/>
      <c r="B70" s="6153" t="s">
        <v>536</v>
      </c>
      <c r="C70" s="6154"/>
      <c r="D70" s="6154"/>
      <c r="E70" s="6154"/>
      <c r="F70" s="6155">
        <f>SUM(F55:G69)</f>
        <v>3000</v>
      </c>
      <c r="G70" s="6155"/>
      <c r="H70" s="6261"/>
      <c r="I70" s="6261"/>
      <c r="J70" s="6155">
        <f>SUM(J55:K69)</f>
        <v>1912.5</v>
      </c>
      <c r="K70" s="6155"/>
      <c r="L70" s="6262"/>
      <c r="M70" s="6262"/>
      <c r="N70" s="6262"/>
      <c r="O70" s="6262"/>
      <c r="P70" s="6263"/>
      <c r="Q70" s="836"/>
    </row>
    <row r="71" spans="1:17" s="116" customFormat="1" ht="6.75" customHeight="1" x14ac:dyDescent="0.3">
      <c r="A71" s="651"/>
      <c r="B71" s="6264"/>
      <c r="C71" s="6265"/>
      <c r="D71" s="6265"/>
      <c r="E71" s="6265"/>
      <c r="F71" s="6265"/>
      <c r="G71" s="6265"/>
      <c r="H71" s="6265"/>
      <c r="I71" s="6265"/>
      <c r="J71" s="6265"/>
      <c r="K71" s="6265"/>
      <c r="L71" s="6265"/>
      <c r="M71" s="6265"/>
      <c r="N71" s="6265"/>
      <c r="O71" s="6265"/>
      <c r="P71" s="6266"/>
      <c r="Q71" s="651"/>
    </row>
    <row r="72" spans="1:17" s="118" customFormat="1" ht="22.5" customHeight="1" thickBot="1" x14ac:dyDescent="0.4">
      <c r="A72" s="836"/>
      <c r="B72" s="6248" t="s">
        <v>222</v>
      </c>
      <c r="C72" s="6249"/>
      <c r="D72" s="6249"/>
      <c r="E72" s="6249"/>
      <c r="F72" s="6250">
        <f>SUM(F52+F70)</f>
        <v>15000</v>
      </c>
      <c r="G72" s="6251"/>
      <c r="H72" s="6252"/>
      <c r="I72" s="6253"/>
      <c r="J72" s="6250">
        <f>SUM(J52+J70)</f>
        <v>6112.5</v>
      </c>
      <c r="K72" s="6251"/>
      <c r="L72" s="994" t="s">
        <v>639</v>
      </c>
      <c r="M72" s="6259">
        <f>J72/F72</f>
        <v>0.40749999999999997</v>
      </c>
      <c r="N72" s="6260" t="s">
        <v>640</v>
      </c>
      <c r="O72" s="2132" t="s">
        <v>1067</v>
      </c>
      <c r="P72" s="998"/>
      <c r="Q72" s="836"/>
    </row>
    <row r="73" spans="1:17" s="116" customFormat="1" ht="13.5" thickTop="1" x14ac:dyDescent="0.3">
      <c r="A73" s="651"/>
      <c r="B73" s="651"/>
      <c r="C73" s="651"/>
      <c r="D73" s="651"/>
      <c r="E73" s="675"/>
      <c r="F73" s="651"/>
      <c r="G73" s="651"/>
      <c r="H73" s="651"/>
      <c r="I73" s="651"/>
      <c r="J73" s="651"/>
      <c r="K73" s="651"/>
      <c r="L73" s="651"/>
      <c r="M73" s="651"/>
      <c r="N73" s="651"/>
      <c r="O73" s="651"/>
      <c r="P73" s="651"/>
      <c r="Q73" s="651"/>
    </row>
    <row r="74" spans="1:17" s="116" customFormat="1" ht="13.5" thickBot="1" x14ac:dyDescent="0.35">
      <c r="A74" s="651"/>
      <c r="B74" s="651"/>
      <c r="C74" s="651"/>
      <c r="D74" s="651"/>
      <c r="E74" s="651"/>
      <c r="F74" s="651"/>
      <c r="G74" s="651"/>
      <c r="H74" s="651"/>
      <c r="I74" s="651"/>
      <c r="J74" s="651"/>
      <c r="K74" s="651"/>
      <c r="L74" s="651"/>
      <c r="M74" s="651"/>
      <c r="N74" s="651"/>
      <c r="O74" s="651"/>
      <c r="P74" s="651"/>
      <c r="Q74" s="651"/>
    </row>
    <row r="75" spans="1:17" s="116" customFormat="1" ht="27" customHeight="1" thickTop="1" x14ac:dyDescent="0.3">
      <c r="A75" s="651"/>
      <c r="B75" s="6130" t="s">
        <v>516</v>
      </c>
      <c r="C75" s="6131"/>
      <c r="D75" s="6131"/>
      <c r="E75" s="6131"/>
      <c r="F75" s="6131"/>
      <c r="G75" s="6131"/>
      <c r="H75" s="6131"/>
      <c r="I75" s="6131"/>
      <c r="J75" s="6131"/>
      <c r="K75" s="6131"/>
      <c r="L75" s="6131"/>
      <c r="M75" s="6132"/>
      <c r="N75" s="651"/>
      <c r="O75" s="651"/>
      <c r="P75" s="651"/>
      <c r="Q75" s="651"/>
    </row>
    <row r="76" spans="1:17" s="116" customFormat="1" ht="24" customHeight="1" x14ac:dyDescent="0.3">
      <c r="A76" s="651"/>
      <c r="B76" s="6254" t="s">
        <v>1168</v>
      </c>
      <c r="C76" s="6255"/>
      <c r="D76" s="6255"/>
      <c r="E76" s="6256"/>
      <c r="F76" s="6257" t="s">
        <v>497</v>
      </c>
      <c r="G76" s="6256"/>
      <c r="H76" s="6257" t="s">
        <v>492</v>
      </c>
      <c r="I76" s="6256"/>
      <c r="J76" s="6257" t="s">
        <v>1312</v>
      </c>
      <c r="K76" s="6256"/>
      <c r="L76" s="6257" t="s">
        <v>127</v>
      </c>
      <c r="M76" s="6258"/>
      <c r="N76" s="651"/>
      <c r="O76" s="651"/>
      <c r="P76" s="651"/>
      <c r="Q76" s="651"/>
    </row>
    <row r="77" spans="1:17" s="116" customFormat="1" ht="16.899999999999999" customHeight="1" x14ac:dyDescent="0.3">
      <c r="A77" s="651"/>
      <c r="B77" s="6224" t="s">
        <v>491</v>
      </c>
      <c r="C77" s="6225"/>
      <c r="D77" s="6225"/>
      <c r="E77" s="6226"/>
      <c r="F77" s="6243"/>
      <c r="G77" s="6164"/>
      <c r="H77" s="6243"/>
      <c r="I77" s="6164"/>
      <c r="J77" s="6244"/>
      <c r="K77" s="6245"/>
      <c r="L77" s="6246">
        <v>0</v>
      </c>
      <c r="M77" s="6247"/>
      <c r="N77" s="651"/>
      <c r="O77" s="651"/>
      <c r="P77" s="651"/>
      <c r="Q77" s="651"/>
    </row>
    <row r="78" spans="1:17" s="116" customFormat="1" ht="16.899999999999999" customHeight="1" x14ac:dyDescent="0.3">
      <c r="A78" s="651"/>
      <c r="B78" s="6224" t="s">
        <v>490</v>
      </c>
      <c r="C78" s="6225"/>
      <c r="D78" s="6225"/>
      <c r="E78" s="6226"/>
      <c r="F78" s="6239">
        <v>1</v>
      </c>
      <c r="G78" s="6240"/>
      <c r="H78" s="6239">
        <v>1</v>
      </c>
      <c r="I78" s="6240"/>
      <c r="J78" s="6229">
        <f>F9</f>
        <v>300</v>
      </c>
      <c r="K78" s="6230"/>
      <c r="L78" s="6241">
        <f>J78*H78*F78</f>
        <v>300</v>
      </c>
      <c r="M78" s="6242"/>
      <c r="N78" s="651"/>
      <c r="O78" s="651"/>
      <c r="P78" s="651"/>
      <c r="Q78" s="651"/>
    </row>
    <row r="79" spans="1:17" s="116" customFormat="1" ht="16.899999999999999" customHeight="1" x14ac:dyDescent="0.3">
      <c r="A79" s="651"/>
      <c r="B79" s="6224" t="s">
        <v>489</v>
      </c>
      <c r="C79" s="6225"/>
      <c r="D79" s="6225"/>
      <c r="E79" s="6226"/>
      <c r="F79" s="6239">
        <v>0</v>
      </c>
      <c r="G79" s="6240"/>
      <c r="H79" s="6239">
        <v>0</v>
      </c>
      <c r="I79" s="6240"/>
      <c r="J79" s="6229">
        <f>F10</f>
        <v>225</v>
      </c>
      <c r="K79" s="6230"/>
      <c r="L79" s="6241">
        <f>J79*H79*F79</f>
        <v>0</v>
      </c>
      <c r="M79" s="6242"/>
      <c r="N79" s="651"/>
      <c r="O79" s="651"/>
      <c r="P79" s="651"/>
      <c r="Q79" s="651"/>
    </row>
    <row r="80" spans="1:17" s="116" customFormat="1" ht="16.899999999999999" customHeight="1" x14ac:dyDescent="0.3">
      <c r="A80" s="651"/>
      <c r="B80" s="1591" t="s">
        <v>1322</v>
      </c>
      <c r="C80" s="1592"/>
      <c r="D80" s="1592"/>
      <c r="E80" s="1593"/>
      <c r="F80" s="6239"/>
      <c r="G80" s="6240"/>
      <c r="H80" s="6239"/>
      <c r="I80" s="6240"/>
      <c r="J80" s="6229">
        <f>F80*H80*F12</f>
        <v>0</v>
      </c>
      <c r="K80" s="6230"/>
      <c r="L80" s="6241">
        <f>J80*H80*F80</f>
        <v>0</v>
      </c>
      <c r="M80" s="6242"/>
      <c r="N80" s="651"/>
      <c r="O80" s="651"/>
      <c r="P80" s="651"/>
      <c r="Q80" s="651"/>
    </row>
    <row r="81" spans="1:17" s="116" customFormat="1" ht="16.5" customHeight="1" x14ac:dyDescent="0.3">
      <c r="A81" s="651"/>
      <c r="B81" s="6224" t="s">
        <v>1321</v>
      </c>
      <c r="C81" s="6225"/>
      <c r="D81" s="6225"/>
      <c r="E81" s="6226"/>
      <c r="F81" s="6227"/>
      <c r="G81" s="6228"/>
      <c r="H81" s="6227"/>
      <c r="I81" s="6228"/>
      <c r="J81" s="6229"/>
      <c r="K81" s="6230"/>
      <c r="L81" s="6231"/>
      <c r="M81" s="6232"/>
      <c r="N81" s="651"/>
      <c r="O81" s="651"/>
      <c r="P81" s="651"/>
      <c r="Q81" s="651"/>
    </row>
    <row r="82" spans="1:17" s="116" customFormat="1" ht="16.5" customHeight="1" x14ac:dyDescent="0.3">
      <c r="A82" s="651"/>
      <c r="B82" s="6224" t="s">
        <v>102</v>
      </c>
      <c r="C82" s="6225"/>
      <c r="D82" s="6225"/>
      <c r="E82" s="6226"/>
      <c r="F82" s="6227"/>
      <c r="G82" s="6228"/>
      <c r="H82" s="6227"/>
      <c r="I82" s="6228"/>
      <c r="J82" s="6229"/>
      <c r="K82" s="6230"/>
      <c r="L82" s="6231"/>
      <c r="M82" s="6232"/>
      <c r="N82" s="651"/>
      <c r="O82" s="651"/>
      <c r="P82" s="651"/>
      <c r="Q82" s="651"/>
    </row>
    <row r="83" spans="1:17" s="116" customFormat="1" ht="16.5" customHeight="1" x14ac:dyDescent="0.3">
      <c r="A83" s="651"/>
      <c r="B83" s="6224"/>
      <c r="C83" s="6225"/>
      <c r="D83" s="6225"/>
      <c r="E83" s="6226"/>
      <c r="F83" s="6227"/>
      <c r="G83" s="6228"/>
      <c r="H83" s="6227"/>
      <c r="I83" s="6228"/>
      <c r="J83" s="6229"/>
      <c r="K83" s="6230"/>
      <c r="L83" s="6231"/>
      <c r="M83" s="6232"/>
      <c r="N83" s="651"/>
      <c r="O83" s="651"/>
      <c r="P83" s="651"/>
      <c r="Q83" s="651"/>
    </row>
    <row r="84" spans="1:17" s="116" customFormat="1" ht="16.899999999999999" customHeight="1" x14ac:dyDescent="0.3">
      <c r="A84" s="651"/>
      <c r="B84" s="6233" t="s">
        <v>517</v>
      </c>
      <c r="C84" s="6234"/>
      <c r="D84" s="6234"/>
      <c r="E84" s="6235"/>
      <c r="F84" s="6236">
        <f>SUM(F77:G83)</f>
        <v>1</v>
      </c>
      <c r="G84" s="6235"/>
      <c r="H84" s="6236">
        <f>SUM(H77:I83)</f>
        <v>1</v>
      </c>
      <c r="I84" s="6235"/>
      <c r="J84" s="6236"/>
      <c r="K84" s="6235"/>
      <c r="L84" s="6237">
        <f>SUM(L77:M83)</f>
        <v>300</v>
      </c>
      <c r="M84" s="6238"/>
      <c r="N84" s="651"/>
      <c r="O84" s="651"/>
      <c r="P84" s="651"/>
      <c r="Q84" s="651"/>
    </row>
    <row r="85" spans="1:17" s="116" customFormat="1" ht="16.899999999999999" customHeight="1" thickBot="1" x14ac:dyDescent="0.35">
      <c r="A85" s="651"/>
      <c r="B85" s="6212" t="s">
        <v>1169</v>
      </c>
      <c r="C85" s="6213"/>
      <c r="D85" s="6213"/>
      <c r="E85" s="6214"/>
      <c r="F85" s="6215">
        <v>0.5</v>
      </c>
      <c r="G85" s="6216"/>
      <c r="H85" s="6217"/>
      <c r="I85" s="6214"/>
      <c r="J85" s="6218"/>
      <c r="K85" s="6219"/>
      <c r="L85" s="6220">
        <f>L86-L84</f>
        <v>300</v>
      </c>
      <c r="M85" s="6221"/>
      <c r="N85" s="651"/>
      <c r="O85" s="651"/>
      <c r="P85" s="651"/>
      <c r="Q85" s="651"/>
    </row>
    <row r="86" spans="1:17" s="118" customFormat="1" ht="19.5" customHeight="1" thickTop="1" thickBot="1" x14ac:dyDescent="0.4">
      <c r="A86" s="836"/>
      <c r="B86" s="6222"/>
      <c r="C86" s="6222"/>
      <c r="D86" s="6222"/>
      <c r="E86" s="6222"/>
      <c r="F86" s="6222"/>
      <c r="G86" s="6222"/>
      <c r="H86" s="6222"/>
      <c r="I86" s="6223"/>
      <c r="J86" s="6126" t="s">
        <v>222</v>
      </c>
      <c r="K86" s="6127"/>
      <c r="L86" s="6128">
        <f>L84/F85</f>
        <v>600</v>
      </c>
      <c r="M86" s="6129"/>
      <c r="N86" s="999" t="s">
        <v>639</v>
      </c>
      <c r="O86" s="1000">
        <f>L86/F72</f>
        <v>0.04</v>
      </c>
      <c r="P86" s="1001" t="s">
        <v>1067</v>
      </c>
      <c r="Q86" s="836"/>
    </row>
    <row r="87" spans="1:17" s="116" customFormat="1" ht="13.5" thickTop="1" x14ac:dyDescent="0.3">
      <c r="A87" s="651"/>
      <c r="B87" s="675"/>
      <c r="C87" s="651"/>
      <c r="D87" s="651"/>
      <c r="E87" s="651"/>
      <c r="F87" s="651"/>
      <c r="G87" s="651"/>
      <c r="H87" s="651"/>
      <c r="I87" s="651"/>
      <c r="J87" s="651"/>
      <c r="K87" s="651"/>
      <c r="L87" s="651"/>
      <c r="M87" s="651"/>
      <c r="N87" s="651"/>
      <c r="O87" s="651"/>
      <c r="P87" s="651"/>
      <c r="Q87" s="651"/>
    </row>
    <row r="88" spans="1:17" s="116" customFormat="1" ht="13.5" thickBot="1" x14ac:dyDescent="0.35">
      <c r="A88" s="651"/>
      <c r="B88" s="651"/>
      <c r="C88" s="651"/>
      <c r="D88" s="651"/>
      <c r="E88" s="651"/>
      <c r="F88" s="651"/>
      <c r="G88" s="651"/>
      <c r="H88" s="651"/>
      <c r="I88" s="651"/>
      <c r="J88" s="651"/>
      <c r="K88" s="651"/>
      <c r="L88" s="651"/>
      <c r="M88" s="651"/>
      <c r="N88" s="651"/>
      <c r="O88" s="651"/>
      <c r="P88" s="651"/>
      <c r="Q88" s="651"/>
    </row>
    <row r="89" spans="1:17" s="159" customFormat="1" ht="24" customHeight="1" thickTop="1" x14ac:dyDescent="0.35">
      <c r="A89" s="984"/>
      <c r="B89" s="6130" t="s">
        <v>486</v>
      </c>
      <c r="C89" s="6131"/>
      <c r="D89" s="6131"/>
      <c r="E89" s="6131"/>
      <c r="F89" s="6131"/>
      <c r="G89" s="6132"/>
      <c r="H89" s="984"/>
      <c r="I89" s="984"/>
      <c r="J89" s="984"/>
      <c r="K89" s="984"/>
      <c r="L89" s="984"/>
      <c r="M89" s="984"/>
      <c r="N89" s="984"/>
      <c r="O89" s="984"/>
      <c r="P89" s="984"/>
      <c r="Q89" s="984"/>
    </row>
    <row r="90" spans="1:17" s="116" customFormat="1" ht="6.75" customHeight="1" x14ac:dyDescent="0.3">
      <c r="A90" s="651"/>
      <c r="B90" s="6138"/>
      <c r="C90" s="6139"/>
      <c r="D90" s="6139"/>
      <c r="E90" s="6139"/>
      <c r="F90" s="6139"/>
      <c r="G90" s="6140"/>
      <c r="H90" s="651"/>
      <c r="I90" s="651"/>
      <c r="J90" s="651"/>
      <c r="K90" s="651"/>
      <c r="L90" s="651"/>
      <c r="M90" s="651"/>
      <c r="N90" s="651"/>
      <c r="O90" s="651"/>
      <c r="P90" s="651"/>
      <c r="Q90" s="651"/>
    </row>
    <row r="91" spans="1:17" s="116" customFormat="1" ht="15" customHeight="1" x14ac:dyDescent="0.3">
      <c r="A91" s="651"/>
      <c r="B91" s="6141" t="s">
        <v>638</v>
      </c>
      <c r="C91" s="6142"/>
      <c r="D91" s="6142"/>
      <c r="E91" s="6143"/>
      <c r="F91" s="6144">
        <f>J72</f>
        <v>6112.5</v>
      </c>
      <c r="G91" s="6145"/>
      <c r="H91" s="651"/>
      <c r="I91" s="651"/>
      <c r="J91" s="651"/>
      <c r="K91" s="651"/>
      <c r="L91" s="651"/>
      <c r="M91" s="651"/>
      <c r="N91" s="651"/>
      <c r="O91" s="651"/>
      <c r="P91" s="651"/>
      <c r="Q91" s="651"/>
    </row>
    <row r="92" spans="1:17" s="116" customFormat="1" ht="15" customHeight="1" x14ac:dyDescent="0.3">
      <c r="A92" s="651"/>
      <c r="B92" s="6141" t="s">
        <v>488</v>
      </c>
      <c r="C92" s="6142"/>
      <c r="D92" s="6142"/>
      <c r="E92" s="6143"/>
      <c r="F92" s="6144">
        <f>L86</f>
        <v>600</v>
      </c>
      <c r="G92" s="6145"/>
      <c r="H92" s="651"/>
      <c r="I92" s="651"/>
      <c r="J92" s="651"/>
      <c r="K92" s="651"/>
      <c r="L92" s="651"/>
      <c r="M92" s="651"/>
      <c r="N92" s="651"/>
      <c r="O92" s="651"/>
      <c r="P92" s="651"/>
      <c r="Q92" s="651"/>
    </row>
    <row r="93" spans="1:17" s="116" customFormat="1" ht="6" customHeight="1" thickBot="1" x14ac:dyDescent="0.35">
      <c r="A93" s="651"/>
      <c r="B93" s="6123"/>
      <c r="C93" s="6124"/>
      <c r="D93" s="6124"/>
      <c r="E93" s="6124"/>
      <c r="F93" s="6124"/>
      <c r="G93" s="6125"/>
      <c r="H93" s="651"/>
      <c r="I93" s="651"/>
      <c r="J93" s="651"/>
      <c r="K93" s="651"/>
      <c r="L93" s="651"/>
      <c r="M93" s="651"/>
      <c r="N93" s="651"/>
      <c r="O93" s="651"/>
      <c r="P93" s="651"/>
      <c r="Q93" s="651"/>
    </row>
    <row r="94" spans="1:17" s="160" customFormat="1" ht="19.5" thickTop="1" thickBot="1" x14ac:dyDescent="0.4">
      <c r="A94" s="985"/>
      <c r="B94" s="986"/>
      <c r="C94" s="987"/>
      <c r="D94" s="6126" t="s">
        <v>222</v>
      </c>
      <c r="E94" s="6127"/>
      <c r="F94" s="6128">
        <f>F91-F92</f>
        <v>5512.5</v>
      </c>
      <c r="G94" s="6129"/>
      <c r="H94" s="1002" t="s">
        <v>639</v>
      </c>
      <c r="I94" s="1003">
        <f>F94/F72</f>
        <v>0.36749999999999999</v>
      </c>
      <c r="J94" s="1004" t="s">
        <v>1067</v>
      </c>
      <c r="K94" s="985"/>
      <c r="L94" s="985"/>
      <c r="M94" s="985"/>
      <c r="N94" s="985"/>
      <c r="O94" s="985"/>
      <c r="P94" s="985"/>
      <c r="Q94" s="985"/>
    </row>
    <row r="95" spans="1:17" s="116" customFormat="1" ht="13.5" thickTop="1" x14ac:dyDescent="0.3">
      <c r="A95" s="651"/>
      <c r="B95" s="651"/>
      <c r="C95" s="651"/>
      <c r="D95" s="651"/>
      <c r="E95" s="651"/>
      <c r="F95" s="651"/>
      <c r="G95" s="651"/>
      <c r="H95" s="651"/>
      <c r="I95" s="651"/>
      <c r="J95" s="651"/>
      <c r="K95" s="651"/>
      <c r="L95" s="651"/>
      <c r="M95" s="651"/>
      <c r="N95" s="651"/>
      <c r="O95" s="651"/>
      <c r="P95" s="651"/>
      <c r="Q95" s="651"/>
    </row>
    <row r="96" spans="1:17" s="116" customFormat="1" ht="13.5" thickBot="1" x14ac:dyDescent="0.35">
      <c r="A96" s="651"/>
      <c r="B96" s="651"/>
      <c r="C96" s="651"/>
      <c r="D96" s="651"/>
      <c r="E96" s="651"/>
      <c r="F96" s="651"/>
      <c r="G96" s="651"/>
      <c r="H96" s="651"/>
      <c r="I96" s="651"/>
      <c r="J96" s="651"/>
      <c r="K96" s="651"/>
      <c r="L96" s="651"/>
      <c r="M96" s="651"/>
      <c r="N96" s="651"/>
      <c r="O96" s="651"/>
      <c r="P96" s="651"/>
      <c r="Q96" s="651"/>
    </row>
    <row r="97" spans="1:17" s="116" customFormat="1" ht="27.75" customHeight="1" thickTop="1" x14ac:dyDescent="0.3">
      <c r="A97" s="651"/>
      <c r="B97" s="6130" t="s">
        <v>518</v>
      </c>
      <c r="C97" s="6131"/>
      <c r="D97" s="6131"/>
      <c r="E97" s="6131"/>
      <c r="F97" s="6131"/>
      <c r="G97" s="6132"/>
      <c r="H97" s="651"/>
      <c r="I97" s="651"/>
      <c r="J97" s="651"/>
      <c r="K97" s="651"/>
      <c r="L97" s="651"/>
      <c r="M97" s="651"/>
      <c r="N97" s="651"/>
      <c r="O97" s="651"/>
      <c r="P97" s="651"/>
      <c r="Q97" s="651"/>
    </row>
    <row r="98" spans="1:17" s="116" customFormat="1" ht="6.75" customHeight="1" x14ac:dyDescent="0.3">
      <c r="A98" s="651"/>
      <c r="B98" s="6133"/>
      <c r="C98" s="6134"/>
      <c r="D98" s="6134"/>
      <c r="E98" s="6134"/>
      <c r="F98" s="6134"/>
      <c r="G98" s="6135"/>
      <c r="H98" s="651"/>
      <c r="I98" s="651"/>
      <c r="J98" s="651"/>
      <c r="K98" s="651"/>
      <c r="L98" s="651"/>
      <c r="M98" s="651"/>
      <c r="N98" s="651"/>
      <c r="O98" s="651"/>
      <c r="P98" s="651"/>
      <c r="Q98" s="651"/>
    </row>
    <row r="99" spans="1:17" s="116" customFormat="1" ht="15" customHeight="1" x14ac:dyDescent="0.3">
      <c r="A99" s="651"/>
      <c r="B99" s="988" t="s">
        <v>487</v>
      </c>
      <c r="C99" s="989"/>
      <c r="D99" s="989"/>
      <c r="E99" s="990"/>
      <c r="F99" s="6136">
        <f>L31</f>
        <v>675</v>
      </c>
      <c r="G99" s="6137"/>
      <c r="H99" s="651"/>
      <c r="I99" s="651"/>
      <c r="J99" s="651"/>
      <c r="K99" s="651"/>
      <c r="L99" s="651"/>
      <c r="M99" s="651"/>
      <c r="N99" s="651"/>
      <c r="O99" s="651"/>
      <c r="P99" s="651"/>
      <c r="Q99" s="651"/>
    </row>
    <row r="100" spans="1:17" s="116" customFormat="1" ht="15" customHeight="1" x14ac:dyDescent="0.3">
      <c r="A100" s="651"/>
      <c r="B100" s="988" t="s">
        <v>486</v>
      </c>
      <c r="C100" s="989"/>
      <c r="D100" s="989"/>
      <c r="E100" s="990"/>
      <c r="F100" s="6136">
        <f>F94</f>
        <v>5512.5</v>
      </c>
      <c r="G100" s="6137"/>
      <c r="H100" s="651"/>
      <c r="I100" s="651"/>
      <c r="J100" s="651"/>
      <c r="K100" s="651"/>
      <c r="L100" s="651"/>
      <c r="M100" s="651"/>
      <c r="N100" s="651"/>
      <c r="O100" s="651"/>
      <c r="P100" s="651"/>
      <c r="Q100" s="651"/>
    </row>
    <row r="101" spans="1:17" s="116" customFormat="1" ht="6.75" customHeight="1" x14ac:dyDescent="0.3">
      <c r="A101" s="651"/>
      <c r="B101" s="6187"/>
      <c r="C101" s="6188"/>
      <c r="D101" s="6188"/>
      <c r="E101" s="6188"/>
      <c r="F101" s="6188"/>
      <c r="G101" s="6189"/>
      <c r="H101" s="651"/>
      <c r="I101" s="651"/>
      <c r="J101" s="651"/>
      <c r="K101" s="651"/>
      <c r="L101" s="651"/>
      <c r="M101" s="651"/>
      <c r="N101" s="651"/>
      <c r="O101" s="651"/>
      <c r="P101" s="651"/>
      <c r="Q101" s="651"/>
    </row>
    <row r="102" spans="1:17" s="116" customFormat="1" ht="16.5" customHeight="1" thickBot="1" x14ac:dyDescent="0.35">
      <c r="A102" s="651"/>
      <c r="B102" s="6190" t="s">
        <v>1068</v>
      </c>
      <c r="C102" s="6191"/>
      <c r="D102" s="6191"/>
      <c r="E102" s="6192"/>
      <c r="F102" s="6193">
        <f>F100-F99</f>
        <v>4837.5</v>
      </c>
      <c r="G102" s="6194"/>
      <c r="H102" s="651"/>
      <c r="I102" s="651"/>
      <c r="J102" s="651"/>
      <c r="K102" s="651"/>
      <c r="L102" s="651"/>
      <c r="M102" s="651"/>
      <c r="N102" s="651"/>
      <c r="O102" s="651"/>
      <c r="P102" s="651"/>
      <c r="Q102" s="651"/>
    </row>
    <row r="103" spans="1:17" s="116" customFormat="1" ht="19.5" thickTop="1" thickBot="1" x14ac:dyDescent="0.35">
      <c r="A103" s="651"/>
      <c r="B103" s="991"/>
      <c r="C103" s="992"/>
      <c r="D103" s="6126" t="s">
        <v>901</v>
      </c>
      <c r="E103" s="6127"/>
      <c r="F103" s="6195">
        <f>(F99/F100)</f>
        <v>0.12244897959183673</v>
      </c>
      <c r="G103" s="6196"/>
      <c r="H103" s="651"/>
      <c r="I103" s="651"/>
      <c r="J103" s="651"/>
      <c r="K103" s="651"/>
      <c r="L103" s="651"/>
      <c r="M103" s="651"/>
      <c r="N103" s="651"/>
      <c r="O103" s="651"/>
      <c r="P103" s="651"/>
      <c r="Q103" s="651"/>
    </row>
    <row r="104" spans="1:17" s="116" customFormat="1" ht="13.5" thickTop="1" x14ac:dyDescent="0.3">
      <c r="A104" s="678"/>
      <c r="B104" s="678"/>
      <c r="C104" s="678"/>
      <c r="D104" s="651"/>
      <c r="E104" s="651"/>
      <c r="F104" s="651"/>
      <c r="G104" s="651"/>
      <c r="H104" s="651"/>
      <c r="I104" s="651"/>
      <c r="J104" s="651"/>
      <c r="K104" s="651"/>
      <c r="L104" s="651"/>
      <c r="M104" s="651"/>
      <c r="N104" s="651"/>
      <c r="O104" s="651"/>
      <c r="P104" s="651"/>
      <c r="Q104" s="651"/>
    </row>
    <row r="105" spans="1:17" s="116" customFormat="1" ht="13" x14ac:dyDescent="0.3">
      <c r="A105" s="651"/>
      <c r="B105" s="651"/>
      <c r="C105" s="651"/>
      <c r="D105" s="651"/>
      <c r="E105" s="651"/>
      <c r="F105" s="651"/>
      <c r="G105" s="651"/>
      <c r="H105" s="651"/>
      <c r="I105" s="651"/>
      <c r="J105" s="651"/>
      <c r="K105" s="651"/>
      <c r="L105" s="651"/>
      <c r="M105" s="651"/>
      <c r="N105" s="651"/>
      <c r="O105" s="651"/>
      <c r="P105" s="651"/>
      <c r="Q105" s="651"/>
    </row>
    <row r="106" spans="1:17" s="116" customFormat="1" ht="13" x14ac:dyDescent="0.3">
      <c r="A106" s="651"/>
      <c r="B106" s="651"/>
      <c r="C106" s="651"/>
      <c r="D106" s="651"/>
      <c r="E106" s="651"/>
      <c r="F106" s="651"/>
      <c r="G106" s="651"/>
      <c r="H106" s="651"/>
      <c r="I106" s="651"/>
      <c r="J106" s="651"/>
      <c r="K106" s="651"/>
      <c r="L106" s="651"/>
      <c r="M106" s="651"/>
      <c r="N106" s="651"/>
      <c r="O106" s="651"/>
      <c r="P106" s="651"/>
      <c r="Q106" s="651"/>
    </row>
    <row r="107" spans="1:17" s="116" customFormat="1" ht="15.5" x14ac:dyDescent="0.35">
      <c r="A107" s="1538"/>
      <c r="B107" s="1538"/>
      <c r="C107" s="1538"/>
      <c r="D107" s="1538"/>
      <c r="E107" s="1539"/>
      <c r="F107" s="1537"/>
      <c r="G107" s="1606"/>
      <c r="H107" s="1606"/>
      <c r="I107" s="1606"/>
      <c r="J107" s="1606"/>
      <c r="K107" s="651"/>
      <c r="L107" s="651"/>
      <c r="M107" s="651"/>
      <c r="N107" s="651"/>
      <c r="O107" s="651"/>
      <c r="P107" s="651"/>
      <c r="Q107" s="651"/>
    </row>
    <row r="108" spans="1:17" s="118" customFormat="1" ht="20.25" customHeight="1" thickBot="1" x14ac:dyDescent="0.4">
      <c r="A108" s="6197" t="s">
        <v>1247</v>
      </c>
      <c r="B108" s="6198"/>
      <c r="C108" s="6198"/>
      <c r="D108" s="6198"/>
      <c r="E108" s="6198"/>
      <c r="F108" s="6198"/>
      <c r="G108" s="6198"/>
      <c r="H108" s="6198"/>
      <c r="I108" s="6198"/>
      <c r="J108" s="6198"/>
      <c r="K108" s="6198"/>
      <c r="L108" s="6198"/>
      <c r="M108" s="836"/>
      <c r="N108" s="836"/>
      <c r="O108" s="836"/>
      <c r="P108" s="836"/>
      <c r="Q108" s="836"/>
    </row>
    <row r="109" spans="1:17" s="116" customFormat="1" ht="15" customHeight="1" thickTop="1" x14ac:dyDescent="0.3">
      <c r="A109" s="6199"/>
      <c r="B109" s="6200"/>
      <c r="C109" s="6200"/>
      <c r="D109" s="6201"/>
      <c r="E109" s="6202" t="s">
        <v>775</v>
      </c>
      <c r="F109" s="6202"/>
      <c r="G109" s="6202" t="s">
        <v>1171</v>
      </c>
      <c r="H109" s="6202"/>
      <c r="I109" s="6202" t="s">
        <v>1172</v>
      </c>
      <c r="J109" s="6203"/>
      <c r="K109" s="6204" t="s">
        <v>1254</v>
      </c>
      <c r="L109" s="6205"/>
      <c r="M109" s="651"/>
      <c r="N109" s="651"/>
      <c r="O109" s="651"/>
      <c r="P109" s="651"/>
      <c r="Q109" s="651"/>
    </row>
    <row r="110" spans="1:17" s="116" customFormat="1" ht="13" x14ac:dyDescent="0.3">
      <c r="A110" s="6206" t="s">
        <v>1245</v>
      </c>
      <c r="B110" s="6207"/>
      <c r="C110" s="6207"/>
      <c r="D110" s="6208"/>
      <c r="E110" s="6209">
        <v>0.35</v>
      </c>
      <c r="F110" s="6210"/>
      <c r="G110" s="6209">
        <v>0.2</v>
      </c>
      <c r="H110" s="6210"/>
      <c r="I110" s="6209">
        <v>0.1</v>
      </c>
      <c r="J110" s="6211"/>
      <c r="K110" s="1187"/>
      <c r="L110" s="1188"/>
      <c r="M110" s="651" t="s">
        <v>837</v>
      </c>
      <c r="N110" s="651"/>
      <c r="O110" s="651"/>
      <c r="P110" s="651"/>
      <c r="Q110" s="651"/>
    </row>
    <row r="111" spans="1:17" s="158" customFormat="1" ht="12.75" customHeight="1" x14ac:dyDescent="0.3">
      <c r="A111" s="6107" t="s">
        <v>641</v>
      </c>
      <c r="B111" s="6108"/>
      <c r="C111" s="6108"/>
      <c r="D111" s="6109"/>
      <c r="E111" s="6110">
        <v>1</v>
      </c>
      <c r="F111" s="6111"/>
      <c r="G111" s="6110">
        <v>1</v>
      </c>
      <c r="H111" s="6111"/>
      <c r="I111" s="6112">
        <v>1</v>
      </c>
      <c r="J111" s="6113"/>
      <c r="K111" s="6114">
        <f>SUM(E111:J111)</f>
        <v>3</v>
      </c>
      <c r="L111" s="6115"/>
      <c r="M111" s="675"/>
      <c r="N111" s="675"/>
      <c r="O111" s="675"/>
      <c r="P111" s="675"/>
      <c r="Q111" s="675"/>
    </row>
    <row r="112" spans="1:17" s="1534" customFormat="1" ht="4.9000000000000004" customHeight="1" x14ac:dyDescent="0.3">
      <c r="A112" s="6116"/>
      <c r="B112" s="6117"/>
      <c r="C112" s="6117"/>
      <c r="D112" s="6118"/>
      <c r="E112" s="6119"/>
      <c r="F112" s="6120"/>
      <c r="G112" s="6120"/>
      <c r="H112" s="6121"/>
      <c r="I112" s="6119"/>
      <c r="J112" s="6122"/>
      <c r="K112" s="1531"/>
      <c r="L112" s="1532"/>
      <c r="M112" s="1533"/>
      <c r="N112" s="1533"/>
      <c r="O112" s="1533"/>
      <c r="P112" s="1533"/>
      <c r="Q112" s="1533"/>
    </row>
    <row r="113" spans="1:17" s="116" customFormat="1" ht="15" customHeight="1" x14ac:dyDescent="0.3">
      <c r="A113" s="6104" t="s">
        <v>1483</v>
      </c>
      <c r="B113" s="6105"/>
      <c r="C113" s="6105"/>
      <c r="D113" s="6106"/>
      <c r="E113" s="6090"/>
      <c r="F113" s="6091"/>
      <c r="G113" s="6091"/>
      <c r="H113" s="6092"/>
      <c r="I113" s="6090"/>
      <c r="J113" s="6091"/>
      <c r="K113" s="1189"/>
      <c r="L113" s="1190"/>
      <c r="M113" s="651"/>
      <c r="N113" s="651"/>
      <c r="O113" s="651"/>
      <c r="P113" s="651"/>
      <c r="Q113" s="651"/>
    </row>
    <row r="114" spans="1:17" s="116" customFormat="1" ht="13" x14ac:dyDescent="0.3">
      <c r="A114" s="6090" t="s">
        <v>1847</v>
      </c>
      <c r="B114" s="6091"/>
      <c r="C114" s="6091"/>
      <c r="D114" s="6092"/>
      <c r="E114" s="6016">
        <f>'03-BUSINESSCARD-OFR2'!G10*E111</f>
        <v>10000</v>
      </c>
      <c r="F114" s="6017"/>
      <c r="G114" s="6016">
        <f>E114/E111*G111</f>
        <v>10000</v>
      </c>
      <c r="H114" s="6017"/>
      <c r="I114" s="6016">
        <f>E114/E111*I111</f>
        <v>10000</v>
      </c>
      <c r="J114" s="6064"/>
      <c r="K114" s="5992">
        <f>SUM(E114:J114)</f>
        <v>30000</v>
      </c>
      <c r="L114" s="6093"/>
      <c r="M114" s="651"/>
      <c r="N114" s="651"/>
      <c r="O114" s="651"/>
      <c r="P114" s="651"/>
      <c r="Q114" s="651"/>
    </row>
    <row r="115" spans="1:17" s="116" customFormat="1" ht="7.5" customHeight="1" x14ac:dyDescent="0.3">
      <c r="A115" s="6090"/>
      <c r="B115" s="6091"/>
      <c r="C115" s="6091"/>
      <c r="D115" s="6092"/>
      <c r="E115" s="6016"/>
      <c r="F115" s="6017"/>
      <c r="G115" s="6016"/>
      <c r="H115" s="6017"/>
      <c r="I115" s="6016"/>
      <c r="J115" s="6064"/>
      <c r="K115" s="5992"/>
      <c r="L115" s="6093"/>
      <c r="M115" s="651"/>
      <c r="N115" s="651"/>
      <c r="O115" s="651"/>
      <c r="P115" s="651"/>
      <c r="Q115" s="651"/>
    </row>
    <row r="116" spans="1:17" s="116" customFormat="1" ht="28.5" customHeight="1" x14ac:dyDescent="0.3">
      <c r="A116" s="6101" t="s">
        <v>1853</v>
      </c>
      <c r="B116" s="6102"/>
      <c r="C116" s="6102"/>
      <c r="D116" s="6103"/>
      <c r="E116" s="6016">
        <f>'03-BUSINESSCARD-OFR2'!G17*E111</f>
        <v>2000</v>
      </c>
      <c r="F116" s="6017"/>
      <c r="G116" s="6016">
        <f>E116/E111*G111</f>
        <v>2000</v>
      </c>
      <c r="H116" s="6017"/>
      <c r="I116" s="6016">
        <f>G116/G111*I111</f>
        <v>2000</v>
      </c>
      <c r="J116" s="6064"/>
      <c r="K116" s="5992">
        <f t="shared" ref="K116:K122" si="3">SUM(E116:J116)</f>
        <v>6000</v>
      </c>
      <c r="L116" s="6093"/>
      <c r="M116" s="651"/>
      <c r="N116" s="651"/>
      <c r="O116" s="651"/>
      <c r="P116" s="651"/>
      <c r="Q116" s="651"/>
    </row>
    <row r="117" spans="1:17" s="116" customFormat="1" ht="26.25" customHeight="1" x14ac:dyDescent="0.3">
      <c r="A117" s="6101" t="s">
        <v>1854</v>
      </c>
      <c r="B117" s="6102"/>
      <c r="C117" s="6102"/>
      <c r="D117" s="6103"/>
      <c r="E117" s="6016"/>
      <c r="F117" s="6017"/>
      <c r="G117" s="6016">
        <f>E116</f>
        <v>2000</v>
      </c>
      <c r="H117" s="6017"/>
      <c r="I117" s="6016">
        <f>G117+G116</f>
        <v>4000</v>
      </c>
      <c r="J117" s="6064"/>
      <c r="K117" s="5992">
        <f t="shared" si="3"/>
        <v>6000</v>
      </c>
      <c r="L117" s="6093"/>
      <c r="M117" s="651"/>
      <c r="N117" s="651"/>
      <c r="O117" s="651"/>
      <c r="P117" s="651"/>
      <c r="Q117" s="651"/>
    </row>
    <row r="118" spans="1:17" s="116" customFormat="1" ht="6" customHeight="1" x14ac:dyDescent="0.3">
      <c r="A118" s="6090"/>
      <c r="B118" s="6091"/>
      <c r="C118" s="6091"/>
      <c r="D118" s="6092"/>
      <c r="E118" s="6016"/>
      <c r="F118" s="6017"/>
      <c r="G118" s="6016"/>
      <c r="H118" s="6017"/>
      <c r="I118" s="6016"/>
      <c r="J118" s="6064"/>
      <c r="K118" s="5992"/>
      <c r="L118" s="6093"/>
      <c r="M118" s="651"/>
      <c r="N118" s="651"/>
      <c r="O118" s="651"/>
      <c r="P118" s="651"/>
      <c r="Q118" s="651"/>
    </row>
    <row r="119" spans="1:17" s="116" customFormat="1" ht="13" x14ac:dyDescent="0.3">
      <c r="A119" s="6090" t="s">
        <v>1855</v>
      </c>
      <c r="B119" s="6091"/>
      <c r="C119" s="6091"/>
      <c r="D119" s="6092"/>
      <c r="E119" s="6016">
        <f>F70*E111</f>
        <v>3000</v>
      </c>
      <c r="F119" s="6017"/>
      <c r="G119" s="6016">
        <f>F70*G111</f>
        <v>3000</v>
      </c>
      <c r="H119" s="6017"/>
      <c r="I119" s="6016">
        <f>F70*I111</f>
        <v>3000</v>
      </c>
      <c r="J119" s="6017"/>
      <c r="K119" s="5992">
        <f t="shared" si="3"/>
        <v>9000</v>
      </c>
      <c r="L119" s="6093"/>
      <c r="M119" s="651"/>
      <c r="N119" s="651"/>
      <c r="O119" s="651"/>
      <c r="P119" s="651"/>
      <c r="Q119" s="651"/>
    </row>
    <row r="120" spans="1:17" s="116" customFormat="1" ht="6" customHeight="1" x14ac:dyDescent="0.3">
      <c r="A120" s="6090"/>
      <c r="B120" s="6091"/>
      <c r="C120" s="6091"/>
      <c r="D120" s="6092"/>
      <c r="E120" s="6016"/>
      <c r="F120" s="6017"/>
      <c r="G120" s="6016"/>
      <c r="H120" s="6017"/>
      <c r="I120" s="6016"/>
      <c r="J120" s="6064"/>
      <c r="K120" s="5992"/>
      <c r="L120" s="6093"/>
      <c r="M120" s="651"/>
      <c r="N120" s="651"/>
      <c r="O120" s="651"/>
      <c r="P120" s="651"/>
      <c r="Q120" s="651"/>
    </row>
    <row r="121" spans="1:17" s="116" customFormat="1" ht="13" x14ac:dyDescent="0.3">
      <c r="A121" s="6090" t="s">
        <v>1850</v>
      </c>
      <c r="B121" s="6091"/>
      <c r="C121" s="6091"/>
      <c r="D121" s="6092"/>
      <c r="E121" s="6016"/>
      <c r="F121" s="6017"/>
      <c r="G121" s="6016">
        <f>(('03-BUSINESSCARD-OFR2'!G51/2)+('03-BUSINESSCARD-OFR2'!G52/2))*'09-PROFITPARTNER-OFR2'!E111</f>
        <v>2000</v>
      </c>
      <c r="H121" s="6017"/>
      <c r="I121" s="6016">
        <f>G121+(G121/E111*G111)</f>
        <v>4000</v>
      </c>
      <c r="J121" s="6064"/>
      <c r="K121" s="5992">
        <f>SUM(E121:J121)</f>
        <v>6000</v>
      </c>
      <c r="L121" s="6093"/>
      <c r="M121" s="651"/>
      <c r="N121" s="651"/>
      <c r="O121" s="651"/>
      <c r="P121" s="651"/>
      <c r="Q121" s="651"/>
    </row>
    <row r="122" spans="1:17" s="116" customFormat="1" ht="13" x14ac:dyDescent="0.3">
      <c r="A122" s="6090" t="s">
        <v>1851</v>
      </c>
      <c r="B122" s="6091"/>
      <c r="C122" s="6091"/>
      <c r="D122" s="6092"/>
      <c r="E122" s="6016"/>
      <c r="F122" s="6017"/>
      <c r="G122" s="6016">
        <f>('03-BUSINESSCARD-OFR2'!G53/2*'09-PROFITPARTNER-OFR2'!E111)</f>
        <v>1500</v>
      </c>
      <c r="H122" s="6017"/>
      <c r="I122" s="6016">
        <f>G122+(G122/E111*G111)</f>
        <v>3000</v>
      </c>
      <c r="J122" s="6064"/>
      <c r="K122" s="5992">
        <f t="shared" si="3"/>
        <v>4500</v>
      </c>
      <c r="L122" s="6093"/>
      <c r="M122" s="651"/>
      <c r="N122" s="651"/>
      <c r="O122" s="651"/>
      <c r="P122" s="651"/>
      <c r="Q122" s="651"/>
    </row>
    <row r="123" spans="1:17" s="116" customFormat="1" ht="3.75" customHeight="1" x14ac:dyDescent="0.3">
      <c r="A123" s="6019"/>
      <c r="B123" s="6020"/>
      <c r="C123" s="6020"/>
      <c r="D123" s="6020"/>
      <c r="E123" s="6020"/>
      <c r="F123" s="6020"/>
      <c r="G123" s="6020"/>
      <c r="H123" s="6020"/>
      <c r="I123" s="6020"/>
      <c r="J123" s="6055"/>
      <c r="K123" s="6080"/>
      <c r="L123" s="5999"/>
      <c r="M123" s="651"/>
      <c r="N123" s="651"/>
      <c r="O123" s="651"/>
      <c r="P123" s="651"/>
      <c r="Q123" s="651"/>
    </row>
    <row r="124" spans="1:17" s="116" customFormat="1" ht="13.5" thickBot="1" x14ac:dyDescent="0.35">
      <c r="A124" s="6094" t="s">
        <v>1488</v>
      </c>
      <c r="B124" s="6095"/>
      <c r="C124" s="6095"/>
      <c r="D124" s="6095"/>
      <c r="E124" s="6096">
        <f>SUM(E114:F122)</f>
        <v>15000</v>
      </c>
      <c r="F124" s="6097"/>
      <c r="G124" s="6096">
        <f>SUM(G114:H122)</f>
        <v>20500</v>
      </c>
      <c r="H124" s="6097"/>
      <c r="I124" s="6096">
        <f>SUM(I114:J122)</f>
        <v>26000</v>
      </c>
      <c r="J124" s="6098"/>
      <c r="K124" s="6099">
        <f>SUM(E124:J124)</f>
        <v>61500</v>
      </c>
      <c r="L124" s="6100"/>
      <c r="M124" s="651"/>
      <c r="N124" s="651"/>
      <c r="O124" s="651"/>
      <c r="P124" s="651"/>
      <c r="Q124" s="651"/>
    </row>
    <row r="125" spans="1:17" s="116" customFormat="1" ht="13.15" customHeight="1" thickBot="1" x14ac:dyDescent="0.35">
      <c r="A125" s="6073"/>
      <c r="B125" s="6074"/>
      <c r="C125" s="6074"/>
      <c r="D125" s="6075"/>
      <c r="E125" s="6076"/>
      <c r="F125" s="6077"/>
      <c r="G125" s="6076"/>
      <c r="H125" s="6077"/>
      <c r="I125" s="6078"/>
      <c r="J125" s="6079"/>
      <c r="K125" s="6080"/>
      <c r="L125" s="5999"/>
      <c r="M125" s="651"/>
      <c r="N125" s="651"/>
      <c r="O125" s="651"/>
      <c r="P125" s="651"/>
      <c r="Q125" s="651"/>
    </row>
    <row r="126" spans="1:17" s="116" customFormat="1" ht="17.25" customHeight="1" x14ac:dyDescent="0.3">
      <c r="A126" s="6081" t="s">
        <v>1489</v>
      </c>
      <c r="B126" s="6082"/>
      <c r="C126" s="6082"/>
      <c r="D126" s="6083"/>
      <c r="E126" s="6084"/>
      <c r="F126" s="6085"/>
      <c r="G126" s="6084"/>
      <c r="H126" s="6085"/>
      <c r="I126" s="6086"/>
      <c r="J126" s="6087"/>
      <c r="K126" s="6088"/>
      <c r="L126" s="6089"/>
      <c r="M126" s="651"/>
      <c r="N126" s="651"/>
      <c r="O126" s="651"/>
      <c r="P126" s="651"/>
      <c r="Q126" s="651"/>
    </row>
    <row r="127" spans="1:17" s="116" customFormat="1" ht="13" x14ac:dyDescent="0.3">
      <c r="A127" s="6070" t="s">
        <v>1848</v>
      </c>
      <c r="B127" s="6071"/>
      <c r="C127" s="6071"/>
      <c r="D127" s="6072"/>
      <c r="E127" s="6016">
        <f>E114*E110</f>
        <v>3500</v>
      </c>
      <c r="F127" s="6017"/>
      <c r="G127" s="6016">
        <f>G114*E110</f>
        <v>3500</v>
      </c>
      <c r="H127" s="6017"/>
      <c r="I127" s="6016">
        <f>I114*E110</f>
        <v>3500</v>
      </c>
      <c r="J127" s="6064"/>
      <c r="K127" s="5992">
        <f>SUM(E127:J127)</f>
        <v>10500</v>
      </c>
      <c r="L127" s="5993"/>
      <c r="M127" s="651"/>
      <c r="N127" s="651"/>
      <c r="O127" s="651"/>
      <c r="P127" s="651"/>
      <c r="Q127" s="651"/>
    </row>
    <row r="128" spans="1:17" s="116" customFormat="1" ht="6" customHeight="1" x14ac:dyDescent="0.3">
      <c r="A128" s="2117"/>
      <c r="B128" s="2118"/>
      <c r="C128" s="2118"/>
      <c r="D128" s="2119"/>
      <c r="E128" s="2114"/>
      <c r="F128" s="2116"/>
      <c r="G128" s="2114"/>
      <c r="H128" s="2116"/>
      <c r="I128" s="2114"/>
      <c r="J128" s="2115"/>
      <c r="K128" s="6068"/>
      <c r="L128" s="6069"/>
      <c r="M128" s="651"/>
      <c r="N128" s="651"/>
      <c r="O128" s="651"/>
      <c r="P128" s="651"/>
      <c r="Q128" s="651"/>
    </row>
    <row r="129" spans="1:17" s="116" customFormat="1" ht="27" customHeight="1" x14ac:dyDescent="0.3">
      <c r="A129" s="6052" t="s">
        <v>1849</v>
      </c>
      <c r="B129" s="6053"/>
      <c r="C129" s="6053"/>
      <c r="D129" s="6054"/>
      <c r="E129" s="6016">
        <f>'03-BUSINESSCARD-OFR2'!G17*E110*E111</f>
        <v>700</v>
      </c>
      <c r="F129" s="6017"/>
      <c r="G129" s="6016">
        <f>G116*E110</f>
        <v>700</v>
      </c>
      <c r="H129" s="6017"/>
      <c r="I129" s="6016">
        <f>I116*E110</f>
        <v>700</v>
      </c>
      <c r="J129" s="6064"/>
      <c r="K129" s="5992">
        <f>SUM(E129:J129)</f>
        <v>2100</v>
      </c>
      <c r="L129" s="5993"/>
      <c r="M129" s="651"/>
      <c r="N129" s="651"/>
      <c r="O129" s="651"/>
      <c r="P129" s="651"/>
      <c r="Q129" s="651"/>
    </row>
    <row r="130" spans="1:17" s="116" customFormat="1" ht="27" customHeight="1" x14ac:dyDescent="0.3">
      <c r="A130" s="6052" t="s">
        <v>1856</v>
      </c>
      <c r="B130" s="6053"/>
      <c r="C130" s="6053"/>
      <c r="D130" s="6054"/>
      <c r="E130" s="6016"/>
      <c r="F130" s="6017"/>
      <c r="G130" s="6016">
        <f>E116*G110</f>
        <v>400</v>
      </c>
      <c r="H130" s="6017"/>
      <c r="I130" s="6016">
        <f>(E116*I110)+(G116*G110)</f>
        <v>600</v>
      </c>
      <c r="J130" s="6064"/>
      <c r="K130" s="5992">
        <f>SUM(E130:J130)</f>
        <v>1000</v>
      </c>
      <c r="L130" s="5993"/>
      <c r="M130" s="651"/>
      <c r="N130" s="651"/>
      <c r="O130" s="651"/>
      <c r="P130" s="651"/>
      <c r="Q130" s="651"/>
    </row>
    <row r="131" spans="1:17" s="117" customFormat="1" ht="4.5" customHeight="1" x14ac:dyDescent="0.3">
      <c r="A131" s="6065"/>
      <c r="B131" s="6066"/>
      <c r="C131" s="6066"/>
      <c r="D131" s="6067"/>
      <c r="E131" s="6016"/>
      <c r="F131" s="6017"/>
      <c r="G131" s="6016"/>
      <c r="H131" s="6017"/>
      <c r="I131" s="6016"/>
      <c r="J131" s="6064"/>
      <c r="K131" s="6068"/>
      <c r="L131" s="6069"/>
      <c r="M131" s="981"/>
      <c r="N131" s="981"/>
      <c r="O131" s="981"/>
      <c r="P131" s="981"/>
      <c r="Q131" s="981"/>
    </row>
    <row r="132" spans="1:17" s="116" customFormat="1" ht="24" customHeight="1" x14ac:dyDescent="0.3">
      <c r="A132" s="6052" t="s">
        <v>1852</v>
      </c>
      <c r="B132" s="6053"/>
      <c r="C132" s="6053"/>
      <c r="D132" s="6054"/>
      <c r="E132" s="6016"/>
      <c r="F132" s="6017"/>
      <c r="G132" s="6016">
        <f>(('03-BUSINESSCARD-OFR2'!K51+'03-BUSINESSCARD-OFR2'!K52)/2)*E111</f>
        <v>700</v>
      </c>
      <c r="H132" s="6017"/>
      <c r="I132" s="6016">
        <f>(G111*('03-BUSINESSCARD-OFR2'!K51+'03-BUSINESSCARD-OFR2'!K52)/2)+G132</f>
        <v>1400</v>
      </c>
      <c r="J132" s="6017"/>
      <c r="K132" s="5992">
        <f>SUM(E132:J132)</f>
        <v>2100</v>
      </c>
      <c r="L132" s="5993"/>
      <c r="M132" s="651"/>
      <c r="N132" s="651"/>
      <c r="O132" s="651"/>
      <c r="P132" s="651"/>
      <c r="Q132" s="651"/>
    </row>
    <row r="133" spans="1:17" s="116" customFormat="1" ht="3.75" customHeight="1" x14ac:dyDescent="0.3">
      <c r="A133" s="6019"/>
      <c r="B133" s="6020"/>
      <c r="C133" s="6020"/>
      <c r="D133" s="6020"/>
      <c r="E133" s="6020"/>
      <c r="F133" s="6020"/>
      <c r="G133" s="6020"/>
      <c r="H133" s="6020"/>
      <c r="I133" s="6020"/>
      <c r="J133" s="6055"/>
      <c r="K133" s="5998"/>
      <c r="L133" s="5999"/>
      <c r="M133" s="651"/>
      <c r="N133" s="651"/>
      <c r="O133" s="651"/>
      <c r="P133" s="651"/>
      <c r="Q133" s="651"/>
    </row>
    <row r="134" spans="1:17" s="116" customFormat="1" ht="13.5" thickBot="1" x14ac:dyDescent="0.35">
      <c r="A134" s="6056" t="s">
        <v>1170</v>
      </c>
      <c r="B134" s="6057"/>
      <c r="C134" s="6057"/>
      <c r="D134" s="6058"/>
      <c r="E134" s="6059">
        <f>SUM(E127:F132)</f>
        <v>4200</v>
      </c>
      <c r="F134" s="6060"/>
      <c r="G134" s="6059">
        <f>SUM(G127:H132)</f>
        <v>5300</v>
      </c>
      <c r="H134" s="6060"/>
      <c r="I134" s="6059">
        <f>SUM(I127:J132)</f>
        <v>6200</v>
      </c>
      <c r="J134" s="6061"/>
      <c r="K134" s="6062">
        <f>SUM(E134:J134)</f>
        <v>15700</v>
      </c>
      <c r="L134" s="6063"/>
      <c r="M134" s="651"/>
      <c r="N134" s="651"/>
      <c r="O134" s="651"/>
      <c r="P134" s="651"/>
      <c r="Q134" s="651"/>
    </row>
    <row r="135" spans="1:17" s="116" customFormat="1" ht="13.5" thickBot="1" x14ac:dyDescent="0.35">
      <c r="A135" s="1659" t="s">
        <v>1633</v>
      </c>
      <c r="B135" s="1660"/>
      <c r="C135" s="1660"/>
      <c r="D135" s="1661"/>
      <c r="E135" s="6042">
        <f>E134/E124</f>
        <v>0.28000000000000003</v>
      </c>
      <c r="F135" s="6043"/>
      <c r="G135" s="6042">
        <f>G134/G124</f>
        <v>0.25853658536585367</v>
      </c>
      <c r="H135" s="6043"/>
      <c r="I135" s="6042">
        <f>I134/I124</f>
        <v>0.23846153846153847</v>
      </c>
      <c r="J135" s="6043"/>
      <c r="K135" s="6042">
        <f>K134/K124</f>
        <v>0.25528455284552848</v>
      </c>
      <c r="L135" s="6043"/>
      <c r="M135" s="651"/>
      <c r="N135" s="651"/>
      <c r="O135" s="651"/>
      <c r="P135" s="651"/>
      <c r="Q135" s="651"/>
    </row>
    <row r="136" spans="1:17" s="117" customFormat="1" ht="13" x14ac:dyDescent="0.3">
      <c r="A136" s="6044"/>
      <c r="B136" s="6045"/>
      <c r="C136" s="6045"/>
      <c r="D136" s="6046"/>
      <c r="E136" s="6047"/>
      <c r="F136" s="6048"/>
      <c r="G136" s="6047"/>
      <c r="H136" s="6048"/>
      <c r="I136" s="6047"/>
      <c r="J136" s="6049"/>
      <c r="K136" s="6050"/>
      <c r="L136" s="6051"/>
      <c r="M136" s="981"/>
      <c r="N136" s="981"/>
      <c r="O136" s="981"/>
      <c r="P136" s="981"/>
      <c r="Q136" s="981"/>
    </row>
    <row r="137" spans="1:17" s="116" customFormat="1" ht="16.899999999999999" customHeight="1" x14ac:dyDescent="0.3">
      <c r="A137" s="6034" t="s">
        <v>1490</v>
      </c>
      <c r="B137" s="6035"/>
      <c r="C137" s="6035"/>
      <c r="D137" s="6036"/>
      <c r="E137" s="6037"/>
      <c r="F137" s="6038"/>
      <c r="G137" s="6037"/>
      <c r="H137" s="6038"/>
      <c r="I137" s="6037"/>
      <c r="J137" s="6039"/>
      <c r="K137" s="6040"/>
      <c r="L137" s="6041"/>
      <c r="M137" s="651"/>
      <c r="N137" s="651"/>
      <c r="O137" s="651"/>
      <c r="P137" s="651"/>
      <c r="Q137" s="651"/>
    </row>
    <row r="138" spans="1:17" s="116" customFormat="1" ht="13" x14ac:dyDescent="0.3">
      <c r="A138" s="6031" t="s">
        <v>1255</v>
      </c>
      <c r="B138" s="6032"/>
      <c r="C138" s="6032"/>
      <c r="D138" s="6032"/>
      <c r="E138" s="6033">
        <f>E111*F94</f>
        <v>5512.5</v>
      </c>
      <c r="F138" s="6033"/>
      <c r="G138" s="6033">
        <f>G111*F94</f>
        <v>5512.5</v>
      </c>
      <c r="H138" s="6033"/>
      <c r="I138" s="6033">
        <f>I111*F94</f>
        <v>5512.5</v>
      </c>
      <c r="J138" s="6016"/>
      <c r="K138" s="6011">
        <f>SUM(E138:J138)</f>
        <v>16537.5</v>
      </c>
      <c r="L138" s="6012"/>
      <c r="M138" s="651"/>
      <c r="N138" s="651"/>
      <c r="O138" s="651"/>
      <c r="P138" s="651"/>
      <c r="Q138" s="651"/>
    </row>
    <row r="139" spans="1:17" s="116" customFormat="1" ht="13" x14ac:dyDescent="0.3">
      <c r="A139" s="6031" t="s">
        <v>1631</v>
      </c>
      <c r="B139" s="6032"/>
      <c r="C139" s="6032"/>
      <c r="D139" s="6032"/>
      <c r="E139" s="6033"/>
      <c r="F139" s="6033"/>
      <c r="G139" s="6033">
        <f>G122*50%</f>
        <v>750</v>
      </c>
      <c r="H139" s="6033"/>
      <c r="I139" s="6033">
        <f>I122*50%</f>
        <v>1500</v>
      </c>
      <c r="J139" s="6016"/>
      <c r="K139" s="6011">
        <f>SUM(E139:J139)</f>
        <v>2250</v>
      </c>
      <c r="L139" s="6012"/>
      <c r="M139" s="651" t="s">
        <v>1630</v>
      </c>
      <c r="N139" s="651"/>
      <c r="O139" s="651"/>
      <c r="P139" s="651"/>
      <c r="Q139" s="651"/>
    </row>
    <row r="140" spans="1:17" s="116" customFormat="1" ht="13" x14ac:dyDescent="0.3">
      <c r="A140" s="6031" t="s">
        <v>1857</v>
      </c>
      <c r="B140" s="6032"/>
      <c r="C140" s="6032"/>
      <c r="D140" s="6032"/>
      <c r="E140" s="6033"/>
      <c r="F140" s="6033"/>
      <c r="G140" s="6033">
        <f>G130</f>
        <v>400</v>
      </c>
      <c r="H140" s="6033"/>
      <c r="I140" s="6033">
        <f>I130</f>
        <v>600</v>
      </c>
      <c r="J140" s="6016"/>
      <c r="K140" s="6011">
        <f>SUM(E140:J140)</f>
        <v>1000</v>
      </c>
      <c r="L140" s="6012"/>
      <c r="M140" s="651"/>
      <c r="N140" s="651"/>
      <c r="O140" s="651"/>
      <c r="P140" s="651"/>
      <c r="Q140" s="651"/>
    </row>
    <row r="141" spans="1:17" s="116" customFormat="1" ht="13" x14ac:dyDescent="0.3">
      <c r="A141" s="6013" t="s">
        <v>1858</v>
      </c>
      <c r="B141" s="6014"/>
      <c r="C141" s="6014"/>
      <c r="D141" s="6015"/>
      <c r="E141" s="6016"/>
      <c r="F141" s="6017"/>
      <c r="G141" s="6016">
        <f>G132</f>
        <v>700</v>
      </c>
      <c r="H141" s="6017"/>
      <c r="I141" s="6016">
        <f>I132</f>
        <v>1400</v>
      </c>
      <c r="J141" s="6018"/>
      <c r="K141" s="6011">
        <f>SUM(E141:J141)</f>
        <v>2100</v>
      </c>
      <c r="L141" s="6012"/>
      <c r="M141" s="651"/>
      <c r="N141" s="651"/>
      <c r="O141" s="651"/>
      <c r="P141" s="651"/>
      <c r="Q141" s="651"/>
    </row>
    <row r="142" spans="1:17" s="116" customFormat="1" ht="3.75" customHeight="1" x14ac:dyDescent="0.3">
      <c r="A142" s="6019"/>
      <c r="B142" s="6020"/>
      <c r="C142" s="6020"/>
      <c r="D142" s="6020"/>
      <c r="E142" s="6020"/>
      <c r="F142" s="6020"/>
      <c r="G142" s="6020"/>
      <c r="H142" s="6020"/>
      <c r="I142" s="6020"/>
      <c r="J142" s="6020"/>
      <c r="K142" s="6021"/>
      <c r="L142" s="6022"/>
      <c r="M142" s="651"/>
      <c r="N142" s="651"/>
      <c r="O142" s="651"/>
      <c r="P142" s="651"/>
      <c r="Q142" s="651"/>
    </row>
    <row r="143" spans="1:17" s="116" customFormat="1" ht="13" x14ac:dyDescent="0.3">
      <c r="A143" s="6023" t="s">
        <v>1252</v>
      </c>
      <c r="B143" s="6024"/>
      <c r="C143" s="6024"/>
      <c r="D143" s="6025"/>
      <c r="E143" s="6026">
        <f>SUM(E138:F141)</f>
        <v>5512.5</v>
      </c>
      <c r="F143" s="6027"/>
      <c r="G143" s="6026">
        <f>SUM(G138:H141)</f>
        <v>7362.5</v>
      </c>
      <c r="H143" s="6027"/>
      <c r="I143" s="6026">
        <f>SUM(I138:J141)</f>
        <v>9012.5</v>
      </c>
      <c r="J143" s="6028"/>
      <c r="K143" s="6029">
        <f>SUM(E143:J143)</f>
        <v>21887.5</v>
      </c>
      <c r="L143" s="6030"/>
      <c r="M143" s="651"/>
      <c r="N143" s="651"/>
      <c r="O143" s="651"/>
      <c r="P143" s="651"/>
      <c r="Q143" s="651"/>
    </row>
    <row r="144" spans="1:17" s="116" customFormat="1" ht="13" x14ac:dyDescent="0.3">
      <c r="A144" s="6000"/>
      <c r="B144" s="6001"/>
      <c r="C144" s="6001"/>
      <c r="D144" s="6002"/>
      <c r="E144" s="6003">
        <f>E143/E124</f>
        <v>0.36749999999999999</v>
      </c>
      <c r="F144" s="6004"/>
      <c r="G144" s="6003">
        <f>G143/G124</f>
        <v>0.35914634146341462</v>
      </c>
      <c r="H144" s="6004"/>
      <c r="I144" s="6003">
        <f>I143/I124</f>
        <v>0.34663461538461537</v>
      </c>
      <c r="J144" s="6005"/>
      <c r="K144" s="6006">
        <f>K143/K124</f>
        <v>0.35589430894308943</v>
      </c>
      <c r="L144" s="6007"/>
      <c r="M144" s="651"/>
      <c r="N144" s="651"/>
      <c r="O144" s="651"/>
      <c r="P144" s="651"/>
      <c r="Q144" s="651"/>
    </row>
    <row r="145" spans="1:17" s="116" customFormat="1" ht="13" x14ac:dyDescent="0.3">
      <c r="A145" s="2129"/>
      <c r="B145" s="2130"/>
      <c r="C145" s="2130"/>
      <c r="D145" s="2131"/>
      <c r="E145" s="2124"/>
      <c r="F145" s="2125"/>
      <c r="G145" s="2124"/>
      <c r="H145" s="2125"/>
      <c r="I145" s="2124"/>
      <c r="J145" s="2126"/>
      <c r="K145" s="2127"/>
      <c r="L145" s="2128"/>
      <c r="M145" s="651"/>
      <c r="N145" s="651"/>
      <c r="O145" s="651"/>
      <c r="P145" s="651"/>
      <c r="Q145" s="651"/>
    </row>
    <row r="146" spans="1:17" s="116" customFormat="1" ht="13" x14ac:dyDescent="0.3">
      <c r="A146" s="6008" t="s">
        <v>485</v>
      </c>
      <c r="B146" s="6009"/>
      <c r="C146" s="6009"/>
      <c r="D146" s="6009"/>
      <c r="E146" s="5990">
        <v>0</v>
      </c>
      <c r="F146" s="5990"/>
      <c r="G146" s="5990">
        <v>0</v>
      </c>
      <c r="H146" s="5990"/>
      <c r="I146" s="5990">
        <v>0</v>
      </c>
      <c r="J146" s="6010"/>
      <c r="K146" s="6011">
        <f>SUM(E146:J146)</f>
        <v>0</v>
      </c>
      <c r="L146" s="6012"/>
      <c r="M146" s="651"/>
      <c r="N146" s="651"/>
      <c r="O146" s="651"/>
      <c r="P146" s="651"/>
      <c r="Q146" s="651"/>
    </row>
    <row r="147" spans="1:17" s="117" customFormat="1" ht="12.75" customHeight="1" x14ac:dyDescent="0.3">
      <c r="A147" s="5988" t="s">
        <v>484</v>
      </c>
      <c r="B147" s="5989"/>
      <c r="C147" s="5989"/>
      <c r="D147" s="5989"/>
      <c r="E147" s="5990">
        <v>0</v>
      </c>
      <c r="F147" s="5990"/>
      <c r="G147" s="5990">
        <v>0</v>
      </c>
      <c r="H147" s="5990"/>
      <c r="I147" s="5990">
        <v>0</v>
      </c>
      <c r="J147" s="5991"/>
      <c r="K147" s="5992">
        <f>SUM(E147:J147)</f>
        <v>0</v>
      </c>
      <c r="L147" s="5993"/>
      <c r="M147" s="981"/>
      <c r="N147" s="981"/>
      <c r="O147" s="981"/>
      <c r="P147" s="981"/>
      <c r="Q147" s="981"/>
    </row>
    <row r="148" spans="1:17" s="117" customFormat="1" ht="13.5" thickBot="1" x14ac:dyDescent="0.35">
      <c r="A148" s="5994"/>
      <c r="B148" s="5995"/>
      <c r="C148" s="5995"/>
      <c r="D148" s="5995"/>
      <c r="E148" s="5996"/>
      <c r="F148" s="5996"/>
      <c r="G148" s="5996"/>
      <c r="H148" s="5996"/>
      <c r="I148" s="5996"/>
      <c r="J148" s="5997"/>
      <c r="K148" s="5998">
        <f>SUM(E148:J148)</f>
        <v>0</v>
      </c>
      <c r="L148" s="5999"/>
      <c r="M148" s="981"/>
      <c r="N148" s="981"/>
      <c r="O148" s="981"/>
      <c r="P148" s="981"/>
      <c r="Q148" s="981"/>
    </row>
    <row r="149" spans="1:17" s="117" customFormat="1" ht="16" thickBot="1" x14ac:dyDescent="0.35">
      <c r="A149" s="5974" t="s">
        <v>1632</v>
      </c>
      <c r="B149" s="5975"/>
      <c r="C149" s="5975"/>
      <c r="D149" s="5975"/>
      <c r="E149" s="5976">
        <f>E124</f>
        <v>15000</v>
      </c>
      <c r="F149" s="5977"/>
      <c r="G149" s="5976">
        <f>G124</f>
        <v>20500</v>
      </c>
      <c r="H149" s="5977"/>
      <c r="I149" s="5976">
        <f>I124</f>
        <v>26000</v>
      </c>
      <c r="J149" s="5977"/>
      <c r="K149" s="5986">
        <f>K124</f>
        <v>61500</v>
      </c>
      <c r="L149" s="5987"/>
      <c r="M149" s="981"/>
      <c r="N149" s="981"/>
      <c r="O149" s="981"/>
      <c r="P149" s="981"/>
      <c r="Q149" s="981"/>
    </row>
    <row r="150" spans="1:17" s="117" customFormat="1" ht="16" thickBot="1" x14ac:dyDescent="0.35">
      <c r="A150" s="5982" t="s">
        <v>1812</v>
      </c>
      <c r="B150" s="5983"/>
      <c r="C150" s="5983"/>
      <c r="D150" s="5983"/>
      <c r="E150" s="5984">
        <f>SUM(E114+E116)-(E134)</f>
        <v>7800</v>
      </c>
      <c r="F150" s="5985"/>
      <c r="G150" s="5984">
        <f>SUM(G114+G116+G121+G117)-G134</f>
        <v>10700</v>
      </c>
      <c r="H150" s="5985"/>
      <c r="I150" s="5984">
        <f>SUM(I114+I116+I121+I117)-I134</f>
        <v>13800</v>
      </c>
      <c r="J150" s="5985"/>
      <c r="K150" s="5984">
        <f>SUM(K114+K116)-(K134)</f>
        <v>20300</v>
      </c>
      <c r="L150" s="5985"/>
      <c r="M150" s="981"/>
      <c r="N150" s="981"/>
      <c r="O150" s="981"/>
      <c r="P150" s="981"/>
      <c r="Q150" s="981"/>
    </row>
    <row r="151" spans="1:17" s="117" customFormat="1" ht="16" thickBot="1" x14ac:dyDescent="0.35">
      <c r="A151" s="5982" t="s">
        <v>1646</v>
      </c>
      <c r="B151" s="5983"/>
      <c r="C151" s="5983"/>
      <c r="D151" s="5983"/>
      <c r="E151" s="5984">
        <f>E134</f>
        <v>4200</v>
      </c>
      <c r="F151" s="5985"/>
      <c r="G151" s="5984">
        <f>G134</f>
        <v>5300</v>
      </c>
      <c r="H151" s="5985"/>
      <c r="I151" s="5984">
        <f>I134</f>
        <v>6200</v>
      </c>
      <c r="J151" s="5985"/>
      <c r="K151" s="5984">
        <f>K134</f>
        <v>15700</v>
      </c>
      <c r="L151" s="5985"/>
      <c r="M151" s="981"/>
      <c r="N151" s="981"/>
      <c r="O151" s="981"/>
      <c r="P151" s="981"/>
      <c r="Q151" s="981"/>
    </row>
    <row r="152" spans="1:17" s="117" customFormat="1" ht="16" thickBot="1" x14ac:dyDescent="0.35">
      <c r="A152" s="5982" t="s">
        <v>1647</v>
      </c>
      <c r="B152" s="5983"/>
      <c r="C152" s="5983"/>
      <c r="D152" s="5983"/>
      <c r="E152" s="5984">
        <f>SUM(E119+E122)</f>
        <v>3000</v>
      </c>
      <c r="F152" s="5985"/>
      <c r="G152" s="5984">
        <f>SUM(G119+G122)</f>
        <v>4500</v>
      </c>
      <c r="H152" s="5985"/>
      <c r="I152" s="5984">
        <f>SUM(I119+I122)</f>
        <v>6000</v>
      </c>
      <c r="J152" s="5985"/>
      <c r="K152" s="5984">
        <f>SUM(K119+K122)</f>
        <v>13500</v>
      </c>
      <c r="L152" s="5985"/>
      <c r="M152" s="981"/>
      <c r="N152" s="981"/>
      <c r="O152" s="981"/>
      <c r="P152" s="981"/>
      <c r="Q152" s="981"/>
    </row>
    <row r="153" spans="1:17" s="117" customFormat="1" ht="16" thickBot="1" x14ac:dyDescent="0.35">
      <c r="A153" s="5968" t="s">
        <v>1648</v>
      </c>
      <c r="B153" s="5969"/>
      <c r="C153" s="5969"/>
      <c r="D153" s="5969"/>
      <c r="E153" s="5970">
        <f>SUM(E152+E151)/E149</f>
        <v>0.48</v>
      </c>
      <c r="F153" s="5971"/>
      <c r="G153" s="5970">
        <f>SUM(G152+G151)/G149</f>
        <v>0.47804878048780486</v>
      </c>
      <c r="H153" s="5971"/>
      <c r="I153" s="5970">
        <f>SUM(I152+I151)/I149</f>
        <v>0.46923076923076923</v>
      </c>
      <c r="J153" s="5971"/>
      <c r="K153" s="5970">
        <f>SUM(K152+K151)/K149</f>
        <v>0.47479674796747967</v>
      </c>
      <c r="L153" s="5971"/>
      <c r="M153" s="981"/>
      <c r="N153" s="981"/>
      <c r="O153" s="981"/>
      <c r="P153" s="981"/>
      <c r="Q153" s="981"/>
    </row>
    <row r="154" spans="1:17" s="117" customFormat="1" ht="16" thickBot="1" x14ac:dyDescent="0.35">
      <c r="A154" s="5972"/>
      <c r="B154" s="5973"/>
      <c r="C154" s="5973"/>
      <c r="D154" s="5973"/>
      <c r="E154" s="5973"/>
      <c r="F154" s="5973"/>
      <c r="G154" s="5973"/>
      <c r="H154" s="5973"/>
      <c r="I154" s="5973"/>
      <c r="J154" s="5973"/>
      <c r="K154" s="5973"/>
      <c r="L154" s="5973"/>
      <c r="M154" s="981"/>
      <c r="N154" s="981"/>
      <c r="O154" s="981"/>
      <c r="P154" s="981"/>
      <c r="Q154" s="981"/>
    </row>
    <row r="155" spans="1:17" s="160" customFormat="1" ht="15.5" x14ac:dyDescent="0.35">
      <c r="A155" s="5974" t="s">
        <v>1649</v>
      </c>
      <c r="B155" s="5975"/>
      <c r="C155" s="5975"/>
      <c r="D155" s="5975"/>
      <c r="E155" s="5976">
        <f>E143-E146-E147</f>
        <v>5512.5</v>
      </c>
      <c r="F155" s="5977"/>
      <c r="G155" s="5978">
        <f>G143-G146-G147</f>
        <v>7362.5</v>
      </c>
      <c r="H155" s="5978"/>
      <c r="I155" s="5978">
        <f>I143-I146-I147</f>
        <v>9012.5</v>
      </c>
      <c r="J155" s="5979"/>
      <c r="K155" s="5980">
        <f>SUM(E155:J155)</f>
        <v>21887.5</v>
      </c>
      <c r="L155" s="5981"/>
      <c r="M155" s="985"/>
      <c r="N155" s="985"/>
      <c r="O155" s="985"/>
      <c r="P155" s="985"/>
      <c r="Q155" s="985"/>
    </row>
    <row r="156" spans="1:17" s="160" customFormat="1" ht="16" thickBot="1" x14ac:dyDescent="0.4">
      <c r="A156" s="5954" t="s">
        <v>642</v>
      </c>
      <c r="B156" s="5955"/>
      <c r="C156" s="5955"/>
      <c r="D156" s="5955"/>
      <c r="E156" s="5956">
        <f>E155/E124</f>
        <v>0.36749999999999999</v>
      </c>
      <c r="F156" s="5957"/>
      <c r="G156" s="5958">
        <f>G155/G124</f>
        <v>0.35914634146341462</v>
      </c>
      <c r="H156" s="5958"/>
      <c r="I156" s="5958">
        <f>I155/I124</f>
        <v>0.34663461538461537</v>
      </c>
      <c r="J156" s="5959"/>
      <c r="K156" s="5960">
        <f>K155/K124</f>
        <v>0.35589430894308943</v>
      </c>
      <c r="L156" s="5961"/>
      <c r="M156" s="985"/>
      <c r="N156" s="985"/>
      <c r="O156" s="985"/>
      <c r="P156" s="985"/>
      <c r="Q156" s="985"/>
    </row>
    <row r="157" spans="1:17" s="1952" customFormat="1" ht="16.5" thickTop="1" thickBot="1" x14ac:dyDescent="0.4">
      <c r="A157" s="1950"/>
      <c r="B157" s="1538"/>
      <c r="C157" s="1538"/>
      <c r="D157" s="1538"/>
      <c r="E157" s="1949"/>
      <c r="F157" s="1949"/>
      <c r="G157" s="1949"/>
      <c r="H157" s="1949"/>
      <c r="I157" s="1949"/>
      <c r="J157" s="1949"/>
      <c r="K157" s="1953"/>
      <c r="L157" s="1953"/>
      <c r="M157" s="1951"/>
      <c r="N157" s="1951"/>
      <c r="O157" s="1951"/>
      <c r="P157" s="1951"/>
      <c r="Q157" s="1951"/>
    </row>
    <row r="158" spans="1:17" s="116" customFormat="1" ht="16.5" thickTop="1" thickBot="1" x14ac:dyDescent="0.4">
      <c r="A158" s="5962" t="s">
        <v>1530</v>
      </c>
      <c r="B158" s="5963"/>
      <c r="C158" s="5963"/>
      <c r="D158" s="5963"/>
      <c r="E158" s="5964">
        <f>E117+E121+E122</f>
        <v>0</v>
      </c>
      <c r="F158" s="5965"/>
      <c r="G158" s="5964">
        <f>G117+G121+G122</f>
        <v>5500</v>
      </c>
      <c r="H158" s="5965"/>
      <c r="I158" s="5964">
        <f>I117+I121+I122</f>
        <v>11000</v>
      </c>
      <c r="J158" s="5965"/>
      <c r="K158" s="5966">
        <f>SUM(E158:J158)</f>
        <v>16500</v>
      </c>
      <c r="L158" s="5967"/>
      <c r="M158" s="651"/>
      <c r="N158" s="651"/>
      <c r="O158" s="651"/>
      <c r="P158" s="651"/>
      <c r="Q158" s="651"/>
    </row>
    <row r="159" spans="1:17" s="116" customFormat="1" ht="16" thickBot="1" x14ac:dyDescent="0.4">
      <c r="A159" s="5951" t="s">
        <v>1495</v>
      </c>
      <c r="B159" s="5952"/>
      <c r="C159" s="5952"/>
      <c r="D159" s="5952"/>
      <c r="E159" s="5953">
        <f>E158/E124</f>
        <v>0</v>
      </c>
      <c r="F159" s="5953"/>
      <c r="G159" s="5953">
        <f>G158/G124</f>
        <v>0.26829268292682928</v>
      </c>
      <c r="H159" s="5953"/>
      <c r="I159" s="5953">
        <f>I158/I124</f>
        <v>0.42307692307692307</v>
      </c>
      <c r="J159" s="5953"/>
      <c r="K159" s="5953">
        <f>K158/K124</f>
        <v>0.26829268292682928</v>
      </c>
      <c r="L159" s="5953"/>
      <c r="M159" s="651"/>
      <c r="N159" s="651"/>
      <c r="O159" s="651"/>
      <c r="P159" s="651"/>
      <c r="Q159" s="651"/>
    </row>
    <row r="160" spans="1:17" s="116" customFormat="1" ht="14" thickTop="1" thickBot="1" x14ac:dyDescent="0.35">
      <c r="A160" s="651"/>
      <c r="B160" s="651"/>
      <c r="C160" s="993"/>
      <c r="D160" s="651"/>
      <c r="E160" s="651"/>
      <c r="F160" s="651"/>
      <c r="G160" s="651"/>
      <c r="H160" s="651"/>
      <c r="I160" s="651"/>
      <c r="J160" s="651"/>
      <c r="K160" s="651"/>
      <c r="L160" s="651"/>
      <c r="M160" s="651"/>
      <c r="N160" s="651"/>
      <c r="O160" s="651"/>
      <c r="P160" s="651"/>
      <c r="Q160" s="651"/>
    </row>
    <row r="161" spans="1:17" ht="15.5" thickTop="1" thickBot="1" x14ac:dyDescent="0.4">
      <c r="A161" s="6179" t="s">
        <v>10</v>
      </c>
      <c r="B161" s="6180"/>
      <c r="C161" s="6180"/>
      <c r="D161" s="6180"/>
      <c r="E161" s="6180"/>
      <c r="F161" s="6180"/>
      <c r="G161" s="6180"/>
      <c r="H161" s="6180"/>
      <c r="I161" s="6180"/>
      <c r="J161" s="6180"/>
      <c r="K161" s="6180"/>
      <c r="L161" s="157"/>
      <c r="M161" s="3725" t="s">
        <v>748</v>
      </c>
      <c r="N161" s="3726"/>
      <c r="O161" s="3727"/>
      <c r="P161" s="31"/>
      <c r="Q161" s="64"/>
    </row>
    <row r="162" spans="1:17" ht="20.25" customHeight="1" x14ac:dyDescent="0.35">
      <c r="A162" s="6174" t="s">
        <v>1496</v>
      </c>
      <c r="B162" s="6181"/>
      <c r="C162" s="6181"/>
      <c r="D162" s="6181"/>
      <c r="E162" s="6181"/>
      <c r="F162" s="6181"/>
      <c r="G162" s="6181"/>
      <c r="H162" s="6181"/>
      <c r="I162" s="6181"/>
      <c r="J162" s="6181"/>
      <c r="K162" s="6181"/>
      <c r="L162" s="38"/>
      <c r="M162" s="3750" t="s">
        <v>835</v>
      </c>
      <c r="N162" s="5066"/>
      <c r="O162" s="5401"/>
      <c r="P162" s="33"/>
      <c r="Q162" s="64"/>
    </row>
    <row r="163" spans="1:17" ht="20.25" customHeight="1" x14ac:dyDescent="0.35">
      <c r="A163" s="6182"/>
      <c r="B163" s="6183"/>
      <c r="C163" s="6183"/>
      <c r="D163" s="6183"/>
      <c r="E163" s="6183"/>
      <c r="F163" s="6183"/>
      <c r="G163" s="6183"/>
      <c r="H163" s="6183"/>
      <c r="I163" s="6183"/>
      <c r="J163" s="6183"/>
      <c r="K163" s="6183"/>
      <c r="L163" s="38"/>
      <c r="M163" s="3753"/>
      <c r="N163" s="3754"/>
      <c r="O163" s="5067"/>
      <c r="P163" s="33"/>
      <c r="Q163" s="64"/>
    </row>
    <row r="164" spans="1:17" ht="20.25" customHeight="1" x14ac:dyDescent="0.35">
      <c r="A164" s="6182"/>
      <c r="B164" s="6183"/>
      <c r="C164" s="6183"/>
      <c r="D164" s="6183"/>
      <c r="E164" s="6183"/>
      <c r="F164" s="6183"/>
      <c r="G164" s="6183"/>
      <c r="H164" s="6183"/>
      <c r="I164" s="6183"/>
      <c r="J164" s="6183"/>
      <c r="K164" s="6183"/>
      <c r="L164" s="38"/>
      <c r="M164" s="3753"/>
      <c r="N164" s="3754"/>
      <c r="O164" s="5067"/>
      <c r="P164" s="33"/>
      <c r="Q164" s="64"/>
    </row>
    <row r="165" spans="1:17" ht="20.25" customHeight="1" thickBot="1" x14ac:dyDescent="0.4">
      <c r="A165" s="6184"/>
      <c r="B165" s="6185"/>
      <c r="C165" s="6185"/>
      <c r="D165" s="6185"/>
      <c r="E165" s="6185"/>
      <c r="F165" s="6185"/>
      <c r="G165" s="6185"/>
      <c r="H165" s="6185"/>
      <c r="I165" s="6185"/>
      <c r="J165" s="6185"/>
      <c r="K165" s="6185"/>
      <c r="L165" s="38"/>
      <c r="M165" s="5334"/>
      <c r="N165" s="3757"/>
      <c r="O165" s="3758"/>
      <c r="P165" s="33"/>
      <c r="Q165" s="64"/>
    </row>
    <row r="166" spans="1:17" ht="15.5" thickTop="1" thickBot="1" x14ac:dyDescent="0.4">
      <c r="A166" s="64"/>
      <c r="B166" s="64"/>
      <c r="C166" s="64"/>
      <c r="D166" s="64"/>
      <c r="E166" s="64"/>
      <c r="F166" s="64"/>
      <c r="G166" s="64"/>
      <c r="H166" s="64"/>
      <c r="I166" s="64"/>
      <c r="J166" s="64"/>
      <c r="K166" s="64"/>
      <c r="L166" s="64"/>
      <c r="M166" s="31"/>
      <c r="N166" s="31"/>
      <c r="O166" s="31"/>
      <c r="P166" s="64"/>
      <c r="Q166" s="64"/>
    </row>
    <row r="167" spans="1:17" ht="15.5" thickTop="1" thickBot="1" x14ac:dyDescent="0.4">
      <c r="A167" s="6179" t="s">
        <v>11</v>
      </c>
      <c r="B167" s="6186"/>
      <c r="C167" s="6186"/>
      <c r="D167" s="6186"/>
      <c r="E167" s="6186"/>
      <c r="F167" s="6186"/>
      <c r="G167" s="6186"/>
      <c r="H167" s="6186"/>
      <c r="I167" s="6186"/>
      <c r="J167" s="6186"/>
      <c r="K167" s="6186"/>
      <c r="L167" s="157"/>
      <c r="M167" s="3725" t="s">
        <v>748</v>
      </c>
      <c r="N167" s="3726"/>
      <c r="O167" s="3727"/>
      <c r="P167" s="31"/>
      <c r="Q167" s="64"/>
    </row>
    <row r="168" spans="1:17" ht="20.25" customHeight="1" x14ac:dyDescent="0.35">
      <c r="A168" s="6174" t="s">
        <v>643</v>
      </c>
      <c r="B168" s="6175"/>
      <c r="C168" s="6175"/>
      <c r="D168" s="6175"/>
      <c r="E168" s="6175"/>
      <c r="F168" s="6175"/>
      <c r="G168" s="6175"/>
      <c r="H168" s="6175"/>
      <c r="I168" s="6175"/>
      <c r="J168" s="6175"/>
      <c r="K168" s="6175"/>
      <c r="L168" s="38"/>
      <c r="M168" s="3750" t="s">
        <v>836</v>
      </c>
      <c r="N168" s="5066"/>
      <c r="O168" s="5401"/>
      <c r="P168" s="33"/>
      <c r="Q168" s="64"/>
    </row>
    <row r="169" spans="1:17" ht="20.25" customHeight="1" x14ac:dyDescent="0.35">
      <c r="A169" s="6176"/>
      <c r="B169" s="5165"/>
      <c r="C169" s="5165"/>
      <c r="D169" s="5165"/>
      <c r="E169" s="5165"/>
      <c r="F169" s="5165"/>
      <c r="G169" s="5165"/>
      <c r="H169" s="5165"/>
      <c r="I169" s="5165"/>
      <c r="J169" s="5165"/>
      <c r="K169" s="5166"/>
      <c r="L169" s="38"/>
      <c r="M169" s="3753"/>
      <c r="N169" s="3754"/>
      <c r="O169" s="5067"/>
      <c r="P169" s="33"/>
      <c r="Q169" s="64"/>
    </row>
    <row r="170" spans="1:17" ht="20.25" customHeight="1" x14ac:dyDescent="0.35">
      <c r="A170" s="6176"/>
      <c r="B170" s="5165"/>
      <c r="C170" s="5165"/>
      <c r="D170" s="5165"/>
      <c r="E170" s="5165"/>
      <c r="F170" s="5165"/>
      <c r="G170" s="5165"/>
      <c r="H170" s="5165"/>
      <c r="I170" s="5165"/>
      <c r="J170" s="5165"/>
      <c r="K170" s="5166"/>
      <c r="L170" s="38"/>
      <c r="M170" s="3753"/>
      <c r="N170" s="3754"/>
      <c r="O170" s="5067"/>
      <c r="P170" s="33"/>
      <c r="Q170" s="64"/>
    </row>
    <row r="171" spans="1:17" ht="20.25" customHeight="1" thickBot="1" x14ac:dyDescent="0.4">
      <c r="A171" s="6177"/>
      <c r="B171" s="6178"/>
      <c r="C171" s="6178"/>
      <c r="D171" s="6178"/>
      <c r="E171" s="6178"/>
      <c r="F171" s="6178"/>
      <c r="G171" s="6178"/>
      <c r="H171" s="6178"/>
      <c r="I171" s="6178"/>
      <c r="J171" s="6178"/>
      <c r="K171" s="6178"/>
      <c r="L171" s="38"/>
      <c r="M171" s="5334"/>
      <c r="N171" s="3757"/>
      <c r="O171" s="3758"/>
      <c r="P171" s="33"/>
      <c r="Q171" s="64"/>
    </row>
    <row r="172" spans="1:17" ht="15" thickTop="1" x14ac:dyDescent="0.35">
      <c r="A172" s="64"/>
      <c r="B172" s="64"/>
      <c r="C172" s="64"/>
      <c r="D172" s="64"/>
      <c r="E172" s="64"/>
      <c r="F172" s="64"/>
      <c r="G172" s="64"/>
      <c r="H172" s="64"/>
      <c r="I172" s="64"/>
      <c r="J172" s="64"/>
      <c r="K172" s="64"/>
      <c r="L172" s="64"/>
      <c r="M172" s="64"/>
      <c r="N172" s="64"/>
      <c r="O172" s="64"/>
      <c r="P172" s="64"/>
      <c r="Q172" s="64"/>
    </row>
    <row r="173" spans="1:17" x14ac:dyDescent="0.35">
      <c r="A173" s="64"/>
      <c r="B173" s="64"/>
      <c r="C173" s="64"/>
      <c r="D173" s="64"/>
      <c r="E173" s="64"/>
      <c r="F173" s="64"/>
      <c r="G173" s="64"/>
      <c r="H173" s="64"/>
      <c r="I173" s="64"/>
      <c r="J173" s="64"/>
      <c r="K173" s="64"/>
      <c r="L173" s="64"/>
      <c r="M173" s="64"/>
      <c r="N173" s="64"/>
      <c r="O173" s="64"/>
      <c r="P173" s="64"/>
      <c r="Q173" s="64"/>
    </row>
    <row r="174" spans="1:17" x14ac:dyDescent="0.35">
      <c r="A174" s="64"/>
      <c r="B174" s="64"/>
      <c r="C174" s="64"/>
      <c r="D174" s="64"/>
      <c r="E174" s="64"/>
      <c r="F174" s="64"/>
      <c r="G174" s="64"/>
      <c r="H174" s="64"/>
      <c r="I174" s="64"/>
      <c r="J174" s="64"/>
      <c r="K174" s="64"/>
      <c r="L174" s="64"/>
      <c r="M174" s="64"/>
      <c r="N174" s="64"/>
      <c r="O174" s="64"/>
      <c r="P174" s="64"/>
      <c r="Q174" s="64"/>
    </row>
    <row r="175" spans="1:17" x14ac:dyDescent="0.35">
      <c r="A175" s="64"/>
      <c r="B175" s="64"/>
      <c r="C175" s="64"/>
      <c r="D175" s="64"/>
      <c r="E175" s="64"/>
      <c r="F175" s="64"/>
      <c r="G175" s="64"/>
      <c r="H175" s="64"/>
      <c r="I175" s="64"/>
      <c r="J175" s="64"/>
      <c r="K175" s="64"/>
      <c r="L175" s="64"/>
      <c r="M175" s="64"/>
      <c r="N175" s="64"/>
      <c r="O175" s="64"/>
      <c r="P175" s="64"/>
      <c r="Q175" s="64"/>
    </row>
    <row r="176" spans="1:17" x14ac:dyDescent="0.35">
      <c r="A176" s="64"/>
      <c r="B176" s="64"/>
      <c r="C176" s="64"/>
      <c r="D176" s="64"/>
      <c r="E176" s="64"/>
      <c r="F176" s="64"/>
      <c r="G176" s="64"/>
      <c r="H176" s="64"/>
      <c r="I176" s="64"/>
      <c r="J176" s="64"/>
      <c r="K176" s="64"/>
      <c r="L176" s="64"/>
      <c r="M176" s="64"/>
      <c r="N176" s="64"/>
      <c r="O176" s="64"/>
      <c r="P176" s="64"/>
      <c r="Q176" s="64"/>
    </row>
    <row r="177" spans="1:17" x14ac:dyDescent="0.35">
      <c r="A177" s="64"/>
      <c r="B177" s="64"/>
      <c r="C177" s="64"/>
      <c r="D177" s="64"/>
      <c r="E177" s="64"/>
      <c r="F177" s="64"/>
      <c r="G177" s="64"/>
      <c r="H177" s="64"/>
      <c r="I177" s="64"/>
      <c r="J177" s="64"/>
      <c r="K177" s="64"/>
      <c r="L177" s="64"/>
      <c r="M177" s="64"/>
      <c r="N177" s="64"/>
      <c r="O177" s="64"/>
      <c r="P177" s="64"/>
      <c r="Q177" s="64"/>
    </row>
    <row r="178" spans="1:17" x14ac:dyDescent="0.35">
      <c r="A178" s="64"/>
      <c r="B178" s="64"/>
      <c r="C178" s="64"/>
      <c r="D178" s="64"/>
      <c r="E178" s="64"/>
      <c r="F178" s="64"/>
      <c r="G178" s="64"/>
      <c r="H178" s="64"/>
      <c r="I178" s="64"/>
      <c r="J178" s="64"/>
      <c r="K178" s="64"/>
      <c r="L178" s="64"/>
      <c r="M178" s="64"/>
      <c r="N178" s="64"/>
      <c r="O178" s="64"/>
      <c r="P178" s="64"/>
      <c r="Q178" s="64"/>
    </row>
    <row r="179" spans="1:17" x14ac:dyDescent="0.35">
      <c r="A179" s="64"/>
      <c r="B179" s="64"/>
      <c r="C179" s="64"/>
      <c r="D179" s="64"/>
      <c r="E179" s="64"/>
      <c r="F179" s="64"/>
      <c r="G179" s="64"/>
      <c r="H179" s="64"/>
      <c r="I179" s="64"/>
      <c r="J179" s="64"/>
      <c r="K179" s="64"/>
      <c r="L179" s="64"/>
      <c r="M179" s="64"/>
      <c r="N179" s="64"/>
      <c r="O179" s="64"/>
      <c r="P179" s="64"/>
      <c r="Q179" s="64"/>
    </row>
    <row r="180" spans="1:17" x14ac:dyDescent="0.35">
      <c r="A180" s="64"/>
      <c r="B180" s="64"/>
      <c r="C180" s="64"/>
      <c r="D180" s="64"/>
      <c r="E180" s="64"/>
      <c r="F180" s="64"/>
      <c r="G180" s="64"/>
      <c r="H180" s="64"/>
      <c r="I180" s="64"/>
      <c r="J180" s="64"/>
      <c r="K180" s="64"/>
      <c r="L180" s="64"/>
      <c r="M180" s="64"/>
      <c r="N180" s="64"/>
      <c r="O180" s="64"/>
      <c r="P180" s="64"/>
      <c r="Q180" s="64"/>
    </row>
    <row r="181" spans="1:17" x14ac:dyDescent="0.35">
      <c r="A181" s="64"/>
      <c r="B181" s="64"/>
      <c r="C181" s="64"/>
      <c r="D181" s="64"/>
      <c r="E181" s="64"/>
      <c r="F181" s="64"/>
      <c r="G181" s="64"/>
      <c r="H181" s="64"/>
      <c r="I181" s="64"/>
      <c r="J181" s="64"/>
      <c r="K181" s="64"/>
      <c r="L181" s="64"/>
      <c r="M181" s="64"/>
      <c r="N181" s="64"/>
      <c r="O181" s="64"/>
      <c r="P181" s="64"/>
      <c r="Q181" s="64"/>
    </row>
    <row r="182" spans="1:17" x14ac:dyDescent="0.35">
      <c r="A182" s="64"/>
      <c r="B182" s="64"/>
      <c r="C182" s="64"/>
      <c r="D182" s="64"/>
      <c r="E182" s="64"/>
      <c r="F182" s="64"/>
      <c r="G182" s="64"/>
      <c r="H182" s="64"/>
      <c r="I182" s="64"/>
      <c r="J182" s="64"/>
      <c r="K182" s="64"/>
      <c r="L182" s="64"/>
      <c r="M182" s="64"/>
      <c r="N182" s="64"/>
      <c r="O182" s="64"/>
      <c r="P182" s="64"/>
      <c r="Q182" s="64"/>
    </row>
    <row r="183" spans="1:17" x14ac:dyDescent="0.35">
      <c r="A183" s="64"/>
      <c r="B183" s="64"/>
      <c r="C183" s="64"/>
      <c r="D183" s="64"/>
      <c r="E183" s="64"/>
      <c r="F183" s="64"/>
      <c r="G183" s="64"/>
      <c r="H183" s="64"/>
      <c r="I183" s="64"/>
      <c r="J183" s="64"/>
      <c r="K183" s="64"/>
      <c r="L183" s="64"/>
      <c r="M183" s="64"/>
      <c r="N183" s="64"/>
      <c r="O183" s="64"/>
      <c r="P183" s="64"/>
      <c r="Q183" s="64"/>
    </row>
    <row r="184" spans="1:17" x14ac:dyDescent="0.35">
      <c r="A184" s="64"/>
      <c r="B184" s="64"/>
      <c r="C184" s="64"/>
      <c r="D184" s="64"/>
      <c r="E184" s="64"/>
      <c r="F184" s="64"/>
      <c r="G184" s="64"/>
      <c r="H184" s="64"/>
      <c r="I184" s="64"/>
      <c r="J184" s="64"/>
      <c r="K184" s="64"/>
      <c r="L184" s="64"/>
      <c r="M184" s="64"/>
      <c r="N184" s="64"/>
      <c r="O184" s="64"/>
      <c r="P184" s="64"/>
      <c r="Q184" s="64"/>
    </row>
    <row r="185" spans="1:17" x14ac:dyDescent="0.35">
      <c r="A185" s="64"/>
      <c r="B185" s="64"/>
      <c r="C185" s="64"/>
      <c r="D185" s="64"/>
      <c r="E185" s="64"/>
      <c r="F185" s="64"/>
      <c r="G185" s="64"/>
      <c r="H185" s="64"/>
      <c r="I185" s="64"/>
      <c r="J185" s="64"/>
      <c r="K185" s="64"/>
      <c r="L185" s="64"/>
      <c r="M185" s="64"/>
      <c r="N185" s="64"/>
      <c r="O185" s="64"/>
      <c r="P185" s="64"/>
      <c r="Q185" s="64"/>
    </row>
    <row r="186" spans="1:17" x14ac:dyDescent="0.35">
      <c r="A186" s="64"/>
      <c r="B186" s="64"/>
      <c r="C186" s="64"/>
      <c r="D186" s="64"/>
      <c r="E186" s="64"/>
      <c r="F186" s="64"/>
      <c r="G186" s="64"/>
      <c r="H186" s="64"/>
      <c r="I186" s="64"/>
      <c r="J186" s="64"/>
      <c r="K186" s="64"/>
      <c r="L186" s="64"/>
      <c r="M186" s="64"/>
      <c r="N186" s="64"/>
      <c r="O186" s="64"/>
      <c r="P186" s="64"/>
      <c r="Q186" s="64"/>
    </row>
    <row r="187" spans="1:17" x14ac:dyDescent="0.35">
      <c r="A187" s="64"/>
      <c r="B187" s="64"/>
      <c r="C187" s="64"/>
      <c r="D187" s="64"/>
      <c r="E187" s="64"/>
      <c r="F187" s="64"/>
      <c r="G187" s="64"/>
      <c r="H187" s="64"/>
      <c r="I187" s="64"/>
      <c r="J187" s="64"/>
      <c r="K187" s="64"/>
      <c r="L187" s="64"/>
      <c r="M187" s="64"/>
      <c r="N187" s="64"/>
      <c r="O187" s="64"/>
      <c r="P187" s="64"/>
      <c r="Q187" s="64"/>
    </row>
    <row r="188" spans="1:17" x14ac:dyDescent="0.35">
      <c r="A188" s="64"/>
      <c r="B188" s="64"/>
      <c r="C188" s="64"/>
      <c r="D188" s="64"/>
      <c r="E188" s="64"/>
      <c r="F188" s="64"/>
      <c r="G188" s="64"/>
      <c r="H188" s="64"/>
      <c r="I188" s="64"/>
      <c r="J188" s="64"/>
      <c r="K188" s="64"/>
      <c r="L188" s="64"/>
      <c r="M188" s="64"/>
      <c r="N188" s="64"/>
      <c r="O188" s="64"/>
      <c r="P188" s="64"/>
      <c r="Q188" s="64"/>
    </row>
    <row r="189" spans="1:17" x14ac:dyDescent="0.35">
      <c r="A189" s="64"/>
      <c r="B189" s="64"/>
      <c r="C189" s="64"/>
      <c r="D189" s="64"/>
      <c r="E189" s="64"/>
      <c r="F189" s="64"/>
      <c r="G189" s="64"/>
      <c r="H189" s="64"/>
      <c r="I189" s="64"/>
      <c r="J189" s="64"/>
      <c r="K189" s="64"/>
      <c r="L189" s="64"/>
      <c r="M189" s="64"/>
      <c r="N189" s="64"/>
      <c r="O189" s="64"/>
      <c r="P189" s="64"/>
      <c r="Q189" s="64"/>
    </row>
  </sheetData>
  <mergeCells count="557">
    <mergeCell ref="D1:G1"/>
    <mergeCell ref="I1:J1"/>
    <mergeCell ref="L1:M1"/>
    <mergeCell ref="D2:G2"/>
    <mergeCell ref="I2:J2"/>
    <mergeCell ref="L2:M2"/>
    <mergeCell ref="B9:C9"/>
    <mergeCell ref="B10:C10"/>
    <mergeCell ref="J10:K11"/>
    <mergeCell ref="B11:C11"/>
    <mergeCell ref="D3:G3"/>
    <mergeCell ref="B12:C12"/>
    <mergeCell ref="B13:C13"/>
    <mergeCell ref="A4:G4"/>
    <mergeCell ref="H4:P4"/>
    <mergeCell ref="A5:B5"/>
    <mergeCell ref="C5:P5"/>
    <mergeCell ref="B7:G7"/>
    <mergeCell ref="J7:K8"/>
    <mergeCell ref="B8:C8"/>
    <mergeCell ref="B20:E20"/>
    <mergeCell ref="L20:M20"/>
    <mergeCell ref="B21:E21"/>
    <mergeCell ref="F21:G21"/>
    <mergeCell ref="H21:I21"/>
    <mergeCell ref="J21:K21"/>
    <mergeCell ref="L21:M21"/>
    <mergeCell ref="B14:C14"/>
    <mergeCell ref="B15:C15"/>
    <mergeCell ref="B17:M17"/>
    <mergeCell ref="B18:E18"/>
    <mergeCell ref="F18:G18"/>
    <mergeCell ref="H18:I18"/>
    <mergeCell ref="J18:K18"/>
    <mergeCell ref="L18:M18"/>
    <mergeCell ref="B22:E22"/>
    <mergeCell ref="F22:G22"/>
    <mergeCell ref="H22:I22"/>
    <mergeCell ref="J22:K22"/>
    <mergeCell ref="L22:M22"/>
    <mergeCell ref="B23:E23"/>
    <mergeCell ref="F23:G23"/>
    <mergeCell ref="H23:I23"/>
    <mergeCell ref="J23:K23"/>
    <mergeCell ref="L23:M23"/>
    <mergeCell ref="B24:E24"/>
    <mergeCell ref="F24:G24"/>
    <mergeCell ref="H24:I24"/>
    <mergeCell ref="J24:K24"/>
    <mergeCell ref="L24:M24"/>
    <mergeCell ref="B25:E25"/>
    <mergeCell ref="F25:G25"/>
    <mergeCell ref="H25:I25"/>
    <mergeCell ref="J25:K25"/>
    <mergeCell ref="L25:M25"/>
    <mergeCell ref="B26:E26"/>
    <mergeCell ref="F26:G26"/>
    <mergeCell ref="H26:I26"/>
    <mergeCell ref="J26:K26"/>
    <mergeCell ref="L26:M26"/>
    <mergeCell ref="B27:E27"/>
    <mergeCell ref="F27:G27"/>
    <mergeCell ref="H27:I27"/>
    <mergeCell ref="J27:K27"/>
    <mergeCell ref="L27:M27"/>
    <mergeCell ref="B31:E31"/>
    <mergeCell ref="F31:G31"/>
    <mergeCell ref="H31:I31"/>
    <mergeCell ref="J31:K31"/>
    <mergeCell ref="L31:M31"/>
    <mergeCell ref="B34:P34"/>
    <mergeCell ref="B28:E28"/>
    <mergeCell ref="F28:G28"/>
    <mergeCell ref="H28:I28"/>
    <mergeCell ref="J28:K28"/>
    <mergeCell ref="L28:M28"/>
    <mergeCell ref="B29:E29"/>
    <mergeCell ref="F29:G29"/>
    <mergeCell ref="H29:I29"/>
    <mergeCell ref="J29:K29"/>
    <mergeCell ref="L29:M29"/>
    <mergeCell ref="B53:P53"/>
    <mergeCell ref="B35:E35"/>
    <mergeCell ref="F35:G35"/>
    <mergeCell ref="H35:I35"/>
    <mergeCell ref="J35:K35"/>
    <mergeCell ref="L35:P35"/>
    <mergeCell ref="B36:E36"/>
    <mergeCell ref="F36:G36"/>
    <mergeCell ref="H36:I36"/>
    <mergeCell ref="J36:K36"/>
    <mergeCell ref="L36:P36"/>
    <mergeCell ref="B37:E37"/>
    <mergeCell ref="F37:G37"/>
    <mergeCell ref="H37:I37"/>
    <mergeCell ref="J37:K37"/>
    <mergeCell ref="L37:P37"/>
    <mergeCell ref="B38:E38"/>
    <mergeCell ref="F38:G38"/>
    <mergeCell ref="H38:I38"/>
    <mergeCell ref="J38:K38"/>
    <mergeCell ref="L38:P38"/>
    <mergeCell ref="B39:E39"/>
    <mergeCell ref="F39:G39"/>
    <mergeCell ref="H39:I39"/>
    <mergeCell ref="B54:E54"/>
    <mergeCell ref="F54:G54"/>
    <mergeCell ref="H54:I54"/>
    <mergeCell ref="J54:K54"/>
    <mergeCell ref="L54:P54"/>
    <mergeCell ref="B55:E55"/>
    <mergeCell ref="F55:G55"/>
    <mergeCell ref="H55:I55"/>
    <mergeCell ref="J55:K55"/>
    <mergeCell ref="L55:P55"/>
    <mergeCell ref="B56:E56"/>
    <mergeCell ref="F56:G56"/>
    <mergeCell ref="H56:I56"/>
    <mergeCell ref="J56:K56"/>
    <mergeCell ref="L56:P56"/>
    <mergeCell ref="B57:E57"/>
    <mergeCell ref="F57:G57"/>
    <mergeCell ref="H57:I57"/>
    <mergeCell ref="J57:K57"/>
    <mergeCell ref="L57:P57"/>
    <mergeCell ref="L60:P60"/>
    <mergeCell ref="B61:E61"/>
    <mergeCell ref="F61:G61"/>
    <mergeCell ref="H61:I61"/>
    <mergeCell ref="J61:K61"/>
    <mergeCell ref="L61:P61"/>
    <mergeCell ref="B58:E58"/>
    <mergeCell ref="F58:G58"/>
    <mergeCell ref="H58:I58"/>
    <mergeCell ref="J58:K58"/>
    <mergeCell ref="L58:P58"/>
    <mergeCell ref="B59:E59"/>
    <mergeCell ref="F59:G59"/>
    <mergeCell ref="H59:I59"/>
    <mergeCell ref="J59:K59"/>
    <mergeCell ref="L59:P59"/>
    <mergeCell ref="B62:E62"/>
    <mergeCell ref="F62:G62"/>
    <mergeCell ref="H62:I62"/>
    <mergeCell ref="J62:K62"/>
    <mergeCell ref="B63:E63"/>
    <mergeCell ref="F63:G63"/>
    <mergeCell ref="H63:I63"/>
    <mergeCell ref="J63:K63"/>
    <mergeCell ref="B60:E60"/>
    <mergeCell ref="F60:G60"/>
    <mergeCell ref="H60:I60"/>
    <mergeCell ref="J60:K60"/>
    <mergeCell ref="B64:E64"/>
    <mergeCell ref="F64:G64"/>
    <mergeCell ref="H64:I64"/>
    <mergeCell ref="J64:K64"/>
    <mergeCell ref="L64:P64"/>
    <mergeCell ref="B65:E65"/>
    <mergeCell ref="F65:G65"/>
    <mergeCell ref="H65:I65"/>
    <mergeCell ref="J65:K65"/>
    <mergeCell ref="L65:P65"/>
    <mergeCell ref="B66:E66"/>
    <mergeCell ref="F66:G66"/>
    <mergeCell ref="H66:I66"/>
    <mergeCell ref="J66:K66"/>
    <mergeCell ref="L66:P66"/>
    <mergeCell ref="B67:E67"/>
    <mergeCell ref="F67:G67"/>
    <mergeCell ref="H67:I67"/>
    <mergeCell ref="J67:K67"/>
    <mergeCell ref="L67:P67"/>
    <mergeCell ref="B70:E70"/>
    <mergeCell ref="F70:G70"/>
    <mergeCell ref="H70:I70"/>
    <mergeCell ref="J70:K70"/>
    <mergeCell ref="L70:P70"/>
    <mergeCell ref="B71:P71"/>
    <mergeCell ref="B68:E68"/>
    <mergeCell ref="F68:G68"/>
    <mergeCell ref="H68:I68"/>
    <mergeCell ref="J68:K68"/>
    <mergeCell ref="L68:P68"/>
    <mergeCell ref="B69:E69"/>
    <mergeCell ref="F69:G69"/>
    <mergeCell ref="H69:I69"/>
    <mergeCell ref="J69:K69"/>
    <mergeCell ref="L69:P69"/>
    <mergeCell ref="B72:E72"/>
    <mergeCell ref="F72:G72"/>
    <mergeCell ref="H72:I72"/>
    <mergeCell ref="J72:K72"/>
    <mergeCell ref="B75:M75"/>
    <mergeCell ref="B76:E76"/>
    <mergeCell ref="F76:G76"/>
    <mergeCell ref="H76:I76"/>
    <mergeCell ref="J76:K76"/>
    <mergeCell ref="L76:M76"/>
    <mergeCell ref="M72:N72"/>
    <mergeCell ref="B77:E77"/>
    <mergeCell ref="F77:G77"/>
    <mergeCell ref="H77:I77"/>
    <mergeCell ref="J77:K77"/>
    <mergeCell ref="L77:M77"/>
    <mergeCell ref="B78:E78"/>
    <mergeCell ref="F78:G78"/>
    <mergeCell ref="H78:I78"/>
    <mergeCell ref="J78:K78"/>
    <mergeCell ref="L78:M78"/>
    <mergeCell ref="B79:E79"/>
    <mergeCell ref="F79:G79"/>
    <mergeCell ref="H79:I79"/>
    <mergeCell ref="J79:K79"/>
    <mergeCell ref="L79:M79"/>
    <mergeCell ref="F80:G80"/>
    <mergeCell ref="H80:I80"/>
    <mergeCell ref="J80:K80"/>
    <mergeCell ref="L80:M80"/>
    <mergeCell ref="B81:E81"/>
    <mergeCell ref="F81:G81"/>
    <mergeCell ref="H81:I81"/>
    <mergeCell ref="J81:K81"/>
    <mergeCell ref="L81:M81"/>
    <mergeCell ref="B82:E82"/>
    <mergeCell ref="F82:G82"/>
    <mergeCell ref="H82:I82"/>
    <mergeCell ref="J82:K82"/>
    <mergeCell ref="L82:M82"/>
    <mergeCell ref="B85:E85"/>
    <mergeCell ref="F85:G85"/>
    <mergeCell ref="H85:I85"/>
    <mergeCell ref="J85:K85"/>
    <mergeCell ref="L85:M85"/>
    <mergeCell ref="B86:I86"/>
    <mergeCell ref="J86:K86"/>
    <mergeCell ref="L86:M86"/>
    <mergeCell ref="B83:E83"/>
    <mergeCell ref="F83:G83"/>
    <mergeCell ref="H83:I83"/>
    <mergeCell ref="J83:K83"/>
    <mergeCell ref="L83:M83"/>
    <mergeCell ref="B84:E84"/>
    <mergeCell ref="F84:G84"/>
    <mergeCell ref="H84:I84"/>
    <mergeCell ref="J84:K84"/>
    <mergeCell ref="L84:M84"/>
    <mergeCell ref="A168:K171"/>
    <mergeCell ref="M168:O171"/>
    <mergeCell ref="A161:K161"/>
    <mergeCell ref="M161:O161"/>
    <mergeCell ref="A162:K165"/>
    <mergeCell ref="M162:O165"/>
    <mergeCell ref="A167:K167"/>
    <mergeCell ref="M167:O167"/>
    <mergeCell ref="F100:G100"/>
    <mergeCell ref="B101:G101"/>
    <mergeCell ref="B102:E102"/>
    <mergeCell ref="F102:G102"/>
    <mergeCell ref="D103:E103"/>
    <mergeCell ref="F103:G103"/>
    <mergeCell ref="A108:L108"/>
    <mergeCell ref="A109:D109"/>
    <mergeCell ref="E109:F109"/>
    <mergeCell ref="G109:H109"/>
    <mergeCell ref="I109:J109"/>
    <mergeCell ref="K109:L109"/>
    <mergeCell ref="A110:D110"/>
    <mergeCell ref="E110:F110"/>
    <mergeCell ref="G110:H110"/>
    <mergeCell ref="I110:J110"/>
    <mergeCell ref="J39:K39"/>
    <mergeCell ref="B40:E40"/>
    <mergeCell ref="F40:G40"/>
    <mergeCell ref="H40:I40"/>
    <mergeCell ref="J40:K40"/>
    <mergeCell ref="B41:E41"/>
    <mergeCell ref="F41:G41"/>
    <mergeCell ref="H41:I41"/>
    <mergeCell ref="J41:K41"/>
    <mergeCell ref="B42:E42"/>
    <mergeCell ref="B43:E43"/>
    <mergeCell ref="F43:G43"/>
    <mergeCell ref="H43:I43"/>
    <mergeCell ref="J43:K43"/>
    <mergeCell ref="L43:P43"/>
    <mergeCell ref="B44:E44"/>
    <mergeCell ref="F44:G44"/>
    <mergeCell ref="H44:I44"/>
    <mergeCell ref="J44:K44"/>
    <mergeCell ref="L44:P44"/>
    <mergeCell ref="B45:E45"/>
    <mergeCell ref="F45:G45"/>
    <mergeCell ref="H45:I45"/>
    <mergeCell ref="J45:K45"/>
    <mergeCell ref="L45:P45"/>
    <mergeCell ref="B46:E46"/>
    <mergeCell ref="F46:G46"/>
    <mergeCell ref="H46:I46"/>
    <mergeCell ref="J46:K46"/>
    <mergeCell ref="L46:P46"/>
    <mergeCell ref="B47:E47"/>
    <mergeCell ref="F47:G47"/>
    <mergeCell ref="H47:I47"/>
    <mergeCell ref="J47:K47"/>
    <mergeCell ref="L47:P47"/>
    <mergeCell ref="B48:E48"/>
    <mergeCell ref="F48:G48"/>
    <mergeCell ref="H48:I48"/>
    <mergeCell ref="J48:K48"/>
    <mergeCell ref="L48:P48"/>
    <mergeCell ref="B49:E49"/>
    <mergeCell ref="F49:G49"/>
    <mergeCell ref="H49:I49"/>
    <mergeCell ref="J49:K49"/>
    <mergeCell ref="L49:P49"/>
    <mergeCell ref="B50:E50"/>
    <mergeCell ref="F50:G50"/>
    <mergeCell ref="H50:I50"/>
    <mergeCell ref="J50:K50"/>
    <mergeCell ref="L50:P50"/>
    <mergeCell ref="B51:E51"/>
    <mergeCell ref="F51:G51"/>
    <mergeCell ref="H51:I51"/>
    <mergeCell ref="J51:K51"/>
    <mergeCell ref="L51:P51"/>
    <mergeCell ref="B52:E52"/>
    <mergeCell ref="F52:G52"/>
    <mergeCell ref="H52:I52"/>
    <mergeCell ref="J52:K52"/>
    <mergeCell ref="L52:P52"/>
    <mergeCell ref="B93:G93"/>
    <mergeCell ref="D94:E94"/>
    <mergeCell ref="F94:G94"/>
    <mergeCell ref="B97:G97"/>
    <mergeCell ref="B98:G98"/>
    <mergeCell ref="F99:G99"/>
    <mergeCell ref="B89:G89"/>
    <mergeCell ref="B90:G90"/>
    <mergeCell ref="B91:E91"/>
    <mergeCell ref="F91:G91"/>
    <mergeCell ref="B92:E92"/>
    <mergeCell ref="F92:G92"/>
    <mergeCell ref="A111:D111"/>
    <mergeCell ref="E111:F111"/>
    <mergeCell ref="G111:H111"/>
    <mergeCell ref="I111:J111"/>
    <mergeCell ref="K111:L111"/>
    <mergeCell ref="A112:D112"/>
    <mergeCell ref="E112:F112"/>
    <mergeCell ref="G112:H112"/>
    <mergeCell ref="I112:J112"/>
    <mergeCell ref="A113:D113"/>
    <mergeCell ref="E113:H113"/>
    <mergeCell ref="I113:J113"/>
    <mergeCell ref="A114:D114"/>
    <mergeCell ref="E114:F114"/>
    <mergeCell ref="G114:H114"/>
    <mergeCell ref="I114:J114"/>
    <mergeCell ref="K114:L114"/>
    <mergeCell ref="A115:D115"/>
    <mergeCell ref="E115:F115"/>
    <mergeCell ref="G115:H115"/>
    <mergeCell ref="I115:J115"/>
    <mergeCell ref="K115:L115"/>
    <mergeCell ref="A116:D116"/>
    <mergeCell ref="E116:F116"/>
    <mergeCell ref="G116:H116"/>
    <mergeCell ref="I116:J116"/>
    <mergeCell ref="K116:L116"/>
    <mergeCell ref="A117:D117"/>
    <mergeCell ref="E117:F117"/>
    <mergeCell ref="G117:H117"/>
    <mergeCell ref="I117:J117"/>
    <mergeCell ref="K117:L117"/>
    <mergeCell ref="A118:D118"/>
    <mergeCell ref="E118:F118"/>
    <mergeCell ref="G118:H118"/>
    <mergeCell ref="I118:J118"/>
    <mergeCell ref="K118:L118"/>
    <mergeCell ref="A119:D119"/>
    <mergeCell ref="E119:F119"/>
    <mergeCell ref="G119:H119"/>
    <mergeCell ref="I119:J119"/>
    <mergeCell ref="K119:L119"/>
    <mergeCell ref="A120:D120"/>
    <mergeCell ref="E120:F120"/>
    <mergeCell ref="G120:H120"/>
    <mergeCell ref="I120:J120"/>
    <mergeCell ref="K120:L120"/>
    <mergeCell ref="A121:D121"/>
    <mergeCell ref="E121:F121"/>
    <mergeCell ref="G121:H121"/>
    <mergeCell ref="I121:J121"/>
    <mergeCell ref="K121:L121"/>
    <mergeCell ref="A122:D122"/>
    <mergeCell ref="E122:F122"/>
    <mergeCell ref="G122:H122"/>
    <mergeCell ref="I122:J122"/>
    <mergeCell ref="K122:L122"/>
    <mergeCell ref="A123:J123"/>
    <mergeCell ref="K123:L123"/>
    <mergeCell ref="A124:D124"/>
    <mergeCell ref="E124:F124"/>
    <mergeCell ref="G124:H124"/>
    <mergeCell ref="I124:J124"/>
    <mergeCell ref="K124:L124"/>
    <mergeCell ref="A125:D125"/>
    <mergeCell ref="E125:F125"/>
    <mergeCell ref="G125:H125"/>
    <mergeCell ref="I125:J125"/>
    <mergeCell ref="K125:L125"/>
    <mergeCell ref="A126:D126"/>
    <mergeCell ref="E126:F126"/>
    <mergeCell ref="G126:H126"/>
    <mergeCell ref="I126:J126"/>
    <mergeCell ref="K126:L126"/>
    <mergeCell ref="A127:D127"/>
    <mergeCell ref="E127:F127"/>
    <mergeCell ref="G127:H127"/>
    <mergeCell ref="I127:J127"/>
    <mergeCell ref="K127:L127"/>
    <mergeCell ref="K128:L128"/>
    <mergeCell ref="A129:D129"/>
    <mergeCell ref="E129:F129"/>
    <mergeCell ref="G129:H129"/>
    <mergeCell ref="I129:J129"/>
    <mergeCell ref="K129:L129"/>
    <mergeCell ref="A130:D130"/>
    <mergeCell ref="E130:F130"/>
    <mergeCell ref="G130:H130"/>
    <mergeCell ref="I130:J130"/>
    <mergeCell ref="K130:L130"/>
    <mergeCell ref="A131:D131"/>
    <mergeCell ref="E131:F131"/>
    <mergeCell ref="G131:H131"/>
    <mergeCell ref="I131:J131"/>
    <mergeCell ref="K131:L131"/>
    <mergeCell ref="A132:D132"/>
    <mergeCell ref="E132:F132"/>
    <mergeCell ref="G132:H132"/>
    <mergeCell ref="I132:J132"/>
    <mergeCell ref="K132:L132"/>
    <mergeCell ref="A133:J133"/>
    <mergeCell ref="K133:L133"/>
    <mergeCell ref="A134:D134"/>
    <mergeCell ref="E134:F134"/>
    <mergeCell ref="G134:H134"/>
    <mergeCell ref="I134:J134"/>
    <mergeCell ref="K134:L134"/>
    <mergeCell ref="E135:F135"/>
    <mergeCell ref="G135:H135"/>
    <mergeCell ref="I135:J135"/>
    <mergeCell ref="K135:L135"/>
    <mergeCell ref="A136:D136"/>
    <mergeCell ref="E136:F136"/>
    <mergeCell ref="G136:H136"/>
    <mergeCell ref="I136:J136"/>
    <mergeCell ref="K136:L136"/>
    <mergeCell ref="A137:D137"/>
    <mergeCell ref="E137:F137"/>
    <mergeCell ref="G137:H137"/>
    <mergeCell ref="I137:J137"/>
    <mergeCell ref="K137:L137"/>
    <mergeCell ref="A138:D138"/>
    <mergeCell ref="E138:F138"/>
    <mergeCell ref="G138:H138"/>
    <mergeCell ref="I138:J138"/>
    <mergeCell ref="K138:L138"/>
    <mergeCell ref="A139:D139"/>
    <mergeCell ref="E139:F139"/>
    <mergeCell ref="G139:H139"/>
    <mergeCell ref="I139:J139"/>
    <mergeCell ref="K139:L139"/>
    <mergeCell ref="A140:D140"/>
    <mergeCell ref="E140:F140"/>
    <mergeCell ref="G140:H140"/>
    <mergeCell ref="I140:J140"/>
    <mergeCell ref="K140:L140"/>
    <mergeCell ref="A141:D141"/>
    <mergeCell ref="E141:F141"/>
    <mergeCell ref="G141:H141"/>
    <mergeCell ref="I141:J141"/>
    <mergeCell ref="K141:L141"/>
    <mergeCell ref="A142:J142"/>
    <mergeCell ref="K142:L142"/>
    <mergeCell ref="A143:D143"/>
    <mergeCell ref="E143:F143"/>
    <mergeCell ref="G143:H143"/>
    <mergeCell ref="I143:J143"/>
    <mergeCell ref="K143:L143"/>
    <mergeCell ref="A144:D144"/>
    <mergeCell ref="E144:F144"/>
    <mergeCell ref="G144:H144"/>
    <mergeCell ref="I144:J144"/>
    <mergeCell ref="K144:L144"/>
    <mergeCell ref="A146:D146"/>
    <mergeCell ref="E146:F146"/>
    <mergeCell ref="G146:H146"/>
    <mergeCell ref="I146:J146"/>
    <mergeCell ref="K146:L146"/>
    <mergeCell ref="A147:D147"/>
    <mergeCell ref="E147:F147"/>
    <mergeCell ref="G147:H147"/>
    <mergeCell ref="I147:J147"/>
    <mergeCell ref="K147:L147"/>
    <mergeCell ref="A148:D148"/>
    <mergeCell ref="E148:F148"/>
    <mergeCell ref="G148:H148"/>
    <mergeCell ref="I148:J148"/>
    <mergeCell ref="K148:L148"/>
    <mergeCell ref="A149:D149"/>
    <mergeCell ref="E149:F149"/>
    <mergeCell ref="G149:H149"/>
    <mergeCell ref="I149:J149"/>
    <mergeCell ref="K149:L149"/>
    <mergeCell ref="A150:D150"/>
    <mergeCell ref="E150:F150"/>
    <mergeCell ref="G150:H150"/>
    <mergeCell ref="I150:J150"/>
    <mergeCell ref="K150:L150"/>
    <mergeCell ref="A151:D151"/>
    <mergeCell ref="E151:F151"/>
    <mergeCell ref="G151:H151"/>
    <mergeCell ref="I151:J151"/>
    <mergeCell ref="K151:L151"/>
    <mergeCell ref="A152:D152"/>
    <mergeCell ref="E152:F152"/>
    <mergeCell ref="G152:H152"/>
    <mergeCell ref="I152:J152"/>
    <mergeCell ref="K152:L152"/>
    <mergeCell ref="A153:D153"/>
    <mergeCell ref="E153:F153"/>
    <mergeCell ref="G153:H153"/>
    <mergeCell ref="I153:J153"/>
    <mergeCell ref="K153:L153"/>
    <mergeCell ref="A154:L154"/>
    <mergeCell ref="A155:D155"/>
    <mergeCell ref="E155:F155"/>
    <mergeCell ref="G155:H155"/>
    <mergeCell ref="I155:J155"/>
    <mergeCell ref="K155:L155"/>
    <mergeCell ref="A159:D159"/>
    <mergeCell ref="E159:F159"/>
    <mergeCell ref="G159:H159"/>
    <mergeCell ref="I159:J159"/>
    <mergeCell ref="K159:L159"/>
    <mergeCell ref="A156:D156"/>
    <mergeCell ref="E156:F156"/>
    <mergeCell ref="G156:H156"/>
    <mergeCell ref="I156:J156"/>
    <mergeCell ref="K156:L156"/>
    <mergeCell ref="A158:D158"/>
    <mergeCell ref="E158:F158"/>
    <mergeCell ref="G158:H158"/>
    <mergeCell ref="I158:J158"/>
    <mergeCell ref="K158:L158"/>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300-000000000000}">
      <formula1>AvancementTheme</formula1>
    </dataValidation>
  </dataValidations>
  <hyperlinks>
    <hyperlink ref="O1" location="DPDV_09PP2" display="PdV" xr:uid="{00000000-0004-0000-4300-000000000000}"/>
    <hyperlink ref="P1" location="DKPI_09PP2" display="KPI's" xr:uid="{00000000-0004-0000-4300-000001000000}"/>
  </hyperlinks>
  <pageMargins left="0.70866141732283472" right="0.70866141732283472" top="0.74803149606299213" bottom="0.74803149606299213" header="0.31496062992125984" footer="0.31496062992125984"/>
  <pageSetup paperSize="9" scale="31"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79">
    <tabColor theme="8" tint="0.59999389629810485"/>
    <pageSetUpPr fitToPage="1"/>
  </sheetPr>
  <dimension ref="A1:BZ40"/>
  <sheetViews>
    <sheetView showGridLines="0" showRowColHeaders="0" zoomScaleNormal="100" workbookViewId="0">
      <pane ySplit="5" topLeftCell="A6" activePane="bottomLeft" state="frozen"/>
      <selection activeCell="H7" sqref="H7"/>
      <selection pane="bottomLeft" activeCell="H7" sqref="H7"/>
    </sheetView>
  </sheetViews>
  <sheetFormatPr baseColWidth="10" defaultColWidth="11.453125" defaultRowHeight="14.5" x14ac:dyDescent="0.35"/>
  <cols>
    <col min="1" max="1" width="8.54296875" style="60" customWidth="1"/>
    <col min="2" max="2" width="14.1796875" style="60" customWidth="1"/>
    <col min="3" max="11" width="11.453125" style="60"/>
    <col min="12" max="12" width="12.81640625" style="60" customWidth="1"/>
    <col min="13" max="14" width="11.453125" style="60"/>
    <col min="15" max="15" width="11.453125" style="60" customWidth="1"/>
    <col min="16" max="16" width="11.453125" style="60"/>
    <col min="17" max="17" width="8.1796875" style="60" customWidth="1"/>
    <col min="18" max="16384" width="11.453125" style="60"/>
  </cols>
  <sheetData>
    <row r="1" spans="1:78"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829"/>
      <c r="R1" s="458"/>
    </row>
    <row r="2" spans="1:78" s="58" customFormat="1" ht="18" customHeight="1" x14ac:dyDescent="0.35">
      <c r="A2" s="393"/>
      <c r="B2" s="393"/>
      <c r="C2" s="393"/>
      <c r="D2" s="3342" t="str">
        <f>NomClient</f>
        <v xml:space="preserve">EQUINIX </v>
      </c>
      <c r="E2" s="3343"/>
      <c r="F2" s="3343"/>
      <c r="G2" s="3344"/>
      <c r="H2" s="393"/>
      <c r="I2" s="3345" t="s">
        <v>407</v>
      </c>
      <c r="J2" s="3346"/>
      <c r="K2" s="393"/>
      <c r="L2" s="3347">
        <v>42420.75199074074</v>
      </c>
      <c r="M2" s="3348"/>
      <c r="N2" s="394"/>
      <c r="O2" s="451">
        <f>IF(LEN(DPDV_10TL2)&gt;0,LEN(DPDV_10TL2),0-PDV_NBmini)</f>
        <v>-10</v>
      </c>
      <c r="P2" s="451">
        <f>IF(LEN(DKPI_10TL2)&gt;0,LEN(DKPI_10TL2),0-KPI_NBmini)</f>
        <v>-10</v>
      </c>
      <c r="Q2" s="830"/>
      <c r="R2" s="459"/>
    </row>
    <row r="3" spans="1:78"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78" s="1" customFormat="1" ht="24.75" customHeight="1" thickBot="1" x14ac:dyDescent="0.4">
      <c r="A4" s="907"/>
      <c r="B4" s="4203" t="str">
        <f>Parametre!B32 &amp; "   : "</f>
        <v xml:space="preserve">Programmes partenaires   : </v>
      </c>
      <c r="C4" s="4203"/>
      <c r="D4" s="4203"/>
      <c r="E4" s="4203"/>
      <c r="F4" s="4203"/>
      <c r="G4" s="4203"/>
      <c r="H4" s="4204" t="str">
        <f>"Taux de Lead nécessaire pour "&amp; NomProd2</f>
        <v>Taux de Lead nécessaire pour ASEMA</v>
      </c>
      <c r="I4" s="4204"/>
      <c r="J4" s="4204"/>
      <c r="K4" s="4204"/>
      <c r="L4" s="4204"/>
      <c r="M4" s="4204"/>
      <c r="N4" s="4204"/>
      <c r="O4" s="4204"/>
      <c r="P4" s="4204"/>
      <c r="Q4" s="4205"/>
      <c r="R4" s="444"/>
    </row>
    <row r="5" spans="1:78" s="193" customFormat="1" ht="38.25" customHeight="1" x14ac:dyDescent="0.35">
      <c r="A5" s="3438" t="s">
        <v>14</v>
      </c>
      <c r="B5" s="3438"/>
      <c r="C5" s="3508" t="s">
        <v>967</v>
      </c>
      <c r="D5" s="3508"/>
      <c r="E5" s="3508"/>
      <c r="F5" s="3508"/>
      <c r="G5" s="3508"/>
      <c r="H5" s="3508"/>
      <c r="I5" s="3508"/>
      <c r="J5" s="3508"/>
      <c r="K5" s="3508"/>
      <c r="L5" s="3508"/>
      <c r="M5" s="3508"/>
      <c r="N5" s="3508"/>
      <c r="O5" s="3508"/>
      <c r="P5" s="3508"/>
      <c r="Q5" s="3508"/>
      <c r="R5" s="460"/>
    </row>
    <row r="6" spans="1:78" s="47" customFormat="1" ht="15" thickBot="1" x14ac:dyDescent="0.4">
      <c r="A6" s="908"/>
      <c r="B6" s="909"/>
      <c r="C6" s="909"/>
      <c r="D6" s="909"/>
      <c r="E6" s="909"/>
      <c r="F6" s="909"/>
      <c r="G6" s="909"/>
      <c r="H6" s="6375"/>
      <c r="I6" s="6375"/>
      <c r="J6" s="909"/>
      <c r="K6" s="909"/>
      <c r="L6" s="909"/>
      <c r="M6" s="908"/>
      <c r="N6" s="908"/>
      <c r="O6" s="908"/>
      <c r="P6" s="908"/>
      <c r="Q6" s="908"/>
      <c r="R6" s="908"/>
    </row>
    <row r="7" spans="1:78" s="48" customFormat="1" ht="15" thickTop="1" x14ac:dyDescent="0.35">
      <c r="A7" s="6365" t="str">
        <f>"ETAPES CYCLE DE VENTE Offre " &amp; NomProd1</f>
        <v>ETAPES CYCLE DE VENTE Offre EQUINIX</v>
      </c>
      <c r="B7" s="6366"/>
      <c r="C7" s="6366"/>
      <c r="D7" s="6366"/>
      <c r="E7" s="6366"/>
      <c r="F7" s="6366"/>
      <c r="G7" s="6366"/>
      <c r="H7" s="910" t="s">
        <v>501</v>
      </c>
      <c r="I7" s="911" t="s">
        <v>500</v>
      </c>
      <c r="J7" s="6366" t="s">
        <v>499</v>
      </c>
      <c r="K7" s="6366"/>
      <c r="L7" s="6366"/>
      <c r="M7" s="6376"/>
      <c r="N7" s="912"/>
      <c r="O7" s="913"/>
      <c r="P7" s="913"/>
      <c r="Q7" s="913"/>
      <c r="R7" s="914"/>
    </row>
    <row r="8" spans="1:78" s="268" customFormat="1" ht="9" customHeight="1" x14ac:dyDescent="0.35">
      <c r="A8" s="6377"/>
      <c r="B8" s="6378"/>
      <c r="C8" s="6378"/>
      <c r="D8" s="6378"/>
      <c r="E8" s="6378"/>
      <c r="F8" s="6378"/>
      <c r="G8" s="6378"/>
      <c r="H8" s="6378"/>
      <c r="I8" s="6378"/>
      <c r="J8" s="6378"/>
      <c r="K8" s="6378"/>
      <c r="L8" s="6378"/>
      <c r="M8" s="6379"/>
      <c r="N8" s="915"/>
      <c r="O8" s="916"/>
      <c r="P8" s="916"/>
      <c r="Q8" s="916"/>
      <c r="R8" s="916"/>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row>
    <row r="9" spans="1:78" s="47" customFormat="1" x14ac:dyDescent="0.35">
      <c r="A9" s="6370" t="s">
        <v>1121</v>
      </c>
      <c r="B9" s="6371"/>
      <c r="C9" s="6371"/>
      <c r="D9" s="6371"/>
      <c r="E9" s="6371"/>
      <c r="F9" s="6371"/>
      <c r="G9" s="6371"/>
      <c r="H9" s="917"/>
      <c r="I9" s="906">
        <v>1000</v>
      </c>
      <c r="J9" s="6380" t="s">
        <v>957</v>
      </c>
      <c r="K9" s="6355"/>
      <c r="L9" s="6355"/>
      <c r="M9" s="6356"/>
      <c r="N9" s="918"/>
      <c r="O9" s="919"/>
      <c r="P9" s="919"/>
      <c r="Q9" s="919"/>
      <c r="R9" s="908"/>
    </row>
    <row r="10" spans="1:78" s="47" customFormat="1" x14ac:dyDescent="0.35">
      <c r="A10" s="6370" t="s">
        <v>966</v>
      </c>
      <c r="B10" s="6355"/>
      <c r="C10" s="6355"/>
      <c r="D10" s="6355"/>
      <c r="E10" s="6355"/>
      <c r="F10" s="6355"/>
      <c r="G10" s="6355"/>
      <c r="H10" s="921">
        <v>0.4</v>
      </c>
      <c r="I10" s="927">
        <f>I9*H10</f>
        <v>400</v>
      </c>
      <c r="J10" s="6371"/>
      <c r="K10" s="6371"/>
      <c r="L10" s="6371"/>
      <c r="M10" s="6372"/>
      <c r="N10" s="918"/>
      <c r="O10" s="919"/>
      <c r="P10" s="919"/>
      <c r="Q10" s="919"/>
      <c r="R10" s="908"/>
    </row>
    <row r="11" spans="1:78" s="47" customFormat="1" ht="43.5" customHeight="1" x14ac:dyDescent="0.35">
      <c r="A11" s="6367" t="s">
        <v>1122</v>
      </c>
      <c r="B11" s="6373"/>
      <c r="C11" s="6373"/>
      <c r="D11" s="6373"/>
      <c r="E11" s="6373"/>
      <c r="F11" s="6373"/>
      <c r="G11" s="6374"/>
      <c r="H11" s="921">
        <v>0.5</v>
      </c>
      <c r="I11" s="927">
        <f>I10*H11</f>
        <v>200</v>
      </c>
      <c r="J11" s="6355"/>
      <c r="K11" s="6355"/>
      <c r="L11" s="6355"/>
      <c r="M11" s="6356"/>
      <c r="N11" s="918"/>
      <c r="O11" s="919"/>
      <c r="P11" s="919"/>
      <c r="Q11" s="919"/>
      <c r="R11" s="908"/>
    </row>
    <row r="12" spans="1:78" s="47" customFormat="1" ht="30.75" customHeight="1" x14ac:dyDescent="0.35">
      <c r="A12" s="6367" t="s">
        <v>1123</v>
      </c>
      <c r="B12" s="6368"/>
      <c r="C12" s="6368"/>
      <c r="D12" s="6368"/>
      <c r="E12" s="6368"/>
      <c r="F12" s="6368"/>
      <c r="G12" s="6369"/>
      <c r="H12" s="921">
        <v>0.15</v>
      </c>
      <c r="I12" s="925">
        <f>I10*H12</f>
        <v>60</v>
      </c>
      <c r="J12" s="6355"/>
      <c r="K12" s="6355"/>
      <c r="L12" s="6355"/>
      <c r="M12" s="6356"/>
      <c r="N12" s="918"/>
      <c r="O12" s="919"/>
      <c r="P12" s="919"/>
      <c r="Q12" s="919"/>
      <c r="R12" s="908"/>
    </row>
    <row r="13" spans="1:78" s="47" customFormat="1" ht="23.25" customHeight="1" x14ac:dyDescent="0.35">
      <c r="A13" s="6370" t="s">
        <v>1124</v>
      </c>
      <c r="B13" s="6355"/>
      <c r="C13" s="6355"/>
      <c r="D13" s="6355"/>
      <c r="E13" s="6355"/>
      <c r="F13" s="6355"/>
      <c r="G13" s="6355"/>
      <c r="H13" s="922">
        <v>0.5</v>
      </c>
      <c r="I13" s="928">
        <f>I12*H13</f>
        <v>30</v>
      </c>
      <c r="J13" s="6371"/>
      <c r="K13" s="6371"/>
      <c r="L13" s="6371"/>
      <c r="M13" s="6372"/>
      <c r="N13" s="918"/>
      <c r="O13" s="919"/>
      <c r="P13" s="919"/>
      <c r="Q13" s="919"/>
      <c r="R13" s="908"/>
    </row>
    <row r="14" spans="1:78" s="47" customFormat="1" x14ac:dyDescent="0.35">
      <c r="A14" s="6354"/>
      <c r="B14" s="6355"/>
      <c r="C14" s="6355"/>
      <c r="D14" s="6355"/>
      <c r="E14" s="6355"/>
      <c r="F14" s="6355"/>
      <c r="G14" s="6355"/>
      <c r="H14" s="923"/>
      <c r="I14" s="924"/>
      <c r="J14" s="6355"/>
      <c r="K14" s="6355"/>
      <c r="L14" s="6355"/>
      <c r="M14" s="6356"/>
      <c r="N14" s="918"/>
      <c r="O14" s="919"/>
      <c r="P14" s="919"/>
      <c r="Q14" s="919"/>
      <c r="R14" s="908"/>
    </row>
    <row r="15" spans="1:78" s="47" customFormat="1" x14ac:dyDescent="0.35">
      <c r="A15" s="6354"/>
      <c r="B15" s="6355"/>
      <c r="C15" s="6355"/>
      <c r="D15" s="6355"/>
      <c r="E15" s="6355"/>
      <c r="F15" s="6355"/>
      <c r="G15" s="6355"/>
      <c r="H15" s="925"/>
      <c r="I15" s="926"/>
      <c r="J15" s="6355"/>
      <c r="K15" s="6355"/>
      <c r="L15" s="6355"/>
      <c r="M15" s="6356"/>
      <c r="N15" s="918"/>
      <c r="O15" s="919"/>
      <c r="P15" s="919"/>
      <c r="Q15" s="919"/>
      <c r="R15" s="908"/>
    </row>
    <row r="16" spans="1:78" s="47" customFormat="1" ht="9" customHeight="1" thickBot="1" x14ac:dyDescent="0.4">
      <c r="A16" s="6357"/>
      <c r="B16" s="6358"/>
      <c r="C16" s="6358"/>
      <c r="D16" s="6358"/>
      <c r="E16" s="6358"/>
      <c r="F16" s="6358"/>
      <c r="G16" s="6358"/>
      <c r="H16" s="6358"/>
      <c r="I16" s="6358"/>
      <c r="J16" s="6358"/>
      <c r="K16" s="6358"/>
      <c r="L16" s="6358"/>
      <c r="M16" s="6359"/>
      <c r="N16" s="918"/>
      <c r="O16" s="919"/>
      <c r="P16" s="919"/>
      <c r="Q16" s="919"/>
      <c r="R16" s="908"/>
    </row>
    <row r="17" spans="1:76" ht="20.25" customHeight="1" thickTop="1" x14ac:dyDescent="0.35">
      <c r="A17" s="743"/>
      <c r="B17" s="743"/>
      <c r="C17" s="481"/>
      <c r="D17" s="481"/>
      <c r="E17" s="481"/>
      <c r="F17" s="481"/>
      <c r="G17" s="481"/>
      <c r="H17" s="481"/>
      <c r="I17" s="481"/>
      <c r="J17" s="481"/>
      <c r="K17" s="481"/>
      <c r="L17" s="481"/>
      <c r="M17" s="481"/>
      <c r="N17" s="481"/>
      <c r="O17" s="481"/>
      <c r="P17" s="481"/>
      <c r="Q17" s="743"/>
      <c r="R17" s="382"/>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row>
    <row r="18" spans="1:76" ht="20.25" customHeight="1" thickBot="1" x14ac:dyDescent="0.4">
      <c r="A18" s="743"/>
      <c r="B18" s="743"/>
      <c r="C18" s="481"/>
      <c r="D18" s="481"/>
      <c r="E18" s="481"/>
      <c r="F18" s="481"/>
      <c r="G18" s="481"/>
      <c r="H18" s="481"/>
      <c r="I18" s="481"/>
      <c r="J18" s="481"/>
      <c r="K18" s="481"/>
      <c r="L18" s="481"/>
      <c r="M18" s="481"/>
      <c r="N18" s="481"/>
      <c r="O18" s="481"/>
      <c r="P18" s="481"/>
      <c r="Q18" s="743"/>
      <c r="R18" s="382"/>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row>
    <row r="19" spans="1:76" ht="19.5" thickTop="1" thickBot="1" x14ac:dyDescent="0.4">
      <c r="A19" s="5169" t="s">
        <v>10</v>
      </c>
      <c r="B19" s="5170"/>
      <c r="C19" s="5170"/>
      <c r="D19" s="5170"/>
      <c r="E19" s="5170"/>
      <c r="F19" s="5170"/>
      <c r="G19" s="5170"/>
      <c r="H19" s="5170"/>
      <c r="I19" s="5170"/>
      <c r="J19" s="5170"/>
      <c r="K19" s="5170"/>
      <c r="L19" s="161"/>
      <c r="M19" s="3725" t="s">
        <v>748</v>
      </c>
      <c r="N19" s="3726"/>
      <c r="O19" s="3727"/>
      <c r="P19" s="31"/>
      <c r="Q19" s="64"/>
      <c r="R19" s="382"/>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row>
    <row r="20" spans="1:76" ht="20.25" customHeight="1" x14ac:dyDescent="0.35">
      <c r="A20" s="5164"/>
      <c r="B20" s="5166"/>
      <c r="C20" s="5166"/>
      <c r="D20" s="5166"/>
      <c r="E20" s="5166"/>
      <c r="F20" s="5166"/>
      <c r="G20" s="5166"/>
      <c r="H20" s="5166"/>
      <c r="I20" s="5166"/>
      <c r="J20" s="5166"/>
      <c r="K20" s="5166"/>
      <c r="L20" s="39"/>
      <c r="M20" s="3750"/>
      <c r="N20" s="3751"/>
      <c r="O20" s="3752"/>
      <c r="P20" s="33"/>
      <c r="Q20" s="64"/>
      <c r="R20" s="382"/>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row>
    <row r="21" spans="1:76" ht="20.25" customHeight="1" x14ac:dyDescent="0.35">
      <c r="A21" s="5164"/>
      <c r="B21" s="5166"/>
      <c r="C21" s="5166"/>
      <c r="D21" s="5166"/>
      <c r="E21" s="5166"/>
      <c r="F21" s="5166"/>
      <c r="G21" s="5166"/>
      <c r="H21" s="5166"/>
      <c r="I21" s="5166"/>
      <c r="J21" s="5166"/>
      <c r="K21" s="5166"/>
      <c r="L21" s="39"/>
      <c r="M21" s="3753"/>
      <c r="N21" s="3754"/>
      <c r="O21" s="3755"/>
      <c r="P21" s="33"/>
      <c r="Q21" s="64"/>
      <c r="R21" s="382"/>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row>
    <row r="22" spans="1:76" ht="20.25" customHeight="1" x14ac:dyDescent="0.35">
      <c r="A22" s="5164"/>
      <c r="B22" s="5166"/>
      <c r="C22" s="5166"/>
      <c r="D22" s="5166"/>
      <c r="E22" s="5166"/>
      <c r="F22" s="5166"/>
      <c r="G22" s="5166"/>
      <c r="H22" s="5166"/>
      <c r="I22" s="5166"/>
      <c r="J22" s="5166"/>
      <c r="K22" s="5166"/>
      <c r="L22" s="39"/>
      <c r="M22" s="3753"/>
      <c r="N22" s="3754"/>
      <c r="O22" s="3755"/>
      <c r="P22" s="33"/>
      <c r="Q22" s="64"/>
      <c r="R22" s="382"/>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row>
    <row r="23" spans="1:76" ht="20.25" customHeight="1" thickBot="1" x14ac:dyDescent="0.4">
      <c r="A23" s="5167"/>
      <c r="B23" s="5168"/>
      <c r="C23" s="5168"/>
      <c r="D23" s="5168"/>
      <c r="E23" s="5168"/>
      <c r="F23" s="5168"/>
      <c r="G23" s="5168"/>
      <c r="H23" s="5168"/>
      <c r="I23" s="5168"/>
      <c r="J23" s="5168"/>
      <c r="K23" s="5168"/>
      <c r="L23" s="39"/>
      <c r="M23" s="3756"/>
      <c r="N23" s="3757"/>
      <c r="O23" s="3758"/>
      <c r="P23" s="33"/>
      <c r="Q23" s="64"/>
      <c r="R23" s="382"/>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row>
    <row r="24" spans="1:76" ht="15.5" thickTop="1" thickBot="1" x14ac:dyDescent="0.4">
      <c r="A24" s="64"/>
      <c r="B24" s="64"/>
      <c r="C24" s="64"/>
      <c r="D24" s="64"/>
      <c r="E24" s="64"/>
      <c r="F24" s="64"/>
      <c r="G24" s="64"/>
      <c r="H24" s="64"/>
      <c r="I24" s="64"/>
      <c r="J24" s="64"/>
      <c r="K24" s="64"/>
      <c r="L24" s="64"/>
      <c r="M24" s="31"/>
      <c r="N24" s="31"/>
      <c r="O24" s="31"/>
      <c r="P24" s="64"/>
      <c r="Q24" s="64"/>
      <c r="R24" s="382"/>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row>
    <row r="25" spans="1:76" ht="19.5" thickTop="1" thickBot="1" x14ac:dyDescent="0.4">
      <c r="A25" s="5169" t="s">
        <v>11</v>
      </c>
      <c r="B25" s="5170"/>
      <c r="C25" s="5170"/>
      <c r="D25" s="5170"/>
      <c r="E25" s="5170"/>
      <c r="F25" s="5170"/>
      <c r="G25" s="5170"/>
      <c r="H25" s="5170"/>
      <c r="I25" s="5170"/>
      <c r="J25" s="5170"/>
      <c r="K25" s="5170"/>
      <c r="L25" s="161"/>
      <c r="M25" s="3725" t="s">
        <v>748</v>
      </c>
      <c r="N25" s="3726"/>
      <c r="O25" s="3727"/>
      <c r="P25" s="31"/>
      <c r="Q25" s="64"/>
      <c r="R25" s="382"/>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row>
    <row r="26" spans="1:76" ht="20.25" customHeight="1" x14ac:dyDescent="0.35">
      <c r="A26" s="6360"/>
      <c r="B26" s="6361"/>
      <c r="C26" s="6361"/>
      <c r="D26" s="6361"/>
      <c r="E26" s="6361"/>
      <c r="F26" s="6361"/>
      <c r="G26" s="6361"/>
      <c r="H26" s="6361"/>
      <c r="I26" s="6361"/>
      <c r="J26" s="6361"/>
      <c r="K26" s="6362"/>
      <c r="L26" s="39"/>
      <c r="M26" s="3750"/>
      <c r="N26" s="3751"/>
      <c r="O26" s="3752"/>
      <c r="P26" s="33"/>
      <c r="Q26" s="64"/>
      <c r="R26" s="382"/>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row>
    <row r="27" spans="1:76" ht="20.25" customHeight="1" x14ac:dyDescent="0.35">
      <c r="A27" s="6360"/>
      <c r="B27" s="6361"/>
      <c r="C27" s="6361"/>
      <c r="D27" s="6361"/>
      <c r="E27" s="6361"/>
      <c r="F27" s="6361"/>
      <c r="G27" s="6361"/>
      <c r="H27" s="6361"/>
      <c r="I27" s="6361"/>
      <c r="J27" s="6361"/>
      <c r="K27" s="6362"/>
      <c r="L27" s="39"/>
      <c r="M27" s="3753"/>
      <c r="N27" s="3754"/>
      <c r="O27" s="3755"/>
      <c r="P27" s="33"/>
      <c r="Q27" s="64"/>
      <c r="R27" s="382"/>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row>
    <row r="28" spans="1:76" ht="20.25" customHeight="1" x14ac:dyDescent="0.35">
      <c r="A28" s="6360"/>
      <c r="B28" s="6361"/>
      <c r="C28" s="6361"/>
      <c r="D28" s="6361"/>
      <c r="E28" s="6361"/>
      <c r="F28" s="6361"/>
      <c r="G28" s="6361"/>
      <c r="H28" s="6361"/>
      <c r="I28" s="6361"/>
      <c r="J28" s="6361"/>
      <c r="K28" s="6362"/>
      <c r="L28" s="39"/>
      <c r="M28" s="3753"/>
      <c r="N28" s="3754"/>
      <c r="O28" s="3755"/>
      <c r="P28" s="33"/>
      <c r="Q28" s="64"/>
      <c r="R28" s="382"/>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row>
    <row r="29" spans="1:76" ht="20.25" customHeight="1" thickBot="1" x14ac:dyDescent="0.4">
      <c r="A29" s="6363"/>
      <c r="B29" s="6364"/>
      <c r="C29" s="6364"/>
      <c r="D29" s="6364"/>
      <c r="E29" s="6364"/>
      <c r="F29" s="6364"/>
      <c r="G29" s="6364"/>
      <c r="H29" s="6364"/>
      <c r="I29" s="6364"/>
      <c r="J29" s="6364"/>
      <c r="K29" s="6364"/>
      <c r="L29" s="39"/>
      <c r="M29" s="3756"/>
      <c r="N29" s="3757"/>
      <c r="O29" s="3758"/>
      <c r="P29" s="33"/>
      <c r="Q29" s="64"/>
      <c r="R29" s="382"/>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row>
    <row r="30" spans="1:76" ht="15" thickTop="1" x14ac:dyDescent="0.35">
      <c r="A30" s="64"/>
      <c r="B30" s="64"/>
      <c r="C30" s="64"/>
      <c r="D30" s="64"/>
      <c r="E30" s="64"/>
      <c r="F30" s="64"/>
      <c r="G30" s="64"/>
      <c r="H30" s="64"/>
      <c r="I30" s="64"/>
      <c r="J30" s="64"/>
      <c r="K30" s="64"/>
      <c r="L30" s="64"/>
      <c r="M30" s="64"/>
      <c r="N30" s="64"/>
      <c r="O30" s="64"/>
      <c r="P30" s="64"/>
      <c r="Q30" s="64"/>
      <c r="R30" s="382"/>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row>
    <row r="31" spans="1:76" x14ac:dyDescent="0.35">
      <c r="A31" s="64"/>
      <c r="B31" s="64"/>
      <c r="C31" s="64"/>
      <c r="D31" s="64"/>
      <c r="E31" s="64"/>
      <c r="F31" s="64"/>
      <c r="G31" s="64"/>
      <c r="H31" s="64"/>
      <c r="I31" s="64"/>
      <c r="J31" s="64"/>
      <c r="K31" s="64"/>
      <c r="L31" s="64"/>
      <c r="M31" s="64"/>
      <c r="N31" s="64"/>
      <c r="O31" s="64"/>
      <c r="P31" s="64"/>
      <c r="Q31" s="64"/>
      <c r="R31" s="382"/>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row>
    <row r="32" spans="1:76" ht="15" thickBot="1" x14ac:dyDescent="0.4">
      <c r="A32" s="64"/>
      <c r="B32" s="64"/>
      <c r="C32" s="64"/>
      <c r="D32" s="64"/>
      <c r="E32" s="64"/>
      <c r="F32" s="64"/>
      <c r="G32" s="64"/>
      <c r="H32" s="64"/>
      <c r="I32" s="64"/>
      <c r="J32" s="64"/>
      <c r="K32" s="64"/>
      <c r="L32" s="64"/>
      <c r="M32" s="64"/>
      <c r="N32" s="64"/>
      <c r="O32" s="64"/>
      <c r="P32" s="64"/>
      <c r="Q32" s="64"/>
      <c r="R32" s="64"/>
    </row>
    <row r="33" spans="1:18" s="47" customFormat="1" ht="15" thickTop="1" x14ac:dyDescent="0.35">
      <c r="A33" s="908"/>
      <c r="B33" s="6365" t="s">
        <v>771</v>
      </c>
      <c r="C33" s="6366"/>
      <c r="D33" s="6366"/>
      <c r="E33" s="6366"/>
      <c r="F33" s="6366"/>
      <c r="G33" s="920"/>
      <c r="H33" s="908"/>
      <c r="I33" s="908"/>
      <c r="J33" s="908"/>
      <c r="K33" s="908"/>
      <c r="L33" s="908"/>
      <c r="M33" s="908"/>
      <c r="N33" s="908"/>
      <c r="O33" s="908"/>
      <c r="P33" s="908"/>
      <c r="Q33" s="908"/>
      <c r="R33" s="908"/>
    </row>
    <row r="34" spans="1:18" s="47" customFormat="1" x14ac:dyDescent="0.35">
      <c r="A34" s="908"/>
      <c r="B34" s="6349" t="s">
        <v>907</v>
      </c>
      <c r="C34" s="6350"/>
      <c r="D34" s="6350"/>
      <c r="E34" s="6350"/>
      <c r="F34" s="6350"/>
      <c r="G34" s="904" t="s">
        <v>868</v>
      </c>
      <c r="H34" s="908"/>
      <c r="I34" s="908"/>
      <c r="J34" s="908"/>
      <c r="K34" s="908"/>
      <c r="L34" s="908"/>
      <c r="M34" s="908"/>
      <c r="N34" s="908"/>
      <c r="O34" s="908"/>
      <c r="P34" s="908"/>
      <c r="Q34" s="908"/>
      <c r="R34" s="908"/>
    </row>
    <row r="35" spans="1:18" s="47" customFormat="1" x14ac:dyDescent="0.35">
      <c r="A35" s="908"/>
      <c r="B35" s="6349" t="s">
        <v>908</v>
      </c>
      <c r="C35" s="6350"/>
      <c r="D35" s="6350"/>
      <c r="E35" s="6350"/>
      <c r="F35" s="6350"/>
      <c r="G35" s="905"/>
      <c r="H35" s="908"/>
      <c r="I35" s="908"/>
      <c r="J35" s="908"/>
      <c r="K35" s="908"/>
      <c r="L35" s="908"/>
      <c r="M35" s="908"/>
      <c r="N35" s="908"/>
      <c r="O35" s="908"/>
      <c r="P35" s="908"/>
      <c r="Q35" s="908"/>
      <c r="R35" s="908"/>
    </row>
    <row r="36" spans="1:18" s="47" customFormat="1" x14ac:dyDescent="0.35">
      <c r="A36" s="908"/>
      <c r="B36" s="6349" t="s">
        <v>909</v>
      </c>
      <c r="C36" s="6350"/>
      <c r="D36" s="6350"/>
      <c r="E36" s="6350"/>
      <c r="F36" s="6350"/>
      <c r="G36" s="905"/>
      <c r="H36" s="908"/>
      <c r="I36" s="908"/>
      <c r="J36" s="908"/>
      <c r="K36" s="908"/>
      <c r="L36" s="908"/>
      <c r="M36" s="908"/>
      <c r="N36" s="908"/>
      <c r="O36" s="908"/>
      <c r="P36" s="908"/>
      <c r="Q36" s="908"/>
      <c r="R36" s="908"/>
    </row>
    <row r="37" spans="1:18" s="47" customFormat="1" x14ac:dyDescent="0.35">
      <c r="A37" s="908"/>
      <c r="B37" s="6349" t="s">
        <v>910</v>
      </c>
      <c r="C37" s="6350"/>
      <c r="D37" s="6350"/>
      <c r="E37" s="6350"/>
      <c r="F37" s="6350"/>
      <c r="G37" s="905"/>
      <c r="H37" s="908"/>
      <c r="I37" s="908"/>
      <c r="J37" s="908"/>
      <c r="K37" s="908"/>
      <c r="L37" s="908"/>
      <c r="M37" s="908"/>
      <c r="N37" s="908"/>
      <c r="O37" s="908"/>
      <c r="P37" s="908"/>
      <c r="Q37" s="908"/>
      <c r="R37" s="908"/>
    </row>
    <row r="38" spans="1:18" s="47" customFormat="1" x14ac:dyDescent="0.35">
      <c r="A38" s="908"/>
      <c r="B38" s="6349" t="s">
        <v>911</v>
      </c>
      <c r="C38" s="6350"/>
      <c r="D38" s="6350"/>
      <c r="E38" s="6350"/>
      <c r="F38" s="6350"/>
      <c r="G38" s="904" t="s">
        <v>912</v>
      </c>
      <c r="H38" s="908"/>
      <c r="I38" s="908"/>
      <c r="J38" s="908"/>
      <c r="K38" s="908"/>
      <c r="L38" s="908"/>
      <c r="M38" s="908"/>
      <c r="N38" s="908"/>
      <c r="O38" s="908"/>
      <c r="P38" s="908"/>
      <c r="Q38" s="908"/>
      <c r="R38" s="908"/>
    </row>
    <row r="39" spans="1:18" s="47" customFormat="1" ht="15" thickBot="1" x14ac:dyDescent="0.4">
      <c r="A39" s="908"/>
      <c r="B39" s="6351"/>
      <c r="C39" s="6352"/>
      <c r="D39" s="6352"/>
      <c r="E39" s="6352"/>
      <c r="F39" s="6352"/>
      <c r="G39" s="6353"/>
      <c r="H39" s="908"/>
      <c r="I39" s="908"/>
      <c r="J39" s="908"/>
      <c r="K39" s="908"/>
      <c r="L39" s="908"/>
      <c r="M39" s="908"/>
      <c r="N39" s="908"/>
      <c r="O39" s="908"/>
      <c r="P39" s="908"/>
      <c r="Q39" s="908"/>
      <c r="R39" s="908"/>
    </row>
    <row r="40" spans="1:18" ht="15" thickTop="1" x14ac:dyDescent="0.35">
      <c r="A40" s="64"/>
      <c r="B40" s="64"/>
      <c r="C40" s="64"/>
      <c r="D40" s="64"/>
      <c r="E40" s="64"/>
      <c r="F40" s="64"/>
      <c r="G40" s="64"/>
      <c r="H40" s="64"/>
      <c r="I40" s="64"/>
      <c r="J40" s="64"/>
      <c r="K40" s="64"/>
      <c r="L40" s="64"/>
      <c r="M40" s="64"/>
      <c r="N40" s="64"/>
      <c r="O40" s="64"/>
      <c r="P40" s="64"/>
      <c r="Q40" s="64"/>
      <c r="R40" s="64"/>
    </row>
  </sheetData>
  <mergeCells count="45">
    <mergeCell ref="D3:G3"/>
    <mergeCell ref="D1:G1"/>
    <mergeCell ref="I1:J1"/>
    <mergeCell ref="L1:M1"/>
    <mergeCell ref="D2:G2"/>
    <mergeCell ref="I2:J2"/>
    <mergeCell ref="L2:M2"/>
    <mergeCell ref="A11:G11"/>
    <mergeCell ref="J11:M11"/>
    <mergeCell ref="B4:G4"/>
    <mergeCell ref="H4:Q4"/>
    <mergeCell ref="A5:B5"/>
    <mergeCell ref="C5:Q5"/>
    <mergeCell ref="H6:I6"/>
    <mergeCell ref="A7:G7"/>
    <mergeCell ref="J7:M7"/>
    <mergeCell ref="A8:M8"/>
    <mergeCell ref="A9:G9"/>
    <mergeCell ref="J9:M9"/>
    <mergeCell ref="A10:G10"/>
    <mergeCell ref="J10:M10"/>
    <mergeCell ref="A12:G12"/>
    <mergeCell ref="J12:M12"/>
    <mergeCell ref="A13:G13"/>
    <mergeCell ref="J13:M13"/>
    <mergeCell ref="A14:G14"/>
    <mergeCell ref="J14:M14"/>
    <mergeCell ref="B34:F34"/>
    <mergeCell ref="A15:G15"/>
    <mergeCell ref="J15:M15"/>
    <mergeCell ref="A16:M16"/>
    <mergeCell ref="A19:K19"/>
    <mergeCell ref="M19:O19"/>
    <mergeCell ref="A20:K23"/>
    <mergeCell ref="M20:O23"/>
    <mergeCell ref="A25:K25"/>
    <mergeCell ref="M25:O25"/>
    <mergeCell ref="A26:K29"/>
    <mergeCell ref="M26:O29"/>
    <mergeCell ref="B33:F33"/>
    <mergeCell ref="B35:F35"/>
    <mergeCell ref="B36:F36"/>
    <mergeCell ref="B37:F37"/>
    <mergeCell ref="B38:F38"/>
    <mergeCell ref="B39:G39"/>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400-000000000000}">
      <formula1>AvancementTheme</formula1>
    </dataValidation>
  </dataValidations>
  <hyperlinks>
    <hyperlink ref="O1" location="DPDV_10TL2" display="PdV" xr:uid="{00000000-0004-0000-4400-000000000000}"/>
    <hyperlink ref="P1" location="DKPI_10TL2" display="KPI's" xr:uid="{00000000-0004-0000-44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72">
    <tabColor rgb="FFFFC000"/>
    <pageSetUpPr fitToPage="1"/>
  </sheetPr>
  <dimension ref="A1:AE138"/>
  <sheetViews>
    <sheetView showGridLines="0" showRowColHeaders="0" showZeros="0" zoomScale="110" zoomScaleNormal="110" workbookViewId="0">
      <pane ySplit="6" topLeftCell="A7" activePane="bottomLeft" state="frozen"/>
      <selection activeCell="H7" sqref="H7"/>
      <selection pane="bottomLeft" activeCell="G7" sqref="G7:H7"/>
    </sheetView>
  </sheetViews>
  <sheetFormatPr baseColWidth="10" defaultColWidth="11.453125" defaultRowHeight="14.5" x14ac:dyDescent="0.35"/>
  <cols>
    <col min="1" max="1" width="6" style="60" customWidth="1"/>
    <col min="2" max="2" width="13.26953125" style="60" customWidth="1"/>
    <col min="3" max="11" width="11.453125" style="60"/>
    <col min="12" max="12" width="12.81640625" style="60" customWidth="1"/>
    <col min="13" max="14" width="11.453125" style="60"/>
    <col min="15" max="15" width="11.453125" style="60" customWidth="1"/>
    <col min="16" max="16384" width="11.453125" style="60"/>
  </cols>
  <sheetData>
    <row r="1" spans="1:31" s="54" customFormat="1" ht="15" customHeight="1" x14ac:dyDescent="0.35">
      <c r="A1" s="1570"/>
      <c r="B1" s="1570"/>
      <c r="C1" s="1570"/>
      <c r="D1" s="3341" t="s">
        <v>5</v>
      </c>
      <c r="E1" s="3341"/>
      <c r="F1" s="3341"/>
      <c r="G1" s="3341"/>
      <c r="H1" s="391"/>
      <c r="I1" s="3341" t="s">
        <v>6</v>
      </c>
      <c r="J1" s="3341"/>
      <c r="K1" s="1570"/>
      <c r="L1" s="3341" t="s">
        <v>9</v>
      </c>
      <c r="M1" s="3341"/>
      <c r="N1" s="1570"/>
      <c r="O1" s="479" t="s">
        <v>2</v>
      </c>
      <c r="P1" s="479" t="s">
        <v>3</v>
      </c>
      <c r="Q1" s="458"/>
    </row>
    <row r="2" spans="1:31" s="58" customFormat="1" ht="18" customHeight="1" x14ac:dyDescent="0.35">
      <c r="A2" s="393"/>
      <c r="B2" s="393"/>
      <c r="C2" s="393"/>
      <c r="D2" s="3342" t="str">
        <f>NomClient</f>
        <v xml:space="preserve">EQUINIX </v>
      </c>
      <c r="E2" s="3343"/>
      <c r="F2" s="3343"/>
      <c r="G2" s="3344"/>
      <c r="H2" s="393"/>
      <c r="I2" s="3345" t="s">
        <v>410</v>
      </c>
      <c r="J2" s="3346"/>
      <c r="K2" s="393"/>
      <c r="L2" s="3347">
        <v>42420.656099537038</v>
      </c>
      <c r="M2" s="3348"/>
      <c r="N2" s="394"/>
      <c r="O2" s="451">
        <f>IF(LEN(DPDV_03BI3)&gt;0,LEN(DPDV_03BI3),0-PDV_NBmini)</f>
        <v>184</v>
      </c>
      <c r="P2" s="451">
        <f>IF(LEN(DKPI_03BI3)&gt;0,LEN(DKPI_03BI3),0-KPI_NBmini)</f>
        <v>63</v>
      </c>
      <c r="Q2" s="459"/>
    </row>
    <row r="3" spans="1:3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31" s="1" customFormat="1" ht="24.75" customHeight="1" thickBot="1" x14ac:dyDescent="0.4">
      <c r="A4" s="3695" t="str">
        <f>Parametre!B25 &amp; "  : "</f>
        <v xml:space="preserve">Positionnement de l'offre  : </v>
      </c>
      <c r="B4" s="3695"/>
      <c r="C4" s="3695"/>
      <c r="D4" s="3695"/>
      <c r="E4" s="3695"/>
      <c r="F4" s="3695"/>
      <c r="G4" s="3695"/>
      <c r="H4" s="3693" t="str">
        <f xml:space="preserve"> "BIC pour " &amp; NomProd3</f>
        <v xml:space="preserve">BIC pour </v>
      </c>
      <c r="I4" s="3693"/>
      <c r="J4" s="3693"/>
      <c r="K4" s="3693"/>
      <c r="L4" s="3693"/>
      <c r="M4" s="3693"/>
      <c r="N4" s="3693"/>
      <c r="O4" s="3693"/>
      <c r="P4" s="3694"/>
      <c r="Q4" s="444"/>
    </row>
    <row r="5" spans="1:31" s="193" customFormat="1" ht="21.75" customHeight="1" x14ac:dyDescent="0.35">
      <c r="A5" s="3438" t="s">
        <v>14</v>
      </c>
      <c r="B5" s="3438"/>
      <c r="C5" s="3439" t="s">
        <v>752</v>
      </c>
      <c r="D5" s="3439"/>
      <c r="E5" s="3439"/>
      <c r="F5" s="3439"/>
      <c r="G5" s="3439"/>
      <c r="H5" s="3439"/>
      <c r="I5" s="3439"/>
      <c r="J5" s="3439"/>
      <c r="K5" s="3439"/>
      <c r="L5" s="3439"/>
      <c r="M5" s="3439"/>
      <c r="N5" s="3439"/>
      <c r="O5" s="3439"/>
      <c r="P5" s="3439"/>
      <c r="Q5" s="460"/>
    </row>
    <row r="6" spans="1:31" ht="1.5" customHeight="1" thickBot="1" x14ac:dyDescent="0.4">
      <c r="A6" s="3697" t="s">
        <v>20</v>
      </c>
      <c r="B6" s="3697"/>
      <c r="C6" s="3508"/>
      <c r="D6" s="3508"/>
      <c r="E6" s="3508"/>
      <c r="F6" s="3508"/>
      <c r="G6" s="3508"/>
      <c r="H6" s="3508"/>
      <c r="I6" s="3508"/>
      <c r="J6" s="3508"/>
      <c r="K6" s="3508"/>
      <c r="L6" s="3508"/>
      <c r="M6" s="3508"/>
      <c r="N6" s="3508"/>
      <c r="O6" s="3508"/>
      <c r="P6" s="3508"/>
      <c r="Q6" s="64"/>
    </row>
    <row r="7" spans="1:31" s="25" customFormat="1" ht="50.25" customHeight="1" thickTop="1" x14ac:dyDescent="0.35">
      <c r="A7" s="704"/>
      <c r="B7" s="5368" t="s">
        <v>100</v>
      </c>
      <c r="C7" s="5369"/>
      <c r="D7" s="5369"/>
      <c r="E7" s="5369"/>
      <c r="F7" s="5369"/>
      <c r="G7" s="3530" t="s">
        <v>870</v>
      </c>
      <c r="H7" s="3530"/>
      <c r="I7" s="3530" t="str">
        <f>"CA net pour "
&amp; AbrevClient</f>
        <v xml:space="preserve">CA net pour EQUNIX </v>
      </c>
      <c r="J7" s="3530"/>
      <c r="K7" s="3530" t="s">
        <v>871</v>
      </c>
      <c r="L7" s="3530"/>
      <c r="M7" s="3530" t="s">
        <v>18</v>
      </c>
      <c r="N7" s="3530"/>
      <c r="O7" s="3530"/>
      <c r="P7" s="3624"/>
      <c r="Q7" s="705"/>
      <c r="R7" s="1607"/>
      <c r="U7" s="75"/>
      <c r="V7" s="75"/>
      <c r="W7" s="76"/>
      <c r="X7" s="77"/>
      <c r="Y7" s="78"/>
      <c r="Z7" s="75"/>
      <c r="AA7" s="75"/>
      <c r="AB7" s="75"/>
      <c r="AC7" s="75"/>
      <c r="AD7" s="75"/>
      <c r="AE7" s="75"/>
    </row>
    <row r="8" spans="1:31" ht="9" customHeight="1" thickBot="1" x14ac:dyDescent="0.4">
      <c r="A8" s="1572"/>
      <c r="B8" s="5363"/>
      <c r="C8" s="5364"/>
      <c r="D8" s="5364"/>
      <c r="E8" s="5364"/>
      <c r="F8" s="5364"/>
      <c r="G8" s="5364"/>
      <c r="H8" s="5364"/>
      <c r="I8" s="3700"/>
      <c r="J8" s="3700"/>
      <c r="K8" s="5364"/>
      <c r="L8" s="5364"/>
      <c r="M8" s="5364"/>
      <c r="N8" s="5364"/>
      <c r="O8" s="5364"/>
      <c r="P8" s="5365"/>
      <c r="Q8" s="463"/>
      <c r="R8" s="63"/>
      <c r="U8" s="66"/>
      <c r="V8" s="66"/>
      <c r="W8" s="72"/>
      <c r="X8" s="79"/>
      <c r="Y8" s="73"/>
      <c r="Z8" s="66"/>
      <c r="AA8" s="66"/>
      <c r="AB8" s="66"/>
      <c r="AC8" s="66"/>
      <c r="AD8" s="66"/>
      <c r="AE8" s="66"/>
    </row>
    <row r="9" spans="1:31" s="65" customFormat="1" ht="39.75" customHeight="1" thickBot="1" x14ac:dyDescent="0.4">
      <c r="A9" s="706"/>
      <c r="B9" s="3698" t="str">
        <f>"CA issu de l'offre " &amp; AbrevClient</f>
        <v xml:space="preserve">CA issu de l'offre EQUNIX </v>
      </c>
      <c r="C9" s="3699"/>
      <c r="D9" s="3699"/>
      <c r="E9" s="3699"/>
      <c r="F9" s="3699"/>
      <c r="G9" s="3557" t="s">
        <v>775</v>
      </c>
      <c r="H9" s="3558"/>
      <c r="I9" s="707" t="s">
        <v>902</v>
      </c>
      <c r="J9" s="734">
        <v>0</v>
      </c>
      <c r="K9" s="708"/>
      <c r="L9" s="708"/>
      <c r="M9" s="708"/>
      <c r="N9" s="708"/>
      <c r="O9" s="708"/>
      <c r="P9" s="709"/>
      <c r="Q9" s="398"/>
      <c r="U9" s="80"/>
      <c r="V9" s="80"/>
      <c r="W9" s="81"/>
      <c r="X9" s="82"/>
      <c r="Y9" s="83"/>
      <c r="Z9" s="80"/>
      <c r="AA9" s="80"/>
      <c r="AB9" s="80"/>
      <c r="AC9" s="80"/>
      <c r="AD9" s="80"/>
      <c r="AE9" s="80"/>
    </row>
    <row r="10" spans="1:31" s="65" customFormat="1" ht="18" customHeight="1" x14ac:dyDescent="0.35">
      <c r="A10" s="452"/>
      <c r="B10" s="6388" t="s">
        <v>1371</v>
      </c>
      <c r="C10" s="6389"/>
      <c r="D10" s="6389"/>
      <c r="E10" s="6389"/>
      <c r="F10" s="6390"/>
      <c r="G10" s="6398"/>
      <c r="H10" s="6399"/>
      <c r="I10" s="5366">
        <f>G10-K10</f>
        <v>0</v>
      </c>
      <c r="J10" s="5366"/>
      <c r="K10" s="5367">
        <f>G10*$J$9</f>
        <v>0</v>
      </c>
      <c r="L10" s="5367"/>
      <c r="M10" s="3675"/>
      <c r="N10" s="3676"/>
      <c r="O10" s="3676"/>
      <c r="P10" s="3677"/>
      <c r="Q10" s="398"/>
      <c r="U10" s="80"/>
      <c r="V10" s="80"/>
      <c r="W10" s="81"/>
      <c r="X10" s="13"/>
      <c r="Y10" s="83"/>
      <c r="Z10" s="80"/>
      <c r="AA10" s="80"/>
      <c r="AB10" s="80"/>
      <c r="AC10" s="80"/>
      <c r="AD10" s="80"/>
      <c r="AE10" s="80"/>
    </row>
    <row r="11" spans="1:31" s="65" customFormat="1" ht="18" customHeight="1" x14ac:dyDescent="0.35">
      <c r="A11" s="452"/>
      <c r="B11" s="6397" t="s">
        <v>1384</v>
      </c>
      <c r="C11" s="3629"/>
      <c r="D11" s="3629"/>
      <c r="E11" s="3629"/>
      <c r="F11" s="3629"/>
      <c r="G11" s="6398"/>
      <c r="H11" s="6399"/>
      <c r="I11" s="5366">
        <f>G11-K11</f>
        <v>0</v>
      </c>
      <c r="J11" s="5366"/>
      <c r="K11" s="5367">
        <f>G11*$J$9</f>
        <v>0</v>
      </c>
      <c r="L11" s="5367"/>
      <c r="M11" s="3675"/>
      <c r="N11" s="3676"/>
      <c r="O11" s="3676"/>
      <c r="P11" s="3677"/>
      <c r="Q11" s="398"/>
      <c r="U11" s="80"/>
      <c r="V11" s="80"/>
      <c r="W11" s="81"/>
      <c r="X11" s="13"/>
      <c r="Y11" s="83"/>
      <c r="Z11" s="80"/>
      <c r="AA11" s="80"/>
      <c r="AB11" s="80"/>
      <c r="AC11" s="80"/>
      <c r="AD11" s="80"/>
      <c r="AE11" s="80"/>
    </row>
    <row r="12" spans="1:31" s="65" customFormat="1" ht="14.65" customHeight="1" x14ac:dyDescent="0.35">
      <c r="A12" s="1366" t="s">
        <v>1372</v>
      </c>
      <c r="B12" s="1367"/>
      <c r="C12" s="1368"/>
      <c r="D12" s="1368"/>
      <c r="E12" s="1368"/>
      <c r="F12" s="1369"/>
      <c r="G12" s="1370"/>
      <c r="H12" s="1371"/>
      <c r="I12" s="6391"/>
      <c r="J12" s="6392"/>
      <c r="K12" s="6393"/>
      <c r="L12" s="6394"/>
      <c r="M12" s="1588"/>
      <c r="N12" s="1589"/>
      <c r="O12" s="1589"/>
      <c r="P12" s="1590"/>
      <c r="Q12" s="398"/>
      <c r="U12" s="80"/>
      <c r="V12" s="80"/>
      <c r="W12" s="81"/>
      <c r="X12" s="13"/>
      <c r="Y12" s="83"/>
      <c r="Z12" s="80"/>
      <c r="AA12" s="80"/>
      <c r="AB12" s="80"/>
      <c r="AC12" s="80"/>
      <c r="AD12" s="80"/>
      <c r="AE12" s="80"/>
    </row>
    <row r="13" spans="1:31" s="65" customFormat="1" ht="18" customHeight="1" x14ac:dyDescent="0.35">
      <c r="B13" s="6388" t="s">
        <v>1220</v>
      </c>
      <c r="C13" s="6389"/>
      <c r="D13" s="6389"/>
      <c r="E13" s="6389"/>
      <c r="F13" s="6390"/>
      <c r="G13" s="6395">
        <v>48000</v>
      </c>
      <c r="H13" s="6396"/>
      <c r="I13" s="5366">
        <v>8100</v>
      </c>
      <c r="J13" s="5366"/>
      <c r="K13" s="5367">
        <f>G13-I13</f>
        <v>39900</v>
      </c>
      <c r="L13" s="5367"/>
      <c r="M13" s="5322" t="s">
        <v>1770</v>
      </c>
      <c r="N13" s="5323"/>
      <c r="O13" s="5323"/>
      <c r="P13" s="5324"/>
      <c r="Q13" s="398"/>
      <c r="U13" s="80"/>
      <c r="V13" s="80"/>
      <c r="W13" s="81"/>
      <c r="X13" s="13"/>
      <c r="Y13" s="83"/>
      <c r="Z13" s="80"/>
      <c r="AA13" s="80"/>
      <c r="AB13" s="80"/>
      <c r="AC13" s="80"/>
      <c r="AD13" s="80"/>
      <c r="AE13" s="80"/>
    </row>
    <row r="14" spans="1:31" s="65" customFormat="1" ht="12" customHeight="1" x14ac:dyDescent="0.35">
      <c r="A14" s="1374"/>
      <c r="B14" s="1367"/>
      <c r="C14" s="1368"/>
      <c r="D14" s="1368"/>
      <c r="E14" s="1368"/>
      <c r="F14" s="1369"/>
      <c r="G14" s="1370"/>
      <c r="H14" s="1371"/>
      <c r="I14" s="1586"/>
      <c r="J14" s="1586"/>
      <c r="K14" s="1587"/>
      <c r="L14" s="1587"/>
      <c r="M14" s="1588"/>
      <c r="N14" s="1589"/>
      <c r="O14" s="1589"/>
      <c r="P14" s="1590"/>
      <c r="Q14" s="398"/>
      <c r="U14" s="80"/>
      <c r="V14" s="80"/>
      <c r="W14" s="81"/>
      <c r="X14" s="13"/>
      <c r="Y14" s="83"/>
      <c r="Z14" s="80"/>
      <c r="AA14" s="80"/>
      <c r="AB14" s="80"/>
      <c r="AC14" s="80"/>
      <c r="AD14" s="80"/>
      <c r="AE14" s="80"/>
    </row>
    <row r="15" spans="1:31" s="65" customFormat="1" ht="18" customHeight="1" x14ac:dyDescent="0.35">
      <c r="A15" s="1374"/>
      <c r="B15" s="6388" t="s">
        <v>1373</v>
      </c>
      <c r="C15" s="6389"/>
      <c r="D15" s="6389"/>
      <c r="E15" s="6389"/>
      <c r="F15" s="6390"/>
      <c r="G15" s="5320">
        <f>SUM(G16:H25)</f>
        <v>0</v>
      </c>
      <c r="H15" s="5321"/>
      <c r="I15" s="5366">
        <f>G15-K15</f>
        <v>0</v>
      </c>
      <c r="J15" s="5366"/>
      <c r="K15" s="5367">
        <f t="shared" ref="K15:K25" si="0">G15*$J$9</f>
        <v>0</v>
      </c>
      <c r="L15" s="5367"/>
      <c r="M15" s="3657" t="s">
        <v>1781</v>
      </c>
      <c r="N15" s="3657"/>
      <c r="O15" s="3657"/>
      <c r="P15" s="3658"/>
      <c r="Q15" s="398"/>
      <c r="U15" s="80"/>
      <c r="V15" s="80"/>
      <c r="W15" s="81"/>
      <c r="X15" s="13"/>
      <c r="Y15" s="83"/>
      <c r="Z15" s="80"/>
      <c r="AA15" s="80"/>
      <c r="AB15" s="80"/>
      <c r="AC15" s="80"/>
      <c r="AD15" s="80"/>
      <c r="AE15" s="80"/>
    </row>
    <row r="16" spans="1:31" s="65" customFormat="1" ht="18" customHeight="1" x14ac:dyDescent="0.35">
      <c r="A16" s="706"/>
      <c r="B16" s="5310" t="s">
        <v>1374</v>
      </c>
      <c r="C16" s="5311"/>
      <c r="D16" s="5311"/>
      <c r="E16" s="5311"/>
      <c r="F16" s="5311"/>
      <c r="G16" s="5312"/>
      <c r="H16" s="5313"/>
      <c r="I16" s="6386">
        <f t="shared" ref="I16:I25" si="1">G16-K16</f>
        <v>0</v>
      </c>
      <c r="J16" s="6386"/>
      <c r="K16" s="6387">
        <f t="shared" si="0"/>
        <v>0</v>
      </c>
      <c r="L16" s="6387"/>
      <c r="M16" s="3657" t="s">
        <v>1782</v>
      </c>
      <c r="N16" s="3657"/>
      <c r="O16" s="3657"/>
      <c r="P16" s="3658"/>
      <c r="Q16" s="398"/>
      <c r="U16" s="80"/>
      <c r="V16" s="80"/>
      <c r="W16" s="81"/>
      <c r="X16" s="13"/>
      <c r="Y16" s="83"/>
      <c r="Z16" s="80"/>
      <c r="AA16" s="80"/>
      <c r="AB16" s="80"/>
      <c r="AC16" s="80"/>
      <c r="AD16" s="80"/>
      <c r="AE16" s="80"/>
    </row>
    <row r="17" spans="1:31" s="65" customFormat="1" ht="30" customHeight="1" x14ac:dyDescent="0.35">
      <c r="A17" s="706"/>
      <c r="B17" s="5310" t="s">
        <v>1375</v>
      </c>
      <c r="C17" s="5311"/>
      <c r="D17" s="5311"/>
      <c r="E17" s="5311"/>
      <c r="F17" s="5311"/>
      <c r="G17" s="5312"/>
      <c r="H17" s="5313"/>
      <c r="I17" s="3708">
        <f t="shared" si="1"/>
        <v>0</v>
      </c>
      <c r="J17" s="3708"/>
      <c r="K17" s="5314">
        <f t="shared" si="0"/>
        <v>0</v>
      </c>
      <c r="L17" s="5314"/>
      <c r="M17" s="5514" t="s">
        <v>1771</v>
      </c>
      <c r="N17" s="6383"/>
      <c r="O17" s="6383"/>
      <c r="P17" s="6384"/>
      <c r="Q17" s="398"/>
      <c r="U17" s="80"/>
      <c r="V17" s="80"/>
      <c r="W17" s="81"/>
      <c r="X17" s="13"/>
      <c r="Y17" s="83"/>
      <c r="Z17" s="80"/>
      <c r="AA17" s="80"/>
      <c r="AB17" s="80"/>
      <c r="AC17" s="80"/>
      <c r="AD17" s="80"/>
      <c r="AE17" s="80"/>
    </row>
    <row r="18" spans="1:31" s="65" customFormat="1" ht="18" customHeight="1" x14ac:dyDescent="0.35">
      <c r="A18" s="706"/>
      <c r="B18" s="5310" t="s">
        <v>1376</v>
      </c>
      <c r="C18" s="5311"/>
      <c r="D18" s="5311"/>
      <c r="E18" s="5311"/>
      <c r="F18" s="5311"/>
      <c r="G18" s="5312"/>
      <c r="H18" s="5313"/>
      <c r="I18" s="3708">
        <f t="shared" si="1"/>
        <v>0</v>
      </c>
      <c r="J18" s="3708"/>
      <c r="K18" s="5314">
        <f t="shared" si="0"/>
        <v>0</v>
      </c>
      <c r="L18" s="5314"/>
      <c r="M18" s="3657"/>
      <c r="N18" s="3657"/>
      <c r="O18" s="3657"/>
      <c r="P18" s="3658"/>
      <c r="Q18" s="398"/>
      <c r="U18" s="80"/>
      <c r="V18" s="80"/>
      <c r="W18" s="81"/>
      <c r="X18" s="13"/>
      <c r="Y18" s="83"/>
      <c r="Z18" s="80"/>
      <c r="AA18" s="80"/>
      <c r="AB18" s="80"/>
      <c r="AC18" s="80"/>
      <c r="AD18" s="80"/>
      <c r="AE18" s="80"/>
    </row>
    <row r="19" spans="1:31" s="65" customFormat="1" ht="18" customHeight="1" x14ac:dyDescent="0.35">
      <c r="A19" s="706"/>
      <c r="B19" s="5310" t="s">
        <v>1377</v>
      </c>
      <c r="C19" s="5311"/>
      <c r="D19" s="5311"/>
      <c r="E19" s="5311"/>
      <c r="F19" s="5311"/>
      <c r="G19" s="5312"/>
      <c r="H19" s="5313"/>
      <c r="I19" s="3708">
        <f t="shared" si="1"/>
        <v>0</v>
      </c>
      <c r="J19" s="3708"/>
      <c r="K19" s="5314">
        <f t="shared" si="0"/>
        <v>0</v>
      </c>
      <c r="L19" s="5314"/>
      <c r="M19" s="3657"/>
      <c r="N19" s="3657"/>
      <c r="O19" s="3657"/>
      <c r="P19" s="3658"/>
      <c r="Q19" s="398"/>
      <c r="U19" s="80"/>
      <c r="V19" s="80"/>
      <c r="W19" s="81"/>
      <c r="X19" s="13"/>
      <c r="Y19" s="83"/>
      <c r="Z19" s="80"/>
      <c r="AA19" s="80"/>
      <c r="AB19" s="80"/>
      <c r="AC19" s="80"/>
      <c r="AD19" s="80"/>
      <c r="AE19" s="80"/>
    </row>
    <row r="20" spans="1:31" s="65" customFormat="1" ht="18" customHeight="1" x14ac:dyDescent="0.35">
      <c r="A20" s="706"/>
      <c r="B20" s="5310" t="s">
        <v>1378</v>
      </c>
      <c r="C20" s="5311"/>
      <c r="D20" s="5311"/>
      <c r="E20" s="5311"/>
      <c r="F20" s="5311"/>
      <c r="G20" s="5312"/>
      <c r="H20" s="5313"/>
      <c r="I20" s="3708">
        <f t="shared" si="1"/>
        <v>0</v>
      </c>
      <c r="J20" s="3708"/>
      <c r="K20" s="5314">
        <f t="shared" si="0"/>
        <v>0</v>
      </c>
      <c r="L20" s="5314"/>
      <c r="M20" s="3657"/>
      <c r="N20" s="3657"/>
      <c r="O20" s="3657"/>
      <c r="P20" s="3658"/>
      <c r="Q20" s="398"/>
      <c r="U20" s="80"/>
      <c r="V20" s="80"/>
      <c r="W20" s="81"/>
      <c r="X20" s="13"/>
      <c r="Y20" s="83"/>
      <c r="Z20" s="80"/>
      <c r="AA20" s="80"/>
      <c r="AB20" s="80"/>
      <c r="AC20" s="80"/>
      <c r="AD20" s="80"/>
      <c r="AE20" s="80"/>
    </row>
    <row r="21" spans="1:31" s="65" customFormat="1" ht="18" customHeight="1" x14ac:dyDescent="0.35">
      <c r="A21" s="706"/>
      <c r="B21" s="5310" t="s">
        <v>1379</v>
      </c>
      <c r="C21" s="5311"/>
      <c r="D21" s="5311"/>
      <c r="E21" s="5311"/>
      <c r="F21" s="5311"/>
      <c r="G21" s="5312"/>
      <c r="H21" s="5313"/>
      <c r="I21" s="3708">
        <f t="shared" si="1"/>
        <v>0</v>
      </c>
      <c r="J21" s="3708"/>
      <c r="K21" s="5314">
        <f t="shared" si="0"/>
        <v>0</v>
      </c>
      <c r="L21" s="5314"/>
      <c r="M21" s="3675"/>
      <c r="N21" s="3676"/>
      <c r="O21" s="3676"/>
      <c r="P21" s="3677"/>
      <c r="Q21" s="398"/>
      <c r="U21" s="80"/>
      <c r="V21" s="80"/>
      <c r="W21" s="81"/>
      <c r="X21" s="13"/>
      <c r="Y21" s="83"/>
      <c r="Z21" s="80"/>
      <c r="AA21" s="80"/>
      <c r="AB21" s="80"/>
      <c r="AC21" s="80"/>
      <c r="AD21" s="80"/>
      <c r="AE21" s="80"/>
    </row>
    <row r="22" spans="1:31" s="65" customFormat="1" ht="18" customHeight="1" x14ac:dyDescent="0.35">
      <c r="A22" s="706"/>
      <c r="B22" s="5310" t="s">
        <v>1380</v>
      </c>
      <c r="C22" s="5311"/>
      <c r="D22" s="5311"/>
      <c r="E22" s="5311"/>
      <c r="F22" s="5311"/>
      <c r="G22" s="5312"/>
      <c r="H22" s="5313"/>
      <c r="I22" s="3708">
        <f t="shared" si="1"/>
        <v>0</v>
      </c>
      <c r="J22" s="3708"/>
      <c r="K22" s="5314">
        <f t="shared" si="0"/>
        <v>0</v>
      </c>
      <c r="L22" s="5314"/>
      <c r="M22" s="3675"/>
      <c r="N22" s="3676"/>
      <c r="O22" s="3676"/>
      <c r="P22" s="3677"/>
      <c r="Q22" s="398"/>
      <c r="U22" s="80"/>
      <c r="V22" s="80"/>
      <c r="W22" s="81"/>
      <c r="X22" s="13"/>
      <c r="Y22" s="83"/>
      <c r="Z22" s="80"/>
      <c r="AA22" s="80"/>
      <c r="AB22" s="80"/>
      <c r="AC22" s="80"/>
      <c r="AD22" s="80"/>
      <c r="AE22" s="80"/>
    </row>
    <row r="23" spans="1:31" s="65" customFormat="1" ht="18" customHeight="1" x14ac:dyDescent="0.35">
      <c r="A23" s="706"/>
      <c r="B23" s="5310" t="s">
        <v>1381</v>
      </c>
      <c r="C23" s="5311"/>
      <c r="D23" s="5311"/>
      <c r="E23" s="5311"/>
      <c r="F23" s="5311"/>
      <c r="G23" s="5312"/>
      <c r="H23" s="5313"/>
      <c r="I23" s="3708">
        <f t="shared" si="1"/>
        <v>0</v>
      </c>
      <c r="J23" s="3708"/>
      <c r="K23" s="5314">
        <f t="shared" si="0"/>
        <v>0</v>
      </c>
      <c r="L23" s="5314"/>
      <c r="M23" s="3657"/>
      <c r="N23" s="3657"/>
      <c r="O23" s="3657"/>
      <c r="P23" s="3658"/>
      <c r="Q23" s="398"/>
      <c r="U23" s="80"/>
      <c r="V23" s="80"/>
      <c r="W23" s="81"/>
      <c r="X23" s="13"/>
      <c r="Y23" s="83"/>
      <c r="Z23" s="80"/>
      <c r="AA23" s="80"/>
      <c r="AB23" s="80"/>
      <c r="AC23" s="80"/>
      <c r="AD23" s="80"/>
      <c r="AE23" s="80"/>
    </row>
    <row r="24" spans="1:31" s="65" customFormat="1" ht="18" customHeight="1" x14ac:dyDescent="0.35">
      <c r="A24" s="706"/>
      <c r="B24" s="5310" t="s">
        <v>1382</v>
      </c>
      <c r="C24" s="5311"/>
      <c r="D24" s="5311"/>
      <c r="E24" s="5311"/>
      <c r="F24" s="5311"/>
      <c r="G24" s="5312"/>
      <c r="H24" s="5313"/>
      <c r="I24" s="3708">
        <f t="shared" si="1"/>
        <v>0</v>
      </c>
      <c r="J24" s="3708"/>
      <c r="K24" s="5314">
        <f t="shared" si="0"/>
        <v>0</v>
      </c>
      <c r="L24" s="5314"/>
      <c r="M24" s="3657"/>
      <c r="N24" s="3657"/>
      <c r="O24" s="3657"/>
      <c r="P24" s="3658"/>
      <c r="Q24" s="398"/>
      <c r="U24" s="80"/>
      <c r="V24" s="80"/>
      <c r="W24" s="81"/>
      <c r="X24" s="13"/>
      <c r="Y24" s="83"/>
      <c r="Z24" s="80"/>
      <c r="AA24" s="80"/>
      <c r="AB24" s="80"/>
      <c r="AC24" s="80"/>
      <c r="AD24" s="80"/>
      <c r="AE24" s="80"/>
    </row>
    <row r="25" spans="1:31" s="65" customFormat="1" ht="18" customHeight="1" x14ac:dyDescent="0.35">
      <c r="A25" s="706"/>
      <c r="B25" s="5310"/>
      <c r="C25" s="5311"/>
      <c r="D25" s="5311"/>
      <c r="E25" s="5311"/>
      <c r="F25" s="5311"/>
      <c r="G25" s="5312"/>
      <c r="H25" s="5313"/>
      <c r="I25" s="3708">
        <f t="shared" si="1"/>
        <v>0</v>
      </c>
      <c r="J25" s="3708"/>
      <c r="K25" s="5314">
        <f t="shared" si="0"/>
        <v>0</v>
      </c>
      <c r="L25" s="5314"/>
      <c r="M25" s="3657"/>
      <c r="N25" s="3657"/>
      <c r="O25" s="3657"/>
      <c r="P25" s="3658"/>
      <c r="Q25" s="398"/>
      <c r="U25" s="80"/>
      <c r="V25" s="80"/>
      <c r="W25" s="81"/>
      <c r="X25" s="13"/>
      <c r="Y25" s="83"/>
      <c r="Z25" s="80"/>
      <c r="AA25" s="80"/>
      <c r="AB25" s="80"/>
      <c r="AC25" s="80"/>
      <c r="AD25" s="80"/>
      <c r="AE25" s="80"/>
    </row>
    <row r="26" spans="1:31" s="65" customFormat="1" ht="18" customHeight="1" x14ac:dyDescent="0.35">
      <c r="A26" s="706"/>
      <c r="B26" s="3524" t="s">
        <v>535</v>
      </c>
      <c r="C26" s="3525"/>
      <c r="D26" s="3525"/>
      <c r="E26" s="3525"/>
      <c r="F26" s="3526"/>
      <c r="G26" s="3722">
        <f>SUM(G10:G15)</f>
        <v>48000</v>
      </c>
      <c r="H26" s="3722"/>
      <c r="I26" s="5358">
        <f>SUM(I10:J15)</f>
        <v>8100</v>
      </c>
      <c r="J26" s="5358"/>
      <c r="K26" s="6385">
        <f>SUM(K10:K15)</f>
        <v>39900</v>
      </c>
      <c r="L26" s="6385"/>
      <c r="M26" s="3720"/>
      <c r="N26" s="3720"/>
      <c r="O26" s="3720"/>
      <c r="P26" s="3721"/>
      <c r="Q26" s="398"/>
      <c r="U26" s="80"/>
      <c r="V26" s="80"/>
      <c r="W26" s="81"/>
      <c r="X26" s="13"/>
      <c r="Y26" s="83"/>
      <c r="Z26" s="80"/>
      <c r="AA26" s="80"/>
      <c r="AB26" s="80"/>
      <c r="AC26" s="80"/>
      <c r="AD26" s="80"/>
      <c r="AE26" s="80"/>
    </row>
    <row r="27" spans="1:31" s="65" customFormat="1" ht="9" customHeight="1" x14ac:dyDescent="0.35">
      <c r="A27" s="706"/>
      <c r="B27" s="3713"/>
      <c r="C27" s="3714"/>
      <c r="D27" s="3714"/>
      <c r="E27" s="3714"/>
      <c r="F27" s="3714"/>
      <c r="G27" s="3714"/>
      <c r="H27" s="3714"/>
      <c r="I27" s="3714"/>
      <c r="J27" s="3714"/>
      <c r="K27" s="3714"/>
      <c r="L27" s="3714"/>
      <c r="M27" s="3714"/>
      <c r="N27" s="3714"/>
      <c r="O27" s="3714"/>
      <c r="P27" s="3715"/>
      <c r="Q27" s="398"/>
      <c r="U27" s="80"/>
      <c r="V27" s="80"/>
      <c r="W27" s="81"/>
      <c r="X27" s="13"/>
      <c r="Y27" s="83"/>
      <c r="Z27" s="80"/>
      <c r="AA27" s="80"/>
      <c r="AB27" s="80"/>
      <c r="AC27" s="80"/>
      <c r="AD27" s="80"/>
      <c r="AE27" s="80"/>
    </row>
    <row r="28" spans="1:31" s="65" customFormat="1" ht="30.75" customHeight="1" x14ac:dyDescent="0.35">
      <c r="A28" s="706"/>
      <c r="B28" s="3698" t="s">
        <v>872</v>
      </c>
      <c r="C28" s="3699"/>
      <c r="D28" s="3699"/>
      <c r="E28" s="3699"/>
      <c r="F28" s="3699"/>
      <c r="G28" s="3560" t="s">
        <v>1318</v>
      </c>
      <c r="H28" s="3560"/>
      <c r="I28" s="3560" t="s">
        <v>867</v>
      </c>
      <c r="J28" s="3560"/>
      <c r="K28" s="3560" t="s">
        <v>1246</v>
      </c>
      <c r="L28" s="3560"/>
      <c r="M28" s="708"/>
      <c r="N28" s="708"/>
      <c r="O28" s="708"/>
      <c r="P28" s="709"/>
      <c r="Q28" s="398"/>
      <c r="U28" s="80"/>
      <c r="V28" s="80"/>
      <c r="W28" s="81"/>
      <c r="X28" s="13"/>
      <c r="Y28" s="83"/>
      <c r="Z28" s="80"/>
      <c r="AA28" s="80"/>
      <c r="AB28" s="80"/>
      <c r="AC28" s="80"/>
      <c r="AD28" s="80"/>
      <c r="AE28" s="80"/>
    </row>
    <row r="29" spans="1:31" s="65" customFormat="1" ht="18" customHeight="1" x14ac:dyDescent="0.35">
      <c r="A29" s="706"/>
      <c r="B29" s="5310" t="s">
        <v>103</v>
      </c>
      <c r="C29" s="5311"/>
      <c r="D29" s="5311"/>
      <c r="E29" s="5311"/>
      <c r="F29" s="5311"/>
      <c r="G29" s="5359">
        <v>1000</v>
      </c>
      <c r="H29" s="5360"/>
      <c r="I29" s="5361">
        <v>100</v>
      </c>
      <c r="J29" s="5361"/>
      <c r="K29" s="3638">
        <f>I29*G29</f>
        <v>100000</v>
      </c>
      <c r="L29" s="3639"/>
      <c r="M29" s="3657" t="s">
        <v>1781</v>
      </c>
      <c r="N29" s="3657"/>
      <c r="O29" s="3657"/>
      <c r="P29" s="3658"/>
      <c r="Q29" s="398"/>
      <c r="U29" s="80"/>
      <c r="V29" s="80"/>
      <c r="W29" s="81"/>
      <c r="X29" s="13"/>
      <c r="Y29" s="83"/>
      <c r="Z29" s="80"/>
      <c r="AA29" s="80"/>
      <c r="AB29" s="80"/>
      <c r="AC29" s="80"/>
      <c r="AD29" s="80"/>
      <c r="AE29" s="80"/>
    </row>
    <row r="30" spans="1:31" s="65" customFormat="1" ht="18" customHeight="1" x14ac:dyDescent="0.35">
      <c r="A30" s="706"/>
      <c r="B30" s="5310" t="s">
        <v>1772</v>
      </c>
      <c r="C30" s="5311"/>
      <c r="D30" s="5311"/>
      <c r="E30" s="5311"/>
      <c r="F30" s="5311"/>
      <c r="G30" s="5359">
        <v>1000</v>
      </c>
      <c r="H30" s="5360"/>
      <c r="I30" s="5361">
        <v>50</v>
      </c>
      <c r="J30" s="5361"/>
      <c r="K30" s="3638">
        <f>I30*G30</f>
        <v>50000</v>
      </c>
      <c r="L30" s="3639"/>
      <c r="M30" s="3657" t="s">
        <v>1782</v>
      </c>
      <c r="N30" s="3657"/>
      <c r="O30" s="3657"/>
      <c r="P30" s="3658"/>
      <c r="Q30" s="398"/>
      <c r="U30" s="80"/>
      <c r="V30" s="80"/>
      <c r="W30" s="81"/>
      <c r="X30" s="13"/>
      <c r="Y30" s="83"/>
      <c r="Z30" s="80"/>
      <c r="AA30" s="80"/>
      <c r="AB30" s="80"/>
      <c r="AC30" s="80"/>
      <c r="AD30" s="80"/>
      <c r="AE30" s="80"/>
    </row>
    <row r="31" spans="1:31" s="65" customFormat="1" ht="37.5" customHeight="1" x14ac:dyDescent="0.35">
      <c r="A31" s="706"/>
      <c r="B31" s="5310"/>
      <c r="C31" s="5311"/>
      <c r="D31" s="5311"/>
      <c r="E31" s="5311"/>
      <c r="F31" s="5311"/>
      <c r="G31" s="5359"/>
      <c r="H31" s="5360"/>
      <c r="I31" s="6381"/>
      <c r="J31" s="6382"/>
      <c r="K31" s="3638"/>
      <c r="L31" s="3639"/>
      <c r="M31" s="5514" t="s">
        <v>1771</v>
      </c>
      <c r="N31" s="6383"/>
      <c r="O31" s="6383"/>
      <c r="P31" s="6384"/>
      <c r="Q31" s="398"/>
      <c r="U31" s="80"/>
      <c r="V31" s="80"/>
      <c r="W31" s="81"/>
      <c r="X31" s="13"/>
      <c r="Y31" s="83"/>
      <c r="Z31" s="80"/>
      <c r="AA31" s="80"/>
      <c r="AB31" s="80"/>
      <c r="AC31" s="80"/>
      <c r="AD31" s="80"/>
      <c r="AE31" s="80"/>
    </row>
    <row r="32" spans="1:31" s="65" customFormat="1" ht="18" customHeight="1" x14ac:dyDescent="0.35">
      <c r="A32" s="706"/>
      <c r="B32" s="5310" t="s">
        <v>104</v>
      </c>
      <c r="C32" s="5311"/>
      <c r="D32" s="5311"/>
      <c r="E32" s="5311"/>
      <c r="F32" s="5311"/>
      <c r="G32" s="5359"/>
      <c r="H32" s="5360"/>
      <c r="I32" s="5361"/>
      <c r="J32" s="5361"/>
      <c r="K32" s="3638">
        <f t="shared" ref="K32:K37" si="2">G32*I32</f>
        <v>0</v>
      </c>
      <c r="L32" s="3639"/>
      <c r="M32" s="3675"/>
      <c r="N32" s="3676"/>
      <c r="O32" s="3676"/>
      <c r="P32" s="3677"/>
      <c r="Q32" s="398"/>
      <c r="U32" s="80"/>
      <c r="V32" s="80"/>
      <c r="W32" s="81"/>
      <c r="X32" s="13"/>
      <c r="Y32" s="83"/>
      <c r="Z32" s="80"/>
      <c r="AA32" s="80"/>
      <c r="AB32" s="80"/>
      <c r="AC32" s="80"/>
      <c r="AD32" s="80"/>
      <c r="AE32" s="80"/>
    </row>
    <row r="33" spans="1:31" s="65" customFormat="1" ht="18" customHeight="1" x14ac:dyDescent="0.35">
      <c r="A33" s="706"/>
      <c r="B33" s="5310" t="s">
        <v>105</v>
      </c>
      <c r="C33" s="5311"/>
      <c r="D33" s="5311"/>
      <c r="E33" s="5311"/>
      <c r="F33" s="5311"/>
      <c r="G33" s="5359"/>
      <c r="H33" s="5360"/>
      <c r="I33" s="5361"/>
      <c r="J33" s="5361"/>
      <c r="K33" s="3638">
        <f t="shared" si="2"/>
        <v>0</v>
      </c>
      <c r="L33" s="3639"/>
      <c r="M33" s="3675"/>
      <c r="N33" s="3676"/>
      <c r="O33" s="3676"/>
      <c r="P33" s="3677"/>
      <c r="Q33" s="398"/>
      <c r="U33" s="80"/>
      <c r="V33" s="80"/>
      <c r="W33" s="81"/>
      <c r="X33" s="13"/>
      <c r="Y33" s="83"/>
      <c r="Z33" s="80"/>
      <c r="AA33" s="80"/>
      <c r="AB33" s="80"/>
      <c r="AC33" s="80"/>
      <c r="AD33" s="80"/>
      <c r="AE33" s="80"/>
    </row>
    <row r="34" spans="1:31" s="65" customFormat="1" ht="18" customHeight="1" x14ac:dyDescent="0.35">
      <c r="A34" s="706"/>
      <c r="B34" s="5310" t="s">
        <v>106</v>
      </c>
      <c r="C34" s="5311"/>
      <c r="D34" s="5311"/>
      <c r="E34" s="5311"/>
      <c r="F34" s="5311"/>
      <c r="G34" s="5359"/>
      <c r="H34" s="5360"/>
      <c r="I34" s="5361"/>
      <c r="J34" s="5361"/>
      <c r="K34" s="3638">
        <f t="shared" si="2"/>
        <v>0</v>
      </c>
      <c r="L34" s="3639"/>
      <c r="M34" s="3720"/>
      <c r="N34" s="3720"/>
      <c r="O34" s="3720"/>
      <c r="P34" s="3721"/>
      <c r="Q34" s="398"/>
      <c r="U34" s="80"/>
      <c r="V34" s="80"/>
      <c r="W34" s="81"/>
      <c r="X34" s="13"/>
      <c r="Y34" s="83"/>
      <c r="Z34" s="80"/>
      <c r="AA34" s="80"/>
      <c r="AB34" s="80"/>
      <c r="AC34" s="80"/>
      <c r="AD34" s="80"/>
      <c r="AE34" s="80"/>
    </row>
    <row r="35" spans="1:31" s="65" customFormat="1" ht="18" customHeight="1" x14ac:dyDescent="0.35">
      <c r="A35" s="706"/>
      <c r="B35" s="5310" t="s">
        <v>972</v>
      </c>
      <c r="C35" s="5311"/>
      <c r="D35" s="5311"/>
      <c r="E35" s="5311"/>
      <c r="F35" s="5311"/>
      <c r="G35" s="5359"/>
      <c r="H35" s="5360"/>
      <c r="I35" s="5361"/>
      <c r="J35" s="5361"/>
      <c r="K35" s="3638">
        <f t="shared" si="2"/>
        <v>0</v>
      </c>
      <c r="L35" s="3639"/>
      <c r="M35" s="3720"/>
      <c r="N35" s="3720"/>
      <c r="O35" s="3720"/>
      <c r="P35" s="3721"/>
      <c r="Q35" s="398"/>
      <c r="U35" s="80"/>
      <c r="V35" s="80"/>
      <c r="W35" s="81"/>
      <c r="X35" s="13"/>
      <c r="Y35" s="83"/>
      <c r="Z35" s="80"/>
      <c r="AA35" s="80"/>
      <c r="AB35" s="80"/>
      <c r="AC35" s="80"/>
      <c r="AD35" s="80"/>
      <c r="AE35" s="80"/>
    </row>
    <row r="36" spans="1:31" s="65" customFormat="1" ht="18" customHeight="1" x14ac:dyDescent="0.35">
      <c r="A36" s="706"/>
      <c r="B36" s="5310" t="s">
        <v>1320</v>
      </c>
      <c r="C36" s="5311"/>
      <c r="D36" s="5311"/>
      <c r="E36" s="5311"/>
      <c r="F36" s="5311"/>
      <c r="G36" s="5359"/>
      <c r="H36" s="5360"/>
      <c r="I36" s="5361"/>
      <c r="J36" s="5361"/>
      <c r="K36" s="3638">
        <f t="shared" si="2"/>
        <v>0</v>
      </c>
      <c r="L36" s="3639"/>
      <c r="M36" s="3720"/>
      <c r="N36" s="3720"/>
      <c r="O36" s="3720"/>
      <c r="P36" s="3721"/>
      <c r="Q36" s="398"/>
      <c r="U36" s="80"/>
      <c r="V36" s="80"/>
      <c r="W36" s="81"/>
      <c r="X36" s="13"/>
      <c r="Y36" s="83"/>
      <c r="Z36" s="80"/>
      <c r="AA36" s="80"/>
      <c r="AB36" s="80"/>
      <c r="AC36" s="80"/>
      <c r="AD36" s="80"/>
      <c r="AE36" s="80"/>
    </row>
    <row r="37" spans="1:31" s="65" customFormat="1" ht="18" customHeight="1" x14ac:dyDescent="0.35">
      <c r="A37" s="706"/>
      <c r="B37" s="5310" t="s">
        <v>1319</v>
      </c>
      <c r="C37" s="5311"/>
      <c r="D37" s="5311"/>
      <c r="E37" s="5311"/>
      <c r="F37" s="5311"/>
      <c r="G37" s="5359"/>
      <c r="H37" s="5360"/>
      <c r="I37" s="5361"/>
      <c r="J37" s="5361"/>
      <c r="K37" s="3638">
        <f t="shared" si="2"/>
        <v>0</v>
      </c>
      <c r="L37" s="3639"/>
      <c r="M37" s="3720"/>
      <c r="N37" s="3720"/>
      <c r="O37" s="3720"/>
      <c r="P37" s="3721"/>
      <c r="Q37" s="398"/>
      <c r="U37" s="80"/>
      <c r="V37" s="80"/>
      <c r="W37" s="81"/>
      <c r="X37" s="13"/>
      <c r="Y37" s="83"/>
      <c r="Z37" s="80"/>
      <c r="AA37" s="80"/>
      <c r="AB37" s="80"/>
      <c r="AC37" s="80"/>
      <c r="AD37" s="80"/>
      <c r="AE37" s="80"/>
    </row>
    <row r="38" spans="1:31" s="65" customFormat="1" ht="12" customHeight="1" x14ac:dyDescent="0.35">
      <c r="A38" s="706"/>
      <c r="B38" s="5310"/>
      <c r="C38" s="5311"/>
      <c r="D38" s="5311"/>
      <c r="E38" s="5311"/>
      <c r="F38" s="5311"/>
      <c r="G38" s="5359"/>
      <c r="H38" s="5360"/>
      <c r="I38" s="5362"/>
      <c r="J38" s="5362"/>
      <c r="K38" s="3638"/>
      <c r="L38" s="3639"/>
      <c r="M38" s="3720"/>
      <c r="N38" s="3720"/>
      <c r="O38" s="3720"/>
      <c r="P38" s="3721"/>
      <c r="Q38" s="398"/>
      <c r="U38" s="80"/>
      <c r="V38" s="80"/>
      <c r="W38" s="81"/>
      <c r="X38" s="13"/>
      <c r="Y38" s="83"/>
      <c r="Z38" s="80"/>
      <c r="AA38" s="80"/>
      <c r="AB38" s="80"/>
      <c r="AC38" s="80"/>
      <c r="AD38" s="80"/>
      <c r="AE38" s="80"/>
    </row>
    <row r="39" spans="1:31" s="65" customFormat="1" ht="18" customHeight="1" x14ac:dyDescent="0.35">
      <c r="A39" s="706"/>
      <c r="B39" s="5310" t="s">
        <v>1773</v>
      </c>
      <c r="C39" s="5311"/>
      <c r="D39" s="5311"/>
      <c r="E39" s="5311"/>
      <c r="F39" s="5311"/>
      <c r="G39" s="3659"/>
      <c r="H39" s="3660"/>
      <c r="I39" s="3661"/>
      <c r="J39" s="3661"/>
      <c r="K39" s="5355">
        <v>100000</v>
      </c>
      <c r="L39" s="5356"/>
      <c r="M39" s="3675"/>
      <c r="N39" s="3676"/>
      <c r="O39" s="3676"/>
      <c r="P39" s="3677"/>
      <c r="Q39" s="398"/>
      <c r="U39" s="80"/>
      <c r="V39" s="80"/>
      <c r="W39" s="81"/>
      <c r="X39" s="13"/>
      <c r="Y39" s="83"/>
      <c r="Z39" s="80"/>
      <c r="AA39" s="80"/>
      <c r="AB39" s="80"/>
      <c r="AC39" s="80"/>
      <c r="AD39" s="80"/>
      <c r="AE39" s="80"/>
    </row>
    <row r="40" spans="1:31" s="65" customFormat="1" ht="18" customHeight="1" x14ac:dyDescent="0.35">
      <c r="A40" s="706"/>
      <c r="B40" s="5310" t="s">
        <v>1774</v>
      </c>
      <c r="C40" s="5311"/>
      <c r="D40" s="5311"/>
      <c r="E40" s="5311"/>
      <c r="F40" s="5311"/>
      <c r="G40" s="3659"/>
      <c r="H40" s="3660"/>
      <c r="I40" s="3661"/>
      <c r="J40" s="3661"/>
      <c r="K40" s="5355">
        <v>50000</v>
      </c>
      <c r="L40" s="5356"/>
      <c r="M40" s="3720"/>
      <c r="N40" s="3720"/>
      <c r="O40" s="3720"/>
      <c r="P40" s="3721"/>
      <c r="Q40" s="398"/>
      <c r="U40" s="80"/>
      <c r="V40" s="80"/>
      <c r="W40" s="81"/>
      <c r="X40" s="13"/>
      <c r="Y40" s="83"/>
      <c r="Z40" s="80"/>
      <c r="AA40" s="80"/>
      <c r="AB40" s="80"/>
      <c r="AC40" s="80"/>
      <c r="AD40" s="80"/>
      <c r="AE40" s="80"/>
    </row>
    <row r="41" spans="1:31" s="65" customFormat="1" ht="18" customHeight="1" x14ac:dyDescent="0.35">
      <c r="A41" s="706"/>
      <c r="B41" s="5310" t="s">
        <v>107</v>
      </c>
      <c r="C41" s="5311"/>
      <c r="D41" s="5311"/>
      <c r="E41" s="5311"/>
      <c r="F41" s="5311"/>
      <c r="G41" s="3659"/>
      <c r="H41" s="3660"/>
      <c r="I41" s="3661"/>
      <c r="J41" s="3661"/>
      <c r="K41" s="5355"/>
      <c r="L41" s="5356"/>
      <c r="M41" s="3720"/>
      <c r="N41" s="3720"/>
      <c r="O41" s="3720"/>
      <c r="P41" s="3721"/>
      <c r="Q41" s="398"/>
      <c r="U41" s="80"/>
      <c r="V41" s="80"/>
      <c r="W41" s="81"/>
      <c r="X41" s="13"/>
      <c r="Y41" s="83"/>
      <c r="Z41" s="80"/>
      <c r="AA41" s="80"/>
      <c r="AB41" s="80"/>
      <c r="AC41" s="80"/>
      <c r="AD41" s="80"/>
      <c r="AE41" s="80"/>
    </row>
    <row r="42" spans="1:31" s="65" customFormat="1" ht="18" customHeight="1" x14ac:dyDescent="0.35">
      <c r="A42" s="706"/>
      <c r="B42" s="5310" t="s">
        <v>128</v>
      </c>
      <c r="C42" s="5311"/>
      <c r="D42" s="5311"/>
      <c r="E42" s="5311"/>
      <c r="F42" s="5311"/>
      <c r="G42" s="3659"/>
      <c r="H42" s="3660"/>
      <c r="I42" s="3661"/>
      <c r="J42" s="3661"/>
      <c r="K42" s="5355"/>
      <c r="L42" s="5356"/>
      <c r="M42" s="3720"/>
      <c r="N42" s="3720"/>
      <c r="O42" s="3720"/>
      <c r="P42" s="3721"/>
      <c r="Q42" s="398"/>
      <c r="U42" s="80"/>
      <c r="V42" s="80"/>
      <c r="W42" s="81"/>
      <c r="X42" s="13"/>
      <c r="Y42" s="83"/>
      <c r="Z42" s="80"/>
      <c r="AA42" s="80"/>
      <c r="AB42" s="80"/>
      <c r="AC42" s="80"/>
      <c r="AD42" s="80"/>
      <c r="AE42" s="80"/>
    </row>
    <row r="43" spans="1:31" s="65" customFormat="1" ht="18" customHeight="1" x14ac:dyDescent="0.35">
      <c r="A43" s="706"/>
      <c r="B43" s="5310" t="s">
        <v>128</v>
      </c>
      <c r="C43" s="5311"/>
      <c r="D43" s="5311"/>
      <c r="E43" s="5311"/>
      <c r="F43" s="5311"/>
      <c r="G43" s="3659"/>
      <c r="H43" s="3660"/>
      <c r="I43" s="3661"/>
      <c r="J43" s="3661"/>
      <c r="K43" s="5355"/>
      <c r="L43" s="5356"/>
      <c r="M43" s="3720"/>
      <c r="N43" s="3720"/>
      <c r="O43" s="3720"/>
      <c r="P43" s="3721"/>
      <c r="Q43" s="398"/>
      <c r="U43" s="80"/>
      <c r="V43" s="80"/>
      <c r="W43" s="81"/>
      <c r="X43" s="13"/>
      <c r="Y43" s="83"/>
      <c r="Z43" s="80"/>
      <c r="AA43" s="80"/>
      <c r="AB43" s="80"/>
      <c r="AC43" s="80"/>
      <c r="AD43" s="80"/>
      <c r="AE43" s="80"/>
    </row>
    <row r="44" spans="1:31" s="65" customFormat="1" ht="18" customHeight="1" x14ac:dyDescent="0.35">
      <c r="A44" s="706"/>
      <c r="B44" s="3524" t="s">
        <v>1788</v>
      </c>
      <c r="C44" s="3525"/>
      <c r="D44" s="3525"/>
      <c r="E44" s="3525"/>
      <c r="F44" s="3526"/>
      <c r="G44" s="5357"/>
      <c r="H44" s="5357"/>
      <c r="I44" s="3655">
        <f>I29+I30</f>
        <v>150</v>
      </c>
      <c r="J44" s="3655"/>
      <c r="K44" s="5358">
        <f>SUM(K29:L43)</f>
        <v>300000</v>
      </c>
      <c r="L44" s="5358"/>
      <c r="M44" s="3720"/>
      <c r="N44" s="3720"/>
      <c r="O44" s="3720"/>
      <c r="P44" s="3721"/>
      <c r="Q44" s="398"/>
      <c r="U44" s="80"/>
      <c r="V44" s="80"/>
      <c r="W44" s="81"/>
      <c r="X44" s="13"/>
      <c r="Y44" s="83"/>
      <c r="Z44" s="80"/>
      <c r="AA44" s="80"/>
      <c r="AB44" s="80"/>
      <c r="AC44" s="80"/>
      <c r="AD44" s="80"/>
      <c r="AE44" s="80"/>
    </row>
    <row r="45" spans="1:31" s="65" customFormat="1" ht="9" customHeight="1" thickBot="1" x14ac:dyDescent="0.4">
      <c r="A45" s="706"/>
      <c r="B45" s="3527"/>
      <c r="C45" s="3528"/>
      <c r="D45" s="3528"/>
      <c r="E45" s="3528"/>
      <c r="F45" s="3528"/>
      <c r="G45" s="3528"/>
      <c r="H45" s="3528"/>
      <c r="I45" s="3528"/>
      <c r="J45" s="3528"/>
      <c r="K45" s="3528"/>
      <c r="L45" s="3528"/>
      <c r="M45" s="3528"/>
      <c r="N45" s="3528"/>
      <c r="O45" s="3528"/>
      <c r="P45" s="3529"/>
      <c r="Q45" s="398"/>
      <c r="U45" s="80"/>
      <c r="V45" s="80"/>
      <c r="W45" s="81"/>
      <c r="X45" s="84"/>
      <c r="Y45" s="83"/>
      <c r="Z45" s="80"/>
      <c r="AA45" s="80"/>
      <c r="AB45" s="80"/>
      <c r="AC45" s="80"/>
      <c r="AD45" s="80"/>
      <c r="AE45" s="80"/>
    </row>
    <row r="46" spans="1:31" s="65" customFormat="1" ht="36" customHeight="1" thickTop="1" thickBot="1" x14ac:dyDescent="0.4">
      <c r="A46" s="706"/>
      <c r="B46" s="1274"/>
      <c r="C46" s="1275"/>
      <c r="D46" s="1275"/>
      <c r="E46" s="1275"/>
      <c r="F46" s="1275"/>
      <c r="G46" s="3530" t="s">
        <v>1780</v>
      </c>
      <c r="H46" s="3530"/>
      <c r="I46" s="3530" t="str">
        <f>I7</f>
        <v xml:space="preserve">CA net pour EQUNIX </v>
      </c>
      <c r="J46" s="3530"/>
      <c r="K46" s="3531" t="s">
        <v>871</v>
      </c>
      <c r="L46" s="3531"/>
      <c r="M46" s="3532"/>
      <c r="N46" s="3533"/>
      <c r="O46" s="3533"/>
      <c r="P46" s="3534"/>
      <c r="Q46" s="398"/>
      <c r="U46" s="80"/>
      <c r="V46" s="80"/>
      <c r="W46" s="81"/>
      <c r="X46" s="84"/>
      <c r="Y46" s="83"/>
      <c r="Z46" s="80"/>
      <c r="AA46" s="80"/>
      <c r="AB46" s="80"/>
      <c r="AC46" s="80"/>
      <c r="AD46" s="80"/>
      <c r="AE46" s="80"/>
    </row>
    <row r="47" spans="1:31" s="11" customFormat="1" ht="20.25" customHeight="1" thickTop="1" thickBot="1" x14ac:dyDescent="0.4">
      <c r="A47" s="710"/>
      <c r="B47" s="3535" t="s">
        <v>436</v>
      </c>
      <c r="C47" s="3536"/>
      <c r="D47" s="3536"/>
      <c r="E47" s="3536"/>
      <c r="F47" s="3537"/>
      <c r="G47" s="3538">
        <f>K44+G26</f>
        <v>348000</v>
      </c>
      <c r="H47" s="3538"/>
      <c r="I47" s="3538">
        <f>G26-K26</f>
        <v>8100</v>
      </c>
      <c r="J47" s="3538"/>
      <c r="K47" s="3538">
        <f>G47-I47</f>
        <v>339900</v>
      </c>
      <c r="L47" s="3538"/>
      <c r="M47" s="3643"/>
      <c r="N47" s="3643"/>
      <c r="O47" s="3643"/>
      <c r="P47" s="3644"/>
      <c r="Q47" s="711"/>
      <c r="U47" s="12"/>
      <c r="V47" s="12"/>
      <c r="W47" s="14"/>
      <c r="X47" s="15"/>
      <c r="Y47" s="16"/>
      <c r="Z47" s="12"/>
      <c r="AA47" s="12"/>
      <c r="AB47" s="12"/>
      <c r="AC47" s="12"/>
      <c r="AD47" s="12"/>
      <c r="AE47" s="12"/>
    </row>
    <row r="48" spans="1:31" s="345" customFormat="1" ht="24" customHeight="1" thickTop="1" thickBot="1" x14ac:dyDescent="0.4">
      <c r="A48" s="712"/>
      <c r="B48" s="713"/>
      <c r="C48" s="714"/>
      <c r="D48" s="714"/>
      <c r="E48" s="714"/>
      <c r="F48" s="714"/>
      <c r="G48" s="3567"/>
      <c r="H48" s="3568"/>
      <c r="I48" s="715"/>
      <c r="J48" s="716"/>
      <c r="K48" s="3569">
        <f>K47/G47</f>
        <v>0.97672413793103452</v>
      </c>
      <c r="L48" s="3569"/>
      <c r="M48" s="5352" t="s">
        <v>869</v>
      </c>
      <c r="N48" s="5353"/>
      <c r="O48" s="5353"/>
      <c r="P48" s="5354"/>
      <c r="Q48" s="717"/>
      <c r="U48" s="346"/>
      <c r="V48" s="346"/>
      <c r="W48" s="347"/>
      <c r="X48" s="348"/>
      <c r="Y48" s="349"/>
      <c r="Z48" s="346"/>
      <c r="AA48" s="346"/>
      <c r="AB48" s="346"/>
      <c r="AC48" s="346"/>
      <c r="AD48" s="346"/>
      <c r="AE48" s="346"/>
    </row>
    <row r="49" spans="1:31" ht="24" customHeight="1" thickTop="1" thickBot="1" x14ac:dyDescent="0.6">
      <c r="A49" s="1572"/>
      <c r="B49" s="718"/>
      <c r="C49" s="64"/>
      <c r="D49" s="64"/>
      <c r="E49" s="64"/>
      <c r="F49" s="64"/>
      <c r="G49" s="1585"/>
      <c r="H49" s="1585"/>
      <c r="I49" s="719"/>
      <c r="J49" s="1572"/>
      <c r="K49" s="720"/>
      <c r="L49" s="720"/>
      <c r="M49" s="721"/>
      <c r="N49" s="722"/>
      <c r="O49" s="722"/>
      <c r="P49" s="722"/>
      <c r="Q49" s="463"/>
      <c r="R49" s="63"/>
      <c r="U49" s="66"/>
      <c r="V49" s="66"/>
      <c r="W49" s="72"/>
      <c r="X49" s="17"/>
      <c r="Y49" s="73"/>
      <c r="Z49" s="66"/>
      <c r="AA49" s="66"/>
      <c r="AB49" s="66"/>
      <c r="AC49" s="66"/>
      <c r="AD49" s="66"/>
      <c r="AE49" s="66"/>
    </row>
    <row r="50" spans="1:31" ht="15.75" customHeight="1" thickTop="1" thickBot="1" x14ac:dyDescent="0.4">
      <c r="A50" s="1572"/>
      <c r="B50" s="723"/>
      <c r="C50" s="724"/>
      <c r="D50" s="724"/>
      <c r="E50" s="724"/>
      <c r="F50" s="724"/>
      <c r="G50" s="3553" t="s">
        <v>1057</v>
      </c>
      <c r="H50" s="3554"/>
      <c r="I50" s="3553" t="str">
        <f>"CA net pour "
&amp; AbrevClient</f>
        <v xml:space="preserve">CA net pour EQUNIX </v>
      </c>
      <c r="J50" s="3554"/>
      <c r="K50" s="3553" t="s">
        <v>1058</v>
      </c>
      <c r="L50" s="3554"/>
      <c r="M50" s="725"/>
      <c r="N50" s="725"/>
      <c r="O50" s="725"/>
      <c r="P50" s="726"/>
      <c r="Q50" s="463"/>
      <c r="R50" s="63"/>
      <c r="U50" s="66"/>
      <c r="V50" s="66"/>
      <c r="W50" s="72"/>
      <c r="X50" s="85"/>
      <c r="Y50" s="73"/>
      <c r="Z50" s="66"/>
      <c r="AA50" s="66"/>
      <c r="AB50" s="66"/>
      <c r="AC50" s="66"/>
      <c r="AD50" s="66"/>
      <c r="AE50" s="66"/>
    </row>
    <row r="51" spans="1:31" s="65" customFormat="1" ht="39.75" customHeight="1" thickBot="1" x14ac:dyDescent="0.4">
      <c r="A51" s="706"/>
      <c r="B51" s="3698" t="s">
        <v>1054</v>
      </c>
      <c r="C51" s="3699"/>
      <c r="D51" s="3699"/>
      <c r="E51" s="3699"/>
      <c r="F51" s="3699"/>
      <c r="G51" s="3557" t="s">
        <v>1077</v>
      </c>
      <c r="H51" s="3558"/>
      <c r="I51" s="707" t="s">
        <v>903</v>
      </c>
      <c r="J51" s="734">
        <v>0.2</v>
      </c>
      <c r="K51" s="3557" t="str">
        <f>K7</f>
        <v>CA net pour le partenaire</v>
      </c>
      <c r="L51" s="3558"/>
      <c r="M51" s="3559" t="s">
        <v>1096</v>
      </c>
      <c r="N51" s="3560"/>
      <c r="O51" s="3560"/>
      <c r="P51" s="3561"/>
      <c r="Q51" s="398"/>
      <c r="U51" s="80"/>
      <c r="V51" s="80"/>
      <c r="W51" s="81"/>
      <c r="X51" s="13"/>
      <c r="Y51" s="83"/>
      <c r="Z51" s="80"/>
      <c r="AA51" s="80"/>
      <c r="AB51" s="80"/>
      <c r="AC51" s="80"/>
      <c r="AD51" s="80"/>
      <c r="AE51" s="80"/>
    </row>
    <row r="52" spans="1:31" s="65" customFormat="1" ht="18" customHeight="1" x14ac:dyDescent="0.35">
      <c r="A52" s="706"/>
      <c r="B52" s="3628" t="s">
        <v>1055</v>
      </c>
      <c r="C52" s="3629"/>
      <c r="D52" s="3629"/>
      <c r="E52" s="3629"/>
      <c r="F52" s="3629"/>
      <c r="G52" s="3630">
        <v>0</v>
      </c>
      <c r="H52" s="3630"/>
      <c r="I52" s="5350">
        <f>G52-K52</f>
        <v>0</v>
      </c>
      <c r="J52" s="5351"/>
      <c r="K52" s="3633">
        <f>G52*J51</f>
        <v>0</v>
      </c>
      <c r="L52" s="3634"/>
      <c r="M52" s="5349">
        <f>K52</f>
        <v>0</v>
      </c>
      <c r="N52" s="3640"/>
      <c r="O52" s="3640"/>
      <c r="P52" s="3641"/>
      <c r="Q52" s="398"/>
      <c r="U52" s="80"/>
      <c r="V52" s="80"/>
      <c r="W52" s="81"/>
      <c r="X52" s="13"/>
      <c r="Y52" s="83"/>
      <c r="Z52" s="80"/>
      <c r="AA52" s="80"/>
      <c r="AB52" s="80"/>
      <c r="AC52" s="80"/>
      <c r="AD52" s="80"/>
      <c r="AE52" s="80"/>
    </row>
    <row r="53" spans="1:31" s="65" customFormat="1" ht="36.75" customHeight="1" x14ac:dyDescent="0.35">
      <c r="A53" s="706"/>
      <c r="B53" s="3628" t="s">
        <v>1069</v>
      </c>
      <c r="C53" s="3629"/>
      <c r="D53" s="3629"/>
      <c r="E53" s="3629"/>
      <c r="F53" s="3629"/>
      <c r="G53" s="3630"/>
      <c r="H53" s="3630"/>
      <c r="I53" s="3638">
        <f>G53-K53</f>
        <v>0</v>
      </c>
      <c r="J53" s="3639"/>
      <c r="K53" s="5347">
        <f>G53*J51</f>
        <v>0</v>
      </c>
      <c r="L53" s="5348"/>
      <c r="M53" s="5349">
        <f>K53</f>
        <v>0</v>
      </c>
      <c r="N53" s="3640"/>
      <c r="O53" s="3640"/>
      <c r="P53" s="3641"/>
      <c r="Q53" s="398"/>
      <c r="U53" s="80"/>
      <c r="V53" s="80"/>
      <c r="W53" s="81"/>
      <c r="X53" s="13"/>
      <c r="Y53" s="83"/>
      <c r="Z53" s="80"/>
      <c r="AA53" s="80"/>
      <c r="AB53" s="80"/>
      <c r="AC53" s="80"/>
      <c r="AD53" s="80"/>
      <c r="AE53" s="80"/>
    </row>
    <row r="54" spans="1:31" s="65" customFormat="1" ht="35.25" customHeight="1" x14ac:dyDescent="0.35">
      <c r="A54" s="706"/>
      <c r="B54" s="3628" t="s">
        <v>1221</v>
      </c>
      <c r="C54" s="3629"/>
      <c r="D54" s="3629"/>
      <c r="E54" s="3629"/>
      <c r="F54" s="3629"/>
      <c r="G54" s="3630"/>
      <c r="H54" s="3630"/>
      <c r="I54" s="3638">
        <v>0</v>
      </c>
      <c r="J54" s="3639"/>
      <c r="K54" s="5347">
        <f>G54-I54</f>
        <v>0</v>
      </c>
      <c r="L54" s="5348"/>
      <c r="M54" s="3635"/>
      <c r="N54" s="3636"/>
      <c r="O54" s="3636"/>
      <c r="P54" s="3637"/>
      <c r="Q54" s="398"/>
      <c r="U54" s="80"/>
      <c r="V54" s="80"/>
      <c r="W54" s="81"/>
      <c r="X54" s="13"/>
      <c r="Y54" s="83"/>
      <c r="Z54" s="80"/>
      <c r="AA54" s="80"/>
      <c r="AB54" s="80"/>
      <c r="AC54" s="80"/>
      <c r="AD54" s="80"/>
      <c r="AE54" s="80"/>
    </row>
    <row r="55" spans="1:31" s="65" customFormat="1" ht="18" customHeight="1" x14ac:dyDescent="0.35">
      <c r="A55" s="706"/>
      <c r="B55" s="3628" t="s">
        <v>32</v>
      </c>
      <c r="C55" s="3629"/>
      <c r="D55" s="3629"/>
      <c r="E55" s="3629"/>
      <c r="F55" s="3629"/>
      <c r="G55" s="3630">
        <v>0</v>
      </c>
      <c r="H55" s="3630"/>
      <c r="I55" s="3638">
        <v>0</v>
      </c>
      <c r="J55" s="3639"/>
      <c r="K55" s="5347">
        <f>G55-I55</f>
        <v>0</v>
      </c>
      <c r="L55" s="5348"/>
      <c r="M55" s="3640"/>
      <c r="N55" s="3640"/>
      <c r="O55" s="3640"/>
      <c r="P55" s="3641"/>
      <c r="Q55" s="398"/>
      <c r="U55" s="80"/>
      <c r="V55" s="80"/>
      <c r="W55" s="81"/>
      <c r="X55" s="13"/>
      <c r="Y55" s="83"/>
      <c r="Z55" s="80"/>
      <c r="AA55" s="80"/>
      <c r="AB55" s="80"/>
      <c r="AC55" s="80"/>
      <c r="AD55" s="80"/>
      <c r="AE55" s="80"/>
    </row>
    <row r="56" spans="1:31" s="65" customFormat="1" ht="9" customHeight="1" thickBot="1" x14ac:dyDescent="0.4">
      <c r="A56" s="706"/>
      <c r="B56" s="3527"/>
      <c r="C56" s="3528"/>
      <c r="D56" s="3528"/>
      <c r="E56" s="3528"/>
      <c r="F56" s="3528"/>
      <c r="G56" s="3528"/>
      <c r="H56" s="3528"/>
      <c r="I56" s="3528"/>
      <c r="J56" s="3528"/>
      <c r="K56" s="3528"/>
      <c r="L56" s="3528"/>
      <c r="M56" s="3528"/>
      <c r="N56" s="3528"/>
      <c r="O56" s="3528"/>
      <c r="P56" s="3529"/>
      <c r="Q56" s="398"/>
      <c r="U56" s="80"/>
      <c r="V56" s="80"/>
      <c r="W56" s="81"/>
      <c r="X56" s="84"/>
      <c r="Y56" s="83"/>
      <c r="Z56" s="80"/>
      <c r="AA56" s="80"/>
      <c r="AB56" s="80"/>
      <c r="AC56" s="80"/>
      <c r="AD56" s="80"/>
      <c r="AE56" s="80"/>
    </row>
    <row r="57" spans="1:31" s="11" customFormat="1" ht="19.5" thickTop="1" thickBot="1" x14ac:dyDescent="0.4">
      <c r="A57" s="710"/>
      <c r="B57" s="3570" t="s">
        <v>1383</v>
      </c>
      <c r="C57" s="3571"/>
      <c r="D57" s="3571"/>
      <c r="E57" s="3571"/>
      <c r="F57" s="3572"/>
      <c r="G57" s="3573">
        <f>SUM(G52:H55)</f>
        <v>0</v>
      </c>
      <c r="H57" s="3574"/>
      <c r="I57" s="3538">
        <f>SUM(I52:J55)</f>
        <v>0</v>
      </c>
      <c r="J57" s="3538"/>
      <c r="K57" s="3538">
        <f>SUM(K52:L55)</f>
        <v>0</v>
      </c>
      <c r="L57" s="3538"/>
      <c r="M57" s="3642">
        <f>SUM(M52:P53)</f>
        <v>0</v>
      </c>
      <c r="N57" s="3643"/>
      <c r="O57" s="3643"/>
      <c r="P57" s="3644"/>
      <c r="Q57" s="711"/>
      <c r="U57" s="12"/>
      <c r="V57" s="12"/>
      <c r="W57" s="14"/>
      <c r="X57" s="15"/>
      <c r="Y57" s="16"/>
      <c r="Z57" s="12"/>
      <c r="AA57" s="12"/>
      <c r="AB57" s="12"/>
      <c r="AC57" s="12"/>
      <c r="AD57" s="12"/>
      <c r="AE57" s="12"/>
    </row>
    <row r="58" spans="1:31" ht="24" customHeight="1" thickTop="1" x14ac:dyDescent="0.55000000000000004">
      <c r="A58" s="1572"/>
      <c r="B58" s="727"/>
      <c r="C58" s="64"/>
      <c r="D58" s="64"/>
      <c r="E58" s="64"/>
      <c r="F58" s="64"/>
      <c r="G58" s="3649"/>
      <c r="H58" s="3649"/>
      <c r="I58" s="719"/>
      <c r="J58" s="1572"/>
      <c r="K58" s="3650" t="e">
        <f>K57/G57</f>
        <v>#DIV/0!</v>
      </c>
      <c r="L58" s="3650"/>
      <c r="M58" s="3651" t="s">
        <v>869</v>
      </c>
      <c r="N58" s="3652"/>
      <c r="O58" s="3652"/>
      <c r="P58" s="3652"/>
      <c r="Q58" s="463"/>
      <c r="R58" s="63"/>
      <c r="U58" s="66"/>
      <c r="V58" s="66"/>
      <c r="W58" s="72"/>
      <c r="X58" s="17"/>
      <c r="Y58" s="73"/>
      <c r="Z58" s="66"/>
      <c r="AA58" s="66"/>
      <c r="AB58" s="66"/>
      <c r="AC58" s="66"/>
      <c r="AD58" s="66"/>
      <c r="AE58" s="66"/>
    </row>
    <row r="59" spans="1:31" ht="24" customHeight="1" x14ac:dyDescent="0.55000000000000004">
      <c r="A59" s="1572"/>
      <c r="B59" s="718"/>
      <c r="C59" s="64"/>
      <c r="D59" s="64"/>
      <c r="E59" s="64"/>
      <c r="F59" s="64"/>
      <c r="G59" s="1585"/>
      <c r="H59" s="1585"/>
      <c r="I59" s="719"/>
      <c r="J59" s="1572"/>
      <c r="K59" s="720"/>
      <c r="L59" s="720"/>
      <c r="M59" s="721"/>
      <c r="N59" s="722"/>
      <c r="O59" s="722"/>
      <c r="P59" s="722"/>
      <c r="Q59" s="463"/>
      <c r="R59" s="63"/>
      <c r="U59" s="66"/>
      <c r="V59" s="66"/>
      <c r="W59" s="72"/>
      <c r="X59" s="17"/>
      <c r="Y59" s="73"/>
      <c r="Z59" s="66"/>
      <c r="AA59" s="66"/>
      <c r="AB59" s="66"/>
      <c r="AC59" s="66"/>
      <c r="AD59" s="66"/>
      <c r="AE59" s="66"/>
    </row>
    <row r="60" spans="1:31" ht="24" customHeight="1" thickBot="1" x14ac:dyDescent="0.6">
      <c r="A60" s="1572"/>
      <c r="B60" s="718"/>
      <c r="C60" s="64"/>
      <c r="D60" s="64"/>
      <c r="E60" s="64"/>
      <c r="F60" s="64"/>
      <c r="G60" s="1585"/>
      <c r="H60" s="1585"/>
      <c r="I60" s="719"/>
      <c r="J60" s="1572"/>
      <c r="K60" s="720"/>
      <c r="L60" s="720"/>
      <c r="M60" s="721"/>
      <c r="N60" s="722"/>
      <c r="O60" s="722"/>
      <c r="P60" s="722"/>
      <c r="Q60" s="463"/>
      <c r="R60" s="63"/>
      <c r="U60" s="66"/>
      <c r="V60" s="66"/>
      <c r="W60" s="72"/>
      <c r="X60" s="17"/>
      <c r="Y60" s="73"/>
      <c r="Z60" s="66"/>
      <c r="AA60" s="66"/>
      <c r="AB60" s="66"/>
      <c r="AC60" s="66"/>
      <c r="AD60" s="66"/>
      <c r="AE60" s="66"/>
    </row>
    <row r="61" spans="1:31" s="87" customFormat="1" ht="40.5" customHeight="1" thickTop="1" x14ac:dyDescent="0.35">
      <c r="A61" s="728"/>
      <c r="B61" s="3653" t="s">
        <v>108</v>
      </c>
      <c r="C61" s="3654"/>
      <c r="D61" s="3654"/>
      <c r="E61" s="3654"/>
      <c r="F61" s="3654"/>
      <c r="G61" s="3623" t="s">
        <v>109</v>
      </c>
      <c r="H61" s="3623"/>
      <c r="I61" s="3623" t="s">
        <v>174</v>
      </c>
      <c r="J61" s="3623"/>
      <c r="K61" s="3623" t="s">
        <v>110</v>
      </c>
      <c r="L61" s="3623"/>
      <c r="M61" s="3530" t="s">
        <v>18</v>
      </c>
      <c r="N61" s="3530"/>
      <c r="O61" s="3530"/>
      <c r="P61" s="3624"/>
      <c r="Q61" s="729"/>
      <c r="R61" s="86"/>
      <c r="U61" s="88"/>
      <c r="V61" s="88"/>
      <c r="W61" s="89"/>
      <c r="X61" s="90"/>
      <c r="Y61" s="91"/>
      <c r="Z61" s="88"/>
      <c r="AA61" s="88"/>
      <c r="AB61" s="88"/>
      <c r="AC61" s="88"/>
      <c r="AD61" s="88"/>
      <c r="AE61" s="88"/>
    </row>
    <row r="62" spans="1:31" ht="18" customHeight="1" x14ac:dyDescent="0.35">
      <c r="A62" s="1572"/>
      <c r="B62" s="3625" t="s">
        <v>1183</v>
      </c>
      <c r="C62" s="3626"/>
      <c r="D62" s="3626"/>
      <c r="E62" s="3626"/>
      <c r="F62" s="3626"/>
      <c r="G62" s="3627"/>
      <c r="H62" s="3627"/>
      <c r="I62" s="3627"/>
      <c r="J62" s="3627"/>
      <c r="K62" s="3581"/>
      <c r="L62" s="3581"/>
      <c r="M62" s="3576"/>
      <c r="N62" s="3576"/>
      <c r="O62" s="3576"/>
      <c r="P62" s="3577"/>
      <c r="Q62" s="463"/>
      <c r="R62" s="63"/>
      <c r="U62" s="66"/>
      <c r="V62" s="66"/>
      <c r="W62" s="72"/>
      <c r="X62" s="92"/>
      <c r="Y62" s="73"/>
      <c r="Z62" s="66"/>
      <c r="AA62" s="66"/>
      <c r="AB62" s="66"/>
      <c r="AC62" s="66"/>
      <c r="AD62" s="66"/>
      <c r="AE62" s="66"/>
    </row>
    <row r="63" spans="1:31" ht="18" customHeight="1" x14ac:dyDescent="0.35">
      <c r="A63" s="1572"/>
      <c r="B63" s="3625" t="s">
        <v>112</v>
      </c>
      <c r="C63" s="3626"/>
      <c r="D63" s="3626"/>
      <c r="E63" s="3626"/>
      <c r="F63" s="3626"/>
      <c r="G63" s="5346"/>
      <c r="H63" s="5346"/>
      <c r="I63" s="5346"/>
      <c r="J63" s="5346"/>
      <c r="K63" s="5346"/>
      <c r="L63" s="5346"/>
      <c r="M63" s="3576"/>
      <c r="N63" s="3576"/>
      <c r="O63" s="3576"/>
      <c r="P63" s="3577"/>
      <c r="Q63" s="463"/>
      <c r="R63" s="63"/>
      <c r="U63" s="66"/>
      <c r="V63" s="66"/>
      <c r="W63" s="72"/>
      <c r="X63" s="92"/>
      <c r="Y63" s="73"/>
      <c r="Z63" s="66"/>
      <c r="AA63" s="66"/>
      <c r="AB63" s="66"/>
      <c r="AC63" s="66"/>
      <c r="AD63" s="66"/>
      <c r="AE63" s="66"/>
    </row>
    <row r="64" spans="1:31" ht="18" customHeight="1" x14ac:dyDescent="0.35">
      <c r="A64" s="1572"/>
      <c r="B64" s="3578" t="s">
        <v>113</v>
      </c>
      <c r="C64" s="3579"/>
      <c r="D64" s="3579"/>
      <c r="E64" s="3579"/>
      <c r="F64" s="3579"/>
      <c r="G64" s="3645"/>
      <c r="H64" s="3645"/>
      <c r="I64" s="3645"/>
      <c r="J64" s="3645"/>
      <c r="K64" s="3645"/>
      <c r="L64" s="3645"/>
      <c r="M64" s="3646"/>
      <c r="N64" s="3647"/>
      <c r="O64" s="3647"/>
      <c r="P64" s="3648"/>
      <c r="Q64" s="463"/>
      <c r="R64" s="63"/>
      <c r="U64" s="66"/>
      <c r="V64" s="66"/>
      <c r="W64" s="72"/>
      <c r="X64" s="85"/>
      <c r="Y64" s="73"/>
      <c r="Z64" s="66"/>
      <c r="AA64" s="66"/>
      <c r="AB64" s="66"/>
      <c r="AC64" s="66"/>
      <c r="AD64" s="66"/>
      <c r="AE64" s="66"/>
    </row>
    <row r="65" spans="1:31" ht="32.65" customHeight="1" x14ac:dyDescent="0.55000000000000004">
      <c r="A65" s="1572"/>
      <c r="B65" s="3578" t="s">
        <v>1184</v>
      </c>
      <c r="C65" s="3579"/>
      <c r="D65" s="3579"/>
      <c r="E65" s="3579"/>
      <c r="F65" s="3579"/>
      <c r="G65" s="3582"/>
      <c r="H65" s="3582"/>
      <c r="I65" s="3582"/>
      <c r="J65" s="3582"/>
      <c r="K65" s="3582"/>
      <c r="L65" s="3582"/>
      <c r="M65" s="3576"/>
      <c r="N65" s="3576"/>
      <c r="O65" s="3576"/>
      <c r="P65" s="3577"/>
      <c r="Q65" s="463"/>
      <c r="R65" s="63"/>
      <c r="U65" s="66"/>
      <c r="V65" s="66"/>
      <c r="W65" s="72"/>
      <c r="X65" s="17"/>
      <c r="Y65" s="73"/>
      <c r="Z65" s="66"/>
      <c r="AA65" s="66"/>
      <c r="AB65" s="66"/>
      <c r="AC65" s="66"/>
      <c r="AD65" s="66"/>
      <c r="AE65" s="66"/>
    </row>
    <row r="66" spans="1:31" ht="18" customHeight="1" x14ac:dyDescent="0.55000000000000004">
      <c r="A66" s="1572"/>
      <c r="B66" s="3578" t="s">
        <v>537</v>
      </c>
      <c r="C66" s="3579"/>
      <c r="D66" s="3579"/>
      <c r="E66" s="3579"/>
      <c r="F66" s="3579"/>
      <c r="G66" s="3582"/>
      <c r="H66" s="3582"/>
      <c r="I66" s="3582"/>
      <c r="J66" s="3582"/>
      <c r="K66" s="3582"/>
      <c r="L66" s="3582"/>
      <c r="M66" s="3576"/>
      <c r="N66" s="3576"/>
      <c r="O66" s="3576"/>
      <c r="P66" s="3577"/>
      <c r="Q66" s="463"/>
      <c r="R66" s="63"/>
      <c r="U66" s="66"/>
      <c r="V66" s="66"/>
      <c r="W66" s="72"/>
      <c r="X66" s="17"/>
      <c r="Y66" s="73"/>
      <c r="Z66" s="66"/>
      <c r="AA66" s="66"/>
      <c r="AB66" s="66"/>
      <c r="AC66" s="66"/>
      <c r="AD66" s="66"/>
      <c r="AE66" s="66"/>
    </row>
    <row r="67" spans="1:31" ht="18" customHeight="1" x14ac:dyDescent="0.35">
      <c r="A67" s="1572"/>
      <c r="B67" s="3578" t="s">
        <v>114</v>
      </c>
      <c r="C67" s="3579"/>
      <c r="D67" s="3579"/>
      <c r="E67" s="3579"/>
      <c r="F67" s="3579"/>
      <c r="G67" s="3575"/>
      <c r="H67" s="3575"/>
      <c r="I67" s="3580"/>
      <c r="J67" s="3580"/>
      <c r="K67" s="3575"/>
      <c r="L67" s="3575"/>
      <c r="M67" s="3576"/>
      <c r="N67" s="3576"/>
      <c r="O67" s="3576"/>
      <c r="P67" s="3577"/>
      <c r="Q67" s="463"/>
      <c r="R67" s="63"/>
      <c r="U67" s="66"/>
      <c r="V67" s="66"/>
      <c r="W67" s="72"/>
      <c r="X67" s="85"/>
      <c r="Y67" s="73"/>
      <c r="Z67" s="66"/>
      <c r="AA67" s="66"/>
      <c r="AB67" s="66"/>
      <c r="AC67" s="66"/>
      <c r="AD67" s="66"/>
      <c r="AE67" s="66"/>
    </row>
    <row r="68" spans="1:31" ht="18" customHeight="1" x14ac:dyDescent="0.35">
      <c r="A68" s="1572"/>
      <c r="B68" s="3578" t="s">
        <v>115</v>
      </c>
      <c r="C68" s="3579"/>
      <c r="D68" s="3579"/>
      <c r="E68" s="3579"/>
      <c r="F68" s="3579"/>
      <c r="G68" s="3575"/>
      <c r="H68" s="3575"/>
      <c r="I68" s="3575"/>
      <c r="J68" s="3575"/>
      <c r="K68" s="3575"/>
      <c r="L68" s="3575"/>
      <c r="M68" s="3576"/>
      <c r="N68" s="3576"/>
      <c r="O68" s="3576"/>
      <c r="P68" s="3577"/>
      <c r="Q68" s="463"/>
      <c r="R68" s="63"/>
      <c r="U68" s="66"/>
      <c r="V68" s="66"/>
      <c r="W68" s="72"/>
      <c r="X68" s="85"/>
      <c r="Y68" s="73"/>
      <c r="Z68" s="66"/>
      <c r="AA68" s="66"/>
      <c r="AB68" s="66"/>
      <c r="AC68" s="66"/>
      <c r="AD68" s="66"/>
      <c r="AE68" s="66"/>
    </row>
    <row r="69" spans="1:31" ht="18" customHeight="1" x14ac:dyDescent="0.5">
      <c r="A69" s="1572"/>
      <c r="B69" s="3578" t="s">
        <v>116</v>
      </c>
      <c r="C69" s="3579"/>
      <c r="D69" s="3579"/>
      <c r="E69" s="3579"/>
      <c r="F69" s="3579"/>
      <c r="G69" s="3575"/>
      <c r="H69" s="3575"/>
      <c r="I69" s="3575"/>
      <c r="J69" s="3575"/>
      <c r="K69" s="3575"/>
      <c r="L69" s="3575"/>
      <c r="M69" s="3576"/>
      <c r="N69" s="3576"/>
      <c r="O69" s="3576"/>
      <c r="P69" s="3577"/>
      <c r="Q69" s="463"/>
      <c r="R69" s="63"/>
      <c r="U69" s="66"/>
      <c r="V69" s="66"/>
      <c r="W69" s="72"/>
      <c r="X69" s="18"/>
      <c r="Y69" s="73"/>
      <c r="Z69" s="66"/>
      <c r="AA69" s="66"/>
      <c r="AB69" s="66"/>
      <c r="AC69" s="66"/>
      <c r="AD69" s="66"/>
      <c r="AE69" s="66"/>
    </row>
    <row r="70" spans="1:31" ht="18" customHeight="1" x14ac:dyDescent="0.35">
      <c r="A70" s="1572"/>
      <c r="B70" s="3578" t="s">
        <v>117</v>
      </c>
      <c r="C70" s="3579"/>
      <c r="D70" s="3579"/>
      <c r="E70" s="3579"/>
      <c r="F70" s="3579"/>
      <c r="G70" s="3582"/>
      <c r="H70" s="3582"/>
      <c r="I70" s="3582"/>
      <c r="J70" s="3582"/>
      <c r="K70" s="3582"/>
      <c r="L70" s="3582"/>
      <c r="M70" s="3576"/>
      <c r="N70" s="3576"/>
      <c r="O70" s="3576"/>
      <c r="P70" s="3577"/>
      <c r="Q70" s="463"/>
      <c r="R70" s="63"/>
      <c r="U70" s="66"/>
      <c r="V70" s="66"/>
      <c r="W70" s="72"/>
      <c r="X70" s="85"/>
      <c r="Y70" s="73"/>
      <c r="Z70" s="66"/>
      <c r="AA70" s="66"/>
      <c r="AB70" s="66"/>
      <c r="AC70" s="66"/>
      <c r="AD70" s="66"/>
      <c r="AE70" s="66"/>
    </row>
    <row r="71" spans="1:31" ht="18" customHeight="1" x14ac:dyDescent="0.35">
      <c r="A71" s="1572"/>
      <c r="B71" s="3578" t="s">
        <v>118</v>
      </c>
      <c r="C71" s="3579"/>
      <c r="D71" s="3579"/>
      <c r="E71" s="3579"/>
      <c r="F71" s="3579"/>
      <c r="G71" s="3575"/>
      <c r="H71" s="3575"/>
      <c r="I71" s="3575"/>
      <c r="J71" s="3575"/>
      <c r="K71" s="3575"/>
      <c r="L71" s="3575"/>
      <c r="M71" s="3576"/>
      <c r="N71" s="3576"/>
      <c r="O71" s="3576"/>
      <c r="P71" s="3577"/>
      <c r="Q71" s="463"/>
      <c r="R71" s="63"/>
      <c r="U71" s="66"/>
      <c r="V71" s="66"/>
      <c r="W71" s="72"/>
      <c r="X71" s="85"/>
      <c r="Y71" s="73"/>
      <c r="Z71" s="66"/>
      <c r="AA71" s="66"/>
      <c r="AB71" s="66"/>
      <c r="AC71" s="66"/>
      <c r="AD71" s="66"/>
      <c r="AE71" s="66"/>
    </row>
    <row r="72" spans="1:31" ht="16.5" customHeight="1" x14ac:dyDescent="0.55000000000000004">
      <c r="A72" s="1572"/>
      <c r="B72" s="3619" t="s">
        <v>119</v>
      </c>
      <c r="C72" s="3620"/>
      <c r="D72" s="3620"/>
      <c r="E72" s="3620"/>
      <c r="F72" s="3621"/>
      <c r="G72" s="3575"/>
      <c r="H72" s="3575"/>
      <c r="I72" s="3575"/>
      <c r="J72" s="3575"/>
      <c r="K72" s="3575"/>
      <c r="L72" s="3575"/>
      <c r="M72" s="3612"/>
      <c r="N72" s="3613"/>
      <c r="O72" s="3613"/>
      <c r="P72" s="3614"/>
      <c r="Q72" s="463"/>
      <c r="R72" s="63"/>
      <c r="U72" s="66"/>
      <c r="V72" s="66"/>
      <c r="W72" s="72"/>
      <c r="X72" s="17"/>
      <c r="Y72" s="73"/>
      <c r="Z72" s="66"/>
      <c r="AA72" s="66"/>
      <c r="AB72" s="66"/>
      <c r="AC72" s="66"/>
      <c r="AD72" s="66"/>
      <c r="AE72" s="66"/>
    </row>
    <row r="73" spans="1:31" ht="36" customHeight="1" x14ac:dyDescent="0.35">
      <c r="A73" s="1572"/>
      <c r="B73" s="3615" t="s">
        <v>120</v>
      </c>
      <c r="C73" s="3616"/>
      <c r="D73" s="3616"/>
      <c r="E73" s="3616"/>
      <c r="F73" s="3617"/>
      <c r="G73" s="3618"/>
      <c r="H73" s="3618"/>
      <c r="I73" s="3618"/>
      <c r="J73" s="3618"/>
      <c r="K73" s="3618"/>
      <c r="L73" s="3618"/>
      <c r="M73" s="3576"/>
      <c r="N73" s="3576"/>
      <c r="O73" s="3576"/>
      <c r="P73" s="3577"/>
      <c r="Q73" s="463"/>
      <c r="R73" s="63"/>
      <c r="U73" s="66"/>
      <c r="V73" s="66"/>
      <c r="W73" s="72"/>
      <c r="X73" s="13"/>
      <c r="Y73" s="73"/>
      <c r="Z73" s="66"/>
      <c r="AA73" s="66"/>
      <c r="AB73" s="66"/>
      <c r="AC73" s="66"/>
      <c r="AD73" s="66"/>
      <c r="AE73" s="66"/>
    </row>
    <row r="74" spans="1:31" ht="18" customHeight="1" x14ac:dyDescent="0.35">
      <c r="A74" s="1572"/>
      <c r="B74" s="3578" t="s">
        <v>121</v>
      </c>
      <c r="C74" s="3579"/>
      <c r="D74" s="3579"/>
      <c r="E74" s="3579"/>
      <c r="F74" s="3579"/>
      <c r="G74" s="3575"/>
      <c r="H74" s="3575"/>
      <c r="I74" s="3575"/>
      <c r="J74" s="3575"/>
      <c r="K74" s="3575"/>
      <c r="L74" s="3575"/>
      <c r="M74" s="3576"/>
      <c r="N74" s="3576"/>
      <c r="O74" s="3576"/>
      <c r="P74" s="3577"/>
      <c r="Q74" s="463"/>
      <c r="R74" s="63"/>
      <c r="U74" s="66"/>
      <c r="V74" s="66"/>
      <c r="W74" s="72"/>
      <c r="X74" s="85"/>
      <c r="Y74" s="73"/>
      <c r="Z74" s="66"/>
      <c r="AA74" s="66"/>
      <c r="AB74" s="66"/>
      <c r="AC74" s="66"/>
      <c r="AD74" s="66"/>
      <c r="AE74" s="66"/>
    </row>
    <row r="75" spans="1:31" ht="18" customHeight="1" x14ac:dyDescent="0.35">
      <c r="A75" s="1572"/>
      <c r="B75" s="3578" t="s">
        <v>122</v>
      </c>
      <c r="C75" s="3579"/>
      <c r="D75" s="3579"/>
      <c r="E75" s="3579"/>
      <c r="F75" s="3579"/>
      <c r="G75" s="3575"/>
      <c r="H75" s="3575"/>
      <c r="I75" s="3575"/>
      <c r="J75" s="3575"/>
      <c r="K75" s="3575"/>
      <c r="L75" s="3575"/>
      <c r="M75" s="3576"/>
      <c r="N75" s="3576"/>
      <c r="O75" s="3576"/>
      <c r="P75" s="3577"/>
      <c r="Q75" s="463"/>
      <c r="R75" s="63"/>
      <c r="U75" s="66"/>
      <c r="V75" s="66"/>
      <c r="W75" s="72"/>
      <c r="X75" s="85"/>
      <c r="Y75" s="73"/>
      <c r="Z75" s="66"/>
      <c r="AA75" s="66"/>
      <c r="AB75" s="66"/>
      <c r="AC75" s="66"/>
      <c r="AD75" s="66"/>
      <c r="AE75" s="66"/>
    </row>
    <row r="76" spans="1:31" ht="18" customHeight="1" x14ac:dyDescent="0.35">
      <c r="A76" s="1572"/>
      <c r="B76" s="3578" t="s">
        <v>123</v>
      </c>
      <c r="C76" s="3579"/>
      <c r="D76" s="3579"/>
      <c r="E76" s="3579"/>
      <c r="F76" s="3579"/>
      <c r="G76" s="3575"/>
      <c r="H76" s="3575"/>
      <c r="I76" s="3575"/>
      <c r="J76" s="3575"/>
      <c r="K76" s="3575"/>
      <c r="L76" s="3575"/>
      <c r="M76" s="3576"/>
      <c r="N76" s="3576"/>
      <c r="O76" s="3576"/>
      <c r="P76" s="3577"/>
      <c r="Q76" s="463"/>
      <c r="R76" s="63"/>
      <c r="U76" s="66"/>
      <c r="V76" s="66"/>
      <c r="W76" s="72"/>
      <c r="X76" s="85"/>
      <c r="Y76" s="73"/>
      <c r="Z76" s="66"/>
      <c r="AA76" s="66"/>
      <c r="AB76" s="66"/>
      <c r="AC76" s="66"/>
      <c r="AD76" s="66"/>
      <c r="AE76" s="66"/>
    </row>
    <row r="77" spans="1:31" ht="18" customHeight="1" x14ac:dyDescent="0.35">
      <c r="A77" s="1572"/>
      <c r="B77" s="5343" t="s">
        <v>1388</v>
      </c>
      <c r="C77" s="5344"/>
      <c r="D77" s="5344"/>
      <c r="E77" s="5344"/>
      <c r="F77" s="5345"/>
      <c r="G77" s="3575"/>
      <c r="H77" s="3575"/>
      <c r="I77" s="3575"/>
      <c r="J77" s="3575"/>
      <c r="K77" s="3575"/>
      <c r="L77" s="3575"/>
      <c r="M77" s="3576"/>
      <c r="N77" s="3576"/>
      <c r="O77" s="3576"/>
      <c r="P77" s="3577"/>
      <c r="Q77" s="463"/>
      <c r="R77" s="63"/>
      <c r="U77" s="66"/>
      <c r="V77" s="66"/>
      <c r="W77" s="72"/>
      <c r="X77" s="85"/>
      <c r="Y77" s="73"/>
      <c r="Z77" s="66"/>
      <c r="AA77" s="66"/>
      <c r="AB77" s="66"/>
      <c r="AC77" s="66"/>
      <c r="AD77" s="66"/>
      <c r="AE77" s="66"/>
    </row>
    <row r="78" spans="1:31" ht="18" customHeight="1" thickBot="1" x14ac:dyDescent="0.4">
      <c r="A78" s="1572"/>
      <c r="B78" s="3605"/>
      <c r="C78" s="3606"/>
      <c r="D78" s="3606"/>
      <c r="E78" s="3606"/>
      <c r="F78" s="3607"/>
      <c r="G78" s="3608"/>
      <c r="H78" s="3608"/>
      <c r="I78" s="3609"/>
      <c r="J78" s="3609"/>
      <c r="K78" s="3609"/>
      <c r="L78" s="3609"/>
      <c r="M78" s="3610"/>
      <c r="N78" s="3610"/>
      <c r="O78" s="3610"/>
      <c r="P78" s="3611"/>
      <c r="Q78" s="463"/>
      <c r="R78" s="63"/>
      <c r="U78" s="66"/>
      <c r="V78" s="66"/>
      <c r="W78" s="72"/>
      <c r="X78" s="82"/>
      <c r="Y78" s="73"/>
      <c r="Z78" s="66"/>
      <c r="AA78" s="66"/>
      <c r="AB78" s="66"/>
      <c r="AC78" s="66"/>
      <c r="AD78" s="66"/>
      <c r="AE78" s="66"/>
    </row>
    <row r="79" spans="1:31" ht="21.5" thickTop="1" x14ac:dyDescent="0.35">
      <c r="A79" s="1572"/>
      <c r="B79" s="730"/>
      <c r="C79" s="64"/>
      <c r="D79" s="64"/>
      <c r="E79" s="64"/>
      <c r="F79" s="64"/>
      <c r="G79" s="731"/>
      <c r="H79" s="1572"/>
      <c r="I79" s="732"/>
      <c r="J79" s="1572"/>
      <c r="K79" s="731"/>
      <c r="L79" s="1572"/>
      <c r="M79" s="4452"/>
      <c r="N79" s="4452"/>
      <c r="O79" s="4452"/>
      <c r="P79" s="4452"/>
      <c r="Q79" s="463"/>
      <c r="R79" s="63"/>
      <c r="U79" s="66"/>
      <c r="V79" s="66"/>
      <c r="W79" s="72"/>
      <c r="X79" s="85"/>
      <c r="Y79" s="73"/>
      <c r="Z79" s="66"/>
      <c r="AA79" s="66"/>
      <c r="AB79" s="66"/>
      <c r="AC79" s="66"/>
      <c r="AD79" s="66"/>
      <c r="AE79" s="66"/>
    </row>
    <row r="80" spans="1:31" ht="24" thickBot="1" x14ac:dyDescent="0.4">
      <c r="A80" s="1572"/>
      <c r="B80" s="730"/>
      <c r="C80" s="64"/>
      <c r="D80" s="64"/>
      <c r="E80" s="64"/>
      <c r="F80" s="64"/>
      <c r="G80" s="733"/>
      <c r="H80" s="1572"/>
      <c r="I80" s="733"/>
      <c r="J80" s="1572"/>
      <c r="K80" s="733"/>
      <c r="L80" s="1572"/>
      <c r="M80" s="4452"/>
      <c r="N80" s="4452"/>
      <c r="O80" s="4452"/>
      <c r="P80" s="4452"/>
      <c r="Q80" s="463"/>
      <c r="R80" s="63"/>
      <c r="U80" s="66"/>
      <c r="V80" s="66"/>
      <c r="W80" s="72"/>
      <c r="X80" s="13"/>
      <c r="Y80" s="73"/>
      <c r="Z80" s="66"/>
      <c r="AA80" s="66"/>
      <c r="AB80" s="66"/>
      <c r="AC80" s="66"/>
      <c r="AD80" s="66"/>
      <c r="AE80" s="66"/>
    </row>
    <row r="81" spans="1:31" s="25" customFormat="1" ht="40.5" customHeight="1" thickTop="1" x14ac:dyDescent="0.35">
      <c r="A81" s="704"/>
      <c r="B81" s="5340" t="s">
        <v>1389</v>
      </c>
      <c r="C81" s="5341"/>
      <c r="D81" s="5341"/>
      <c r="E81" s="5341"/>
      <c r="F81" s="5341"/>
      <c r="G81" s="5342" t="str">
        <f>G61</f>
        <v>Grand compte</v>
      </c>
      <c r="H81" s="5342"/>
      <c r="I81" s="5342" t="str">
        <f>I61</f>
        <v>ETI</v>
      </c>
      <c r="J81" s="5342"/>
      <c r="K81" s="5342" t="str">
        <f>K61</f>
        <v>PME</v>
      </c>
      <c r="L81" s="5342"/>
      <c r="M81" s="3530" t="s">
        <v>18</v>
      </c>
      <c r="N81" s="3530"/>
      <c r="O81" s="3530"/>
      <c r="P81" s="3624"/>
      <c r="Q81" s="705"/>
      <c r="R81" s="1607"/>
      <c r="U81" s="75"/>
      <c r="V81" s="75"/>
      <c r="W81" s="76"/>
      <c r="X81" s="77"/>
      <c r="Y81" s="78"/>
      <c r="Z81" s="75"/>
      <c r="AA81" s="75"/>
      <c r="AB81" s="75"/>
      <c r="AC81" s="75"/>
      <c r="AD81" s="75"/>
      <c r="AE81" s="75"/>
    </row>
    <row r="82" spans="1:31" s="25" customFormat="1" ht="10.5" customHeight="1" x14ac:dyDescent="0.35">
      <c r="A82" s="704"/>
      <c r="B82" s="3602"/>
      <c r="C82" s="3603"/>
      <c r="D82" s="3603"/>
      <c r="E82" s="3603"/>
      <c r="F82" s="3603"/>
      <c r="G82" s="3603"/>
      <c r="H82" s="3603"/>
      <c r="I82" s="3603"/>
      <c r="J82" s="3603"/>
      <c r="K82" s="3603"/>
      <c r="L82" s="3603"/>
      <c r="M82" s="3603"/>
      <c r="N82" s="3603"/>
      <c r="O82" s="3603"/>
      <c r="P82" s="3604"/>
      <c r="Q82" s="705"/>
      <c r="R82" s="1607"/>
      <c r="U82" s="75"/>
      <c r="V82" s="75"/>
      <c r="W82" s="76"/>
      <c r="X82" s="77"/>
      <c r="Y82" s="78"/>
      <c r="Z82" s="75"/>
      <c r="AA82" s="75"/>
      <c r="AB82" s="75"/>
      <c r="AC82" s="75"/>
      <c r="AD82" s="75"/>
      <c r="AE82" s="75"/>
    </row>
    <row r="83" spans="1:31" ht="18" customHeight="1" x14ac:dyDescent="0.35">
      <c r="A83" s="1572"/>
      <c r="B83" s="3596" t="s">
        <v>124</v>
      </c>
      <c r="C83" s="3597"/>
      <c r="D83" s="3597"/>
      <c r="E83" s="3597"/>
      <c r="F83" s="3597"/>
      <c r="G83" s="3597"/>
      <c r="H83" s="3597"/>
      <c r="I83" s="3597"/>
      <c r="J83" s="3597"/>
      <c r="K83" s="3597"/>
      <c r="L83" s="3597"/>
      <c r="M83" s="3597"/>
      <c r="N83" s="3597"/>
      <c r="O83" s="3597"/>
      <c r="P83" s="3598"/>
      <c r="Q83" s="463"/>
      <c r="R83" s="63"/>
      <c r="U83" s="66"/>
      <c r="V83" s="66"/>
      <c r="W83" s="72"/>
      <c r="X83" s="85"/>
      <c r="Y83" s="73"/>
      <c r="Z83" s="66"/>
      <c r="AA83" s="66"/>
      <c r="AB83" s="66"/>
      <c r="AC83" s="66"/>
      <c r="AD83" s="66"/>
      <c r="AE83" s="66"/>
    </row>
    <row r="84" spans="1:31" ht="52.15" customHeight="1" x14ac:dyDescent="0.35">
      <c r="A84" s="1572"/>
      <c r="B84" s="3588"/>
      <c r="C84" s="3589"/>
      <c r="D84" s="3589"/>
      <c r="E84" s="3589"/>
      <c r="F84" s="3589"/>
      <c r="G84" s="3599"/>
      <c r="H84" s="3599"/>
      <c r="I84" s="3600"/>
      <c r="J84" s="3600"/>
      <c r="K84" s="3599"/>
      <c r="L84" s="3599"/>
      <c r="M84" s="3583"/>
      <c r="N84" s="3583"/>
      <c r="O84" s="3583"/>
      <c r="P84" s="3584"/>
      <c r="Q84" s="463"/>
      <c r="R84" s="63"/>
      <c r="U84" s="66"/>
      <c r="V84" s="66"/>
      <c r="W84" s="72"/>
      <c r="X84" s="85"/>
      <c r="Y84" s="73"/>
      <c r="Z84" s="66"/>
      <c r="AA84" s="66"/>
      <c r="AB84" s="66"/>
      <c r="AC84" s="66"/>
      <c r="AD84" s="66"/>
      <c r="AE84" s="66"/>
    </row>
    <row r="85" spans="1:31" ht="18" customHeight="1" x14ac:dyDescent="0.35">
      <c r="A85" s="1572"/>
      <c r="B85" s="3588"/>
      <c r="C85" s="3589"/>
      <c r="D85" s="3589"/>
      <c r="E85" s="3589"/>
      <c r="F85" s="3589"/>
      <c r="G85" s="3599"/>
      <c r="H85" s="3599"/>
      <c r="I85" s="3592"/>
      <c r="J85" s="3592"/>
      <c r="K85" s="3592"/>
      <c r="L85" s="3592"/>
      <c r="M85" s="3583"/>
      <c r="N85" s="3583"/>
      <c r="O85" s="3583"/>
      <c r="P85" s="3584"/>
      <c r="Q85" s="463"/>
      <c r="R85" s="63"/>
      <c r="U85" s="66"/>
      <c r="V85" s="66"/>
      <c r="W85" s="72"/>
      <c r="X85" s="85"/>
      <c r="Y85" s="73"/>
      <c r="Z85" s="66"/>
      <c r="AA85" s="66"/>
      <c r="AB85" s="66"/>
      <c r="AC85" s="66"/>
      <c r="AD85" s="66"/>
      <c r="AE85" s="66"/>
    </row>
    <row r="86" spans="1:31" ht="18" customHeight="1" x14ac:dyDescent="0.35">
      <c r="A86" s="1572"/>
      <c r="B86" s="3588"/>
      <c r="C86" s="3589"/>
      <c r="D86" s="3589"/>
      <c r="E86" s="3589"/>
      <c r="F86" s="3589"/>
      <c r="G86" s="3599"/>
      <c r="H86" s="3599"/>
      <c r="I86" s="3592"/>
      <c r="J86" s="3592"/>
      <c r="K86" s="3592"/>
      <c r="L86" s="3592"/>
      <c r="M86" s="3583"/>
      <c r="N86" s="3583"/>
      <c r="O86" s="3583"/>
      <c r="P86" s="3584"/>
      <c r="Q86" s="463"/>
      <c r="R86" s="63"/>
      <c r="U86" s="66"/>
      <c r="V86" s="66"/>
      <c r="W86" s="72"/>
      <c r="X86" s="85"/>
      <c r="Y86" s="73"/>
      <c r="Z86" s="66"/>
      <c r="AA86" s="66"/>
      <c r="AB86" s="66"/>
      <c r="AC86" s="66"/>
      <c r="AD86" s="66"/>
      <c r="AE86" s="66"/>
    </row>
    <row r="87" spans="1:31" ht="18" customHeight="1" x14ac:dyDescent="0.35">
      <c r="A87" s="1572"/>
      <c r="B87" s="3588"/>
      <c r="C87" s="3589"/>
      <c r="D87" s="3589"/>
      <c r="E87" s="3589"/>
      <c r="F87" s="3589"/>
      <c r="G87" s="3599"/>
      <c r="H87" s="3599"/>
      <c r="I87" s="3592"/>
      <c r="J87" s="3592"/>
      <c r="K87" s="3592"/>
      <c r="L87" s="3592"/>
      <c r="M87" s="3583"/>
      <c r="N87" s="3583"/>
      <c r="O87" s="3583"/>
      <c r="P87" s="3584"/>
      <c r="Q87" s="463"/>
      <c r="R87" s="63"/>
      <c r="U87" s="66"/>
      <c r="V87" s="66"/>
      <c r="W87" s="72"/>
      <c r="X87" s="85"/>
      <c r="Y87" s="73"/>
      <c r="Z87" s="66"/>
      <c r="AA87" s="66"/>
      <c r="AB87" s="66"/>
      <c r="AC87" s="66"/>
      <c r="AD87" s="66"/>
      <c r="AE87" s="66"/>
    </row>
    <row r="88" spans="1:31" ht="18" customHeight="1" x14ac:dyDescent="0.35">
      <c r="A88" s="1572"/>
      <c r="B88" s="3588"/>
      <c r="C88" s="3589"/>
      <c r="D88" s="3589"/>
      <c r="E88" s="3589"/>
      <c r="F88" s="3589"/>
      <c r="G88" s="3599"/>
      <c r="H88" s="3599"/>
      <c r="I88" s="3592"/>
      <c r="J88" s="3592"/>
      <c r="K88" s="3592"/>
      <c r="L88" s="3592"/>
      <c r="M88" s="3583"/>
      <c r="N88" s="3583"/>
      <c r="O88" s="3583"/>
      <c r="P88" s="3584"/>
      <c r="Q88" s="463"/>
      <c r="R88" s="63"/>
      <c r="U88" s="66"/>
      <c r="V88" s="66"/>
      <c r="W88" s="72"/>
      <c r="X88" s="85"/>
      <c r="Y88" s="73"/>
      <c r="Z88" s="66"/>
      <c r="AA88" s="66"/>
      <c r="AB88" s="66"/>
      <c r="AC88" s="66"/>
      <c r="AD88" s="66"/>
      <c r="AE88" s="66"/>
    </row>
    <row r="89" spans="1:31" ht="18" customHeight="1" x14ac:dyDescent="0.35">
      <c r="A89" s="1572"/>
      <c r="B89" s="3588"/>
      <c r="C89" s="3589"/>
      <c r="D89" s="3589"/>
      <c r="E89" s="3589"/>
      <c r="F89" s="3589"/>
      <c r="G89" s="3599"/>
      <c r="H89" s="3599"/>
      <c r="I89" s="3600"/>
      <c r="J89" s="3600"/>
      <c r="K89" s="3601"/>
      <c r="L89" s="3601"/>
      <c r="M89" s="3583"/>
      <c r="N89" s="3583"/>
      <c r="O89" s="3583"/>
      <c r="P89" s="3584"/>
      <c r="Q89" s="463"/>
      <c r="R89" s="63"/>
      <c r="U89" s="66"/>
      <c r="V89" s="66"/>
      <c r="W89" s="72"/>
      <c r="X89" s="85"/>
      <c r="Y89" s="73"/>
      <c r="Z89" s="66"/>
      <c r="AA89" s="66"/>
      <c r="AB89" s="66"/>
      <c r="AC89" s="66"/>
      <c r="AD89" s="66"/>
      <c r="AE89" s="66"/>
    </row>
    <row r="90" spans="1:31" ht="11.25" customHeight="1" x14ac:dyDescent="0.35">
      <c r="A90" s="1572"/>
      <c r="B90" s="3593"/>
      <c r="C90" s="3594"/>
      <c r="D90" s="3594"/>
      <c r="E90" s="3594"/>
      <c r="F90" s="3594"/>
      <c r="G90" s="3594"/>
      <c r="H90" s="3594"/>
      <c r="I90" s="3594"/>
      <c r="J90" s="3594"/>
      <c r="K90" s="3594"/>
      <c r="L90" s="3594"/>
      <c r="M90" s="3594"/>
      <c r="N90" s="3594"/>
      <c r="O90" s="3594"/>
      <c r="P90" s="3595"/>
      <c r="Q90" s="463"/>
      <c r="R90" s="63"/>
      <c r="U90" s="66"/>
      <c r="V90" s="66"/>
      <c r="W90" s="72"/>
      <c r="X90" s="85"/>
      <c r="Y90" s="73"/>
      <c r="Z90" s="66"/>
      <c r="AA90" s="66"/>
      <c r="AB90" s="66"/>
      <c r="AC90" s="66"/>
      <c r="AD90" s="66"/>
      <c r="AE90" s="66"/>
    </row>
    <row r="91" spans="1:31" ht="18" customHeight="1" x14ac:dyDescent="0.35">
      <c r="A91" s="1572"/>
      <c r="B91" s="3596" t="s">
        <v>125</v>
      </c>
      <c r="C91" s="3597"/>
      <c r="D91" s="3597"/>
      <c r="E91" s="3597"/>
      <c r="F91" s="3597"/>
      <c r="G91" s="3597"/>
      <c r="H91" s="3597"/>
      <c r="I91" s="3597"/>
      <c r="J91" s="3597"/>
      <c r="K91" s="3597"/>
      <c r="L91" s="3597"/>
      <c r="M91" s="3597"/>
      <c r="N91" s="3597"/>
      <c r="O91" s="3597"/>
      <c r="P91" s="3598"/>
      <c r="Q91" s="463"/>
      <c r="R91" s="63"/>
      <c r="U91" s="66"/>
      <c r="V91" s="66"/>
      <c r="W91" s="72"/>
      <c r="X91" s="85"/>
      <c r="Y91" s="73"/>
      <c r="Z91" s="66"/>
      <c r="AA91" s="66"/>
      <c r="AB91" s="66"/>
      <c r="AC91" s="66"/>
      <c r="AD91" s="66"/>
      <c r="AE91" s="66"/>
    </row>
    <row r="92" spans="1:31" ht="58.15" customHeight="1" x14ac:dyDescent="0.35">
      <c r="A92" s="1572"/>
      <c r="B92" s="3588"/>
      <c r="C92" s="3589"/>
      <c r="D92" s="3589"/>
      <c r="E92" s="3589"/>
      <c r="F92" s="3589"/>
      <c r="G92" s="3590"/>
      <c r="H92" s="3590"/>
      <c r="I92" s="3591"/>
      <c r="J92" s="3591"/>
      <c r="K92" s="3592"/>
      <c r="L92" s="3592"/>
      <c r="M92" s="3583"/>
      <c r="N92" s="3583"/>
      <c r="O92" s="3583"/>
      <c r="P92" s="3584"/>
      <c r="Q92" s="463"/>
      <c r="R92" s="63"/>
      <c r="U92" s="66"/>
      <c r="V92" s="66"/>
      <c r="W92" s="72"/>
      <c r="X92" s="85"/>
      <c r="Y92" s="73"/>
      <c r="Z92" s="66"/>
      <c r="AA92" s="66"/>
      <c r="AB92" s="66"/>
      <c r="AC92" s="66"/>
      <c r="AD92" s="66"/>
      <c r="AE92" s="66"/>
    </row>
    <row r="93" spans="1:31" ht="18" customHeight="1" x14ac:dyDescent="0.35">
      <c r="A93" s="1572"/>
      <c r="B93" s="3588"/>
      <c r="C93" s="3589"/>
      <c r="D93" s="3589"/>
      <c r="E93" s="3589"/>
      <c r="F93" s="3589"/>
      <c r="G93" s="3590"/>
      <c r="H93" s="3590"/>
      <c r="I93" s="3591"/>
      <c r="J93" s="3591"/>
      <c r="K93" s="3592"/>
      <c r="L93" s="3592"/>
      <c r="M93" s="3583"/>
      <c r="N93" s="3583"/>
      <c r="O93" s="3583"/>
      <c r="P93" s="3584"/>
      <c r="Q93" s="463"/>
      <c r="R93" s="63"/>
      <c r="U93" s="66"/>
      <c r="V93" s="66"/>
      <c r="W93" s="72"/>
      <c r="X93" s="85"/>
      <c r="Y93" s="73"/>
      <c r="Z93" s="66"/>
      <c r="AA93" s="66"/>
      <c r="AB93" s="66"/>
      <c r="AC93" s="66"/>
      <c r="AD93" s="66"/>
      <c r="AE93" s="66"/>
    </row>
    <row r="94" spans="1:31" ht="18" customHeight="1" x14ac:dyDescent="0.35">
      <c r="A94" s="1572"/>
      <c r="B94" s="3588"/>
      <c r="C94" s="3589"/>
      <c r="D94" s="3589"/>
      <c r="E94" s="3589"/>
      <c r="F94" s="3589"/>
      <c r="G94" s="3590"/>
      <c r="H94" s="3590"/>
      <c r="I94" s="3591"/>
      <c r="J94" s="3591"/>
      <c r="K94" s="3592"/>
      <c r="L94" s="3592"/>
      <c r="M94" s="3583"/>
      <c r="N94" s="3583"/>
      <c r="O94" s="3583"/>
      <c r="P94" s="3584"/>
      <c r="Q94" s="463"/>
      <c r="R94" s="63"/>
      <c r="U94" s="66"/>
      <c r="V94" s="66"/>
      <c r="W94" s="72"/>
      <c r="X94" s="85"/>
      <c r="Y94" s="73"/>
      <c r="Z94" s="66"/>
      <c r="AA94" s="66"/>
      <c r="AB94" s="66"/>
      <c r="AC94" s="66"/>
      <c r="AD94" s="66"/>
      <c r="AE94" s="66"/>
    </row>
    <row r="95" spans="1:31" ht="18" customHeight="1" x14ac:dyDescent="0.35">
      <c r="A95" s="1572"/>
      <c r="B95" s="3588"/>
      <c r="C95" s="3589"/>
      <c r="D95" s="3589"/>
      <c r="E95" s="3589"/>
      <c r="F95" s="3589"/>
      <c r="G95" s="3590"/>
      <c r="H95" s="3590"/>
      <c r="I95" s="3591"/>
      <c r="J95" s="3591"/>
      <c r="K95" s="3592"/>
      <c r="L95" s="3592"/>
      <c r="M95" s="3583"/>
      <c r="N95" s="3583"/>
      <c r="O95" s="3583"/>
      <c r="P95" s="3584"/>
      <c r="Q95" s="463"/>
      <c r="R95" s="63"/>
      <c r="U95" s="66"/>
      <c r="V95" s="66"/>
      <c r="W95" s="72"/>
      <c r="X95" s="85"/>
      <c r="Y95" s="73"/>
      <c r="Z95" s="66"/>
      <c r="AA95" s="66"/>
      <c r="AB95" s="66"/>
      <c r="AC95" s="66"/>
      <c r="AD95" s="66"/>
      <c r="AE95" s="66"/>
    </row>
    <row r="96" spans="1:31" ht="18" customHeight="1" x14ac:dyDescent="0.65">
      <c r="A96" s="1572"/>
      <c r="B96" s="3588"/>
      <c r="C96" s="3589"/>
      <c r="D96" s="3589"/>
      <c r="E96" s="3589"/>
      <c r="F96" s="3589"/>
      <c r="G96" s="3590"/>
      <c r="H96" s="3590"/>
      <c r="I96" s="3591"/>
      <c r="J96" s="3591"/>
      <c r="K96" s="3592"/>
      <c r="L96" s="3592"/>
      <c r="M96" s="3583"/>
      <c r="N96" s="3583"/>
      <c r="O96" s="3583"/>
      <c r="P96" s="3584"/>
      <c r="Q96" s="463"/>
      <c r="R96" s="63"/>
      <c r="U96" s="66"/>
      <c r="V96" s="66"/>
      <c r="W96" s="72"/>
      <c r="X96" s="19"/>
      <c r="Y96" s="73"/>
      <c r="Z96" s="66"/>
      <c r="AA96" s="66"/>
      <c r="AB96" s="66"/>
      <c r="AC96" s="66"/>
      <c r="AD96" s="66"/>
      <c r="AE96" s="66"/>
    </row>
    <row r="97" spans="1:31" ht="18" customHeight="1" x14ac:dyDescent="0.35">
      <c r="A97" s="1572"/>
      <c r="B97" s="3588"/>
      <c r="C97" s="3589"/>
      <c r="D97" s="3589"/>
      <c r="E97" s="3589"/>
      <c r="F97" s="3589"/>
      <c r="G97" s="3590"/>
      <c r="H97" s="3590"/>
      <c r="I97" s="3591"/>
      <c r="J97" s="3591"/>
      <c r="K97" s="3592"/>
      <c r="L97" s="3592"/>
      <c r="M97" s="3583"/>
      <c r="N97" s="3583"/>
      <c r="O97" s="3583"/>
      <c r="P97" s="3584"/>
      <c r="Q97" s="463"/>
      <c r="R97" s="63"/>
      <c r="U97" s="66"/>
      <c r="V97" s="66"/>
      <c r="W97" s="72"/>
      <c r="X97" s="85"/>
      <c r="Y97" s="73"/>
      <c r="Z97" s="66"/>
      <c r="AA97" s="66"/>
      <c r="AB97" s="66"/>
      <c r="AC97" s="66"/>
      <c r="AD97" s="66"/>
      <c r="AE97" s="66"/>
    </row>
    <row r="98" spans="1:31" ht="18" customHeight="1" x14ac:dyDescent="0.35">
      <c r="A98" s="1572"/>
      <c r="B98" s="3588"/>
      <c r="C98" s="3589"/>
      <c r="D98" s="3589"/>
      <c r="E98" s="3589"/>
      <c r="F98" s="3589"/>
      <c r="G98" s="3590"/>
      <c r="H98" s="3590"/>
      <c r="I98" s="3591"/>
      <c r="J98" s="3591"/>
      <c r="K98" s="3592"/>
      <c r="L98" s="3592"/>
      <c r="M98" s="3583"/>
      <c r="N98" s="3583"/>
      <c r="O98" s="3583"/>
      <c r="P98" s="3584"/>
      <c r="Q98" s="463"/>
      <c r="R98" s="63"/>
      <c r="U98" s="66"/>
      <c r="V98" s="66"/>
      <c r="W98" s="72"/>
      <c r="X98" s="85"/>
      <c r="Y98" s="73"/>
      <c r="Z98" s="66"/>
      <c r="AA98" s="66"/>
      <c r="AB98" s="66"/>
      <c r="AC98" s="66"/>
      <c r="AD98" s="66"/>
      <c r="AE98" s="66"/>
    </row>
    <row r="99" spans="1:31" ht="11.25" customHeight="1" thickBot="1" x14ac:dyDescent="0.4">
      <c r="A99" s="1572"/>
      <c r="B99" s="3585"/>
      <c r="C99" s="3586"/>
      <c r="D99" s="3586"/>
      <c r="E99" s="3586"/>
      <c r="F99" s="3586"/>
      <c r="G99" s="3586"/>
      <c r="H99" s="3586"/>
      <c r="I99" s="3586"/>
      <c r="J99" s="3586"/>
      <c r="K99" s="3586"/>
      <c r="L99" s="3586"/>
      <c r="M99" s="3586"/>
      <c r="N99" s="3586"/>
      <c r="O99" s="3586"/>
      <c r="P99" s="3587"/>
      <c r="Q99" s="463"/>
      <c r="R99" s="63"/>
      <c r="U99" s="66"/>
      <c r="V99" s="66"/>
      <c r="W99" s="72"/>
      <c r="X99" s="85"/>
      <c r="Y99" s="73"/>
      <c r="Z99" s="66"/>
      <c r="AA99" s="66"/>
      <c r="AB99" s="66"/>
      <c r="AC99" s="66"/>
      <c r="AD99" s="66"/>
      <c r="AE99" s="66"/>
    </row>
    <row r="100" spans="1:31" ht="15" thickTop="1" x14ac:dyDescent="0.35">
      <c r="A100" s="1572"/>
      <c r="B100" s="1572"/>
      <c r="C100" s="64"/>
      <c r="D100" s="64"/>
      <c r="E100" s="64"/>
      <c r="F100" s="64"/>
      <c r="G100" s="64"/>
      <c r="H100" s="1572"/>
      <c r="I100" s="1572"/>
      <c r="J100" s="1572"/>
      <c r="K100" s="1572"/>
      <c r="L100" s="1572"/>
      <c r="M100" s="1572"/>
      <c r="N100" s="1572"/>
      <c r="O100" s="1572"/>
      <c r="P100" s="1572"/>
      <c r="Q100" s="463"/>
      <c r="R100" s="63"/>
      <c r="U100" s="93"/>
      <c r="V100" s="93"/>
      <c r="W100" s="73"/>
      <c r="X100" s="73"/>
      <c r="Y100" s="73"/>
      <c r="Z100" s="66"/>
      <c r="AA100" s="66"/>
      <c r="AB100" s="66"/>
      <c r="AC100" s="66"/>
      <c r="AD100" s="66"/>
      <c r="AE100" s="66"/>
    </row>
    <row r="101" spans="1:31" ht="15" thickBot="1" x14ac:dyDescent="0.4">
      <c r="A101" s="64"/>
      <c r="B101" s="64"/>
      <c r="C101" s="64"/>
      <c r="D101" s="64"/>
      <c r="E101" s="64"/>
      <c r="F101" s="64"/>
      <c r="G101" s="64"/>
      <c r="H101" s="64"/>
      <c r="I101" s="64"/>
      <c r="J101" s="64"/>
      <c r="K101" s="64"/>
      <c r="L101" s="64"/>
      <c r="M101" s="64"/>
      <c r="N101" s="64"/>
      <c r="O101" s="64"/>
      <c r="P101" s="64"/>
      <c r="Q101" s="64"/>
    </row>
    <row r="102" spans="1:31" ht="19.5" thickTop="1" thickBot="1" x14ac:dyDescent="0.4">
      <c r="A102" s="3883" t="s">
        <v>10</v>
      </c>
      <c r="B102" s="3884"/>
      <c r="C102" s="3884"/>
      <c r="D102" s="3884"/>
      <c r="E102" s="3884"/>
      <c r="F102" s="3884"/>
      <c r="G102" s="3884"/>
      <c r="H102" s="3884"/>
      <c r="I102" s="3884"/>
      <c r="J102" s="3884"/>
      <c r="K102" s="3884"/>
      <c r="L102" s="30"/>
      <c r="M102" s="3725" t="s">
        <v>748</v>
      </c>
      <c r="N102" s="3726"/>
      <c r="O102" s="3727"/>
      <c r="P102" s="31"/>
      <c r="Q102" s="64"/>
      <c r="R102" s="64"/>
      <c r="S102" s="64"/>
      <c r="T102" s="64"/>
    </row>
    <row r="103" spans="1:31" ht="21" customHeight="1" x14ac:dyDescent="0.35">
      <c r="A103" s="5335" t="s">
        <v>751</v>
      </c>
      <c r="B103" s="5336"/>
      <c r="C103" s="5336"/>
      <c r="D103" s="5336"/>
      <c r="E103" s="5336"/>
      <c r="F103" s="5336"/>
      <c r="G103" s="5336"/>
      <c r="H103" s="5336"/>
      <c r="I103" s="5336"/>
      <c r="J103" s="5336"/>
      <c r="K103" s="5337"/>
      <c r="L103" s="30"/>
      <c r="M103" s="3750" t="s">
        <v>1390</v>
      </c>
      <c r="N103" s="5066"/>
      <c r="O103" s="3752"/>
      <c r="P103" s="31"/>
      <c r="Q103" s="64"/>
      <c r="R103" s="64"/>
      <c r="S103" s="64"/>
      <c r="T103" s="64"/>
    </row>
    <row r="104" spans="1:31" ht="21" customHeight="1" x14ac:dyDescent="0.35">
      <c r="A104" s="5328"/>
      <c r="B104" s="5329"/>
      <c r="C104" s="5329"/>
      <c r="D104" s="5329"/>
      <c r="E104" s="5329"/>
      <c r="F104" s="5329"/>
      <c r="G104" s="5329"/>
      <c r="H104" s="5329"/>
      <c r="I104" s="5329"/>
      <c r="J104" s="5329"/>
      <c r="K104" s="5330"/>
      <c r="L104" s="30"/>
      <c r="M104" s="3753"/>
      <c r="N104" s="3754"/>
      <c r="O104" s="5067"/>
      <c r="P104" s="31"/>
      <c r="Q104" s="64"/>
      <c r="R104" s="64"/>
      <c r="S104" s="64"/>
      <c r="T104" s="64"/>
    </row>
    <row r="105" spans="1:31" ht="21" customHeight="1" x14ac:dyDescent="0.35">
      <c r="A105" s="5328"/>
      <c r="B105" s="5329"/>
      <c r="C105" s="5329"/>
      <c r="D105" s="5329"/>
      <c r="E105" s="5329"/>
      <c r="F105" s="5329"/>
      <c r="G105" s="5329"/>
      <c r="H105" s="5329"/>
      <c r="I105" s="5329"/>
      <c r="J105" s="5329"/>
      <c r="K105" s="5330"/>
      <c r="L105" s="30"/>
      <c r="M105" s="3753"/>
      <c r="N105" s="3754"/>
      <c r="O105" s="5067"/>
      <c r="P105" s="31"/>
      <c r="Q105" s="64"/>
      <c r="R105" s="64"/>
      <c r="S105" s="64"/>
      <c r="T105" s="64"/>
    </row>
    <row r="106" spans="1:31" ht="21" customHeight="1" x14ac:dyDescent="0.35">
      <c r="A106" s="5328"/>
      <c r="B106" s="5329"/>
      <c r="C106" s="5329"/>
      <c r="D106" s="5329"/>
      <c r="E106" s="5329"/>
      <c r="F106" s="5329"/>
      <c r="G106" s="5329"/>
      <c r="H106" s="5329"/>
      <c r="I106" s="5329"/>
      <c r="J106" s="5329"/>
      <c r="K106" s="5330"/>
      <c r="L106" s="30"/>
      <c r="M106" s="3753"/>
      <c r="N106" s="3754"/>
      <c r="O106" s="5067"/>
      <c r="P106" s="31"/>
      <c r="Q106" s="64"/>
      <c r="R106" s="64"/>
      <c r="S106" s="64"/>
      <c r="T106" s="64"/>
    </row>
    <row r="107" spans="1:31" ht="15" thickBot="1" x14ac:dyDescent="0.4">
      <c r="A107" s="5331"/>
      <c r="B107" s="5332"/>
      <c r="C107" s="5332"/>
      <c r="D107" s="5332"/>
      <c r="E107" s="5332"/>
      <c r="F107" s="5332"/>
      <c r="G107" s="5332"/>
      <c r="H107" s="5332"/>
      <c r="I107" s="5332"/>
      <c r="J107" s="5332"/>
      <c r="K107" s="5333"/>
      <c r="L107" s="64"/>
      <c r="M107" s="5334"/>
      <c r="N107" s="3757"/>
      <c r="O107" s="3758"/>
      <c r="P107" s="64"/>
      <c r="Q107" s="64"/>
      <c r="R107" s="64"/>
      <c r="S107" s="64"/>
      <c r="T107" s="64"/>
    </row>
    <row r="108" spans="1:31" ht="15.5" thickTop="1" thickBot="1" x14ac:dyDescent="0.4">
      <c r="A108" s="64"/>
      <c r="B108" s="64"/>
      <c r="C108" s="64"/>
      <c r="D108" s="64"/>
      <c r="E108" s="64"/>
      <c r="F108" s="64"/>
      <c r="G108" s="64"/>
      <c r="H108" s="64"/>
      <c r="I108" s="64"/>
      <c r="J108" s="64"/>
      <c r="K108" s="64"/>
      <c r="L108" s="31"/>
      <c r="M108" s="64"/>
      <c r="N108" s="64"/>
      <c r="O108" s="64"/>
      <c r="P108" s="31"/>
      <c r="Q108" s="64"/>
      <c r="R108" s="64"/>
      <c r="S108" s="64"/>
      <c r="T108" s="64"/>
    </row>
    <row r="109" spans="1:31" ht="21" customHeight="1" thickTop="1" thickBot="1" x14ac:dyDescent="0.4">
      <c r="A109" s="5338" t="s">
        <v>11</v>
      </c>
      <c r="B109" s="5339"/>
      <c r="C109" s="5339"/>
      <c r="D109" s="5339"/>
      <c r="E109" s="5339"/>
      <c r="F109" s="5339"/>
      <c r="G109" s="5339"/>
      <c r="H109" s="5339"/>
      <c r="I109" s="5339"/>
      <c r="J109" s="5339"/>
      <c r="K109" s="5339"/>
      <c r="L109" s="30"/>
      <c r="M109" s="3725" t="s">
        <v>748</v>
      </c>
      <c r="N109" s="3726"/>
      <c r="O109" s="3727"/>
      <c r="P109" s="31"/>
      <c r="Q109" s="64"/>
      <c r="R109" s="64"/>
      <c r="S109" s="64"/>
      <c r="T109" s="64"/>
    </row>
    <row r="110" spans="1:31" ht="21" customHeight="1" thickTop="1" x14ac:dyDescent="0.35">
      <c r="A110" s="5325" t="s">
        <v>1392</v>
      </c>
      <c r="B110" s="5326"/>
      <c r="C110" s="5326"/>
      <c r="D110" s="5326"/>
      <c r="E110" s="5326"/>
      <c r="F110" s="5326"/>
      <c r="G110" s="5326"/>
      <c r="H110" s="5326"/>
      <c r="I110" s="5326"/>
      <c r="J110" s="5326"/>
      <c r="K110" s="5327"/>
      <c r="L110" s="31"/>
      <c r="M110" s="3750" t="s">
        <v>1391</v>
      </c>
      <c r="N110" s="5066"/>
      <c r="O110" s="3752"/>
      <c r="P110" s="31"/>
      <c r="Q110" s="64"/>
      <c r="R110" s="64"/>
      <c r="S110" s="64"/>
      <c r="T110" s="64"/>
    </row>
    <row r="111" spans="1:31" ht="21" customHeight="1" x14ac:dyDescent="0.35">
      <c r="A111" s="5328"/>
      <c r="B111" s="5329"/>
      <c r="C111" s="5329"/>
      <c r="D111" s="5329"/>
      <c r="E111" s="5329"/>
      <c r="F111" s="5329"/>
      <c r="G111" s="5329"/>
      <c r="H111" s="5329"/>
      <c r="I111" s="5329"/>
      <c r="J111" s="5329"/>
      <c r="K111" s="5330"/>
      <c r="L111" s="31"/>
      <c r="M111" s="3753"/>
      <c r="N111" s="3754"/>
      <c r="O111" s="5067"/>
      <c r="P111" s="31"/>
      <c r="Q111" s="64"/>
      <c r="R111" s="64"/>
      <c r="S111" s="64"/>
      <c r="T111" s="64"/>
    </row>
    <row r="112" spans="1:31" ht="37.5" customHeight="1" x14ac:dyDescent="0.35">
      <c r="A112" s="5328"/>
      <c r="B112" s="5329"/>
      <c r="C112" s="5329"/>
      <c r="D112" s="5329"/>
      <c r="E112" s="5329"/>
      <c r="F112" s="5329"/>
      <c r="G112" s="5329"/>
      <c r="H112" s="5329"/>
      <c r="I112" s="5329"/>
      <c r="J112" s="5329"/>
      <c r="K112" s="5330"/>
      <c r="L112" s="31"/>
      <c r="M112" s="3753"/>
      <c r="N112" s="3754"/>
      <c r="O112" s="5067"/>
      <c r="P112" s="31"/>
      <c r="Q112" s="64"/>
      <c r="R112" s="64"/>
      <c r="S112" s="64"/>
      <c r="T112" s="64"/>
    </row>
    <row r="113" spans="1:17" x14ac:dyDescent="0.35">
      <c r="A113" s="5328"/>
      <c r="B113" s="5329"/>
      <c r="C113" s="5329"/>
      <c r="D113" s="5329"/>
      <c r="E113" s="5329"/>
      <c r="F113" s="5329"/>
      <c r="G113" s="5329"/>
      <c r="H113" s="5329"/>
      <c r="I113" s="5329"/>
      <c r="J113" s="5329"/>
      <c r="K113" s="5330"/>
      <c r="L113" s="64"/>
      <c r="M113" s="3753"/>
      <c r="N113" s="3754"/>
      <c r="O113" s="5067"/>
      <c r="P113" s="64"/>
      <c r="Q113" s="64"/>
    </row>
    <row r="114" spans="1:17" ht="15" thickBot="1" x14ac:dyDescent="0.4">
      <c r="A114" s="5331"/>
      <c r="B114" s="5332"/>
      <c r="C114" s="5332"/>
      <c r="D114" s="5332"/>
      <c r="E114" s="5332"/>
      <c r="F114" s="5332"/>
      <c r="G114" s="5332"/>
      <c r="H114" s="5332"/>
      <c r="I114" s="5332"/>
      <c r="J114" s="5332"/>
      <c r="K114" s="5333"/>
      <c r="L114" s="64"/>
      <c r="M114" s="5334"/>
      <c r="N114" s="3757"/>
      <c r="O114" s="3758"/>
      <c r="P114" s="64"/>
      <c r="Q114" s="64"/>
    </row>
    <row r="115" spans="1:17" ht="15" thickTop="1" x14ac:dyDescent="0.35">
      <c r="A115" s="64"/>
      <c r="B115" s="64"/>
      <c r="C115" s="64"/>
      <c r="D115" s="64"/>
      <c r="E115" s="64"/>
      <c r="F115" s="64"/>
      <c r="G115" s="64"/>
      <c r="H115" s="64"/>
      <c r="I115" s="64"/>
      <c r="J115" s="64"/>
      <c r="K115" s="64"/>
      <c r="L115" s="64"/>
      <c r="M115" s="64"/>
      <c r="N115" s="64"/>
      <c r="O115" s="64"/>
      <c r="P115" s="64"/>
      <c r="Q115" s="64"/>
    </row>
    <row r="116" spans="1:17" x14ac:dyDescent="0.35">
      <c r="A116" s="64"/>
      <c r="B116" s="64"/>
      <c r="C116" s="64"/>
      <c r="D116" s="64"/>
      <c r="E116" s="64"/>
      <c r="F116" s="64"/>
      <c r="G116" s="64"/>
      <c r="H116" s="64"/>
      <c r="I116" s="64"/>
      <c r="J116" s="64"/>
      <c r="K116" s="64"/>
      <c r="L116" s="64"/>
      <c r="M116" s="64"/>
      <c r="N116" s="64"/>
      <c r="O116" s="64"/>
      <c r="P116" s="64"/>
      <c r="Q116" s="64"/>
    </row>
    <row r="117" spans="1:17" x14ac:dyDescent="0.35">
      <c r="A117" s="64"/>
      <c r="B117" s="64"/>
      <c r="C117" s="64"/>
      <c r="D117" s="64"/>
      <c r="E117" s="64"/>
      <c r="F117" s="64"/>
      <c r="G117" s="64"/>
      <c r="H117" s="64"/>
      <c r="I117" s="64"/>
      <c r="J117" s="64"/>
      <c r="K117" s="64"/>
      <c r="L117" s="64"/>
      <c r="M117" s="64"/>
      <c r="N117" s="64"/>
      <c r="O117" s="64"/>
      <c r="P117" s="64"/>
      <c r="Q117" s="64"/>
    </row>
    <row r="118" spans="1:17" x14ac:dyDescent="0.35">
      <c r="A118" s="64"/>
      <c r="B118" s="64"/>
      <c r="C118" s="64"/>
      <c r="D118" s="64"/>
      <c r="E118" s="64"/>
      <c r="F118" s="64"/>
      <c r="G118" s="64"/>
      <c r="H118" s="64"/>
      <c r="I118" s="64"/>
      <c r="J118" s="64"/>
      <c r="K118" s="64"/>
      <c r="L118" s="64"/>
      <c r="M118" s="64"/>
      <c r="N118" s="64"/>
      <c r="O118" s="64"/>
      <c r="P118" s="64"/>
      <c r="Q118" s="64"/>
    </row>
    <row r="119" spans="1:17" x14ac:dyDescent="0.35">
      <c r="A119" s="64"/>
      <c r="B119" s="64"/>
      <c r="C119" s="64"/>
      <c r="D119" s="64"/>
      <c r="E119" s="64"/>
      <c r="F119" s="64"/>
      <c r="G119" s="64"/>
      <c r="H119" s="64"/>
      <c r="I119" s="64"/>
      <c r="J119" s="64"/>
      <c r="K119" s="64"/>
      <c r="L119" s="64"/>
      <c r="M119" s="64"/>
      <c r="N119" s="64"/>
      <c r="O119" s="64"/>
      <c r="P119" s="64"/>
      <c r="Q119" s="64"/>
    </row>
    <row r="120" spans="1:17" x14ac:dyDescent="0.35">
      <c r="A120" s="64"/>
      <c r="B120" s="64"/>
      <c r="C120" s="64"/>
      <c r="D120" s="64"/>
      <c r="E120" s="64"/>
      <c r="F120" s="64"/>
      <c r="G120" s="64"/>
      <c r="H120" s="64"/>
      <c r="I120" s="64"/>
      <c r="J120" s="64"/>
      <c r="K120" s="64"/>
      <c r="L120" s="64"/>
      <c r="M120" s="64"/>
      <c r="N120" s="64"/>
      <c r="O120" s="64"/>
      <c r="P120" s="64"/>
      <c r="Q120" s="64"/>
    </row>
    <row r="121" spans="1:17" x14ac:dyDescent="0.35">
      <c r="A121" s="64"/>
      <c r="B121" s="64"/>
      <c r="C121" s="64"/>
      <c r="D121" s="64"/>
      <c r="E121" s="64"/>
      <c r="F121" s="64"/>
      <c r="G121" s="64"/>
      <c r="H121" s="64"/>
      <c r="I121" s="64"/>
      <c r="J121" s="64"/>
      <c r="K121" s="64"/>
      <c r="L121" s="64"/>
      <c r="M121" s="64"/>
      <c r="N121" s="64"/>
      <c r="O121" s="64"/>
      <c r="P121" s="64"/>
      <c r="Q121" s="64"/>
    </row>
    <row r="122" spans="1:17" x14ac:dyDescent="0.35">
      <c r="A122" s="64"/>
      <c r="B122" s="64"/>
      <c r="C122" s="64"/>
      <c r="D122" s="64"/>
      <c r="E122" s="64"/>
      <c r="F122" s="64"/>
      <c r="G122" s="64"/>
      <c r="H122" s="64"/>
      <c r="I122" s="64"/>
      <c r="J122" s="64"/>
      <c r="K122" s="64"/>
      <c r="L122" s="64"/>
      <c r="M122" s="64"/>
      <c r="N122" s="64"/>
      <c r="O122" s="64"/>
      <c r="P122" s="64"/>
      <c r="Q122" s="64"/>
    </row>
    <row r="123" spans="1:17" x14ac:dyDescent="0.35">
      <c r="A123" s="64"/>
      <c r="B123" s="64"/>
      <c r="C123" s="64"/>
      <c r="D123" s="64"/>
      <c r="E123" s="64"/>
      <c r="F123" s="64"/>
      <c r="G123" s="64"/>
      <c r="H123" s="64"/>
      <c r="I123" s="64"/>
      <c r="J123" s="64"/>
      <c r="K123" s="64"/>
      <c r="L123" s="64"/>
      <c r="M123" s="64"/>
      <c r="N123" s="64"/>
      <c r="O123" s="64"/>
      <c r="P123" s="64"/>
      <c r="Q123" s="64"/>
    </row>
    <row r="124" spans="1:17" x14ac:dyDescent="0.35">
      <c r="A124" s="64"/>
      <c r="B124" s="64"/>
      <c r="C124" s="64"/>
      <c r="D124" s="64"/>
      <c r="E124" s="64"/>
      <c r="F124" s="64"/>
      <c r="G124" s="64"/>
      <c r="H124" s="64"/>
      <c r="I124" s="64"/>
      <c r="J124" s="64"/>
      <c r="K124" s="64"/>
      <c r="L124" s="64"/>
      <c r="M124" s="64"/>
      <c r="N124" s="64"/>
      <c r="O124" s="64"/>
      <c r="P124" s="64"/>
      <c r="Q124" s="64"/>
    </row>
    <row r="125" spans="1:17" x14ac:dyDescent="0.35">
      <c r="A125" s="64"/>
      <c r="B125" s="64"/>
      <c r="C125" s="64"/>
      <c r="D125" s="64"/>
      <c r="E125" s="64"/>
      <c r="F125" s="64"/>
      <c r="G125" s="64"/>
      <c r="H125" s="64"/>
      <c r="I125" s="64"/>
      <c r="J125" s="64"/>
      <c r="K125" s="64"/>
      <c r="L125" s="64"/>
      <c r="M125" s="64"/>
      <c r="N125" s="64"/>
      <c r="O125" s="64"/>
      <c r="P125" s="64"/>
      <c r="Q125" s="64"/>
    </row>
    <row r="126" spans="1:17" x14ac:dyDescent="0.35">
      <c r="A126" s="64"/>
      <c r="B126" s="64"/>
      <c r="C126" s="64"/>
      <c r="D126" s="64"/>
      <c r="E126" s="64"/>
      <c r="F126" s="64"/>
      <c r="G126" s="64"/>
      <c r="H126" s="64"/>
      <c r="I126" s="64"/>
      <c r="J126" s="64"/>
      <c r="K126" s="64"/>
      <c r="L126" s="64"/>
      <c r="M126" s="64"/>
      <c r="N126" s="64"/>
      <c r="O126" s="64"/>
      <c r="P126" s="64"/>
      <c r="Q126" s="64"/>
    </row>
    <row r="127" spans="1:17" x14ac:dyDescent="0.35">
      <c r="A127" s="64"/>
      <c r="B127" s="64"/>
      <c r="C127" s="64"/>
      <c r="D127" s="64"/>
      <c r="E127" s="64"/>
      <c r="F127" s="64"/>
      <c r="G127" s="64"/>
      <c r="H127" s="64"/>
      <c r="I127" s="64"/>
      <c r="J127" s="64"/>
      <c r="K127" s="64"/>
      <c r="L127" s="64"/>
      <c r="M127" s="64"/>
      <c r="N127" s="64"/>
      <c r="O127" s="64"/>
      <c r="P127" s="64"/>
      <c r="Q127" s="64"/>
    </row>
    <row r="128" spans="1:17" x14ac:dyDescent="0.35">
      <c r="A128" s="64"/>
      <c r="B128" s="64"/>
      <c r="C128" s="64"/>
      <c r="D128" s="64"/>
      <c r="E128" s="64"/>
      <c r="F128" s="64"/>
      <c r="G128" s="64"/>
      <c r="H128" s="64"/>
      <c r="I128" s="64"/>
      <c r="J128" s="64"/>
      <c r="K128" s="64"/>
      <c r="L128" s="64"/>
      <c r="M128" s="64"/>
      <c r="N128" s="64"/>
      <c r="O128" s="64"/>
      <c r="P128" s="64"/>
      <c r="Q128" s="64"/>
    </row>
    <row r="129" spans="1:17" x14ac:dyDescent="0.35">
      <c r="A129" s="64"/>
      <c r="B129" s="64"/>
      <c r="C129" s="64"/>
      <c r="D129" s="64"/>
      <c r="E129" s="64"/>
      <c r="F129" s="64"/>
      <c r="G129" s="64"/>
      <c r="H129" s="64"/>
      <c r="I129" s="64"/>
      <c r="J129" s="64"/>
      <c r="K129" s="64"/>
      <c r="L129" s="64"/>
      <c r="M129" s="64"/>
      <c r="N129" s="64"/>
      <c r="O129" s="64"/>
      <c r="P129" s="64"/>
      <c r="Q129" s="64"/>
    </row>
    <row r="130" spans="1:17" x14ac:dyDescent="0.35">
      <c r="A130" s="64"/>
      <c r="B130" s="64"/>
      <c r="C130" s="64"/>
      <c r="D130" s="64"/>
      <c r="E130" s="64"/>
      <c r="F130" s="64"/>
      <c r="G130" s="64"/>
      <c r="H130" s="64"/>
      <c r="I130" s="64"/>
      <c r="J130" s="64"/>
      <c r="K130" s="64"/>
      <c r="L130" s="64"/>
      <c r="M130" s="64"/>
      <c r="N130" s="64"/>
      <c r="O130" s="64"/>
      <c r="P130" s="64"/>
      <c r="Q130" s="64"/>
    </row>
    <row r="131" spans="1:17" x14ac:dyDescent="0.35">
      <c r="A131" s="64"/>
      <c r="B131" s="64"/>
      <c r="C131" s="64"/>
      <c r="D131" s="64"/>
      <c r="E131" s="64"/>
      <c r="F131" s="64"/>
      <c r="G131" s="64"/>
      <c r="H131" s="64"/>
      <c r="I131" s="64"/>
      <c r="J131" s="64"/>
      <c r="K131" s="64"/>
      <c r="L131" s="64"/>
      <c r="M131" s="64"/>
      <c r="N131" s="64"/>
      <c r="O131" s="64"/>
      <c r="P131" s="64"/>
      <c r="Q131" s="64"/>
    </row>
    <row r="132" spans="1:17" x14ac:dyDescent="0.35">
      <c r="A132" s="64"/>
      <c r="B132" s="64"/>
      <c r="C132" s="64"/>
      <c r="D132" s="64"/>
      <c r="E132" s="64"/>
      <c r="F132" s="64"/>
      <c r="G132" s="64"/>
      <c r="H132" s="64"/>
      <c r="I132" s="64"/>
      <c r="J132" s="64"/>
      <c r="K132" s="64"/>
      <c r="L132" s="64"/>
      <c r="M132" s="64"/>
      <c r="N132" s="64"/>
      <c r="O132" s="64"/>
      <c r="P132" s="64"/>
      <c r="Q132" s="64"/>
    </row>
    <row r="133" spans="1:17" x14ac:dyDescent="0.35">
      <c r="A133" s="64"/>
      <c r="B133" s="64"/>
      <c r="C133" s="64"/>
      <c r="D133" s="64"/>
      <c r="E133" s="64"/>
      <c r="F133" s="64"/>
      <c r="G133" s="64"/>
      <c r="H133" s="64"/>
      <c r="I133" s="64"/>
      <c r="J133" s="64"/>
      <c r="K133" s="64"/>
      <c r="L133" s="64"/>
      <c r="M133" s="64"/>
      <c r="N133" s="64"/>
      <c r="O133" s="64"/>
      <c r="P133" s="64"/>
      <c r="Q133" s="64"/>
    </row>
    <row r="134" spans="1:17" x14ac:dyDescent="0.35">
      <c r="A134" s="64"/>
      <c r="B134" s="64"/>
      <c r="C134" s="64"/>
      <c r="D134" s="64"/>
      <c r="E134" s="64"/>
      <c r="F134" s="64"/>
      <c r="G134" s="64"/>
      <c r="H134" s="64"/>
      <c r="I134" s="64"/>
      <c r="J134" s="64"/>
      <c r="K134" s="64"/>
      <c r="L134" s="64"/>
      <c r="M134" s="64"/>
      <c r="N134" s="64"/>
      <c r="O134" s="64"/>
      <c r="P134" s="64"/>
      <c r="Q134" s="64"/>
    </row>
    <row r="135" spans="1:17" x14ac:dyDescent="0.35">
      <c r="A135" s="64"/>
      <c r="B135" s="64"/>
      <c r="C135" s="64"/>
      <c r="D135" s="64"/>
      <c r="E135" s="64"/>
      <c r="F135" s="64"/>
      <c r="G135" s="64"/>
      <c r="H135" s="64"/>
      <c r="I135" s="64"/>
      <c r="J135" s="64"/>
      <c r="K135" s="64"/>
      <c r="L135" s="64"/>
      <c r="M135" s="64"/>
      <c r="N135" s="64"/>
      <c r="O135" s="64"/>
      <c r="P135" s="64"/>
      <c r="Q135" s="64"/>
    </row>
    <row r="136" spans="1:17" x14ac:dyDescent="0.35">
      <c r="A136" s="64"/>
      <c r="B136" s="64"/>
      <c r="C136" s="64"/>
      <c r="D136" s="64"/>
      <c r="E136" s="64"/>
      <c r="F136" s="64"/>
      <c r="G136" s="64"/>
      <c r="H136" s="64"/>
      <c r="I136" s="64"/>
      <c r="J136" s="64"/>
      <c r="K136" s="64"/>
      <c r="L136" s="64"/>
      <c r="M136" s="64"/>
      <c r="N136" s="64"/>
      <c r="O136" s="64"/>
      <c r="P136" s="64"/>
      <c r="Q136" s="64"/>
    </row>
    <row r="137" spans="1:17" x14ac:dyDescent="0.35">
      <c r="A137" s="64"/>
      <c r="B137" s="64"/>
      <c r="C137" s="64"/>
      <c r="D137" s="64"/>
      <c r="E137" s="64"/>
      <c r="F137" s="64"/>
      <c r="G137" s="64"/>
      <c r="H137" s="64"/>
      <c r="I137" s="64"/>
      <c r="J137" s="64"/>
      <c r="K137" s="64"/>
      <c r="L137" s="64"/>
      <c r="M137" s="64"/>
      <c r="N137" s="64"/>
      <c r="O137" s="64"/>
      <c r="P137" s="64"/>
      <c r="Q137" s="64"/>
    </row>
    <row r="138" spans="1:17" x14ac:dyDescent="0.35">
      <c r="A138" s="64"/>
      <c r="B138" s="64"/>
      <c r="C138" s="64"/>
      <c r="D138" s="64"/>
      <c r="E138" s="64"/>
      <c r="F138" s="64"/>
      <c r="G138" s="64"/>
      <c r="H138" s="64"/>
      <c r="I138" s="64"/>
      <c r="J138" s="64"/>
      <c r="K138" s="64"/>
      <c r="L138" s="64"/>
      <c r="M138" s="64"/>
      <c r="N138" s="64"/>
      <c r="O138" s="64"/>
      <c r="P138" s="64"/>
      <c r="Q138" s="64"/>
    </row>
  </sheetData>
  <mergeCells count="407">
    <mergeCell ref="D1:G1"/>
    <mergeCell ref="I1:J1"/>
    <mergeCell ref="L1:M1"/>
    <mergeCell ref="D2:G2"/>
    <mergeCell ref="I2:J2"/>
    <mergeCell ref="L2:M2"/>
    <mergeCell ref="B7:F7"/>
    <mergeCell ref="G7:H7"/>
    <mergeCell ref="I7:J7"/>
    <mergeCell ref="K7:L7"/>
    <mergeCell ref="M7:P7"/>
    <mergeCell ref="D3:G3"/>
    <mergeCell ref="B8:P8"/>
    <mergeCell ref="A4:G4"/>
    <mergeCell ref="H4:P4"/>
    <mergeCell ref="A5:B5"/>
    <mergeCell ref="C5:P5"/>
    <mergeCell ref="A6:B6"/>
    <mergeCell ref="C6:P6"/>
    <mergeCell ref="M10:P10"/>
    <mergeCell ref="B11:F11"/>
    <mergeCell ref="G11:H11"/>
    <mergeCell ref="I11:J11"/>
    <mergeCell ref="K11:L11"/>
    <mergeCell ref="M11:P11"/>
    <mergeCell ref="B9:F9"/>
    <mergeCell ref="G9:H9"/>
    <mergeCell ref="B10:F10"/>
    <mergeCell ref="G10:H10"/>
    <mergeCell ref="I10:J10"/>
    <mergeCell ref="K10:L10"/>
    <mergeCell ref="M13:P13"/>
    <mergeCell ref="B15:F15"/>
    <mergeCell ref="G15:H15"/>
    <mergeCell ref="I15:J15"/>
    <mergeCell ref="K15:L15"/>
    <mergeCell ref="M15:P15"/>
    <mergeCell ref="I12:J12"/>
    <mergeCell ref="K12:L12"/>
    <mergeCell ref="B13:F13"/>
    <mergeCell ref="G13:H13"/>
    <mergeCell ref="I13:J13"/>
    <mergeCell ref="K13:L13"/>
    <mergeCell ref="B16:F16"/>
    <mergeCell ref="G16:H16"/>
    <mergeCell ref="I16:J16"/>
    <mergeCell ref="K16:L16"/>
    <mergeCell ref="M16:P16"/>
    <mergeCell ref="B17:F17"/>
    <mergeCell ref="G17:H17"/>
    <mergeCell ref="I17:J17"/>
    <mergeCell ref="K17:L17"/>
    <mergeCell ref="M17:P17"/>
    <mergeCell ref="B18:F18"/>
    <mergeCell ref="G18:H18"/>
    <mergeCell ref="I18:J18"/>
    <mergeCell ref="K18:L18"/>
    <mergeCell ref="M18:P18"/>
    <mergeCell ref="B19:F19"/>
    <mergeCell ref="G19:H19"/>
    <mergeCell ref="I19:J19"/>
    <mergeCell ref="K19:L19"/>
    <mergeCell ref="M19:P19"/>
    <mergeCell ref="B20:F20"/>
    <mergeCell ref="G20:H20"/>
    <mergeCell ref="I20:J20"/>
    <mergeCell ref="K20:L20"/>
    <mergeCell ref="M20:P20"/>
    <mergeCell ref="B21:F21"/>
    <mergeCell ref="G21:H21"/>
    <mergeCell ref="I21:J21"/>
    <mergeCell ref="K21:L21"/>
    <mergeCell ref="M21:P21"/>
    <mergeCell ref="B22:F22"/>
    <mergeCell ref="G22:H22"/>
    <mergeCell ref="I22:J22"/>
    <mergeCell ref="K22:L22"/>
    <mergeCell ref="M22:P22"/>
    <mergeCell ref="B23:F23"/>
    <mergeCell ref="G23:H23"/>
    <mergeCell ref="I23:J23"/>
    <mergeCell ref="K23:L23"/>
    <mergeCell ref="M23:P23"/>
    <mergeCell ref="B26:F26"/>
    <mergeCell ref="G26:H26"/>
    <mergeCell ref="I26:J26"/>
    <mergeCell ref="K26:L26"/>
    <mergeCell ref="M26:P26"/>
    <mergeCell ref="B27:P27"/>
    <mergeCell ref="B24:F24"/>
    <mergeCell ref="G24:H24"/>
    <mergeCell ref="I24:J24"/>
    <mergeCell ref="K24:L24"/>
    <mergeCell ref="M24:P24"/>
    <mergeCell ref="B25:F25"/>
    <mergeCell ref="G25:H25"/>
    <mergeCell ref="I25:J25"/>
    <mergeCell ref="K25:L25"/>
    <mergeCell ref="M25:P25"/>
    <mergeCell ref="M29:P29"/>
    <mergeCell ref="B30:F30"/>
    <mergeCell ref="G30:H30"/>
    <mergeCell ref="I30:J30"/>
    <mergeCell ref="K30:L30"/>
    <mergeCell ref="M30:P30"/>
    <mergeCell ref="B28:F28"/>
    <mergeCell ref="G28:H28"/>
    <mergeCell ref="I28:J28"/>
    <mergeCell ref="K28:L28"/>
    <mergeCell ref="B29:F29"/>
    <mergeCell ref="G29:H29"/>
    <mergeCell ref="I29:J29"/>
    <mergeCell ref="K29:L29"/>
    <mergeCell ref="B31:F31"/>
    <mergeCell ref="G31:H31"/>
    <mergeCell ref="I31:J31"/>
    <mergeCell ref="K31:L31"/>
    <mergeCell ref="M31:P31"/>
    <mergeCell ref="B32:F32"/>
    <mergeCell ref="G32:H32"/>
    <mergeCell ref="I32:J32"/>
    <mergeCell ref="K32:L32"/>
    <mergeCell ref="M32:P32"/>
    <mergeCell ref="B33:F33"/>
    <mergeCell ref="G33:H33"/>
    <mergeCell ref="I33:J33"/>
    <mergeCell ref="K33:L33"/>
    <mergeCell ref="M33:P33"/>
    <mergeCell ref="B34:F34"/>
    <mergeCell ref="G34:H34"/>
    <mergeCell ref="I34:J34"/>
    <mergeCell ref="K34:L34"/>
    <mergeCell ref="M34:P34"/>
    <mergeCell ref="B35:F35"/>
    <mergeCell ref="G35:H35"/>
    <mergeCell ref="I35:J35"/>
    <mergeCell ref="K35:L35"/>
    <mergeCell ref="M35:P35"/>
    <mergeCell ref="B36:F36"/>
    <mergeCell ref="G36:H36"/>
    <mergeCell ref="I36:J36"/>
    <mergeCell ref="K36:L36"/>
    <mergeCell ref="M36:P36"/>
    <mergeCell ref="B37:F37"/>
    <mergeCell ref="G37:H37"/>
    <mergeCell ref="I37:J37"/>
    <mergeCell ref="K37:L37"/>
    <mergeCell ref="M37:P37"/>
    <mergeCell ref="B38:F38"/>
    <mergeCell ref="G38:H38"/>
    <mergeCell ref="I38:J38"/>
    <mergeCell ref="K38:L38"/>
    <mergeCell ref="M38:P38"/>
    <mergeCell ref="B39:F39"/>
    <mergeCell ref="G39:H39"/>
    <mergeCell ref="I39:J39"/>
    <mergeCell ref="K39:L39"/>
    <mergeCell ref="M39:P39"/>
    <mergeCell ref="B40:F40"/>
    <mergeCell ref="G40:H40"/>
    <mergeCell ref="I40:J40"/>
    <mergeCell ref="K40:L40"/>
    <mergeCell ref="M40:P40"/>
    <mergeCell ref="B41:F41"/>
    <mergeCell ref="G41:H41"/>
    <mergeCell ref="I41:J41"/>
    <mergeCell ref="K41:L41"/>
    <mergeCell ref="M41:P41"/>
    <mergeCell ref="B42:F42"/>
    <mergeCell ref="G42:H42"/>
    <mergeCell ref="I42:J42"/>
    <mergeCell ref="K42:L42"/>
    <mergeCell ref="M42:P42"/>
    <mergeCell ref="B43:F43"/>
    <mergeCell ref="G43:H43"/>
    <mergeCell ref="I43:J43"/>
    <mergeCell ref="K43:L43"/>
    <mergeCell ref="M43:P43"/>
    <mergeCell ref="B44:F44"/>
    <mergeCell ref="G44:H44"/>
    <mergeCell ref="I44:J44"/>
    <mergeCell ref="K44:L44"/>
    <mergeCell ref="M44:P44"/>
    <mergeCell ref="G48:H48"/>
    <mergeCell ref="K48:L48"/>
    <mergeCell ref="M48:P48"/>
    <mergeCell ref="G50:H50"/>
    <mergeCell ref="I50:J50"/>
    <mergeCell ref="K50:L50"/>
    <mergeCell ref="B45:P45"/>
    <mergeCell ref="G46:H46"/>
    <mergeCell ref="I46:J46"/>
    <mergeCell ref="K46:L46"/>
    <mergeCell ref="M46:P46"/>
    <mergeCell ref="B47:F47"/>
    <mergeCell ref="G47:H47"/>
    <mergeCell ref="I47:J47"/>
    <mergeCell ref="K47:L47"/>
    <mergeCell ref="M47:P47"/>
    <mergeCell ref="B51:F51"/>
    <mergeCell ref="G51:H51"/>
    <mergeCell ref="K51:L51"/>
    <mergeCell ref="M51:P51"/>
    <mergeCell ref="B52:F52"/>
    <mergeCell ref="G52:H52"/>
    <mergeCell ref="I52:J52"/>
    <mergeCell ref="K52:L52"/>
    <mergeCell ref="M52:P52"/>
    <mergeCell ref="B53:F53"/>
    <mergeCell ref="G53:H53"/>
    <mergeCell ref="I53:J53"/>
    <mergeCell ref="K53:L53"/>
    <mergeCell ref="M53:P53"/>
    <mergeCell ref="B54:F54"/>
    <mergeCell ref="G54:H54"/>
    <mergeCell ref="I54:J54"/>
    <mergeCell ref="K54:L54"/>
    <mergeCell ref="M54:P54"/>
    <mergeCell ref="B57:F57"/>
    <mergeCell ref="G57:H57"/>
    <mergeCell ref="I57:J57"/>
    <mergeCell ref="K57:L57"/>
    <mergeCell ref="M57:P57"/>
    <mergeCell ref="G58:H58"/>
    <mergeCell ref="K58:L58"/>
    <mergeCell ref="M58:P58"/>
    <mergeCell ref="B55:F55"/>
    <mergeCell ref="G55:H55"/>
    <mergeCell ref="I55:J55"/>
    <mergeCell ref="K55:L55"/>
    <mergeCell ref="M55:P55"/>
    <mergeCell ref="B56:P56"/>
    <mergeCell ref="B61:F61"/>
    <mergeCell ref="G61:H61"/>
    <mergeCell ref="I61:J61"/>
    <mergeCell ref="K61:L61"/>
    <mergeCell ref="M61:P61"/>
    <mergeCell ref="B62:F62"/>
    <mergeCell ref="G62:H62"/>
    <mergeCell ref="I62:J62"/>
    <mergeCell ref="K62:L62"/>
    <mergeCell ref="M62:P62"/>
    <mergeCell ref="B63:F63"/>
    <mergeCell ref="G63:H63"/>
    <mergeCell ref="I63:J63"/>
    <mergeCell ref="K63:L63"/>
    <mergeCell ref="M63:P63"/>
    <mergeCell ref="B64:F64"/>
    <mergeCell ref="G64:H64"/>
    <mergeCell ref="I64:J64"/>
    <mergeCell ref="K64:L64"/>
    <mergeCell ref="M64:P64"/>
    <mergeCell ref="B65:F65"/>
    <mergeCell ref="G65:H65"/>
    <mergeCell ref="I65:J65"/>
    <mergeCell ref="K65:L65"/>
    <mergeCell ref="M65:P65"/>
    <mergeCell ref="B66:F66"/>
    <mergeCell ref="G66:H66"/>
    <mergeCell ref="I66:J66"/>
    <mergeCell ref="K66:L66"/>
    <mergeCell ref="M66:P66"/>
    <mergeCell ref="B67:F67"/>
    <mergeCell ref="G67:H67"/>
    <mergeCell ref="I67:J67"/>
    <mergeCell ref="K67:L67"/>
    <mergeCell ref="M67:P67"/>
    <mergeCell ref="B68:F68"/>
    <mergeCell ref="G68:H68"/>
    <mergeCell ref="I68:J68"/>
    <mergeCell ref="K68:L68"/>
    <mergeCell ref="M68:P68"/>
    <mergeCell ref="B69:F69"/>
    <mergeCell ref="G69:H69"/>
    <mergeCell ref="I69:J69"/>
    <mergeCell ref="K69:L69"/>
    <mergeCell ref="M69:P69"/>
    <mergeCell ref="B70:F70"/>
    <mergeCell ref="G70:H70"/>
    <mergeCell ref="I70:J70"/>
    <mergeCell ref="K70:L70"/>
    <mergeCell ref="M70:P70"/>
    <mergeCell ref="B71:F71"/>
    <mergeCell ref="G71:H71"/>
    <mergeCell ref="I71:J71"/>
    <mergeCell ref="K71:L71"/>
    <mergeCell ref="M71:P71"/>
    <mergeCell ref="B72:F72"/>
    <mergeCell ref="G72:H72"/>
    <mergeCell ref="I72:J72"/>
    <mergeCell ref="K72:L72"/>
    <mergeCell ref="M72:P72"/>
    <mergeCell ref="B73:F73"/>
    <mergeCell ref="G73:H73"/>
    <mergeCell ref="I73:J73"/>
    <mergeCell ref="K73:L73"/>
    <mergeCell ref="M73:P73"/>
    <mergeCell ref="B74:F74"/>
    <mergeCell ref="G74:H74"/>
    <mergeCell ref="I74:J74"/>
    <mergeCell ref="K74:L74"/>
    <mergeCell ref="M74:P74"/>
    <mergeCell ref="B75:F75"/>
    <mergeCell ref="G75:H75"/>
    <mergeCell ref="I75:J75"/>
    <mergeCell ref="K75:L75"/>
    <mergeCell ref="M75:P75"/>
    <mergeCell ref="B76:F76"/>
    <mergeCell ref="G76:H76"/>
    <mergeCell ref="I76:J76"/>
    <mergeCell ref="K76:L76"/>
    <mergeCell ref="M76:P76"/>
    <mergeCell ref="B77:F77"/>
    <mergeCell ref="G77:H77"/>
    <mergeCell ref="I77:J77"/>
    <mergeCell ref="K77:L77"/>
    <mergeCell ref="M77:P77"/>
    <mergeCell ref="B78:F78"/>
    <mergeCell ref="G78:H78"/>
    <mergeCell ref="I78:J78"/>
    <mergeCell ref="K78:L78"/>
    <mergeCell ref="M78:P78"/>
    <mergeCell ref="B82:P82"/>
    <mergeCell ref="B83:P83"/>
    <mergeCell ref="B84:F84"/>
    <mergeCell ref="G84:H84"/>
    <mergeCell ref="I84:J84"/>
    <mergeCell ref="K84:L84"/>
    <mergeCell ref="M84:P84"/>
    <mergeCell ref="M79:P79"/>
    <mergeCell ref="M80:P80"/>
    <mergeCell ref="B81:F81"/>
    <mergeCell ref="G81:H81"/>
    <mergeCell ref="I81:J81"/>
    <mergeCell ref="K81:L81"/>
    <mergeCell ref="M81:P81"/>
    <mergeCell ref="B85:F85"/>
    <mergeCell ref="G85:H85"/>
    <mergeCell ref="I85:J85"/>
    <mergeCell ref="K85:L85"/>
    <mergeCell ref="M85:P85"/>
    <mergeCell ref="B86:F86"/>
    <mergeCell ref="G86:H86"/>
    <mergeCell ref="I86:J86"/>
    <mergeCell ref="K86:L86"/>
    <mergeCell ref="M86:P86"/>
    <mergeCell ref="B87:F87"/>
    <mergeCell ref="G87:H87"/>
    <mergeCell ref="I87:J87"/>
    <mergeCell ref="K87:L87"/>
    <mergeCell ref="M87:P87"/>
    <mergeCell ref="B88:F88"/>
    <mergeCell ref="G88:H88"/>
    <mergeCell ref="I88:J88"/>
    <mergeCell ref="K88:L88"/>
    <mergeCell ref="M88:P88"/>
    <mergeCell ref="B91:P91"/>
    <mergeCell ref="B92:F92"/>
    <mergeCell ref="G92:H92"/>
    <mergeCell ref="I92:J92"/>
    <mergeCell ref="K92:L92"/>
    <mergeCell ref="M92:P92"/>
    <mergeCell ref="B89:F89"/>
    <mergeCell ref="G89:H89"/>
    <mergeCell ref="I89:J89"/>
    <mergeCell ref="K89:L89"/>
    <mergeCell ref="M89:P89"/>
    <mergeCell ref="B90:P90"/>
    <mergeCell ref="B93:F93"/>
    <mergeCell ref="G93:H93"/>
    <mergeCell ref="I93:J93"/>
    <mergeCell ref="K93:L93"/>
    <mergeCell ref="M93:P93"/>
    <mergeCell ref="B94:F94"/>
    <mergeCell ref="G94:H94"/>
    <mergeCell ref="I94:J94"/>
    <mergeCell ref="K94:L94"/>
    <mergeCell ref="M94:P94"/>
    <mergeCell ref="B95:F95"/>
    <mergeCell ref="G95:H95"/>
    <mergeCell ref="I95:J95"/>
    <mergeCell ref="K95:L95"/>
    <mergeCell ref="M95:P95"/>
    <mergeCell ref="B96:F96"/>
    <mergeCell ref="G96:H96"/>
    <mergeCell ref="I96:J96"/>
    <mergeCell ref="K96:L96"/>
    <mergeCell ref="M96:P96"/>
    <mergeCell ref="B97:F97"/>
    <mergeCell ref="G97:H97"/>
    <mergeCell ref="I97:J97"/>
    <mergeCell ref="K97:L97"/>
    <mergeCell ref="M97:P97"/>
    <mergeCell ref="B98:F98"/>
    <mergeCell ref="G98:H98"/>
    <mergeCell ref="I98:J98"/>
    <mergeCell ref="K98:L98"/>
    <mergeCell ref="M98:P98"/>
    <mergeCell ref="A110:K114"/>
    <mergeCell ref="M110:O114"/>
    <mergeCell ref="B99:P99"/>
    <mergeCell ref="A102:K102"/>
    <mergeCell ref="M102:O102"/>
    <mergeCell ref="A103:K107"/>
    <mergeCell ref="M103:O107"/>
    <mergeCell ref="A109:K109"/>
    <mergeCell ref="M109:O109"/>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500-000000000000}">
      <formula1>AvancementTheme</formula1>
    </dataValidation>
  </dataValidations>
  <hyperlinks>
    <hyperlink ref="O1" location="DPDV_03BI3" display="PdV" xr:uid="{00000000-0004-0000-4500-000000000000}"/>
    <hyperlink ref="P1" location="DKPI_03BI3" display="KPI's" xr:uid="{00000000-0004-0000-4500-000001000000}"/>
  </hyperlinks>
  <pageMargins left="0.70866141732283472" right="0.70866141732283472" top="0.74803149606299213" bottom="0.74803149606299213" header="0.31496062992125984" footer="0.31496062992125984"/>
  <pageSetup paperSize="9" scale="30"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73">
    <tabColor theme="2" tint="-0.499984740745262"/>
    <pageSetUpPr fitToPage="1"/>
  </sheetPr>
  <dimension ref="A1:V187"/>
  <sheetViews>
    <sheetView showGridLines="0" showRowColHeaders="0" zoomScale="110" zoomScaleNormal="110" workbookViewId="0">
      <pane ySplit="3" topLeftCell="A4" activePane="bottomLeft" state="frozen"/>
      <selection activeCell="H7" sqref="H7"/>
      <selection pane="bottomLeft" activeCell="H7" sqref="H7"/>
    </sheetView>
  </sheetViews>
  <sheetFormatPr baseColWidth="10" defaultColWidth="11.453125" defaultRowHeight="14.5" x14ac:dyDescent="0.35"/>
  <cols>
    <col min="1" max="1" width="8.26953125" style="60" customWidth="1"/>
    <col min="2" max="3" width="11.453125" style="60"/>
    <col min="4" max="16" width="10.7265625" style="60" customWidth="1"/>
    <col min="17" max="16384" width="11.453125" style="60"/>
  </cols>
  <sheetData>
    <row r="1" spans="1:22" s="54" customFormat="1" ht="15" customHeight="1" x14ac:dyDescent="0.35">
      <c r="A1" s="1570"/>
      <c r="B1" s="1570"/>
      <c r="C1" s="1570"/>
      <c r="D1" s="3341" t="s">
        <v>5</v>
      </c>
      <c r="E1" s="3341"/>
      <c r="F1" s="3341"/>
      <c r="G1" s="3341"/>
      <c r="H1" s="391"/>
      <c r="I1" s="3341" t="s">
        <v>6</v>
      </c>
      <c r="J1" s="3341"/>
      <c r="K1" s="1570"/>
      <c r="L1" s="3341" t="s">
        <v>9</v>
      </c>
      <c r="M1" s="3341"/>
      <c r="N1" s="1570"/>
      <c r="O1" s="479" t="s">
        <v>2</v>
      </c>
      <c r="P1" s="479" t="s">
        <v>3</v>
      </c>
      <c r="Q1" s="458"/>
    </row>
    <row r="2" spans="1:22" s="58" customFormat="1" ht="18" customHeight="1" x14ac:dyDescent="0.35">
      <c r="A2" s="393"/>
      <c r="B2" s="393"/>
      <c r="C2" s="393"/>
      <c r="D2" s="3342" t="str">
        <f>NomClient</f>
        <v xml:space="preserve">EQUINIX </v>
      </c>
      <c r="E2" s="3343"/>
      <c r="F2" s="3343"/>
      <c r="G2" s="3344"/>
      <c r="H2" s="393"/>
      <c r="I2" s="3345" t="s">
        <v>410</v>
      </c>
      <c r="J2" s="3346"/>
      <c r="K2" s="393"/>
      <c r="L2" s="3347">
        <v>42420.734166666669</v>
      </c>
      <c r="M2" s="3348"/>
      <c r="N2" s="394"/>
      <c r="O2" s="451">
        <f>IF(LEN(DPDV_09PP3)&gt;0,LEN(DPDV_09PP3),0-PDV_NBmini)</f>
        <v>167</v>
      </c>
      <c r="P2" s="451">
        <f>IF(LEN(DKPI_09PP3)&gt;0,LEN(DKPI_09PP3),0-KPI_NBmini)</f>
        <v>171</v>
      </c>
      <c r="Q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6342" t="str">
        <f>Parametre!B31  &amp; "   : "</f>
        <v xml:space="preserve">Profitabilité des partenaires   : </v>
      </c>
      <c r="B4" s="6342"/>
      <c r="C4" s="6342"/>
      <c r="D4" s="6342"/>
      <c r="E4" s="6342"/>
      <c r="F4" s="6342"/>
      <c r="G4" s="6342"/>
      <c r="H4" s="6343" t="str">
        <f xml:space="preserve"> "Mesure du Retour sur Investissement pour " &amp; NomProd3</f>
        <v xml:space="preserve">Mesure du Retour sur Investissement pour </v>
      </c>
      <c r="I4" s="6343"/>
      <c r="J4" s="6343"/>
      <c r="K4" s="6343"/>
      <c r="L4" s="6343"/>
      <c r="M4" s="6343"/>
      <c r="N4" s="6343"/>
      <c r="O4" s="6343"/>
      <c r="P4" s="6344"/>
      <c r="Q4" s="444"/>
    </row>
    <row r="5" spans="1:22" s="193" customFormat="1" ht="36.75" customHeight="1" x14ac:dyDescent="0.35">
      <c r="A5" s="3438" t="s">
        <v>14</v>
      </c>
      <c r="B5" s="3438"/>
      <c r="C5" s="3508" t="s">
        <v>498</v>
      </c>
      <c r="D5" s="3508"/>
      <c r="E5" s="3508"/>
      <c r="F5" s="3508"/>
      <c r="G5" s="3508"/>
      <c r="H5" s="3508"/>
      <c r="I5" s="3508"/>
      <c r="J5" s="3508"/>
      <c r="K5" s="3508"/>
      <c r="L5" s="3508"/>
      <c r="M5" s="3508"/>
      <c r="N5" s="3508"/>
      <c r="O5" s="3508"/>
      <c r="P5" s="3508"/>
      <c r="Q5" s="460"/>
    </row>
    <row r="6" spans="1:22" s="193" customFormat="1" ht="8.25" customHeight="1" thickBot="1" x14ac:dyDescent="0.4">
      <c r="A6" s="1571"/>
      <c r="B6" s="1571"/>
      <c r="C6" s="1573"/>
      <c r="D6" s="1573"/>
      <c r="E6" s="1573"/>
      <c r="F6" s="1573"/>
      <c r="G6" s="1573"/>
      <c r="H6" s="1573"/>
      <c r="I6" s="1573"/>
      <c r="J6" s="1573"/>
      <c r="K6" s="1573"/>
      <c r="L6" s="1573"/>
      <c r="M6" s="1573"/>
      <c r="N6" s="1573"/>
      <c r="O6" s="1573"/>
      <c r="P6" s="1573"/>
      <c r="Q6" s="460"/>
    </row>
    <row r="7" spans="1:22" s="193" customFormat="1" ht="23.25" customHeight="1" thickBot="1" x14ac:dyDescent="0.4">
      <c r="A7" s="1571"/>
      <c r="B7" s="6345" t="s">
        <v>1313</v>
      </c>
      <c r="C7" s="6345"/>
      <c r="D7" s="6345"/>
      <c r="E7" s="6345"/>
      <c r="F7" s="6345"/>
      <c r="G7" s="6345"/>
      <c r="H7" s="1573"/>
      <c r="I7" s="1573"/>
      <c r="J7" s="6346"/>
      <c r="K7" s="6346"/>
      <c r="L7" s="1573"/>
      <c r="M7" s="1573"/>
      <c r="N7" s="1573"/>
      <c r="O7" s="1573"/>
      <c r="P7" s="1573"/>
      <c r="Q7" s="460"/>
    </row>
    <row r="8" spans="1:22" s="193" customFormat="1" ht="28.5" customHeight="1" thickTop="1" x14ac:dyDescent="0.35">
      <c r="A8" s="1571"/>
      <c r="B8" s="6347"/>
      <c r="C8" s="6348"/>
      <c r="D8" s="1244" t="s">
        <v>1310</v>
      </c>
      <c r="E8" s="1244" t="s">
        <v>1311</v>
      </c>
      <c r="F8" s="1244" t="s">
        <v>1312</v>
      </c>
      <c r="G8" s="1241"/>
      <c r="H8" s="1573"/>
      <c r="I8" s="1573"/>
      <c r="J8" s="6346"/>
      <c r="K8" s="6346"/>
      <c r="L8" s="1573"/>
      <c r="M8" s="1573"/>
      <c r="N8" s="1573"/>
      <c r="O8" s="1573"/>
      <c r="P8" s="1573"/>
      <c r="Q8" s="460"/>
    </row>
    <row r="9" spans="1:22" s="193" customFormat="1" ht="16.899999999999999" customHeight="1" x14ac:dyDescent="0.35">
      <c r="A9" s="1571"/>
      <c r="B9" s="6328" t="s">
        <v>1306</v>
      </c>
      <c r="C9" s="6329"/>
      <c r="D9" s="1248">
        <v>300</v>
      </c>
      <c r="E9" s="1245">
        <v>0.5</v>
      </c>
      <c r="F9" s="1247">
        <f>D9+(E9*D9)</f>
        <v>450</v>
      </c>
      <c r="G9" s="1242"/>
      <c r="H9" s="1573"/>
      <c r="I9" s="1573"/>
      <c r="J9" s="1573"/>
      <c r="K9" s="1573"/>
      <c r="L9" s="1573"/>
      <c r="M9" s="1573"/>
      <c r="N9" s="1573"/>
      <c r="O9" s="1573"/>
      <c r="P9" s="1573"/>
      <c r="Q9" s="460"/>
    </row>
    <row r="10" spans="1:22" s="193" customFormat="1" ht="16.899999999999999" customHeight="1" x14ac:dyDescent="0.35">
      <c r="A10" s="1571"/>
      <c r="B10" s="6328" t="s">
        <v>583</v>
      </c>
      <c r="C10" s="6329"/>
      <c r="D10" s="1248">
        <v>250</v>
      </c>
      <c r="E10" s="1245">
        <v>0.5</v>
      </c>
      <c r="F10" s="1247">
        <f t="shared" ref="F10:F15" si="0">D10+(E10*D10)</f>
        <v>375</v>
      </c>
      <c r="G10" s="1242"/>
      <c r="H10" s="1573"/>
      <c r="I10" s="1573"/>
      <c r="J10" s="6346"/>
      <c r="K10" s="6346"/>
      <c r="L10" s="1573"/>
      <c r="M10" s="1573"/>
      <c r="N10" s="1573"/>
      <c r="O10" s="1573"/>
      <c r="P10" s="1573"/>
      <c r="Q10" s="460"/>
    </row>
    <row r="11" spans="1:22" s="193" customFormat="1" ht="16.899999999999999" customHeight="1" x14ac:dyDescent="0.35">
      <c r="A11" s="1571"/>
      <c r="B11" s="6340" t="s">
        <v>1307</v>
      </c>
      <c r="C11" s="6341"/>
      <c r="D11" s="1248">
        <v>250</v>
      </c>
      <c r="E11" s="1245">
        <v>0.5</v>
      </c>
      <c r="F11" s="1247">
        <f t="shared" si="0"/>
        <v>375</v>
      </c>
      <c r="G11" s="1242"/>
      <c r="H11" s="1573"/>
      <c r="I11" s="1573"/>
      <c r="J11" s="6346"/>
      <c r="K11" s="6346"/>
      <c r="L11" s="1573"/>
      <c r="M11" s="1573"/>
      <c r="N11" s="1573"/>
      <c r="O11" s="1573"/>
      <c r="P11" s="1573"/>
      <c r="Q11" s="460"/>
    </row>
    <row r="12" spans="1:22" s="193" customFormat="1" ht="16.899999999999999" customHeight="1" x14ac:dyDescent="0.35">
      <c r="A12" s="1571"/>
      <c r="B12" s="6340" t="s">
        <v>1308</v>
      </c>
      <c r="C12" s="6341"/>
      <c r="D12" s="1248">
        <v>250</v>
      </c>
      <c r="E12" s="1245">
        <v>0.5</v>
      </c>
      <c r="F12" s="1247">
        <f t="shared" si="0"/>
        <v>375</v>
      </c>
      <c r="G12" s="1242"/>
      <c r="H12" s="1573"/>
      <c r="I12" s="1573"/>
      <c r="J12" s="1573"/>
      <c r="K12" s="1573"/>
      <c r="L12" s="1573"/>
      <c r="M12" s="1573"/>
      <c r="N12" s="1573"/>
      <c r="O12" s="1573"/>
      <c r="P12" s="1573"/>
      <c r="Q12" s="460"/>
    </row>
    <row r="13" spans="1:22" s="193" customFormat="1" ht="16.899999999999999" customHeight="1" x14ac:dyDescent="0.35">
      <c r="A13" s="1571"/>
      <c r="B13" s="6328" t="s">
        <v>1309</v>
      </c>
      <c r="C13" s="6329"/>
      <c r="D13" s="1248">
        <v>200</v>
      </c>
      <c r="E13" s="1245">
        <v>0.5</v>
      </c>
      <c r="F13" s="1247">
        <f t="shared" si="0"/>
        <v>300</v>
      </c>
      <c r="G13" s="1242"/>
      <c r="H13" s="1573"/>
      <c r="I13" s="1573"/>
      <c r="J13" s="1573"/>
      <c r="K13" s="1573"/>
      <c r="L13" s="1573"/>
      <c r="M13" s="1573"/>
      <c r="N13" s="1573"/>
      <c r="O13" s="1573"/>
      <c r="P13" s="1573"/>
      <c r="Q13" s="460"/>
    </row>
    <row r="14" spans="1:22" s="193" customFormat="1" ht="16.899999999999999" customHeight="1" x14ac:dyDescent="0.35">
      <c r="A14" s="1571"/>
      <c r="B14" s="6328" t="s">
        <v>102</v>
      </c>
      <c r="C14" s="6329"/>
      <c r="D14" s="1248"/>
      <c r="E14" s="1245"/>
      <c r="F14" s="1247">
        <f>D14+(E14*D14)</f>
        <v>0</v>
      </c>
      <c r="G14" s="1242"/>
      <c r="H14" s="1573"/>
      <c r="I14" s="1573"/>
      <c r="J14" s="1573"/>
      <c r="K14" s="1573"/>
      <c r="L14" s="1573"/>
      <c r="M14" s="1573"/>
      <c r="N14" s="1573"/>
      <c r="O14" s="1573"/>
      <c r="P14" s="1573"/>
      <c r="Q14" s="460"/>
    </row>
    <row r="15" spans="1:22" s="193" customFormat="1" ht="16.899999999999999" customHeight="1" thickBot="1" x14ac:dyDescent="0.4">
      <c r="A15" s="1571"/>
      <c r="B15" s="6330"/>
      <c r="C15" s="6331"/>
      <c r="D15" s="1249"/>
      <c r="E15" s="1246"/>
      <c r="F15" s="1250">
        <f t="shared" si="0"/>
        <v>0</v>
      </c>
      <c r="G15" s="1243"/>
      <c r="H15" s="1573"/>
      <c r="I15" s="1573"/>
      <c r="J15" s="1573"/>
      <c r="K15" s="1573"/>
      <c r="L15" s="1573"/>
      <c r="M15" s="1573"/>
      <c r="N15" s="1573"/>
      <c r="O15" s="1573"/>
      <c r="P15" s="1573"/>
      <c r="Q15" s="460"/>
    </row>
    <row r="16" spans="1:22" s="193" customFormat="1" ht="25.5" customHeight="1" thickTop="1" thickBot="1" x14ac:dyDescent="0.4">
      <c r="A16" s="1571"/>
      <c r="B16" s="1571"/>
      <c r="C16" s="1573"/>
      <c r="D16" s="1573"/>
      <c r="E16" s="1573"/>
      <c r="F16" s="1573"/>
      <c r="G16" s="1573"/>
      <c r="H16" s="1573"/>
      <c r="I16" s="1573"/>
      <c r="J16" s="1573"/>
      <c r="K16" s="1573"/>
      <c r="L16" s="1573"/>
      <c r="M16" s="1573"/>
      <c r="N16" s="1573"/>
      <c r="O16" s="1573"/>
      <c r="P16" s="1573"/>
      <c r="Q16" s="460"/>
    </row>
    <row r="17" spans="1:17" s="158" customFormat="1" ht="33" customHeight="1" thickTop="1" x14ac:dyDescent="0.3">
      <c r="A17" s="675"/>
      <c r="B17" s="6332" t="s">
        <v>513</v>
      </c>
      <c r="C17" s="6333"/>
      <c r="D17" s="6333"/>
      <c r="E17" s="6333"/>
      <c r="F17" s="6333"/>
      <c r="G17" s="6333"/>
      <c r="H17" s="6333"/>
      <c r="I17" s="6333"/>
      <c r="J17" s="6333"/>
      <c r="K17" s="6333"/>
      <c r="L17" s="6333"/>
      <c r="M17" s="6334"/>
      <c r="N17" s="675"/>
      <c r="O17" s="675"/>
      <c r="P17" s="675"/>
      <c r="Q17" s="675"/>
    </row>
    <row r="18" spans="1:17" s="124" customFormat="1" ht="27" customHeight="1" x14ac:dyDescent="0.35">
      <c r="A18" s="858"/>
      <c r="B18" s="6335" t="s">
        <v>514</v>
      </c>
      <c r="C18" s="6336"/>
      <c r="D18" s="6336"/>
      <c r="E18" s="6336"/>
      <c r="F18" s="6336" t="s">
        <v>497</v>
      </c>
      <c r="G18" s="6336"/>
      <c r="H18" s="6336" t="s">
        <v>492</v>
      </c>
      <c r="I18" s="6337"/>
      <c r="J18" s="6338" t="s">
        <v>515</v>
      </c>
      <c r="K18" s="6337"/>
      <c r="L18" s="6338" t="s">
        <v>127</v>
      </c>
      <c r="M18" s="6339"/>
      <c r="N18" s="858"/>
      <c r="O18" s="858"/>
      <c r="P18" s="858"/>
      <c r="Q18" s="858"/>
    </row>
    <row r="19" spans="1:17" s="124" customFormat="1" ht="7.5" customHeight="1" thickBot="1" x14ac:dyDescent="0.4">
      <c r="A19" s="858"/>
      <c r="B19" s="969"/>
      <c r="C19" s="970"/>
      <c r="D19" s="970"/>
      <c r="E19" s="970"/>
      <c r="F19" s="970"/>
      <c r="G19" s="970"/>
      <c r="H19" s="970"/>
      <c r="I19" s="970"/>
      <c r="J19" s="970"/>
      <c r="K19" s="970"/>
      <c r="L19" s="970"/>
      <c r="M19" s="971"/>
      <c r="N19" s="858"/>
      <c r="O19" s="858"/>
      <c r="P19" s="858"/>
      <c r="Q19" s="858"/>
    </row>
    <row r="20" spans="1:17" s="158" customFormat="1" ht="16.899999999999999" customHeight="1" x14ac:dyDescent="0.3">
      <c r="A20" s="675"/>
      <c r="B20" s="6322" t="s">
        <v>1776</v>
      </c>
      <c r="C20" s="6323"/>
      <c r="D20" s="6323"/>
      <c r="E20" s="6324"/>
      <c r="F20" s="1251"/>
      <c r="G20" s="1252"/>
      <c r="H20" s="1251"/>
      <c r="I20" s="1252"/>
      <c r="J20" s="1251"/>
      <c r="K20" s="1252"/>
      <c r="L20" s="6325">
        <v>8100</v>
      </c>
      <c r="M20" s="6326"/>
      <c r="N20" s="675"/>
      <c r="O20" s="675"/>
      <c r="P20" s="675"/>
      <c r="Q20" s="675"/>
    </row>
    <row r="21" spans="1:17" s="116" customFormat="1" ht="16.899999999999999" customHeight="1" x14ac:dyDescent="0.3">
      <c r="A21" s="651"/>
      <c r="B21" s="6224" t="s">
        <v>495</v>
      </c>
      <c r="C21" s="6225"/>
      <c r="D21" s="6225"/>
      <c r="E21" s="6226"/>
      <c r="F21" s="6239"/>
      <c r="G21" s="6240"/>
      <c r="H21" s="6239"/>
      <c r="I21" s="6240"/>
      <c r="J21" s="6310"/>
      <c r="K21" s="6228"/>
      <c r="L21" s="6244">
        <f t="shared" ref="L21:L29" si="1">J21*H21*F21</f>
        <v>0</v>
      </c>
      <c r="M21" s="6327"/>
      <c r="N21" s="651"/>
      <c r="O21" s="651"/>
      <c r="P21" s="651"/>
      <c r="Q21" s="651"/>
    </row>
    <row r="22" spans="1:17" s="116" customFormat="1" ht="16.899999999999999" customHeight="1" x14ac:dyDescent="0.3">
      <c r="A22" s="651"/>
      <c r="B22" s="6315" t="s">
        <v>1314</v>
      </c>
      <c r="C22" s="6316"/>
      <c r="D22" s="6316"/>
      <c r="E22" s="6317"/>
      <c r="F22" s="6318"/>
      <c r="G22" s="6319"/>
      <c r="H22" s="6318"/>
      <c r="I22" s="6319"/>
      <c r="J22" s="6320"/>
      <c r="K22" s="6321"/>
      <c r="L22" s="6313">
        <f>J22*H22*F22</f>
        <v>0</v>
      </c>
      <c r="M22" s="6314"/>
      <c r="N22" s="651"/>
      <c r="O22" s="651"/>
      <c r="P22" s="651"/>
      <c r="Q22" s="651"/>
    </row>
    <row r="23" spans="1:17" s="116" customFormat="1" ht="16.899999999999999" customHeight="1" x14ac:dyDescent="0.3">
      <c r="A23" s="651"/>
      <c r="B23" s="6224" t="s">
        <v>1315</v>
      </c>
      <c r="C23" s="6225"/>
      <c r="D23" s="6225"/>
      <c r="E23" s="6226"/>
      <c r="F23" s="6239"/>
      <c r="G23" s="6240"/>
      <c r="H23" s="6239"/>
      <c r="I23" s="6240"/>
      <c r="J23" s="6310"/>
      <c r="K23" s="6228"/>
      <c r="L23" s="6313">
        <f t="shared" si="1"/>
        <v>0</v>
      </c>
      <c r="M23" s="6314"/>
      <c r="N23" s="651"/>
      <c r="O23" s="651"/>
      <c r="P23" s="651"/>
      <c r="Q23" s="651"/>
    </row>
    <row r="24" spans="1:17" s="116" customFormat="1" ht="16.899999999999999" customHeight="1" x14ac:dyDescent="0.3">
      <c r="A24" s="651"/>
      <c r="B24" s="6224" t="s">
        <v>1478</v>
      </c>
      <c r="C24" s="6225"/>
      <c r="D24" s="6225"/>
      <c r="E24" s="6226"/>
      <c r="F24" s="6239"/>
      <c r="G24" s="6240"/>
      <c r="H24" s="6239"/>
      <c r="I24" s="6240"/>
      <c r="J24" s="6310"/>
      <c r="K24" s="6228"/>
      <c r="L24" s="6313">
        <f>J24*H24*F24</f>
        <v>0</v>
      </c>
      <c r="M24" s="6314"/>
      <c r="N24" s="651"/>
      <c r="O24" s="651"/>
      <c r="P24" s="651"/>
      <c r="Q24" s="651"/>
    </row>
    <row r="25" spans="1:17" s="116" customFormat="1" ht="16.5" customHeight="1" x14ac:dyDescent="0.3">
      <c r="A25" s="651"/>
      <c r="B25" s="6224" t="s">
        <v>1479</v>
      </c>
      <c r="C25" s="6225"/>
      <c r="D25" s="6225"/>
      <c r="E25" s="6226"/>
      <c r="F25" s="6227"/>
      <c r="G25" s="6228"/>
      <c r="H25" s="6227"/>
      <c r="I25" s="6228"/>
      <c r="J25" s="6310"/>
      <c r="K25" s="6228"/>
      <c r="L25" s="6311">
        <f t="shared" si="1"/>
        <v>0</v>
      </c>
      <c r="M25" s="6312"/>
      <c r="N25" s="651"/>
      <c r="O25" s="651"/>
      <c r="P25" s="651"/>
      <c r="Q25" s="651"/>
    </row>
    <row r="26" spans="1:17" s="116" customFormat="1" ht="16.5" customHeight="1" x14ac:dyDescent="0.3">
      <c r="A26" s="651"/>
      <c r="B26" s="6224" t="s">
        <v>637</v>
      </c>
      <c r="C26" s="6225"/>
      <c r="D26" s="6225"/>
      <c r="E26" s="6226"/>
      <c r="F26" s="6227"/>
      <c r="G26" s="6228"/>
      <c r="H26" s="6227"/>
      <c r="I26" s="6228"/>
      <c r="J26" s="6310"/>
      <c r="K26" s="6228"/>
      <c r="L26" s="6311">
        <f t="shared" si="1"/>
        <v>0</v>
      </c>
      <c r="M26" s="6312"/>
      <c r="N26" s="651"/>
      <c r="O26" s="651"/>
      <c r="P26" s="651"/>
      <c r="Q26" s="651"/>
    </row>
    <row r="27" spans="1:17" s="116" customFormat="1" ht="16.5" customHeight="1" x14ac:dyDescent="0.3">
      <c r="A27" s="651"/>
      <c r="B27" s="6224" t="s">
        <v>897</v>
      </c>
      <c r="C27" s="6225"/>
      <c r="D27" s="6225"/>
      <c r="E27" s="6226"/>
      <c r="F27" s="6227"/>
      <c r="G27" s="6228"/>
      <c r="H27" s="6227"/>
      <c r="I27" s="6228"/>
      <c r="J27" s="6310"/>
      <c r="K27" s="6228"/>
      <c r="L27" s="6311">
        <v>0</v>
      </c>
      <c r="M27" s="6312"/>
      <c r="N27" s="651"/>
      <c r="O27" s="651"/>
      <c r="P27" s="651"/>
      <c r="Q27" s="651"/>
    </row>
    <row r="28" spans="1:17" s="116" customFormat="1" ht="16.5" customHeight="1" x14ac:dyDescent="0.3">
      <c r="A28" s="651"/>
      <c r="B28" s="6224" t="s">
        <v>898</v>
      </c>
      <c r="C28" s="6225"/>
      <c r="D28" s="6225"/>
      <c r="E28" s="6226"/>
      <c r="F28" s="6227"/>
      <c r="G28" s="6228"/>
      <c r="H28" s="6227"/>
      <c r="I28" s="6228"/>
      <c r="J28" s="6310"/>
      <c r="K28" s="6228"/>
      <c r="L28" s="6311">
        <f t="shared" si="1"/>
        <v>0</v>
      </c>
      <c r="M28" s="6312"/>
      <c r="N28" s="651"/>
      <c r="O28" s="651"/>
      <c r="P28" s="651"/>
      <c r="Q28" s="651"/>
    </row>
    <row r="29" spans="1:17" s="116" customFormat="1" ht="16.5" customHeight="1" x14ac:dyDescent="0.3">
      <c r="A29" s="651"/>
      <c r="B29" s="6224" t="s">
        <v>898</v>
      </c>
      <c r="C29" s="6225"/>
      <c r="D29" s="6225"/>
      <c r="E29" s="6226"/>
      <c r="F29" s="6227"/>
      <c r="G29" s="6228"/>
      <c r="H29" s="6227"/>
      <c r="I29" s="6228"/>
      <c r="J29" s="6310"/>
      <c r="K29" s="6228"/>
      <c r="L29" s="6311">
        <f t="shared" si="1"/>
        <v>0</v>
      </c>
      <c r="M29" s="6312"/>
      <c r="N29" s="651"/>
      <c r="O29" s="651"/>
      <c r="P29" s="651"/>
      <c r="Q29" s="651"/>
    </row>
    <row r="30" spans="1:17" s="116" customFormat="1" ht="9.75" customHeight="1" thickBot="1" x14ac:dyDescent="0.35">
      <c r="A30" s="651"/>
      <c r="B30" s="972"/>
      <c r="C30" s="973"/>
      <c r="D30" s="973"/>
      <c r="E30" s="974"/>
      <c r="F30" s="975"/>
      <c r="G30" s="976"/>
      <c r="H30" s="975"/>
      <c r="I30" s="976"/>
      <c r="J30" s="975"/>
      <c r="K30" s="976"/>
      <c r="L30" s="977"/>
      <c r="M30" s="978"/>
      <c r="N30" s="651"/>
      <c r="O30" s="651"/>
      <c r="P30" s="651"/>
      <c r="Q30" s="651"/>
    </row>
    <row r="31" spans="1:17" s="118" customFormat="1" ht="19.5" thickTop="1" thickBot="1" x14ac:dyDescent="0.4">
      <c r="A31" s="979"/>
      <c r="B31" s="6301" t="s">
        <v>222</v>
      </c>
      <c r="C31" s="6302"/>
      <c r="D31" s="6302"/>
      <c r="E31" s="6302"/>
      <c r="F31" s="6303">
        <f>SUM(F21:F30)</f>
        <v>0</v>
      </c>
      <c r="G31" s="6304"/>
      <c r="H31" s="6303">
        <f>SUM(H21:H30)</f>
        <v>0</v>
      </c>
      <c r="I31" s="6304"/>
      <c r="J31" s="6303"/>
      <c r="K31" s="6304"/>
      <c r="L31" s="6305">
        <f>SUM(L20:M30)</f>
        <v>8100</v>
      </c>
      <c r="M31" s="6306"/>
      <c r="N31" s="836"/>
      <c r="O31" s="836"/>
      <c r="P31" s="836"/>
      <c r="Q31" s="836"/>
    </row>
    <row r="32" spans="1:17" s="116" customFormat="1" ht="15.75" customHeight="1" thickTop="1" x14ac:dyDescent="0.3">
      <c r="A32" s="651"/>
      <c r="B32" s="651"/>
      <c r="C32" s="651"/>
      <c r="D32" s="651"/>
      <c r="E32" s="651"/>
      <c r="F32" s="651"/>
      <c r="G32" s="678"/>
      <c r="H32" s="678"/>
      <c r="I32" s="651"/>
      <c r="J32" s="651"/>
      <c r="K32" s="651"/>
      <c r="L32" s="651"/>
      <c r="M32" s="651"/>
      <c r="N32" s="651"/>
      <c r="O32" s="651"/>
      <c r="P32" s="651"/>
      <c r="Q32" s="651"/>
    </row>
    <row r="33" spans="1:17" s="116" customFormat="1" ht="16" thickBot="1" x14ac:dyDescent="0.4">
      <c r="A33" s="980"/>
      <c r="B33" s="981"/>
      <c r="C33" s="981"/>
      <c r="D33" s="981"/>
      <c r="E33" s="651"/>
      <c r="F33" s="651"/>
      <c r="G33" s="651"/>
      <c r="H33" s="651"/>
      <c r="I33" s="651"/>
      <c r="J33" s="651"/>
      <c r="K33" s="651"/>
      <c r="L33" s="651"/>
      <c r="M33" s="651"/>
      <c r="N33" s="651"/>
      <c r="O33" s="651"/>
      <c r="P33" s="651"/>
      <c r="Q33" s="651"/>
    </row>
    <row r="34" spans="1:17" s="116" customFormat="1" ht="32.25" customHeight="1" thickTop="1" thickBot="1" x14ac:dyDescent="0.35">
      <c r="A34" s="651"/>
      <c r="B34" s="6307" t="s">
        <v>899</v>
      </c>
      <c r="C34" s="6308"/>
      <c r="D34" s="6308"/>
      <c r="E34" s="6308"/>
      <c r="F34" s="6308"/>
      <c r="G34" s="6308"/>
      <c r="H34" s="6308"/>
      <c r="I34" s="6308"/>
      <c r="J34" s="6308"/>
      <c r="K34" s="6308"/>
      <c r="L34" s="6308"/>
      <c r="M34" s="6308"/>
      <c r="N34" s="6308"/>
      <c r="O34" s="6308"/>
      <c r="P34" s="6309"/>
      <c r="Q34" s="651"/>
    </row>
    <row r="35" spans="1:17" s="118" customFormat="1" ht="51" customHeight="1" thickTop="1" x14ac:dyDescent="0.35">
      <c r="A35" s="836"/>
      <c r="B35" s="6290" t="s">
        <v>494</v>
      </c>
      <c r="C35" s="6291"/>
      <c r="D35" s="6291"/>
      <c r="E35" s="6291"/>
      <c r="F35" s="6292" t="s">
        <v>493</v>
      </c>
      <c r="G35" s="6292"/>
      <c r="H35" s="6293" t="s">
        <v>1317</v>
      </c>
      <c r="I35" s="6293"/>
      <c r="J35" s="6293" t="s">
        <v>1480</v>
      </c>
      <c r="K35" s="6293"/>
      <c r="L35" s="6292" t="s">
        <v>18</v>
      </c>
      <c r="M35" s="6292"/>
      <c r="N35" s="6292"/>
      <c r="O35" s="6292"/>
      <c r="P35" s="6294"/>
      <c r="Q35" s="836"/>
    </row>
    <row r="36" spans="1:17" s="118" customFormat="1" ht="18.75" customHeight="1" x14ac:dyDescent="0.35">
      <c r="A36" s="836"/>
      <c r="B36" s="5588" t="s">
        <v>1644</v>
      </c>
      <c r="C36" s="5589"/>
      <c r="D36" s="5589"/>
      <c r="E36" s="5589"/>
      <c r="F36" s="6281"/>
      <c r="G36" s="6282"/>
      <c r="H36" s="6275" t="s">
        <v>900</v>
      </c>
      <c r="I36" s="6275"/>
      <c r="J36" s="6295"/>
      <c r="K36" s="6296"/>
      <c r="L36" s="6281"/>
      <c r="M36" s="6297"/>
      <c r="N36" s="6297"/>
      <c r="O36" s="6297"/>
      <c r="P36" s="6298"/>
      <c r="Q36" s="836"/>
    </row>
    <row r="37" spans="1:17" s="118" customFormat="1" ht="16.899999999999999" customHeight="1" x14ac:dyDescent="0.35">
      <c r="A37" s="1529"/>
      <c r="B37" s="6146" t="str">
        <f>'03-BUSINESSCARD-OFR3'!B10</f>
        <v>CA généré en mode licence . Payement "one shot"</v>
      </c>
      <c r="C37" s="6009"/>
      <c r="D37" s="6009"/>
      <c r="E37" s="6009"/>
      <c r="F37" s="6158">
        <f>'03-BUSINESSCARD-OFR3'!G10</f>
        <v>0</v>
      </c>
      <c r="G37" s="6158"/>
      <c r="H37" s="6149">
        <f>'03-BUSINESSCARD-OFR3'!J9</f>
        <v>0</v>
      </c>
      <c r="I37" s="6149"/>
      <c r="J37" s="6158">
        <f>F37*H37</f>
        <v>0</v>
      </c>
      <c r="K37" s="6158"/>
      <c r="L37" s="6299"/>
      <c r="M37" s="6299"/>
      <c r="N37" s="6299"/>
      <c r="O37" s="6299"/>
      <c r="P37" s="6300"/>
      <c r="Q37" s="836"/>
    </row>
    <row r="38" spans="1:17" s="118" customFormat="1" ht="16.899999999999999" customHeight="1" x14ac:dyDescent="0.35">
      <c r="A38" s="982"/>
      <c r="B38" s="6146" t="str">
        <f>'03-BUSINESSCARD-OFR3'!B11</f>
        <v xml:space="preserve"> Maintenance annuelle récurrente </v>
      </c>
      <c r="C38" s="6009"/>
      <c r="D38" s="6009"/>
      <c r="E38" s="6009"/>
      <c r="F38" s="6158">
        <f>'03-BUSINESSCARD-OFR3'!G11</f>
        <v>0</v>
      </c>
      <c r="G38" s="6158"/>
      <c r="H38" s="6149">
        <f>'03-BUSINESSCARD-OFR3'!J9</f>
        <v>0</v>
      </c>
      <c r="I38" s="6149"/>
      <c r="J38" s="6158">
        <f>F38*H38</f>
        <v>0</v>
      </c>
      <c r="K38" s="6158"/>
      <c r="L38" s="6151"/>
      <c r="M38" s="6151"/>
      <c r="N38" s="6151"/>
      <c r="O38" s="6151"/>
      <c r="P38" s="6152"/>
      <c r="Q38" s="836"/>
    </row>
    <row r="39" spans="1:17" s="118" customFormat="1" ht="10.9" customHeight="1" x14ac:dyDescent="0.35">
      <c r="A39" s="1530" t="s">
        <v>1481</v>
      </c>
      <c r="B39" s="6162"/>
      <c r="C39" s="6163"/>
      <c r="D39" s="6163"/>
      <c r="E39" s="6164"/>
      <c r="F39" s="6158">
        <f>'03-BUSINESSCARD-OFR3'!G12</f>
        <v>0</v>
      </c>
      <c r="G39" s="6158"/>
      <c r="H39" s="6160"/>
      <c r="I39" s="6161"/>
      <c r="J39" s="6165"/>
      <c r="K39" s="6166"/>
      <c r="L39" s="6167"/>
      <c r="M39" s="6168"/>
      <c r="N39" s="6168"/>
      <c r="O39" s="6168"/>
      <c r="P39" s="6169"/>
      <c r="Q39" s="836"/>
    </row>
    <row r="40" spans="1:17" s="118" customFormat="1" ht="16.899999999999999" customHeight="1" x14ac:dyDescent="0.35">
      <c r="A40" s="982"/>
      <c r="B40" s="6146" t="str">
        <f>'03-BUSINESSCARD-OFR3'!B13</f>
        <v>CA annuel SaaS en mode abonnement souscription</v>
      </c>
      <c r="C40" s="6009"/>
      <c r="D40" s="6009"/>
      <c r="E40" s="6009"/>
      <c r="F40" s="6158">
        <f>'03-BUSINESSCARD-OFR3'!G13</f>
        <v>48000</v>
      </c>
      <c r="G40" s="6158"/>
      <c r="H40" s="6149">
        <v>0</v>
      </c>
      <c r="I40" s="6149"/>
      <c r="J40" s="6172">
        <v>39900</v>
      </c>
      <c r="K40" s="6172"/>
      <c r="L40" s="6151" t="s">
        <v>1783</v>
      </c>
      <c r="M40" s="6151"/>
      <c r="N40" s="6151"/>
      <c r="O40" s="6151"/>
      <c r="P40" s="6152"/>
      <c r="Q40" s="836"/>
    </row>
    <row r="41" spans="1:17" s="118" customFormat="1" ht="4.1500000000000004" customHeight="1" x14ac:dyDescent="0.35">
      <c r="A41" s="982"/>
      <c r="B41" s="1594"/>
      <c r="C41" s="1595"/>
      <c r="D41" s="1595"/>
      <c r="E41" s="1595"/>
      <c r="F41" s="1602"/>
      <c r="G41" s="1602"/>
      <c r="H41" s="1603"/>
      <c r="I41" s="1603"/>
      <c r="J41" s="1602"/>
      <c r="K41" s="1602"/>
      <c r="L41" s="1604"/>
      <c r="M41" s="1604"/>
      <c r="N41" s="1604"/>
      <c r="O41" s="1604"/>
      <c r="P41" s="1605"/>
      <c r="Q41" s="836"/>
    </row>
    <row r="42" spans="1:17" s="118" customFormat="1" ht="19.149999999999999" customHeight="1" x14ac:dyDescent="0.35">
      <c r="A42" s="982"/>
      <c r="B42" s="6170" t="str">
        <f>'03-BUSINESSCARD-OFR3'!B15</f>
        <v xml:space="preserve">CA total des Services Fournisseur vendus en "one shot " dont: </v>
      </c>
      <c r="C42" s="6171"/>
      <c r="D42" s="6171"/>
      <c r="E42" s="6171"/>
      <c r="F42" s="6172">
        <f>'03-BUSINESSCARD-OFR3'!G15</f>
        <v>0</v>
      </c>
      <c r="G42" s="6172"/>
      <c r="H42" s="6440">
        <f>'03-BUSINESSCARD-OFR3'!J9</f>
        <v>0</v>
      </c>
      <c r="I42" s="6440"/>
      <c r="J42" s="6172">
        <f>'03-BUSINESSCARD-OFR3'!K15</f>
        <v>0</v>
      </c>
      <c r="K42" s="6172"/>
      <c r="L42" s="6151"/>
      <c r="M42" s="6151"/>
      <c r="N42" s="6151"/>
      <c r="O42" s="6151"/>
      <c r="P42" s="6152"/>
      <c r="Q42" s="836"/>
    </row>
    <row r="43" spans="1:17" s="118" customFormat="1" ht="16.899999999999999" customHeight="1" x14ac:dyDescent="0.35">
      <c r="A43" s="982"/>
      <c r="B43" s="6146" t="str">
        <f>'03-BUSINESSCARD-OFR3'!B29:F29</f>
        <v>Avant vente: Analyse , audit, conseil</v>
      </c>
      <c r="C43" s="6009"/>
      <c r="D43" s="6009"/>
      <c r="E43" s="6009"/>
      <c r="F43" s="6158">
        <f>'03-BUSINESSCARD-OFR3'!G16</f>
        <v>0</v>
      </c>
      <c r="G43" s="6158"/>
      <c r="H43" s="6149">
        <v>0</v>
      </c>
      <c r="I43" s="6149"/>
      <c r="J43" s="6158">
        <v>0</v>
      </c>
      <c r="K43" s="6158"/>
      <c r="L43" s="6151"/>
      <c r="M43" s="6151"/>
      <c r="N43" s="6151"/>
      <c r="O43" s="6151"/>
      <c r="P43" s="6152"/>
      <c r="Q43" s="836"/>
    </row>
    <row r="44" spans="1:17" s="118" customFormat="1" ht="16.899999999999999" customHeight="1" x14ac:dyDescent="0.35">
      <c r="A44" s="982"/>
      <c r="B44" s="6146" t="str">
        <f>'03-BUSINESSCARD-OFR3'!B30:F30</f>
        <v>Installation</v>
      </c>
      <c r="C44" s="6009"/>
      <c r="D44" s="6009"/>
      <c r="E44" s="6009"/>
      <c r="F44" s="6158">
        <f>'03-BUSINESSCARD-OFR3'!G17</f>
        <v>0</v>
      </c>
      <c r="G44" s="6158"/>
      <c r="H44" s="6149">
        <v>0</v>
      </c>
      <c r="I44" s="6149"/>
      <c r="J44" s="6158">
        <v>0</v>
      </c>
      <c r="K44" s="6158"/>
      <c r="L44" s="6151"/>
      <c r="M44" s="6151"/>
      <c r="N44" s="6151"/>
      <c r="O44" s="6151"/>
      <c r="P44" s="6152"/>
      <c r="Q44" s="836"/>
    </row>
    <row r="45" spans="1:17" s="118" customFormat="1" ht="16.899999999999999" customHeight="1" x14ac:dyDescent="0.35">
      <c r="A45" s="982"/>
      <c r="B45" s="6146">
        <f>'03-BUSINESSCARD-OFR3'!B31:F31</f>
        <v>0</v>
      </c>
      <c r="C45" s="6009"/>
      <c r="D45" s="6009"/>
      <c r="E45" s="6009"/>
      <c r="F45" s="6158">
        <f>'03-BUSINESSCARD-OFR3'!G18</f>
        <v>0</v>
      </c>
      <c r="G45" s="6158"/>
      <c r="H45" s="6149">
        <v>0</v>
      </c>
      <c r="I45" s="6149"/>
      <c r="J45" s="6158">
        <v>0</v>
      </c>
      <c r="K45" s="6158"/>
      <c r="L45" s="6151"/>
      <c r="M45" s="6151"/>
      <c r="N45" s="6151"/>
      <c r="O45" s="6151"/>
      <c r="P45" s="6152"/>
      <c r="Q45" s="836"/>
    </row>
    <row r="46" spans="1:17" s="118" customFormat="1" ht="16.899999999999999" customHeight="1" x14ac:dyDescent="0.35">
      <c r="A46" s="982"/>
      <c r="B46" s="6146" t="str">
        <f>'03-BUSINESSCARD-OFR3'!B32:F32</f>
        <v>integration avec le SI client /Déployement/ Installation</v>
      </c>
      <c r="C46" s="6009"/>
      <c r="D46" s="6009"/>
      <c r="E46" s="6009"/>
      <c r="F46" s="6158">
        <f>'03-BUSINESSCARD-OFR3'!G19</f>
        <v>0</v>
      </c>
      <c r="G46" s="6158"/>
      <c r="H46" s="6149">
        <v>0</v>
      </c>
      <c r="I46" s="6149"/>
      <c r="J46" s="6158">
        <v>0</v>
      </c>
      <c r="K46" s="6158"/>
      <c r="L46" s="6151"/>
      <c r="M46" s="6151"/>
      <c r="N46" s="6151"/>
      <c r="O46" s="6151"/>
      <c r="P46" s="6152"/>
      <c r="Q46" s="836"/>
    </row>
    <row r="47" spans="1:17" s="118" customFormat="1" ht="16.899999999999999" customHeight="1" x14ac:dyDescent="0.35">
      <c r="A47" s="982"/>
      <c r="B47" s="6146" t="str">
        <f>'03-BUSINESSCARD-OFR3'!B33:F33</f>
        <v>Formation des utilisateurs</v>
      </c>
      <c r="C47" s="6009"/>
      <c r="D47" s="6009"/>
      <c r="E47" s="6009"/>
      <c r="F47" s="6158">
        <f>'03-BUSINESSCARD-OFR3'!G20</f>
        <v>0</v>
      </c>
      <c r="G47" s="6158"/>
      <c r="H47" s="6149">
        <v>0</v>
      </c>
      <c r="I47" s="6149"/>
      <c r="J47" s="6158">
        <v>0</v>
      </c>
      <c r="K47" s="6158"/>
      <c r="L47" s="6151"/>
      <c r="M47" s="6151"/>
      <c r="N47" s="6151"/>
      <c r="O47" s="6151"/>
      <c r="P47" s="6152"/>
      <c r="Q47" s="836"/>
    </row>
    <row r="48" spans="1:17" s="118" customFormat="1" ht="16.5" customHeight="1" x14ac:dyDescent="0.35">
      <c r="A48" s="982"/>
      <c r="B48" s="6146" t="str">
        <f>'03-BUSINESSCARD-OFR3'!B34:F34</f>
        <v>Formation des administrateurs</v>
      </c>
      <c r="C48" s="6009"/>
      <c r="D48" s="6009"/>
      <c r="E48" s="6009"/>
      <c r="F48" s="6158">
        <f>'03-BUSINESSCARD-OFR3'!G21</f>
        <v>0</v>
      </c>
      <c r="G48" s="6158"/>
      <c r="H48" s="6149">
        <v>0</v>
      </c>
      <c r="I48" s="6149"/>
      <c r="J48" s="6158">
        <v>0</v>
      </c>
      <c r="K48" s="6158"/>
      <c r="L48" s="6151"/>
      <c r="M48" s="6151"/>
      <c r="N48" s="6151"/>
      <c r="O48" s="6151"/>
      <c r="P48" s="6152"/>
      <c r="Q48" s="836"/>
    </row>
    <row r="49" spans="1:17" s="118" customFormat="1" ht="16.5" customHeight="1" x14ac:dyDescent="0.35">
      <c r="A49" s="982"/>
      <c r="B49" s="6146" t="str">
        <f>'03-BUSINESSCARD-OFR3'!B35:F35</f>
        <v>Accompagnement au changement</v>
      </c>
      <c r="C49" s="6009"/>
      <c r="D49" s="6009"/>
      <c r="E49" s="6009"/>
      <c r="F49" s="6158">
        <f>'03-BUSINESSCARD-OFR3'!G22</f>
        <v>0</v>
      </c>
      <c r="G49" s="6158"/>
      <c r="H49" s="6149">
        <v>0</v>
      </c>
      <c r="I49" s="6149"/>
      <c r="J49" s="6158">
        <v>0</v>
      </c>
      <c r="K49" s="6158"/>
      <c r="L49" s="6151"/>
      <c r="M49" s="6151"/>
      <c r="N49" s="6151"/>
      <c r="O49" s="6151"/>
      <c r="P49" s="6152"/>
      <c r="Q49" s="836"/>
    </row>
    <row r="50" spans="1:17" s="118" customFormat="1" ht="16.899999999999999" customHeight="1" x14ac:dyDescent="0.35">
      <c r="A50" s="979"/>
      <c r="B50" s="6153" t="s">
        <v>1789</v>
      </c>
      <c r="C50" s="6154"/>
      <c r="D50" s="6154"/>
      <c r="E50" s="6154"/>
      <c r="F50" s="6172">
        <f>'03-BUSINESSCARD-OFR3'!G26</f>
        <v>48000</v>
      </c>
      <c r="G50" s="6172"/>
      <c r="H50" s="6438"/>
      <c r="I50" s="6439"/>
      <c r="J50" s="6436">
        <f>J40+J42</f>
        <v>39900</v>
      </c>
      <c r="K50" s="6436"/>
      <c r="L50" s="6158"/>
      <c r="M50" s="6158"/>
      <c r="N50" s="6158"/>
      <c r="O50" s="6158"/>
      <c r="P50" s="6159"/>
      <c r="Q50" s="836"/>
    </row>
    <row r="51" spans="1:17" s="118" customFormat="1" ht="6.75" customHeight="1" x14ac:dyDescent="0.35">
      <c r="A51" s="983"/>
      <c r="B51" s="6287"/>
      <c r="C51" s="6288"/>
      <c r="D51" s="6288"/>
      <c r="E51" s="6288"/>
      <c r="F51" s="6288"/>
      <c r="G51" s="6288"/>
      <c r="H51" s="6288"/>
      <c r="I51" s="6288"/>
      <c r="J51" s="6288"/>
      <c r="K51" s="6288"/>
      <c r="L51" s="6288"/>
      <c r="M51" s="6288"/>
      <c r="N51" s="6288"/>
      <c r="O51" s="6288"/>
      <c r="P51" s="6289"/>
      <c r="Q51" s="836"/>
    </row>
    <row r="52" spans="1:17" s="118" customFormat="1" ht="33" customHeight="1" x14ac:dyDescent="0.35">
      <c r="A52" s="979"/>
      <c r="B52" s="5588" t="s">
        <v>872</v>
      </c>
      <c r="C52" s="5589"/>
      <c r="D52" s="5589"/>
      <c r="E52" s="5589"/>
      <c r="F52" s="6281" t="s">
        <v>493</v>
      </c>
      <c r="G52" s="6282"/>
      <c r="H52" s="6275" t="s">
        <v>867</v>
      </c>
      <c r="I52" s="6275"/>
      <c r="J52" s="6283" t="s">
        <v>1316</v>
      </c>
      <c r="K52" s="6284"/>
      <c r="L52" s="6285"/>
      <c r="M52" s="6285"/>
      <c r="N52" s="6285"/>
      <c r="O52" s="6285"/>
      <c r="P52" s="6286"/>
      <c r="Q52" s="836"/>
    </row>
    <row r="53" spans="1:17" s="118" customFormat="1" ht="16.899999999999999" customHeight="1" x14ac:dyDescent="0.35">
      <c r="A53" s="836"/>
      <c r="B53" s="6146" t="str">
        <f>'03-BUSINESSCARD-OFR3'!B29:F29</f>
        <v>Avant vente: Analyse , audit, conseil</v>
      </c>
      <c r="C53" s="6009"/>
      <c r="D53" s="6009"/>
      <c r="E53" s="6009"/>
      <c r="F53" s="6267">
        <f>'03-BUSINESSCARD-OFR3'!K29</f>
        <v>100000</v>
      </c>
      <c r="G53" s="6267"/>
      <c r="H53" s="6280">
        <f>'03-BUSINESSCARD-OFR3'!I29</f>
        <v>100</v>
      </c>
      <c r="I53" s="6280"/>
      <c r="J53" s="6270">
        <v>0</v>
      </c>
      <c r="K53" s="6270"/>
      <c r="L53" s="6271"/>
      <c r="M53" s="6271"/>
      <c r="N53" s="6271"/>
      <c r="O53" s="6271"/>
      <c r="P53" s="6272"/>
      <c r="Q53" s="836"/>
    </row>
    <row r="54" spans="1:17" s="118" customFormat="1" ht="16.899999999999999" customHeight="1" x14ac:dyDescent="0.35">
      <c r="A54" s="836"/>
      <c r="B54" s="6146" t="str">
        <f>'03-BUSINESSCARD-OFR3'!B30:F30</f>
        <v>Installation</v>
      </c>
      <c r="C54" s="6009"/>
      <c r="D54" s="6009"/>
      <c r="E54" s="6009"/>
      <c r="F54" s="6267">
        <f>'03-BUSINESSCARD-OFR3'!K30</f>
        <v>50000</v>
      </c>
      <c r="G54" s="6267"/>
      <c r="H54" s="6280">
        <f>'03-BUSINESSCARD-OFR3'!I30</f>
        <v>50</v>
      </c>
      <c r="I54" s="6280"/>
      <c r="J54" s="6270">
        <f>F54-(H54*F12)</f>
        <v>31250</v>
      </c>
      <c r="K54" s="6270"/>
      <c r="L54" s="6271"/>
      <c r="M54" s="6271"/>
      <c r="N54" s="6271"/>
      <c r="O54" s="6271"/>
      <c r="P54" s="6272"/>
      <c r="Q54" s="836"/>
    </row>
    <row r="55" spans="1:17" s="118" customFormat="1" ht="16.899999999999999" customHeight="1" x14ac:dyDescent="0.35">
      <c r="A55" s="836"/>
      <c r="B55" s="6146">
        <f>'03-BUSINESSCARD-OFR3'!B31:F31</f>
        <v>0</v>
      </c>
      <c r="C55" s="6009"/>
      <c r="D55" s="6009"/>
      <c r="E55" s="6009"/>
      <c r="F55" s="6267">
        <f>'03-BUSINESSCARD-OFR3'!K31</f>
        <v>0</v>
      </c>
      <c r="G55" s="6267"/>
      <c r="H55" s="6280"/>
      <c r="I55" s="6280"/>
      <c r="J55" s="6270">
        <f>J40</f>
        <v>39900</v>
      </c>
      <c r="K55" s="6270"/>
      <c r="L55" s="6271" t="s">
        <v>1784</v>
      </c>
      <c r="M55" s="6271"/>
      <c r="N55" s="6271"/>
      <c r="O55" s="6271"/>
      <c r="P55" s="6272"/>
      <c r="Q55" s="836"/>
    </row>
    <row r="56" spans="1:17" s="118" customFormat="1" ht="16.899999999999999" customHeight="1" x14ac:dyDescent="0.35">
      <c r="A56" s="836"/>
      <c r="B56" s="6146" t="str">
        <f>'03-BUSINESSCARD-OFR3'!B32:F32</f>
        <v>integration avec le SI client /Déployement/ Installation</v>
      </c>
      <c r="C56" s="6009"/>
      <c r="D56" s="6009"/>
      <c r="E56" s="6009"/>
      <c r="F56" s="6267">
        <f>'03-BUSINESSCARD-OFR3'!K32</f>
        <v>0</v>
      </c>
      <c r="G56" s="6267"/>
      <c r="H56" s="6280"/>
      <c r="I56" s="6280"/>
      <c r="J56" s="6270"/>
      <c r="K56" s="6270"/>
      <c r="L56" s="6271"/>
      <c r="M56" s="6271"/>
      <c r="N56" s="6271"/>
      <c r="O56" s="6271"/>
      <c r="P56" s="6272"/>
      <c r="Q56" s="836"/>
    </row>
    <row r="57" spans="1:17" s="118" customFormat="1" ht="16.899999999999999" customHeight="1" x14ac:dyDescent="0.35">
      <c r="A57" s="836"/>
      <c r="B57" s="6146" t="str">
        <f>'03-BUSINESSCARD-OFR3'!B33:F33</f>
        <v>Formation des utilisateurs</v>
      </c>
      <c r="C57" s="6009"/>
      <c r="D57" s="6009"/>
      <c r="E57" s="6009"/>
      <c r="F57" s="6267">
        <f>'03-BUSINESSCARD-OFR3'!K33</f>
        <v>0</v>
      </c>
      <c r="G57" s="6267"/>
      <c r="H57" s="6280"/>
      <c r="I57" s="6280"/>
      <c r="J57" s="6270"/>
      <c r="K57" s="6270"/>
      <c r="L57" s="6271"/>
      <c r="M57" s="6271"/>
      <c r="N57" s="6271"/>
      <c r="O57" s="6271"/>
      <c r="P57" s="6272"/>
      <c r="Q57" s="836"/>
    </row>
    <row r="58" spans="1:17" s="118" customFormat="1" ht="16.899999999999999" customHeight="1" x14ac:dyDescent="0.35">
      <c r="A58" s="836"/>
      <c r="B58" s="6146" t="str">
        <f>'03-BUSINESSCARD-OFR3'!B34:F34</f>
        <v>Formation des administrateurs</v>
      </c>
      <c r="C58" s="6009"/>
      <c r="D58" s="6009"/>
      <c r="E58" s="6009"/>
      <c r="F58" s="6267">
        <f>'03-BUSINESSCARD-OFR3'!K34</f>
        <v>0</v>
      </c>
      <c r="G58" s="6267"/>
      <c r="H58" s="6280"/>
      <c r="I58" s="6280"/>
      <c r="J58" s="6270"/>
      <c r="K58" s="6270"/>
      <c r="L58" s="6271"/>
      <c r="M58" s="6271"/>
      <c r="N58" s="6271"/>
      <c r="O58" s="6271"/>
      <c r="P58" s="6272"/>
      <c r="Q58" s="836"/>
    </row>
    <row r="59" spans="1:17" s="118" customFormat="1" ht="16.899999999999999" customHeight="1" x14ac:dyDescent="0.35">
      <c r="A59" s="836"/>
      <c r="B59" s="6146" t="str">
        <f>'03-BUSINESSCARD-OFR3'!B36:F36</f>
        <v>Autre prestation 1</v>
      </c>
      <c r="C59" s="6009"/>
      <c r="D59" s="6009"/>
      <c r="E59" s="6009"/>
      <c r="F59" s="6267">
        <f>'03-BUSINESSCARD-OFR3'!K35</f>
        <v>0</v>
      </c>
      <c r="G59" s="6267"/>
      <c r="H59" s="6280"/>
      <c r="I59" s="6280"/>
      <c r="J59" s="6270"/>
      <c r="K59" s="6270"/>
      <c r="L59" s="6271"/>
      <c r="M59" s="6271"/>
      <c r="N59" s="6271"/>
      <c r="O59" s="6271"/>
      <c r="P59" s="6272"/>
      <c r="Q59" s="836"/>
    </row>
    <row r="60" spans="1:17" s="118" customFormat="1" ht="16.899999999999999" customHeight="1" x14ac:dyDescent="0.35">
      <c r="A60" s="836"/>
      <c r="B60" s="6146" t="str">
        <f>'03-BUSINESSCARD-OFR3'!B37:F37</f>
        <v>Autre prestation 2</v>
      </c>
      <c r="C60" s="6009"/>
      <c r="D60" s="6009"/>
      <c r="E60" s="6009"/>
      <c r="F60" s="6267">
        <f>'03-BUSINESSCARD-OFR3'!K36</f>
        <v>0</v>
      </c>
      <c r="G60" s="6267"/>
      <c r="H60" s="6280"/>
      <c r="I60" s="6280"/>
      <c r="J60" s="6270"/>
      <c r="K60" s="6270"/>
      <c r="L60" s="1253"/>
      <c r="M60" s="1254"/>
      <c r="N60" s="1254"/>
      <c r="O60" s="1254"/>
      <c r="P60" s="1255"/>
      <c r="Q60" s="836"/>
    </row>
    <row r="61" spans="1:17" s="118" customFormat="1" ht="16.899999999999999" customHeight="1" x14ac:dyDescent="0.35">
      <c r="A61" s="836"/>
      <c r="B61" s="6146">
        <f>'03-BUSINESSCARD-OFR3'!B38:F38</f>
        <v>0</v>
      </c>
      <c r="C61" s="6009"/>
      <c r="D61" s="6009"/>
      <c r="E61" s="6009"/>
      <c r="F61" s="6267">
        <f>'03-BUSINESSCARD-OFR3'!K37</f>
        <v>0</v>
      </c>
      <c r="G61" s="6267"/>
      <c r="H61" s="6280"/>
      <c r="I61" s="6280"/>
      <c r="J61" s="6270"/>
      <c r="K61" s="6270"/>
      <c r="L61" s="1253"/>
      <c r="M61" s="1254"/>
      <c r="N61" s="1254"/>
      <c r="O61" s="1254"/>
      <c r="P61" s="1255"/>
      <c r="Q61" s="836"/>
    </row>
    <row r="62" spans="1:17" s="118" customFormat="1" ht="15.75" customHeight="1" x14ac:dyDescent="0.35">
      <c r="A62" s="836"/>
      <c r="B62" s="6162"/>
      <c r="C62" s="6163"/>
      <c r="D62" s="6163"/>
      <c r="E62" s="6164"/>
      <c r="F62" s="6267">
        <f>'03-BUSINESSCARD-OFR3'!K38</f>
        <v>0</v>
      </c>
      <c r="G62" s="6267"/>
      <c r="H62" s="6275" t="s">
        <v>1482</v>
      </c>
      <c r="I62" s="6275"/>
      <c r="J62" s="6241"/>
      <c r="K62" s="6276"/>
      <c r="L62" s="6277"/>
      <c r="M62" s="6278"/>
      <c r="N62" s="6278"/>
      <c r="O62" s="6278"/>
      <c r="P62" s="6279"/>
      <c r="Q62" s="836"/>
    </row>
    <row r="63" spans="1:17" s="118" customFormat="1" ht="16.5" customHeight="1" x14ac:dyDescent="0.35">
      <c r="A63" s="836"/>
      <c r="B63" s="6146" t="s">
        <v>1775</v>
      </c>
      <c r="C63" s="6009"/>
      <c r="D63" s="6009"/>
      <c r="E63" s="6009"/>
      <c r="F63" s="6267">
        <f>'03-BUSINESSCARD-OFR3'!K39</f>
        <v>100000</v>
      </c>
      <c r="G63" s="6267"/>
      <c r="H63" s="6268">
        <v>0.5</v>
      </c>
      <c r="I63" s="6269"/>
      <c r="J63" s="6270">
        <f>F63- (F63*H63)</f>
        <v>50000</v>
      </c>
      <c r="K63" s="6270"/>
      <c r="L63" s="6271"/>
      <c r="M63" s="6271"/>
      <c r="N63" s="6271"/>
      <c r="O63" s="6271"/>
      <c r="P63" s="6272"/>
      <c r="Q63" s="836"/>
    </row>
    <row r="64" spans="1:17" s="118" customFormat="1" ht="16.5" customHeight="1" x14ac:dyDescent="0.35">
      <c r="A64" s="836"/>
      <c r="B64" s="6146" t="s">
        <v>1774</v>
      </c>
      <c r="C64" s="6009"/>
      <c r="D64" s="6009"/>
      <c r="E64" s="6009"/>
      <c r="F64" s="6267">
        <f>'03-BUSINESSCARD-OFR3'!K40</f>
        <v>50000</v>
      </c>
      <c r="G64" s="6267"/>
      <c r="H64" s="6268">
        <v>0.5</v>
      </c>
      <c r="I64" s="6269"/>
      <c r="J64" s="6270">
        <f>F64- (F64*H64)</f>
        <v>25000</v>
      </c>
      <c r="K64" s="6270"/>
      <c r="L64" s="6271"/>
      <c r="M64" s="6271"/>
      <c r="N64" s="6271"/>
      <c r="O64" s="6271"/>
      <c r="P64" s="6272"/>
      <c r="Q64" s="836"/>
    </row>
    <row r="65" spans="1:17" s="118" customFormat="1" ht="16.5" customHeight="1" x14ac:dyDescent="0.35">
      <c r="A65" s="836"/>
      <c r="B65" s="6146" t="s">
        <v>107</v>
      </c>
      <c r="C65" s="6009"/>
      <c r="D65" s="6009"/>
      <c r="E65" s="6009"/>
      <c r="F65" s="6267">
        <f>'03-BUSINESSCARD-OFR3'!K41</f>
        <v>0</v>
      </c>
      <c r="G65" s="6267"/>
      <c r="H65" s="6268"/>
      <c r="I65" s="6269"/>
      <c r="J65" s="6270">
        <f>F65- (F65*H65)</f>
        <v>0</v>
      </c>
      <c r="K65" s="6270"/>
      <c r="L65" s="6271"/>
      <c r="M65" s="6271"/>
      <c r="N65" s="6271"/>
      <c r="O65" s="6271"/>
      <c r="P65" s="6272"/>
      <c r="Q65" s="836"/>
    </row>
    <row r="66" spans="1:17" s="118" customFormat="1" ht="16.5" customHeight="1" x14ac:dyDescent="0.35">
      <c r="A66" s="836"/>
      <c r="B66" s="6146" t="s">
        <v>128</v>
      </c>
      <c r="C66" s="6009"/>
      <c r="D66" s="6009"/>
      <c r="E66" s="6009"/>
      <c r="F66" s="6267">
        <f>'03-BUSINESSCARD-OFR3'!K42</f>
        <v>0</v>
      </c>
      <c r="G66" s="6267"/>
      <c r="H66" s="6268"/>
      <c r="I66" s="6269"/>
      <c r="J66" s="6270">
        <f>F66- (F66*H66)</f>
        <v>0</v>
      </c>
      <c r="K66" s="6270"/>
      <c r="L66" s="6271"/>
      <c r="M66" s="6271"/>
      <c r="N66" s="6271"/>
      <c r="O66" s="6271"/>
      <c r="P66" s="6272"/>
      <c r="Q66" s="836"/>
    </row>
    <row r="67" spans="1:17" s="118" customFormat="1" ht="16.5" customHeight="1" x14ac:dyDescent="0.35">
      <c r="A67" s="836"/>
      <c r="B67" s="6146" t="s">
        <v>128</v>
      </c>
      <c r="C67" s="6009"/>
      <c r="D67" s="6009"/>
      <c r="E67" s="6009"/>
      <c r="F67" s="6267"/>
      <c r="G67" s="6267"/>
      <c r="H67" s="6268"/>
      <c r="I67" s="6269"/>
      <c r="J67" s="6270">
        <f>F67- (F67*H67)</f>
        <v>0</v>
      </c>
      <c r="K67" s="6270"/>
      <c r="L67" s="6271"/>
      <c r="M67" s="6271"/>
      <c r="N67" s="6271"/>
      <c r="O67" s="6271"/>
      <c r="P67" s="6272"/>
      <c r="Q67" s="836"/>
    </row>
    <row r="68" spans="1:17" s="118" customFormat="1" ht="16.899999999999999" customHeight="1" x14ac:dyDescent="0.35">
      <c r="A68" s="836"/>
      <c r="B68" s="6153" t="s">
        <v>1788</v>
      </c>
      <c r="C68" s="6154"/>
      <c r="D68" s="6154"/>
      <c r="E68" s="6154"/>
      <c r="F68" s="6436">
        <f>SUM(F53:G67)</f>
        <v>300000</v>
      </c>
      <c r="G68" s="6436"/>
      <c r="H68" s="6261"/>
      <c r="I68" s="6261"/>
      <c r="J68" s="6437">
        <f>SUM(J53:K67)</f>
        <v>146150</v>
      </c>
      <c r="K68" s="6437"/>
      <c r="L68" s="6262"/>
      <c r="M68" s="6262"/>
      <c r="N68" s="6262"/>
      <c r="O68" s="6262"/>
      <c r="P68" s="6263"/>
      <c r="Q68" s="836"/>
    </row>
    <row r="69" spans="1:17" s="116" customFormat="1" ht="6.75" customHeight="1" x14ac:dyDescent="0.3">
      <c r="A69" s="651"/>
      <c r="B69" s="6264"/>
      <c r="C69" s="6265"/>
      <c r="D69" s="6265"/>
      <c r="E69" s="6265"/>
      <c r="F69" s="6265"/>
      <c r="G69" s="6265"/>
      <c r="H69" s="6265"/>
      <c r="I69" s="6265"/>
      <c r="J69" s="6265"/>
      <c r="K69" s="6265"/>
      <c r="L69" s="6265"/>
      <c r="M69" s="6265"/>
      <c r="N69" s="6265"/>
      <c r="O69" s="6265"/>
      <c r="P69" s="6266"/>
      <c r="Q69" s="651"/>
    </row>
    <row r="70" spans="1:17" s="118" customFormat="1" ht="22.5" customHeight="1" thickBot="1" x14ac:dyDescent="0.4">
      <c r="A70" s="836"/>
      <c r="B70" s="6248" t="s">
        <v>222</v>
      </c>
      <c r="C70" s="6249"/>
      <c r="D70" s="6249"/>
      <c r="E70" s="6249"/>
      <c r="F70" s="6435">
        <f>SUM(F50+F68)</f>
        <v>348000</v>
      </c>
      <c r="G70" s="6435"/>
      <c r="H70" s="6252"/>
      <c r="I70" s="6253"/>
      <c r="J70" s="6435">
        <f>SUM(J50+J68)</f>
        <v>186050</v>
      </c>
      <c r="K70" s="6435"/>
      <c r="L70" s="994" t="s">
        <v>639</v>
      </c>
      <c r="M70" s="995">
        <f>J70/F70</f>
        <v>0.53462643678160915</v>
      </c>
      <c r="N70" s="996" t="s">
        <v>640</v>
      </c>
      <c r="O70" s="997"/>
      <c r="P70" s="998"/>
      <c r="Q70" s="836"/>
    </row>
    <row r="71" spans="1:17" s="116" customFormat="1" ht="13.5" thickTop="1" x14ac:dyDescent="0.3">
      <c r="A71" s="651"/>
      <c r="B71" s="651"/>
      <c r="C71" s="651"/>
      <c r="D71" s="651"/>
      <c r="E71" s="675"/>
      <c r="F71" s="651"/>
      <c r="G71" s="651"/>
      <c r="H71" s="651"/>
      <c r="I71" s="651"/>
      <c r="J71" s="651"/>
      <c r="K71" s="651"/>
      <c r="L71" s="651"/>
      <c r="M71" s="651"/>
      <c r="N71" s="651"/>
      <c r="O71" s="651"/>
      <c r="P71" s="651"/>
      <c r="Q71" s="651"/>
    </row>
    <row r="72" spans="1:17" s="116" customFormat="1" ht="13.5" thickBot="1" x14ac:dyDescent="0.35">
      <c r="A72" s="651"/>
      <c r="B72" s="651"/>
      <c r="C72" s="651"/>
      <c r="D72" s="651"/>
      <c r="E72" s="651"/>
      <c r="F72" s="651"/>
      <c r="G72" s="651"/>
      <c r="H72" s="651"/>
      <c r="I72" s="651"/>
      <c r="J72" s="651"/>
      <c r="K72" s="651"/>
      <c r="L72" s="651"/>
      <c r="M72" s="651"/>
      <c r="N72" s="651"/>
      <c r="O72" s="651"/>
      <c r="P72" s="651"/>
      <c r="Q72" s="651"/>
    </row>
    <row r="73" spans="1:17" s="116" customFormat="1" ht="27" customHeight="1" thickTop="1" x14ac:dyDescent="0.3">
      <c r="A73" s="651"/>
      <c r="B73" s="6130" t="s">
        <v>1785</v>
      </c>
      <c r="C73" s="6131"/>
      <c r="D73" s="6131"/>
      <c r="E73" s="6131"/>
      <c r="F73" s="6131"/>
      <c r="G73" s="6131"/>
      <c r="H73" s="6131"/>
      <c r="I73" s="6131"/>
      <c r="J73" s="6131"/>
      <c r="K73" s="6131"/>
      <c r="L73" s="6131"/>
      <c r="M73" s="6132"/>
      <c r="N73" s="651"/>
      <c r="O73" s="651"/>
      <c r="P73" s="651"/>
      <c r="Q73" s="651"/>
    </row>
    <row r="74" spans="1:17" s="116" customFormat="1" ht="24" customHeight="1" x14ac:dyDescent="0.3">
      <c r="A74" s="651"/>
      <c r="B74" s="6254" t="s">
        <v>1168</v>
      </c>
      <c r="C74" s="6255"/>
      <c r="D74" s="6255"/>
      <c r="E74" s="6256"/>
      <c r="F74" s="6257" t="s">
        <v>497</v>
      </c>
      <c r="G74" s="6256"/>
      <c r="H74" s="6257" t="s">
        <v>492</v>
      </c>
      <c r="I74" s="6256"/>
      <c r="J74" s="6257" t="s">
        <v>1312</v>
      </c>
      <c r="K74" s="6256"/>
      <c r="L74" s="6257" t="s">
        <v>127</v>
      </c>
      <c r="M74" s="6258"/>
      <c r="N74" s="651"/>
      <c r="O74" s="651"/>
      <c r="P74" s="651"/>
      <c r="Q74" s="651"/>
    </row>
    <row r="75" spans="1:17" s="116" customFormat="1" ht="16.899999999999999" customHeight="1" x14ac:dyDescent="0.3">
      <c r="A75" s="651"/>
      <c r="B75" s="6224" t="s">
        <v>491</v>
      </c>
      <c r="C75" s="6225"/>
      <c r="D75" s="6225"/>
      <c r="E75" s="6226"/>
      <c r="F75" s="6243"/>
      <c r="G75" s="6164"/>
      <c r="H75" s="6243"/>
      <c r="I75" s="6164"/>
      <c r="J75" s="6244"/>
      <c r="K75" s="6245"/>
      <c r="L75" s="6246"/>
      <c r="M75" s="6247"/>
      <c r="N75" s="651"/>
      <c r="O75" s="651"/>
      <c r="P75" s="651"/>
      <c r="Q75" s="651"/>
    </row>
    <row r="76" spans="1:17" s="116" customFormat="1" ht="16.899999999999999" customHeight="1" x14ac:dyDescent="0.3">
      <c r="A76" s="651"/>
      <c r="B76" s="6224" t="s">
        <v>490</v>
      </c>
      <c r="C76" s="6225"/>
      <c r="D76" s="6225"/>
      <c r="E76" s="6226"/>
      <c r="F76" s="6239">
        <v>100</v>
      </c>
      <c r="G76" s="6240"/>
      <c r="H76" s="6239">
        <v>0.5</v>
      </c>
      <c r="I76" s="6240"/>
      <c r="J76" s="6229">
        <f>F9</f>
        <v>450</v>
      </c>
      <c r="K76" s="6230"/>
      <c r="L76" s="6241">
        <f>J76*H76*F76</f>
        <v>22500</v>
      </c>
      <c r="M76" s="6242"/>
      <c r="N76" s="651"/>
      <c r="O76" s="651"/>
      <c r="P76" s="651"/>
      <c r="Q76" s="651"/>
    </row>
    <row r="77" spans="1:17" s="116" customFormat="1" ht="16.899999999999999" customHeight="1" x14ac:dyDescent="0.3">
      <c r="A77" s="651"/>
      <c r="B77" s="6224" t="s">
        <v>489</v>
      </c>
      <c r="C77" s="6225"/>
      <c r="D77" s="6225"/>
      <c r="E77" s="6226"/>
      <c r="F77" s="6239">
        <v>0</v>
      </c>
      <c r="G77" s="6240"/>
      <c r="H77" s="6239">
        <v>0</v>
      </c>
      <c r="I77" s="6240"/>
      <c r="J77" s="6229">
        <f>F10</f>
        <v>375</v>
      </c>
      <c r="K77" s="6230"/>
      <c r="L77" s="6241">
        <f>J77*H77*F77</f>
        <v>0</v>
      </c>
      <c r="M77" s="6242"/>
      <c r="N77" s="651"/>
      <c r="O77" s="651"/>
      <c r="P77" s="651"/>
      <c r="Q77" s="651"/>
    </row>
    <row r="78" spans="1:17" s="116" customFormat="1" ht="16.899999999999999" customHeight="1" x14ac:dyDescent="0.3">
      <c r="A78" s="651"/>
      <c r="B78" s="1591" t="s">
        <v>1322</v>
      </c>
      <c r="C78" s="1592"/>
      <c r="D78" s="1592"/>
      <c r="E78" s="1593"/>
      <c r="F78" s="6239"/>
      <c r="G78" s="6240"/>
      <c r="H78" s="6239"/>
      <c r="I78" s="6240"/>
      <c r="J78" s="6229">
        <f>F78*H78*F12</f>
        <v>0</v>
      </c>
      <c r="K78" s="6230"/>
      <c r="L78" s="6241">
        <f>J78*H78*F78</f>
        <v>0</v>
      </c>
      <c r="M78" s="6242"/>
      <c r="N78" s="651"/>
      <c r="O78" s="651"/>
      <c r="P78" s="651"/>
      <c r="Q78" s="651"/>
    </row>
    <row r="79" spans="1:17" s="116" customFormat="1" ht="16.5" customHeight="1" x14ac:dyDescent="0.3">
      <c r="A79" s="651"/>
      <c r="B79" s="6224" t="s">
        <v>1321</v>
      </c>
      <c r="C79" s="6225"/>
      <c r="D79" s="6225"/>
      <c r="E79" s="6226"/>
      <c r="F79" s="6227"/>
      <c r="G79" s="6228"/>
      <c r="H79" s="6227"/>
      <c r="I79" s="6228"/>
      <c r="J79" s="6229"/>
      <c r="K79" s="6230"/>
      <c r="L79" s="6231"/>
      <c r="M79" s="6232"/>
      <c r="N79" s="651"/>
      <c r="O79" s="651"/>
      <c r="P79" s="651"/>
      <c r="Q79" s="651"/>
    </row>
    <row r="80" spans="1:17" s="116" customFormat="1" ht="16.5" customHeight="1" x14ac:dyDescent="0.3">
      <c r="A80" s="651"/>
      <c r="B80" s="6224" t="s">
        <v>102</v>
      </c>
      <c r="C80" s="6225"/>
      <c r="D80" s="6225"/>
      <c r="E80" s="6226"/>
      <c r="F80" s="6227"/>
      <c r="G80" s="6228"/>
      <c r="H80" s="6227"/>
      <c r="I80" s="6228"/>
      <c r="J80" s="6229"/>
      <c r="K80" s="6230"/>
      <c r="L80" s="6231"/>
      <c r="M80" s="6232"/>
      <c r="N80" s="651"/>
      <c r="O80" s="651"/>
      <c r="P80" s="651"/>
      <c r="Q80" s="651"/>
    </row>
    <row r="81" spans="1:17" s="116" customFormat="1" ht="16.5" customHeight="1" x14ac:dyDescent="0.3">
      <c r="A81" s="651"/>
      <c r="B81" s="6224"/>
      <c r="C81" s="6225"/>
      <c r="D81" s="6225"/>
      <c r="E81" s="6226"/>
      <c r="F81" s="6227"/>
      <c r="G81" s="6228"/>
      <c r="H81" s="6227"/>
      <c r="I81" s="6228"/>
      <c r="J81" s="6229"/>
      <c r="K81" s="6230"/>
      <c r="L81" s="6231"/>
      <c r="M81" s="6232"/>
      <c r="N81" s="651"/>
      <c r="O81" s="651"/>
      <c r="P81" s="651"/>
      <c r="Q81" s="651"/>
    </row>
    <row r="82" spans="1:17" s="116" customFormat="1" ht="16.899999999999999" customHeight="1" x14ac:dyDescent="0.3">
      <c r="A82" s="651"/>
      <c r="B82" s="6233" t="s">
        <v>517</v>
      </c>
      <c r="C82" s="6234"/>
      <c r="D82" s="6234"/>
      <c r="E82" s="6235"/>
      <c r="F82" s="6236">
        <f>SUM(F75:G81)</f>
        <v>100</v>
      </c>
      <c r="G82" s="6235"/>
      <c r="H82" s="6236">
        <f>SUM(H75:I81)</f>
        <v>0.5</v>
      </c>
      <c r="I82" s="6235"/>
      <c r="J82" s="6236"/>
      <c r="K82" s="6235"/>
      <c r="L82" s="6237">
        <f>SUM(L75:M81)</f>
        <v>22500</v>
      </c>
      <c r="M82" s="6238"/>
      <c r="N82" s="651"/>
      <c r="O82" s="651"/>
      <c r="P82" s="651"/>
      <c r="Q82" s="651"/>
    </row>
    <row r="83" spans="1:17" s="116" customFormat="1" ht="16.899999999999999" customHeight="1" thickBot="1" x14ac:dyDescent="0.35">
      <c r="A83" s="651"/>
      <c r="B83" s="6212" t="s">
        <v>1169</v>
      </c>
      <c r="C83" s="6213"/>
      <c r="D83" s="6213"/>
      <c r="E83" s="6214"/>
      <c r="F83" s="6215">
        <v>0.5</v>
      </c>
      <c r="G83" s="6216"/>
      <c r="H83" s="6217"/>
      <c r="I83" s="6214"/>
      <c r="J83" s="6218"/>
      <c r="K83" s="6219"/>
      <c r="L83" s="6220">
        <f>L84-L82</f>
        <v>22500</v>
      </c>
      <c r="M83" s="6221"/>
      <c r="N83" s="651"/>
      <c r="O83" s="651"/>
      <c r="P83" s="651"/>
      <c r="Q83" s="651"/>
    </row>
    <row r="84" spans="1:17" s="118" customFormat="1" ht="19.5" customHeight="1" thickTop="1" thickBot="1" x14ac:dyDescent="0.4">
      <c r="A84" s="836"/>
      <c r="B84" s="6222"/>
      <c r="C84" s="6222"/>
      <c r="D84" s="6222"/>
      <c r="E84" s="6222"/>
      <c r="F84" s="6222"/>
      <c r="G84" s="6222"/>
      <c r="H84" s="6222"/>
      <c r="I84" s="6223"/>
      <c r="J84" s="6126" t="s">
        <v>222</v>
      </c>
      <c r="K84" s="6127"/>
      <c r="L84" s="6128">
        <f>L82/F83</f>
        <v>45000</v>
      </c>
      <c r="M84" s="6129"/>
      <c r="N84" s="999" t="s">
        <v>639</v>
      </c>
      <c r="O84" s="1000">
        <f>L84/F70</f>
        <v>0.12931034482758622</v>
      </c>
      <c r="P84" s="1001" t="s">
        <v>1067</v>
      </c>
      <c r="Q84" s="836"/>
    </row>
    <row r="85" spans="1:17" s="116" customFormat="1" ht="13.5" thickTop="1" x14ac:dyDescent="0.3">
      <c r="A85" s="651"/>
      <c r="B85" s="675"/>
      <c r="C85" s="651"/>
      <c r="D85" s="651"/>
      <c r="E85" s="651"/>
      <c r="F85" s="651"/>
      <c r="G85" s="651"/>
      <c r="H85" s="651"/>
      <c r="I85" s="651"/>
      <c r="J85" s="651"/>
      <c r="K85" s="651"/>
      <c r="L85" s="651"/>
      <c r="M85" s="651"/>
      <c r="N85" s="651"/>
      <c r="O85" s="651"/>
      <c r="P85" s="651"/>
      <c r="Q85" s="651"/>
    </row>
    <row r="86" spans="1:17" s="116" customFormat="1" ht="13.5" thickBot="1" x14ac:dyDescent="0.35">
      <c r="A86" s="651"/>
      <c r="B86" s="651"/>
      <c r="C86" s="651"/>
      <c r="D86" s="651"/>
      <c r="E86" s="651"/>
      <c r="F86" s="651"/>
      <c r="G86" s="651"/>
      <c r="H86" s="651"/>
      <c r="I86" s="651"/>
      <c r="J86" s="651"/>
      <c r="K86" s="651"/>
      <c r="L86" s="651"/>
      <c r="M86" s="651"/>
      <c r="N86" s="651"/>
      <c r="O86" s="651"/>
      <c r="P86" s="651"/>
      <c r="Q86" s="651"/>
    </row>
    <row r="87" spans="1:17" s="159" customFormat="1" ht="24" customHeight="1" thickTop="1" x14ac:dyDescent="0.35">
      <c r="A87" s="984"/>
      <c r="B87" s="6130" t="s">
        <v>1786</v>
      </c>
      <c r="C87" s="6131"/>
      <c r="D87" s="6131"/>
      <c r="E87" s="6131"/>
      <c r="F87" s="6131"/>
      <c r="G87" s="6132"/>
      <c r="H87" s="984"/>
      <c r="I87" s="984"/>
      <c r="J87" s="984"/>
      <c r="K87" s="984"/>
      <c r="L87" s="984"/>
      <c r="M87" s="984"/>
      <c r="N87" s="984"/>
      <c r="O87" s="984"/>
      <c r="P87" s="984"/>
      <c r="Q87" s="984"/>
    </row>
    <row r="88" spans="1:17" s="116" customFormat="1" ht="6.75" customHeight="1" x14ac:dyDescent="0.3">
      <c r="A88" s="651"/>
      <c r="B88" s="6138"/>
      <c r="C88" s="6139"/>
      <c r="D88" s="6139"/>
      <c r="E88" s="6139"/>
      <c r="F88" s="6139"/>
      <c r="G88" s="6140"/>
      <c r="H88" s="651"/>
      <c r="I88" s="651"/>
      <c r="J88" s="651"/>
      <c r="K88" s="651"/>
      <c r="L88" s="651"/>
      <c r="M88" s="651"/>
      <c r="N88" s="651"/>
      <c r="O88" s="651"/>
      <c r="P88" s="651"/>
      <c r="Q88" s="651"/>
    </row>
    <row r="89" spans="1:17" s="116" customFormat="1" ht="15" customHeight="1" x14ac:dyDescent="0.3">
      <c r="A89" s="651"/>
      <c r="B89" s="6141" t="s">
        <v>638</v>
      </c>
      <c r="C89" s="6142"/>
      <c r="D89" s="6142"/>
      <c r="E89" s="6143"/>
      <c r="F89" s="6144">
        <f>J70</f>
        <v>186050</v>
      </c>
      <c r="G89" s="6145"/>
      <c r="H89" s="651"/>
      <c r="I89" s="651"/>
      <c r="J89" s="651"/>
      <c r="K89" s="651"/>
      <c r="L89" s="651"/>
      <c r="M89" s="651"/>
      <c r="N89" s="651"/>
      <c r="O89" s="651"/>
      <c r="P89" s="651"/>
      <c r="Q89" s="651"/>
    </row>
    <row r="90" spans="1:17" s="116" customFormat="1" ht="15" customHeight="1" x14ac:dyDescent="0.3">
      <c r="A90" s="651"/>
      <c r="B90" s="6141" t="s">
        <v>1790</v>
      </c>
      <c r="C90" s="6142"/>
      <c r="D90" s="6142"/>
      <c r="E90" s="6143"/>
      <c r="F90" s="6144">
        <f>L84</f>
        <v>45000</v>
      </c>
      <c r="G90" s="6145"/>
      <c r="H90" s="651"/>
      <c r="I90" s="651"/>
      <c r="J90" s="651"/>
      <c r="K90" s="651"/>
      <c r="L90" s="651"/>
      <c r="M90" s="651"/>
      <c r="N90" s="651"/>
      <c r="O90" s="651"/>
      <c r="P90" s="651"/>
      <c r="Q90" s="651"/>
    </row>
    <row r="91" spans="1:17" s="116" customFormat="1" ht="6" customHeight="1" thickBot="1" x14ac:dyDescent="0.35">
      <c r="A91" s="651"/>
      <c r="B91" s="6123"/>
      <c r="C91" s="6124"/>
      <c r="D91" s="6124"/>
      <c r="E91" s="6124"/>
      <c r="F91" s="6124"/>
      <c r="G91" s="6125"/>
      <c r="H91" s="651"/>
      <c r="I91" s="651"/>
      <c r="J91" s="651"/>
      <c r="K91" s="651"/>
      <c r="L91" s="651"/>
      <c r="M91" s="651"/>
      <c r="N91" s="651"/>
      <c r="O91" s="651"/>
      <c r="P91" s="651"/>
      <c r="Q91" s="651"/>
    </row>
    <row r="92" spans="1:17" s="160" customFormat="1" ht="19.5" thickTop="1" thickBot="1" x14ac:dyDescent="0.4">
      <c r="A92" s="985"/>
      <c r="B92" s="986"/>
      <c r="C92" s="987"/>
      <c r="D92" s="6126" t="s">
        <v>222</v>
      </c>
      <c r="E92" s="6127"/>
      <c r="F92" s="6128">
        <f>F89-F90</f>
        <v>141050</v>
      </c>
      <c r="G92" s="6129"/>
      <c r="H92" s="1002" t="s">
        <v>639</v>
      </c>
      <c r="I92" s="1003">
        <f>F92/F70</f>
        <v>0.40531609195402296</v>
      </c>
      <c r="J92" s="1004" t="s">
        <v>1067</v>
      </c>
      <c r="K92" s="985"/>
      <c r="L92" s="985"/>
      <c r="M92" s="985"/>
      <c r="N92" s="985"/>
      <c r="O92" s="985"/>
      <c r="P92" s="985"/>
      <c r="Q92" s="985"/>
    </row>
    <row r="93" spans="1:17" s="116" customFormat="1" ht="13.5" thickTop="1" x14ac:dyDescent="0.3">
      <c r="A93" s="651"/>
      <c r="B93" s="651"/>
      <c r="C93" s="651"/>
      <c r="D93" s="651"/>
      <c r="E93" s="651"/>
      <c r="F93" s="651"/>
      <c r="G93" s="651"/>
      <c r="H93" s="651"/>
      <c r="I93" s="651"/>
      <c r="J93" s="651"/>
      <c r="K93" s="651"/>
      <c r="L93" s="651"/>
      <c r="M93" s="651"/>
      <c r="N93" s="651"/>
      <c r="O93" s="651"/>
      <c r="P93" s="651"/>
      <c r="Q93" s="651"/>
    </row>
    <row r="94" spans="1:17" s="116" customFormat="1" ht="13.5" thickBot="1" x14ac:dyDescent="0.35">
      <c r="A94" s="651"/>
      <c r="B94" s="651"/>
      <c r="C94" s="651"/>
      <c r="D94" s="651"/>
      <c r="E94" s="651"/>
      <c r="F94" s="651"/>
      <c r="G94" s="651"/>
      <c r="H94" s="651"/>
      <c r="I94" s="651"/>
      <c r="J94" s="651"/>
      <c r="K94" s="651"/>
      <c r="L94" s="651"/>
      <c r="M94" s="651"/>
      <c r="N94" s="651"/>
      <c r="O94" s="651"/>
      <c r="P94" s="651"/>
      <c r="Q94" s="651"/>
    </row>
    <row r="95" spans="1:17" s="116" customFormat="1" ht="27.75" customHeight="1" thickTop="1" x14ac:dyDescent="0.3">
      <c r="A95" s="651"/>
      <c r="B95" s="6130" t="s">
        <v>518</v>
      </c>
      <c r="C95" s="6131"/>
      <c r="D95" s="6131"/>
      <c r="E95" s="6131"/>
      <c r="F95" s="6131"/>
      <c r="G95" s="6132"/>
      <c r="H95" s="651"/>
      <c r="I95" s="651"/>
      <c r="J95" s="651"/>
      <c r="K95" s="651"/>
      <c r="L95" s="651"/>
      <c r="M95" s="651"/>
      <c r="N95" s="651"/>
      <c r="O95" s="651"/>
      <c r="P95" s="651"/>
      <c r="Q95" s="651"/>
    </row>
    <row r="96" spans="1:17" s="116" customFormat="1" ht="6.75" customHeight="1" x14ac:dyDescent="0.3">
      <c r="A96" s="651"/>
      <c r="B96" s="6133"/>
      <c r="C96" s="6134"/>
      <c r="D96" s="6134"/>
      <c r="E96" s="6134"/>
      <c r="F96" s="6134"/>
      <c r="G96" s="6135"/>
      <c r="H96" s="651"/>
      <c r="I96" s="651"/>
      <c r="J96" s="651"/>
      <c r="K96" s="651"/>
      <c r="L96" s="651"/>
      <c r="M96" s="651"/>
      <c r="N96" s="651"/>
      <c r="O96" s="651"/>
      <c r="P96" s="651"/>
      <c r="Q96" s="651"/>
    </row>
    <row r="97" spans="1:17" s="116" customFormat="1" ht="15" customHeight="1" x14ac:dyDescent="0.3">
      <c r="A97" s="651"/>
      <c r="B97" s="988" t="s">
        <v>487</v>
      </c>
      <c r="C97" s="989"/>
      <c r="D97" s="989"/>
      <c r="E97" s="990"/>
      <c r="F97" s="6136">
        <f>L31</f>
        <v>8100</v>
      </c>
      <c r="G97" s="6137"/>
      <c r="H97" s="651"/>
      <c r="I97" s="651"/>
      <c r="J97" s="651"/>
      <c r="K97" s="651"/>
      <c r="L97" s="651"/>
      <c r="M97" s="651"/>
      <c r="N97" s="651"/>
      <c r="O97" s="651"/>
      <c r="P97" s="651"/>
      <c r="Q97" s="651"/>
    </row>
    <row r="98" spans="1:17" s="116" customFormat="1" ht="15" customHeight="1" x14ac:dyDescent="0.3">
      <c r="A98" s="651"/>
      <c r="B98" s="988" t="s">
        <v>486</v>
      </c>
      <c r="C98" s="989"/>
      <c r="D98" s="989"/>
      <c r="E98" s="990"/>
      <c r="F98" s="6136">
        <f>F92</f>
        <v>141050</v>
      </c>
      <c r="G98" s="6137"/>
      <c r="H98" s="651"/>
      <c r="I98" s="651"/>
      <c r="J98" s="651"/>
      <c r="K98" s="651"/>
      <c r="L98" s="651"/>
      <c r="M98" s="651"/>
      <c r="N98" s="651"/>
      <c r="O98" s="651"/>
      <c r="P98" s="651"/>
      <c r="Q98" s="651"/>
    </row>
    <row r="99" spans="1:17" s="116" customFormat="1" ht="6.75" customHeight="1" x14ac:dyDescent="0.3">
      <c r="A99" s="651"/>
      <c r="B99" s="6187"/>
      <c r="C99" s="6188"/>
      <c r="D99" s="6188"/>
      <c r="E99" s="6188"/>
      <c r="F99" s="6188"/>
      <c r="G99" s="6189"/>
      <c r="H99" s="651"/>
      <c r="I99" s="651"/>
      <c r="J99" s="651"/>
      <c r="K99" s="651"/>
      <c r="L99" s="651"/>
      <c r="M99" s="651"/>
      <c r="N99" s="651"/>
      <c r="O99" s="651"/>
      <c r="P99" s="651"/>
      <c r="Q99" s="651"/>
    </row>
    <row r="100" spans="1:17" s="116" customFormat="1" ht="16.5" customHeight="1" thickBot="1" x14ac:dyDescent="0.35">
      <c r="A100" s="651"/>
      <c r="B100" s="6190" t="s">
        <v>1068</v>
      </c>
      <c r="C100" s="6191"/>
      <c r="D100" s="6191"/>
      <c r="E100" s="6192"/>
      <c r="F100" s="6193">
        <f>F98-F97</f>
        <v>132950</v>
      </c>
      <c r="G100" s="6194"/>
      <c r="H100" s="651"/>
      <c r="I100" s="651"/>
      <c r="J100" s="651"/>
      <c r="K100" s="651"/>
      <c r="L100" s="651"/>
      <c r="M100" s="651"/>
      <c r="N100" s="651"/>
      <c r="O100" s="651"/>
      <c r="P100" s="651"/>
      <c r="Q100" s="651"/>
    </row>
    <row r="101" spans="1:17" s="116" customFormat="1" ht="19.5" thickTop="1" thickBot="1" x14ac:dyDescent="0.35">
      <c r="A101" s="651"/>
      <c r="B101" s="991"/>
      <c r="C101" s="992"/>
      <c r="D101" s="6126" t="s">
        <v>901</v>
      </c>
      <c r="E101" s="6127"/>
      <c r="F101" s="6195">
        <f>(F97/F98)</f>
        <v>5.7426444523218718E-2</v>
      </c>
      <c r="G101" s="6196"/>
      <c r="H101" s="651" t="s">
        <v>1787</v>
      </c>
      <c r="I101" s="651"/>
      <c r="J101" s="651"/>
      <c r="K101" s="651"/>
      <c r="L101" s="651"/>
      <c r="M101" s="651"/>
      <c r="N101" s="651"/>
      <c r="O101" s="651"/>
      <c r="P101" s="651"/>
      <c r="Q101" s="651"/>
    </row>
    <row r="102" spans="1:17" s="116" customFormat="1" ht="13.5" thickTop="1" x14ac:dyDescent="0.3">
      <c r="A102" s="678"/>
      <c r="B102" s="678"/>
      <c r="C102" s="678"/>
      <c r="D102" s="651"/>
      <c r="E102" s="651"/>
      <c r="F102" s="651"/>
      <c r="G102" s="651"/>
      <c r="H102" s="651"/>
      <c r="I102" s="651"/>
      <c r="J102" s="651"/>
      <c r="K102" s="651"/>
      <c r="L102" s="651"/>
      <c r="M102" s="651"/>
      <c r="N102" s="651"/>
      <c r="O102" s="651"/>
      <c r="P102" s="651"/>
      <c r="Q102" s="651"/>
    </row>
    <row r="103" spans="1:17" s="116" customFormat="1" ht="13" x14ac:dyDescent="0.3">
      <c r="A103" s="651"/>
      <c r="B103" s="651"/>
      <c r="C103" s="651"/>
      <c r="D103" s="651"/>
      <c r="E103" s="651"/>
      <c r="F103" s="651"/>
      <c r="G103" s="651"/>
      <c r="H103" s="651"/>
      <c r="I103" s="651"/>
      <c r="J103" s="651"/>
      <c r="K103" s="651"/>
      <c r="L103" s="651"/>
      <c r="M103" s="651"/>
      <c r="N103" s="651"/>
      <c r="O103" s="651"/>
      <c r="P103" s="651"/>
      <c r="Q103" s="651"/>
    </row>
    <row r="104" spans="1:17" s="116" customFormat="1" ht="13" x14ac:dyDescent="0.3">
      <c r="A104" s="651"/>
      <c r="B104" s="651"/>
      <c r="C104" s="651"/>
      <c r="D104" s="651"/>
      <c r="E104" s="651"/>
      <c r="F104" s="651"/>
      <c r="G104" s="651"/>
      <c r="H104" s="651"/>
      <c r="I104" s="651"/>
      <c r="J104" s="651"/>
      <c r="K104" s="651"/>
      <c r="L104" s="651"/>
      <c r="M104" s="651"/>
      <c r="N104" s="651"/>
      <c r="O104" s="651"/>
      <c r="P104" s="651"/>
      <c r="Q104" s="651"/>
    </row>
    <row r="105" spans="1:17" s="118" customFormat="1" ht="20.25" customHeight="1" thickBot="1" x14ac:dyDescent="0.4">
      <c r="A105" s="6197" t="s">
        <v>1247</v>
      </c>
      <c r="B105" s="6198"/>
      <c r="C105" s="6198"/>
      <c r="D105" s="6198"/>
      <c r="E105" s="6198"/>
      <c r="F105" s="6198"/>
      <c r="G105" s="6198"/>
      <c r="H105" s="6198"/>
      <c r="I105" s="6198"/>
      <c r="J105" s="6198"/>
      <c r="K105" s="6198"/>
      <c r="L105" s="6198"/>
      <c r="M105" s="836"/>
      <c r="N105" s="836"/>
      <c r="O105" s="836"/>
      <c r="P105" s="836"/>
      <c r="Q105" s="836"/>
    </row>
    <row r="106" spans="1:17" s="116" customFormat="1" ht="15" customHeight="1" thickTop="1" x14ac:dyDescent="0.3">
      <c r="A106" s="6199"/>
      <c r="B106" s="6200"/>
      <c r="C106" s="6200"/>
      <c r="D106" s="6201"/>
      <c r="E106" s="6202" t="s">
        <v>775</v>
      </c>
      <c r="F106" s="6202"/>
      <c r="G106" s="6202" t="s">
        <v>1171</v>
      </c>
      <c r="H106" s="6202"/>
      <c r="I106" s="6202" t="s">
        <v>1172</v>
      </c>
      <c r="J106" s="6203"/>
      <c r="K106" s="6204" t="s">
        <v>1254</v>
      </c>
      <c r="L106" s="6205"/>
      <c r="M106" s="651"/>
      <c r="N106" s="651"/>
      <c r="O106" s="651"/>
      <c r="P106" s="651"/>
      <c r="Q106" s="651"/>
    </row>
    <row r="107" spans="1:17" s="116" customFormat="1" ht="13" x14ac:dyDescent="0.3">
      <c r="A107" s="6206" t="s">
        <v>1245</v>
      </c>
      <c r="B107" s="6207"/>
      <c r="C107" s="6207"/>
      <c r="D107" s="6208"/>
      <c r="E107" s="6209"/>
      <c r="F107" s="6210"/>
      <c r="G107" s="6209"/>
      <c r="H107" s="6210"/>
      <c r="I107" s="6209"/>
      <c r="J107" s="6211"/>
      <c r="K107" s="1187"/>
      <c r="L107" s="1188"/>
      <c r="M107" s="651" t="s">
        <v>837</v>
      </c>
      <c r="N107" s="651"/>
      <c r="O107" s="651"/>
      <c r="P107" s="651"/>
      <c r="Q107" s="651"/>
    </row>
    <row r="108" spans="1:17" s="158" customFormat="1" ht="12.75" customHeight="1" x14ac:dyDescent="0.3">
      <c r="A108" s="6107" t="s">
        <v>641</v>
      </c>
      <c r="B108" s="6108"/>
      <c r="C108" s="6108"/>
      <c r="D108" s="6109"/>
      <c r="E108" s="6110">
        <v>1</v>
      </c>
      <c r="F108" s="6111"/>
      <c r="G108" s="6110">
        <v>1</v>
      </c>
      <c r="H108" s="6111"/>
      <c r="I108" s="6112">
        <v>1</v>
      </c>
      <c r="J108" s="6113"/>
      <c r="K108" s="6114">
        <f>SUM(E108:J108)</f>
        <v>3</v>
      </c>
      <c r="L108" s="6115"/>
      <c r="M108" s="675"/>
      <c r="N108" s="675"/>
      <c r="O108" s="675"/>
      <c r="P108" s="675"/>
      <c r="Q108" s="675"/>
    </row>
    <row r="109" spans="1:17" s="1534" customFormat="1" ht="4.9000000000000004" customHeight="1" x14ac:dyDescent="0.3">
      <c r="A109" s="6116"/>
      <c r="B109" s="6117"/>
      <c r="C109" s="6117"/>
      <c r="D109" s="6118"/>
      <c r="E109" s="6119"/>
      <c r="F109" s="6120"/>
      <c r="G109" s="6120"/>
      <c r="H109" s="6121"/>
      <c r="I109" s="6119"/>
      <c r="J109" s="6122"/>
      <c r="K109" s="1531"/>
      <c r="L109" s="1532"/>
      <c r="M109" s="1533"/>
      <c r="N109" s="1533"/>
      <c r="O109" s="1533"/>
      <c r="P109" s="1533"/>
      <c r="Q109" s="1533"/>
    </row>
    <row r="110" spans="1:17" s="116" customFormat="1" ht="15" customHeight="1" x14ac:dyDescent="0.3">
      <c r="A110" s="6104" t="s">
        <v>1483</v>
      </c>
      <c r="B110" s="6105"/>
      <c r="C110" s="6105"/>
      <c r="D110" s="6106"/>
      <c r="E110" s="6090"/>
      <c r="F110" s="6091"/>
      <c r="G110" s="6091"/>
      <c r="H110" s="6092"/>
      <c r="I110" s="6090"/>
      <c r="J110" s="6091"/>
      <c r="K110" s="1189"/>
      <c r="L110" s="1190"/>
      <c r="M110" s="651"/>
      <c r="N110" s="651"/>
      <c r="O110" s="651"/>
      <c r="P110" s="651"/>
      <c r="Q110" s="651"/>
    </row>
    <row r="111" spans="1:17" s="116" customFormat="1" ht="13" x14ac:dyDescent="0.3">
      <c r="A111" s="6090" t="s">
        <v>1250</v>
      </c>
      <c r="B111" s="6091"/>
      <c r="C111" s="6091"/>
      <c r="D111" s="6092"/>
      <c r="E111" s="6033">
        <f>'03-BUSINESSCARD-OFR3'!G10*E108</f>
        <v>0</v>
      </c>
      <c r="F111" s="6033"/>
      <c r="G111" s="6033">
        <f>E111/E108*G108</f>
        <v>0</v>
      </c>
      <c r="H111" s="6033"/>
      <c r="I111" s="6016">
        <f>E111/E108*I108</f>
        <v>0</v>
      </c>
      <c r="J111" s="6064"/>
      <c r="K111" s="5992">
        <f>SUM(E111:J111)</f>
        <v>0</v>
      </c>
      <c r="L111" s="5993"/>
      <c r="M111" s="651"/>
      <c r="N111" s="651"/>
      <c r="O111" s="651"/>
      <c r="P111" s="651"/>
      <c r="Q111" s="651"/>
    </row>
    <row r="112" spans="1:17" s="116" customFormat="1" ht="13" x14ac:dyDescent="0.3">
      <c r="A112" s="6090" t="s">
        <v>1253</v>
      </c>
      <c r="B112" s="6091"/>
      <c r="C112" s="6091"/>
      <c r="D112" s="6092"/>
      <c r="E112" s="6016">
        <f>E108*F38</f>
        <v>0</v>
      </c>
      <c r="F112" s="6017"/>
      <c r="G112" s="6016">
        <f>E112+(G108*F38)</f>
        <v>0</v>
      </c>
      <c r="H112" s="6017"/>
      <c r="I112" s="6433">
        <f>G112+(I108*F38)</f>
        <v>0</v>
      </c>
      <c r="J112" s="6434"/>
      <c r="K112" s="5992">
        <f t="shared" ref="K112:K122" si="2">SUM(E112:J112)</f>
        <v>0</v>
      </c>
      <c r="L112" s="5993"/>
      <c r="M112" s="651"/>
      <c r="N112" s="651"/>
      <c r="O112" s="651"/>
      <c r="P112" s="651"/>
      <c r="Q112" s="651"/>
    </row>
    <row r="113" spans="1:17" s="116" customFormat="1" ht="13" x14ac:dyDescent="0.3">
      <c r="A113" s="6090"/>
      <c r="B113" s="6091"/>
      <c r="C113" s="6091"/>
      <c r="D113" s="6092"/>
      <c r="E113" s="6016"/>
      <c r="F113" s="6017"/>
      <c r="G113" s="6016"/>
      <c r="H113" s="6017"/>
      <c r="I113" s="6016"/>
      <c r="J113" s="6064"/>
      <c r="K113" s="5998"/>
      <c r="L113" s="5999"/>
      <c r="M113" s="651"/>
      <c r="N113" s="651"/>
      <c r="O113" s="651"/>
      <c r="P113" s="651"/>
      <c r="Q113" s="651"/>
    </row>
    <row r="114" spans="1:17" s="116" customFormat="1" ht="13" x14ac:dyDescent="0.3">
      <c r="A114" s="6090" t="str">
        <f>B40</f>
        <v>CA annuel SaaS en mode abonnement souscription</v>
      </c>
      <c r="B114" s="6091"/>
      <c r="C114" s="6091"/>
      <c r="D114" s="6092"/>
      <c r="E114" s="6033">
        <f>F50*E108</f>
        <v>48000</v>
      </c>
      <c r="F114" s="6033"/>
      <c r="G114" s="6016">
        <f>E114/E108*G108</f>
        <v>48000</v>
      </c>
      <c r="H114" s="6017"/>
      <c r="I114" s="6016">
        <f>G114/G108*I108</f>
        <v>48000</v>
      </c>
      <c r="J114" s="6064"/>
      <c r="K114" s="5992">
        <f t="shared" si="2"/>
        <v>144000</v>
      </c>
      <c r="L114" s="5993"/>
      <c r="M114" s="651"/>
      <c r="N114" s="651"/>
      <c r="O114" s="651"/>
      <c r="P114" s="651"/>
      <c r="Q114" s="651"/>
    </row>
    <row r="115" spans="1:17" s="116" customFormat="1" ht="13" x14ac:dyDescent="0.3">
      <c r="A115" s="6090" t="s">
        <v>1249</v>
      </c>
      <c r="B115" s="6091"/>
      <c r="C115" s="6091"/>
      <c r="D115" s="6092"/>
      <c r="E115" s="6016"/>
      <c r="F115" s="6017"/>
      <c r="G115" s="6016">
        <f>E114</f>
        <v>48000</v>
      </c>
      <c r="H115" s="6017"/>
      <c r="I115" s="6016">
        <f>G115+G114</f>
        <v>96000</v>
      </c>
      <c r="J115" s="6064"/>
      <c r="K115" s="5992">
        <f t="shared" si="2"/>
        <v>144000</v>
      </c>
      <c r="L115" s="5993"/>
      <c r="M115" s="651"/>
      <c r="N115" s="651"/>
      <c r="O115" s="651"/>
      <c r="P115" s="651"/>
      <c r="Q115" s="651"/>
    </row>
    <row r="116" spans="1:17" s="116" customFormat="1" ht="13" x14ac:dyDescent="0.3">
      <c r="A116" s="6090"/>
      <c r="B116" s="6091"/>
      <c r="C116" s="6091"/>
      <c r="D116" s="6092"/>
      <c r="E116" s="6016"/>
      <c r="F116" s="6017"/>
      <c r="G116" s="6016"/>
      <c r="H116" s="6017"/>
      <c r="I116" s="6016"/>
      <c r="J116" s="6064"/>
      <c r="K116" s="5998"/>
      <c r="L116" s="5999"/>
      <c r="M116" s="651"/>
      <c r="N116" s="651"/>
      <c r="O116" s="651"/>
      <c r="P116" s="651"/>
      <c r="Q116" s="651"/>
    </row>
    <row r="117" spans="1:17" s="116" customFormat="1" ht="13" x14ac:dyDescent="0.3">
      <c r="A117" s="6090" t="s">
        <v>1484</v>
      </c>
      <c r="B117" s="6091"/>
      <c r="C117" s="6091"/>
      <c r="D117" s="6092"/>
      <c r="E117" s="6033">
        <f>F42*E108</f>
        <v>0</v>
      </c>
      <c r="F117" s="6033"/>
      <c r="G117" s="6016">
        <f>E117/E108*G108</f>
        <v>0</v>
      </c>
      <c r="H117" s="6017"/>
      <c r="I117" s="6016">
        <f>G117/G108*I108</f>
        <v>0</v>
      </c>
      <c r="J117" s="6064"/>
      <c r="K117" s="5992">
        <f t="shared" si="2"/>
        <v>0</v>
      </c>
      <c r="L117" s="5993"/>
      <c r="M117" s="651"/>
      <c r="N117" s="651"/>
      <c r="O117" s="651"/>
      <c r="P117" s="651"/>
      <c r="Q117" s="651"/>
    </row>
    <row r="118" spans="1:17" s="116" customFormat="1" ht="11.25" customHeight="1" x14ac:dyDescent="0.3">
      <c r="A118" s="6090"/>
      <c r="B118" s="6091"/>
      <c r="C118" s="6091"/>
      <c r="D118" s="6092"/>
      <c r="E118" s="6016"/>
      <c r="F118" s="6017"/>
      <c r="G118" s="6016"/>
      <c r="H118" s="6017"/>
      <c r="I118" s="6016"/>
      <c r="J118" s="6064"/>
      <c r="K118" s="5998"/>
      <c r="L118" s="5999"/>
      <c r="M118" s="651"/>
      <c r="N118" s="651"/>
      <c r="O118" s="651"/>
      <c r="P118" s="651"/>
      <c r="Q118" s="651"/>
    </row>
    <row r="119" spans="1:17" s="116" customFormat="1" ht="13" x14ac:dyDescent="0.3">
      <c r="A119" s="6090" t="s">
        <v>1485</v>
      </c>
      <c r="B119" s="6091"/>
      <c r="C119" s="6091"/>
      <c r="D119" s="6092"/>
      <c r="E119" s="6016">
        <f>F68*E108</f>
        <v>300000</v>
      </c>
      <c r="F119" s="6017"/>
      <c r="G119" s="6016">
        <f>F68*G108</f>
        <v>300000</v>
      </c>
      <c r="H119" s="6017"/>
      <c r="I119" s="6016">
        <f>F68*I108</f>
        <v>300000</v>
      </c>
      <c r="J119" s="6064"/>
      <c r="K119" s="5992">
        <f t="shared" si="2"/>
        <v>900000</v>
      </c>
      <c r="L119" s="5993"/>
      <c r="M119" s="651"/>
      <c r="N119" s="651"/>
      <c r="O119" s="651"/>
      <c r="P119" s="651"/>
      <c r="Q119" s="651"/>
    </row>
    <row r="120" spans="1:17" s="116" customFormat="1" ht="13" x14ac:dyDescent="0.3">
      <c r="A120" s="6090"/>
      <c r="B120" s="6091"/>
      <c r="C120" s="6091"/>
      <c r="D120" s="6092"/>
      <c r="E120" s="6016"/>
      <c r="F120" s="6017"/>
      <c r="G120" s="6016"/>
      <c r="H120" s="6017"/>
      <c r="I120" s="6016"/>
      <c r="J120" s="6064"/>
      <c r="K120" s="5992"/>
      <c r="L120" s="6093"/>
      <c r="M120" s="651"/>
      <c r="N120" s="651"/>
      <c r="O120" s="651"/>
      <c r="P120" s="651"/>
      <c r="Q120" s="651"/>
    </row>
    <row r="121" spans="1:17" s="116" customFormat="1" ht="13" x14ac:dyDescent="0.3">
      <c r="A121" s="6090" t="s">
        <v>1486</v>
      </c>
      <c r="B121" s="6091"/>
      <c r="C121" s="6091"/>
      <c r="D121" s="6092"/>
      <c r="E121" s="6016"/>
      <c r="F121" s="6017"/>
      <c r="G121" s="6016">
        <f>(('03-BUSINESSCARD-OFR3'!G52/2)+('03-BUSINESSCARD-OFR3'!G53/2))*'09-PROFITPARTNER-OFR3'!E109</f>
        <v>0</v>
      </c>
      <c r="H121" s="6017"/>
      <c r="I121" s="6016">
        <f>G121+(G121/E108*G108)</f>
        <v>0</v>
      </c>
      <c r="J121" s="6017"/>
      <c r="K121" s="5992">
        <f>SUM(E121:J121)</f>
        <v>0</v>
      </c>
      <c r="L121" s="5993"/>
      <c r="M121" s="651"/>
      <c r="N121" s="651"/>
      <c r="O121" s="651"/>
      <c r="P121" s="651"/>
      <c r="Q121" s="651"/>
    </row>
    <row r="122" spans="1:17" s="116" customFormat="1" ht="13" x14ac:dyDescent="0.3">
      <c r="A122" s="6090" t="s">
        <v>1487</v>
      </c>
      <c r="B122" s="6091"/>
      <c r="C122" s="6091"/>
      <c r="D122" s="6092"/>
      <c r="E122" s="6016"/>
      <c r="F122" s="6017"/>
      <c r="G122" s="6016">
        <f>('03-BUSINESSCARD-OFR3'!G54/2*'09-PROFITPARTNER-OFR3'!E109)</f>
        <v>0</v>
      </c>
      <c r="H122" s="6017"/>
      <c r="I122" s="6016">
        <f>G122+(G122/E108*G108)</f>
        <v>0</v>
      </c>
      <c r="J122" s="6064"/>
      <c r="K122" s="5992">
        <f t="shared" si="2"/>
        <v>0</v>
      </c>
      <c r="L122" s="5993"/>
      <c r="M122" s="651"/>
      <c r="N122" s="651"/>
      <c r="O122" s="651"/>
      <c r="P122" s="651"/>
      <c r="Q122" s="651"/>
    </row>
    <row r="123" spans="1:17" s="116" customFormat="1" ht="3.75" customHeight="1" x14ac:dyDescent="0.3">
      <c r="A123" s="6019"/>
      <c r="B123" s="6020"/>
      <c r="C123" s="6020"/>
      <c r="D123" s="6020"/>
      <c r="E123" s="6020"/>
      <c r="F123" s="6020"/>
      <c r="G123" s="6020"/>
      <c r="H123" s="6020"/>
      <c r="I123" s="6020"/>
      <c r="J123" s="6055"/>
      <c r="K123" s="6080"/>
      <c r="L123" s="5999"/>
      <c r="M123" s="651"/>
      <c r="N123" s="651"/>
      <c r="O123" s="651"/>
      <c r="P123" s="651"/>
      <c r="Q123" s="651"/>
    </row>
    <row r="124" spans="1:17" s="116" customFormat="1" ht="13.5" thickBot="1" x14ac:dyDescent="0.35">
      <c r="A124" s="6094" t="s">
        <v>1488</v>
      </c>
      <c r="B124" s="6095"/>
      <c r="C124" s="6095"/>
      <c r="D124" s="6095"/>
      <c r="E124" s="6096">
        <f>SUM(E111:F122)</f>
        <v>348000</v>
      </c>
      <c r="F124" s="6097"/>
      <c r="G124" s="6096">
        <f>SUM(G111:H122)</f>
        <v>396000</v>
      </c>
      <c r="H124" s="6097"/>
      <c r="I124" s="6096">
        <f>SUM(I111:J122)</f>
        <v>444000</v>
      </c>
      <c r="J124" s="6098"/>
      <c r="K124" s="6099">
        <f>SUM(E124:J124)</f>
        <v>1188000</v>
      </c>
      <c r="L124" s="6100"/>
      <c r="M124" s="651"/>
      <c r="N124" s="651"/>
      <c r="O124" s="651"/>
      <c r="P124" s="651"/>
      <c r="Q124" s="651"/>
    </row>
    <row r="125" spans="1:17" s="116" customFormat="1" ht="13.15" customHeight="1" thickBot="1" x14ac:dyDescent="0.35">
      <c r="A125" s="6073"/>
      <c r="B125" s="6074"/>
      <c r="C125" s="6074"/>
      <c r="D125" s="6075"/>
      <c r="E125" s="6076"/>
      <c r="F125" s="6077"/>
      <c r="G125" s="6076"/>
      <c r="H125" s="6077"/>
      <c r="I125" s="6078"/>
      <c r="J125" s="6079"/>
      <c r="K125" s="6080"/>
      <c r="L125" s="5999"/>
      <c r="M125" s="651"/>
      <c r="N125" s="651"/>
      <c r="O125" s="651"/>
      <c r="P125" s="651"/>
      <c r="Q125" s="651"/>
    </row>
    <row r="126" spans="1:17" s="116" customFormat="1" ht="17.25" customHeight="1" x14ac:dyDescent="0.3">
      <c r="A126" s="6081" t="s">
        <v>1489</v>
      </c>
      <c r="B126" s="6082"/>
      <c r="C126" s="6082"/>
      <c r="D126" s="6083"/>
      <c r="E126" s="6084"/>
      <c r="F126" s="6085"/>
      <c r="G126" s="6084"/>
      <c r="H126" s="6085"/>
      <c r="I126" s="6086"/>
      <c r="J126" s="6087"/>
      <c r="K126" s="6088"/>
      <c r="L126" s="6089"/>
      <c r="M126" s="651"/>
      <c r="N126" s="651"/>
      <c r="O126" s="651"/>
      <c r="P126" s="651"/>
      <c r="Q126" s="651"/>
    </row>
    <row r="127" spans="1:17" s="116" customFormat="1" ht="13" x14ac:dyDescent="0.3">
      <c r="A127" s="6070" t="s">
        <v>1094</v>
      </c>
      <c r="B127" s="6071"/>
      <c r="C127" s="6071"/>
      <c r="D127" s="6072"/>
      <c r="E127" s="6016">
        <f>E111*E107</f>
        <v>0</v>
      </c>
      <c r="F127" s="6017"/>
      <c r="G127" s="6016">
        <f>G111*E107</f>
        <v>0</v>
      </c>
      <c r="H127" s="6017"/>
      <c r="I127" s="6016">
        <f>I111*E107</f>
        <v>0</v>
      </c>
      <c r="J127" s="6064"/>
      <c r="K127" s="5992">
        <f>SUM(E127:J127)</f>
        <v>0</v>
      </c>
      <c r="L127" s="5993"/>
      <c r="M127" s="651"/>
      <c r="N127" s="651"/>
      <c r="O127" s="651"/>
      <c r="P127" s="651"/>
      <c r="Q127" s="651"/>
    </row>
    <row r="128" spans="1:17" s="116" customFormat="1" ht="13" x14ac:dyDescent="0.3">
      <c r="A128" s="6070" t="s">
        <v>1095</v>
      </c>
      <c r="B128" s="6071"/>
      <c r="C128" s="6071"/>
      <c r="D128" s="6072"/>
      <c r="E128" s="6016">
        <f>E112*E107</f>
        <v>0</v>
      </c>
      <c r="F128" s="6017"/>
      <c r="G128" s="6016">
        <f>E107*G112</f>
        <v>0</v>
      </c>
      <c r="H128" s="6017"/>
      <c r="I128" s="6016">
        <f>E107*I112</f>
        <v>0</v>
      </c>
      <c r="J128" s="6064"/>
      <c r="K128" s="5992">
        <f t="shared" ref="K128:K151" si="3">SUM(E128:J128)</f>
        <v>0</v>
      </c>
      <c r="L128" s="5993"/>
      <c r="M128" s="651"/>
      <c r="N128" s="651"/>
      <c r="O128" s="651"/>
      <c r="P128" s="651"/>
      <c r="Q128" s="651"/>
    </row>
    <row r="129" spans="1:17" s="116" customFormat="1" ht="6" customHeight="1" x14ac:dyDescent="0.3">
      <c r="A129" s="1599"/>
      <c r="B129" s="1600"/>
      <c r="C129" s="1600"/>
      <c r="D129" s="1601"/>
      <c r="E129" s="1596"/>
      <c r="F129" s="1597"/>
      <c r="G129" s="1596"/>
      <c r="H129" s="1597"/>
      <c r="I129" s="1596"/>
      <c r="J129" s="1598"/>
      <c r="K129" s="6068"/>
      <c r="L129" s="6069"/>
      <c r="M129" s="651"/>
      <c r="N129" s="651"/>
      <c r="O129" s="651"/>
      <c r="P129" s="651"/>
      <c r="Q129" s="651"/>
    </row>
    <row r="130" spans="1:17" s="116" customFormat="1" ht="13" x14ac:dyDescent="0.3">
      <c r="A130" s="6070" t="s">
        <v>904</v>
      </c>
      <c r="B130" s="6071"/>
      <c r="C130" s="6071"/>
      <c r="D130" s="6072"/>
      <c r="E130" s="6016">
        <f>E114*E107</f>
        <v>0</v>
      </c>
      <c r="F130" s="6017"/>
      <c r="G130" s="6016">
        <f>G114*E107</f>
        <v>0</v>
      </c>
      <c r="H130" s="6017"/>
      <c r="I130" s="6016">
        <f>I114*E107</f>
        <v>0</v>
      </c>
      <c r="J130" s="6064"/>
      <c r="K130" s="5992">
        <f t="shared" si="3"/>
        <v>0</v>
      </c>
      <c r="L130" s="5993"/>
      <c r="M130" s="651"/>
      <c r="N130" s="651"/>
      <c r="O130" s="651"/>
      <c r="P130" s="651"/>
      <c r="Q130" s="651"/>
    </row>
    <row r="131" spans="1:17" s="116" customFormat="1" ht="13" x14ac:dyDescent="0.3">
      <c r="A131" s="6070" t="s">
        <v>905</v>
      </c>
      <c r="B131" s="6071"/>
      <c r="C131" s="6071"/>
      <c r="D131" s="6072"/>
      <c r="E131" s="6016"/>
      <c r="F131" s="6017"/>
      <c r="G131" s="6016">
        <f>E114*G107</f>
        <v>0</v>
      </c>
      <c r="H131" s="6017"/>
      <c r="I131" s="6016">
        <f>G131+G114*I107</f>
        <v>0</v>
      </c>
      <c r="J131" s="6064"/>
      <c r="K131" s="5992">
        <f t="shared" si="3"/>
        <v>0</v>
      </c>
      <c r="L131" s="5993"/>
      <c r="M131" s="651"/>
      <c r="N131" s="651"/>
      <c r="O131" s="651"/>
      <c r="P131" s="651"/>
      <c r="Q131" s="651"/>
    </row>
    <row r="132" spans="1:17" s="117" customFormat="1" ht="4.5" customHeight="1" x14ac:dyDescent="0.3">
      <c r="A132" s="6065"/>
      <c r="B132" s="6066"/>
      <c r="C132" s="6066"/>
      <c r="D132" s="6067"/>
      <c r="E132" s="6016"/>
      <c r="F132" s="6017"/>
      <c r="G132" s="6016"/>
      <c r="H132" s="6017"/>
      <c r="I132" s="6016"/>
      <c r="J132" s="6064"/>
      <c r="K132" s="6068"/>
      <c r="L132" s="6069"/>
      <c r="M132" s="981"/>
      <c r="N132" s="981"/>
      <c r="O132" s="981"/>
      <c r="P132" s="981"/>
      <c r="Q132" s="981"/>
    </row>
    <row r="133" spans="1:17" s="116" customFormat="1" ht="13" x14ac:dyDescent="0.3">
      <c r="A133" s="6070" t="s">
        <v>1248</v>
      </c>
      <c r="B133" s="6071"/>
      <c r="C133" s="6071"/>
      <c r="D133" s="6072"/>
      <c r="E133" s="6016">
        <f>E117*E107</f>
        <v>0</v>
      </c>
      <c r="F133" s="6017"/>
      <c r="G133" s="6016">
        <f>G117*E107</f>
        <v>0</v>
      </c>
      <c r="H133" s="6017"/>
      <c r="I133" s="6016">
        <f>I117*E107</f>
        <v>0</v>
      </c>
      <c r="J133" s="6064"/>
      <c r="K133" s="5992">
        <f t="shared" si="3"/>
        <v>0</v>
      </c>
      <c r="L133" s="5993"/>
      <c r="M133" s="651"/>
      <c r="N133" s="651"/>
      <c r="O133" s="651"/>
      <c r="P133" s="651"/>
      <c r="Q133" s="651"/>
    </row>
    <row r="134" spans="1:17" s="117" customFormat="1" ht="4.9000000000000004" customHeight="1" x14ac:dyDescent="0.3">
      <c r="A134" s="1599"/>
      <c r="B134" s="1600"/>
      <c r="C134" s="1600"/>
      <c r="D134" s="1601"/>
      <c r="E134" s="1596"/>
      <c r="F134" s="1597"/>
      <c r="G134" s="1596"/>
      <c r="H134" s="1597"/>
      <c r="I134" s="1596"/>
      <c r="J134" s="1598"/>
      <c r="K134" s="1535"/>
      <c r="L134" s="1536"/>
      <c r="M134" s="981"/>
      <c r="N134" s="981"/>
      <c r="O134" s="981"/>
      <c r="P134" s="981"/>
      <c r="Q134" s="981"/>
    </row>
    <row r="135" spans="1:17" s="116" customFormat="1" ht="13" x14ac:dyDescent="0.3">
      <c r="A135" s="6070" t="s">
        <v>1251</v>
      </c>
      <c r="B135" s="6071"/>
      <c r="C135" s="6071"/>
      <c r="D135" s="6072"/>
      <c r="E135" s="6016"/>
      <c r="F135" s="6017"/>
      <c r="G135" s="6016">
        <f>G121*G107</f>
        <v>0</v>
      </c>
      <c r="H135" s="6017"/>
      <c r="I135" s="6016">
        <f>I121*G107</f>
        <v>0</v>
      </c>
      <c r="J135" s="6017"/>
      <c r="K135" s="5992">
        <f t="shared" si="3"/>
        <v>0</v>
      </c>
      <c r="L135" s="5993"/>
      <c r="M135" s="651"/>
      <c r="N135" s="651"/>
      <c r="O135" s="651"/>
      <c r="P135" s="651"/>
      <c r="Q135" s="651"/>
    </row>
    <row r="136" spans="1:17" s="116" customFormat="1" ht="3.75" customHeight="1" x14ac:dyDescent="0.3">
      <c r="A136" s="6019"/>
      <c r="B136" s="6020"/>
      <c r="C136" s="6020"/>
      <c r="D136" s="6020"/>
      <c r="E136" s="6020"/>
      <c r="F136" s="6020"/>
      <c r="G136" s="6020"/>
      <c r="H136" s="6020"/>
      <c r="I136" s="6020"/>
      <c r="J136" s="6055"/>
      <c r="K136" s="5998"/>
      <c r="L136" s="5999"/>
      <c r="M136" s="651"/>
      <c r="N136" s="651"/>
      <c r="O136" s="651"/>
      <c r="P136" s="651"/>
      <c r="Q136" s="651"/>
    </row>
    <row r="137" spans="1:17" s="116" customFormat="1" ht="13.5" thickBot="1" x14ac:dyDescent="0.35">
      <c r="A137" s="6056" t="s">
        <v>1170</v>
      </c>
      <c r="B137" s="6057"/>
      <c r="C137" s="6057"/>
      <c r="D137" s="6058"/>
      <c r="E137" s="6059">
        <f>SUM(E127:F135)</f>
        <v>0</v>
      </c>
      <c r="F137" s="6060"/>
      <c r="G137" s="6059">
        <f>SUM(G127:H135)</f>
        <v>0</v>
      </c>
      <c r="H137" s="6060"/>
      <c r="I137" s="6059">
        <f>SUM(I127:J135)</f>
        <v>0</v>
      </c>
      <c r="J137" s="6061"/>
      <c r="K137" s="6062">
        <f t="shared" si="3"/>
        <v>0</v>
      </c>
      <c r="L137" s="6063"/>
      <c r="M137" s="651"/>
      <c r="N137" s="651"/>
      <c r="O137" s="651"/>
      <c r="P137" s="651"/>
      <c r="Q137" s="651"/>
    </row>
    <row r="138" spans="1:17" s="117" customFormat="1" ht="13" x14ac:dyDescent="0.3">
      <c r="A138" s="6044"/>
      <c r="B138" s="6045"/>
      <c r="C138" s="6045"/>
      <c r="D138" s="6046"/>
      <c r="E138" s="6047"/>
      <c r="F138" s="6048"/>
      <c r="G138" s="6047"/>
      <c r="H138" s="6048"/>
      <c r="I138" s="6047"/>
      <c r="J138" s="6049"/>
      <c r="K138" s="6050"/>
      <c r="L138" s="6051"/>
      <c r="M138" s="981"/>
      <c r="N138" s="981"/>
      <c r="O138" s="981"/>
      <c r="P138" s="981"/>
      <c r="Q138" s="981"/>
    </row>
    <row r="139" spans="1:17" s="116" customFormat="1" ht="16.899999999999999" customHeight="1" x14ac:dyDescent="0.3">
      <c r="A139" s="6034" t="s">
        <v>1490</v>
      </c>
      <c r="B139" s="6035"/>
      <c r="C139" s="6035"/>
      <c r="D139" s="6036"/>
      <c r="E139" s="6037"/>
      <c r="F139" s="6038"/>
      <c r="G139" s="6037"/>
      <c r="H139" s="6038"/>
      <c r="I139" s="6037"/>
      <c r="J139" s="6430"/>
      <c r="K139" s="6431"/>
      <c r="L139" s="6432"/>
      <c r="M139" s="651"/>
      <c r="N139" s="651"/>
      <c r="O139" s="651"/>
      <c r="P139" s="651"/>
      <c r="Q139" s="651"/>
    </row>
    <row r="140" spans="1:17" s="116" customFormat="1" ht="13" x14ac:dyDescent="0.3">
      <c r="A140" s="6031" t="s">
        <v>1255</v>
      </c>
      <c r="B140" s="6032"/>
      <c r="C140" s="6032"/>
      <c r="D140" s="6032"/>
      <c r="E140" s="6033">
        <f>E108*F92</f>
        <v>141050</v>
      </c>
      <c r="F140" s="6033"/>
      <c r="G140" s="6033">
        <f>G108*F92</f>
        <v>141050</v>
      </c>
      <c r="H140" s="6033"/>
      <c r="I140" s="6033">
        <f>I108*F92</f>
        <v>141050</v>
      </c>
      <c r="J140" s="6429"/>
      <c r="K140" s="5992">
        <f t="shared" si="3"/>
        <v>423150</v>
      </c>
      <c r="L140" s="5993"/>
      <c r="M140" s="651"/>
      <c r="N140" s="651"/>
      <c r="O140" s="651"/>
      <c r="P140" s="651"/>
      <c r="Q140" s="651"/>
    </row>
    <row r="141" spans="1:17" s="116" customFormat="1" ht="13" x14ac:dyDescent="0.3">
      <c r="A141" s="6031" t="s">
        <v>1491</v>
      </c>
      <c r="B141" s="6032"/>
      <c r="C141" s="6032"/>
      <c r="D141" s="6032"/>
      <c r="E141" s="6033">
        <f>E109*F93</f>
        <v>0</v>
      </c>
      <c r="F141" s="6033"/>
      <c r="G141" s="6033">
        <f>G122*50%</f>
        <v>0</v>
      </c>
      <c r="H141" s="6033"/>
      <c r="I141" s="6033">
        <f>I122*50%</f>
        <v>0</v>
      </c>
      <c r="J141" s="6033"/>
      <c r="K141" s="5992">
        <f>SUM(E141:J141)</f>
        <v>0</v>
      </c>
      <c r="L141" s="5993"/>
      <c r="M141" s="651"/>
      <c r="N141" s="651"/>
      <c r="O141" s="651"/>
      <c r="P141" s="651"/>
      <c r="Q141" s="651"/>
    </row>
    <row r="142" spans="1:17" s="116" customFormat="1" ht="13" x14ac:dyDescent="0.3">
      <c r="A142" s="6031" t="s">
        <v>1492</v>
      </c>
      <c r="B142" s="6032"/>
      <c r="C142" s="6032"/>
      <c r="D142" s="6032"/>
      <c r="E142" s="6033">
        <f>E135</f>
        <v>0</v>
      </c>
      <c r="F142" s="6033"/>
      <c r="G142" s="6033">
        <f>G135</f>
        <v>0</v>
      </c>
      <c r="H142" s="6033"/>
      <c r="I142" s="6033">
        <f>I135</f>
        <v>0</v>
      </c>
      <c r="J142" s="6033"/>
      <c r="K142" s="5992">
        <f t="shared" si="3"/>
        <v>0</v>
      </c>
      <c r="L142" s="5993"/>
      <c r="M142" s="651"/>
      <c r="N142" s="651"/>
      <c r="O142" s="651"/>
      <c r="P142" s="651"/>
      <c r="Q142" s="651"/>
    </row>
    <row r="143" spans="1:17" s="116" customFormat="1" ht="13" x14ac:dyDescent="0.3">
      <c r="A143" s="6031" t="s">
        <v>1256</v>
      </c>
      <c r="B143" s="6032"/>
      <c r="C143" s="6032"/>
      <c r="D143" s="6032"/>
      <c r="E143" s="6033">
        <v>0</v>
      </c>
      <c r="F143" s="6033"/>
      <c r="G143" s="6033">
        <f>E112*E107</f>
        <v>0</v>
      </c>
      <c r="H143" s="6033"/>
      <c r="I143" s="6033">
        <f>G112*E107</f>
        <v>0</v>
      </c>
      <c r="J143" s="6033"/>
      <c r="K143" s="5992">
        <f t="shared" si="3"/>
        <v>0</v>
      </c>
      <c r="L143" s="5993"/>
      <c r="M143" s="651"/>
      <c r="N143" s="651"/>
      <c r="O143" s="651"/>
      <c r="P143" s="651"/>
      <c r="Q143" s="651"/>
    </row>
    <row r="144" spans="1:17" s="116" customFormat="1" ht="13" x14ac:dyDescent="0.3">
      <c r="A144" s="6013" t="s">
        <v>1493</v>
      </c>
      <c r="B144" s="6014"/>
      <c r="C144" s="6014"/>
      <c r="D144" s="6015"/>
      <c r="E144" s="6016"/>
      <c r="F144" s="6017"/>
      <c r="G144" s="6016">
        <f>G115</f>
        <v>48000</v>
      </c>
      <c r="H144" s="6017"/>
      <c r="I144" s="6016">
        <f>I115</f>
        <v>96000</v>
      </c>
      <c r="J144" s="6017"/>
      <c r="K144" s="5992">
        <f t="shared" si="3"/>
        <v>144000</v>
      </c>
      <c r="L144" s="5993"/>
      <c r="M144" s="651"/>
      <c r="N144" s="651"/>
      <c r="O144" s="651"/>
      <c r="P144" s="651"/>
      <c r="Q144" s="651"/>
    </row>
    <row r="145" spans="1:17" s="116" customFormat="1" ht="3.75" customHeight="1" x14ac:dyDescent="0.3">
      <c r="A145" s="6019"/>
      <c r="B145" s="6020"/>
      <c r="C145" s="6020"/>
      <c r="D145" s="6020"/>
      <c r="E145" s="6020"/>
      <c r="F145" s="6020"/>
      <c r="G145" s="6020"/>
      <c r="H145" s="6020"/>
      <c r="I145" s="6020"/>
      <c r="J145" s="6055"/>
      <c r="K145" s="5998"/>
      <c r="L145" s="5999"/>
      <c r="M145" s="651"/>
      <c r="N145" s="651"/>
      <c r="O145" s="651"/>
      <c r="P145" s="651"/>
      <c r="Q145" s="651"/>
    </row>
    <row r="146" spans="1:17" s="116" customFormat="1" ht="13" x14ac:dyDescent="0.3">
      <c r="A146" s="6023" t="s">
        <v>1252</v>
      </c>
      <c r="B146" s="6024"/>
      <c r="C146" s="6024"/>
      <c r="D146" s="6025"/>
      <c r="E146" s="6026">
        <f>SUM(E140:F144)</f>
        <v>141050</v>
      </c>
      <c r="F146" s="6027"/>
      <c r="G146" s="6026">
        <f>SUM(G140:H144)</f>
        <v>189050</v>
      </c>
      <c r="H146" s="6027"/>
      <c r="I146" s="6026">
        <f>SUM(I140:J144)</f>
        <v>237050</v>
      </c>
      <c r="J146" s="6027"/>
      <c r="K146" s="6426">
        <f t="shared" si="3"/>
        <v>567150</v>
      </c>
      <c r="L146" s="6427"/>
      <c r="M146" s="651"/>
      <c r="N146" s="651"/>
      <c r="O146" s="651"/>
      <c r="P146" s="651"/>
      <c r="Q146" s="651"/>
    </row>
    <row r="147" spans="1:17" s="116" customFormat="1" ht="13" x14ac:dyDescent="0.3">
      <c r="A147" s="6000"/>
      <c r="B147" s="6001"/>
      <c r="C147" s="6001"/>
      <c r="D147" s="6002"/>
      <c r="E147" s="6244"/>
      <c r="F147" s="6245"/>
      <c r="G147" s="6244"/>
      <c r="H147" s="6245"/>
      <c r="I147" s="6244"/>
      <c r="J147" s="6428"/>
      <c r="K147" s="5998">
        <f t="shared" si="3"/>
        <v>0</v>
      </c>
      <c r="L147" s="5999"/>
      <c r="M147" s="651"/>
      <c r="N147" s="651"/>
      <c r="O147" s="651"/>
      <c r="P147" s="651"/>
      <c r="Q147" s="651"/>
    </row>
    <row r="148" spans="1:17" s="116" customFormat="1" ht="13" x14ac:dyDescent="0.3">
      <c r="A148" s="6008" t="s">
        <v>485</v>
      </c>
      <c r="B148" s="6009"/>
      <c r="C148" s="6009"/>
      <c r="D148" s="6009"/>
      <c r="E148" s="5990">
        <v>0</v>
      </c>
      <c r="F148" s="5990"/>
      <c r="G148" s="5990">
        <v>0</v>
      </c>
      <c r="H148" s="5990"/>
      <c r="I148" s="5990">
        <v>0</v>
      </c>
      <c r="J148" s="5991"/>
      <c r="K148" s="5992">
        <f t="shared" si="3"/>
        <v>0</v>
      </c>
      <c r="L148" s="5993"/>
      <c r="M148" s="651"/>
      <c r="N148" s="651"/>
      <c r="O148" s="651"/>
      <c r="P148" s="651"/>
      <c r="Q148" s="651"/>
    </row>
    <row r="149" spans="1:17" s="117" customFormat="1" ht="12.75" customHeight="1" x14ac:dyDescent="0.3">
      <c r="A149" s="5988" t="s">
        <v>484</v>
      </c>
      <c r="B149" s="5989"/>
      <c r="C149" s="5989"/>
      <c r="D149" s="5989"/>
      <c r="E149" s="5990">
        <v>0</v>
      </c>
      <c r="F149" s="5990"/>
      <c r="G149" s="5990">
        <v>0</v>
      </c>
      <c r="H149" s="5990"/>
      <c r="I149" s="5990">
        <v>0</v>
      </c>
      <c r="J149" s="5991"/>
      <c r="K149" s="5992">
        <f t="shared" si="3"/>
        <v>0</v>
      </c>
      <c r="L149" s="5993"/>
      <c r="M149" s="981"/>
      <c r="N149" s="981"/>
      <c r="O149" s="981"/>
      <c r="P149" s="981"/>
      <c r="Q149" s="981"/>
    </row>
    <row r="150" spans="1:17" s="117" customFormat="1" ht="13.5" thickBot="1" x14ac:dyDescent="0.35">
      <c r="A150" s="5994"/>
      <c r="B150" s="5995"/>
      <c r="C150" s="5995"/>
      <c r="D150" s="5995"/>
      <c r="E150" s="5996"/>
      <c r="F150" s="5996"/>
      <c r="G150" s="5996"/>
      <c r="H150" s="5996"/>
      <c r="I150" s="5996"/>
      <c r="J150" s="5997"/>
      <c r="K150" s="5998">
        <f t="shared" si="3"/>
        <v>0</v>
      </c>
      <c r="L150" s="5999"/>
      <c r="M150" s="981"/>
      <c r="N150" s="981"/>
      <c r="O150" s="981"/>
      <c r="P150" s="981"/>
      <c r="Q150" s="981"/>
    </row>
    <row r="151" spans="1:17" s="160" customFormat="1" ht="15.5" x14ac:dyDescent="0.35">
      <c r="A151" s="6419" t="s">
        <v>483</v>
      </c>
      <c r="B151" s="5969"/>
      <c r="C151" s="5969"/>
      <c r="D151" s="5969"/>
      <c r="E151" s="6420">
        <f>E146-E148-E149</f>
        <v>141050</v>
      </c>
      <c r="F151" s="6421"/>
      <c r="G151" s="6422">
        <f>G146-G148-G149</f>
        <v>189050</v>
      </c>
      <c r="H151" s="6422"/>
      <c r="I151" s="6422">
        <f>I146-I148-I149</f>
        <v>237050</v>
      </c>
      <c r="J151" s="6423"/>
      <c r="K151" s="6424">
        <f t="shared" si="3"/>
        <v>567150</v>
      </c>
      <c r="L151" s="6425"/>
      <c r="M151" s="985"/>
      <c r="N151" s="985"/>
      <c r="O151" s="985"/>
      <c r="P151" s="985"/>
      <c r="Q151" s="985"/>
    </row>
    <row r="152" spans="1:17" s="160" customFormat="1" ht="16" thickBot="1" x14ac:dyDescent="0.4">
      <c r="A152" s="5954" t="s">
        <v>642</v>
      </c>
      <c r="B152" s="5955"/>
      <c r="C152" s="5955"/>
      <c r="D152" s="5955"/>
      <c r="E152" s="5956">
        <f>E151/E124</f>
        <v>0.40531609195402296</v>
      </c>
      <c r="F152" s="5957"/>
      <c r="G152" s="5958">
        <f>G151/G124</f>
        <v>0.47739898989898988</v>
      </c>
      <c r="H152" s="5958"/>
      <c r="I152" s="5958">
        <f>I151/I124</f>
        <v>0.53389639639639641</v>
      </c>
      <c r="J152" s="6410"/>
      <c r="K152" s="6411">
        <f>K151/K124</f>
        <v>0.47739898989898988</v>
      </c>
      <c r="L152" s="5961"/>
      <c r="M152" s="985"/>
      <c r="N152" s="985"/>
      <c r="O152" s="985"/>
      <c r="P152" s="985"/>
      <c r="Q152" s="985"/>
    </row>
    <row r="153" spans="1:17" s="116" customFormat="1" ht="16.5" thickTop="1" thickBot="1" x14ac:dyDescent="0.4">
      <c r="A153" s="6412" t="s">
        <v>1777</v>
      </c>
      <c r="B153" s="6413"/>
      <c r="C153" s="6413"/>
      <c r="D153" s="6413"/>
      <c r="E153" s="6414"/>
      <c r="F153" s="6414"/>
      <c r="G153" s="6415">
        <f>G115</f>
        <v>48000</v>
      </c>
      <c r="H153" s="6416"/>
      <c r="I153" s="6415">
        <f>I115</f>
        <v>96000</v>
      </c>
      <c r="J153" s="6416"/>
      <c r="K153" s="6417">
        <f>SUM(E153:J153)</f>
        <v>144000</v>
      </c>
      <c r="L153" s="6418"/>
      <c r="M153" s="651"/>
      <c r="N153" s="651"/>
      <c r="O153" s="651"/>
      <c r="P153" s="651"/>
      <c r="Q153" s="651"/>
    </row>
    <row r="154" spans="1:17" s="116" customFormat="1" ht="16" thickBot="1" x14ac:dyDescent="0.4">
      <c r="A154" s="6400" t="s">
        <v>1494</v>
      </c>
      <c r="B154" s="6401"/>
      <c r="C154" s="6401"/>
      <c r="D154" s="6401"/>
      <c r="E154" s="1639"/>
      <c r="F154" s="1639"/>
      <c r="G154" s="6402">
        <f>G153/G151</f>
        <v>0.25390108436921449</v>
      </c>
      <c r="H154" s="6402"/>
      <c r="I154" s="6402">
        <f>I153/I151</f>
        <v>0.40497785277367643</v>
      </c>
      <c r="J154" s="6403"/>
      <c r="K154" s="6404">
        <f>K153/K151</f>
        <v>0.25390108436921449</v>
      </c>
      <c r="L154" s="6405"/>
      <c r="M154" s="651"/>
      <c r="N154" s="651"/>
      <c r="O154" s="651"/>
      <c r="P154" s="651"/>
      <c r="Q154" s="651"/>
    </row>
    <row r="155" spans="1:17" s="116" customFormat="1" ht="16" thickBot="1" x14ac:dyDescent="0.4">
      <c r="A155" s="5951" t="s">
        <v>1495</v>
      </c>
      <c r="B155" s="5952"/>
      <c r="C155" s="5952"/>
      <c r="D155" s="5952"/>
      <c r="E155" s="1640"/>
      <c r="F155" s="1640"/>
      <c r="G155" s="5953">
        <f>G153/G124</f>
        <v>0.12121212121212122</v>
      </c>
      <c r="H155" s="5953"/>
      <c r="I155" s="5953">
        <f>I153/I124</f>
        <v>0.21621621621621623</v>
      </c>
      <c r="J155" s="6406"/>
      <c r="K155" s="6407">
        <f>K153/K124</f>
        <v>0.12121212121212122</v>
      </c>
      <c r="L155" s="6408"/>
      <c r="M155" s="651"/>
      <c r="N155" s="651"/>
      <c r="O155" s="651"/>
      <c r="P155" s="651"/>
      <c r="Q155" s="651"/>
    </row>
    <row r="156" spans="1:17" s="116" customFormat="1" ht="16" thickTop="1" x14ac:dyDescent="0.35">
      <c r="A156" s="1538"/>
      <c r="B156" s="1538"/>
      <c r="C156" s="1538"/>
      <c r="D156" s="1538"/>
      <c r="E156" s="6409" t="s">
        <v>1779</v>
      </c>
      <c r="F156" s="6409"/>
      <c r="G156" s="1606"/>
      <c r="H156" s="1606"/>
      <c r="I156" s="1606"/>
      <c r="J156" s="1606"/>
      <c r="K156" s="651"/>
      <c r="L156" s="651"/>
      <c r="M156" s="651"/>
      <c r="N156" s="651"/>
      <c r="O156" s="651"/>
      <c r="P156" s="651"/>
      <c r="Q156" s="651"/>
    </row>
    <row r="157" spans="1:17" s="116" customFormat="1" ht="15.5" x14ac:dyDescent="0.35">
      <c r="A157" s="1538"/>
      <c r="B157" s="1538"/>
      <c r="C157" s="1538"/>
      <c r="D157" s="1538"/>
      <c r="E157" s="1539"/>
      <c r="F157" s="1537"/>
      <c r="G157" s="1606"/>
      <c r="H157" s="1606"/>
      <c r="I157" s="1606"/>
      <c r="J157" s="1606"/>
      <c r="K157" s="651"/>
      <c r="L157" s="651"/>
      <c r="M157" s="651"/>
      <c r="N157" s="651"/>
      <c r="O157" s="651"/>
      <c r="P157" s="651"/>
      <c r="Q157" s="651"/>
    </row>
    <row r="158" spans="1:17" s="116" customFormat="1" ht="13.5" thickBot="1" x14ac:dyDescent="0.35">
      <c r="A158" s="651"/>
      <c r="B158" s="651"/>
      <c r="C158" s="993"/>
      <c r="D158" s="651"/>
      <c r="E158" s="651"/>
      <c r="F158" s="651"/>
      <c r="G158" s="651"/>
      <c r="H158" s="651"/>
      <c r="I158" s="651"/>
      <c r="J158" s="651"/>
      <c r="K158" s="651"/>
      <c r="L158" s="651"/>
      <c r="M158" s="651"/>
      <c r="N158" s="651"/>
      <c r="O158" s="651"/>
      <c r="P158" s="651"/>
      <c r="Q158" s="651"/>
    </row>
    <row r="159" spans="1:17" ht="15.5" thickTop="1" thickBot="1" x14ac:dyDescent="0.4">
      <c r="A159" s="6179" t="s">
        <v>10</v>
      </c>
      <c r="B159" s="6180"/>
      <c r="C159" s="6180"/>
      <c r="D159" s="6180"/>
      <c r="E159" s="6180"/>
      <c r="F159" s="6180"/>
      <c r="G159" s="6180"/>
      <c r="H159" s="6180"/>
      <c r="I159" s="6180"/>
      <c r="J159" s="6180"/>
      <c r="K159" s="6180"/>
      <c r="L159" s="157"/>
      <c r="M159" s="3725" t="s">
        <v>748</v>
      </c>
      <c r="N159" s="3726"/>
      <c r="O159" s="3727"/>
      <c r="P159" s="31"/>
      <c r="Q159" s="64"/>
    </row>
    <row r="160" spans="1:17" ht="20.25" customHeight="1" x14ac:dyDescent="0.35">
      <c r="A160" s="6174" t="s">
        <v>1496</v>
      </c>
      <c r="B160" s="6181"/>
      <c r="C160" s="6181"/>
      <c r="D160" s="6181"/>
      <c r="E160" s="6181"/>
      <c r="F160" s="6181"/>
      <c r="G160" s="6181"/>
      <c r="H160" s="6181"/>
      <c r="I160" s="6181"/>
      <c r="J160" s="6181"/>
      <c r="K160" s="6181"/>
      <c r="L160" s="38"/>
      <c r="M160" s="3750" t="s">
        <v>835</v>
      </c>
      <c r="N160" s="5066"/>
      <c r="O160" s="5401"/>
      <c r="P160" s="33"/>
      <c r="Q160" s="64"/>
    </row>
    <row r="161" spans="1:17" ht="20.25" customHeight="1" x14ac:dyDescent="0.35">
      <c r="A161" s="6182"/>
      <c r="B161" s="6183"/>
      <c r="C161" s="6183"/>
      <c r="D161" s="6183"/>
      <c r="E161" s="6183"/>
      <c r="F161" s="6183"/>
      <c r="G161" s="6183"/>
      <c r="H161" s="6183"/>
      <c r="I161" s="6183"/>
      <c r="J161" s="6183"/>
      <c r="K161" s="6183"/>
      <c r="L161" s="38"/>
      <c r="M161" s="3753"/>
      <c r="N161" s="3754"/>
      <c r="O161" s="5067"/>
      <c r="P161" s="33"/>
      <c r="Q161" s="64"/>
    </row>
    <row r="162" spans="1:17" ht="20.25" customHeight="1" x14ac:dyDescent="0.35">
      <c r="A162" s="6182"/>
      <c r="B162" s="6183"/>
      <c r="C162" s="6183"/>
      <c r="D162" s="6183"/>
      <c r="E162" s="6183"/>
      <c r="F162" s="6183"/>
      <c r="G162" s="6183"/>
      <c r="H162" s="6183"/>
      <c r="I162" s="6183"/>
      <c r="J162" s="6183"/>
      <c r="K162" s="6183"/>
      <c r="L162" s="38"/>
      <c r="M162" s="3753"/>
      <c r="N162" s="3754"/>
      <c r="O162" s="5067"/>
      <c r="P162" s="33"/>
      <c r="Q162" s="64"/>
    </row>
    <row r="163" spans="1:17" ht="20.25" customHeight="1" thickBot="1" x14ac:dyDescent="0.4">
      <c r="A163" s="6184"/>
      <c r="B163" s="6185"/>
      <c r="C163" s="6185"/>
      <c r="D163" s="6185"/>
      <c r="E163" s="6185"/>
      <c r="F163" s="6185"/>
      <c r="G163" s="6185"/>
      <c r="H163" s="6185"/>
      <c r="I163" s="6185"/>
      <c r="J163" s="6185"/>
      <c r="K163" s="6185"/>
      <c r="L163" s="38"/>
      <c r="M163" s="5334"/>
      <c r="N163" s="3757"/>
      <c r="O163" s="3758"/>
      <c r="P163" s="33"/>
      <c r="Q163" s="64"/>
    </row>
    <row r="164" spans="1:17" ht="15.5" thickTop="1" thickBot="1" x14ac:dyDescent="0.4">
      <c r="A164" s="64"/>
      <c r="B164" s="64"/>
      <c r="C164" s="64"/>
      <c r="D164" s="64"/>
      <c r="E164" s="64"/>
      <c r="F164" s="64"/>
      <c r="G164" s="64"/>
      <c r="H164" s="64"/>
      <c r="I164" s="64"/>
      <c r="J164" s="64"/>
      <c r="K164" s="64"/>
      <c r="L164" s="64"/>
      <c r="M164" s="31"/>
      <c r="N164" s="31"/>
      <c r="O164" s="31"/>
      <c r="P164" s="64"/>
      <c r="Q164" s="64"/>
    </row>
    <row r="165" spans="1:17" ht="15.5" thickTop="1" thickBot="1" x14ac:dyDescent="0.4">
      <c r="A165" s="6179" t="s">
        <v>11</v>
      </c>
      <c r="B165" s="6186"/>
      <c r="C165" s="6186"/>
      <c r="D165" s="6186"/>
      <c r="E165" s="6186"/>
      <c r="F165" s="6186"/>
      <c r="G165" s="6186"/>
      <c r="H165" s="6186"/>
      <c r="I165" s="6186"/>
      <c r="J165" s="6186"/>
      <c r="K165" s="6186"/>
      <c r="L165" s="157"/>
      <c r="M165" s="3725" t="s">
        <v>748</v>
      </c>
      <c r="N165" s="3726"/>
      <c r="O165" s="3727"/>
      <c r="P165" s="31"/>
      <c r="Q165" s="64"/>
    </row>
    <row r="166" spans="1:17" ht="20.25" customHeight="1" x14ac:dyDescent="0.35">
      <c r="A166" s="6174" t="s">
        <v>643</v>
      </c>
      <c r="B166" s="6175"/>
      <c r="C166" s="6175"/>
      <c r="D166" s="6175"/>
      <c r="E166" s="6175"/>
      <c r="F166" s="6175"/>
      <c r="G166" s="6175"/>
      <c r="H166" s="6175"/>
      <c r="I166" s="6175"/>
      <c r="J166" s="6175"/>
      <c r="K166" s="6175"/>
      <c r="L166" s="38"/>
      <c r="M166" s="3750" t="s">
        <v>836</v>
      </c>
      <c r="N166" s="5066"/>
      <c r="O166" s="5401"/>
      <c r="P166" s="33"/>
      <c r="Q166" s="64"/>
    </row>
    <row r="167" spans="1:17" ht="20.25" customHeight="1" x14ac:dyDescent="0.35">
      <c r="A167" s="6176"/>
      <c r="B167" s="5165"/>
      <c r="C167" s="5165"/>
      <c r="D167" s="5165"/>
      <c r="E167" s="5165"/>
      <c r="F167" s="5165"/>
      <c r="G167" s="5165"/>
      <c r="H167" s="5165"/>
      <c r="I167" s="5165"/>
      <c r="J167" s="5165"/>
      <c r="K167" s="5166"/>
      <c r="L167" s="38"/>
      <c r="M167" s="3753"/>
      <c r="N167" s="3754"/>
      <c r="O167" s="5067"/>
      <c r="P167" s="33"/>
      <c r="Q167" s="64"/>
    </row>
    <row r="168" spans="1:17" ht="20.25" customHeight="1" x14ac:dyDescent="0.35">
      <c r="A168" s="6176"/>
      <c r="B168" s="5165"/>
      <c r="C168" s="5165"/>
      <c r="D168" s="5165"/>
      <c r="E168" s="5165"/>
      <c r="F168" s="5165"/>
      <c r="G168" s="5165"/>
      <c r="H168" s="5165"/>
      <c r="I168" s="5165"/>
      <c r="J168" s="5165"/>
      <c r="K168" s="5166"/>
      <c r="L168" s="38"/>
      <c r="M168" s="3753"/>
      <c r="N168" s="3754"/>
      <c r="O168" s="5067"/>
      <c r="P168" s="33"/>
      <c r="Q168" s="64"/>
    </row>
    <row r="169" spans="1:17" ht="20.25" customHeight="1" thickBot="1" x14ac:dyDescent="0.4">
      <c r="A169" s="6177"/>
      <c r="B169" s="6178"/>
      <c r="C169" s="6178"/>
      <c r="D169" s="6178"/>
      <c r="E169" s="6178"/>
      <c r="F169" s="6178"/>
      <c r="G169" s="6178"/>
      <c r="H169" s="6178"/>
      <c r="I169" s="6178"/>
      <c r="J169" s="6178"/>
      <c r="K169" s="6178"/>
      <c r="L169" s="38"/>
      <c r="M169" s="5334"/>
      <c r="N169" s="3757"/>
      <c r="O169" s="3758"/>
      <c r="P169" s="33"/>
      <c r="Q169" s="64"/>
    </row>
    <row r="170" spans="1:17" ht="15" thickTop="1" x14ac:dyDescent="0.35">
      <c r="A170" s="64"/>
      <c r="B170" s="64"/>
      <c r="C170" s="64"/>
      <c r="D170" s="64"/>
      <c r="E170" s="64"/>
      <c r="F170" s="64"/>
      <c r="G170" s="64"/>
      <c r="H170" s="64"/>
      <c r="I170" s="64"/>
      <c r="J170" s="64"/>
      <c r="K170" s="64"/>
      <c r="L170" s="64"/>
      <c r="M170" s="64"/>
      <c r="N170" s="64"/>
      <c r="O170" s="64"/>
      <c r="P170" s="64"/>
      <c r="Q170" s="64"/>
    </row>
    <row r="171" spans="1:17" x14ac:dyDescent="0.35">
      <c r="A171" s="64"/>
      <c r="B171" s="64"/>
      <c r="C171" s="64"/>
      <c r="D171" s="64"/>
      <c r="E171" s="64"/>
      <c r="F171" s="64"/>
      <c r="G171" s="64"/>
      <c r="H171" s="64"/>
      <c r="I171" s="64"/>
      <c r="J171" s="64"/>
      <c r="K171" s="64"/>
      <c r="L171" s="64"/>
      <c r="M171" s="64"/>
      <c r="N171" s="64"/>
      <c r="O171" s="64"/>
      <c r="P171" s="64"/>
      <c r="Q171" s="64"/>
    </row>
    <row r="172" spans="1:17" x14ac:dyDescent="0.35">
      <c r="A172" s="64"/>
      <c r="B172" s="64"/>
      <c r="C172" s="64"/>
      <c r="D172" s="64"/>
      <c r="E172" s="64"/>
      <c r="F172" s="64"/>
      <c r="G172" s="64"/>
      <c r="H172" s="64"/>
      <c r="I172" s="64"/>
      <c r="J172" s="64"/>
      <c r="K172" s="64"/>
      <c r="L172" s="64"/>
      <c r="M172" s="64"/>
      <c r="N172" s="64"/>
      <c r="O172" s="64"/>
      <c r="P172" s="64"/>
      <c r="Q172" s="64"/>
    </row>
    <row r="173" spans="1:17" x14ac:dyDescent="0.35">
      <c r="A173" s="64"/>
      <c r="B173" s="64"/>
      <c r="C173" s="64"/>
      <c r="D173" s="64"/>
      <c r="E173" s="64"/>
      <c r="F173" s="64"/>
      <c r="G173" s="64"/>
      <c r="H173" s="64"/>
      <c r="I173" s="64"/>
      <c r="J173" s="64"/>
      <c r="K173" s="64"/>
      <c r="L173" s="64"/>
      <c r="M173" s="64"/>
      <c r="N173" s="64"/>
      <c r="O173" s="64"/>
      <c r="P173" s="64"/>
      <c r="Q173" s="64"/>
    </row>
    <row r="174" spans="1:17" x14ac:dyDescent="0.35">
      <c r="A174" s="64"/>
      <c r="B174" s="64"/>
      <c r="C174" s="64"/>
      <c r="D174" s="64"/>
      <c r="E174" s="64"/>
      <c r="F174" s="64"/>
      <c r="G174" s="64"/>
      <c r="H174" s="64"/>
      <c r="I174" s="64"/>
      <c r="J174" s="64"/>
      <c r="K174" s="64"/>
      <c r="L174" s="64"/>
      <c r="M174" s="64"/>
      <c r="N174" s="64"/>
      <c r="O174" s="64"/>
      <c r="P174" s="64"/>
      <c r="Q174" s="64"/>
    </row>
    <row r="175" spans="1:17" x14ac:dyDescent="0.35">
      <c r="A175" s="64"/>
      <c r="B175" s="64"/>
      <c r="C175" s="64"/>
      <c r="D175" s="64"/>
      <c r="E175" s="64"/>
      <c r="F175" s="64"/>
      <c r="G175" s="64"/>
      <c r="H175" s="64"/>
      <c r="I175" s="64"/>
      <c r="J175" s="64"/>
      <c r="K175" s="64"/>
      <c r="L175" s="64"/>
      <c r="M175" s="64"/>
      <c r="N175" s="64"/>
      <c r="O175" s="64"/>
      <c r="P175" s="64"/>
      <c r="Q175" s="64"/>
    </row>
    <row r="176" spans="1:17" x14ac:dyDescent="0.35">
      <c r="A176" s="64"/>
      <c r="B176" s="64"/>
      <c r="C176" s="64"/>
      <c r="D176" s="64"/>
      <c r="E176" s="64"/>
      <c r="F176" s="64"/>
      <c r="G176" s="64"/>
      <c r="H176" s="64"/>
      <c r="I176" s="64"/>
      <c r="J176" s="64"/>
      <c r="K176" s="64"/>
      <c r="L176" s="64"/>
      <c r="M176" s="64"/>
      <c r="N176" s="64"/>
      <c r="O176" s="64"/>
      <c r="P176" s="64"/>
      <c r="Q176" s="64"/>
    </row>
    <row r="177" spans="1:17" x14ac:dyDescent="0.35">
      <c r="A177" s="64"/>
      <c r="B177" s="64"/>
      <c r="C177" s="64"/>
      <c r="D177" s="64"/>
      <c r="E177" s="64"/>
      <c r="F177" s="64"/>
      <c r="G177" s="64"/>
      <c r="H177" s="64"/>
      <c r="I177" s="64"/>
      <c r="J177" s="64"/>
      <c r="K177" s="64"/>
      <c r="L177" s="64"/>
      <c r="M177" s="64"/>
      <c r="N177" s="64"/>
      <c r="O177" s="64"/>
      <c r="P177" s="64"/>
      <c r="Q177" s="64"/>
    </row>
    <row r="178" spans="1:17" x14ac:dyDescent="0.35">
      <c r="A178" s="64"/>
      <c r="B178" s="64"/>
      <c r="C178" s="64"/>
      <c r="D178" s="64"/>
      <c r="E178" s="64"/>
      <c r="F178" s="64"/>
      <c r="G178" s="64"/>
      <c r="H178" s="64"/>
      <c r="I178" s="64"/>
      <c r="J178" s="64"/>
      <c r="K178" s="64"/>
      <c r="L178" s="64"/>
      <c r="M178" s="64"/>
      <c r="N178" s="64"/>
      <c r="O178" s="64"/>
      <c r="P178" s="64"/>
      <c r="Q178" s="64"/>
    </row>
    <row r="179" spans="1:17" x14ac:dyDescent="0.35">
      <c r="A179" s="64"/>
      <c r="B179" s="64"/>
      <c r="C179" s="64"/>
      <c r="D179" s="64"/>
      <c r="E179" s="64"/>
      <c r="F179" s="64"/>
      <c r="G179" s="64"/>
      <c r="H179" s="64"/>
      <c r="I179" s="64"/>
      <c r="J179" s="64"/>
      <c r="K179" s="64"/>
      <c r="L179" s="64"/>
      <c r="M179" s="64"/>
      <c r="N179" s="64"/>
      <c r="O179" s="64"/>
      <c r="P179" s="64"/>
      <c r="Q179" s="64"/>
    </row>
    <row r="180" spans="1:17" x14ac:dyDescent="0.35">
      <c r="A180" s="64"/>
      <c r="B180" s="64"/>
      <c r="C180" s="64"/>
      <c r="D180" s="64"/>
      <c r="E180" s="64"/>
      <c r="F180" s="64"/>
      <c r="G180" s="64"/>
      <c r="H180" s="64"/>
      <c r="I180" s="64"/>
      <c r="J180" s="64"/>
      <c r="K180" s="64"/>
      <c r="L180" s="64"/>
      <c r="M180" s="64"/>
      <c r="N180" s="64"/>
      <c r="O180" s="64"/>
      <c r="P180" s="64"/>
      <c r="Q180" s="64"/>
    </row>
    <row r="181" spans="1:17" x14ac:dyDescent="0.35">
      <c r="A181" s="64"/>
      <c r="B181" s="64"/>
      <c r="C181" s="64"/>
      <c r="D181" s="64"/>
      <c r="E181" s="64"/>
      <c r="F181" s="64"/>
      <c r="G181" s="64"/>
      <c r="H181" s="64"/>
      <c r="I181" s="64"/>
      <c r="J181" s="64"/>
      <c r="K181" s="64"/>
      <c r="L181" s="64"/>
      <c r="M181" s="64"/>
      <c r="N181" s="64"/>
      <c r="O181" s="64"/>
      <c r="P181" s="64"/>
      <c r="Q181" s="64"/>
    </row>
    <row r="182" spans="1:17" x14ac:dyDescent="0.35">
      <c r="A182" s="64"/>
      <c r="B182" s="64"/>
      <c r="C182" s="64"/>
      <c r="D182" s="64"/>
      <c r="E182" s="64"/>
      <c r="F182" s="64"/>
      <c r="G182" s="64"/>
      <c r="H182" s="64"/>
      <c r="I182" s="64"/>
      <c r="J182" s="64"/>
      <c r="K182" s="64"/>
      <c r="L182" s="64"/>
      <c r="M182" s="64"/>
      <c r="N182" s="64"/>
      <c r="O182" s="64"/>
      <c r="P182" s="64"/>
      <c r="Q182" s="64"/>
    </row>
    <row r="183" spans="1:17" x14ac:dyDescent="0.35">
      <c r="A183" s="64"/>
      <c r="B183" s="64"/>
      <c r="C183" s="64"/>
      <c r="D183" s="64"/>
      <c r="E183" s="64"/>
      <c r="F183" s="64"/>
      <c r="G183" s="64"/>
      <c r="H183" s="64"/>
      <c r="I183" s="64"/>
      <c r="J183" s="64"/>
      <c r="K183" s="64"/>
      <c r="L183" s="64"/>
      <c r="M183" s="64"/>
      <c r="N183" s="64"/>
      <c r="O183" s="64"/>
      <c r="P183" s="64"/>
      <c r="Q183" s="64"/>
    </row>
    <row r="184" spans="1:17" x14ac:dyDescent="0.35">
      <c r="A184" s="64"/>
      <c r="B184" s="64"/>
      <c r="C184" s="64"/>
      <c r="D184" s="64"/>
      <c r="E184" s="64"/>
      <c r="F184" s="64"/>
      <c r="G184" s="64"/>
      <c r="H184" s="64"/>
      <c r="I184" s="64"/>
      <c r="J184" s="64"/>
      <c r="K184" s="64"/>
      <c r="L184" s="64"/>
      <c r="M184" s="64"/>
      <c r="N184" s="64"/>
      <c r="O184" s="64"/>
      <c r="P184" s="64"/>
      <c r="Q184" s="64"/>
    </row>
    <row r="185" spans="1:17" x14ac:dyDescent="0.35">
      <c r="A185" s="64"/>
      <c r="B185" s="64"/>
      <c r="C185" s="64"/>
      <c r="D185" s="64"/>
      <c r="E185" s="64"/>
      <c r="F185" s="64"/>
      <c r="G185" s="64"/>
      <c r="H185" s="64"/>
      <c r="I185" s="64"/>
      <c r="J185" s="64"/>
      <c r="K185" s="64"/>
      <c r="L185" s="64"/>
      <c r="M185" s="64"/>
      <c r="N185" s="64"/>
      <c r="O185" s="64"/>
      <c r="P185" s="64"/>
      <c r="Q185" s="64"/>
    </row>
    <row r="186" spans="1:17" x14ac:dyDescent="0.35">
      <c r="A186" s="64"/>
      <c r="B186" s="64"/>
      <c r="C186" s="64"/>
      <c r="D186" s="64"/>
      <c r="E186" s="64"/>
      <c r="F186" s="64"/>
      <c r="G186" s="64"/>
      <c r="H186" s="64"/>
      <c r="I186" s="64"/>
      <c r="J186" s="64"/>
      <c r="K186" s="64"/>
      <c r="L186" s="64"/>
      <c r="M186" s="64"/>
      <c r="N186" s="64"/>
      <c r="O186" s="64"/>
      <c r="P186" s="64"/>
      <c r="Q186" s="64"/>
    </row>
    <row r="187" spans="1:17" x14ac:dyDescent="0.35">
      <c r="A187" s="64"/>
      <c r="B187" s="64"/>
      <c r="C187" s="64"/>
      <c r="D187" s="64"/>
      <c r="E187" s="64"/>
      <c r="F187" s="64"/>
      <c r="G187" s="64"/>
      <c r="H187" s="64"/>
      <c r="I187" s="64"/>
      <c r="J187" s="64"/>
      <c r="K187" s="64"/>
      <c r="L187" s="64"/>
      <c r="M187" s="64"/>
      <c r="N187" s="64"/>
      <c r="O187" s="64"/>
      <c r="P187" s="64"/>
      <c r="Q187" s="64"/>
    </row>
  </sheetData>
  <mergeCells count="552">
    <mergeCell ref="D1:G1"/>
    <mergeCell ref="I1:J1"/>
    <mergeCell ref="L1:M1"/>
    <mergeCell ref="D2:G2"/>
    <mergeCell ref="I2:J2"/>
    <mergeCell ref="L2:M2"/>
    <mergeCell ref="B9:C9"/>
    <mergeCell ref="B10:C10"/>
    <mergeCell ref="J10:K11"/>
    <mergeCell ref="B11:C11"/>
    <mergeCell ref="D3:G3"/>
    <mergeCell ref="B12:C12"/>
    <mergeCell ref="B13:C13"/>
    <mergeCell ref="A4:G4"/>
    <mergeCell ref="H4:P4"/>
    <mergeCell ref="A5:B5"/>
    <mergeCell ref="C5:P5"/>
    <mergeCell ref="B7:G7"/>
    <mergeCell ref="J7:K8"/>
    <mergeCell ref="B8:C8"/>
    <mergeCell ref="B20:E20"/>
    <mergeCell ref="L20:M20"/>
    <mergeCell ref="B21:E21"/>
    <mergeCell ref="F21:G21"/>
    <mergeCell ref="H21:I21"/>
    <mergeCell ref="J21:K21"/>
    <mergeCell ref="L21:M21"/>
    <mergeCell ref="B14:C14"/>
    <mergeCell ref="B15:C15"/>
    <mergeCell ref="B17:M17"/>
    <mergeCell ref="B18:E18"/>
    <mergeCell ref="F18:G18"/>
    <mergeCell ref="H18:I18"/>
    <mergeCell ref="J18:K18"/>
    <mergeCell ref="L18:M18"/>
    <mergeCell ref="B22:E22"/>
    <mergeCell ref="F22:G22"/>
    <mergeCell ref="H22:I22"/>
    <mergeCell ref="J22:K22"/>
    <mergeCell ref="L22:M22"/>
    <mergeCell ref="B23:E23"/>
    <mergeCell ref="F23:G23"/>
    <mergeCell ref="H23:I23"/>
    <mergeCell ref="J23:K23"/>
    <mergeCell ref="L23:M23"/>
    <mergeCell ref="B24:E24"/>
    <mergeCell ref="F24:G24"/>
    <mergeCell ref="H24:I24"/>
    <mergeCell ref="J24:K24"/>
    <mergeCell ref="L24:M24"/>
    <mergeCell ref="B25:E25"/>
    <mergeCell ref="F25:G25"/>
    <mergeCell ref="H25:I25"/>
    <mergeCell ref="J25:K25"/>
    <mergeCell ref="L25:M25"/>
    <mergeCell ref="B26:E26"/>
    <mergeCell ref="F26:G26"/>
    <mergeCell ref="H26:I26"/>
    <mergeCell ref="J26:K26"/>
    <mergeCell ref="L26:M26"/>
    <mergeCell ref="B27:E27"/>
    <mergeCell ref="F27:G27"/>
    <mergeCell ref="H27:I27"/>
    <mergeCell ref="J27:K27"/>
    <mergeCell ref="L27:M27"/>
    <mergeCell ref="B31:E31"/>
    <mergeCell ref="F31:G31"/>
    <mergeCell ref="H31:I31"/>
    <mergeCell ref="J31:K31"/>
    <mergeCell ref="L31:M31"/>
    <mergeCell ref="B34:P34"/>
    <mergeCell ref="B28:E28"/>
    <mergeCell ref="F28:G28"/>
    <mergeCell ref="H28:I28"/>
    <mergeCell ref="J28:K28"/>
    <mergeCell ref="L28:M28"/>
    <mergeCell ref="B29:E29"/>
    <mergeCell ref="F29:G29"/>
    <mergeCell ref="H29:I29"/>
    <mergeCell ref="J29:K29"/>
    <mergeCell ref="L29:M29"/>
    <mergeCell ref="B35:E35"/>
    <mergeCell ref="F35:G35"/>
    <mergeCell ref="H35:I35"/>
    <mergeCell ref="J35:K35"/>
    <mergeCell ref="L35:P35"/>
    <mergeCell ref="B36:E36"/>
    <mergeCell ref="F36:G36"/>
    <mergeCell ref="H36:I36"/>
    <mergeCell ref="J36:K36"/>
    <mergeCell ref="L36:P36"/>
    <mergeCell ref="B37:E37"/>
    <mergeCell ref="F37:G37"/>
    <mergeCell ref="H37:I37"/>
    <mergeCell ref="J37:K37"/>
    <mergeCell ref="L37:P37"/>
    <mergeCell ref="B38:E38"/>
    <mergeCell ref="F38:G38"/>
    <mergeCell ref="H38:I38"/>
    <mergeCell ref="J38:K38"/>
    <mergeCell ref="L38:P38"/>
    <mergeCell ref="B39:E39"/>
    <mergeCell ref="F39:G39"/>
    <mergeCell ref="H39:I39"/>
    <mergeCell ref="J39:K39"/>
    <mergeCell ref="L39:P39"/>
    <mergeCell ref="B40:E40"/>
    <mergeCell ref="F40:G40"/>
    <mergeCell ref="H40:I40"/>
    <mergeCell ref="J40:K40"/>
    <mergeCell ref="L40:P40"/>
    <mergeCell ref="B42:E42"/>
    <mergeCell ref="F42:G42"/>
    <mergeCell ref="H42:I42"/>
    <mergeCell ref="J42:K42"/>
    <mergeCell ref="L42:P42"/>
    <mergeCell ref="B43:E43"/>
    <mergeCell ref="F43:G43"/>
    <mergeCell ref="H43:I43"/>
    <mergeCell ref="J43:K43"/>
    <mergeCell ref="L43:P43"/>
    <mergeCell ref="B44:E44"/>
    <mergeCell ref="F44:G44"/>
    <mergeCell ref="H44:I44"/>
    <mergeCell ref="J44:K44"/>
    <mergeCell ref="L44:P44"/>
    <mergeCell ref="B45:E45"/>
    <mergeCell ref="F45:G45"/>
    <mergeCell ref="H45:I45"/>
    <mergeCell ref="J45:K45"/>
    <mergeCell ref="L45:P45"/>
    <mergeCell ref="B46:E46"/>
    <mergeCell ref="F46:G46"/>
    <mergeCell ref="H46:I46"/>
    <mergeCell ref="J46:K46"/>
    <mergeCell ref="L46:P46"/>
    <mergeCell ref="B47:E47"/>
    <mergeCell ref="F47:G47"/>
    <mergeCell ref="H47:I47"/>
    <mergeCell ref="J47:K47"/>
    <mergeCell ref="L47:P47"/>
    <mergeCell ref="B50:E50"/>
    <mergeCell ref="F50:G50"/>
    <mergeCell ref="H50:I50"/>
    <mergeCell ref="J50:K50"/>
    <mergeCell ref="L50:P50"/>
    <mergeCell ref="B51:P51"/>
    <mergeCell ref="B48:E48"/>
    <mergeCell ref="F48:G48"/>
    <mergeCell ref="H48:I48"/>
    <mergeCell ref="J48:K48"/>
    <mergeCell ref="L48:P48"/>
    <mergeCell ref="B49:E49"/>
    <mergeCell ref="F49:G49"/>
    <mergeCell ref="H49:I49"/>
    <mergeCell ref="J49:K49"/>
    <mergeCell ref="L49:P49"/>
    <mergeCell ref="B52:E52"/>
    <mergeCell ref="F52:G52"/>
    <mergeCell ref="H52:I52"/>
    <mergeCell ref="J52:K52"/>
    <mergeCell ref="L52:P52"/>
    <mergeCell ref="B53:E53"/>
    <mergeCell ref="F53:G53"/>
    <mergeCell ref="H53:I53"/>
    <mergeCell ref="J53:K53"/>
    <mergeCell ref="L53:P53"/>
    <mergeCell ref="B54:E54"/>
    <mergeCell ref="F54:G54"/>
    <mergeCell ref="H54:I54"/>
    <mergeCell ref="J54:K54"/>
    <mergeCell ref="L54:P54"/>
    <mergeCell ref="B55:E55"/>
    <mergeCell ref="F55:G55"/>
    <mergeCell ref="H55:I55"/>
    <mergeCell ref="J55:K55"/>
    <mergeCell ref="L55:P55"/>
    <mergeCell ref="L58:P58"/>
    <mergeCell ref="B59:E59"/>
    <mergeCell ref="F59:G59"/>
    <mergeCell ref="H59:I59"/>
    <mergeCell ref="J59:K59"/>
    <mergeCell ref="L59:P59"/>
    <mergeCell ref="B56:E56"/>
    <mergeCell ref="F56:G56"/>
    <mergeCell ref="H56:I56"/>
    <mergeCell ref="J56:K56"/>
    <mergeCell ref="L56:P56"/>
    <mergeCell ref="B57:E57"/>
    <mergeCell ref="F57:G57"/>
    <mergeCell ref="H57:I57"/>
    <mergeCell ref="J57:K57"/>
    <mergeCell ref="L57:P57"/>
    <mergeCell ref="B60:E60"/>
    <mergeCell ref="F60:G60"/>
    <mergeCell ref="H60:I60"/>
    <mergeCell ref="J60:K60"/>
    <mergeCell ref="B61:E61"/>
    <mergeCell ref="F61:G61"/>
    <mergeCell ref="H61:I61"/>
    <mergeCell ref="J61:K61"/>
    <mergeCell ref="B58:E58"/>
    <mergeCell ref="F58:G58"/>
    <mergeCell ref="H58:I58"/>
    <mergeCell ref="J58:K58"/>
    <mergeCell ref="B62:E62"/>
    <mergeCell ref="F62:G62"/>
    <mergeCell ref="H62:I62"/>
    <mergeCell ref="J62:K62"/>
    <mergeCell ref="L62:P62"/>
    <mergeCell ref="B63:E63"/>
    <mergeCell ref="F63:G63"/>
    <mergeCell ref="H63:I63"/>
    <mergeCell ref="J63:K63"/>
    <mergeCell ref="L63:P63"/>
    <mergeCell ref="B64:E64"/>
    <mergeCell ref="F64:G64"/>
    <mergeCell ref="H64:I64"/>
    <mergeCell ref="J64:K64"/>
    <mergeCell ref="L64:P64"/>
    <mergeCell ref="B65:E65"/>
    <mergeCell ref="F65:G65"/>
    <mergeCell ref="H65:I65"/>
    <mergeCell ref="J65:K65"/>
    <mergeCell ref="L65:P65"/>
    <mergeCell ref="B68:E68"/>
    <mergeCell ref="F68:G68"/>
    <mergeCell ref="H68:I68"/>
    <mergeCell ref="J68:K68"/>
    <mergeCell ref="L68:P68"/>
    <mergeCell ref="B69:P69"/>
    <mergeCell ref="B66:E66"/>
    <mergeCell ref="F66:G66"/>
    <mergeCell ref="H66:I66"/>
    <mergeCell ref="J66:K66"/>
    <mergeCell ref="L66:P66"/>
    <mergeCell ref="B67:E67"/>
    <mergeCell ref="F67:G67"/>
    <mergeCell ref="H67:I67"/>
    <mergeCell ref="J67:K67"/>
    <mergeCell ref="L67:P67"/>
    <mergeCell ref="B70:E70"/>
    <mergeCell ref="F70:G70"/>
    <mergeCell ref="H70:I70"/>
    <mergeCell ref="J70:K70"/>
    <mergeCell ref="B73:M73"/>
    <mergeCell ref="B74:E74"/>
    <mergeCell ref="F74:G74"/>
    <mergeCell ref="H74:I74"/>
    <mergeCell ref="J74:K74"/>
    <mergeCell ref="L74:M74"/>
    <mergeCell ref="B75:E75"/>
    <mergeCell ref="F75:G75"/>
    <mergeCell ref="H75:I75"/>
    <mergeCell ref="J75:K75"/>
    <mergeCell ref="L75:M75"/>
    <mergeCell ref="B76:E76"/>
    <mergeCell ref="F76:G76"/>
    <mergeCell ref="H76:I76"/>
    <mergeCell ref="J76:K76"/>
    <mergeCell ref="L76:M76"/>
    <mergeCell ref="B77:E77"/>
    <mergeCell ref="F77:G77"/>
    <mergeCell ref="H77:I77"/>
    <mergeCell ref="J77:K77"/>
    <mergeCell ref="L77:M77"/>
    <mergeCell ref="F78:G78"/>
    <mergeCell ref="H78:I78"/>
    <mergeCell ref="J78:K78"/>
    <mergeCell ref="L78:M78"/>
    <mergeCell ref="B79:E79"/>
    <mergeCell ref="F79:G79"/>
    <mergeCell ref="H79:I79"/>
    <mergeCell ref="J79:K79"/>
    <mergeCell ref="L79:M79"/>
    <mergeCell ref="B80:E80"/>
    <mergeCell ref="F80:G80"/>
    <mergeCell ref="H80:I80"/>
    <mergeCell ref="J80:K80"/>
    <mergeCell ref="L80:M80"/>
    <mergeCell ref="B83:E83"/>
    <mergeCell ref="F83:G83"/>
    <mergeCell ref="H83:I83"/>
    <mergeCell ref="J83:K83"/>
    <mergeCell ref="L83:M83"/>
    <mergeCell ref="B84:I84"/>
    <mergeCell ref="J84:K84"/>
    <mergeCell ref="L84:M84"/>
    <mergeCell ref="B81:E81"/>
    <mergeCell ref="F81:G81"/>
    <mergeCell ref="H81:I81"/>
    <mergeCell ref="J81:K81"/>
    <mergeCell ref="L81:M81"/>
    <mergeCell ref="B82:E82"/>
    <mergeCell ref="F82:G82"/>
    <mergeCell ref="H82:I82"/>
    <mergeCell ref="J82:K82"/>
    <mergeCell ref="L82:M82"/>
    <mergeCell ref="B91:G91"/>
    <mergeCell ref="D92:E92"/>
    <mergeCell ref="F92:G92"/>
    <mergeCell ref="B95:G95"/>
    <mergeCell ref="B96:G96"/>
    <mergeCell ref="F97:G97"/>
    <mergeCell ref="B87:G87"/>
    <mergeCell ref="B88:G88"/>
    <mergeCell ref="B89:E89"/>
    <mergeCell ref="F89:G89"/>
    <mergeCell ref="B90:E90"/>
    <mergeCell ref="F90:G90"/>
    <mergeCell ref="A105:L105"/>
    <mergeCell ref="A106:D106"/>
    <mergeCell ref="E106:F106"/>
    <mergeCell ref="G106:H106"/>
    <mergeCell ref="I106:J106"/>
    <mergeCell ref="K106:L106"/>
    <mergeCell ref="F98:G98"/>
    <mergeCell ref="B99:G99"/>
    <mergeCell ref="B100:E100"/>
    <mergeCell ref="F100:G100"/>
    <mergeCell ref="D101:E101"/>
    <mergeCell ref="F101:G101"/>
    <mergeCell ref="K108:L108"/>
    <mergeCell ref="A109:D109"/>
    <mergeCell ref="E109:F109"/>
    <mergeCell ref="G109:H109"/>
    <mergeCell ref="I109:J109"/>
    <mergeCell ref="A110:D110"/>
    <mergeCell ref="E110:H110"/>
    <mergeCell ref="I110:J110"/>
    <mergeCell ref="A107:D107"/>
    <mergeCell ref="E107:F107"/>
    <mergeCell ref="G107:H107"/>
    <mergeCell ref="I107:J107"/>
    <mergeCell ref="A108:D108"/>
    <mergeCell ref="E108:F108"/>
    <mergeCell ref="G108:H108"/>
    <mergeCell ref="I108:J108"/>
    <mergeCell ref="A111:D111"/>
    <mergeCell ref="E111:F111"/>
    <mergeCell ref="G111:H111"/>
    <mergeCell ref="I111:J111"/>
    <mergeCell ref="K111:L111"/>
    <mergeCell ref="A112:D112"/>
    <mergeCell ref="E112:F112"/>
    <mergeCell ref="G112:H112"/>
    <mergeCell ref="I112:J112"/>
    <mergeCell ref="K112:L112"/>
    <mergeCell ref="A113:D113"/>
    <mergeCell ref="E113:F113"/>
    <mergeCell ref="G113:H113"/>
    <mergeCell ref="I113:J113"/>
    <mergeCell ref="K113:L113"/>
    <mergeCell ref="A114:D114"/>
    <mergeCell ref="E114:F114"/>
    <mergeCell ref="G114:H114"/>
    <mergeCell ref="I114:J114"/>
    <mergeCell ref="K114:L114"/>
    <mergeCell ref="A115:D115"/>
    <mergeCell ref="E115:F115"/>
    <mergeCell ref="G115:H115"/>
    <mergeCell ref="I115:J115"/>
    <mergeCell ref="K115:L115"/>
    <mergeCell ref="A116:D116"/>
    <mergeCell ref="E116:F116"/>
    <mergeCell ref="G116:H116"/>
    <mergeCell ref="I116:J116"/>
    <mergeCell ref="K116:L116"/>
    <mergeCell ref="A117:D117"/>
    <mergeCell ref="E117:F117"/>
    <mergeCell ref="G117:H117"/>
    <mergeCell ref="I117:J117"/>
    <mergeCell ref="K117:L117"/>
    <mergeCell ref="A118:D118"/>
    <mergeCell ref="E118:F118"/>
    <mergeCell ref="G118:H118"/>
    <mergeCell ref="I118:J118"/>
    <mergeCell ref="K118:L118"/>
    <mergeCell ref="A119:D119"/>
    <mergeCell ref="E119:F119"/>
    <mergeCell ref="G119:H119"/>
    <mergeCell ref="I119:J119"/>
    <mergeCell ref="K119:L119"/>
    <mergeCell ref="A120:D120"/>
    <mergeCell ref="E120:F120"/>
    <mergeCell ref="G120:H120"/>
    <mergeCell ref="I120:J120"/>
    <mergeCell ref="K120:L120"/>
    <mergeCell ref="A123:J123"/>
    <mergeCell ref="K123:L123"/>
    <mergeCell ref="A124:D124"/>
    <mergeCell ref="E124:F124"/>
    <mergeCell ref="G124:H124"/>
    <mergeCell ref="I124:J124"/>
    <mergeCell ref="K124:L124"/>
    <mergeCell ref="A121:D121"/>
    <mergeCell ref="E121:F121"/>
    <mergeCell ref="G121:H121"/>
    <mergeCell ref="I121:J121"/>
    <mergeCell ref="K121:L121"/>
    <mergeCell ref="A122:D122"/>
    <mergeCell ref="E122:F122"/>
    <mergeCell ref="G122:H122"/>
    <mergeCell ref="I122:J122"/>
    <mergeCell ref="K122:L122"/>
    <mergeCell ref="A125:D125"/>
    <mergeCell ref="E125:F125"/>
    <mergeCell ref="G125:H125"/>
    <mergeCell ref="I125:J125"/>
    <mergeCell ref="K125:L125"/>
    <mergeCell ref="A126:D126"/>
    <mergeCell ref="E126:F126"/>
    <mergeCell ref="G126:H126"/>
    <mergeCell ref="I126:J126"/>
    <mergeCell ref="K126:L126"/>
    <mergeCell ref="K129:L129"/>
    <mergeCell ref="A130:D130"/>
    <mergeCell ref="E130:F130"/>
    <mergeCell ref="G130:H130"/>
    <mergeCell ref="I130:J130"/>
    <mergeCell ref="K130:L130"/>
    <mergeCell ref="A127:D127"/>
    <mergeCell ref="E127:F127"/>
    <mergeCell ref="G127:H127"/>
    <mergeCell ref="I127:J127"/>
    <mergeCell ref="K127:L127"/>
    <mergeCell ref="A128:D128"/>
    <mergeCell ref="E128:F128"/>
    <mergeCell ref="G128:H128"/>
    <mergeCell ref="I128:J128"/>
    <mergeCell ref="K128:L128"/>
    <mergeCell ref="A131:D131"/>
    <mergeCell ref="E131:F131"/>
    <mergeCell ref="G131:H131"/>
    <mergeCell ref="I131:J131"/>
    <mergeCell ref="K131:L131"/>
    <mergeCell ref="A132:D132"/>
    <mergeCell ref="E132:F132"/>
    <mergeCell ref="G132:H132"/>
    <mergeCell ref="I132:J132"/>
    <mergeCell ref="K132:L132"/>
    <mergeCell ref="A136:J136"/>
    <mergeCell ref="K136:L136"/>
    <mergeCell ref="A137:D137"/>
    <mergeCell ref="E137:F137"/>
    <mergeCell ref="G137:H137"/>
    <mergeCell ref="I137:J137"/>
    <mergeCell ref="K137:L137"/>
    <mergeCell ref="A133:D133"/>
    <mergeCell ref="E133:F133"/>
    <mergeCell ref="G133:H133"/>
    <mergeCell ref="I133:J133"/>
    <mergeCell ref="K133:L133"/>
    <mergeCell ref="A135:D135"/>
    <mergeCell ref="E135:F135"/>
    <mergeCell ref="G135:H135"/>
    <mergeCell ref="I135:J135"/>
    <mergeCell ref="K135:L135"/>
    <mergeCell ref="A138:D138"/>
    <mergeCell ref="E138:F138"/>
    <mergeCell ref="G138:H138"/>
    <mergeCell ref="I138:J138"/>
    <mergeCell ref="K138:L138"/>
    <mergeCell ref="A139:D139"/>
    <mergeCell ref="E139:F139"/>
    <mergeCell ref="G139:H139"/>
    <mergeCell ref="I139:J139"/>
    <mergeCell ref="K139:L139"/>
    <mergeCell ref="A140:D140"/>
    <mergeCell ref="E140:F140"/>
    <mergeCell ref="G140:H140"/>
    <mergeCell ref="I140:J140"/>
    <mergeCell ref="K140:L140"/>
    <mergeCell ref="A141:D141"/>
    <mergeCell ref="E141:F141"/>
    <mergeCell ref="G141:H141"/>
    <mergeCell ref="I141:J141"/>
    <mergeCell ref="K141:L141"/>
    <mergeCell ref="A144:D144"/>
    <mergeCell ref="E144:F144"/>
    <mergeCell ref="G144:H144"/>
    <mergeCell ref="I144:J144"/>
    <mergeCell ref="K144:L144"/>
    <mergeCell ref="A145:J145"/>
    <mergeCell ref="K145:L145"/>
    <mergeCell ref="A142:D142"/>
    <mergeCell ref="E142:F142"/>
    <mergeCell ref="G142:H142"/>
    <mergeCell ref="I142:J142"/>
    <mergeCell ref="K142:L142"/>
    <mergeCell ref="A143:D143"/>
    <mergeCell ref="E143:F143"/>
    <mergeCell ref="G143:H143"/>
    <mergeCell ref="I143:J143"/>
    <mergeCell ref="K143:L143"/>
    <mergeCell ref="A146:D146"/>
    <mergeCell ref="E146:F146"/>
    <mergeCell ref="G146:H146"/>
    <mergeCell ref="I146:J146"/>
    <mergeCell ref="K146:L146"/>
    <mergeCell ref="A147:D147"/>
    <mergeCell ref="E147:F147"/>
    <mergeCell ref="G147:H147"/>
    <mergeCell ref="I147:J147"/>
    <mergeCell ref="K147:L147"/>
    <mergeCell ref="A148:D148"/>
    <mergeCell ref="E148:F148"/>
    <mergeCell ref="G148:H148"/>
    <mergeCell ref="I148:J148"/>
    <mergeCell ref="K148:L148"/>
    <mergeCell ref="A149:D149"/>
    <mergeCell ref="E149:F149"/>
    <mergeCell ref="G149:H149"/>
    <mergeCell ref="I149:J149"/>
    <mergeCell ref="K149:L149"/>
    <mergeCell ref="A150:D150"/>
    <mergeCell ref="E150:F150"/>
    <mergeCell ref="G150:H150"/>
    <mergeCell ref="I150:J150"/>
    <mergeCell ref="K150:L150"/>
    <mergeCell ref="A151:D151"/>
    <mergeCell ref="E151:F151"/>
    <mergeCell ref="G151:H151"/>
    <mergeCell ref="I151:J151"/>
    <mergeCell ref="K151:L151"/>
    <mergeCell ref="A152:D152"/>
    <mergeCell ref="E152:F152"/>
    <mergeCell ref="G152:H152"/>
    <mergeCell ref="I152:J152"/>
    <mergeCell ref="K152:L152"/>
    <mergeCell ref="A153:D153"/>
    <mergeCell ref="E153:F153"/>
    <mergeCell ref="G153:H153"/>
    <mergeCell ref="I153:J153"/>
    <mergeCell ref="K153:L153"/>
    <mergeCell ref="A166:K169"/>
    <mergeCell ref="M166:O169"/>
    <mergeCell ref="A159:K159"/>
    <mergeCell ref="M159:O159"/>
    <mergeCell ref="A160:K163"/>
    <mergeCell ref="M160:O163"/>
    <mergeCell ref="A165:K165"/>
    <mergeCell ref="M165:O165"/>
    <mergeCell ref="A154:D154"/>
    <mergeCell ref="G154:H154"/>
    <mergeCell ref="I154:J154"/>
    <mergeCell ref="K154:L154"/>
    <mergeCell ref="A155:D155"/>
    <mergeCell ref="G155:H155"/>
    <mergeCell ref="I155:J155"/>
    <mergeCell ref="K155:L155"/>
    <mergeCell ref="E156:F156"/>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600-000000000000}">
      <formula1>AvancementTheme</formula1>
    </dataValidation>
  </dataValidations>
  <hyperlinks>
    <hyperlink ref="O1" location="DPDV_09PP3" display="PdV" xr:uid="{00000000-0004-0000-4600-000000000000}"/>
    <hyperlink ref="P1" location="DKPI_09PP3" display="KPI's" xr:uid="{00000000-0004-0000-4600-000001000000}"/>
  </hyperlinks>
  <pageMargins left="0.70866141732283472" right="0.70866141732283472" top="0.74803149606299213" bottom="0.74803149606299213" header="0.31496062992125984" footer="0.31496062992125984"/>
  <pageSetup paperSize="9" scale="31"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60">
    <tabColor rgb="FFFFC000"/>
    <pageSetUpPr fitToPage="1"/>
  </sheetPr>
  <dimension ref="A1:AH80"/>
  <sheetViews>
    <sheetView showGridLines="0" showRowColHeaders="0" zoomScaleNormal="100" workbookViewId="0">
      <pane ySplit="7" topLeftCell="A8" activePane="bottomLeft" state="frozen"/>
      <selection activeCell="H7" sqref="H7"/>
      <selection pane="bottomLeft" activeCell="D6" sqref="D6:I7"/>
    </sheetView>
  </sheetViews>
  <sheetFormatPr baseColWidth="10" defaultColWidth="11.453125" defaultRowHeight="14.5" x14ac:dyDescent="0.35"/>
  <cols>
    <col min="1" max="2" width="9" style="60" customWidth="1"/>
    <col min="3" max="3" width="14.54296875" style="60" customWidth="1"/>
    <col min="4" max="5" width="11.453125" style="60"/>
    <col min="6" max="6" width="11.1796875" style="60" customWidth="1"/>
    <col min="7" max="7" width="11.453125" style="60" hidden="1" customWidth="1"/>
    <col min="8" max="8" width="4.453125" style="60" customWidth="1"/>
    <col min="9" max="9" width="21.26953125" style="60" customWidth="1"/>
    <col min="10" max="10" width="12.54296875" style="60" customWidth="1"/>
    <col min="11" max="11" width="7.1796875" style="60" customWidth="1"/>
    <col min="12" max="12" width="6.54296875" style="60" customWidth="1"/>
    <col min="13" max="13" width="10.81640625" style="60" customWidth="1"/>
    <col min="14" max="14" width="8.1796875" style="60" customWidth="1"/>
    <col min="15" max="15" width="9.54296875" style="372" customWidth="1"/>
    <col min="16" max="16" width="14.1796875" style="60" customWidth="1"/>
    <col min="17" max="17" width="11.453125" style="60"/>
    <col min="18" max="18" width="11.453125" style="60" customWidth="1"/>
    <col min="19" max="19" width="14.1796875" style="60" customWidth="1"/>
    <col min="20" max="16384" width="11.453125" style="60"/>
  </cols>
  <sheetData>
    <row r="1" spans="1:34" s="54" customFormat="1" ht="15" customHeight="1" x14ac:dyDescent="0.35">
      <c r="A1" s="389"/>
      <c r="B1" s="389"/>
      <c r="C1" s="389"/>
      <c r="D1" s="389"/>
      <c r="E1" s="389"/>
      <c r="F1" s="3341" t="s">
        <v>5</v>
      </c>
      <c r="G1" s="3341"/>
      <c r="H1" s="3341"/>
      <c r="I1" s="3341"/>
      <c r="J1" s="391"/>
      <c r="K1" s="391"/>
      <c r="L1" s="3341" t="s">
        <v>6</v>
      </c>
      <c r="M1" s="3341"/>
      <c r="N1" s="389"/>
      <c r="O1" s="3341" t="s">
        <v>9</v>
      </c>
      <c r="P1" s="3341"/>
      <c r="Q1" s="389"/>
      <c r="R1" s="479" t="s">
        <v>2</v>
      </c>
      <c r="S1" s="479" t="s">
        <v>3</v>
      </c>
      <c r="T1" s="458"/>
    </row>
    <row r="2" spans="1:34" s="58" customFormat="1" ht="18" customHeight="1" x14ac:dyDescent="0.35">
      <c r="A2" s="393"/>
      <c r="B2" s="393"/>
      <c r="C2" s="393"/>
      <c r="D2" s="393"/>
      <c r="E2" s="393"/>
      <c r="F2" s="3342" t="str">
        <f>NomClient</f>
        <v xml:space="preserve">EQUINIX </v>
      </c>
      <c r="G2" s="3343"/>
      <c r="H2" s="3343"/>
      <c r="I2" s="3344"/>
      <c r="J2" s="393"/>
      <c r="K2" s="393"/>
      <c r="L2" s="3345" t="s">
        <v>406</v>
      </c>
      <c r="M2" s="3346"/>
      <c r="N2" s="738"/>
      <c r="O2" s="3347">
        <v>42420.658865740741</v>
      </c>
      <c r="P2" s="3348"/>
      <c r="Q2" s="394"/>
      <c r="R2" s="451">
        <f>IF(LEN(DPDV_03MK3)&gt;0,LEN(DPDV_03MK3),0-PDV_NBmini)</f>
        <v>101</v>
      </c>
      <c r="S2" s="451">
        <f>IF(LEN(DKPI_03MK3)&gt;0,LEN(DKPI_03MK3),0-KPI_NBmini)</f>
        <v>70</v>
      </c>
      <c r="T2" s="459"/>
    </row>
    <row r="3" spans="1:34" ht="9.75" customHeight="1" thickBot="1" x14ac:dyDescent="0.4">
      <c r="A3" s="396"/>
      <c r="B3" s="396"/>
      <c r="C3" s="396"/>
      <c r="D3" s="3696" t="s">
        <v>1792</v>
      </c>
      <c r="E3" s="3696"/>
      <c r="F3" s="3696"/>
      <c r="G3" s="3696"/>
      <c r="H3" s="1960"/>
      <c r="I3" s="1960"/>
      <c r="J3" s="1960"/>
      <c r="K3" s="396"/>
      <c r="L3" s="396"/>
      <c r="M3" s="396"/>
      <c r="N3" s="396"/>
      <c r="O3" s="396"/>
      <c r="P3" s="396"/>
      <c r="Q3" s="831"/>
      <c r="R3" s="831"/>
      <c r="S3" s="831"/>
      <c r="T3" s="64"/>
      <c r="U3" s="64"/>
      <c r="V3" s="64"/>
    </row>
    <row r="4" spans="1:34" s="1" customFormat="1" ht="24.75" customHeight="1" thickBot="1" x14ac:dyDescent="0.4">
      <c r="A4" s="5415" t="str">
        <f>Parametre!B25 &amp; "  : "</f>
        <v xml:space="preserve">Positionnement de l'offre  : </v>
      </c>
      <c r="B4" s="5415"/>
      <c r="C4" s="5415"/>
      <c r="D4" s="5415"/>
      <c r="E4" s="5415"/>
      <c r="F4" s="5415"/>
      <c r="G4" s="5415"/>
      <c r="H4" s="5415"/>
      <c r="I4" s="5415"/>
      <c r="J4" s="5416" t="str">
        <f xml:space="preserve"> "Market ready pour " &amp; NomProd3</f>
        <v xml:space="preserve">Market ready pour </v>
      </c>
      <c r="K4" s="5416"/>
      <c r="L4" s="5416"/>
      <c r="M4" s="5416"/>
      <c r="N4" s="5416"/>
      <c r="O4" s="5416"/>
      <c r="P4" s="5416"/>
      <c r="Q4" s="5416"/>
      <c r="R4" s="5416"/>
      <c r="S4" s="5417"/>
      <c r="T4" s="444"/>
    </row>
    <row r="5" spans="1:34" s="193" customFormat="1" ht="31.5" customHeight="1" thickBot="1" x14ac:dyDescent="0.4">
      <c r="A5" s="5146" t="s">
        <v>14</v>
      </c>
      <c r="B5" s="5146"/>
      <c r="C5" s="5146"/>
      <c r="D5" s="5418" t="s">
        <v>797</v>
      </c>
      <c r="E5" s="5418"/>
      <c r="F5" s="5418"/>
      <c r="G5" s="5418"/>
      <c r="H5" s="5418"/>
      <c r="I5" s="5418"/>
      <c r="J5" s="5418"/>
      <c r="K5" s="5418"/>
      <c r="L5" s="5418"/>
      <c r="M5" s="5418"/>
      <c r="N5" s="5418"/>
      <c r="O5" s="5418"/>
      <c r="P5" s="5418"/>
      <c r="Q5" s="5418"/>
      <c r="R5" s="5418"/>
      <c r="S5" s="5418"/>
      <c r="T5" s="460"/>
    </row>
    <row r="6" spans="1:34" ht="15.75" customHeight="1" thickTop="1" x14ac:dyDescent="0.35">
      <c r="A6" s="4452"/>
      <c r="B6" s="1498"/>
      <c r="C6" s="1498"/>
      <c r="D6" s="5419" t="s">
        <v>260</v>
      </c>
      <c r="E6" s="5420"/>
      <c r="F6" s="5420"/>
      <c r="G6" s="5420"/>
      <c r="H6" s="5420"/>
      <c r="I6" s="5421"/>
      <c r="J6" s="4534" t="str">
        <f>"Vue du " &amp; ChanlReadyAxe1</f>
        <v>Vue du EQUINIX</v>
      </c>
      <c r="K6" s="4534"/>
      <c r="L6" s="4534" t="str">
        <f>"Vue du " &amp; ChanlReadyAxe2</f>
        <v>Vue du ASEMA</v>
      </c>
      <c r="M6" s="4534"/>
      <c r="N6" s="5425" t="s">
        <v>246</v>
      </c>
      <c r="O6" s="5427" t="s">
        <v>568</v>
      </c>
      <c r="P6" s="5428" t="s">
        <v>18</v>
      </c>
      <c r="Q6" s="5429"/>
      <c r="R6" s="5429"/>
      <c r="S6" s="5430"/>
      <c r="T6" s="463"/>
      <c r="W6" s="66"/>
      <c r="X6" s="66"/>
      <c r="Y6" s="72"/>
      <c r="Z6" s="73"/>
      <c r="AA6" s="73"/>
      <c r="AB6" s="66"/>
      <c r="AC6" s="66"/>
      <c r="AD6" s="66"/>
      <c r="AE6" s="66"/>
      <c r="AF6" s="66"/>
      <c r="AG6" s="66"/>
    </row>
    <row r="7" spans="1:34" s="193" customFormat="1" ht="16" thickBot="1" x14ac:dyDescent="0.4">
      <c r="A7" s="4452"/>
      <c r="B7" s="1498"/>
      <c r="C7" s="1498"/>
      <c r="D7" s="5422"/>
      <c r="E7" s="5423"/>
      <c r="F7" s="5423"/>
      <c r="G7" s="5423"/>
      <c r="H7" s="5423"/>
      <c r="I7" s="5424"/>
      <c r="J7" s="4540" t="s">
        <v>16</v>
      </c>
      <c r="K7" s="4540"/>
      <c r="L7" s="4540" t="s">
        <v>16</v>
      </c>
      <c r="M7" s="4540"/>
      <c r="N7" s="5426"/>
      <c r="O7" s="5426"/>
      <c r="P7" s="5431"/>
      <c r="Q7" s="5432"/>
      <c r="R7" s="5432"/>
      <c r="S7" s="5433"/>
      <c r="T7" s="460"/>
      <c r="V7" s="94"/>
      <c r="W7" s="94"/>
      <c r="X7" s="95"/>
      <c r="Y7" s="96"/>
      <c r="Z7" s="96"/>
      <c r="AA7" s="94"/>
      <c r="AB7" s="94"/>
      <c r="AC7" s="94"/>
      <c r="AD7" s="94"/>
      <c r="AE7" s="94"/>
      <c r="AF7" s="94"/>
    </row>
    <row r="8" spans="1:34" s="193" customFormat="1" ht="16.5" thickTop="1" thickBot="1" x14ac:dyDescent="0.4">
      <c r="A8" s="1498"/>
      <c r="B8" s="1498"/>
      <c r="C8" s="1498"/>
      <c r="D8" s="1123"/>
      <c r="E8" s="1123"/>
      <c r="F8" s="1123"/>
      <c r="G8" s="1123"/>
      <c r="H8" s="1123"/>
      <c r="I8" s="1123"/>
      <c r="J8" s="1124"/>
      <c r="K8" s="1124"/>
      <c r="L8" s="1124"/>
      <c r="M8" s="1124"/>
      <c r="N8" s="1125"/>
      <c r="O8" s="1125"/>
      <c r="P8" s="1125"/>
      <c r="Q8" s="1125"/>
      <c r="R8" s="1125"/>
      <c r="S8" s="1126"/>
      <c r="T8" s="460"/>
      <c r="V8" s="94"/>
      <c r="W8" s="94"/>
      <c r="X8" s="1127"/>
      <c r="Y8" s="1128"/>
      <c r="Z8" s="96"/>
      <c r="AA8" s="94"/>
      <c r="AB8" s="94"/>
      <c r="AC8" s="94"/>
      <c r="AD8" s="94"/>
      <c r="AE8" s="94"/>
      <c r="AF8" s="94"/>
    </row>
    <row r="9" spans="1:34" ht="15.75" customHeight="1" thickTop="1" x14ac:dyDescent="0.35">
      <c r="A9" s="5437" t="s">
        <v>1185</v>
      </c>
      <c r="B9" s="5440"/>
      <c r="C9" s="5441"/>
      <c r="D9" s="5441"/>
      <c r="E9" s="5441"/>
      <c r="F9" s="5441"/>
      <c r="G9" s="5441"/>
      <c r="H9" s="5441"/>
      <c r="I9" s="5441"/>
      <c r="J9" s="5441"/>
      <c r="K9" s="5441"/>
      <c r="L9" s="5441"/>
      <c r="M9" s="5441"/>
      <c r="N9" s="5441"/>
      <c r="O9" s="5441"/>
      <c r="P9" s="5441"/>
      <c r="Q9" s="5441"/>
      <c r="R9" s="5441"/>
      <c r="S9" s="5442"/>
      <c r="T9" s="463"/>
      <c r="U9" s="63"/>
      <c r="X9" s="66"/>
      <c r="Y9" s="66"/>
      <c r="Z9" s="72"/>
      <c r="AA9" s="73"/>
      <c r="AB9" s="73"/>
      <c r="AC9" s="66"/>
      <c r="AD9" s="66"/>
      <c r="AE9" s="66"/>
      <c r="AF9" s="66"/>
      <c r="AG9" s="66"/>
      <c r="AH9" s="66"/>
    </row>
    <row r="10" spans="1:34" ht="21" customHeight="1" x14ac:dyDescent="0.35">
      <c r="A10" s="5438"/>
      <c r="B10" s="5411" t="s">
        <v>1186</v>
      </c>
      <c r="C10" s="5412"/>
      <c r="D10" s="5413" t="s">
        <v>1187</v>
      </c>
      <c r="E10" s="5414"/>
      <c r="F10" s="5414"/>
      <c r="G10" s="5414"/>
      <c r="H10" s="5414"/>
      <c r="I10" s="5414"/>
      <c r="J10" s="5383"/>
      <c r="K10" s="5384"/>
      <c r="L10" s="5383">
        <v>0</v>
      </c>
      <c r="M10" s="5384"/>
      <c r="N10" s="1129">
        <f>ABS(J10-L10)</f>
        <v>0</v>
      </c>
      <c r="O10" s="1130">
        <v>10</v>
      </c>
      <c r="P10" s="5406"/>
      <c r="Q10" s="5407"/>
      <c r="R10" s="5407"/>
      <c r="S10" s="5408"/>
      <c r="T10" s="463"/>
      <c r="U10" s="63"/>
      <c r="X10" s="66"/>
      <c r="Y10" s="66"/>
      <c r="Z10" s="72"/>
      <c r="AA10" s="73"/>
      <c r="AB10" s="73"/>
      <c r="AC10" s="66"/>
      <c r="AD10" s="66"/>
      <c r="AE10" s="66"/>
      <c r="AF10" s="66"/>
      <c r="AG10" s="66"/>
      <c r="AH10" s="66"/>
    </row>
    <row r="11" spans="1:34" ht="21" customHeight="1" x14ac:dyDescent="0.35">
      <c r="A11" s="5438"/>
      <c r="B11" s="5411" t="s">
        <v>1188</v>
      </c>
      <c r="C11" s="5412"/>
      <c r="D11" s="5413" t="s">
        <v>1222</v>
      </c>
      <c r="E11" s="5414"/>
      <c r="F11" s="5414"/>
      <c r="G11" s="5414"/>
      <c r="H11" s="5414"/>
      <c r="I11" s="5414"/>
      <c r="J11" s="5383"/>
      <c r="K11" s="5384"/>
      <c r="L11" s="5383"/>
      <c r="M11" s="5384"/>
      <c r="N11" s="1130">
        <f t="shared" ref="N11:N17" si="0">ABS(J11-L11)</f>
        <v>0</v>
      </c>
      <c r="O11" s="1130">
        <v>10</v>
      </c>
      <c r="P11" s="5406"/>
      <c r="Q11" s="5407"/>
      <c r="R11" s="5407"/>
      <c r="S11" s="5408"/>
      <c r="T11" s="463"/>
      <c r="U11" s="63"/>
      <c r="X11" s="66"/>
      <c r="Y11" s="66"/>
      <c r="Z11" s="72"/>
      <c r="AA11" s="73"/>
      <c r="AB11" s="73"/>
      <c r="AC11" s="66"/>
      <c r="AD11" s="66"/>
      <c r="AE11" s="66"/>
      <c r="AF11" s="66"/>
      <c r="AG11" s="66"/>
      <c r="AH11" s="66"/>
    </row>
    <row r="12" spans="1:34" ht="21" customHeight="1" x14ac:dyDescent="0.35">
      <c r="A12" s="5438"/>
      <c r="B12" s="5411" t="s">
        <v>1189</v>
      </c>
      <c r="C12" s="5412"/>
      <c r="D12" s="5445" t="s">
        <v>1190</v>
      </c>
      <c r="E12" s="5446"/>
      <c r="F12" s="5446"/>
      <c r="G12" s="5446"/>
      <c r="H12" s="5446"/>
      <c r="I12" s="5447"/>
      <c r="J12" s="5383"/>
      <c r="K12" s="5384"/>
      <c r="L12" s="5383"/>
      <c r="M12" s="5384"/>
      <c r="N12" s="1130">
        <f t="shared" si="0"/>
        <v>0</v>
      </c>
      <c r="O12" s="1130">
        <v>10</v>
      </c>
      <c r="P12" s="5406"/>
      <c r="Q12" s="5407"/>
      <c r="R12" s="5407"/>
      <c r="S12" s="5408"/>
      <c r="T12" s="463"/>
      <c r="U12" s="63"/>
      <c r="X12" s="66"/>
      <c r="Y12" s="66"/>
      <c r="Z12" s="72"/>
      <c r="AA12" s="73"/>
      <c r="AB12" s="73"/>
      <c r="AC12" s="66"/>
      <c r="AD12" s="66"/>
      <c r="AE12" s="66"/>
      <c r="AF12" s="66"/>
      <c r="AG12" s="66"/>
      <c r="AH12" s="66"/>
    </row>
    <row r="13" spans="1:34" ht="21" customHeight="1" x14ac:dyDescent="0.35">
      <c r="A13" s="5438"/>
      <c r="B13" s="5411" t="s">
        <v>1299</v>
      </c>
      <c r="C13" s="5412"/>
      <c r="D13" s="5413" t="s">
        <v>1300</v>
      </c>
      <c r="E13" s="5414"/>
      <c r="F13" s="5414"/>
      <c r="G13" s="5414"/>
      <c r="H13" s="5414"/>
      <c r="I13" s="5414"/>
      <c r="J13" s="5383"/>
      <c r="K13" s="5384"/>
      <c r="L13" s="5383"/>
      <c r="M13" s="5384"/>
      <c r="N13" s="1130">
        <f t="shared" si="0"/>
        <v>0</v>
      </c>
      <c r="O13" s="1130">
        <v>10</v>
      </c>
      <c r="P13" s="5406"/>
      <c r="Q13" s="5407"/>
      <c r="R13" s="5407"/>
      <c r="S13" s="5408"/>
      <c r="T13" s="463"/>
      <c r="U13" s="63"/>
      <c r="X13" s="66"/>
      <c r="Y13" s="66"/>
      <c r="Z13" s="72"/>
      <c r="AA13" s="73"/>
      <c r="AB13" s="73"/>
      <c r="AC13" s="66"/>
      <c r="AD13" s="66"/>
      <c r="AE13" s="66"/>
      <c r="AF13" s="66"/>
      <c r="AG13" s="66"/>
      <c r="AH13" s="66"/>
    </row>
    <row r="14" spans="1:34" ht="21" customHeight="1" x14ac:dyDescent="0.35">
      <c r="A14" s="5438"/>
      <c r="B14" s="5411" t="s">
        <v>1301</v>
      </c>
      <c r="C14" s="5412"/>
      <c r="D14" s="5413" t="s">
        <v>1302</v>
      </c>
      <c r="E14" s="5414"/>
      <c r="F14" s="5414"/>
      <c r="G14" s="5414"/>
      <c r="H14" s="5414"/>
      <c r="I14" s="5414"/>
      <c r="J14" s="5383"/>
      <c r="K14" s="5384"/>
      <c r="L14" s="5383"/>
      <c r="M14" s="5384"/>
      <c r="N14" s="1130">
        <f t="shared" si="0"/>
        <v>0</v>
      </c>
      <c r="O14" s="1130">
        <v>11</v>
      </c>
      <c r="P14" s="1502"/>
      <c r="Q14" s="1503"/>
      <c r="R14" s="1503"/>
      <c r="S14" s="1504"/>
      <c r="T14" s="463"/>
      <c r="U14" s="63"/>
      <c r="X14" s="66"/>
      <c r="Y14" s="66"/>
      <c r="Z14" s="72"/>
      <c r="AA14" s="73"/>
      <c r="AB14" s="73"/>
      <c r="AC14" s="66"/>
      <c r="AD14" s="66"/>
      <c r="AE14" s="66"/>
      <c r="AF14" s="66"/>
      <c r="AG14" s="66"/>
      <c r="AH14" s="66"/>
    </row>
    <row r="15" spans="1:34" ht="21" customHeight="1" x14ac:dyDescent="0.35">
      <c r="A15" s="5438"/>
      <c r="B15" s="5411" t="s">
        <v>1303</v>
      </c>
      <c r="C15" s="5412"/>
      <c r="D15" s="5413" t="s">
        <v>1304</v>
      </c>
      <c r="E15" s="5414"/>
      <c r="F15" s="5414"/>
      <c r="G15" s="5414"/>
      <c r="H15" s="5414"/>
      <c r="I15" s="5414"/>
      <c r="J15" s="5383"/>
      <c r="K15" s="5384"/>
      <c r="L15" s="5383"/>
      <c r="M15" s="5384"/>
      <c r="N15" s="1130">
        <f t="shared" si="0"/>
        <v>0</v>
      </c>
      <c r="O15" s="1130">
        <v>10</v>
      </c>
      <c r="P15" s="5406"/>
      <c r="Q15" s="5407"/>
      <c r="R15" s="5407"/>
      <c r="S15" s="5408"/>
      <c r="T15" s="463"/>
      <c r="U15" s="63"/>
      <c r="X15" s="66"/>
      <c r="Y15" s="66"/>
      <c r="Z15" s="72"/>
      <c r="AA15" s="73"/>
      <c r="AB15" s="73"/>
      <c r="AC15" s="66"/>
      <c r="AD15" s="66"/>
      <c r="AE15" s="66"/>
      <c r="AF15" s="66"/>
      <c r="AG15" s="66"/>
      <c r="AH15" s="66"/>
    </row>
    <row r="16" spans="1:34" ht="21" customHeight="1" x14ac:dyDescent="0.35">
      <c r="A16" s="5438"/>
      <c r="B16" s="5411" t="s">
        <v>1191</v>
      </c>
      <c r="C16" s="5412"/>
      <c r="D16" s="5413" t="s">
        <v>1192</v>
      </c>
      <c r="E16" s="5414"/>
      <c r="F16" s="5414"/>
      <c r="G16" s="5414"/>
      <c r="H16" s="5414"/>
      <c r="I16" s="5414"/>
      <c r="J16" s="5383"/>
      <c r="K16" s="5384"/>
      <c r="L16" s="5383"/>
      <c r="M16" s="5384"/>
      <c r="N16" s="1130">
        <f t="shared" si="0"/>
        <v>0</v>
      </c>
      <c r="O16" s="1130">
        <v>10</v>
      </c>
      <c r="P16" s="5406"/>
      <c r="Q16" s="5407"/>
      <c r="R16" s="5407"/>
      <c r="S16" s="5408"/>
      <c r="T16" s="463"/>
      <c r="U16" s="63"/>
      <c r="X16" s="66"/>
      <c r="Y16" s="66"/>
      <c r="Z16" s="72"/>
      <c r="AA16" s="73"/>
      <c r="AB16" s="73"/>
      <c r="AC16" s="66"/>
      <c r="AD16" s="66"/>
      <c r="AE16" s="66"/>
      <c r="AF16" s="66"/>
      <c r="AG16" s="66"/>
      <c r="AH16" s="66"/>
    </row>
    <row r="17" spans="1:34" ht="45.75" customHeight="1" x14ac:dyDescent="0.35">
      <c r="A17" s="5438"/>
      <c r="B17" s="5443" t="s">
        <v>1223</v>
      </c>
      <c r="C17" s="5444"/>
      <c r="D17" s="5413" t="s">
        <v>1193</v>
      </c>
      <c r="E17" s="5414"/>
      <c r="F17" s="5414"/>
      <c r="G17" s="5414"/>
      <c r="H17" s="5414"/>
      <c r="I17" s="5414"/>
      <c r="J17" s="5383"/>
      <c r="K17" s="5384"/>
      <c r="L17" s="5383"/>
      <c r="M17" s="5384"/>
      <c r="N17" s="1130">
        <f t="shared" si="0"/>
        <v>0</v>
      </c>
      <c r="O17" s="1130">
        <v>10</v>
      </c>
      <c r="P17" s="5406"/>
      <c r="Q17" s="5407"/>
      <c r="R17" s="5407"/>
      <c r="S17" s="5408"/>
      <c r="T17" s="463"/>
      <c r="U17" s="63"/>
      <c r="X17" s="66"/>
      <c r="Y17" s="66"/>
      <c r="Z17" s="72"/>
      <c r="AA17" s="73"/>
      <c r="AB17" s="73"/>
      <c r="AC17" s="66"/>
      <c r="AD17" s="66"/>
      <c r="AE17" s="66"/>
      <c r="AF17" s="66"/>
      <c r="AG17" s="66"/>
      <c r="AH17" s="66"/>
    </row>
    <row r="18" spans="1:34" ht="17.25" customHeight="1" thickBot="1" x14ac:dyDescent="0.4">
      <c r="A18" s="5439"/>
      <c r="B18" s="745"/>
      <c r="C18" s="746"/>
      <c r="D18" s="746"/>
      <c r="E18" s="746"/>
      <c r="F18" s="746"/>
      <c r="G18" s="746"/>
      <c r="H18" s="746"/>
      <c r="I18" s="1552" t="s">
        <v>1385</v>
      </c>
      <c r="J18" s="5405" t="e">
        <f>AVERAGE(J10:J17)</f>
        <v>#DIV/0!</v>
      </c>
      <c r="K18" s="5405"/>
      <c r="L18" s="5405">
        <f>AVERAGE(L10:L17)</f>
        <v>0</v>
      </c>
      <c r="M18" s="5405"/>
      <c r="N18" s="1373"/>
      <c r="O18" s="1373"/>
      <c r="P18" s="746"/>
      <c r="Q18" s="746"/>
      <c r="R18" s="746"/>
      <c r="S18" s="747"/>
      <c r="T18" s="463"/>
      <c r="U18" s="63"/>
      <c r="X18" s="66"/>
      <c r="Y18" s="66"/>
      <c r="Z18" s="72"/>
      <c r="AA18" s="73"/>
      <c r="AB18" s="73"/>
      <c r="AC18" s="66"/>
      <c r="AD18" s="66"/>
      <c r="AE18" s="66"/>
      <c r="AF18" s="66"/>
      <c r="AG18" s="66"/>
      <c r="AH18" s="66"/>
    </row>
    <row r="19" spans="1:34" ht="22.5" customHeight="1" thickTop="1" x14ac:dyDescent="0.35">
      <c r="A19" s="5448" t="s">
        <v>435</v>
      </c>
      <c r="B19" s="5449"/>
      <c r="C19" s="5450"/>
      <c r="D19" s="5450"/>
      <c r="E19" s="5450"/>
      <c r="F19" s="5450"/>
      <c r="G19" s="5450"/>
      <c r="H19" s="5450"/>
      <c r="I19" s="5450"/>
      <c r="J19" s="5450"/>
      <c r="K19" s="5450"/>
      <c r="L19" s="5450"/>
      <c r="M19" s="5450"/>
      <c r="N19" s="5450"/>
      <c r="O19" s="5450"/>
      <c r="P19" s="5450"/>
      <c r="Q19" s="5450"/>
      <c r="R19" s="5450"/>
      <c r="S19" s="5451"/>
      <c r="T19" s="463"/>
      <c r="U19" s="63"/>
      <c r="X19" s="66"/>
      <c r="Y19" s="66"/>
      <c r="Z19" s="199"/>
      <c r="AA19" s="200"/>
      <c r="AB19" s="200"/>
      <c r="AC19" s="66"/>
      <c r="AD19" s="66"/>
      <c r="AE19" s="66"/>
      <c r="AF19" s="66"/>
      <c r="AG19" s="66"/>
      <c r="AH19" s="66"/>
    </row>
    <row r="20" spans="1:34" s="735" customFormat="1" ht="36" customHeight="1" x14ac:dyDescent="0.35">
      <c r="A20" s="4516"/>
      <c r="B20" s="5409" t="s">
        <v>1305</v>
      </c>
      <c r="C20" s="5410"/>
      <c r="D20" s="4500" t="s">
        <v>1224</v>
      </c>
      <c r="E20" s="4501"/>
      <c r="F20" s="4501"/>
      <c r="G20" s="4501"/>
      <c r="H20" s="4501"/>
      <c r="I20" s="4501"/>
      <c r="J20" s="5403"/>
      <c r="K20" s="5404"/>
      <c r="L20" s="5403">
        <v>0</v>
      </c>
      <c r="M20" s="5404"/>
      <c r="N20" s="740">
        <f>ABS(J20-L20)</f>
        <v>0</v>
      </c>
      <c r="O20" s="1505">
        <v>10</v>
      </c>
      <c r="P20" s="5370"/>
      <c r="Q20" s="5371"/>
      <c r="R20" s="5371"/>
      <c r="S20" s="5372"/>
      <c r="T20" s="741"/>
      <c r="X20" s="736"/>
      <c r="Y20" s="736"/>
      <c r="Z20" s="737"/>
      <c r="AA20" s="737"/>
      <c r="AB20" s="737"/>
      <c r="AC20" s="736"/>
      <c r="AD20" s="736"/>
      <c r="AE20" s="736"/>
      <c r="AF20" s="736"/>
      <c r="AG20" s="736"/>
      <c r="AH20" s="736"/>
    </row>
    <row r="21" spans="1:34" ht="21" customHeight="1" x14ac:dyDescent="0.35">
      <c r="A21" s="4516"/>
      <c r="B21" s="5409" t="s">
        <v>1225</v>
      </c>
      <c r="C21" s="5410"/>
      <c r="D21" s="4500" t="s">
        <v>1226</v>
      </c>
      <c r="E21" s="4501"/>
      <c r="F21" s="4501"/>
      <c r="G21" s="4501"/>
      <c r="H21" s="4501"/>
      <c r="I21" s="4501"/>
      <c r="J21" s="5403"/>
      <c r="K21" s="5404"/>
      <c r="L21" s="5403"/>
      <c r="M21" s="5404"/>
      <c r="N21" s="1505">
        <f t="shared" ref="N21:N26" si="1">ABS(J21-L21)</f>
        <v>0</v>
      </c>
      <c r="O21" s="1505">
        <v>10</v>
      </c>
      <c r="P21" s="5370"/>
      <c r="Q21" s="5371"/>
      <c r="R21" s="5371"/>
      <c r="S21" s="5372"/>
      <c r="T21" s="463"/>
      <c r="U21" s="63"/>
      <c r="X21" s="66"/>
      <c r="Y21" s="66"/>
      <c r="Z21" s="72"/>
      <c r="AA21" s="73"/>
      <c r="AB21" s="73"/>
      <c r="AC21" s="66"/>
      <c r="AD21" s="66"/>
      <c r="AE21" s="66"/>
      <c r="AF21" s="66"/>
      <c r="AG21" s="66"/>
      <c r="AH21" s="66"/>
    </row>
    <row r="22" spans="1:34" ht="21" customHeight="1" x14ac:dyDescent="0.35">
      <c r="A22" s="4516"/>
      <c r="B22" s="5409" t="s">
        <v>929</v>
      </c>
      <c r="C22" s="5410"/>
      <c r="D22" s="4500" t="s">
        <v>565</v>
      </c>
      <c r="E22" s="4501"/>
      <c r="F22" s="4501"/>
      <c r="G22" s="4501"/>
      <c r="H22" s="4501"/>
      <c r="I22" s="4501"/>
      <c r="J22" s="5403"/>
      <c r="K22" s="5404"/>
      <c r="L22" s="5403"/>
      <c r="M22" s="5404"/>
      <c r="N22" s="1505">
        <f t="shared" si="1"/>
        <v>0</v>
      </c>
      <c r="O22" s="1505">
        <v>10</v>
      </c>
      <c r="P22" s="5370"/>
      <c r="Q22" s="5371"/>
      <c r="R22" s="5371"/>
      <c r="S22" s="5372"/>
      <c r="T22" s="463"/>
      <c r="U22" s="63"/>
      <c r="X22" s="66"/>
      <c r="Y22" s="66"/>
      <c r="Z22" s="72"/>
      <c r="AA22" s="73"/>
      <c r="AB22" s="73"/>
      <c r="AC22" s="66"/>
      <c r="AD22" s="66"/>
      <c r="AE22" s="66"/>
      <c r="AF22" s="66"/>
      <c r="AG22" s="66"/>
      <c r="AH22" s="66"/>
    </row>
    <row r="23" spans="1:34" ht="21" customHeight="1" x14ac:dyDescent="0.35">
      <c r="A23" s="4516"/>
      <c r="B23" s="5409" t="s">
        <v>930</v>
      </c>
      <c r="C23" s="5410"/>
      <c r="D23" s="4500" t="s">
        <v>1100</v>
      </c>
      <c r="E23" s="4501"/>
      <c r="F23" s="4501"/>
      <c r="G23" s="4501"/>
      <c r="H23" s="4501"/>
      <c r="I23" s="4501"/>
      <c r="J23" s="5403"/>
      <c r="K23" s="5404"/>
      <c r="L23" s="5403"/>
      <c r="M23" s="5404"/>
      <c r="N23" s="1505">
        <f t="shared" si="1"/>
        <v>0</v>
      </c>
      <c r="O23" s="1505">
        <v>10</v>
      </c>
      <c r="P23" s="5370"/>
      <c r="Q23" s="5371"/>
      <c r="R23" s="5371"/>
      <c r="S23" s="5372"/>
      <c r="T23" s="463"/>
      <c r="U23" s="63"/>
      <c r="X23" s="66"/>
      <c r="Y23" s="66"/>
      <c r="Z23" s="72"/>
      <c r="AA23" s="73"/>
      <c r="AB23" s="73"/>
      <c r="AC23" s="66"/>
      <c r="AD23" s="66"/>
      <c r="AE23" s="66"/>
      <c r="AF23" s="66"/>
      <c r="AG23" s="66"/>
      <c r="AH23" s="66"/>
    </row>
    <row r="24" spans="1:34" ht="21" customHeight="1" x14ac:dyDescent="0.35">
      <c r="A24" s="4516"/>
      <c r="B24" s="5409" t="s">
        <v>931</v>
      </c>
      <c r="C24" s="5410"/>
      <c r="D24" s="4500" t="s">
        <v>877</v>
      </c>
      <c r="E24" s="4501"/>
      <c r="F24" s="4501"/>
      <c r="G24" s="4501"/>
      <c r="H24" s="4501"/>
      <c r="I24" s="4501"/>
      <c r="J24" s="5403"/>
      <c r="K24" s="5404"/>
      <c r="L24" s="5403"/>
      <c r="M24" s="5404"/>
      <c r="N24" s="1505">
        <f t="shared" si="1"/>
        <v>0</v>
      </c>
      <c r="O24" s="1505">
        <v>10</v>
      </c>
      <c r="P24" s="5370"/>
      <c r="Q24" s="5371"/>
      <c r="R24" s="5371"/>
      <c r="S24" s="5372"/>
      <c r="T24" s="463"/>
      <c r="U24" s="63"/>
      <c r="X24" s="66"/>
      <c r="Y24" s="66"/>
      <c r="Z24" s="72"/>
      <c r="AA24" s="73"/>
      <c r="AB24" s="73"/>
      <c r="AC24" s="66"/>
      <c r="AD24" s="66"/>
      <c r="AE24" s="66"/>
      <c r="AF24" s="66"/>
      <c r="AG24" s="66"/>
      <c r="AH24" s="66"/>
    </row>
    <row r="25" spans="1:34" ht="21" customHeight="1" x14ac:dyDescent="0.35">
      <c r="A25" s="4516"/>
      <c r="B25" s="5409" t="s">
        <v>1194</v>
      </c>
      <c r="C25" s="5410"/>
      <c r="D25" s="4500" t="s">
        <v>566</v>
      </c>
      <c r="E25" s="4501"/>
      <c r="F25" s="4501"/>
      <c r="G25" s="4501"/>
      <c r="H25" s="4501"/>
      <c r="I25" s="4501"/>
      <c r="J25" s="5403"/>
      <c r="K25" s="5404"/>
      <c r="L25" s="5403"/>
      <c r="M25" s="5404"/>
      <c r="N25" s="1505">
        <f t="shared" si="1"/>
        <v>0</v>
      </c>
      <c r="O25" s="1505">
        <v>10</v>
      </c>
      <c r="P25" s="5370"/>
      <c r="Q25" s="5371"/>
      <c r="R25" s="5371"/>
      <c r="S25" s="5372"/>
      <c r="T25" s="463"/>
      <c r="U25" s="63"/>
      <c r="X25" s="66"/>
      <c r="Y25" s="66"/>
      <c r="Z25" s="72"/>
      <c r="AA25" s="73"/>
      <c r="AB25" s="73"/>
      <c r="AC25" s="66"/>
      <c r="AD25" s="66"/>
      <c r="AE25" s="66"/>
      <c r="AF25" s="66"/>
      <c r="AG25" s="66"/>
      <c r="AH25" s="66"/>
    </row>
    <row r="26" spans="1:34" ht="21" customHeight="1" x14ac:dyDescent="0.35">
      <c r="A26" s="4516"/>
      <c r="B26" s="5409" t="s">
        <v>932</v>
      </c>
      <c r="C26" s="5410"/>
      <c r="D26" s="4500" t="s">
        <v>567</v>
      </c>
      <c r="E26" s="4501"/>
      <c r="F26" s="4501"/>
      <c r="G26" s="4501"/>
      <c r="H26" s="4501"/>
      <c r="I26" s="4501"/>
      <c r="J26" s="5403"/>
      <c r="K26" s="5404"/>
      <c r="L26" s="5403"/>
      <c r="M26" s="5404"/>
      <c r="N26" s="1505">
        <f t="shared" si="1"/>
        <v>0</v>
      </c>
      <c r="O26" s="1505">
        <v>10</v>
      </c>
      <c r="P26" s="5370"/>
      <c r="Q26" s="5371"/>
      <c r="R26" s="5371"/>
      <c r="S26" s="5372"/>
      <c r="T26" s="463"/>
      <c r="U26" s="63"/>
      <c r="X26" s="66"/>
      <c r="Y26" s="66"/>
      <c r="Z26" s="72"/>
      <c r="AA26" s="73"/>
      <c r="AB26" s="73"/>
      <c r="AC26" s="66"/>
      <c r="AD26" s="66"/>
      <c r="AE26" s="66"/>
      <c r="AF26" s="66"/>
      <c r="AG26" s="66"/>
      <c r="AH26" s="66"/>
    </row>
    <row r="27" spans="1:34" ht="21" customHeight="1" thickBot="1" x14ac:dyDescent="0.4">
      <c r="A27" s="4517"/>
      <c r="B27" s="745"/>
      <c r="C27" s="746"/>
      <c r="D27" s="746"/>
      <c r="E27" s="746"/>
      <c r="F27" s="746"/>
      <c r="G27" s="746"/>
      <c r="H27" s="746"/>
      <c r="I27" s="1552" t="s">
        <v>1385</v>
      </c>
      <c r="J27" s="5405" t="e">
        <f>AVERAGE(J20:J26)</f>
        <v>#DIV/0!</v>
      </c>
      <c r="K27" s="5405"/>
      <c r="L27" s="5405">
        <f>AVERAGE(L20:L26)</f>
        <v>0</v>
      </c>
      <c r="M27" s="5405"/>
      <c r="N27" s="749">
        <v>0</v>
      </c>
      <c r="O27" s="749"/>
      <c r="P27" s="746"/>
      <c r="Q27" s="746"/>
      <c r="R27" s="746"/>
      <c r="S27" s="747"/>
      <c r="T27" s="463"/>
      <c r="U27" s="63"/>
      <c r="X27" s="66"/>
      <c r="Y27" s="66"/>
      <c r="Z27" s="72"/>
      <c r="AA27" s="73"/>
      <c r="AB27" s="73"/>
      <c r="AC27" s="66"/>
      <c r="AD27" s="66"/>
      <c r="AE27" s="66"/>
      <c r="AF27" s="66"/>
      <c r="AG27" s="66"/>
      <c r="AH27" s="66"/>
    </row>
    <row r="28" spans="1:34" ht="21" customHeight="1" thickTop="1" x14ac:dyDescent="0.35">
      <c r="A28" s="5452" t="s">
        <v>564</v>
      </c>
      <c r="B28" s="5455"/>
      <c r="C28" s="5456"/>
      <c r="D28" s="5456"/>
      <c r="E28" s="5456"/>
      <c r="F28" s="5456"/>
      <c r="G28" s="5456"/>
      <c r="H28" s="5456"/>
      <c r="I28" s="5456"/>
      <c r="J28" s="5456"/>
      <c r="K28" s="5456"/>
      <c r="L28" s="5456"/>
      <c r="M28" s="5456"/>
      <c r="N28" s="5456"/>
      <c r="O28" s="5456"/>
      <c r="P28" s="5456"/>
      <c r="Q28" s="5456"/>
      <c r="R28" s="5456"/>
      <c r="S28" s="5457"/>
      <c r="T28" s="463"/>
      <c r="U28" s="63"/>
      <c r="X28" s="66"/>
      <c r="Y28" s="66"/>
      <c r="Z28" s="72"/>
      <c r="AA28" s="73"/>
      <c r="AB28" s="73"/>
      <c r="AC28" s="66"/>
      <c r="AD28" s="66"/>
      <c r="AE28" s="66"/>
      <c r="AF28" s="66"/>
      <c r="AG28" s="66"/>
      <c r="AH28" s="66"/>
    </row>
    <row r="29" spans="1:34" ht="21" customHeight="1" x14ac:dyDescent="0.35">
      <c r="A29" s="5453"/>
      <c r="B29" s="5434" t="s">
        <v>933</v>
      </c>
      <c r="C29" s="5435"/>
      <c r="D29" s="5436" t="s">
        <v>1195</v>
      </c>
      <c r="E29" s="5382"/>
      <c r="F29" s="5382"/>
      <c r="G29" s="5382"/>
      <c r="H29" s="5382"/>
      <c r="I29" s="5382"/>
      <c r="J29" s="5383"/>
      <c r="K29" s="5384"/>
      <c r="L29" s="5403">
        <v>0</v>
      </c>
      <c r="M29" s="5404"/>
      <c r="N29" s="740">
        <f t="shared" ref="N29:N36" si="2">ABS(J29-L29)</f>
        <v>0</v>
      </c>
      <c r="O29" s="1505">
        <v>10</v>
      </c>
      <c r="P29" s="5370"/>
      <c r="Q29" s="5371"/>
      <c r="R29" s="5371"/>
      <c r="S29" s="5372"/>
      <c r="T29" s="463"/>
      <c r="U29" s="63"/>
      <c r="X29" s="66"/>
      <c r="Y29" s="66"/>
      <c r="Z29" s="72"/>
      <c r="AA29" s="73"/>
      <c r="AB29" s="73"/>
      <c r="AC29" s="66"/>
      <c r="AD29" s="66"/>
      <c r="AE29" s="66"/>
      <c r="AF29" s="66"/>
      <c r="AG29" s="66"/>
      <c r="AH29" s="66"/>
    </row>
    <row r="30" spans="1:34" ht="18.75" customHeight="1" x14ac:dyDescent="0.35">
      <c r="A30" s="5453"/>
      <c r="B30" s="5434" t="s">
        <v>934</v>
      </c>
      <c r="C30" s="5435"/>
      <c r="D30" s="5436" t="s">
        <v>434</v>
      </c>
      <c r="E30" s="5382"/>
      <c r="F30" s="5382"/>
      <c r="G30" s="5382"/>
      <c r="H30" s="5382"/>
      <c r="I30" s="5382"/>
      <c r="J30" s="5383"/>
      <c r="K30" s="5384"/>
      <c r="L30" s="5403"/>
      <c r="M30" s="5404"/>
      <c r="N30" s="740">
        <f t="shared" si="2"/>
        <v>0</v>
      </c>
      <c r="O30" s="1505">
        <v>10</v>
      </c>
      <c r="P30" s="5370"/>
      <c r="Q30" s="5371"/>
      <c r="R30" s="5371"/>
      <c r="S30" s="5372"/>
      <c r="T30" s="463"/>
      <c r="U30" s="63"/>
      <c r="X30" s="66"/>
      <c r="Y30" s="66"/>
      <c r="Z30" s="72"/>
      <c r="AA30" s="73"/>
      <c r="AB30" s="73"/>
      <c r="AC30" s="66"/>
      <c r="AD30" s="66"/>
      <c r="AE30" s="66"/>
      <c r="AF30" s="66"/>
      <c r="AG30" s="66"/>
      <c r="AH30" s="66"/>
    </row>
    <row r="31" spans="1:34" ht="18.75" customHeight="1" x14ac:dyDescent="0.35">
      <c r="A31" s="5453"/>
      <c r="B31" s="5434" t="s">
        <v>1227</v>
      </c>
      <c r="C31" s="5435"/>
      <c r="D31" s="5436" t="s">
        <v>1228</v>
      </c>
      <c r="E31" s="5382"/>
      <c r="F31" s="5382"/>
      <c r="G31" s="5382"/>
      <c r="H31" s="5382"/>
      <c r="I31" s="5382"/>
      <c r="J31" s="5383"/>
      <c r="K31" s="5384"/>
      <c r="L31" s="5403"/>
      <c r="M31" s="5404"/>
      <c r="N31" s="740">
        <f t="shared" si="2"/>
        <v>0</v>
      </c>
      <c r="O31" s="1505">
        <v>10</v>
      </c>
      <c r="P31" s="5370"/>
      <c r="Q31" s="5371"/>
      <c r="R31" s="5371"/>
      <c r="S31" s="5372"/>
      <c r="T31" s="463"/>
      <c r="U31" s="63"/>
      <c r="X31" s="66"/>
      <c r="Y31" s="66"/>
      <c r="Z31" s="72"/>
      <c r="AA31" s="73"/>
      <c r="AB31" s="73"/>
      <c r="AC31" s="66"/>
      <c r="AD31" s="66"/>
      <c r="AE31" s="66"/>
      <c r="AF31" s="66"/>
      <c r="AG31" s="66"/>
      <c r="AH31" s="66"/>
    </row>
    <row r="32" spans="1:34" ht="21" customHeight="1" x14ac:dyDescent="0.35">
      <c r="A32" s="5453"/>
      <c r="B32" s="5434" t="s">
        <v>1229</v>
      </c>
      <c r="C32" s="5435"/>
      <c r="D32" s="5436" t="s">
        <v>1230</v>
      </c>
      <c r="E32" s="5382"/>
      <c r="F32" s="5382"/>
      <c r="G32" s="5382"/>
      <c r="H32" s="5382"/>
      <c r="I32" s="5382"/>
      <c r="J32" s="5383"/>
      <c r="K32" s="5384"/>
      <c r="L32" s="5403"/>
      <c r="M32" s="5404"/>
      <c r="N32" s="740">
        <f t="shared" si="2"/>
        <v>0</v>
      </c>
      <c r="O32" s="1505">
        <v>10</v>
      </c>
      <c r="P32" s="5370"/>
      <c r="Q32" s="5371"/>
      <c r="R32" s="5371"/>
      <c r="S32" s="5372"/>
      <c r="T32" s="463"/>
      <c r="U32" s="63"/>
      <c r="X32" s="66"/>
      <c r="Y32" s="66"/>
      <c r="Z32" s="72"/>
      <c r="AA32" s="73"/>
      <c r="AB32" s="73"/>
      <c r="AC32" s="66"/>
      <c r="AD32" s="66"/>
      <c r="AE32" s="66"/>
      <c r="AF32" s="66"/>
      <c r="AG32" s="66"/>
      <c r="AH32" s="66"/>
    </row>
    <row r="33" spans="1:34" ht="21" customHeight="1" x14ac:dyDescent="0.35">
      <c r="A33" s="5453"/>
      <c r="B33" s="5434" t="s">
        <v>935</v>
      </c>
      <c r="C33" s="5435"/>
      <c r="D33" s="5436" t="s">
        <v>1196</v>
      </c>
      <c r="E33" s="5382"/>
      <c r="F33" s="5382"/>
      <c r="G33" s="5382"/>
      <c r="H33" s="5382"/>
      <c r="I33" s="5382"/>
      <c r="J33" s="5383"/>
      <c r="K33" s="5384"/>
      <c r="L33" s="5403"/>
      <c r="M33" s="5404"/>
      <c r="N33" s="740">
        <f t="shared" si="2"/>
        <v>0</v>
      </c>
      <c r="O33" s="1505">
        <v>10</v>
      </c>
      <c r="P33" s="5370"/>
      <c r="Q33" s="5371"/>
      <c r="R33" s="5371"/>
      <c r="S33" s="5372"/>
      <c r="T33" s="463"/>
      <c r="U33" s="63"/>
      <c r="X33" s="66"/>
      <c r="Y33" s="66"/>
      <c r="Z33" s="72"/>
      <c r="AA33" s="73"/>
      <c r="AB33" s="73"/>
      <c r="AC33" s="66"/>
      <c r="AD33" s="66"/>
      <c r="AE33" s="66"/>
      <c r="AF33" s="66"/>
      <c r="AG33" s="66"/>
      <c r="AH33" s="66"/>
    </row>
    <row r="34" spans="1:34" ht="21" customHeight="1" x14ac:dyDescent="0.35">
      <c r="A34" s="5453"/>
      <c r="B34" s="5434" t="s">
        <v>130</v>
      </c>
      <c r="C34" s="5435"/>
      <c r="D34" s="5436" t="s">
        <v>433</v>
      </c>
      <c r="E34" s="5382"/>
      <c r="F34" s="5382"/>
      <c r="G34" s="5382"/>
      <c r="H34" s="5382"/>
      <c r="I34" s="5382"/>
      <c r="J34" s="5383"/>
      <c r="K34" s="5384"/>
      <c r="L34" s="5403"/>
      <c r="M34" s="5404"/>
      <c r="N34" s="740">
        <f t="shared" si="2"/>
        <v>0</v>
      </c>
      <c r="O34" s="1505">
        <v>10</v>
      </c>
      <c r="P34" s="5370"/>
      <c r="Q34" s="5371"/>
      <c r="R34" s="5371"/>
      <c r="S34" s="5372"/>
      <c r="T34" s="463"/>
      <c r="U34" s="63"/>
      <c r="X34" s="66"/>
      <c r="Y34" s="66"/>
      <c r="Z34" s="72"/>
      <c r="AA34" s="73"/>
      <c r="AB34" s="73"/>
      <c r="AC34" s="66"/>
      <c r="AD34" s="66"/>
      <c r="AE34" s="66"/>
      <c r="AF34" s="66"/>
      <c r="AG34" s="66"/>
      <c r="AH34" s="66"/>
    </row>
    <row r="35" spans="1:34" ht="21" customHeight="1" x14ac:dyDescent="0.35">
      <c r="A35" s="5453"/>
      <c r="B35" s="5434" t="s">
        <v>937</v>
      </c>
      <c r="C35" s="5435"/>
      <c r="D35" s="5436" t="s">
        <v>432</v>
      </c>
      <c r="E35" s="5382"/>
      <c r="F35" s="5382"/>
      <c r="G35" s="5382"/>
      <c r="H35" s="5382"/>
      <c r="I35" s="5382"/>
      <c r="J35" s="5383"/>
      <c r="K35" s="5384"/>
      <c r="L35" s="5403"/>
      <c r="M35" s="5404"/>
      <c r="N35" s="740">
        <f t="shared" si="2"/>
        <v>0</v>
      </c>
      <c r="O35" s="1505">
        <v>10</v>
      </c>
      <c r="P35" s="5370"/>
      <c r="Q35" s="5371"/>
      <c r="R35" s="5371"/>
      <c r="S35" s="5372"/>
      <c r="T35" s="463"/>
      <c r="U35" s="63"/>
      <c r="X35" s="66"/>
      <c r="Y35" s="66"/>
      <c r="Z35" s="72"/>
      <c r="AA35" s="73"/>
      <c r="AB35" s="73"/>
      <c r="AC35" s="66"/>
      <c r="AD35" s="66"/>
      <c r="AE35" s="66"/>
      <c r="AF35" s="66"/>
      <c r="AG35" s="66"/>
      <c r="AH35" s="66"/>
    </row>
    <row r="36" spans="1:34" ht="21" customHeight="1" x14ac:dyDescent="0.35">
      <c r="A36" s="5453"/>
      <c r="B36" s="5434" t="s">
        <v>936</v>
      </c>
      <c r="C36" s="5435"/>
      <c r="D36" s="5436" t="s">
        <v>431</v>
      </c>
      <c r="E36" s="5382"/>
      <c r="F36" s="5382"/>
      <c r="G36" s="5382"/>
      <c r="H36" s="5382"/>
      <c r="I36" s="5382"/>
      <c r="J36" s="5383"/>
      <c r="K36" s="5384"/>
      <c r="L36" s="5403"/>
      <c r="M36" s="5404"/>
      <c r="N36" s="740">
        <f t="shared" si="2"/>
        <v>0</v>
      </c>
      <c r="O36" s="1505">
        <v>10</v>
      </c>
      <c r="P36" s="5370"/>
      <c r="Q36" s="5371"/>
      <c r="R36" s="5371"/>
      <c r="S36" s="5372"/>
      <c r="T36" s="463"/>
      <c r="U36" s="63"/>
      <c r="X36" s="66"/>
      <c r="Y36" s="66"/>
      <c r="Z36" s="72"/>
      <c r="AA36" s="73"/>
      <c r="AB36" s="73"/>
      <c r="AC36" s="66"/>
      <c r="AD36" s="66"/>
      <c r="AE36" s="66"/>
      <c r="AF36" s="66"/>
      <c r="AG36" s="66"/>
      <c r="AH36" s="66"/>
    </row>
    <row r="37" spans="1:34" ht="21" customHeight="1" thickBot="1" x14ac:dyDescent="0.4">
      <c r="A37" s="5454"/>
      <c r="B37" s="748"/>
      <c r="C37" s="749"/>
      <c r="D37" s="749"/>
      <c r="E37" s="749"/>
      <c r="F37" s="749"/>
      <c r="G37" s="749"/>
      <c r="H37" s="749"/>
      <c r="I37" s="1552" t="s">
        <v>1385</v>
      </c>
      <c r="J37" s="5405" t="e">
        <f>AVERAGE(J29:J36)</f>
        <v>#DIV/0!</v>
      </c>
      <c r="K37" s="5405"/>
      <c r="L37" s="5405">
        <f>AVERAGE(L29:L36)</f>
        <v>0</v>
      </c>
      <c r="M37" s="5405"/>
      <c r="N37" s="749">
        <v>0</v>
      </c>
      <c r="O37" s="749"/>
      <c r="P37" s="749"/>
      <c r="Q37" s="749"/>
      <c r="R37" s="749"/>
      <c r="S37" s="750"/>
      <c r="T37" s="463"/>
      <c r="U37" s="63"/>
      <c r="X37" s="66"/>
      <c r="Y37" s="66"/>
      <c r="Z37" s="72"/>
      <c r="AA37" s="73"/>
      <c r="AB37" s="73"/>
      <c r="AC37" s="66"/>
      <c r="AD37" s="66"/>
      <c r="AE37" s="66"/>
      <c r="AF37" s="66"/>
      <c r="AG37" s="66"/>
      <c r="AH37" s="66"/>
    </row>
    <row r="38" spans="1:34" ht="21" customHeight="1" x14ac:dyDescent="0.35">
      <c r="A38" s="5391" t="s">
        <v>430</v>
      </c>
      <c r="B38" s="5394"/>
      <c r="C38" s="5395"/>
      <c r="D38" s="5395"/>
      <c r="E38" s="5395"/>
      <c r="F38" s="5395"/>
      <c r="G38" s="5395"/>
      <c r="H38" s="5395"/>
      <c r="I38" s="5395"/>
      <c r="J38" s="5395"/>
      <c r="K38" s="5395"/>
      <c r="L38" s="5395"/>
      <c r="M38" s="5395"/>
      <c r="N38" s="5395"/>
      <c r="O38" s="5395"/>
      <c r="P38" s="5395"/>
      <c r="Q38" s="5395"/>
      <c r="R38" s="5395"/>
      <c r="S38" s="5396"/>
      <c r="T38" s="463"/>
      <c r="U38" s="63"/>
      <c r="X38" s="66"/>
      <c r="Y38" s="66"/>
      <c r="Z38" s="72"/>
      <c r="AA38" s="73"/>
      <c r="AB38" s="73"/>
      <c r="AC38" s="66"/>
      <c r="AD38" s="66"/>
      <c r="AE38" s="66"/>
      <c r="AF38" s="66"/>
      <c r="AG38" s="66"/>
      <c r="AH38" s="66"/>
    </row>
    <row r="39" spans="1:34" ht="21" customHeight="1" x14ac:dyDescent="0.35">
      <c r="A39" s="5392"/>
      <c r="B39" s="5389" t="s">
        <v>938</v>
      </c>
      <c r="C39" s="5390"/>
      <c r="D39" s="5381" t="s">
        <v>1197</v>
      </c>
      <c r="E39" s="5397"/>
      <c r="F39" s="5397"/>
      <c r="G39" s="5397"/>
      <c r="H39" s="5397"/>
      <c r="I39" s="5397"/>
      <c r="J39" s="5383"/>
      <c r="K39" s="5384"/>
      <c r="L39" s="5403">
        <v>0</v>
      </c>
      <c r="M39" s="5404"/>
      <c r="N39" s="1505">
        <f t="shared" ref="N39:N53" si="3">ABS(J39-L39)</f>
        <v>0</v>
      </c>
      <c r="O39" s="1505">
        <v>10</v>
      </c>
      <c r="P39" s="5370"/>
      <c r="Q39" s="5371"/>
      <c r="R39" s="5371"/>
      <c r="S39" s="5372"/>
      <c r="T39" s="463"/>
      <c r="U39" s="63"/>
      <c r="X39" s="66"/>
      <c r="Y39" s="66"/>
      <c r="Z39" s="72"/>
      <c r="AA39" s="73"/>
      <c r="AB39" s="73"/>
      <c r="AC39" s="66"/>
      <c r="AD39" s="66"/>
      <c r="AE39" s="66"/>
      <c r="AF39" s="66"/>
      <c r="AG39" s="66"/>
      <c r="AH39" s="66"/>
    </row>
    <row r="40" spans="1:34" ht="21" customHeight="1" x14ac:dyDescent="0.35">
      <c r="A40" s="5392"/>
      <c r="B40" s="5389" t="s">
        <v>13</v>
      </c>
      <c r="C40" s="5390"/>
      <c r="D40" s="5381" t="s">
        <v>1198</v>
      </c>
      <c r="E40" s="5382"/>
      <c r="F40" s="5382"/>
      <c r="G40" s="5382"/>
      <c r="H40" s="5382"/>
      <c r="I40" s="5382"/>
      <c r="J40" s="5383"/>
      <c r="K40" s="5384"/>
      <c r="L40" s="5403"/>
      <c r="M40" s="5404"/>
      <c r="N40" s="740">
        <f t="shared" si="3"/>
        <v>0</v>
      </c>
      <c r="O40" s="1505">
        <v>10</v>
      </c>
      <c r="P40" s="5370"/>
      <c r="Q40" s="5371"/>
      <c r="R40" s="5371"/>
      <c r="S40" s="5372"/>
      <c r="T40" s="463"/>
      <c r="U40" s="63"/>
      <c r="X40" s="66"/>
      <c r="Y40" s="66"/>
      <c r="Z40" s="72"/>
      <c r="AA40" s="73"/>
      <c r="AB40" s="73"/>
      <c r="AC40" s="66"/>
      <c r="AD40" s="66"/>
      <c r="AE40" s="66"/>
      <c r="AF40" s="66"/>
      <c r="AG40" s="66"/>
      <c r="AH40" s="66"/>
    </row>
    <row r="41" spans="1:34" ht="21" customHeight="1" x14ac:dyDescent="0.35">
      <c r="A41" s="5392"/>
      <c r="B41" s="5389" t="s">
        <v>939</v>
      </c>
      <c r="C41" s="5390"/>
      <c r="D41" s="5381" t="s">
        <v>429</v>
      </c>
      <c r="E41" s="5382"/>
      <c r="F41" s="5382"/>
      <c r="G41" s="5382"/>
      <c r="H41" s="5382"/>
      <c r="I41" s="5382"/>
      <c r="J41" s="5383"/>
      <c r="K41" s="5384"/>
      <c r="L41" s="5403"/>
      <c r="M41" s="5404"/>
      <c r="N41" s="740">
        <f t="shared" si="3"/>
        <v>0</v>
      </c>
      <c r="O41" s="1505">
        <v>10</v>
      </c>
      <c r="P41" s="5370"/>
      <c r="Q41" s="5371"/>
      <c r="R41" s="5371"/>
      <c r="S41" s="5372"/>
      <c r="T41" s="463"/>
      <c r="U41" s="63"/>
      <c r="X41" s="66"/>
      <c r="Y41" s="66"/>
      <c r="Z41" s="72"/>
      <c r="AA41" s="73"/>
      <c r="AB41" s="73"/>
      <c r="AC41" s="66"/>
      <c r="AD41" s="66"/>
      <c r="AE41" s="66"/>
      <c r="AF41" s="66"/>
      <c r="AG41" s="66"/>
      <c r="AH41" s="66"/>
    </row>
    <row r="42" spans="1:34" ht="21" customHeight="1" x14ac:dyDescent="0.35">
      <c r="A42" s="5392"/>
      <c r="B42" s="5389" t="s">
        <v>940</v>
      </c>
      <c r="C42" s="5390"/>
      <c r="D42" s="5381" t="s">
        <v>428</v>
      </c>
      <c r="E42" s="5382"/>
      <c r="F42" s="5382"/>
      <c r="G42" s="5382"/>
      <c r="H42" s="5382"/>
      <c r="I42" s="5382"/>
      <c r="J42" s="5383"/>
      <c r="K42" s="5384"/>
      <c r="L42" s="5403"/>
      <c r="M42" s="5404"/>
      <c r="N42" s="740">
        <f t="shared" si="3"/>
        <v>0</v>
      </c>
      <c r="O42" s="1505">
        <v>10</v>
      </c>
      <c r="P42" s="5370"/>
      <c r="Q42" s="5371"/>
      <c r="R42" s="5371"/>
      <c r="S42" s="5372"/>
      <c r="T42" s="463"/>
      <c r="U42" s="63"/>
      <c r="X42" s="66"/>
      <c r="Y42" s="66"/>
      <c r="Z42" s="72"/>
      <c r="AA42" s="73"/>
      <c r="AB42" s="73"/>
      <c r="AC42" s="66"/>
      <c r="AD42" s="66"/>
      <c r="AE42" s="66"/>
      <c r="AF42" s="66"/>
      <c r="AG42" s="66"/>
      <c r="AH42" s="66"/>
    </row>
    <row r="43" spans="1:34" ht="21" customHeight="1" x14ac:dyDescent="0.35">
      <c r="A43" s="5392"/>
      <c r="B43" s="5389" t="s">
        <v>941</v>
      </c>
      <c r="C43" s="5390"/>
      <c r="D43" s="5381" t="s">
        <v>427</v>
      </c>
      <c r="E43" s="5382"/>
      <c r="F43" s="5382"/>
      <c r="G43" s="5382"/>
      <c r="H43" s="5382"/>
      <c r="I43" s="5382"/>
      <c r="J43" s="5383"/>
      <c r="K43" s="5384"/>
      <c r="L43" s="5403"/>
      <c r="M43" s="5404"/>
      <c r="N43" s="740">
        <f t="shared" si="3"/>
        <v>0</v>
      </c>
      <c r="O43" s="1505">
        <v>10</v>
      </c>
      <c r="P43" s="5370"/>
      <c r="Q43" s="5371"/>
      <c r="R43" s="5371"/>
      <c r="S43" s="5372"/>
      <c r="T43" s="463"/>
      <c r="U43" s="63"/>
      <c r="X43" s="66"/>
      <c r="Y43" s="66"/>
      <c r="Z43" s="72"/>
      <c r="AA43" s="73"/>
      <c r="AB43" s="73"/>
      <c r="AC43" s="66"/>
      <c r="AD43" s="66"/>
      <c r="AE43" s="66"/>
      <c r="AF43" s="66"/>
      <c r="AG43" s="66"/>
      <c r="AH43" s="66"/>
    </row>
    <row r="44" spans="1:34" ht="21" customHeight="1" x14ac:dyDescent="0.35">
      <c r="A44" s="5392"/>
      <c r="B44" s="5389" t="s">
        <v>942</v>
      </c>
      <c r="C44" s="5390"/>
      <c r="D44" s="5381" t="s">
        <v>426</v>
      </c>
      <c r="E44" s="5382"/>
      <c r="F44" s="5382"/>
      <c r="G44" s="5382"/>
      <c r="H44" s="5382"/>
      <c r="I44" s="5382"/>
      <c r="J44" s="5383"/>
      <c r="K44" s="5384"/>
      <c r="L44" s="5403"/>
      <c r="M44" s="5404"/>
      <c r="N44" s="740">
        <f t="shared" si="3"/>
        <v>0</v>
      </c>
      <c r="O44" s="1505">
        <v>10</v>
      </c>
      <c r="P44" s="5370"/>
      <c r="Q44" s="5371"/>
      <c r="R44" s="5371"/>
      <c r="S44" s="5372"/>
      <c r="T44" s="463"/>
      <c r="U44" s="63"/>
      <c r="X44" s="66"/>
      <c r="Y44" s="66"/>
      <c r="Z44" s="72"/>
      <c r="AA44" s="73"/>
      <c r="AB44" s="73"/>
      <c r="AC44" s="66"/>
      <c r="AD44" s="66"/>
      <c r="AE44" s="66"/>
      <c r="AF44" s="66"/>
      <c r="AG44" s="66"/>
      <c r="AH44" s="66"/>
    </row>
    <row r="45" spans="1:34" ht="22.5" customHeight="1" x14ac:dyDescent="0.35">
      <c r="A45" s="5392"/>
      <c r="B45" s="5389" t="s">
        <v>943</v>
      </c>
      <c r="C45" s="5390"/>
      <c r="D45" s="5381" t="s">
        <v>425</v>
      </c>
      <c r="E45" s="5382"/>
      <c r="F45" s="5382"/>
      <c r="G45" s="5382"/>
      <c r="H45" s="5382"/>
      <c r="I45" s="5382"/>
      <c r="J45" s="5383"/>
      <c r="K45" s="5384"/>
      <c r="L45" s="5403"/>
      <c r="M45" s="5404"/>
      <c r="N45" s="740">
        <f t="shared" si="3"/>
        <v>0</v>
      </c>
      <c r="O45" s="1505">
        <v>10</v>
      </c>
      <c r="P45" s="5370"/>
      <c r="Q45" s="5371"/>
      <c r="R45" s="5371"/>
      <c r="S45" s="5372"/>
      <c r="T45" s="463"/>
      <c r="U45" s="63"/>
      <c r="X45" s="66"/>
      <c r="Y45" s="66"/>
      <c r="Z45" s="72"/>
      <c r="AA45" s="73"/>
      <c r="AB45" s="73"/>
      <c r="AC45" s="66"/>
      <c r="AD45" s="66"/>
      <c r="AE45" s="66"/>
      <c r="AF45" s="66"/>
      <c r="AG45" s="66"/>
      <c r="AH45" s="66"/>
    </row>
    <row r="46" spans="1:34" ht="26.25" customHeight="1" x14ac:dyDescent="0.35">
      <c r="A46" s="5392"/>
      <c r="B46" s="5389" t="s">
        <v>944</v>
      </c>
      <c r="C46" s="5390"/>
      <c r="D46" s="5381" t="s">
        <v>424</v>
      </c>
      <c r="E46" s="5382"/>
      <c r="F46" s="5382"/>
      <c r="G46" s="5382"/>
      <c r="H46" s="5382"/>
      <c r="I46" s="5382"/>
      <c r="J46" s="5383"/>
      <c r="K46" s="5384"/>
      <c r="L46" s="5403"/>
      <c r="M46" s="5404"/>
      <c r="N46" s="740">
        <f t="shared" si="3"/>
        <v>0</v>
      </c>
      <c r="O46" s="1505">
        <v>10</v>
      </c>
      <c r="P46" s="5370"/>
      <c r="Q46" s="5371"/>
      <c r="R46" s="5371"/>
      <c r="S46" s="5372"/>
      <c r="T46" s="463"/>
      <c r="U46" s="63"/>
      <c r="X46" s="66"/>
      <c r="Y46" s="66"/>
      <c r="Z46" s="72"/>
      <c r="AA46" s="73"/>
      <c r="AB46" s="73"/>
      <c r="AC46" s="66"/>
      <c r="AD46" s="66"/>
      <c r="AE46" s="66"/>
      <c r="AF46" s="66"/>
      <c r="AG46" s="66"/>
      <c r="AH46" s="66"/>
    </row>
    <row r="47" spans="1:34" ht="21" customHeight="1" x14ac:dyDescent="0.35">
      <c r="A47" s="5392"/>
      <c r="B47" s="5389" t="s">
        <v>945</v>
      </c>
      <c r="C47" s="5390"/>
      <c r="D47" s="5381" t="s">
        <v>423</v>
      </c>
      <c r="E47" s="5382"/>
      <c r="F47" s="5382"/>
      <c r="G47" s="5382"/>
      <c r="H47" s="5382"/>
      <c r="I47" s="5382"/>
      <c r="J47" s="5383"/>
      <c r="K47" s="5384"/>
      <c r="L47" s="5403"/>
      <c r="M47" s="5404"/>
      <c r="N47" s="740">
        <f t="shared" si="3"/>
        <v>0</v>
      </c>
      <c r="O47" s="1505">
        <v>10</v>
      </c>
      <c r="P47" s="5370" t="s">
        <v>1074</v>
      </c>
      <c r="Q47" s="5371"/>
      <c r="R47" s="5371"/>
      <c r="S47" s="5372"/>
      <c r="T47" s="463"/>
      <c r="U47" s="63"/>
      <c r="X47" s="66"/>
      <c r="Y47" s="66"/>
      <c r="Z47" s="72"/>
      <c r="AA47" s="73"/>
      <c r="AB47" s="73"/>
      <c r="AC47" s="66"/>
      <c r="AD47" s="66"/>
      <c r="AE47" s="66"/>
      <c r="AF47" s="66"/>
      <c r="AG47" s="66"/>
      <c r="AH47" s="66"/>
    </row>
    <row r="48" spans="1:34" ht="21" customHeight="1" x14ac:dyDescent="0.35">
      <c r="A48" s="5392"/>
      <c r="B48" s="5389" t="s">
        <v>946</v>
      </c>
      <c r="C48" s="5390"/>
      <c r="D48" s="5381" t="s">
        <v>422</v>
      </c>
      <c r="E48" s="5382"/>
      <c r="F48" s="5382"/>
      <c r="G48" s="5382"/>
      <c r="H48" s="5382"/>
      <c r="I48" s="5382"/>
      <c r="J48" s="5383"/>
      <c r="K48" s="5384"/>
      <c r="L48" s="5403"/>
      <c r="M48" s="5404"/>
      <c r="N48" s="740">
        <f t="shared" si="3"/>
        <v>0</v>
      </c>
      <c r="O48" s="1505">
        <v>10</v>
      </c>
      <c r="P48" s="5370"/>
      <c r="Q48" s="5371"/>
      <c r="R48" s="5371"/>
      <c r="S48" s="5372"/>
      <c r="T48" s="463"/>
      <c r="U48" s="63"/>
      <c r="X48" s="66"/>
      <c r="Y48" s="66"/>
      <c r="Z48" s="72"/>
      <c r="AA48" s="73"/>
      <c r="AB48" s="73"/>
      <c r="AC48" s="66"/>
      <c r="AD48" s="66"/>
      <c r="AE48" s="66"/>
      <c r="AF48" s="66"/>
      <c r="AG48" s="66"/>
      <c r="AH48" s="66"/>
    </row>
    <row r="49" spans="1:34" ht="21" customHeight="1" x14ac:dyDescent="0.35">
      <c r="A49" s="5392"/>
      <c r="B49" s="5389" t="s">
        <v>947</v>
      </c>
      <c r="C49" s="5390"/>
      <c r="D49" s="5381" t="s">
        <v>421</v>
      </c>
      <c r="E49" s="5382"/>
      <c r="F49" s="5382"/>
      <c r="G49" s="5382"/>
      <c r="H49" s="5382"/>
      <c r="I49" s="5382"/>
      <c r="J49" s="5383"/>
      <c r="K49" s="5384"/>
      <c r="L49" s="5385"/>
      <c r="M49" s="5386"/>
      <c r="N49" s="740">
        <f t="shared" si="3"/>
        <v>0</v>
      </c>
      <c r="O49" s="1505">
        <v>10</v>
      </c>
      <c r="P49" s="5370"/>
      <c r="Q49" s="5371"/>
      <c r="R49" s="5371"/>
      <c r="S49" s="5372"/>
      <c r="T49" s="463"/>
      <c r="U49" s="63"/>
      <c r="X49" s="66"/>
      <c r="Y49" s="66"/>
      <c r="Z49" s="72"/>
      <c r="AA49" s="73"/>
      <c r="AB49" s="73"/>
      <c r="AC49" s="66"/>
      <c r="AD49" s="66"/>
      <c r="AE49" s="66"/>
      <c r="AF49" s="66"/>
      <c r="AG49" s="66"/>
      <c r="AH49" s="66"/>
    </row>
    <row r="50" spans="1:34" ht="21" customHeight="1" x14ac:dyDescent="0.35">
      <c r="A50" s="5392"/>
      <c r="B50" s="5389" t="s">
        <v>948</v>
      </c>
      <c r="C50" s="5390"/>
      <c r="D50" s="5381" t="s">
        <v>420</v>
      </c>
      <c r="E50" s="5382"/>
      <c r="F50" s="5382"/>
      <c r="G50" s="5382"/>
      <c r="H50" s="5382"/>
      <c r="I50" s="5382"/>
      <c r="J50" s="5383"/>
      <c r="K50" s="5384"/>
      <c r="L50" s="5385"/>
      <c r="M50" s="5386"/>
      <c r="N50" s="740">
        <f t="shared" si="3"/>
        <v>0</v>
      </c>
      <c r="O50" s="1505">
        <v>10</v>
      </c>
      <c r="P50" s="5370"/>
      <c r="Q50" s="5371"/>
      <c r="R50" s="5371"/>
      <c r="S50" s="5372"/>
      <c r="T50" s="463"/>
      <c r="U50" s="63"/>
      <c r="X50" s="66"/>
      <c r="Y50" s="66"/>
      <c r="Z50" s="72"/>
      <c r="AA50" s="73"/>
      <c r="AB50" s="73"/>
      <c r="AC50" s="66"/>
      <c r="AD50" s="66"/>
      <c r="AE50" s="66"/>
      <c r="AF50" s="66"/>
      <c r="AG50" s="66"/>
      <c r="AH50" s="66"/>
    </row>
    <row r="51" spans="1:34" ht="21" customHeight="1" x14ac:dyDescent="0.35">
      <c r="A51" s="5392"/>
      <c r="B51" s="5389" t="s">
        <v>15</v>
      </c>
      <c r="C51" s="5390"/>
      <c r="D51" s="5381" t="s">
        <v>419</v>
      </c>
      <c r="E51" s="5382"/>
      <c r="F51" s="5382"/>
      <c r="G51" s="5382"/>
      <c r="H51" s="5382"/>
      <c r="I51" s="5382"/>
      <c r="J51" s="5383"/>
      <c r="K51" s="5384"/>
      <c r="L51" s="5385"/>
      <c r="M51" s="5386"/>
      <c r="N51" s="740">
        <f t="shared" si="3"/>
        <v>0</v>
      </c>
      <c r="O51" s="1505">
        <v>10</v>
      </c>
      <c r="P51" s="5370"/>
      <c r="Q51" s="5371"/>
      <c r="R51" s="5371"/>
      <c r="S51" s="5372"/>
      <c r="T51" s="463"/>
      <c r="U51" s="63"/>
      <c r="X51" s="66"/>
      <c r="Y51" s="66"/>
      <c r="Z51" s="72"/>
      <c r="AA51" s="73"/>
      <c r="AB51" s="73"/>
      <c r="AC51" s="66"/>
      <c r="AD51" s="66"/>
      <c r="AE51" s="66"/>
      <c r="AF51" s="66"/>
      <c r="AG51" s="66"/>
      <c r="AH51" s="66"/>
    </row>
    <row r="52" spans="1:34" ht="21" customHeight="1" x14ac:dyDescent="0.35">
      <c r="A52" s="5392"/>
      <c r="B52" s="5389" t="s">
        <v>936</v>
      </c>
      <c r="C52" s="5390"/>
      <c r="D52" s="5381" t="s">
        <v>418</v>
      </c>
      <c r="E52" s="5382"/>
      <c r="F52" s="5382"/>
      <c r="G52" s="5382"/>
      <c r="H52" s="5382"/>
      <c r="I52" s="5382"/>
      <c r="J52" s="5383"/>
      <c r="K52" s="5384"/>
      <c r="L52" s="5385"/>
      <c r="M52" s="5386"/>
      <c r="N52" s="740">
        <f t="shared" si="3"/>
        <v>0</v>
      </c>
      <c r="O52" s="1505">
        <v>10</v>
      </c>
      <c r="P52" s="5370"/>
      <c r="Q52" s="5371"/>
      <c r="R52" s="5371"/>
      <c r="S52" s="5372"/>
      <c r="T52" s="463"/>
      <c r="U52" s="63"/>
      <c r="X52" s="66"/>
      <c r="Y52" s="66"/>
      <c r="Z52" s="72"/>
      <c r="AA52" s="73"/>
      <c r="AB52" s="73"/>
      <c r="AC52" s="66"/>
      <c r="AD52" s="66"/>
      <c r="AE52" s="66"/>
      <c r="AF52" s="66"/>
      <c r="AG52" s="66"/>
      <c r="AH52" s="66"/>
    </row>
    <row r="53" spans="1:34" ht="21" customHeight="1" x14ac:dyDescent="0.35">
      <c r="A53" s="5392"/>
      <c r="B53" s="5389" t="s">
        <v>949</v>
      </c>
      <c r="C53" s="5390"/>
      <c r="D53" s="5381" t="s">
        <v>417</v>
      </c>
      <c r="E53" s="5397"/>
      <c r="F53" s="5397"/>
      <c r="G53" s="5397"/>
      <c r="H53" s="5397"/>
      <c r="I53" s="5397"/>
      <c r="J53" s="5383"/>
      <c r="K53" s="5384"/>
      <c r="L53" s="5403"/>
      <c r="M53" s="5404"/>
      <c r="N53" s="1505">
        <f t="shared" si="3"/>
        <v>0</v>
      </c>
      <c r="O53" s="1505">
        <v>10</v>
      </c>
      <c r="P53" s="5370"/>
      <c r="Q53" s="5371"/>
      <c r="R53" s="5371"/>
      <c r="S53" s="5372"/>
      <c r="T53" s="463"/>
      <c r="U53" s="63"/>
      <c r="X53" s="66"/>
      <c r="Y53" s="66"/>
      <c r="Z53" s="72"/>
      <c r="AA53" s="73"/>
      <c r="AB53" s="73"/>
      <c r="AC53" s="66"/>
      <c r="AD53" s="66"/>
      <c r="AE53" s="66"/>
      <c r="AF53" s="66"/>
      <c r="AG53" s="66"/>
      <c r="AH53" s="66"/>
    </row>
    <row r="54" spans="1:34" ht="19.5" customHeight="1" thickBot="1" x14ac:dyDescent="0.4">
      <c r="A54" s="5393"/>
      <c r="B54" s="751"/>
      <c r="C54" s="752"/>
      <c r="D54" s="752"/>
      <c r="E54" s="752"/>
      <c r="F54" s="752"/>
      <c r="G54" s="752"/>
      <c r="H54" s="752"/>
      <c r="I54" s="1552" t="s">
        <v>1385</v>
      </c>
      <c r="J54" s="5405" t="e">
        <f>AVERAGE(J39:J53)</f>
        <v>#DIV/0!</v>
      </c>
      <c r="K54" s="5405"/>
      <c r="L54" s="5405">
        <f>AVERAGE(L39:L53)</f>
        <v>0</v>
      </c>
      <c r="M54" s="5405"/>
      <c r="N54" s="749">
        <v>0</v>
      </c>
      <c r="O54" s="749"/>
      <c r="P54" s="752"/>
      <c r="Q54" s="752"/>
      <c r="R54" s="752"/>
      <c r="S54" s="753"/>
      <c r="T54" s="463"/>
      <c r="U54" s="63"/>
      <c r="X54" s="66"/>
      <c r="Y54" s="66"/>
      <c r="Z54" s="72"/>
      <c r="AA54" s="73"/>
      <c r="AB54" s="73"/>
      <c r="AC54" s="66"/>
      <c r="AD54" s="66"/>
      <c r="AE54" s="66"/>
      <c r="AF54" s="66"/>
      <c r="AG54" s="66"/>
      <c r="AH54" s="66"/>
    </row>
    <row r="55" spans="1:34" ht="21" customHeight="1" x14ac:dyDescent="0.35">
      <c r="A55" s="5378" t="s">
        <v>570</v>
      </c>
      <c r="B55" s="5465"/>
      <c r="C55" s="5466"/>
      <c r="D55" s="5466"/>
      <c r="E55" s="5466"/>
      <c r="F55" s="5466"/>
      <c r="G55" s="5466"/>
      <c r="H55" s="5466"/>
      <c r="I55" s="5466"/>
      <c r="J55" s="5466"/>
      <c r="K55" s="5466"/>
      <c r="L55" s="5466"/>
      <c r="M55" s="5466"/>
      <c r="N55" s="5466"/>
      <c r="O55" s="5466"/>
      <c r="P55" s="5466"/>
      <c r="Q55" s="5466"/>
      <c r="R55" s="5466"/>
      <c r="S55" s="5467"/>
      <c r="T55" s="64"/>
      <c r="U55" s="66"/>
      <c r="V55" s="66"/>
      <c r="W55" s="72"/>
      <c r="X55" s="73"/>
      <c r="Y55" s="73"/>
      <c r="Z55" s="66"/>
      <c r="AA55" s="66"/>
      <c r="AB55" s="66"/>
      <c r="AC55" s="66"/>
      <c r="AD55" s="66"/>
      <c r="AE55" s="66"/>
    </row>
    <row r="56" spans="1:34" ht="24" customHeight="1" x14ac:dyDescent="0.35">
      <c r="A56" s="5379"/>
      <c r="B56" s="5463" t="s">
        <v>950</v>
      </c>
      <c r="C56" s="5464"/>
      <c r="D56" s="5397" t="s">
        <v>416</v>
      </c>
      <c r="E56" s="5397"/>
      <c r="F56" s="5397"/>
      <c r="G56" s="5397"/>
      <c r="H56" s="5397"/>
      <c r="I56" s="5397"/>
      <c r="J56" s="5383">
        <v>9</v>
      </c>
      <c r="K56" s="5384"/>
      <c r="L56" s="5403">
        <v>0</v>
      </c>
      <c r="M56" s="5404"/>
      <c r="N56" s="1505">
        <f t="shared" ref="N56:N62" si="4">ABS(J56-L56)</f>
        <v>9</v>
      </c>
      <c r="O56" s="1505">
        <v>10</v>
      </c>
      <c r="P56" s="5370"/>
      <c r="Q56" s="5371"/>
      <c r="R56" s="5371"/>
      <c r="S56" s="5372"/>
      <c r="T56" s="64"/>
      <c r="U56" s="66"/>
      <c r="V56" s="66"/>
      <c r="W56" s="72"/>
      <c r="X56" s="73"/>
      <c r="Y56" s="73"/>
      <c r="Z56" s="66"/>
      <c r="AA56" s="66"/>
      <c r="AB56" s="66"/>
      <c r="AC56" s="66"/>
      <c r="AD56" s="66"/>
      <c r="AE56" s="66"/>
    </row>
    <row r="57" spans="1:34" ht="21.75" customHeight="1" x14ac:dyDescent="0.35">
      <c r="A57" s="5379"/>
      <c r="B57" s="5387" t="s">
        <v>569</v>
      </c>
      <c r="C57" s="5388"/>
      <c r="D57" s="5397" t="s">
        <v>569</v>
      </c>
      <c r="E57" s="5382"/>
      <c r="F57" s="5382"/>
      <c r="G57" s="5382"/>
      <c r="H57" s="5382"/>
      <c r="I57" s="5382"/>
      <c r="J57" s="5383">
        <v>7</v>
      </c>
      <c r="K57" s="5384"/>
      <c r="L57" s="5403"/>
      <c r="M57" s="5404"/>
      <c r="N57" s="740">
        <f t="shared" si="4"/>
        <v>7</v>
      </c>
      <c r="O57" s="1505">
        <v>10</v>
      </c>
      <c r="P57" s="5370"/>
      <c r="Q57" s="5371"/>
      <c r="R57" s="5371"/>
      <c r="S57" s="5372"/>
      <c r="T57" s="463"/>
      <c r="U57" s="63"/>
      <c r="X57" s="93"/>
      <c r="Y57" s="93"/>
      <c r="Z57" s="73"/>
      <c r="AA57" s="73"/>
      <c r="AB57" s="73"/>
      <c r="AC57" s="66"/>
      <c r="AD57" s="66"/>
      <c r="AE57" s="66"/>
      <c r="AF57" s="66"/>
      <c r="AG57" s="66"/>
      <c r="AH57" s="66"/>
    </row>
    <row r="58" spans="1:34" ht="20.25" customHeight="1" x14ac:dyDescent="0.35">
      <c r="A58" s="5379"/>
      <c r="B58" s="5387" t="s">
        <v>951</v>
      </c>
      <c r="C58" s="5388"/>
      <c r="D58" s="5397" t="s">
        <v>415</v>
      </c>
      <c r="E58" s="5382"/>
      <c r="F58" s="5382"/>
      <c r="G58" s="5382"/>
      <c r="H58" s="5382"/>
      <c r="I58" s="5382"/>
      <c r="J58" s="5383">
        <v>4</v>
      </c>
      <c r="K58" s="5384"/>
      <c r="L58" s="5403"/>
      <c r="M58" s="5404"/>
      <c r="N58" s="740">
        <f t="shared" si="4"/>
        <v>4</v>
      </c>
      <c r="O58" s="1505">
        <v>10</v>
      </c>
      <c r="P58" s="5370"/>
      <c r="Q58" s="5371"/>
      <c r="R58" s="5371"/>
      <c r="S58" s="5372"/>
      <c r="T58" s="64"/>
    </row>
    <row r="59" spans="1:34" ht="23.25" customHeight="1" x14ac:dyDescent="0.35">
      <c r="A59" s="5379"/>
      <c r="B59" s="5387" t="s">
        <v>952</v>
      </c>
      <c r="C59" s="5388"/>
      <c r="D59" s="5397" t="s">
        <v>414</v>
      </c>
      <c r="E59" s="5382"/>
      <c r="F59" s="5382"/>
      <c r="G59" s="5382"/>
      <c r="H59" s="5382"/>
      <c r="I59" s="5382"/>
      <c r="J59" s="5383">
        <v>7</v>
      </c>
      <c r="K59" s="5384"/>
      <c r="L59" s="5403"/>
      <c r="M59" s="5404"/>
      <c r="N59" s="740">
        <f t="shared" si="4"/>
        <v>7</v>
      </c>
      <c r="O59" s="1505">
        <v>10</v>
      </c>
      <c r="P59" s="5370"/>
      <c r="Q59" s="5371"/>
      <c r="R59" s="5371"/>
      <c r="S59" s="5372"/>
      <c r="T59" s="64"/>
      <c r="U59" s="64"/>
      <c r="V59" s="64"/>
      <c r="W59" s="64"/>
      <c r="X59" s="64"/>
    </row>
    <row r="60" spans="1:34" ht="21" customHeight="1" x14ac:dyDescent="0.35">
      <c r="A60" s="5379"/>
      <c r="B60" s="5387" t="s">
        <v>953</v>
      </c>
      <c r="C60" s="5388"/>
      <c r="D60" s="5397" t="s">
        <v>413</v>
      </c>
      <c r="E60" s="5382"/>
      <c r="F60" s="5382"/>
      <c r="G60" s="5382"/>
      <c r="H60" s="5382"/>
      <c r="I60" s="5382"/>
      <c r="J60" s="5383">
        <v>8</v>
      </c>
      <c r="K60" s="5384"/>
      <c r="L60" s="5403"/>
      <c r="M60" s="5404"/>
      <c r="N60" s="740">
        <f t="shared" si="4"/>
        <v>8</v>
      </c>
      <c r="O60" s="1505">
        <v>10</v>
      </c>
      <c r="P60" s="5370" t="s">
        <v>1075</v>
      </c>
      <c r="Q60" s="5371"/>
      <c r="R60" s="5371"/>
      <c r="S60" s="5372"/>
      <c r="T60" s="64"/>
      <c r="U60" s="165"/>
      <c r="V60" s="64"/>
      <c r="W60" s="64"/>
      <c r="X60" s="64"/>
    </row>
    <row r="61" spans="1:34" ht="21" customHeight="1" x14ac:dyDescent="0.35">
      <c r="A61" s="5379"/>
      <c r="B61" s="5387" t="s">
        <v>954</v>
      </c>
      <c r="C61" s="5388"/>
      <c r="D61" s="5436" t="s">
        <v>412</v>
      </c>
      <c r="E61" s="5382"/>
      <c r="F61" s="5382"/>
      <c r="G61" s="5382"/>
      <c r="H61" s="5382"/>
      <c r="I61" s="5382"/>
      <c r="J61" s="5383">
        <v>6</v>
      </c>
      <c r="K61" s="5384"/>
      <c r="L61" s="5403"/>
      <c r="M61" s="5404"/>
      <c r="N61" s="740">
        <f t="shared" si="4"/>
        <v>6</v>
      </c>
      <c r="O61" s="1505">
        <v>10</v>
      </c>
      <c r="P61" s="5370" t="s">
        <v>1076</v>
      </c>
      <c r="Q61" s="5371"/>
      <c r="R61" s="5371"/>
      <c r="S61" s="5372"/>
      <c r="T61" s="64"/>
      <c r="U61" s="64"/>
      <c r="V61" s="64"/>
      <c r="W61" s="64"/>
      <c r="X61" s="64"/>
    </row>
    <row r="62" spans="1:34" ht="21" customHeight="1" x14ac:dyDescent="0.35">
      <c r="A62" s="5379"/>
      <c r="B62" s="5387" t="s">
        <v>955</v>
      </c>
      <c r="C62" s="5388"/>
      <c r="D62" s="5436" t="s">
        <v>411</v>
      </c>
      <c r="E62" s="5382"/>
      <c r="F62" s="5382"/>
      <c r="G62" s="5382"/>
      <c r="H62" s="5382"/>
      <c r="I62" s="5382"/>
      <c r="J62" s="5383">
        <v>9</v>
      </c>
      <c r="K62" s="5384"/>
      <c r="L62" s="5403"/>
      <c r="M62" s="5404"/>
      <c r="N62" s="740">
        <f t="shared" si="4"/>
        <v>9</v>
      </c>
      <c r="O62" s="1505">
        <v>10</v>
      </c>
      <c r="P62" s="5370"/>
      <c r="Q62" s="5371"/>
      <c r="R62" s="5371"/>
      <c r="S62" s="5372"/>
      <c r="T62" s="64"/>
      <c r="U62" s="64"/>
      <c r="V62" s="64"/>
      <c r="W62" s="64"/>
      <c r="X62" s="64"/>
    </row>
    <row r="63" spans="1:34" ht="21" customHeight="1" thickBot="1" x14ac:dyDescent="0.4">
      <c r="A63" s="5380"/>
      <c r="B63" s="754"/>
      <c r="C63" s="755"/>
      <c r="D63" s="755"/>
      <c r="E63" s="755"/>
      <c r="F63" s="755"/>
      <c r="G63" s="755"/>
      <c r="H63" s="755"/>
      <c r="I63" s="1552" t="s">
        <v>1385</v>
      </c>
      <c r="J63" s="5405">
        <f>AVERAGE(J56:J62)</f>
        <v>7.1428571428571432</v>
      </c>
      <c r="K63" s="5405"/>
      <c r="L63" s="5405">
        <f>AVERAGE(L56:L62)</f>
        <v>0</v>
      </c>
      <c r="M63" s="5405"/>
      <c r="N63" s="755">
        <v>0</v>
      </c>
      <c r="O63" s="755"/>
      <c r="P63" s="755"/>
      <c r="Q63" s="755"/>
      <c r="R63" s="755"/>
      <c r="S63" s="756"/>
      <c r="T63" s="64"/>
      <c r="U63" s="64"/>
      <c r="V63" s="64"/>
      <c r="W63" s="64"/>
      <c r="X63" s="64"/>
    </row>
    <row r="64" spans="1:34" ht="16" thickTop="1" x14ac:dyDescent="0.35">
      <c r="A64" s="1498"/>
      <c r="B64" s="1498"/>
      <c r="C64" s="1498"/>
      <c r="D64" s="1498"/>
      <c r="E64" s="1498"/>
      <c r="F64" s="5458" t="s">
        <v>222</v>
      </c>
      <c r="G64" s="5459"/>
      <c r="H64" s="5459"/>
      <c r="I64" s="5460"/>
      <c r="J64" s="5461">
        <f>SUM(J10:J17)+SUM(J20:K26)+SUM(J29:K36)+SUM(J39:K53)+SUM(J56:K62)</f>
        <v>50</v>
      </c>
      <c r="K64" s="5462"/>
      <c r="L64" s="5461">
        <f>SUM(L10:L17)+SUM(L20:M26)+SUM(L29:M36)+SUM(L39:M53)+SUM(L56:M62)</f>
        <v>0</v>
      </c>
      <c r="M64" s="5462"/>
      <c r="N64" s="1553">
        <f>SUM(N19:N63)</f>
        <v>50</v>
      </c>
      <c r="O64" s="1554">
        <f>SUM(O10:O63)</f>
        <v>451</v>
      </c>
      <c r="P64" s="1498"/>
      <c r="Q64" s="463"/>
      <c r="R64" s="463"/>
      <c r="S64" s="64"/>
      <c r="T64" s="64"/>
      <c r="U64" s="64"/>
      <c r="V64" s="64"/>
      <c r="W64" s="64"/>
      <c r="X64" s="64"/>
    </row>
    <row r="65" spans="1:24" ht="19" thickBot="1" x14ac:dyDescent="0.4">
      <c r="A65" s="1498"/>
      <c r="B65" s="1498"/>
      <c r="C65" s="1498"/>
      <c r="D65" s="1498"/>
      <c r="E65" s="1498"/>
      <c r="F65" s="5373" t="s">
        <v>1522</v>
      </c>
      <c r="G65" s="5374"/>
      <c r="H65" s="5374"/>
      <c r="I65" s="5375"/>
      <c r="J65" s="5376">
        <f>AVERAGE(J10:K17,J20:K26,J29:K36,J39:K53,J56:K62)</f>
        <v>7.1428571428571432</v>
      </c>
      <c r="K65" s="5377"/>
      <c r="L65" s="5376">
        <f>AVERAGE(L10:M17,L20:M26,L29:M36,L39:M53)</f>
        <v>0</v>
      </c>
      <c r="M65" s="5377"/>
      <c r="N65" s="1555">
        <f>N64/O64</f>
        <v>0.11086474501108648</v>
      </c>
      <c r="O65" s="742"/>
      <c r="P65" s="1498"/>
      <c r="Q65" s="463"/>
      <c r="R65" s="463"/>
      <c r="S65" s="64"/>
      <c r="T65" s="64"/>
      <c r="U65" s="64"/>
      <c r="V65" s="64"/>
      <c r="W65" s="64"/>
      <c r="X65" s="64"/>
    </row>
    <row r="66" spans="1:24" ht="19.5" thickTop="1" thickBot="1" x14ac:dyDescent="0.4">
      <c r="A66" s="1498"/>
      <c r="B66" s="1498"/>
      <c r="C66" s="1498"/>
      <c r="D66" s="1498"/>
      <c r="E66" s="1498"/>
      <c r="F66" s="1556"/>
      <c r="G66" s="1556"/>
      <c r="H66" s="1556"/>
      <c r="I66" s="1556"/>
      <c r="J66" s="1557"/>
      <c r="K66" s="1557"/>
      <c r="L66" s="1557"/>
      <c r="M66" s="1557"/>
      <c r="N66" s="1558"/>
      <c r="O66" s="1559"/>
      <c r="P66" s="1498"/>
      <c r="Q66" s="463"/>
      <c r="R66" s="463"/>
      <c r="S66" s="64"/>
      <c r="T66" s="64"/>
      <c r="U66" s="64"/>
      <c r="V66" s="64"/>
      <c r="W66" s="64"/>
      <c r="X66" s="64"/>
    </row>
    <row r="67" spans="1:24" ht="19.5" thickTop="1" thickBot="1" x14ac:dyDescent="0.4">
      <c r="A67" s="3883" t="s">
        <v>10</v>
      </c>
      <c r="B67" s="3884"/>
      <c r="C67" s="3884"/>
      <c r="D67" s="3884"/>
      <c r="E67" s="3884"/>
      <c r="F67" s="3884"/>
      <c r="G67" s="3884"/>
      <c r="H67" s="3884"/>
      <c r="I67" s="3884"/>
      <c r="J67" s="3884"/>
      <c r="K67" s="3884"/>
      <c r="L67" s="3884"/>
      <c r="M67" s="3884"/>
      <c r="N67" s="3884"/>
      <c r="O67" s="110"/>
      <c r="P67" s="3725" t="s">
        <v>748</v>
      </c>
      <c r="Q67" s="3726"/>
      <c r="R67" s="3727"/>
      <c r="S67" s="31"/>
      <c r="T67" s="64"/>
      <c r="U67" s="64"/>
      <c r="V67" s="64"/>
      <c r="W67" s="64"/>
      <c r="X67" s="64"/>
    </row>
    <row r="68" spans="1:24" ht="21" customHeight="1" x14ac:dyDescent="0.35">
      <c r="A68" s="3876" t="s">
        <v>1081</v>
      </c>
      <c r="B68" s="3877"/>
      <c r="C68" s="3877"/>
      <c r="D68" s="3877"/>
      <c r="E68" s="3877"/>
      <c r="F68" s="3877"/>
      <c r="G68" s="3877"/>
      <c r="H68" s="3877"/>
      <c r="I68" s="3877"/>
      <c r="J68" s="3877"/>
      <c r="K68" s="3877"/>
      <c r="L68" s="3877"/>
      <c r="M68" s="3877"/>
      <c r="N68" s="5398"/>
      <c r="O68" s="110"/>
      <c r="P68" s="3750" t="s">
        <v>755</v>
      </c>
      <c r="Q68" s="3751"/>
      <c r="R68" s="3752"/>
      <c r="S68" s="31"/>
      <c r="T68" s="64"/>
      <c r="U68" s="165"/>
      <c r="V68" s="64"/>
      <c r="W68" s="64"/>
      <c r="X68" s="64"/>
    </row>
    <row r="69" spans="1:24" ht="21" customHeight="1" x14ac:dyDescent="0.35">
      <c r="A69" s="3878"/>
      <c r="B69" s="3879"/>
      <c r="C69" s="3879"/>
      <c r="D69" s="3879"/>
      <c r="E69" s="3879"/>
      <c r="F69" s="3879"/>
      <c r="G69" s="3879"/>
      <c r="H69" s="3879"/>
      <c r="I69" s="3879"/>
      <c r="J69" s="3879"/>
      <c r="K69" s="3879"/>
      <c r="L69" s="3879"/>
      <c r="M69" s="3879"/>
      <c r="N69" s="5399"/>
      <c r="O69" s="110"/>
      <c r="P69" s="3753"/>
      <c r="Q69" s="3754"/>
      <c r="R69" s="3755"/>
      <c r="S69" s="31"/>
      <c r="T69" s="64"/>
      <c r="U69" s="64"/>
      <c r="V69" s="64"/>
      <c r="W69" s="64"/>
      <c r="X69" s="64"/>
    </row>
    <row r="70" spans="1:24" ht="21" customHeight="1" x14ac:dyDescent="0.35">
      <c r="A70" s="3878"/>
      <c r="B70" s="3879"/>
      <c r="C70" s="3879"/>
      <c r="D70" s="3879"/>
      <c r="E70" s="3879"/>
      <c r="F70" s="3879"/>
      <c r="G70" s="3879"/>
      <c r="H70" s="3879"/>
      <c r="I70" s="3879"/>
      <c r="J70" s="3879"/>
      <c r="K70" s="3879"/>
      <c r="L70" s="3879"/>
      <c r="M70" s="3879"/>
      <c r="N70" s="5399"/>
      <c r="O70" s="110"/>
      <c r="P70" s="3753"/>
      <c r="Q70" s="3754"/>
      <c r="R70" s="3755"/>
      <c r="S70" s="31"/>
      <c r="T70" s="64"/>
      <c r="U70" s="64"/>
      <c r="V70" s="64"/>
      <c r="W70" s="64"/>
      <c r="X70" s="64"/>
    </row>
    <row r="71" spans="1:24" ht="21" customHeight="1" x14ac:dyDescent="0.35">
      <c r="A71" s="3878"/>
      <c r="B71" s="3879"/>
      <c r="C71" s="3879"/>
      <c r="D71" s="3879"/>
      <c r="E71" s="3879"/>
      <c r="F71" s="3879"/>
      <c r="G71" s="3879"/>
      <c r="H71" s="3879"/>
      <c r="I71" s="3879"/>
      <c r="J71" s="3879"/>
      <c r="K71" s="3879"/>
      <c r="L71" s="3879"/>
      <c r="M71" s="3879"/>
      <c r="N71" s="5399"/>
      <c r="O71" s="110"/>
      <c r="P71" s="3753"/>
      <c r="Q71" s="3754"/>
      <c r="R71" s="3755"/>
      <c r="S71" s="31"/>
      <c r="T71" s="64"/>
      <c r="U71" s="64"/>
      <c r="V71" s="64"/>
      <c r="W71" s="64"/>
      <c r="X71" s="64"/>
    </row>
    <row r="72" spans="1:24" ht="15" thickBot="1" x14ac:dyDescent="0.4">
      <c r="A72" s="3880"/>
      <c r="B72" s="3881"/>
      <c r="C72" s="3881"/>
      <c r="D72" s="3881"/>
      <c r="E72" s="3881"/>
      <c r="F72" s="3881"/>
      <c r="G72" s="3881"/>
      <c r="H72" s="3881"/>
      <c r="I72" s="3881"/>
      <c r="J72" s="3881"/>
      <c r="K72" s="3881"/>
      <c r="L72" s="3881"/>
      <c r="M72" s="3881"/>
      <c r="N72" s="5400"/>
      <c r="O72" s="111"/>
      <c r="P72" s="5334"/>
      <c r="Q72" s="5468"/>
      <c r="R72" s="5469"/>
      <c r="S72" s="64"/>
      <c r="T72" s="64"/>
      <c r="U72" s="64"/>
      <c r="V72" s="64"/>
      <c r="W72" s="64"/>
      <c r="X72" s="64"/>
    </row>
    <row r="73" spans="1:24" ht="15.5" thickTop="1" thickBot="1" x14ac:dyDescent="0.4">
      <c r="A73" s="64"/>
      <c r="B73" s="64"/>
      <c r="C73" s="64"/>
      <c r="D73" s="64"/>
      <c r="E73" s="64"/>
      <c r="F73" s="64"/>
      <c r="G73" s="64"/>
      <c r="H73" s="64"/>
      <c r="I73" s="64"/>
      <c r="J73" s="64"/>
      <c r="K73" s="64"/>
      <c r="L73" s="64"/>
      <c r="M73" s="64"/>
      <c r="N73" s="743"/>
      <c r="O73" s="164"/>
      <c r="P73" s="64"/>
      <c r="Q73" s="64"/>
      <c r="R73" s="64"/>
      <c r="S73" s="31"/>
      <c r="T73" s="64"/>
      <c r="U73" s="64"/>
      <c r="V73" s="64"/>
      <c r="W73" s="64"/>
      <c r="X73" s="64"/>
    </row>
    <row r="74" spans="1:24" ht="21" customHeight="1" thickTop="1" thickBot="1" x14ac:dyDescent="0.4">
      <c r="A74" s="3883" t="s">
        <v>11</v>
      </c>
      <c r="B74" s="3884"/>
      <c r="C74" s="3884"/>
      <c r="D74" s="5470"/>
      <c r="E74" s="5470"/>
      <c r="F74" s="5470"/>
      <c r="G74" s="5470"/>
      <c r="H74" s="5470"/>
      <c r="I74" s="5470"/>
      <c r="J74" s="5470"/>
      <c r="K74" s="5470"/>
      <c r="L74" s="5470"/>
      <c r="M74" s="5470"/>
      <c r="N74" s="5471"/>
      <c r="O74" s="110"/>
      <c r="P74" s="3725" t="s">
        <v>748</v>
      </c>
      <c r="Q74" s="3726"/>
      <c r="R74" s="3727"/>
      <c r="S74" s="31"/>
      <c r="T74" s="64"/>
      <c r="U74" s="64"/>
      <c r="V74" s="64"/>
      <c r="W74" s="64"/>
      <c r="X74" s="64"/>
    </row>
    <row r="75" spans="1:24" ht="21" customHeight="1" x14ac:dyDescent="0.35">
      <c r="A75" s="3876" t="s">
        <v>1080</v>
      </c>
      <c r="B75" s="3877"/>
      <c r="C75" s="3877"/>
      <c r="D75" s="3877"/>
      <c r="E75" s="3877"/>
      <c r="F75" s="3877"/>
      <c r="G75" s="3877"/>
      <c r="H75" s="3877"/>
      <c r="I75" s="3877"/>
      <c r="J75" s="3877"/>
      <c r="K75" s="3877"/>
      <c r="L75" s="3877"/>
      <c r="M75" s="3877"/>
      <c r="N75" s="5398"/>
      <c r="O75" s="164"/>
      <c r="P75" s="3750" t="s">
        <v>754</v>
      </c>
      <c r="Q75" s="3751"/>
      <c r="R75" s="3752"/>
      <c r="S75" s="31"/>
      <c r="T75" s="64"/>
      <c r="U75" s="64"/>
      <c r="V75" s="64"/>
      <c r="W75" s="64"/>
      <c r="X75" s="64"/>
    </row>
    <row r="76" spans="1:24" ht="21" customHeight="1" x14ac:dyDescent="0.35">
      <c r="A76" s="3878"/>
      <c r="B76" s="3879"/>
      <c r="C76" s="3879"/>
      <c r="D76" s="3879"/>
      <c r="E76" s="3879"/>
      <c r="F76" s="3879"/>
      <c r="G76" s="3879"/>
      <c r="H76" s="3879"/>
      <c r="I76" s="3879"/>
      <c r="J76" s="3879"/>
      <c r="K76" s="3879"/>
      <c r="L76" s="3879"/>
      <c r="M76" s="3879"/>
      <c r="N76" s="5399"/>
      <c r="O76" s="164"/>
      <c r="P76" s="3753"/>
      <c r="Q76" s="3754"/>
      <c r="R76" s="3755"/>
      <c r="S76" s="31"/>
      <c r="T76" s="64"/>
      <c r="U76" s="64"/>
      <c r="V76" s="64"/>
      <c r="W76" s="64"/>
      <c r="X76" s="64"/>
    </row>
    <row r="77" spans="1:24" ht="21" customHeight="1" x14ac:dyDescent="0.35">
      <c r="A77" s="3878"/>
      <c r="B77" s="3879"/>
      <c r="C77" s="3879"/>
      <c r="D77" s="3879"/>
      <c r="E77" s="3879"/>
      <c r="F77" s="3879"/>
      <c r="G77" s="3879"/>
      <c r="H77" s="3879"/>
      <c r="I77" s="3879"/>
      <c r="J77" s="3879"/>
      <c r="K77" s="3879"/>
      <c r="L77" s="3879"/>
      <c r="M77" s="3879"/>
      <c r="N77" s="5399"/>
      <c r="O77" s="164"/>
      <c r="P77" s="3753"/>
      <c r="Q77" s="3754"/>
      <c r="R77" s="3755"/>
      <c r="S77" s="31"/>
      <c r="T77" s="64"/>
      <c r="U77" s="64"/>
      <c r="V77" s="64"/>
      <c r="W77" s="64"/>
      <c r="X77" s="64"/>
    </row>
    <row r="78" spans="1:24" x14ac:dyDescent="0.35">
      <c r="A78" s="3878"/>
      <c r="B78" s="3879"/>
      <c r="C78" s="3879"/>
      <c r="D78" s="3879"/>
      <c r="E78" s="3879"/>
      <c r="F78" s="3879"/>
      <c r="G78" s="3879"/>
      <c r="H78" s="3879"/>
      <c r="I78" s="3879"/>
      <c r="J78" s="3879"/>
      <c r="K78" s="3879"/>
      <c r="L78" s="3879"/>
      <c r="M78" s="3879"/>
      <c r="N78" s="5399"/>
      <c r="O78" s="111"/>
      <c r="P78" s="3753"/>
      <c r="Q78" s="3754"/>
      <c r="R78" s="3755"/>
      <c r="S78" s="64"/>
      <c r="T78" s="64"/>
      <c r="U78" s="64"/>
      <c r="V78" s="64"/>
      <c r="W78" s="64"/>
      <c r="X78" s="64"/>
    </row>
    <row r="79" spans="1:24" ht="15" thickBot="1" x14ac:dyDescent="0.4">
      <c r="A79" s="3880"/>
      <c r="B79" s="3881"/>
      <c r="C79" s="3881"/>
      <c r="D79" s="3881"/>
      <c r="E79" s="3881"/>
      <c r="F79" s="3881"/>
      <c r="G79" s="3881"/>
      <c r="H79" s="3881"/>
      <c r="I79" s="3881"/>
      <c r="J79" s="3881"/>
      <c r="K79" s="3881"/>
      <c r="L79" s="3881"/>
      <c r="M79" s="3881"/>
      <c r="N79" s="5400"/>
      <c r="O79" s="111"/>
      <c r="P79" s="5334"/>
      <c r="Q79" s="5468"/>
      <c r="R79" s="5469"/>
      <c r="S79" s="64"/>
      <c r="T79" s="64"/>
      <c r="U79" s="64"/>
      <c r="V79" s="64"/>
      <c r="W79" s="64"/>
      <c r="X79" s="64"/>
    </row>
    <row r="80" spans="1:24" ht="15" thickTop="1" x14ac:dyDescent="0.35">
      <c r="A80" s="64"/>
      <c r="B80" s="64"/>
      <c r="C80" s="64"/>
      <c r="D80" s="64"/>
      <c r="E80" s="64"/>
      <c r="F80" s="64"/>
      <c r="G80" s="64"/>
      <c r="H80" s="64"/>
      <c r="I80" s="64"/>
      <c r="J80" s="64"/>
      <c r="K80" s="64"/>
      <c r="L80" s="64"/>
      <c r="M80" s="64"/>
      <c r="N80" s="64"/>
      <c r="O80" s="111"/>
      <c r="P80" s="64"/>
      <c r="Q80" s="64"/>
      <c r="R80" s="64"/>
      <c r="S80" s="64"/>
      <c r="T80" s="64"/>
    </row>
  </sheetData>
  <mergeCells count="278">
    <mergeCell ref="D3:G3"/>
    <mergeCell ref="J58:K58"/>
    <mergeCell ref="B59:C59"/>
    <mergeCell ref="D59:I59"/>
    <mergeCell ref="J59:K59"/>
    <mergeCell ref="L59:M59"/>
    <mergeCell ref="P59:S59"/>
    <mergeCell ref="B60:C60"/>
    <mergeCell ref="D60:I60"/>
    <mergeCell ref="J52:K52"/>
    <mergeCell ref="J54:K54"/>
    <mergeCell ref="L54:M54"/>
    <mergeCell ref="B56:C56"/>
    <mergeCell ref="D56:I56"/>
    <mergeCell ref="J56:K56"/>
    <mergeCell ref="L56:M56"/>
    <mergeCell ref="P56:S56"/>
    <mergeCell ref="B57:C57"/>
    <mergeCell ref="D57:I57"/>
    <mergeCell ref="J57:K57"/>
    <mergeCell ref="L57:M57"/>
    <mergeCell ref="P57:S57"/>
    <mergeCell ref="B55:S55"/>
    <mergeCell ref="B50:C50"/>
    <mergeCell ref="D61:I61"/>
    <mergeCell ref="P61:S61"/>
    <mergeCell ref="B62:C62"/>
    <mergeCell ref="D62:I62"/>
    <mergeCell ref="P62:S62"/>
    <mergeCell ref="F64:I64"/>
    <mergeCell ref="J64:K64"/>
    <mergeCell ref="L64:M64"/>
    <mergeCell ref="J61:K61"/>
    <mergeCell ref="L61:M61"/>
    <mergeCell ref="A38:A54"/>
    <mergeCell ref="B38:S38"/>
    <mergeCell ref="B52:C52"/>
    <mergeCell ref="D52:I52"/>
    <mergeCell ref="P52:S52"/>
    <mergeCell ref="B53:C53"/>
    <mergeCell ref="D53:I53"/>
    <mergeCell ref="J53:K53"/>
    <mergeCell ref="L53:M53"/>
    <mergeCell ref="P53:S53"/>
    <mergeCell ref="B39:C39"/>
    <mergeCell ref="D39:I39"/>
    <mergeCell ref="J39:K39"/>
    <mergeCell ref="L39:M39"/>
    <mergeCell ref="P39:S39"/>
    <mergeCell ref="B40:C40"/>
    <mergeCell ref="D40:I40"/>
    <mergeCell ref="J40:K40"/>
    <mergeCell ref="L40:M40"/>
    <mergeCell ref="P40:S40"/>
    <mergeCell ref="B41:C41"/>
    <mergeCell ref="D41:I41"/>
    <mergeCell ref="J41:K41"/>
    <mergeCell ref="L41:M41"/>
    <mergeCell ref="A28:A37"/>
    <mergeCell ref="B28:S28"/>
    <mergeCell ref="B35:C35"/>
    <mergeCell ref="D35:I35"/>
    <mergeCell ref="P35:S35"/>
    <mergeCell ref="B36:C36"/>
    <mergeCell ref="D36:I36"/>
    <mergeCell ref="J36:K36"/>
    <mergeCell ref="L36:M36"/>
    <mergeCell ref="P36:S36"/>
    <mergeCell ref="J37:K37"/>
    <mergeCell ref="B31:C31"/>
    <mergeCell ref="D31:I31"/>
    <mergeCell ref="P31:S31"/>
    <mergeCell ref="B32:C32"/>
    <mergeCell ref="D32:I32"/>
    <mergeCell ref="J29:K29"/>
    <mergeCell ref="L29:M29"/>
    <mergeCell ref="P29:S29"/>
    <mergeCell ref="B29:C29"/>
    <mergeCell ref="D29:I29"/>
    <mergeCell ref="B30:C30"/>
    <mergeCell ref="D30:I30"/>
    <mergeCell ref="J30:K30"/>
    <mergeCell ref="A19:A27"/>
    <mergeCell ref="B19:S19"/>
    <mergeCell ref="B25:C25"/>
    <mergeCell ref="D25:I25"/>
    <mergeCell ref="P25:S25"/>
    <mergeCell ref="B26:C26"/>
    <mergeCell ref="D26:I26"/>
    <mergeCell ref="J26:K26"/>
    <mergeCell ref="L26:M26"/>
    <mergeCell ref="P26:S26"/>
    <mergeCell ref="P23:S23"/>
    <mergeCell ref="P24:S24"/>
    <mergeCell ref="L25:M25"/>
    <mergeCell ref="J27:K27"/>
    <mergeCell ref="L27:M27"/>
    <mergeCell ref="A9:A18"/>
    <mergeCell ref="B9:S9"/>
    <mergeCell ref="B16:C16"/>
    <mergeCell ref="D16:I16"/>
    <mergeCell ref="P16:S16"/>
    <mergeCell ref="B17:C17"/>
    <mergeCell ref="D17:I17"/>
    <mergeCell ref="J17:K17"/>
    <mergeCell ref="L17:M17"/>
    <mergeCell ref="P17:S17"/>
    <mergeCell ref="J18:K18"/>
    <mergeCell ref="L18:M18"/>
    <mergeCell ref="J11:K11"/>
    <mergeCell ref="L11:M11"/>
    <mergeCell ref="P11:S11"/>
    <mergeCell ref="B12:C12"/>
    <mergeCell ref="D12:I12"/>
    <mergeCell ref="J12:K12"/>
    <mergeCell ref="L12:M12"/>
    <mergeCell ref="P12:S12"/>
    <mergeCell ref="B13:C13"/>
    <mergeCell ref="D13:I13"/>
    <mergeCell ref="P13:S13"/>
    <mergeCell ref="J13:K13"/>
    <mergeCell ref="D50:I50"/>
    <mergeCell ref="J50:K50"/>
    <mergeCell ref="L50:M50"/>
    <mergeCell ref="P50:S50"/>
    <mergeCell ref="L49:M49"/>
    <mergeCell ref="B51:C51"/>
    <mergeCell ref="D51:I51"/>
    <mergeCell ref="J51:K51"/>
    <mergeCell ref="L51:M51"/>
    <mergeCell ref="P51:S51"/>
    <mergeCell ref="L30:M30"/>
    <mergeCell ref="P30:S30"/>
    <mergeCell ref="P34:S34"/>
    <mergeCell ref="J35:K35"/>
    <mergeCell ref="L35:M35"/>
    <mergeCell ref="B33:C33"/>
    <mergeCell ref="D33:I33"/>
    <mergeCell ref="J33:K33"/>
    <mergeCell ref="L33:M33"/>
    <mergeCell ref="P33:S33"/>
    <mergeCell ref="B34:C34"/>
    <mergeCell ref="D34:I34"/>
    <mergeCell ref="J34:K34"/>
    <mergeCell ref="J32:K32"/>
    <mergeCell ref="L32:M32"/>
    <mergeCell ref="P32:S32"/>
    <mergeCell ref="J31:K31"/>
    <mergeCell ref="L31:M31"/>
    <mergeCell ref="L13:M13"/>
    <mergeCell ref="L21:M21"/>
    <mergeCell ref="L24:M24"/>
    <mergeCell ref="L34:M34"/>
    <mergeCell ref="L37:M37"/>
    <mergeCell ref="L52:M52"/>
    <mergeCell ref="B10:C10"/>
    <mergeCell ref="D10:I10"/>
    <mergeCell ref="J10:K10"/>
    <mergeCell ref="L10:M10"/>
    <mergeCell ref="J14:K14"/>
    <mergeCell ref="L14:M14"/>
    <mergeCell ref="B15:C15"/>
    <mergeCell ref="D15:I15"/>
    <mergeCell ref="J15:K15"/>
    <mergeCell ref="L15:M15"/>
    <mergeCell ref="B23:C23"/>
    <mergeCell ref="D23:I23"/>
    <mergeCell ref="J23:K23"/>
    <mergeCell ref="L23:M23"/>
    <mergeCell ref="B24:C24"/>
    <mergeCell ref="D24:I24"/>
    <mergeCell ref="J24:K24"/>
    <mergeCell ref="J25:K25"/>
    <mergeCell ref="P10:S10"/>
    <mergeCell ref="B11:C11"/>
    <mergeCell ref="D11:I11"/>
    <mergeCell ref="B14:C14"/>
    <mergeCell ref="D14:I14"/>
    <mergeCell ref="O1:P1"/>
    <mergeCell ref="F2:I2"/>
    <mergeCell ref="L2:M2"/>
    <mergeCell ref="O2:P2"/>
    <mergeCell ref="A4:I4"/>
    <mergeCell ref="J4:S4"/>
    <mergeCell ref="A5:C5"/>
    <mergeCell ref="D5:S5"/>
    <mergeCell ref="A6:A7"/>
    <mergeCell ref="D6:I7"/>
    <mergeCell ref="J6:K6"/>
    <mergeCell ref="L6:M6"/>
    <mergeCell ref="N6:N7"/>
    <mergeCell ref="O6:O7"/>
    <mergeCell ref="P6:S7"/>
    <mergeCell ref="J7:K7"/>
    <mergeCell ref="L7:M7"/>
    <mergeCell ref="F1:I1"/>
    <mergeCell ref="L1:M1"/>
    <mergeCell ref="P15:S15"/>
    <mergeCell ref="J16:K16"/>
    <mergeCell ref="L16:M16"/>
    <mergeCell ref="P21:S21"/>
    <mergeCell ref="B22:C22"/>
    <mergeCell ref="D22:I22"/>
    <mergeCell ref="J22:K22"/>
    <mergeCell ref="L22:M22"/>
    <mergeCell ref="P22:S22"/>
    <mergeCell ref="B20:C20"/>
    <mergeCell ref="D20:I20"/>
    <mergeCell ref="J20:K20"/>
    <mergeCell ref="L20:M20"/>
    <mergeCell ref="P20:S20"/>
    <mergeCell ref="B21:C21"/>
    <mergeCell ref="D21:I21"/>
    <mergeCell ref="J21:K21"/>
    <mergeCell ref="P41:S41"/>
    <mergeCell ref="B42:C42"/>
    <mergeCell ref="D42:I42"/>
    <mergeCell ref="J42:K42"/>
    <mergeCell ref="L42:M42"/>
    <mergeCell ref="P42:S42"/>
    <mergeCell ref="B43:C43"/>
    <mergeCell ref="D43:I43"/>
    <mergeCell ref="J43:K43"/>
    <mergeCell ref="L43:M43"/>
    <mergeCell ref="P43:S43"/>
    <mergeCell ref="B44:C44"/>
    <mergeCell ref="D44:I44"/>
    <mergeCell ref="J44:K44"/>
    <mergeCell ref="L44:M44"/>
    <mergeCell ref="P44:S44"/>
    <mergeCell ref="B45:C45"/>
    <mergeCell ref="D45:I45"/>
    <mergeCell ref="J45:K45"/>
    <mergeCell ref="L45:M45"/>
    <mergeCell ref="P45:S45"/>
    <mergeCell ref="B48:C48"/>
    <mergeCell ref="D48:I48"/>
    <mergeCell ref="J48:K48"/>
    <mergeCell ref="L48:M48"/>
    <mergeCell ref="P48:S48"/>
    <mergeCell ref="J49:K49"/>
    <mergeCell ref="B46:C46"/>
    <mergeCell ref="D46:I46"/>
    <mergeCell ref="J46:K46"/>
    <mergeCell ref="L46:M46"/>
    <mergeCell ref="P46:S46"/>
    <mergeCell ref="B47:C47"/>
    <mergeCell ref="D47:I47"/>
    <mergeCell ref="J47:K47"/>
    <mergeCell ref="L47:M47"/>
    <mergeCell ref="P47:S47"/>
    <mergeCell ref="B49:C49"/>
    <mergeCell ref="D49:I49"/>
    <mergeCell ref="P49:S49"/>
    <mergeCell ref="A75:N79"/>
    <mergeCell ref="P75:R79"/>
    <mergeCell ref="A67:N67"/>
    <mergeCell ref="P67:R67"/>
    <mergeCell ref="A68:N72"/>
    <mergeCell ref="P68:R72"/>
    <mergeCell ref="A74:N74"/>
    <mergeCell ref="P74:R74"/>
    <mergeCell ref="L58:M58"/>
    <mergeCell ref="J62:K62"/>
    <mergeCell ref="L62:M62"/>
    <mergeCell ref="J63:K63"/>
    <mergeCell ref="L63:M63"/>
    <mergeCell ref="B58:C58"/>
    <mergeCell ref="D58:I58"/>
    <mergeCell ref="P58:S58"/>
    <mergeCell ref="J60:K60"/>
    <mergeCell ref="L60:M60"/>
    <mergeCell ref="P60:S60"/>
    <mergeCell ref="F65:I65"/>
    <mergeCell ref="J65:K65"/>
    <mergeCell ref="L65:M65"/>
    <mergeCell ref="A55:A63"/>
    <mergeCell ref="B61:C61"/>
  </mergeCells>
  <conditionalFormatting sqref="R2">
    <cfRule type="iconSet" priority="2">
      <iconSet iconSet="3Symbols2" showValue="0">
        <cfvo type="percent" val="0"/>
        <cfvo type="num" val="0"/>
        <cfvo type="num" val="10"/>
      </iconSet>
    </cfRule>
  </conditionalFormatting>
  <conditionalFormatting sqref="S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4700-000000000000}">
      <formula1>AvancementTheme</formula1>
    </dataValidation>
  </dataValidations>
  <hyperlinks>
    <hyperlink ref="R1" location="DPDV_03MK3" display="PdV" xr:uid="{00000000-0004-0000-4700-000000000000}"/>
    <hyperlink ref="S1" location="DKPI_03MK3" display="KPI's" xr:uid="{00000000-0004-0000-47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82">
    <tabColor rgb="FFFFC000"/>
    <pageSetUpPr fitToPage="1"/>
  </sheetPr>
  <dimension ref="A1:AF44"/>
  <sheetViews>
    <sheetView showGridLines="0" showRowColHeaders="0" zoomScaleNormal="100" workbookViewId="0">
      <pane ySplit="6" topLeftCell="A23" activePane="bottomLeft" state="frozen"/>
      <selection activeCell="H7" sqref="H7"/>
      <selection pane="bottomLeft" activeCell="A7" sqref="A7:U7"/>
    </sheetView>
  </sheetViews>
  <sheetFormatPr baseColWidth="10" defaultColWidth="11.453125" defaultRowHeight="14.5" x14ac:dyDescent="0.35"/>
  <cols>
    <col min="1" max="6" width="11.453125" style="60"/>
    <col min="7" max="7" width="7.54296875" style="60" customWidth="1"/>
    <col min="8" max="8" width="4.1796875" style="60" customWidth="1"/>
    <col min="9" max="9" width="3.54296875" style="60" customWidth="1"/>
    <col min="10" max="10" width="11.453125" style="60"/>
    <col min="11" max="11" width="8.7265625" style="60" customWidth="1"/>
    <col min="12" max="12" width="12.81640625" style="60" customWidth="1"/>
    <col min="13" max="13" width="11.453125" style="60"/>
    <col min="14" max="14" width="5.7265625" style="60" customWidth="1"/>
    <col min="15" max="15" width="7.453125" style="60" customWidth="1"/>
    <col min="16" max="16" width="6.453125" style="60" customWidth="1"/>
    <col min="17" max="20" width="11.453125" style="60"/>
    <col min="21" max="21" width="23.7265625" style="60" customWidth="1"/>
    <col min="22" max="16384" width="11.453125" style="60"/>
  </cols>
  <sheetData>
    <row r="1" spans="1:32" s="54" customFormat="1" ht="15" customHeight="1" x14ac:dyDescent="0.35">
      <c r="A1" s="389"/>
      <c r="B1" s="389"/>
      <c r="C1" s="389"/>
      <c r="D1" s="3341" t="s">
        <v>5</v>
      </c>
      <c r="E1" s="3341"/>
      <c r="F1" s="3341"/>
      <c r="G1" s="3341"/>
      <c r="H1" s="391"/>
      <c r="I1" s="3341" t="s">
        <v>6</v>
      </c>
      <c r="J1" s="3341"/>
      <c r="K1" s="389"/>
      <c r="L1" s="3341" t="s">
        <v>9</v>
      </c>
      <c r="M1" s="3341"/>
      <c r="N1" s="959"/>
      <c r="O1" s="959"/>
      <c r="P1" s="389"/>
      <c r="Q1" s="479" t="s">
        <v>2</v>
      </c>
      <c r="R1" s="479" t="s">
        <v>3</v>
      </c>
      <c r="S1" s="458"/>
      <c r="T1" s="458"/>
      <c r="U1" s="458"/>
      <c r="V1" s="458"/>
      <c r="W1" s="458"/>
      <c r="X1" s="458"/>
    </row>
    <row r="2" spans="1:32" s="58" customFormat="1" ht="18" customHeight="1" x14ac:dyDescent="0.35">
      <c r="A2" s="393"/>
      <c r="B2" s="393"/>
      <c r="C2" s="393"/>
      <c r="D2" s="3342" t="str">
        <f>NomClient</f>
        <v xml:space="preserve">EQUINIX </v>
      </c>
      <c r="E2" s="3343"/>
      <c r="F2" s="3343"/>
      <c r="G2" s="3344"/>
      <c r="H2" s="393"/>
      <c r="I2" s="3345" t="s">
        <v>406</v>
      </c>
      <c r="J2" s="3346"/>
      <c r="K2" s="393"/>
      <c r="L2" s="3347">
        <v>42420.665046296293</v>
      </c>
      <c r="M2" s="3348"/>
      <c r="N2" s="699"/>
      <c r="O2" s="699"/>
      <c r="P2" s="394"/>
      <c r="Q2" s="451">
        <f>IF(LEN(DPDV_03PO3)&gt;0,LEN(DPDV_03PO3),0-PDV_NBmini)</f>
        <v>30</v>
      </c>
      <c r="R2" s="451">
        <f>IF(LEN(DKPI_03PO3)&gt;0,LEN(DKPI_03PO3),0-KPI_NBmini)</f>
        <v>63</v>
      </c>
      <c r="S2" s="459"/>
      <c r="T2" s="459"/>
      <c r="U2" s="459"/>
      <c r="V2" s="459"/>
      <c r="W2" s="459"/>
      <c r="X2" s="459"/>
    </row>
    <row r="3" spans="1:32" ht="9.75" customHeight="1" thickBot="1" x14ac:dyDescent="0.4">
      <c r="A3" s="396"/>
      <c r="B3" s="396"/>
      <c r="C3" s="396"/>
      <c r="D3" s="3696" t="s">
        <v>1792</v>
      </c>
      <c r="E3" s="3696"/>
      <c r="F3" s="3696"/>
      <c r="G3" s="3696"/>
      <c r="H3" s="1960"/>
      <c r="I3" s="1960"/>
      <c r="J3" s="1960"/>
      <c r="K3" s="396"/>
      <c r="L3" s="396"/>
      <c r="M3" s="396"/>
      <c r="N3" s="396"/>
      <c r="O3" s="396"/>
      <c r="P3" s="396"/>
      <c r="Q3" s="831"/>
      <c r="R3" s="831"/>
      <c r="S3" s="64"/>
      <c r="T3" s="64"/>
      <c r="U3" s="64"/>
      <c r="V3" s="64"/>
    </row>
    <row r="4" spans="1:32" s="1" customFormat="1" ht="24.75" customHeight="1" thickBot="1" x14ac:dyDescent="0.4">
      <c r="A4" s="3507" t="s">
        <v>1160</v>
      </c>
      <c r="B4" s="3507"/>
      <c r="C4" s="3507"/>
      <c r="D4" s="3507"/>
      <c r="E4" s="3507"/>
      <c r="F4" s="3507"/>
      <c r="G4" s="3507"/>
      <c r="H4" s="3505" t="str">
        <f xml:space="preserve"> "Positionnement pour " &amp; NomProd3</f>
        <v xml:space="preserve">Positionnement pour </v>
      </c>
      <c r="I4" s="3505"/>
      <c r="J4" s="3505"/>
      <c r="K4" s="3505"/>
      <c r="L4" s="3505"/>
      <c r="M4" s="3505"/>
      <c r="N4" s="3505"/>
      <c r="O4" s="3505"/>
      <c r="P4" s="3505"/>
      <c r="Q4" s="3505"/>
      <c r="R4" s="3506"/>
      <c r="S4" s="444"/>
      <c r="T4" s="444"/>
      <c r="U4" s="444"/>
      <c r="V4" s="444"/>
    </row>
    <row r="5" spans="1:32" s="193" customFormat="1" ht="19.5" customHeight="1" thickBot="1" x14ac:dyDescent="0.4">
      <c r="A5" s="3438" t="s">
        <v>14</v>
      </c>
      <c r="B5" s="3438"/>
      <c r="C5" s="3508" t="s">
        <v>1155</v>
      </c>
      <c r="D5" s="3439"/>
      <c r="E5" s="3439"/>
      <c r="F5" s="3439"/>
      <c r="G5" s="3439"/>
      <c r="H5" s="3439"/>
      <c r="I5" s="3439"/>
      <c r="J5" s="3439"/>
      <c r="K5" s="3439"/>
      <c r="L5" s="3439"/>
      <c r="M5" s="3439"/>
      <c r="N5" s="3439"/>
      <c r="O5" s="3439"/>
      <c r="P5" s="3439"/>
      <c r="Q5" s="460"/>
      <c r="R5" s="460"/>
      <c r="S5" s="460"/>
      <c r="T5" s="460"/>
      <c r="U5" s="460"/>
      <c r="V5" s="460"/>
    </row>
    <row r="6" spans="1:32" s="193" customFormat="1" ht="19.5" customHeight="1" thickTop="1" x14ac:dyDescent="0.35">
      <c r="A6" s="3509" t="s">
        <v>1154</v>
      </c>
      <c r="B6" s="3510"/>
      <c r="C6" s="3510" t="s">
        <v>1153</v>
      </c>
      <c r="D6" s="3510"/>
      <c r="E6" s="3510"/>
      <c r="F6" s="3510"/>
      <c r="G6" s="3510"/>
      <c r="H6" s="3510"/>
      <c r="I6" s="3510"/>
      <c r="J6" s="5489" t="s">
        <v>1152</v>
      </c>
      <c r="K6" s="5489"/>
      <c r="L6" s="5489"/>
      <c r="M6" s="5489"/>
      <c r="N6" s="5489"/>
      <c r="O6" s="5489"/>
      <c r="P6" s="5489"/>
      <c r="Q6" s="5484" t="s">
        <v>1151</v>
      </c>
      <c r="R6" s="5484"/>
      <c r="S6" s="5484"/>
      <c r="T6" s="5484"/>
      <c r="U6" s="5485"/>
      <c r="V6" s="460"/>
    </row>
    <row r="7" spans="1:32" s="94" customFormat="1" ht="8.9" customHeight="1" x14ac:dyDescent="0.35">
      <c r="A7" s="5486"/>
      <c r="B7" s="5487"/>
      <c r="C7" s="5487"/>
      <c r="D7" s="5487"/>
      <c r="E7" s="5487"/>
      <c r="F7" s="5487"/>
      <c r="G7" s="5487"/>
      <c r="H7" s="5487"/>
      <c r="I7" s="5487"/>
      <c r="J7" s="5487"/>
      <c r="K7" s="5487"/>
      <c r="L7" s="5487"/>
      <c r="M7" s="5487"/>
      <c r="N7" s="5487"/>
      <c r="O7" s="5487"/>
      <c r="P7" s="5487"/>
      <c r="Q7" s="5487"/>
      <c r="R7" s="5487"/>
      <c r="S7" s="5487"/>
      <c r="T7" s="5487"/>
      <c r="U7" s="5488"/>
      <c r="V7" s="765"/>
    </row>
    <row r="8" spans="1:32" s="11" customFormat="1" ht="33.75" customHeight="1" x14ac:dyDescent="0.35">
      <c r="A8" s="3497" t="s">
        <v>1150</v>
      </c>
      <c r="B8" s="3498"/>
      <c r="C8" s="3498" t="s">
        <v>1149</v>
      </c>
      <c r="D8" s="3498"/>
      <c r="E8" s="3498"/>
      <c r="F8" s="3498"/>
      <c r="G8" s="3498"/>
      <c r="H8" s="3498"/>
      <c r="I8" s="3498"/>
      <c r="J8" s="5475" t="s">
        <v>1148</v>
      </c>
      <c r="K8" s="5475"/>
      <c r="L8" s="5475"/>
      <c r="M8" s="5475"/>
      <c r="N8" s="5475"/>
      <c r="O8" s="5475"/>
      <c r="P8" s="5475"/>
      <c r="Q8" s="5476"/>
      <c r="R8" s="5476"/>
      <c r="S8" s="5476"/>
      <c r="T8" s="5476"/>
      <c r="U8" s="5477"/>
      <c r="V8" s="766"/>
      <c r="W8" s="12"/>
      <c r="X8" s="366"/>
      <c r="Y8" s="344"/>
      <c r="Z8" s="344"/>
      <c r="AA8" s="12"/>
      <c r="AB8" s="12"/>
      <c r="AC8" s="12"/>
      <c r="AD8" s="12"/>
      <c r="AE8" s="12"/>
      <c r="AF8" s="12"/>
    </row>
    <row r="9" spans="1:32" s="66" customFormat="1" ht="8.9" customHeight="1" x14ac:dyDescent="0.35">
      <c r="A9" s="5478"/>
      <c r="B9" s="5479"/>
      <c r="C9" s="5479"/>
      <c r="D9" s="5479"/>
      <c r="E9" s="5479"/>
      <c r="F9" s="5479"/>
      <c r="G9" s="5479"/>
      <c r="H9" s="5479"/>
      <c r="I9" s="5479"/>
      <c r="J9" s="5479"/>
      <c r="K9" s="5479"/>
      <c r="L9" s="5479"/>
      <c r="M9" s="5479"/>
      <c r="N9" s="5479"/>
      <c r="O9" s="5479"/>
      <c r="P9" s="5479"/>
      <c r="Q9" s="5479"/>
      <c r="R9" s="5479"/>
      <c r="S9" s="5479"/>
      <c r="T9" s="5479"/>
      <c r="U9" s="5480"/>
      <c r="V9" s="397"/>
      <c r="X9" s="103"/>
      <c r="Y9" s="93"/>
      <c r="Z9" s="93"/>
    </row>
    <row r="10" spans="1:32" s="11" customFormat="1" ht="59.25" customHeight="1" x14ac:dyDescent="0.35">
      <c r="A10" s="3497" t="s">
        <v>1147</v>
      </c>
      <c r="B10" s="3498"/>
      <c r="C10" s="3475" t="s">
        <v>1146</v>
      </c>
      <c r="D10" s="3498"/>
      <c r="E10" s="3498"/>
      <c r="F10" s="3498"/>
      <c r="G10" s="3498"/>
      <c r="H10" s="3498"/>
      <c r="I10" s="3498"/>
      <c r="J10" s="5475" t="s">
        <v>1145</v>
      </c>
      <c r="K10" s="5475"/>
      <c r="L10" s="5475"/>
      <c r="M10" s="5475"/>
      <c r="N10" s="5475"/>
      <c r="O10" s="5475"/>
      <c r="P10" s="5475"/>
      <c r="Q10" s="5476"/>
      <c r="R10" s="5476"/>
      <c r="S10" s="5476"/>
      <c r="T10" s="5476"/>
      <c r="U10" s="5477"/>
      <c r="V10" s="766"/>
      <c r="W10" s="12"/>
      <c r="X10" s="366"/>
      <c r="Y10" s="344"/>
      <c r="Z10" s="344"/>
      <c r="AA10" s="12"/>
      <c r="AB10" s="12"/>
      <c r="AC10" s="12"/>
      <c r="AD10" s="12"/>
      <c r="AE10" s="12"/>
      <c r="AF10" s="12"/>
    </row>
    <row r="11" spans="1:32" s="66" customFormat="1" ht="8.9" customHeight="1" x14ac:dyDescent="0.35">
      <c r="A11" s="5478"/>
      <c r="B11" s="5479"/>
      <c r="C11" s="5479"/>
      <c r="D11" s="5479"/>
      <c r="E11" s="5479"/>
      <c r="F11" s="5479"/>
      <c r="G11" s="5479"/>
      <c r="H11" s="5479"/>
      <c r="I11" s="5479"/>
      <c r="J11" s="5479"/>
      <c r="K11" s="5479"/>
      <c r="L11" s="5479"/>
      <c r="M11" s="5479"/>
      <c r="N11" s="5479"/>
      <c r="O11" s="5479"/>
      <c r="P11" s="5479"/>
      <c r="Q11" s="5479"/>
      <c r="R11" s="5479"/>
      <c r="S11" s="5479"/>
      <c r="T11" s="5479"/>
      <c r="U11" s="5480"/>
      <c r="V11" s="397"/>
      <c r="X11" s="103"/>
      <c r="Y11" s="93"/>
      <c r="Z11" s="93"/>
    </row>
    <row r="12" spans="1:32" s="11" customFormat="1" ht="78.75" customHeight="1" x14ac:dyDescent="0.35">
      <c r="A12" s="3497" t="s">
        <v>1144</v>
      </c>
      <c r="B12" s="3498"/>
      <c r="C12" s="3475" t="s">
        <v>1143</v>
      </c>
      <c r="D12" s="3498"/>
      <c r="E12" s="3498"/>
      <c r="F12" s="3498"/>
      <c r="G12" s="3498"/>
      <c r="H12" s="3498"/>
      <c r="I12" s="3498"/>
      <c r="J12" s="5475" t="s">
        <v>1142</v>
      </c>
      <c r="K12" s="5475"/>
      <c r="L12" s="5475"/>
      <c r="M12" s="5475"/>
      <c r="N12" s="5475"/>
      <c r="O12" s="5475"/>
      <c r="P12" s="5475"/>
      <c r="Q12" s="5476"/>
      <c r="R12" s="5476"/>
      <c r="S12" s="5476"/>
      <c r="T12" s="5476"/>
      <c r="U12" s="5477"/>
      <c r="V12" s="766"/>
      <c r="W12" s="12"/>
      <c r="X12" s="366"/>
      <c r="Y12" s="344"/>
      <c r="Z12" s="344"/>
      <c r="AA12" s="12"/>
      <c r="AB12" s="12"/>
      <c r="AC12" s="12"/>
      <c r="AD12" s="12"/>
      <c r="AE12" s="12"/>
      <c r="AF12" s="12"/>
    </row>
    <row r="13" spans="1:32" s="66" customFormat="1" ht="8.9" customHeight="1" x14ac:dyDescent="0.35">
      <c r="A13" s="5481"/>
      <c r="B13" s="5482"/>
      <c r="C13" s="5482"/>
      <c r="D13" s="5482"/>
      <c r="E13" s="5482"/>
      <c r="F13" s="5482"/>
      <c r="G13" s="5482"/>
      <c r="H13" s="5482"/>
      <c r="I13" s="5482"/>
      <c r="J13" s="5482"/>
      <c r="K13" s="5482"/>
      <c r="L13" s="5482"/>
      <c r="M13" s="5482"/>
      <c r="N13" s="5482"/>
      <c r="O13" s="5482"/>
      <c r="P13" s="5482"/>
      <c r="Q13" s="5482"/>
      <c r="R13" s="5482"/>
      <c r="S13" s="5482"/>
      <c r="T13" s="5482"/>
      <c r="U13" s="5483"/>
      <c r="V13" s="397"/>
      <c r="X13" s="103"/>
      <c r="Y13" s="93"/>
      <c r="Z13" s="93"/>
    </row>
    <row r="14" spans="1:32" s="11" customFormat="1" ht="78.75" customHeight="1" x14ac:dyDescent="0.35">
      <c r="A14" s="3497" t="s">
        <v>1141</v>
      </c>
      <c r="B14" s="3498"/>
      <c r="C14" s="3475" t="s">
        <v>1140</v>
      </c>
      <c r="D14" s="3498"/>
      <c r="E14" s="3498"/>
      <c r="F14" s="3498"/>
      <c r="G14" s="3498"/>
      <c r="H14" s="3498"/>
      <c r="I14" s="3498"/>
      <c r="J14" s="5475" t="s">
        <v>1139</v>
      </c>
      <c r="K14" s="5475"/>
      <c r="L14" s="5475"/>
      <c r="M14" s="5475"/>
      <c r="N14" s="5475"/>
      <c r="O14" s="5475"/>
      <c r="P14" s="5475"/>
      <c r="Q14" s="5476"/>
      <c r="R14" s="5476"/>
      <c r="S14" s="5476"/>
      <c r="T14" s="5476"/>
      <c r="U14" s="5477"/>
      <c r="V14" s="766"/>
      <c r="W14" s="12"/>
      <c r="X14" s="366"/>
      <c r="Y14" s="344"/>
      <c r="Z14" s="344"/>
      <c r="AA14" s="12"/>
      <c r="AB14" s="12"/>
      <c r="AC14" s="12"/>
      <c r="AD14" s="12"/>
      <c r="AE14" s="12"/>
      <c r="AF14" s="12"/>
    </row>
    <row r="15" spans="1:32" s="66" customFormat="1" ht="8.9" customHeight="1" x14ac:dyDescent="0.35">
      <c r="A15" s="5478"/>
      <c r="B15" s="5479"/>
      <c r="C15" s="5479"/>
      <c r="D15" s="5479"/>
      <c r="E15" s="5479"/>
      <c r="F15" s="5479"/>
      <c r="G15" s="5479"/>
      <c r="H15" s="5479"/>
      <c r="I15" s="5479"/>
      <c r="J15" s="5479"/>
      <c r="K15" s="5479"/>
      <c r="L15" s="5479"/>
      <c r="M15" s="5479"/>
      <c r="N15" s="5479"/>
      <c r="O15" s="5479"/>
      <c r="P15" s="5479"/>
      <c r="Q15" s="5479"/>
      <c r="R15" s="5479"/>
      <c r="S15" s="5479"/>
      <c r="T15" s="5479"/>
      <c r="U15" s="5480"/>
      <c r="V15" s="397"/>
      <c r="X15" s="103"/>
      <c r="Y15" s="93"/>
      <c r="Z15" s="93"/>
    </row>
    <row r="16" spans="1:32" s="11" customFormat="1" ht="78.75" customHeight="1" x14ac:dyDescent="0.35">
      <c r="A16" s="3497" t="s">
        <v>1138</v>
      </c>
      <c r="B16" s="3498"/>
      <c r="C16" s="3475" t="s">
        <v>1137</v>
      </c>
      <c r="D16" s="3498"/>
      <c r="E16" s="3498"/>
      <c r="F16" s="3498"/>
      <c r="G16" s="3498"/>
      <c r="H16" s="3498"/>
      <c r="I16" s="3498"/>
      <c r="J16" s="5475" t="s">
        <v>1136</v>
      </c>
      <c r="K16" s="5475"/>
      <c r="L16" s="5475"/>
      <c r="M16" s="5475"/>
      <c r="N16" s="5475"/>
      <c r="O16" s="5475"/>
      <c r="P16" s="5475"/>
      <c r="Q16" s="5476"/>
      <c r="R16" s="5476"/>
      <c r="S16" s="5476"/>
      <c r="T16" s="5476"/>
      <c r="U16" s="5477"/>
      <c r="V16" s="766"/>
      <c r="W16" s="12"/>
      <c r="X16" s="366"/>
      <c r="Y16" s="344"/>
      <c r="Z16" s="344"/>
      <c r="AA16" s="12"/>
      <c r="AB16" s="12"/>
      <c r="AC16" s="12"/>
      <c r="AD16" s="12"/>
      <c r="AE16" s="12"/>
      <c r="AF16" s="12"/>
    </row>
    <row r="17" spans="1:32" s="66" customFormat="1" ht="8.9" customHeight="1" x14ac:dyDescent="0.35">
      <c r="A17" s="5478"/>
      <c r="B17" s="5479"/>
      <c r="C17" s="5479"/>
      <c r="D17" s="5479"/>
      <c r="E17" s="5479"/>
      <c r="F17" s="5479"/>
      <c r="G17" s="5479"/>
      <c r="H17" s="5479"/>
      <c r="I17" s="5479"/>
      <c r="J17" s="5479"/>
      <c r="K17" s="5479"/>
      <c r="L17" s="5479"/>
      <c r="M17" s="5479"/>
      <c r="N17" s="5479"/>
      <c r="O17" s="5479"/>
      <c r="P17" s="5479"/>
      <c r="Q17" s="5479"/>
      <c r="R17" s="5479"/>
      <c r="S17" s="5479"/>
      <c r="T17" s="5479"/>
      <c r="U17" s="5480"/>
      <c r="V17" s="397"/>
      <c r="X17" s="103"/>
      <c r="Y17" s="93"/>
      <c r="Z17" s="93"/>
    </row>
    <row r="18" spans="1:32" s="11" customFormat="1" ht="78.75" customHeight="1" x14ac:dyDescent="0.35">
      <c r="A18" s="3497" t="s">
        <v>1135</v>
      </c>
      <c r="B18" s="3498"/>
      <c r="C18" s="3499" t="s">
        <v>1134</v>
      </c>
      <c r="D18" s="3500"/>
      <c r="E18" s="3500"/>
      <c r="F18" s="3500"/>
      <c r="G18" s="3500"/>
      <c r="H18" s="3500"/>
      <c r="I18" s="3500"/>
      <c r="J18" s="5475" t="s">
        <v>1133</v>
      </c>
      <c r="K18" s="5475"/>
      <c r="L18" s="5475"/>
      <c r="M18" s="5475"/>
      <c r="N18" s="5475"/>
      <c r="O18" s="5475"/>
      <c r="P18" s="5475"/>
      <c r="Q18" s="5476"/>
      <c r="R18" s="5476"/>
      <c r="S18" s="5476"/>
      <c r="T18" s="5476"/>
      <c r="U18" s="5477"/>
      <c r="V18" s="766"/>
      <c r="W18" s="12"/>
      <c r="X18" s="366"/>
      <c r="Y18" s="344"/>
      <c r="Z18" s="344"/>
      <c r="AA18" s="12"/>
      <c r="AB18" s="12"/>
      <c r="AC18" s="12"/>
      <c r="AD18" s="12"/>
      <c r="AE18" s="12"/>
      <c r="AF18" s="12"/>
    </row>
    <row r="19" spans="1:32" s="66" customFormat="1" ht="8.9" customHeight="1" x14ac:dyDescent="0.35">
      <c r="A19" s="5478"/>
      <c r="B19" s="5479"/>
      <c r="C19" s="5479"/>
      <c r="D19" s="5479"/>
      <c r="E19" s="5479"/>
      <c r="F19" s="5479"/>
      <c r="G19" s="5479"/>
      <c r="H19" s="5479"/>
      <c r="I19" s="5479"/>
      <c r="J19" s="5479"/>
      <c r="K19" s="5479"/>
      <c r="L19" s="5479"/>
      <c r="M19" s="5479"/>
      <c r="N19" s="5479"/>
      <c r="O19" s="5479"/>
      <c r="P19" s="5479"/>
      <c r="Q19" s="5479"/>
      <c r="R19" s="5479"/>
      <c r="S19" s="5479"/>
      <c r="T19" s="5479"/>
      <c r="U19" s="5480"/>
      <c r="V19" s="397"/>
      <c r="X19" s="103"/>
      <c r="Y19" s="93"/>
      <c r="Z19" s="93"/>
    </row>
    <row r="20" spans="1:32" s="11" customFormat="1" ht="126.75" customHeight="1" x14ac:dyDescent="0.35">
      <c r="A20" s="3497" t="s">
        <v>1132</v>
      </c>
      <c r="B20" s="3498"/>
      <c r="C20" s="3501" t="s">
        <v>1131</v>
      </c>
      <c r="D20" s="3498"/>
      <c r="E20" s="3498"/>
      <c r="F20" s="3498"/>
      <c r="G20" s="3498"/>
      <c r="H20" s="3498"/>
      <c r="I20" s="3498"/>
      <c r="J20" s="5475" t="s">
        <v>1130</v>
      </c>
      <c r="K20" s="5475"/>
      <c r="L20" s="5475"/>
      <c r="M20" s="5475"/>
      <c r="N20" s="5475"/>
      <c r="O20" s="5475"/>
      <c r="P20" s="5475"/>
      <c r="Q20" s="5476"/>
      <c r="R20" s="5476"/>
      <c r="S20" s="5476"/>
      <c r="T20" s="5476"/>
      <c r="U20" s="5477"/>
      <c r="V20" s="766"/>
      <c r="W20" s="12"/>
      <c r="X20" s="366"/>
      <c r="Y20" s="344"/>
      <c r="Z20" s="344"/>
      <c r="AA20" s="12"/>
      <c r="AB20" s="12"/>
      <c r="AC20" s="12"/>
      <c r="AD20" s="12"/>
      <c r="AE20" s="12"/>
      <c r="AF20" s="12"/>
    </row>
    <row r="21" spans="1:32" s="66" customFormat="1" ht="8.9" customHeight="1" x14ac:dyDescent="0.35">
      <c r="A21" s="5478"/>
      <c r="B21" s="5479"/>
      <c r="C21" s="5479"/>
      <c r="D21" s="5479"/>
      <c r="E21" s="5479"/>
      <c r="F21" s="5479"/>
      <c r="G21" s="5479"/>
      <c r="H21" s="5479"/>
      <c r="I21" s="5479"/>
      <c r="J21" s="5479"/>
      <c r="K21" s="5479"/>
      <c r="L21" s="5479"/>
      <c r="M21" s="5479"/>
      <c r="N21" s="5479"/>
      <c r="O21" s="5479"/>
      <c r="P21" s="5479"/>
      <c r="Q21" s="5479"/>
      <c r="R21" s="5479"/>
      <c r="S21" s="5479"/>
      <c r="T21" s="5479"/>
      <c r="U21" s="5480"/>
      <c r="V21" s="397"/>
      <c r="X21" s="103"/>
      <c r="Y21" s="93"/>
      <c r="Z21" s="93"/>
    </row>
    <row r="22" spans="1:32" s="11" customFormat="1" ht="137.25" customHeight="1" x14ac:dyDescent="0.35">
      <c r="A22" s="3497" t="s">
        <v>1129</v>
      </c>
      <c r="B22" s="3498"/>
      <c r="C22" s="3475" t="s">
        <v>1128</v>
      </c>
      <c r="D22" s="3498"/>
      <c r="E22" s="3498"/>
      <c r="F22" s="3498"/>
      <c r="G22" s="3498"/>
      <c r="H22" s="3498"/>
      <c r="I22" s="3498"/>
      <c r="J22" s="5475" t="s">
        <v>1127</v>
      </c>
      <c r="K22" s="5475"/>
      <c r="L22" s="5475"/>
      <c r="M22" s="5475"/>
      <c r="N22" s="5475"/>
      <c r="O22" s="5475"/>
      <c r="P22" s="5475"/>
      <c r="Q22" s="5476"/>
      <c r="R22" s="5476"/>
      <c r="S22" s="5476"/>
      <c r="T22" s="5476"/>
      <c r="U22" s="5477"/>
      <c r="V22" s="766"/>
      <c r="W22" s="12"/>
      <c r="X22" s="366"/>
      <c r="Y22" s="344"/>
      <c r="Z22" s="344"/>
      <c r="AA22" s="12"/>
      <c r="AB22" s="12"/>
      <c r="AC22" s="12"/>
      <c r="AD22" s="12"/>
      <c r="AE22" s="12"/>
      <c r="AF22" s="12"/>
    </row>
    <row r="23" spans="1:32" ht="8.9" customHeight="1" thickBot="1" x14ac:dyDescent="0.4">
      <c r="A23" s="5472"/>
      <c r="B23" s="5473"/>
      <c r="C23" s="5473"/>
      <c r="D23" s="5473"/>
      <c r="E23" s="5473"/>
      <c r="F23" s="5473"/>
      <c r="G23" s="5473"/>
      <c r="H23" s="5473"/>
      <c r="I23" s="5473"/>
      <c r="J23" s="5473"/>
      <c r="K23" s="5473"/>
      <c r="L23" s="5473"/>
      <c r="M23" s="5473"/>
      <c r="N23" s="5473"/>
      <c r="O23" s="5473"/>
      <c r="P23" s="5473"/>
      <c r="Q23" s="5473"/>
      <c r="R23" s="5473"/>
      <c r="S23" s="5473"/>
      <c r="T23" s="5473"/>
      <c r="U23" s="5474"/>
      <c r="V23" s="397"/>
      <c r="W23" s="66"/>
      <c r="X23" s="103"/>
      <c r="Y23" s="93"/>
      <c r="Z23" s="93"/>
      <c r="AA23" s="66"/>
      <c r="AB23" s="66"/>
      <c r="AC23" s="66"/>
      <c r="AD23" s="66"/>
      <c r="AE23" s="66"/>
      <c r="AF23" s="66"/>
    </row>
    <row r="24" spans="1:32" ht="15.5" thickTop="1" thickBot="1" x14ac:dyDescent="0.4">
      <c r="A24" s="64"/>
      <c r="B24" s="64"/>
      <c r="C24" s="64"/>
      <c r="D24" s="64"/>
      <c r="E24" s="64"/>
      <c r="F24" s="64"/>
      <c r="G24" s="64"/>
      <c r="H24" s="64"/>
      <c r="I24" s="64"/>
      <c r="J24" s="64"/>
      <c r="K24" s="64"/>
      <c r="L24" s="64"/>
      <c r="M24" s="64"/>
      <c r="N24" s="64"/>
      <c r="O24" s="64"/>
      <c r="P24" s="64"/>
      <c r="Q24" s="64"/>
      <c r="R24" s="64"/>
      <c r="S24" s="64"/>
      <c r="T24" s="64"/>
      <c r="U24" s="64"/>
      <c r="V24" s="64"/>
    </row>
    <row r="25" spans="1:32" ht="19.5" thickTop="1" thickBot="1" x14ac:dyDescent="0.4">
      <c r="A25" s="3883" t="s">
        <v>10</v>
      </c>
      <c r="B25" s="3884"/>
      <c r="C25" s="3884"/>
      <c r="D25" s="3884"/>
      <c r="E25" s="3884"/>
      <c r="F25" s="3884"/>
      <c r="G25" s="3884"/>
      <c r="H25" s="3884"/>
      <c r="I25" s="3884"/>
      <c r="J25" s="3884"/>
      <c r="K25" s="3884"/>
      <c r="L25" s="30"/>
      <c r="M25" s="3725" t="s">
        <v>748</v>
      </c>
      <c r="N25" s="3726"/>
      <c r="O25" s="3726"/>
      <c r="P25" s="3727"/>
      <c r="Q25" s="64"/>
      <c r="R25" s="64"/>
      <c r="S25" s="64"/>
      <c r="T25" s="64"/>
      <c r="U25" s="64"/>
      <c r="V25" s="64"/>
    </row>
    <row r="26" spans="1:32" ht="19.5" customHeight="1" x14ac:dyDescent="0.35">
      <c r="A26" s="3876" t="s">
        <v>1083</v>
      </c>
      <c r="B26" s="3877"/>
      <c r="C26" s="3877"/>
      <c r="D26" s="3877"/>
      <c r="E26" s="3877"/>
      <c r="F26" s="3877"/>
      <c r="G26" s="3877"/>
      <c r="H26" s="3877"/>
      <c r="I26" s="3877"/>
      <c r="J26" s="3877"/>
      <c r="K26" s="5398"/>
      <c r="L26" s="33"/>
      <c r="M26" s="3753" t="s">
        <v>756</v>
      </c>
      <c r="N26" s="3754"/>
      <c r="O26" s="3754"/>
      <c r="P26" s="3755"/>
      <c r="Q26" s="64"/>
      <c r="R26" s="64"/>
      <c r="S26" s="64"/>
      <c r="T26" s="64"/>
      <c r="U26" s="64"/>
      <c r="V26" s="64"/>
    </row>
    <row r="27" spans="1:32" ht="19.5" customHeight="1" x14ac:dyDescent="0.35">
      <c r="A27" s="3878"/>
      <c r="B27" s="3879"/>
      <c r="C27" s="3879"/>
      <c r="D27" s="3879"/>
      <c r="E27" s="3879"/>
      <c r="F27" s="3879"/>
      <c r="G27" s="3879"/>
      <c r="H27" s="3879"/>
      <c r="I27" s="3879"/>
      <c r="J27" s="3879"/>
      <c r="K27" s="5399"/>
      <c r="L27" s="33"/>
      <c r="M27" s="3753"/>
      <c r="N27" s="3754"/>
      <c r="O27" s="3754"/>
      <c r="P27" s="3755"/>
      <c r="Q27" s="64"/>
      <c r="R27" s="64"/>
      <c r="S27" s="64"/>
      <c r="T27" s="64"/>
      <c r="U27" s="64"/>
      <c r="V27" s="64"/>
    </row>
    <row r="28" spans="1:32" ht="19.5" customHeight="1" x14ac:dyDescent="0.35">
      <c r="A28" s="3878"/>
      <c r="B28" s="3879"/>
      <c r="C28" s="3879"/>
      <c r="D28" s="3879"/>
      <c r="E28" s="3879"/>
      <c r="F28" s="3879"/>
      <c r="G28" s="3879"/>
      <c r="H28" s="3879"/>
      <c r="I28" s="3879"/>
      <c r="J28" s="3879"/>
      <c r="K28" s="5399"/>
      <c r="L28" s="33"/>
      <c r="M28" s="3753"/>
      <c r="N28" s="3754"/>
      <c r="O28" s="3754"/>
      <c r="P28" s="3755"/>
      <c r="Q28" s="64"/>
      <c r="R28" s="64"/>
      <c r="S28" s="64"/>
      <c r="T28" s="64"/>
      <c r="U28" s="64"/>
      <c r="V28" s="64"/>
    </row>
    <row r="29" spans="1:32" ht="19.5" customHeight="1" x14ac:dyDescent="0.35">
      <c r="A29" s="3878"/>
      <c r="B29" s="3879"/>
      <c r="C29" s="3879"/>
      <c r="D29" s="3879"/>
      <c r="E29" s="3879"/>
      <c r="F29" s="3879"/>
      <c r="G29" s="3879"/>
      <c r="H29" s="3879"/>
      <c r="I29" s="3879"/>
      <c r="J29" s="3879"/>
      <c r="K29" s="5399"/>
      <c r="L29" s="33"/>
      <c r="M29" s="3753"/>
      <c r="N29" s="3754"/>
      <c r="O29" s="3754"/>
      <c r="P29" s="3755"/>
      <c r="Q29" s="64"/>
      <c r="R29" s="64"/>
      <c r="S29" s="64"/>
      <c r="T29" s="64"/>
      <c r="U29" s="64"/>
      <c r="V29" s="64"/>
    </row>
    <row r="30" spans="1:32" ht="15" customHeight="1" thickBot="1" x14ac:dyDescent="0.4">
      <c r="A30" s="3878"/>
      <c r="B30" s="3879"/>
      <c r="C30" s="3879"/>
      <c r="D30" s="3879"/>
      <c r="E30" s="3879"/>
      <c r="F30" s="3879"/>
      <c r="G30" s="3879"/>
      <c r="H30" s="3879"/>
      <c r="I30" s="3879"/>
      <c r="J30" s="3879"/>
      <c r="K30" s="5399"/>
      <c r="L30" s="64"/>
      <c r="M30" s="5334"/>
      <c r="N30" s="5468"/>
      <c r="O30" s="5468"/>
      <c r="P30" s="5469"/>
      <c r="Q30" s="64"/>
      <c r="R30" s="64"/>
      <c r="S30" s="64"/>
      <c r="T30" s="64"/>
      <c r="U30" s="64"/>
      <c r="V30" s="64"/>
    </row>
    <row r="31" spans="1:32" x14ac:dyDescent="0.35">
      <c r="A31" s="3878"/>
      <c r="B31" s="3879"/>
      <c r="C31" s="3879"/>
      <c r="D31" s="3879"/>
      <c r="E31" s="3879"/>
      <c r="F31" s="3879"/>
      <c r="G31" s="3879"/>
      <c r="H31" s="3879"/>
      <c r="I31" s="3879"/>
      <c r="J31" s="3879"/>
      <c r="K31" s="5399"/>
      <c r="L31" s="31"/>
      <c r="M31" s="64"/>
      <c r="N31" s="64"/>
      <c r="O31" s="64"/>
      <c r="P31" s="31"/>
      <c r="Q31" s="64"/>
      <c r="R31" s="64"/>
      <c r="S31" s="64"/>
      <c r="T31" s="64"/>
      <c r="U31" s="64"/>
      <c r="V31" s="64"/>
    </row>
    <row r="32" spans="1:32" ht="19.5" customHeight="1" x14ac:dyDescent="0.35">
      <c r="A32" s="3878"/>
      <c r="B32" s="3879"/>
      <c r="C32" s="3879"/>
      <c r="D32" s="3879"/>
      <c r="E32" s="3879"/>
      <c r="F32" s="3879"/>
      <c r="G32" s="3879"/>
      <c r="H32" s="3879"/>
      <c r="I32" s="3879"/>
      <c r="J32" s="3879"/>
      <c r="K32" s="5399"/>
      <c r="L32" s="31"/>
      <c r="M32" s="64"/>
      <c r="N32" s="64"/>
      <c r="O32" s="64"/>
      <c r="P32" s="31"/>
      <c r="Q32" s="64"/>
      <c r="R32" s="64"/>
      <c r="S32" s="64"/>
      <c r="T32" s="64"/>
      <c r="U32" s="64"/>
      <c r="V32" s="64"/>
    </row>
    <row r="33" spans="1:22" ht="19.5" customHeight="1" thickBot="1" x14ac:dyDescent="0.4">
      <c r="A33" s="3880"/>
      <c r="B33" s="3881"/>
      <c r="C33" s="3881"/>
      <c r="D33" s="3881"/>
      <c r="E33" s="3881"/>
      <c r="F33" s="3881"/>
      <c r="G33" s="3881"/>
      <c r="H33" s="3881"/>
      <c r="I33" s="3881"/>
      <c r="J33" s="3881"/>
      <c r="K33" s="5400"/>
      <c r="L33" s="31"/>
      <c r="M33" s="64"/>
      <c r="N33" s="64"/>
      <c r="O33" s="64"/>
      <c r="P33" s="31"/>
      <c r="Q33" s="64"/>
      <c r="R33" s="64"/>
      <c r="S33" s="64"/>
      <c r="T33" s="64"/>
      <c r="U33" s="64"/>
      <c r="V33" s="64"/>
    </row>
    <row r="34" spans="1:22" ht="19.5" customHeight="1" thickTop="1" thickBot="1" x14ac:dyDescent="0.4">
      <c r="A34" s="64"/>
      <c r="B34" s="64"/>
      <c r="C34" s="64"/>
      <c r="D34" s="64"/>
      <c r="E34" s="64"/>
      <c r="F34" s="64"/>
      <c r="G34" s="64"/>
      <c r="H34" s="64"/>
      <c r="I34" s="64"/>
      <c r="J34" s="64"/>
      <c r="K34" s="757"/>
      <c r="L34" s="31"/>
      <c r="M34" s="64"/>
      <c r="N34" s="64"/>
      <c r="O34" s="64"/>
      <c r="P34" s="31"/>
      <c r="Q34" s="64"/>
      <c r="R34" s="64"/>
      <c r="S34" s="64"/>
      <c r="T34" s="64"/>
      <c r="U34" s="64"/>
      <c r="V34" s="64"/>
    </row>
    <row r="35" spans="1:22" ht="19.5" customHeight="1" thickTop="1" thickBot="1" x14ac:dyDescent="0.4">
      <c r="A35" s="3883" t="s">
        <v>11</v>
      </c>
      <c r="B35" s="5470"/>
      <c r="C35" s="5470"/>
      <c r="D35" s="5470"/>
      <c r="E35" s="5470"/>
      <c r="F35" s="5470"/>
      <c r="G35" s="5470"/>
      <c r="H35" s="5470"/>
      <c r="I35" s="5470"/>
      <c r="J35" s="5470"/>
      <c r="K35" s="5471"/>
      <c r="L35" s="31"/>
      <c r="M35" s="3725" t="s">
        <v>748</v>
      </c>
      <c r="N35" s="3726"/>
      <c r="O35" s="3726"/>
      <c r="P35" s="3727"/>
      <c r="Q35" s="64"/>
      <c r="R35" s="64"/>
      <c r="S35" s="64"/>
      <c r="T35" s="64"/>
      <c r="U35" s="64"/>
      <c r="V35" s="64"/>
    </row>
    <row r="36" spans="1:22" ht="18.75" customHeight="1" x14ac:dyDescent="0.35">
      <c r="A36" s="3876" t="s">
        <v>1082</v>
      </c>
      <c r="B36" s="3877"/>
      <c r="C36" s="3877"/>
      <c r="D36" s="3877"/>
      <c r="E36" s="3877"/>
      <c r="F36" s="3877"/>
      <c r="G36" s="3877"/>
      <c r="H36" s="3877"/>
      <c r="I36" s="3877"/>
      <c r="J36" s="3877"/>
      <c r="K36" s="5398"/>
      <c r="L36" s="64"/>
      <c r="M36" s="3753" t="s">
        <v>754</v>
      </c>
      <c r="N36" s="3754"/>
      <c r="O36" s="3754"/>
      <c r="P36" s="3755"/>
      <c r="Q36" s="64"/>
      <c r="R36" s="64"/>
      <c r="S36" s="64"/>
      <c r="T36" s="64"/>
      <c r="U36" s="64"/>
      <c r="V36" s="64"/>
    </row>
    <row r="37" spans="1:22" x14ac:dyDescent="0.35">
      <c r="A37" s="3878"/>
      <c r="B37" s="3879"/>
      <c r="C37" s="3879"/>
      <c r="D37" s="3879"/>
      <c r="E37" s="3879"/>
      <c r="F37" s="3879"/>
      <c r="G37" s="3879"/>
      <c r="H37" s="3879"/>
      <c r="I37" s="3879"/>
      <c r="J37" s="3879"/>
      <c r="K37" s="5399"/>
      <c r="L37" s="64"/>
      <c r="M37" s="3753"/>
      <c r="N37" s="3754"/>
      <c r="O37" s="3754"/>
      <c r="P37" s="3755"/>
      <c r="Q37" s="64"/>
      <c r="R37" s="64"/>
      <c r="S37" s="64"/>
      <c r="T37" s="64"/>
      <c r="U37" s="64"/>
      <c r="V37" s="64"/>
    </row>
    <row r="38" spans="1:22" ht="15" customHeight="1" x14ac:dyDescent="0.35">
      <c r="A38" s="3878"/>
      <c r="B38" s="3879"/>
      <c r="C38" s="3879"/>
      <c r="D38" s="3879"/>
      <c r="E38" s="3879"/>
      <c r="F38" s="3879"/>
      <c r="G38" s="3879"/>
      <c r="H38" s="3879"/>
      <c r="I38" s="3879"/>
      <c r="J38" s="3879"/>
      <c r="K38" s="5399"/>
      <c r="L38" s="64"/>
      <c r="M38" s="3753"/>
      <c r="N38" s="3754"/>
      <c r="O38" s="3754"/>
      <c r="P38" s="3755"/>
      <c r="Q38" s="64"/>
      <c r="R38" s="64"/>
      <c r="S38" s="64"/>
      <c r="T38" s="64"/>
      <c r="U38" s="64"/>
      <c r="V38" s="64"/>
    </row>
    <row r="39" spans="1:22" x14ac:dyDescent="0.35">
      <c r="A39" s="3878"/>
      <c r="B39" s="3879"/>
      <c r="C39" s="3879"/>
      <c r="D39" s="3879"/>
      <c r="E39" s="3879"/>
      <c r="F39" s="3879"/>
      <c r="G39" s="3879"/>
      <c r="H39" s="3879"/>
      <c r="I39" s="3879"/>
      <c r="J39" s="3879"/>
      <c r="K39" s="5399"/>
      <c r="L39" s="64"/>
      <c r="M39" s="3753"/>
      <c r="N39" s="3754"/>
      <c r="O39" s="3754"/>
      <c r="P39" s="3755"/>
      <c r="Q39" s="64"/>
      <c r="R39" s="64"/>
      <c r="S39" s="64"/>
      <c r="T39" s="64"/>
      <c r="U39" s="64"/>
      <c r="V39" s="64"/>
    </row>
    <row r="40" spans="1:22" ht="15" customHeight="1" x14ac:dyDescent="0.35">
      <c r="A40" s="3878"/>
      <c r="B40" s="3879"/>
      <c r="C40" s="3879"/>
      <c r="D40" s="3879"/>
      <c r="E40" s="3879"/>
      <c r="F40" s="3879"/>
      <c r="G40" s="3879"/>
      <c r="H40" s="3879"/>
      <c r="I40" s="3879"/>
      <c r="J40" s="3879"/>
      <c r="K40" s="5399"/>
      <c r="L40" s="64"/>
      <c r="M40" s="3753"/>
      <c r="N40" s="3754"/>
      <c r="O40" s="3754"/>
      <c r="P40" s="3755"/>
      <c r="Q40" s="64"/>
      <c r="R40" s="64"/>
      <c r="S40" s="64"/>
      <c r="T40" s="64"/>
      <c r="U40" s="64"/>
      <c r="V40" s="64"/>
    </row>
    <row r="41" spans="1:22" x14ac:dyDescent="0.35">
      <c r="A41" s="3878"/>
      <c r="B41" s="3879"/>
      <c r="C41" s="3879"/>
      <c r="D41" s="3879"/>
      <c r="E41" s="3879"/>
      <c r="F41" s="3879"/>
      <c r="G41" s="3879"/>
      <c r="H41" s="3879"/>
      <c r="I41" s="3879"/>
      <c r="J41" s="3879"/>
      <c r="K41" s="5399"/>
      <c r="L41" s="64"/>
      <c r="M41" s="3753"/>
      <c r="N41" s="3754"/>
      <c r="O41" s="3754"/>
      <c r="P41" s="3755"/>
      <c r="Q41" s="64"/>
      <c r="R41" s="64"/>
      <c r="S41" s="64"/>
      <c r="T41" s="64"/>
      <c r="U41" s="64"/>
      <c r="V41" s="64"/>
    </row>
    <row r="42" spans="1:22" ht="15" thickBot="1" x14ac:dyDescent="0.4">
      <c r="A42" s="3878"/>
      <c r="B42" s="3879"/>
      <c r="C42" s="3879"/>
      <c r="D42" s="3879"/>
      <c r="E42" s="3879"/>
      <c r="F42" s="3879"/>
      <c r="G42" s="3879"/>
      <c r="H42" s="3879"/>
      <c r="I42" s="3879"/>
      <c r="J42" s="3879"/>
      <c r="K42" s="5399"/>
      <c r="L42" s="64"/>
      <c r="M42" s="5334"/>
      <c r="N42" s="5468"/>
      <c r="O42" s="5468"/>
      <c r="P42" s="5469"/>
      <c r="Q42" s="64"/>
      <c r="R42" s="64"/>
      <c r="S42" s="64"/>
      <c r="T42" s="64"/>
      <c r="U42" s="64"/>
      <c r="V42" s="64"/>
    </row>
    <row r="43" spans="1:22" ht="15" thickBot="1" x14ac:dyDescent="0.4">
      <c r="A43" s="3880"/>
      <c r="B43" s="3881"/>
      <c r="C43" s="3881"/>
      <c r="D43" s="3881"/>
      <c r="E43" s="3881"/>
      <c r="F43" s="3881"/>
      <c r="G43" s="3881"/>
      <c r="H43" s="3881"/>
      <c r="I43" s="3881"/>
      <c r="J43" s="3881"/>
      <c r="K43" s="5400"/>
      <c r="L43" s="64"/>
      <c r="M43" s="64"/>
      <c r="N43" s="64"/>
      <c r="O43" s="64"/>
      <c r="P43" s="64"/>
      <c r="Q43" s="64"/>
      <c r="R43" s="64"/>
      <c r="S43" s="64"/>
      <c r="T43" s="64"/>
      <c r="U43" s="64"/>
      <c r="V43" s="64"/>
    </row>
    <row r="44" spans="1:22" ht="15" thickTop="1" x14ac:dyDescent="0.35">
      <c r="A44" s="64"/>
      <c r="B44" s="64"/>
      <c r="C44" s="64"/>
      <c r="D44" s="64"/>
      <c r="E44" s="64"/>
      <c r="F44" s="64"/>
      <c r="G44" s="64"/>
      <c r="H44" s="64"/>
      <c r="I44" s="64"/>
      <c r="J44" s="64"/>
      <c r="K44" s="64"/>
      <c r="L44" s="64"/>
      <c r="M44" s="64"/>
      <c r="N44" s="64"/>
      <c r="O44" s="64"/>
      <c r="P44" s="64"/>
      <c r="Q44" s="64"/>
      <c r="R44" s="64"/>
      <c r="S44" s="64"/>
      <c r="T44" s="64"/>
      <c r="U44" s="64"/>
      <c r="V44" s="64"/>
    </row>
  </sheetData>
  <mergeCells count="64">
    <mergeCell ref="D3:G3"/>
    <mergeCell ref="D1:G1"/>
    <mergeCell ref="I1:J1"/>
    <mergeCell ref="L1:M1"/>
    <mergeCell ref="D2:G2"/>
    <mergeCell ref="I2:J2"/>
    <mergeCell ref="L2:M2"/>
    <mergeCell ref="A4:G4"/>
    <mergeCell ref="A5:B5"/>
    <mergeCell ref="C5:P5"/>
    <mergeCell ref="A6:B6"/>
    <mergeCell ref="C6:I6"/>
    <mergeCell ref="J6:P6"/>
    <mergeCell ref="H4:R4"/>
    <mergeCell ref="A11:U11"/>
    <mergeCell ref="Q6:U6"/>
    <mergeCell ref="A7:U7"/>
    <mergeCell ref="A8:B8"/>
    <mergeCell ref="C8:I8"/>
    <mergeCell ref="J8:P8"/>
    <mergeCell ref="Q8:U8"/>
    <mergeCell ref="A9:U9"/>
    <mergeCell ref="A10:B10"/>
    <mergeCell ref="C10:I10"/>
    <mergeCell ref="J10:P10"/>
    <mergeCell ref="Q10:U10"/>
    <mergeCell ref="A17:U17"/>
    <mergeCell ref="A12:B12"/>
    <mergeCell ref="C12:I12"/>
    <mergeCell ref="J12:P12"/>
    <mergeCell ref="Q12:U12"/>
    <mergeCell ref="A13:U13"/>
    <mergeCell ref="A14:B14"/>
    <mergeCell ref="C14:I14"/>
    <mergeCell ref="J14:P14"/>
    <mergeCell ref="Q14:U14"/>
    <mergeCell ref="A15:U15"/>
    <mergeCell ref="A16:B16"/>
    <mergeCell ref="C16:I16"/>
    <mergeCell ref="J16:P16"/>
    <mergeCell ref="Q16:U16"/>
    <mergeCell ref="A23:U23"/>
    <mergeCell ref="A18:B18"/>
    <mergeCell ref="C18:I18"/>
    <mergeCell ref="J18:P18"/>
    <mergeCell ref="Q18:U18"/>
    <mergeCell ref="A19:U19"/>
    <mergeCell ref="A20:B20"/>
    <mergeCell ref="C20:I20"/>
    <mergeCell ref="J20:P20"/>
    <mergeCell ref="Q20:U20"/>
    <mergeCell ref="A21:U21"/>
    <mergeCell ref="A22:B22"/>
    <mergeCell ref="C22:I22"/>
    <mergeCell ref="J22:P22"/>
    <mergeCell ref="Q22:U22"/>
    <mergeCell ref="A36:K43"/>
    <mergeCell ref="M36:P42"/>
    <mergeCell ref="A25:K25"/>
    <mergeCell ref="M25:P25"/>
    <mergeCell ref="A26:K33"/>
    <mergeCell ref="M26:P30"/>
    <mergeCell ref="A35:K35"/>
    <mergeCell ref="M35:P35"/>
  </mergeCells>
  <conditionalFormatting sqref="Q2">
    <cfRule type="iconSet" priority="2">
      <iconSet iconSet="3Symbols2" showValue="0">
        <cfvo type="percent" val="0"/>
        <cfvo type="num" val="0"/>
        <cfvo type="num" val="10"/>
      </iconSet>
    </cfRule>
  </conditionalFormatting>
  <conditionalFormatting sqref="R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800-000000000000}">
      <formula1>AvancementTheme</formula1>
    </dataValidation>
  </dataValidations>
  <hyperlinks>
    <hyperlink ref="Q1" location="DPDV_03PO3" display="PdV" xr:uid="{00000000-0004-0000-4800-000000000000}"/>
    <hyperlink ref="R1" location="DKPI_03PO3" display="KPI's" xr:uid="{00000000-0004-0000-4800-000001000000}"/>
  </hyperlink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19">
    <tabColor rgb="FFFFC000"/>
    <pageSetUpPr fitToPage="1"/>
  </sheetPr>
  <dimension ref="A1:AF43"/>
  <sheetViews>
    <sheetView showGridLines="0" showRowColHeaders="0" zoomScaleNormal="100" workbookViewId="0">
      <pane ySplit="6" topLeftCell="A19" activePane="bottomLeft" state="frozen"/>
      <selection activeCell="H7" sqref="H7"/>
      <selection pane="bottomLeft" activeCell="A7" sqref="A7:U7"/>
    </sheetView>
  </sheetViews>
  <sheetFormatPr baseColWidth="10" defaultColWidth="11.453125" defaultRowHeight="14.5" x14ac:dyDescent="0.35"/>
  <cols>
    <col min="1" max="11" width="11.453125" style="60"/>
    <col min="12" max="12" width="12.81640625" style="60" customWidth="1"/>
    <col min="13" max="14" width="11.453125" style="60"/>
    <col min="15" max="15" width="11.453125" style="60" customWidth="1"/>
    <col min="16" max="16384" width="11.453125" style="60"/>
  </cols>
  <sheetData>
    <row r="1" spans="1:32"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458"/>
      <c r="R1" s="458"/>
      <c r="S1" s="458"/>
      <c r="T1" s="458"/>
      <c r="U1" s="458"/>
      <c r="V1" s="458"/>
    </row>
    <row r="2" spans="1:32" s="58" customFormat="1" ht="18" customHeight="1" x14ac:dyDescent="0.35">
      <c r="A2" s="393"/>
      <c r="B2" s="393"/>
      <c r="C2" s="393"/>
      <c r="D2" s="3342" t="str">
        <f>NomClient</f>
        <v xml:space="preserve">EQUINIX </v>
      </c>
      <c r="E2" s="3343"/>
      <c r="F2" s="3343"/>
      <c r="G2" s="3344"/>
      <c r="H2" s="393"/>
      <c r="I2" s="3345" t="s">
        <v>406</v>
      </c>
      <c r="J2" s="3346"/>
      <c r="K2" s="393"/>
      <c r="L2" s="3347">
        <v>42420.659560185188</v>
      </c>
      <c r="M2" s="3348"/>
      <c r="N2" s="394"/>
      <c r="O2" s="451">
        <f>IF(LEN(DPDV_03CR3)&gt;0,LEN(DPDV_03CR3),0-PDV_NBmini)</f>
        <v>30</v>
      </c>
      <c r="P2" s="451">
        <f>IF(LEN(DKPI_03CR3)&gt;0,LEN(DKPI_03CR3),0-KPI_NBmini)</f>
        <v>63</v>
      </c>
      <c r="Q2" s="459"/>
      <c r="R2" s="459"/>
      <c r="S2" s="459"/>
      <c r="T2" s="459"/>
      <c r="U2" s="459"/>
      <c r="V2" s="459"/>
    </row>
    <row r="3" spans="1:3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32" s="1" customFormat="1" ht="24.75" customHeight="1" thickBot="1" x14ac:dyDescent="0.4">
      <c r="A4" s="3507" t="str">
        <f>Parametre!B25  &amp; "  : "</f>
        <v xml:space="preserve">Positionnement de l'offre  : </v>
      </c>
      <c r="B4" s="3507"/>
      <c r="C4" s="3507"/>
      <c r="D4" s="3507"/>
      <c r="E4" s="3507"/>
      <c r="F4" s="3507"/>
      <c r="G4" s="3507"/>
      <c r="H4" s="5416" t="str">
        <f xml:space="preserve"> "Criticité pour " &amp; NomProd3</f>
        <v xml:space="preserve">Criticité pour </v>
      </c>
      <c r="I4" s="5416"/>
      <c r="J4" s="5416"/>
      <c r="K4" s="5416"/>
      <c r="L4" s="5416"/>
      <c r="M4" s="5416"/>
      <c r="N4" s="5416"/>
      <c r="O4" s="5416"/>
      <c r="P4" s="5417"/>
      <c r="Q4" s="444"/>
      <c r="R4" s="444"/>
      <c r="S4" s="444"/>
      <c r="T4" s="444"/>
      <c r="U4" s="444"/>
      <c r="V4" s="444"/>
    </row>
    <row r="5" spans="1:32" s="193" customFormat="1" ht="59.25" customHeight="1" thickBot="1" x14ac:dyDescent="0.4">
      <c r="A5" s="3438" t="s">
        <v>14</v>
      </c>
      <c r="B5" s="3438"/>
      <c r="C5" s="3508" t="s">
        <v>956</v>
      </c>
      <c r="D5" s="3439"/>
      <c r="E5" s="3439"/>
      <c r="F5" s="3439"/>
      <c r="G5" s="3439"/>
      <c r="H5" s="3439"/>
      <c r="I5" s="3439"/>
      <c r="J5" s="3439"/>
      <c r="K5" s="3439"/>
      <c r="L5" s="3439"/>
      <c r="M5" s="3439"/>
      <c r="N5" s="3439"/>
      <c r="O5" s="3439"/>
      <c r="P5" s="3439"/>
      <c r="Q5" s="460"/>
      <c r="R5" s="460"/>
      <c r="S5" s="460"/>
      <c r="T5" s="460"/>
      <c r="U5" s="460"/>
      <c r="V5" s="460"/>
    </row>
    <row r="6" spans="1:32" s="65" customFormat="1" ht="33.75" customHeight="1" thickTop="1" x14ac:dyDescent="0.35">
      <c r="A6" s="5523" t="s">
        <v>171</v>
      </c>
      <c r="B6" s="5524"/>
      <c r="C6" s="5525" t="s">
        <v>561</v>
      </c>
      <c r="D6" s="5524"/>
      <c r="E6" s="5524"/>
      <c r="F6" s="5524"/>
      <c r="G6" s="5524"/>
      <c r="H6" s="5524"/>
      <c r="I6" s="5526"/>
      <c r="J6" s="5527" t="s">
        <v>878</v>
      </c>
      <c r="K6" s="5520"/>
      <c r="L6" s="5520"/>
      <c r="M6" s="5520"/>
      <c r="N6" s="5520"/>
      <c r="O6" s="5520"/>
      <c r="P6" s="5528"/>
      <c r="Q6" s="5519" t="s">
        <v>562</v>
      </c>
      <c r="R6" s="5520"/>
      <c r="S6" s="5520"/>
      <c r="T6" s="5520"/>
      <c r="U6" s="5521"/>
      <c r="V6" s="403"/>
      <c r="W6" s="80"/>
      <c r="X6" s="104"/>
      <c r="Y6" s="105"/>
      <c r="Z6" s="105"/>
      <c r="AA6" s="80"/>
      <c r="AB6" s="80"/>
      <c r="AC6" s="80"/>
      <c r="AD6" s="80"/>
      <c r="AE6" s="80"/>
      <c r="AF6" s="80"/>
    </row>
    <row r="7" spans="1:32" ht="6.75" customHeight="1" x14ac:dyDescent="0.35">
      <c r="A7" s="5478"/>
      <c r="B7" s="5479"/>
      <c r="C7" s="5479"/>
      <c r="D7" s="5479"/>
      <c r="E7" s="5479"/>
      <c r="F7" s="5479"/>
      <c r="G7" s="5479"/>
      <c r="H7" s="5479"/>
      <c r="I7" s="5479"/>
      <c r="J7" s="5479"/>
      <c r="K7" s="5479"/>
      <c r="L7" s="5479"/>
      <c r="M7" s="5479"/>
      <c r="N7" s="5479"/>
      <c r="O7" s="5479"/>
      <c r="P7" s="5479"/>
      <c r="Q7" s="5479"/>
      <c r="R7" s="5479"/>
      <c r="S7" s="5479"/>
      <c r="T7" s="5479"/>
      <c r="U7" s="5480"/>
      <c r="V7" s="397"/>
      <c r="W7" s="66"/>
      <c r="X7" s="103"/>
      <c r="Y7" s="93"/>
      <c r="Z7" s="93"/>
      <c r="AA7" s="66"/>
      <c r="AB7" s="66"/>
      <c r="AC7" s="66"/>
      <c r="AD7" s="66"/>
      <c r="AE7" s="66"/>
      <c r="AF7" s="66"/>
    </row>
    <row r="8" spans="1:32" ht="123.75" customHeight="1" x14ac:dyDescent="0.35">
      <c r="A8" s="5500" t="s">
        <v>442</v>
      </c>
      <c r="B8" s="5501"/>
      <c r="C8" s="5502"/>
      <c r="D8" s="5503"/>
      <c r="E8" s="5503"/>
      <c r="F8" s="5503"/>
      <c r="G8" s="5503"/>
      <c r="H8" s="5503"/>
      <c r="I8" s="5504"/>
      <c r="J8" s="5505"/>
      <c r="K8" s="5506"/>
      <c r="L8" s="5506"/>
      <c r="M8" s="5506"/>
      <c r="N8" s="5506"/>
      <c r="O8" s="5506"/>
      <c r="P8" s="5507"/>
      <c r="Q8" s="5522"/>
      <c r="R8" s="5509"/>
      <c r="S8" s="5509"/>
      <c r="T8" s="5510"/>
      <c r="U8" s="5511"/>
      <c r="V8" s="397"/>
      <c r="W8" s="66"/>
      <c r="X8" s="103"/>
      <c r="Y8" s="93"/>
      <c r="Z8" s="93"/>
      <c r="AA8" s="66"/>
      <c r="AB8" s="66"/>
      <c r="AC8" s="66"/>
      <c r="AD8" s="66"/>
      <c r="AE8" s="66"/>
      <c r="AF8" s="66"/>
    </row>
    <row r="9" spans="1:32" ht="103.5" customHeight="1" x14ac:dyDescent="0.35">
      <c r="A9" s="5500" t="s">
        <v>172</v>
      </c>
      <c r="B9" s="5501"/>
      <c r="C9" s="5502"/>
      <c r="D9" s="5503"/>
      <c r="E9" s="5503"/>
      <c r="F9" s="5503"/>
      <c r="G9" s="5503"/>
      <c r="H9" s="5503"/>
      <c r="I9" s="5504"/>
      <c r="J9" s="5505"/>
      <c r="K9" s="5506"/>
      <c r="L9" s="5506"/>
      <c r="M9" s="5506"/>
      <c r="N9" s="5506"/>
      <c r="O9" s="5506"/>
      <c r="P9" s="5507"/>
      <c r="Q9" s="5516"/>
      <c r="R9" s="5517"/>
      <c r="S9" s="5517"/>
      <c r="T9" s="5517"/>
      <c r="U9" s="5518"/>
      <c r="V9" s="397"/>
      <c r="W9" s="66"/>
      <c r="X9" s="103"/>
      <c r="Y9" s="93"/>
      <c r="Z9" s="93"/>
      <c r="AA9" s="66"/>
      <c r="AB9" s="66"/>
      <c r="AC9" s="66"/>
      <c r="AD9" s="66"/>
      <c r="AE9" s="66"/>
      <c r="AF9" s="66"/>
    </row>
    <row r="10" spans="1:32" ht="116.25" customHeight="1" x14ac:dyDescent="0.35">
      <c r="A10" s="5500" t="s">
        <v>1064</v>
      </c>
      <c r="B10" s="5501"/>
      <c r="C10" s="5502"/>
      <c r="D10" s="5503"/>
      <c r="E10" s="5503"/>
      <c r="F10" s="5503"/>
      <c r="G10" s="5503"/>
      <c r="H10" s="5503"/>
      <c r="I10" s="5504"/>
      <c r="J10" s="5505"/>
      <c r="K10" s="5506"/>
      <c r="L10" s="5506"/>
      <c r="M10" s="5506"/>
      <c r="N10" s="5506"/>
      <c r="O10" s="5506"/>
      <c r="P10" s="5507"/>
      <c r="Q10" s="5508"/>
      <c r="R10" s="5509"/>
      <c r="S10" s="5509"/>
      <c r="T10" s="5510"/>
      <c r="U10" s="5511"/>
      <c r="V10" s="397"/>
      <c r="W10" s="66"/>
      <c r="X10" s="103"/>
      <c r="Y10" s="93"/>
      <c r="Z10" s="93"/>
      <c r="AA10" s="66"/>
      <c r="AB10" s="66"/>
      <c r="AC10" s="66"/>
      <c r="AD10" s="66"/>
      <c r="AE10" s="66"/>
      <c r="AF10" s="66"/>
    </row>
    <row r="11" spans="1:32" s="65" customFormat="1" ht="33" customHeight="1" x14ac:dyDescent="0.35">
      <c r="A11" s="5500" t="s">
        <v>976</v>
      </c>
      <c r="B11" s="5501"/>
      <c r="C11" s="5502"/>
      <c r="D11" s="5503"/>
      <c r="E11" s="5503"/>
      <c r="F11" s="5503"/>
      <c r="G11" s="5503"/>
      <c r="H11" s="5503"/>
      <c r="I11" s="5504"/>
      <c r="J11" s="5505"/>
      <c r="K11" s="5506"/>
      <c r="L11" s="5506"/>
      <c r="M11" s="5506"/>
      <c r="N11" s="5506"/>
      <c r="O11" s="5506"/>
      <c r="P11" s="5507"/>
      <c r="Q11" s="5512"/>
      <c r="R11" s="5513"/>
      <c r="S11" s="5513"/>
      <c r="T11" s="5514"/>
      <c r="U11" s="5515"/>
      <c r="V11" s="403"/>
      <c r="W11" s="80"/>
      <c r="X11" s="104"/>
      <c r="Y11" s="105"/>
      <c r="Z11" s="105"/>
      <c r="AA11" s="80"/>
      <c r="AB11" s="80"/>
      <c r="AC11" s="80"/>
      <c r="AD11" s="80"/>
      <c r="AE11" s="80"/>
      <c r="AF11" s="80"/>
    </row>
    <row r="12" spans="1:32" ht="15.5" x14ac:dyDescent="0.35">
      <c r="A12" s="5500"/>
      <c r="B12" s="5501"/>
      <c r="C12" s="5502"/>
      <c r="D12" s="5503"/>
      <c r="E12" s="5503"/>
      <c r="F12" s="5503"/>
      <c r="G12" s="5503"/>
      <c r="H12" s="5503"/>
      <c r="I12" s="5504"/>
      <c r="J12" s="5505"/>
      <c r="K12" s="5506"/>
      <c r="L12" s="5506"/>
      <c r="M12" s="5506"/>
      <c r="N12" s="5506"/>
      <c r="O12" s="5506"/>
      <c r="P12" s="5507"/>
      <c r="Q12" s="5508"/>
      <c r="R12" s="5509"/>
      <c r="S12" s="5509"/>
      <c r="T12" s="5510"/>
      <c r="U12" s="5511"/>
      <c r="V12" s="397"/>
      <c r="W12" s="66"/>
      <c r="X12" s="103"/>
      <c r="Y12" s="93"/>
      <c r="Z12" s="93"/>
      <c r="AA12" s="66"/>
      <c r="AB12" s="66"/>
      <c r="AC12" s="66"/>
      <c r="AD12" s="66"/>
      <c r="AE12" s="66"/>
      <c r="AF12" s="66"/>
    </row>
    <row r="13" spans="1:32" ht="22.5" customHeight="1" x14ac:dyDescent="0.35">
      <c r="A13" s="5500" t="s">
        <v>1061</v>
      </c>
      <c r="B13" s="5501"/>
      <c r="C13" s="5502"/>
      <c r="D13" s="5503"/>
      <c r="E13" s="5503"/>
      <c r="F13" s="5503"/>
      <c r="G13" s="5503"/>
      <c r="H13" s="5503"/>
      <c r="I13" s="5504"/>
      <c r="J13" s="5505"/>
      <c r="K13" s="5506"/>
      <c r="L13" s="5506"/>
      <c r="M13" s="5506"/>
      <c r="N13" s="5506"/>
      <c r="O13" s="5506"/>
      <c r="P13" s="5507"/>
      <c r="Q13" s="5508"/>
      <c r="R13" s="5509"/>
      <c r="S13" s="5509"/>
      <c r="T13" s="5510"/>
      <c r="U13" s="5511"/>
      <c r="V13" s="397"/>
      <c r="W13" s="66"/>
      <c r="X13" s="103"/>
      <c r="Y13" s="93"/>
      <c r="Z13" s="93"/>
      <c r="AA13" s="66"/>
      <c r="AB13" s="66"/>
      <c r="AC13" s="66"/>
      <c r="AD13" s="66"/>
      <c r="AE13" s="66"/>
      <c r="AF13" s="66"/>
    </row>
    <row r="14" spans="1:32" ht="25.5" customHeight="1" x14ac:dyDescent="0.35">
      <c r="A14" s="5500" t="s">
        <v>1062</v>
      </c>
      <c r="B14" s="5501"/>
      <c r="C14" s="5502"/>
      <c r="D14" s="5503"/>
      <c r="E14" s="5503"/>
      <c r="F14" s="5503"/>
      <c r="G14" s="5503"/>
      <c r="H14" s="5503"/>
      <c r="I14" s="5504"/>
      <c r="J14" s="5505"/>
      <c r="K14" s="5506"/>
      <c r="L14" s="5506"/>
      <c r="M14" s="5506"/>
      <c r="N14" s="5506"/>
      <c r="O14" s="5506"/>
      <c r="P14" s="5507"/>
      <c r="Q14" s="5508"/>
      <c r="R14" s="5509"/>
      <c r="S14" s="5509"/>
      <c r="T14" s="5510"/>
      <c r="U14" s="5511"/>
      <c r="V14" s="397"/>
      <c r="W14" s="66"/>
      <c r="X14" s="103"/>
      <c r="Y14" s="93"/>
      <c r="Z14" s="93"/>
      <c r="AA14" s="66"/>
      <c r="AB14" s="66"/>
      <c r="AC14" s="66"/>
      <c r="AD14" s="66"/>
      <c r="AE14" s="66"/>
      <c r="AF14" s="66"/>
    </row>
    <row r="15" spans="1:32" ht="24" customHeight="1" x14ac:dyDescent="0.35">
      <c r="A15" s="5500" t="s">
        <v>1063</v>
      </c>
      <c r="B15" s="5501"/>
      <c r="C15" s="5502"/>
      <c r="D15" s="5503"/>
      <c r="E15" s="5503"/>
      <c r="F15" s="5503"/>
      <c r="G15" s="5503"/>
      <c r="H15" s="5503"/>
      <c r="I15" s="5504"/>
      <c r="J15" s="5505"/>
      <c r="K15" s="5506"/>
      <c r="L15" s="5506"/>
      <c r="M15" s="5506"/>
      <c r="N15" s="5506"/>
      <c r="O15" s="5506"/>
      <c r="P15" s="5507"/>
      <c r="Q15" s="5508"/>
      <c r="R15" s="5509"/>
      <c r="S15" s="5509"/>
      <c r="T15" s="5510"/>
      <c r="U15" s="5511"/>
      <c r="V15" s="397"/>
      <c r="W15" s="66"/>
      <c r="X15" s="103"/>
      <c r="Y15" s="93"/>
      <c r="Z15" s="93"/>
      <c r="AA15" s="66"/>
      <c r="AB15" s="66"/>
      <c r="AC15" s="66"/>
      <c r="AD15" s="66"/>
      <c r="AE15" s="66"/>
      <c r="AF15" s="66"/>
    </row>
    <row r="16" spans="1:32" s="373" customFormat="1" ht="33.75" customHeight="1" x14ac:dyDescent="0.35">
      <c r="A16" s="5500"/>
      <c r="B16" s="5501"/>
      <c r="C16" s="5502"/>
      <c r="D16" s="5503"/>
      <c r="E16" s="5503"/>
      <c r="F16" s="5503"/>
      <c r="G16" s="5503"/>
      <c r="H16" s="5503"/>
      <c r="I16" s="5504"/>
      <c r="J16" s="5505"/>
      <c r="K16" s="5506"/>
      <c r="L16" s="5506"/>
      <c r="M16" s="5506"/>
      <c r="N16" s="5506"/>
      <c r="O16" s="5506"/>
      <c r="P16" s="5507"/>
      <c r="Q16" s="5512"/>
      <c r="R16" s="5513"/>
      <c r="S16" s="5513"/>
      <c r="T16" s="5514"/>
      <c r="U16" s="5515"/>
      <c r="V16" s="407"/>
      <c r="W16" s="322"/>
      <c r="X16" s="323"/>
      <c r="Y16" s="323"/>
      <c r="Z16" s="323"/>
      <c r="AA16" s="322"/>
      <c r="AB16" s="322"/>
      <c r="AC16" s="322"/>
      <c r="AD16" s="322"/>
      <c r="AE16" s="322"/>
      <c r="AF16" s="322"/>
    </row>
    <row r="17" spans="1:32" ht="33.75" customHeight="1" x14ac:dyDescent="0.35">
      <c r="A17" s="5500"/>
      <c r="B17" s="5501"/>
      <c r="C17" s="5502"/>
      <c r="D17" s="5503"/>
      <c r="E17" s="5503"/>
      <c r="F17" s="5503"/>
      <c r="G17" s="5503"/>
      <c r="H17" s="5503"/>
      <c r="I17" s="5504"/>
      <c r="J17" s="5505"/>
      <c r="K17" s="5506"/>
      <c r="L17" s="5506"/>
      <c r="M17" s="5506"/>
      <c r="N17" s="5506"/>
      <c r="O17" s="5506"/>
      <c r="P17" s="5507"/>
      <c r="Q17" s="5508"/>
      <c r="R17" s="5509"/>
      <c r="S17" s="5509"/>
      <c r="T17" s="5510"/>
      <c r="U17" s="5511"/>
      <c r="V17" s="397"/>
      <c r="W17" s="66"/>
      <c r="X17" s="103"/>
      <c r="Y17" s="93"/>
      <c r="Z17" s="93"/>
      <c r="AA17" s="66"/>
      <c r="AB17" s="66"/>
      <c r="AC17" s="66"/>
      <c r="AD17" s="66"/>
      <c r="AE17" s="66"/>
      <c r="AF17" s="66"/>
    </row>
    <row r="18" spans="1:32" ht="31.5" customHeight="1" x14ac:dyDescent="0.35">
      <c r="A18" s="5500"/>
      <c r="B18" s="5501"/>
      <c r="C18" s="5502"/>
      <c r="D18" s="5503"/>
      <c r="E18" s="5503"/>
      <c r="F18" s="5503"/>
      <c r="G18" s="5503"/>
      <c r="H18" s="5503"/>
      <c r="I18" s="5504"/>
      <c r="J18" s="5505"/>
      <c r="K18" s="5506"/>
      <c r="L18" s="5506"/>
      <c r="M18" s="5506"/>
      <c r="N18" s="5506"/>
      <c r="O18" s="5506"/>
      <c r="P18" s="5507"/>
      <c r="Q18" s="5508"/>
      <c r="R18" s="5509"/>
      <c r="S18" s="5509"/>
      <c r="T18" s="5510"/>
      <c r="U18" s="5511"/>
      <c r="V18" s="397"/>
      <c r="W18" s="66"/>
      <c r="X18" s="103"/>
      <c r="Y18" s="93"/>
      <c r="Z18" s="93"/>
      <c r="AA18" s="66"/>
      <c r="AB18" s="66"/>
      <c r="AC18" s="66"/>
      <c r="AD18" s="66"/>
      <c r="AE18" s="66"/>
      <c r="AF18" s="66"/>
    </row>
    <row r="19" spans="1:32" ht="15.5" x14ac:dyDescent="0.35">
      <c r="A19" s="5500"/>
      <c r="B19" s="5501"/>
      <c r="C19" s="5502"/>
      <c r="D19" s="5503"/>
      <c r="E19" s="5503"/>
      <c r="F19" s="5503"/>
      <c r="G19" s="5503"/>
      <c r="H19" s="5503"/>
      <c r="I19" s="5504"/>
      <c r="J19" s="5505"/>
      <c r="K19" s="5506"/>
      <c r="L19" s="5506"/>
      <c r="M19" s="5506"/>
      <c r="N19" s="5506"/>
      <c r="O19" s="5506"/>
      <c r="P19" s="5507"/>
      <c r="Q19" s="5508"/>
      <c r="R19" s="5509"/>
      <c r="S19" s="5509"/>
      <c r="T19" s="5510"/>
      <c r="U19" s="5511"/>
      <c r="V19" s="397"/>
      <c r="W19" s="66"/>
      <c r="X19" s="103"/>
      <c r="Y19" s="93"/>
      <c r="Z19" s="93"/>
      <c r="AA19" s="66"/>
      <c r="AB19" s="66"/>
      <c r="AC19" s="66"/>
      <c r="AD19" s="66"/>
      <c r="AE19" s="66"/>
      <c r="AF19" s="66"/>
    </row>
    <row r="20" spans="1:32" ht="15.5" x14ac:dyDescent="0.35">
      <c r="A20" s="5500"/>
      <c r="B20" s="5501"/>
      <c r="C20" s="5502"/>
      <c r="D20" s="5503"/>
      <c r="E20" s="5503"/>
      <c r="F20" s="5503"/>
      <c r="G20" s="5503"/>
      <c r="H20" s="5503"/>
      <c r="I20" s="5504"/>
      <c r="J20" s="5505"/>
      <c r="K20" s="5506"/>
      <c r="L20" s="5506"/>
      <c r="M20" s="5506"/>
      <c r="N20" s="5506"/>
      <c r="O20" s="5506"/>
      <c r="P20" s="5507"/>
      <c r="Q20" s="5508"/>
      <c r="R20" s="5509"/>
      <c r="S20" s="5509"/>
      <c r="T20" s="5510"/>
      <c r="U20" s="5511"/>
      <c r="V20" s="397"/>
      <c r="W20" s="66"/>
      <c r="X20" s="103"/>
      <c r="Y20" s="93"/>
      <c r="Z20" s="93"/>
      <c r="AA20" s="66"/>
      <c r="AB20" s="66"/>
      <c r="AC20" s="66"/>
      <c r="AD20" s="66"/>
      <c r="AE20" s="66"/>
      <c r="AF20" s="66"/>
    </row>
    <row r="21" spans="1:32" ht="16" thickBot="1" x14ac:dyDescent="0.4">
      <c r="A21" s="5490"/>
      <c r="B21" s="5491"/>
      <c r="C21" s="5492"/>
      <c r="D21" s="5493"/>
      <c r="E21" s="5493"/>
      <c r="F21" s="5493"/>
      <c r="G21" s="5493"/>
      <c r="H21" s="5493"/>
      <c r="I21" s="5491"/>
      <c r="J21" s="5494"/>
      <c r="K21" s="5494"/>
      <c r="L21" s="5494"/>
      <c r="M21" s="5494"/>
      <c r="N21" s="5494"/>
      <c r="O21" s="5494"/>
      <c r="P21" s="5495"/>
      <c r="Q21" s="5496"/>
      <c r="R21" s="5497"/>
      <c r="S21" s="5497"/>
      <c r="T21" s="5498"/>
      <c r="U21" s="5499"/>
      <c r="V21" s="397"/>
      <c r="W21" s="66"/>
      <c r="X21" s="103"/>
      <c r="Y21" s="93"/>
      <c r="Z21" s="93"/>
      <c r="AA21" s="66"/>
      <c r="AB21" s="66"/>
      <c r="AC21" s="66"/>
      <c r="AD21" s="66"/>
      <c r="AE21" s="66"/>
      <c r="AF21" s="66"/>
    </row>
    <row r="22" spans="1:32" ht="15" thickTop="1" x14ac:dyDescent="0.35">
      <c r="A22" s="470"/>
      <c r="B22" s="470"/>
      <c r="C22" s="470"/>
      <c r="D22" s="470"/>
      <c r="E22" s="470"/>
      <c r="F22" s="470"/>
      <c r="G22" s="470"/>
      <c r="H22" s="470"/>
      <c r="I22" s="470"/>
      <c r="J22" s="470"/>
      <c r="K22" s="470"/>
      <c r="L22" s="470"/>
      <c r="M22" s="470"/>
      <c r="N22" s="470"/>
      <c r="O22" s="470"/>
      <c r="P22" s="470"/>
      <c r="Q22" s="463"/>
      <c r="R22" s="463"/>
      <c r="S22" s="64"/>
      <c r="T22" s="64"/>
      <c r="U22" s="64"/>
      <c r="V22" s="397"/>
      <c r="W22" s="66"/>
      <c r="X22" s="103"/>
      <c r="Y22" s="93"/>
      <c r="Z22" s="93"/>
      <c r="AA22" s="66"/>
      <c r="AB22" s="66"/>
      <c r="AC22" s="66"/>
      <c r="AD22" s="66"/>
      <c r="AE22" s="66"/>
      <c r="AF22" s="66"/>
    </row>
    <row r="23" spans="1:32" ht="15" thickBot="1" x14ac:dyDescent="0.4">
      <c r="A23" s="64"/>
      <c r="B23" s="64"/>
      <c r="C23" s="64"/>
      <c r="D23" s="64"/>
      <c r="E23" s="64"/>
      <c r="F23" s="64"/>
      <c r="G23" s="64"/>
      <c r="H23" s="64"/>
      <c r="I23" s="64"/>
      <c r="J23" s="64"/>
      <c r="K23" s="64"/>
      <c r="L23" s="64"/>
      <c r="M23" s="64"/>
      <c r="N23" s="64"/>
      <c r="O23" s="64"/>
      <c r="P23" s="64"/>
      <c r="Q23" s="64"/>
      <c r="R23" s="64"/>
      <c r="S23" s="64"/>
      <c r="T23" s="64"/>
      <c r="U23" s="64"/>
      <c r="V23" s="64"/>
    </row>
    <row r="24" spans="1:32" ht="19.5" thickTop="1" thickBot="1" x14ac:dyDescent="0.4">
      <c r="A24" s="3883" t="s">
        <v>10</v>
      </c>
      <c r="B24" s="3884"/>
      <c r="C24" s="3884"/>
      <c r="D24" s="3884"/>
      <c r="E24" s="3884"/>
      <c r="F24" s="3884"/>
      <c r="G24" s="3884"/>
      <c r="H24" s="3884"/>
      <c r="I24" s="3884"/>
      <c r="J24" s="3884"/>
      <c r="K24" s="3884"/>
      <c r="L24" s="30"/>
      <c r="M24" s="3725" t="s">
        <v>748</v>
      </c>
      <c r="N24" s="3726"/>
      <c r="O24" s="3727"/>
      <c r="P24" s="31"/>
      <c r="Q24" s="64"/>
      <c r="R24" s="64"/>
      <c r="S24" s="64"/>
      <c r="T24" s="64"/>
      <c r="U24" s="64"/>
      <c r="V24" s="64"/>
    </row>
    <row r="25" spans="1:32" ht="19.5" customHeight="1" x14ac:dyDescent="0.35">
      <c r="A25" s="3876" t="s">
        <v>1083</v>
      </c>
      <c r="B25" s="3877"/>
      <c r="C25" s="3877"/>
      <c r="D25" s="3877"/>
      <c r="E25" s="3877"/>
      <c r="F25" s="3877"/>
      <c r="G25" s="3877"/>
      <c r="H25" s="3877"/>
      <c r="I25" s="3877"/>
      <c r="J25" s="3877"/>
      <c r="K25" s="5398"/>
      <c r="L25" s="33"/>
      <c r="M25" s="3750" t="s">
        <v>756</v>
      </c>
      <c r="N25" s="3751"/>
      <c r="O25" s="3752"/>
      <c r="P25" s="33"/>
      <c r="Q25" s="64"/>
      <c r="R25" s="64"/>
      <c r="S25" s="64"/>
      <c r="T25" s="64"/>
      <c r="U25" s="64"/>
      <c r="V25" s="64"/>
    </row>
    <row r="26" spans="1:32" ht="19.5" customHeight="1" x14ac:dyDescent="0.35">
      <c r="A26" s="3878"/>
      <c r="B26" s="3879"/>
      <c r="C26" s="3879"/>
      <c r="D26" s="3879"/>
      <c r="E26" s="3879"/>
      <c r="F26" s="3879"/>
      <c r="G26" s="3879"/>
      <c r="H26" s="3879"/>
      <c r="I26" s="3879"/>
      <c r="J26" s="3879"/>
      <c r="K26" s="5399"/>
      <c r="L26" s="33"/>
      <c r="M26" s="3753"/>
      <c r="N26" s="3754"/>
      <c r="O26" s="3755"/>
      <c r="P26" s="33"/>
      <c r="Q26" s="64"/>
      <c r="R26" s="64"/>
      <c r="S26" s="64"/>
      <c r="T26" s="64"/>
      <c r="U26" s="64"/>
      <c r="V26" s="64"/>
    </row>
    <row r="27" spans="1:32" ht="19.5" customHeight="1" x14ac:dyDescent="0.35">
      <c r="A27" s="3878"/>
      <c r="B27" s="3879"/>
      <c r="C27" s="3879"/>
      <c r="D27" s="3879"/>
      <c r="E27" s="3879"/>
      <c r="F27" s="3879"/>
      <c r="G27" s="3879"/>
      <c r="H27" s="3879"/>
      <c r="I27" s="3879"/>
      <c r="J27" s="3879"/>
      <c r="K27" s="5399"/>
      <c r="L27" s="33"/>
      <c r="M27" s="3753"/>
      <c r="N27" s="3754"/>
      <c r="O27" s="3755"/>
      <c r="P27" s="33"/>
      <c r="Q27" s="64"/>
      <c r="R27" s="64"/>
      <c r="S27" s="64"/>
      <c r="T27" s="64"/>
      <c r="U27" s="64"/>
      <c r="V27" s="64"/>
    </row>
    <row r="28" spans="1:32" ht="19.5" customHeight="1" x14ac:dyDescent="0.35">
      <c r="A28" s="3878"/>
      <c r="B28" s="3879"/>
      <c r="C28" s="3879"/>
      <c r="D28" s="3879"/>
      <c r="E28" s="3879"/>
      <c r="F28" s="3879"/>
      <c r="G28" s="3879"/>
      <c r="H28" s="3879"/>
      <c r="I28" s="3879"/>
      <c r="J28" s="3879"/>
      <c r="K28" s="5399"/>
      <c r="L28" s="33"/>
      <c r="M28" s="3753"/>
      <c r="N28" s="3754"/>
      <c r="O28" s="3755"/>
      <c r="P28" s="33"/>
      <c r="Q28" s="64"/>
      <c r="R28" s="64"/>
      <c r="S28" s="64"/>
      <c r="T28" s="64"/>
      <c r="U28" s="64"/>
      <c r="V28" s="64"/>
    </row>
    <row r="29" spans="1:32" ht="15" customHeight="1" thickBot="1" x14ac:dyDescent="0.4">
      <c r="A29" s="3878"/>
      <c r="B29" s="3879"/>
      <c r="C29" s="3879"/>
      <c r="D29" s="3879"/>
      <c r="E29" s="3879"/>
      <c r="F29" s="3879"/>
      <c r="G29" s="3879"/>
      <c r="H29" s="3879"/>
      <c r="I29" s="3879"/>
      <c r="J29" s="3879"/>
      <c r="K29" s="5399"/>
      <c r="L29" s="64"/>
      <c r="M29" s="5334"/>
      <c r="N29" s="5468"/>
      <c r="O29" s="5469"/>
      <c r="P29" s="64"/>
      <c r="Q29" s="64"/>
      <c r="R29" s="64"/>
      <c r="S29" s="64"/>
      <c r="T29" s="64"/>
      <c r="U29" s="64"/>
      <c r="V29" s="64"/>
    </row>
    <row r="30" spans="1:32" x14ac:dyDescent="0.35">
      <c r="A30" s="3878"/>
      <c r="B30" s="3879"/>
      <c r="C30" s="3879"/>
      <c r="D30" s="3879"/>
      <c r="E30" s="3879"/>
      <c r="F30" s="3879"/>
      <c r="G30" s="3879"/>
      <c r="H30" s="3879"/>
      <c r="I30" s="3879"/>
      <c r="J30" s="3879"/>
      <c r="K30" s="5399"/>
      <c r="L30" s="31"/>
      <c r="M30" s="64"/>
      <c r="N30" s="64"/>
      <c r="O30" s="64"/>
      <c r="P30" s="31"/>
      <c r="Q30" s="64"/>
      <c r="R30" s="64"/>
      <c r="S30" s="64"/>
      <c r="T30" s="64"/>
      <c r="U30" s="64"/>
      <c r="V30" s="64"/>
    </row>
    <row r="31" spans="1:32" ht="19.5" customHeight="1" x14ac:dyDescent="0.35">
      <c r="A31" s="3878"/>
      <c r="B31" s="3879"/>
      <c r="C31" s="3879"/>
      <c r="D31" s="3879"/>
      <c r="E31" s="3879"/>
      <c r="F31" s="3879"/>
      <c r="G31" s="3879"/>
      <c r="H31" s="3879"/>
      <c r="I31" s="3879"/>
      <c r="J31" s="3879"/>
      <c r="K31" s="5399"/>
      <c r="L31" s="31"/>
      <c r="M31" s="64"/>
      <c r="N31" s="64"/>
      <c r="O31" s="64"/>
      <c r="P31" s="31"/>
      <c r="Q31" s="64"/>
      <c r="R31" s="64"/>
      <c r="S31" s="64"/>
      <c r="T31" s="64"/>
      <c r="U31" s="64"/>
      <c r="V31" s="64"/>
    </row>
    <row r="32" spans="1:32" ht="19.5" customHeight="1" thickBot="1" x14ac:dyDescent="0.4">
      <c r="A32" s="3880"/>
      <c r="B32" s="3881"/>
      <c r="C32" s="3881"/>
      <c r="D32" s="3881"/>
      <c r="E32" s="3881"/>
      <c r="F32" s="3881"/>
      <c r="G32" s="3881"/>
      <c r="H32" s="3881"/>
      <c r="I32" s="3881"/>
      <c r="J32" s="3881"/>
      <c r="K32" s="5400"/>
      <c r="L32" s="31"/>
      <c r="M32" s="64"/>
      <c r="N32" s="64"/>
      <c r="O32" s="64"/>
      <c r="P32" s="31"/>
      <c r="Q32" s="64"/>
      <c r="R32" s="64"/>
      <c r="S32" s="64"/>
      <c r="T32" s="64"/>
      <c r="U32" s="64"/>
      <c r="V32" s="64"/>
    </row>
    <row r="33" spans="1:22" ht="19.5" customHeight="1" thickTop="1" thickBot="1" x14ac:dyDescent="0.4">
      <c r="A33" s="64"/>
      <c r="B33" s="64"/>
      <c r="C33" s="64"/>
      <c r="D33" s="64"/>
      <c r="E33" s="64"/>
      <c r="F33" s="64"/>
      <c r="G33" s="64"/>
      <c r="H33" s="64"/>
      <c r="I33" s="64"/>
      <c r="J33" s="64"/>
      <c r="K33" s="757"/>
      <c r="L33" s="31"/>
      <c r="M33" s="64"/>
      <c r="N33" s="64"/>
      <c r="O33" s="64"/>
      <c r="P33" s="31"/>
      <c r="Q33" s="64"/>
      <c r="R33" s="64"/>
      <c r="S33" s="64"/>
      <c r="T33" s="64"/>
      <c r="U33" s="64"/>
      <c r="V33" s="64"/>
    </row>
    <row r="34" spans="1:22" ht="19.5" customHeight="1" thickTop="1" thickBot="1" x14ac:dyDescent="0.4">
      <c r="A34" s="3883" t="s">
        <v>11</v>
      </c>
      <c r="B34" s="5470"/>
      <c r="C34" s="5470"/>
      <c r="D34" s="5470"/>
      <c r="E34" s="5470"/>
      <c r="F34" s="5470"/>
      <c r="G34" s="5470"/>
      <c r="H34" s="5470"/>
      <c r="I34" s="5470"/>
      <c r="J34" s="5470"/>
      <c r="K34" s="5471"/>
      <c r="L34" s="31"/>
      <c r="M34" s="3725" t="s">
        <v>748</v>
      </c>
      <c r="N34" s="3726"/>
      <c r="O34" s="3727"/>
      <c r="P34" s="31"/>
      <c r="Q34" s="64"/>
      <c r="R34" s="64"/>
      <c r="S34" s="64"/>
      <c r="T34" s="64"/>
      <c r="U34" s="64"/>
      <c r="V34" s="64"/>
    </row>
    <row r="35" spans="1:22" ht="18.75" customHeight="1" x14ac:dyDescent="0.35">
      <c r="A35" s="3876" t="s">
        <v>1082</v>
      </c>
      <c r="B35" s="3877"/>
      <c r="C35" s="3877"/>
      <c r="D35" s="3877"/>
      <c r="E35" s="3877"/>
      <c r="F35" s="3877"/>
      <c r="G35" s="3877"/>
      <c r="H35" s="3877"/>
      <c r="I35" s="3877"/>
      <c r="J35" s="3877"/>
      <c r="K35" s="5398"/>
      <c r="L35" s="64"/>
      <c r="M35" s="3750" t="s">
        <v>754</v>
      </c>
      <c r="N35" s="3751"/>
      <c r="O35" s="3752"/>
      <c r="P35" s="64"/>
      <c r="Q35" s="64"/>
      <c r="R35" s="64"/>
      <c r="S35" s="64"/>
      <c r="T35" s="64"/>
      <c r="U35" s="64"/>
      <c r="V35" s="64"/>
    </row>
    <row r="36" spans="1:22" x14ac:dyDescent="0.35">
      <c r="A36" s="3878"/>
      <c r="B36" s="3879"/>
      <c r="C36" s="3879"/>
      <c r="D36" s="3879"/>
      <c r="E36" s="3879"/>
      <c r="F36" s="3879"/>
      <c r="G36" s="3879"/>
      <c r="H36" s="3879"/>
      <c r="I36" s="3879"/>
      <c r="J36" s="3879"/>
      <c r="K36" s="5399"/>
      <c r="L36" s="64"/>
      <c r="M36" s="3753"/>
      <c r="N36" s="3754"/>
      <c r="O36" s="3755"/>
      <c r="P36" s="64"/>
      <c r="Q36" s="64"/>
      <c r="R36" s="64"/>
      <c r="S36" s="64"/>
      <c r="T36" s="64"/>
      <c r="U36" s="64"/>
      <c r="V36" s="64"/>
    </row>
    <row r="37" spans="1:22" ht="15" customHeight="1" x14ac:dyDescent="0.35">
      <c r="A37" s="3878"/>
      <c r="B37" s="3879"/>
      <c r="C37" s="3879"/>
      <c r="D37" s="3879"/>
      <c r="E37" s="3879"/>
      <c r="F37" s="3879"/>
      <c r="G37" s="3879"/>
      <c r="H37" s="3879"/>
      <c r="I37" s="3879"/>
      <c r="J37" s="3879"/>
      <c r="K37" s="5399"/>
      <c r="L37" s="64"/>
      <c r="M37" s="3753"/>
      <c r="N37" s="3754"/>
      <c r="O37" s="3755"/>
      <c r="P37" s="64"/>
      <c r="Q37" s="64"/>
      <c r="R37" s="64"/>
      <c r="S37" s="64"/>
      <c r="T37" s="64"/>
      <c r="U37" s="64"/>
      <c r="V37" s="64"/>
    </row>
    <row r="38" spans="1:22" x14ac:dyDescent="0.35">
      <c r="A38" s="3878"/>
      <c r="B38" s="3879"/>
      <c r="C38" s="3879"/>
      <c r="D38" s="3879"/>
      <c r="E38" s="3879"/>
      <c r="F38" s="3879"/>
      <c r="G38" s="3879"/>
      <c r="H38" s="3879"/>
      <c r="I38" s="3879"/>
      <c r="J38" s="3879"/>
      <c r="K38" s="5399"/>
      <c r="L38" s="64"/>
      <c r="M38" s="3753"/>
      <c r="N38" s="3754"/>
      <c r="O38" s="3755"/>
      <c r="P38" s="64"/>
      <c r="Q38" s="64"/>
      <c r="R38" s="64"/>
      <c r="S38" s="64"/>
      <c r="T38" s="64"/>
      <c r="U38" s="64"/>
      <c r="V38" s="64"/>
    </row>
    <row r="39" spans="1:22" ht="15" customHeight="1" x14ac:dyDescent="0.35">
      <c r="A39" s="3878"/>
      <c r="B39" s="3879"/>
      <c r="C39" s="3879"/>
      <c r="D39" s="3879"/>
      <c r="E39" s="3879"/>
      <c r="F39" s="3879"/>
      <c r="G39" s="3879"/>
      <c r="H39" s="3879"/>
      <c r="I39" s="3879"/>
      <c r="J39" s="3879"/>
      <c r="K39" s="5399"/>
      <c r="L39" s="64"/>
      <c r="M39" s="3753"/>
      <c r="N39" s="3754"/>
      <c r="O39" s="3755"/>
      <c r="P39" s="64"/>
      <c r="Q39" s="64"/>
      <c r="R39" s="64"/>
      <c r="S39" s="64"/>
      <c r="T39" s="64"/>
      <c r="U39" s="64"/>
      <c r="V39" s="64"/>
    </row>
    <row r="40" spans="1:22" x14ac:dyDescent="0.35">
      <c r="A40" s="3878"/>
      <c r="B40" s="3879"/>
      <c r="C40" s="3879"/>
      <c r="D40" s="3879"/>
      <c r="E40" s="3879"/>
      <c r="F40" s="3879"/>
      <c r="G40" s="3879"/>
      <c r="H40" s="3879"/>
      <c r="I40" s="3879"/>
      <c r="J40" s="3879"/>
      <c r="K40" s="5399"/>
      <c r="L40" s="64"/>
      <c r="M40" s="3753"/>
      <c r="N40" s="3754"/>
      <c r="O40" s="3755"/>
      <c r="P40" s="64"/>
      <c r="Q40" s="64"/>
      <c r="R40" s="64"/>
      <c r="S40" s="64"/>
      <c r="T40" s="64"/>
      <c r="U40" s="64"/>
      <c r="V40" s="64"/>
    </row>
    <row r="41" spans="1:22" ht="15" thickBot="1" x14ac:dyDescent="0.4">
      <c r="A41" s="3878"/>
      <c r="B41" s="3879"/>
      <c r="C41" s="3879"/>
      <c r="D41" s="3879"/>
      <c r="E41" s="3879"/>
      <c r="F41" s="3879"/>
      <c r="G41" s="3879"/>
      <c r="H41" s="3879"/>
      <c r="I41" s="3879"/>
      <c r="J41" s="3879"/>
      <c r="K41" s="5399"/>
      <c r="L41" s="64"/>
      <c r="M41" s="5334"/>
      <c r="N41" s="5468"/>
      <c r="O41" s="5469"/>
      <c r="P41" s="64"/>
      <c r="Q41" s="64"/>
      <c r="R41" s="64"/>
      <c r="S41" s="64"/>
      <c r="T41" s="64"/>
      <c r="U41" s="64"/>
      <c r="V41" s="64"/>
    </row>
    <row r="42" spans="1:22" ht="15" thickBot="1" x14ac:dyDescent="0.4">
      <c r="A42" s="3880"/>
      <c r="B42" s="3881"/>
      <c r="C42" s="3881"/>
      <c r="D42" s="3881"/>
      <c r="E42" s="3881"/>
      <c r="F42" s="3881"/>
      <c r="G42" s="3881"/>
      <c r="H42" s="3881"/>
      <c r="I42" s="3881"/>
      <c r="J42" s="3881"/>
      <c r="K42" s="5400"/>
      <c r="L42" s="64"/>
      <c r="M42" s="64"/>
      <c r="N42" s="64"/>
      <c r="O42" s="64"/>
      <c r="P42" s="64"/>
      <c r="Q42" s="64"/>
      <c r="R42" s="64"/>
      <c r="S42" s="64"/>
      <c r="T42" s="64"/>
      <c r="U42" s="64"/>
      <c r="V42" s="64"/>
    </row>
    <row r="43" spans="1:22" ht="15" thickTop="1" x14ac:dyDescent="0.35">
      <c r="A43" s="64"/>
      <c r="B43" s="64"/>
      <c r="C43" s="64"/>
      <c r="D43" s="64"/>
      <c r="E43" s="64"/>
      <c r="F43" s="64"/>
      <c r="G43" s="64"/>
      <c r="H43" s="64"/>
      <c r="I43" s="64"/>
      <c r="J43" s="64"/>
      <c r="K43" s="64"/>
      <c r="L43" s="64"/>
      <c r="M43" s="64"/>
      <c r="N43" s="64"/>
      <c r="O43" s="64"/>
      <c r="P43" s="64"/>
      <c r="Q43" s="64"/>
      <c r="R43" s="64"/>
      <c r="S43" s="64"/>
      <c r="T43" s="64"/>
      <c r="U43" s="64"/>
      <c r="V43" s="64"/>
    </row>
  </sheetData>
  <mergeCells count="80">
    <mergeCell ref="D3:G3"/>
    <mergeCell ref="D1:G1"/>
    <mergeCell ref="I1:J1"/>
    <mergeCell ref="L1:M1"/>
    <mergeCell ref="D2:G2"/>
    <mergeCell ref="I2:J2"/>
    <mergeCell ref="L2:M2"/>
    <mergeCell ref="A4:G4"/>
    <mergeCell ref="H4:P4"/>
    <mergeCell ref="A5:B5"/>
    <mergeCell ref="C5:P5"/>
    <mergeCell ref="A6:B6"/>
    <mergeCell ref="C6:I6"/>
    <mergeCell ref="J6:P6"/>
    <mergeCell ref="Q6:U6"/>
    <mergeCell ref="A7:U7"/>
    <mergeCell ref="A8:B8"/>
    <mergeCell ref="C8:I8"/>
    <mergeCell ref="J8:P8"/>
    <mergeCell ref="Q8:U8"/>
    <mergeCell ref="A9:B9"/>
    <mergeCell ref="C9:I9"/>
    <mergeCell ref="J9:P9"/>
    <mergeCell ref="Q9:U9"/>
    <mergeCell ref="A10:B10"/>
    <mergeCell ref="C10:I10"/>
    <mergeCell ref="J10:P10"/>
    <mergeCell ref="Q10:U10"/>
    <mergeCell ref="A11:B11"/>
    <mergeCell ref="C11:I11"/>
    <mergeCell ref="J11:P11"/>
    <mergeCell ref="Q11:U11"/>
    <mergeCell ref="A12:B12"/>
    <mergeCell ref="C12:I12"/>
    <mergeCell ref="J12:P12"/>
    <mergeCell ref="Q12:U12"/>
    <mergeCell ref="A13:B13"/>
    <mergeCell ref="C13:I13"/>
    <mergeCell ref="J13:P13"/>
    <mergeCell ref="Q13:U13"/>
    <mergeCell ref="A14:B14"/>
    <mergeCell ref="C14:I14"/>
    <mergeCell ref="J14:P14"/>
    <mergeCell ref="Q14:U14"/>
    <mergeCell ref="A15:B15"/>
    <mergeCell ref="C15:I15"/>
    <mergeCell ref="J15:P15"/>
    <mergeCell ref="Q15:U15"/>
    <mergeCell ref="A16:B16"/>
    <mergeCell ref="C16:I16"/>
    <mergeCell ref="J16:P16"/>
    <mergeCell ref="Q16:U16"/>
    <mergeCell ref="A17:B17"/>
    <mergeCell ref="C17:I17"/>
    <mergeCell ref="J17:P17"/>
    <mergeCell ref="Q17:U17"/>
    <mergeCell ref="A18:B18"/>
    <mergeCell ref="C18:I18"/>
    <mergeCell ref="J18:P18"/>
    <mergeCell ref="Q18:U18"/>
    <mergeCell ref="A19:B19"/>
    <mergeCell ref="C19:I19"/>
    <mergeCell ref="J19:P19"/>
    <mergeCell ref="Q19:U19"/>
    <mergeCell ref="A20:B20"/>
    <mergeCell ref="C20:I20"/>
    <mergeCell ref="J20:P20"/>
    <mergeCell ref="Q20:U20"/>
    <mergeCell ref="A21:B21"/>
    <mergeCell ref="C21:I21"/>
    <mergeCell ref="J21:P21"/>
    <mergeCell ref="Q21:U21"/>
    <mergeCell ref="A24:K24"/>
    <mergeCell ref="M24:O24"/>
    <mergeCell ref="A25:K32"/>
    <mergeCell ref="M25:O29"/>
    <mergeCell ref="A34:K34"/>
    <mergeCell ref="M34:O34"/>
    <mergeCell ref="A35:K42"/>
    <mergeCell ref="M35:O4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900-000000000000}">
      <formula1>AvancementTheme</formula1>
    </dataValidation>
  </dataValidations>
  <hyperlinks>
    <hyperlink ref="O1" location="DPDV_03CR3" display="PdV" xr:uid="{00000000-0004-0000-4900-000000000000}"/>
    <hyperlink ref="P1" location="DKPI_03CR3" display="KPI's" xr:uid="{00000000-0004-0000-4900-000001000000}"/>
  </hyperlink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euil65">
    <tabColor rgb="FFFFC000"/>
    <pageSetUpPr fitToPage="1"/>
  </sheetPr>
  <dimension ref="A1:Z70"/>
  <sheetViews>
    <sheetView showGridLines="0" showRowColHeaders="0" zoomScaleNormal="100" workbookViewId="0">
      <selection activeCell="E7" sqref="E7:H7"/>
    </sheetView>
  </sheetViews>
  <sheetFormatPr baseColWidth="10" defaultColWidth="11.453125" defaultRowHeight="14.5" x14ac:dyDescent="0.35"/>
  <cols>
    <col min="1" max="3" width="11.453125" style="60"/>
    <col min="4" max="4" width="11.453125" style="60" customWidth="1"/>
    <col min="5" max="11" width="11.453125" style="60"/>
    <col min="12" max="12" width="12.81640625" style="60" customWidth="1"/>
    <col min="13" max="13" width="11.453125" style="60" customWidth="1"/>
    <col min="14" max="14" width="11.453125" style="60"/>
    <col min="15" max="15" width="11.453125" style="60" customWidth="1"/>
    <col min="16" max="16384" width="11.453125" style="60"/>
  </cols>
  <sheetData>
    <row r="1" spans="1:25" s="54" customFormat="1" ht="15" customHeight="1" x14ac:dyDescent="0.35">
      <c r="A1" s="2268"/>
      <c r="B1" s="2268"/>
      <c r="C1" s="2268"/>
      <c r="D1" s="3341" t="s">
        <v>5</v>
      </c>
      <c r="E1" s="3341"/>
      <c r="F1" s="3341"/>
      <c r="G1" s="3341"/>
      <c r="H1" s="391"/>
      <c r="I1" s="3341" t="s">
        <v>6</v>
      </c>
      <c r="J1" s="3341"/>
      <c r="K1" s="2268"/>
      <c r="L1" s="3341" t="s">
        <v>9</v>
      </c>
      <c r="M1" s="3341"/>
      <c r="N1" s="2268"/>
      <c r="O1" s="479" t="s">
        <v>2</v>
      </c>
      <c r="P1" s="479" t="s">
        <v>3</v>
      </c>
      <c r="Q1" s="458"/>
    </row>
    <row r="2" spans="1:25" s="58" customFormat="1" ht="18" customHeight="1" x14ac:dyDescent="0.35">
      <c r="A2" s="393"/>
      <c r="B2" s="393"/>
      <c r="C2" s="393"/>
      <c r="D2" s="3342" t="str">
        <f>NomClient</f>
        <v xml:space="preserve">EQUINIX </v>
      </c>
      <c r="E2" s="3343"/>
      <c r="F2" s="3343"/>
      <c r="G2" s="3344"/>
      <c r="H2" s="393"/>
      <c r="I2" s="3345" t="s">
        <v>406</v>
      </c>
      <c r="J2" s="3346"/>
      <c r="K2" s="393"/>
      <c r="L2" s="3347">
        <v>42420.663159722222</v>
      </c>
      <c r="M2" s="3348"/>
      <c r="N2" s="394"/>
      <c r="O2" s="451">
        <f>IF(LEN(DPDV_03CP3)&gt;0,LEN(DPDV_03CP3),0-PDV_NBmini)</f>
        <v>98</v>
      </c>
      <c r="P2" s="451">
        <f>IF(LEN(DKPI_03CP3)&gt;0,LEN(DKPI_03CP3),0-KPI_NBmini)</f>
        <v>105</v>
      </c>
      <c r="Q2" s="459"/>
    </row>
    <row r="3" spans="1:25"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5" s="1" customFormat="1" ht="24.75" customHeight="1" thickBot="1" x14ac:dyDescent="0.4">
      <c r="A4" s="3507" t="str">
        <f>Parametre!B25 &amp; "  : "</f>
        <v xml:space="preserve">Positionnement de l'offre  : </v>
      </c>
      <c r="B4" s="3507"/>
      <c r="C4" s="3507"/>
      <c r="D4" s="3507"/>
      <c r="E4" s="3507"/>
      <c r="F4" s="3507"/>
      <c r="G4" s="3507"/>
      <c r="H4" s="3505" t="str">
        <f xml:space="preserve"> "Concurence pour " &amp; NomProd3</f>
        <v xml:space="preserve">Concurence pour </v>
      </c>
      <c r="I4" s="3505"/>
      <c r="J4" s="3505"/>
      <c r="K4" s="3505"/>
      <c r="L4" s="3505"/>
      <c r="M4" s="3505"/>
      <c r="N4" s="3505"/>
      <c r="O4" s="3505"/>
      <c r="P4" s="3506"/>
      <c r="Q4" s="444"/>
    </row>
    <row r="5" spans="1:25" s="193" customFormat="1" ht="24" customHeight="1" x14ac:dyDescent="0.35">
      <c r="A5" s="3438" t="s">
        <v>14</v>
      </c>
      <c r="B5" s="3438"/>
      <c r="C5" s="3439" t="s">
        <v>563</v>
      </c>
      <c r="D5" s="3439"/>
      <c r="E5" s="3439"/>
      <c r="F5" s="3439"/>
      <c r="G5" s="3439"/>
      <c r="H5" s="3439"/>
      <c r="I5" s="3439"/>
      <c r="J5" s="3439"/>
      <c r="K5" s="3439"/>
      <c r="L5" s="3439"/>
      <c r="M5" s="3439"/>
      <c r="N5" s="3439"/>
      <c r="O5" s="3439"/>
      <c r="P5" s="3439"/>
      <c r="Q5" s="460"/>
    </row>
    <row r="6" spans="1:25" ht="1.5" customHeight="1" thickBot="1" x14ac:dyDescent="0.4">
      <c r="A6" s="3697" t="s">
        <v>20</v>
      </c>
      <c r="B6" s="3697"/>
      <c r="C6" s="3508"/>
      <c r="D6" s="3508"/>
      <c r="E6" s="3508"/>
      <c r="F6" s="3508"/>
      <c r="G6" s="3508"/>
      <c r="H6" s="3508"/>
      <c r="I6" s="3508"/>
      <c r="J6" s="3508"/>
      <c r="K6" s="3508"/>
      <c r="L6" s="3508"/>
      <c r="M6" s="3508"/>
      <c r="N6" s="3508"/>
      <c r="O6" s="3508"/>
      <c r="P6" s="3508"/>
      <c r="Q6" s="64"/>
    </row>
    <row r="7" spans="1:25" s="106" customFormat="1" ht="39.75" customHeight="1" thickTop="1" x14ac:dyDescent="0.35">
      <c r="A7" s="3868" t="str">
        <f xml:space="preserve"> "Compétiteurs " &amp; AnReference</f>
        <v>Compétiteurs 2018</v>
      </c>
      <c r="B7" s="3869"/>
      <c r="C7" s="3869"/>
      <c r="D7" s="3869"/>
      <c r="E7" s="3865" t="s">
        <v>325</v>
      </c>
      <c r="F7" s="3865"/>
      <c r="G7" s="3865"/>
      <c r="H7" s="3865"/>
      <c r="I7" s="3865" t="s">
        <v>326</v>
      </c>
      <c r="J7" s="3865"/>
      <c r="K7" s="3865"/>
      <c r="L7" s="3865"/>
      <c r="M7" s="3865" t="str">
        <f xml:space="preserve"> "Points Forts &amp; Singularités 
Offre " &amp; NomProd1</f>
        <v>Points Forts &amp; Singularités 
Offre EQUINIX</v>
      </c>
      <c r="N7" s="3865"/>
      <c r="O7" s="3865"/>
      <c r="P7" s="3866"/>
      <c r="Q7" s="758"/>
      <c r="W7" s="107"/>
      <c r="X7" s="107"/>
      <c r="Y7" s="107"/>
    </row>
    <row r="8" spans="1:25" s="66" customFormat="1" ht="8.25" customHeight="1" x14ac:dyDescent="0.35">
      <c r="A8" s="3853"/>
      <c r="B8" s="3854"/>
      <c r="C8" s="3854"/>
      <c r="D8" s="3854"/>
      <c r="E8" s="3854"/>
      <c r="F8" s="3854"/>
      <c r="G8" s="3854"/>
      <c r="H8" s="3854"/>
      <c r="I8" s="3854"/>
      <c r="J8" s="3854"/>
      <c r="K8" s="3854"/>
      <c r="L8" s="3854"/>
      <c r="M8" s="3854"/>
      <c r="N8" s="3854"/>
      <c r="O8" s="3854"/>
      <c r="P8" s="3855"/>
      <c r="Q8" s="397"/>
      <c r="W8" s="103"/>
      <c r="X8" s="103"/>
      <c r="Y8" s="103"/>
    </row>
    <row r="9" spans="1:25" ht="74.25" customHeight="1" x14ac:dyDescent="0.35">
      <c r="A9" s="5530"/>
      <c r="B9" s="3867"/>
      <c r="C9" s="3867"/>
      <c r="D9" s="3867"/>
      <c r="E9" s="3887"/>
      <c r="F9" s="3887"/>
      <c r="G9" s="3887"/>
      <c r="H9" s="3887"/>
      <c r="I9" s="3856"/>
      <c r="J9" s="3856"/>
      <c r="K9" s="3856"/>
      <c r="L9" s="3856"/>
      <c r="M9" s="3856"/>
      <c r="N9" s="3856"/>
      <c r="O9" s="3856"/>
      <c r="P9" s="3857"/>
      <c r="Q9" s="64"/>
      <c r="W9" s="101"/>
      <c r="X9" s="101"/>
      <c r="Y9" s="101"/>
    </row>
    <row r="10" spans="1:25" ht="8.25" customHeight="1" x14ac:dyDescent="0.35">
      <c r="A10" s="3853"/>
      <c r="B10" s="3854"/>
      <c r="C10" s="3854"/>
      <c r="D10" s="3854"/>
      <c r="E10" s="3854"/>
      <c r="F10" s="3854"/>
      <c r="G10" s="3854"/>
      <c r="H10" s="3854"/>
      <c r="I10" s="3854"/>
      <c r="J10" s="3854"/>
      <c r="K10" s="3854"/>
      <c r="L10" s="3854"/>
      <c r="M10" s="3854"/>
      <c r="N10" s="3854"/>
      <c r="O10" s="3854"/>
      <c r="P10" s="3855"/>
      <c r="Q10" s="64"/>
      <c r="W10" s="101"/>
      <c r="X10" s="101"/>
      <c r="Y10" s="101"/>
    </row>
    <row r="11" spans="1:25" ht="108" customHeight="1" x14ac:dyDescent="0.35">
      <c r="A11" s="5530"/>
      <c r="B11" s="3867"/>
      <c r="C11" s="3867"/>
      <c r="D11" s="3867"/>
      <c r="E11" s="3856"/>
      <c r="F11" s="3856"/>
      <c r="G11" s="3856"/>
      <c r="H11" s="3856"/>
      <c r="I11" s="3856"/>
      <c r="J11" s="3856"/>
      <c r="K11" s="3856"/>
      <c r="L11" s="3856"/>
      <c r="M11" s="3856"/>
      <c r="N11" s="3856"/>
      <c r="O11" s="3856"/>
      <c r="P11" s="3857"/>
      <c r="Q11" s="64"/>
      <c r="W11" s="101"/>
      <c r="X11" s="101"/>
      <c r="Y11" s="101"/>
    </row>
    <row r="12" spans="1:25" s="66" customFormat="1" ht="8.25" customHeight="1" x14ac:dyDescent="0.35">
      <c r="A12" s="3853"/>
      <c r="B12" s="3854"/>
      <c r="C12" s="3854"/>
      <c r="D12" s="3854"/>
      <c r="E12" s="3854"/>
      <c r="F12" s="3854"/>
      <c r="G12" s="3854"/>
      <c r="H12" s="3854"/>
      <c r="I12" s="3854"/>
      <c r="J12" s="3854"/>
      <c r="K12" s="3854"/>
      <c r="L12" s="3854"/>
      <c r="M12" s="3854"/>
      <c r="N12" s="3854"/>
      <c r="O12" s="3854"/>
      <c r="P12" s="3855"/>
      <c r="Q12" s="397"/>
      <c r="W12" s="103"/>
      <c r="X12" s="103"/>
      <c r="Y12" s="103"/>
    </row>
    <row r="13" spans="1:25" ht="52.5" customHeight="1" x14ac:dyDescent="0.35">
      <c r="A13" s="5530"/>
      <c r="B13" s="3867"/>
      <c r="C13" s="3867"/>
      <c r="D13" s="3867"/>
      <c r="E13" s="3856"/>
      <c r="F13" s="3856"/>
      <c r="G13" s="3856"/>
      <c r="H13" s="3856"/>
      <c r="I13" s="3856"/>
      <c r="J13" s="3856"/>
      <c r="K13" s="3856"/>
      <c r="L13" s="3856"/>
      <c r="M13" s="3856"/>
      <c r="N13" s="3856"/>
      <c r="O13" s="3856"/>
      <c r="P13" s="3857"/>
      <c r="Q13" s="64"/>
      <c r="W13" s="101"/>
      <c r="X13" s="101"/>
      <c r="Y13" s="101"/>
    </row>
    <row r="14" spans="1:25" ht="8.25" customHeight="1" x14ac:dyDescent="0.35">
      <c r="A14" s="3853"/>
      <c r="B14" s="3854"/>
      <c r="C14" s="3854"/>
      <c r="D14" s="3854"/>
      <c r="E14" s="3854"/>
      <c r="F14" s="3854"/>
      <c r="G14" s="3854"/>
      <c r="H14" s="3854"/>
      <c r="I14" s="3854"/>
      <c r="J14" s="3854"/>
      <c r="K14" s="3854"/>
      <c r="L14" s="3854"/>
      <c r="M14" s="3854"/>
      <c r="N14" s="3854"/>
      <c r="O14" s="3854"/>
      <c r="P14" s="3855"/>
      <c r="Q14" s="64"/>
      <c r="W14" s="101"/>
      <c r="X14" s="101"/>
      <c r="Y14" s="101"/>
    </row>
    <row r="15" spans="1:25" ht="37.5" customHeight="1" x14ac:dyDescent="0.35">
      <c r="A15" s="5530"/>
      <c r="B15" s="3867"/>
      <c r="C15" s="3867"/>
      <c r="D15" s="3867"/>
      <c r="E15" s="3856"/>
      <c r="F15" s="3856"/>
      <c r="G15" s="3856"/>
      <c r="H15" s="3856"/>
      <c r="I15" s="3856"/>
      <c r="J15" s="3856"/>
      <c r="K15" s="3856"/>
      <c r="L15" s="3856"/>
      <c r="M15" s="3856"/>
      <c r="N15" s="3856"/>
      <c r="O15" s="3856"/>
      <c r="P15" s="3857"/>
      <c r="Q15" s="64"/>
      <c r="W15" s="101"/>
      <c r="X15" s="101"/>
      <c r="Y15" s="101"/>
    </row>
    <row r="16" spans="1:25" ht="8.25" customHeight="1" x14ac:dyDescent="0.35">
      <c r="A16" s="3853"/>
      <c r="B16" s="3854"/>
      <c r="C16" s="3854"/>
      <c r="D16" s="3854"/>
      <c r="E16" s="3854"/>
      <c r="F16" s="3854"/>
      <c r="G16" s="3854"/>
      <c r="H16" s="3854"/>
      <c r="I16" s="3854"/>
      <c r="J16" s="3854"/>
      <c r="K16" s="3854"/>
      <c r="L16" s="3854"/>
      <c r="M16" s="3854"/>
      <c r="N16" s="3854"/>
      <c r="O16" s="3854"/>
      <c r="P16" s="3855"/>
      <c r="Q16" s="64"/>
      <c r="W16" s="101"/>
      <c r="X16" s="101"/>
      <c r="Y16" s="101"/>
    </row>
    <row r="17" spans="1:25" ht="57" customHeight="1" x14ac:dyDescent="0.35">
      <c r="A17" s="5530"/>
      <c r="B17" s="3867"/>
      <c r="C17" s="3867"/>
      <c r="D17" s="3867"/>
      <c r="E17" s="3856"/>
      <c r="F17" s="3856"/>
      <c r="G17" s="3856"/>
      <c r="H17" s="3856"/>
      <c r="I17" s="3856"/>
      <c r="J17" s="3856"/>
      <c r="K17" s="3856"/>
      <c r="L17" s="3856"/>
      <c r="M17" s="3856"/>
      <c r="N17" s="3856"/>
      <c r="O17" s="3856"/>
      <c r="P17" s="3857"/>
      <c r="Q17" s="64"/>
      <c r="W17" s="101"/>
      <c r="X17" s="101"/>
      <c r="Y17" s="101"/>
    </row>
    <row r="18" spans="1:25" ht="8.25" customHeight="1" x14ac:dyDescent="0.35">
      <c r="A18" s="3853"/>
      <c r="B18" s="3854"/>
      <c r="C18" s="3854"/>
      <c r="D18" s="3854"/>
      <c r="E18" s="3854"/>
      <c r="F18" s="3854"/>
      <c r="G18" s="3854"/>
      <c r="H18" s="3854"/>
      <c r="I18" s="3854"/>
      <c r="J18" s="3854"/>
      <c r="K18" s="3854"/>
      <c r="L18" s="3854"/>
      <c r="M18" s="3854"/>
      <c r="N18" s="3854"/>
      <c r="O18" s="3854"/>
      <c r="P18" s="3855"/>
      <c r="Q18" s="64"/>
      <c r="W18" s="101"/>
      <c r="X18" s="101"/>
      <c r="Y18" s="101"/>
    </row>
    <row r="19" spans="1:25" ht="45" customHeight="1" x14ac:dyDescent="0.35">
      <c r="A19" s="5530"/>
      <c r="B19" s="3867"/>
      <c r="C19" s="3867"/>
      <c r="D19" s="3867"/>
      <c r="E19" s="3856"/>
      <c r="F19" s="3856"/>
      <c r="G19" s="3856"/>
      <c r="H19" s="3856"/>
      <c r="I19" s="3856"/>
      <c r="J19" s="3856"/>
      <c r="K19" s="3856"/>
      <c r="L19" s="3856"/>
      <c r="M19" s="3856"/>
      <c r="N19" s="3856"/>
      <c r="O19" s="3856"/>
      <c r="P19" s="3857"/>
      <c r="Q19" s="64"/>
      <c r="W19" s="101"/>
      <c r="X19" s="101"/>
      <c r="Y19" s="101"/>
    </row>
    <row r="20" spans="1:25" ht="8.25" customHeight="1" x14ac:dyDescent="0.35">
      <c r="A20" s="3853"/>
      <c r="B20" s="3854"/>
      <c r="C20" s="3854"/>
      <c r="D20" s="3854"/>
      <c r="E20" s="3854"/>
      <c r="F20" s="3854"/>
      <c r="G20" s="3854"/>
      <c r="H20" s="3854"/>
      <c r="I20" s="3854"/>
      <c r="J20" s="3854"/>
      <c r="K20" s="3854"/>
      <c r="L20" s="3854"/>
      <c r="M20" s="3854"/>
      <c r="N20" s="3854"/>
      <c r="O20" s="3854"/>
      <c r="P20" s="3855"/>
      <c r="Q20" s="64"/>
      <c r="W20" s="101"/>
      <c r="X20" s="101"/>
      <c r="Y20" s="101"/>
    </row>
    <row r="21" spans="1:25" ht="56.25" customHeight="1" x14ac:dyDescent="0.35">
      <c r="A21" s="5530"/>
      <c r="B21" s="3867"/>
      <c r="C21" s="3867"/>
      <c r="D21" s="3867"/>
      <c r="E21" s="3856"/>
      <c r="F21" s="3856"/>
      <c r="G21" s="3856"/>
      <c r="H21" s="3856"/>
      <c r="I21" s="3856"/>
      <c r="J21" s="3856"/>
      <c r="K21" s="3856"/>
      <c r="L21" s="3856"/>
      <c r="M21" s="3856"/>
      <c r="N21" s="3856"/>
      <c r="O21" s="3856"/>
      <c r="P21" s="3857"/>
      <c r="Q21" s="64"/>
      <c r="W21" s="101"/>
      <c r="X21" s="101"/>
      <c r="Y21" s="101"/>
    </row>
    <row r="22" spans="1:25" ht="8.25" customHeight="1" x14ac:dyDescent="0.35">
      <c r="A22" s="3853"/>
      <c r="B22" s="3854"/>
      <c r="C22" s="3854"/>
      <c r="D22" s="3854"/>
      <c r="E22" s="3854"/>
      <c r="F22" s="3854"/>
      <c r="G22" s="3854"/>
      <c r="H22" s="3854"/>
      <c r="I22" s="3854"/>
      <c r="J22" s="3854"/>
      <c r="K22" s="3854"/>
      <c r="L22" s="3854"/>
      <c r="M22" s="3854"/>
      <c r="N22" s="3854"/>
      <c r="O22" s="3854"/>
      <c r="P22" s="3855"/>
      <c r="Q22" s="64"/>
      <c r="W22" s="101"/>
      <c r="X22" s="101"/>
      <c r="Y22" s="101"/>
    </row>
    <row r="23" spans="1:25" ht="53.25" customHeight="1" x14ac:dyDescent="0.35">
      <c r="A23" s="5530"/>
      <c r="B23" s="3867"/>
      <c r="C23" s="3867"/>
      <c r="D23" s="3867"/>
      <c r="E23" s="3856"/>
      <c r="F23" s="3856"/>
      <c r="G23" s="3856"/>
      <c r="H23" s="3856"/>
      <c r="I23" s="3856"/>
      <c r="J23" s="3856"/>
      <c r="K23" s="3856"/>
      <c r="L23" s="3856"/>
      <c r="M23" s="3856"/>
      <c r="N23" s="3856"/>
      <c r="O23" s="3856"/>
      <c r="P23" s="3857"/>
      <c r="Q23" s="64"/>
      <c r="W23" s="101"/>
      <c r="X23" s="101"/>
      <c r="Y23" s="101"/>
    </row>
    <row r="24" spans="1:25" ht="8.25" customHeight="1" x14ac:dyDescent="0.35">
      <c r="A24" s="3853"/>
      <c r="B24" s="3854"/>
      <c r="C24" s="3854"/>
      <c r="D24" s="3854"/>
      <c r="E24" s="3854"/>
      <c r="F24" s="3854"/>
      <c r="G24" s="3854"/>
      <c r="H24" s="3854"/>
      <c r="I24" s="3854"/>
      <c r="J24" s="3854"/>
      <c r="K24" s="3854"/>
      <c r="L24" s="3854"/>
      <c r="M24" s="3854"/>
      <c r="N24" s="3854"/>
      <c r="O24" s="3854"/>
      <c r="P24" s="3855"/>
      <c r="Q24" s="64"/>
      <c r="W24" s="101"/>
      <c r="X24" s="101"/>
      <c r="Y24" s="101"/>
    </row>
    <row r="25" spans="1:25" ht="15" customHeight="1" x14ac:dyDescent="0.35">
      <c r="A25" s="5530"/>
      <c r="B25" s="3867"/>
      <c r="C25" s="3867"/>
      <c r="D25" s="3867"/>
      <c r="E25" s="3856"/>
      <c r="F25" s="3856"/>
      <c r="G25" s="3856"/>
      <c r="H25" s="3856"/>
      <c r="I25" s="3867"/>
      <c r="J25" s="3867"/>
      <c r="K25" s="3867"/>
      <c r="L25" s="3867"/>
      <c r="M25" s="3856"/>
      <c r="N25" s="3856"/>
      <c r="O25" s="3856"/>
      <c r="P25" s="3857"/>
      <c r="Q25" s="64"/>
      <c r="W25" s="101"/>
      <c r="X25" s="101"/>
      <c r="Y25" s="101"/>
    </row>
    <row r="26" spans="1:25" ht="8.25" customHeight="1" x14ac:dyDescent="0.35">
      <c r="A26" s="3853"/>
      <c r="B26" s="3854"/>
      <c r="C26" s="3854"/>
      <c r="D26" s="3854"/>
      <c r="E26" s="3854"/>
      <c r="F26" s="3854"/>
      <c r="G26" s="3854"/>
      <c r="H26" s="3854"/>
      <c r="I26" s="3854"/>
      <c r="J26" s="3854"/>
      <c r="K26" s="3854"/>
      <c r="L26" s="3854"/>
      <c r="M26" s="3854"/>
      <c r="N26" s="3854"/>
      <c r="O26" s="3854"/>
      <c r="P26" s="3855"/>
      <c r="Q26" s="64"/>
      <c r="W26" s="101"/>
      <c r="X26" s="101"/>
      <c r="Y26" s="101"/>
    </row>
    <row r="27" spans="1:25" ht="56.25" customHeight="1" x14ac:dyDescent="0.35">
      <c r="A27" s="5530"/>
      <c r="B27" s="3867"/>
      <c r="C27" s="3867"/>
      <c r="D27" s="3867"/>
      <c r="E27" s="3856"/>
      <c r="F27" s="3856"/>
      <c r="G27" s="3856"/>
      <c r="H27" s="3856"/>
      <c r="I27" s="3856"/>
      <c r="J27" s="3856"/>
      <c r="K27" s="3856"/>
      <c r="L27" s="3856"/>
      <c r="M27" s="3856"/>
      <c r="N27" s="3856"/>
      <c r="O27" s="3856"/>
      <c r="P27" s="3857"/>
      <c r="Q27" s="64"/>
      <c r="W27" s="101"/>
      <c r="X27" s="101"/>
      <c r="Y27" s="101"/>
    </row>
    <row r="28" spans="1:25" ht="8.25" customHeight="1" x14ac:dyDescent="0.35">
      <c r="A28" s="3853"/>
      <c r="B28" s="3854"/>
      <c r="C28" s="3854"/>
      <c r="D28" s="3854"/>
      <c r="E28" s="3854"/>
      <c r="F28" s="3854"/>
      <c r="G28" s="3854"/>
      <c r="H28" s="3854"/>
      <c r="I28" s="3854"/>
      <c r="J28" s="3854"/>
      <c r="K28" s="3854"/>
      <c r="L28" s="3854"/>
      <c r="M28" s="3854"/>
      <c r="N28" s="3854"/>
      <c r="O28" s="3854"/>
      <c r="P28" s="3855"/>
      <c r="Q28" s="64"/>
      <c r="W28" s="101"/>
      <c r="X28" s="101"/>
      <c r="Y28" s="101"/>
    </row>
    <row r="29" spans="1:25" ht="15" customHeight="1" x14ac:dyDescent="0.35">
      <c r="A29" s="5530"/>
      <c r="B29" s="3867"/>
      <c r="C29" s="3867"/>
      <c r="D29" s="3867"/>
      <c r="E29" s="3856"/>
      <c r="F29" s="3856"/>
      <c r="G29" s="3856"/>
      <c r="H29" s="3856"/>
      <c r="I29" s="3856"/>
      <c r="J29" s="3856"/>
      <c r="K29" s="3856"/>
      <c r="L29" s="3856"/>
      <c r="M29" s="3856"/>
      <c r="N29" s="3856"/>
      <c r="O29" s="3856"/>
      <c r="P29" s="3857"/>
      <c r="Q29" s="64"/>
      <c r="W29" s="101"/>
      <c r="X29" s="101"/>
      <c r="Y29" s="101"/>
    </row>
    <row r="30" spans="1:25" s="71" customFormat="1" ht="8.25" customHeight="1" thickBot="1" x14ac:dyDescent="0.4">
      <c r="A30" s="3870"/>
      <c r="B30" s="3871"/>
      <c r="C30" s="3871"/>
      <c r="D30" s="3871"/>
      <c r="E30" s="3871"/>
      <c r="F30" s="3871"/>
      <c r="G30" s="3871"/>
      <c r="H30" s="3871"/>
      <c r="I30" s="3871"/>
      <c r="J30" s="3871"/>
      <c r="K30" s="3871"/>
      <c r="L30" s="3871"/>
      <c r="M30" s="3871"/>
      <c r="N30" s="3871"/>
      <c r="O30" s="3871"/>
      <c r="P30" s="3872"/>
      <c r="Q30" s="759"/>
    </row>
    <row r="31" spans="1:25" s="71" customFormat="1" ht="15" customHeight="1" thickTop="1" x14ac:dyDescent="0.35">
      <c r="A31" s="760"/>
      <c r="B31" s="760"/>
      <c r="C31" s="760"/>
      <c r="D31" s="760"/>
      <c r="E31" s="2270"/>
      <c r="F31" s="2270"/>
      <c r="G31" s="2270"/>
      <c r="H31" s="2270"/>
      <c r="I31" s="2270"/>
      <c r="J31" s="2270"/>
      <c r="K31" s="2270"/>
      <c r="L31" s="2270"/>
      <c r="M31" s="2270"/>
      <c r="N31" s="2270"/>
      <c r="O31" s="2270"/>
      <c r="P31" s="2270"/>
      <c r="Q31" s="759"/>
    </row>
    <row r="32" spans="1:25" s="71" customFormat="1" ht="15" customHeight="1" thickBot="1" x14ac:dyDescent="0.4">
      <c r="A32" s="760"/>
      <c r="B32" s="760"/>
      <c r="C32" s="760"/>
      <c r="D32" s="760"/>
      <c r="E32" s="2270"/>
      <c r="F32" s="2270"/>
      <c r="G32" s="2270"/>
      <c r="H32" s="2270"/>
      <c r="I32" s="2270"/>
      <c r="J32" s="2270"/>
      <c r="K32" s="2270"/>
      <c r="L32" s="2270"/>
      <c r="M32" s="2270"/>
      <c r="N32" s="2270"/>
      <c r="O32" s="2270"/>
      <c r="P32" s="2270"/>
      <c r="Q32" s="759"/>
    </row>
    <row r="33" spans="1:26" s="106" customFormat="1" ht="22.5" customHeight="1" thickTop="1" thickBot="1" x14ac:dyDescent="0.4">
      <c r="A33" s="3931"/>
      <c r="B33" s="3931"/>
      <c r="C33" s="3931"/>
      <c r="D33" s="3931"/>
      <c r="E33" s="3918" t="str">
        <f>"Situation " &amp; AnReference</f>
        <v>Situation 2018</v>
      </c>
      <c r="F33" s="3919"/>
      <c r="G33" s="3919"/>
      <c r="H33" s="3919"/>
      <c r="I33" s="3919"/>
      <c r="J33" s="3919"/>
      <c r="K33" s="3919" t="str">
        <f>"Projection en " &amp; AnReference + NbAnVision</f>
        <v>Projection en 2021</v>
      </c>
      <c r="L33" s="3919"/>
      <c r="M33" s="3919"/>
      <c r="N33" s="3919"/>
      <c r="O33" s="3919"/>
      <c r="P33" s="3920"/>
      <c r="Q33" s="2272"/>
      <c r="X33" s="107"/>
      <c r="Y33" s="107"/>
      <c r="Z33" s="107"/>
    </row>
    <row r="34" spans="1:26" s="108" customFormat="1" ht="36" customHeight="1" thickTop="1" thickBot="1" x14ac:dyDescent="0.4">
      <c r="A34" s="3924" t="str">
        <f>"Compétiteur "</f>
        <v xml:space="preserve">Compétiteur </v>
      </c>
      <c r="B34" s="3925"/>
      <c r="C34" s="3925"/>
      <c r="D34" s="3926"/>
      <c r="E34" s="3932" t="s">
        <v>322</v>
      </c>
      <c r="F34" s="3933"/>
      <c r="G34" s="3933" t="s">
        <v>324</v>
      </c>
      <c r="H34" s="3933"/>
      <c r="I34" s="3933" t="s">
        <v>323</v>
      </c>
      <c r="J34" s="3936"/>
      <c r="K34" s="3932" t="s">
        <v>322</v>
      </c>
      <c r="L34" s="3933"/>
      <c r="M34" s="3933" t="s">
        <v>324</v>
      </c>
      <c r="N34" s="3933"/>
      <c r="O34" s="3933" t="s">
        <v>323</v>
      </c>
      <c r="P34" s="3934"/>
      <c r="Q34" s="762"/>
      <c r="U34" s="109"/>
      <c r="V34" s="109"/>
      <c r="W34" s="109"/>
    </row>
    <row r="35" spans="1:26" ht="14.25" customHeight="1" x14ac:dyDescent="0.35">
      <c r="A35" s="3921"/>
      <c r="B35" s="3922"/>
      <c r="C35" s="3922"/>
      <c r="D35" s="3923"/>
      <c r="E35" s="3927"/>
      <c r="F35" s="3928"/>
      <c r="G35" s="3929"/>
      <c r="H35" s="3929"/>
      <c r="I35" s="3928"/>
      <c r="J35" s="3935"/>
      <c r="K35" s="3927"/>
      <c r="L35" s="3928"/>
      <c r="M35" s="3929"/>
      <c r="N35" s="3929"/>
      <c r="O35" s="3928"/>
      <c r="P35" s="3930"/>
      <c r="Q35" s="763"/>
      <c r="R35" s="3888"/>
      <c r="S35" s="3888"/>
      <c r="X35" s="101"/>
      <c r="Y35" s="101"/>
      <c r="Z35" s="101"/>
    </row>
    <row r="36" spans="1:26" ht="14.25" customHeight="1" x14ac:dyDescent="0.35">
      <c r="A36" s="3860"/>
      <c r="B36" s="3861"/>
      <c r="C36" s="3861"/>
      <c r="D36" s="3862"/>
      <c r="E36" s="3863"/>
      <c r="F36" s="3858"/>
      <c r="G36" s="5529"/>
      <c r="H36" s="5529"/>
      <c r="I36" s="3858"/>
      <c r="J36" s="3859"/>
      <c r="K36" s="3863"/>
      <c r="L36" s="3858"/>
      <c r="M36" s="5529"/>
      <c r="N36" s="5529"/>
      <c r="O36" s="3858"/>
      <c r="P36" s="3873"/>
      <c r="Q36" s="763"/>
      <c r="R36" s="3888"/>
      <c r="S36" s="3888"/>
      <c r="X36" s="101"/>
      <c r="Y36" s="101"/>
      <c r="Z36" s="101"/>
    </row>
    <row r="37" spans="1:26" ht="14.25" customHeight="1" x14ac:dyDescent="0.35">
      <c r="A37" s="3860"/>
      <c r="B37" s="3861"/>
      <c r="C37" s="3861"/>
      <c r="D37" s="3862"/>
      <c r="E37" s="3863"/>
      <c r="F37" s="3858"/>
      <c r="G37" s="5529"/>
      <c r="H37" s="5529"/>
      <c r="I37" s="3858"/>
      <c r="J37" s="3859"/>
      <c r="K37" s="3863"/>
      <c r="L37" s="3858"/>
      <c r="M37" s="5529"/>
      <c r="N37" s="5529"/>
      <c r="O37" s="3858"/>
      <c r="P37" s="3873"/>
      <c r="Q37" s="763"/>
      <c r="R37" s="3888"/>
      <c r="S37" s="3888"/>
      <c r="X37" s="101"/>
      <c r="Y37" s="101"/>
      <c r="Z37" s="101"/>
    </row>
    <row r="38" spans="1:26" ht="14.25" customHeight="1" x14ac:dyDescent="0.35">
      <c r="A38" s="3860"/>
      <c r="B38" s="3861"/>
      <c r="C38" s="3861"/>
      <c r="D38" s="3862"/>
      <c r="E38" s="3863"/>
      <c r="F38" s="3858"/>
      <c r="G38" s="5529"/>
      <c r="H38" s="5529"/>
      <c r="I38" s="3858"/>
      <c r="J38" s="3859"/>
      <c r="K38" s="3863"/>
      <c r="L38" s="3858"/>
      <c r="M38" s="5529"/>
      <c r="N38" s="5529"/>
      <c r="O38" s="3858"/>
      <c r="P38" s="3873"/>
      <c r="Q38" s="763"/>
      <c r="R38" s="3888"/>
      <c r="S38" s="3888"/>
      <c r="X38" s="101"/>
      <c r="Y38" s="101"/>
      <c r="Z38" s="101"/>
    </row>
    <row r="39" spans="1:26" ht="14.25" customHeight="1" x14ac:dyDescent="0.35">
      <c r="A39" s="3860"/>
      <c r="B39" s="3861"/>
      <c r="C39" s="3861"/>
      <c r="D39" s="3862"/>
      <c r="E39" s="3863"/>
      <c r="F39" s="3858"/>
      <c r="G39" s="5529"/>
      <c r="H39" s="5529"/>
      <c r="I39" s="3858"/>
      <c r="J39" s="3859"/>
      <c r="K39" s="3863"/>
      <c r="L39" s="3858"/>
      <c r="M39" s="5529"/>
      <c r="N39" s="5529"/>
      <c r="O39" s="3858"/>
      <c r="P39" s="3873"/>
      <c r="Q39" s="763"/>
      <c r="R39" s="3888"/>
      <c r="S39" s="3888"/>
      <c r="X39" s="101"/>
      <c r="Y39" s="101"/>
      <c r="Z39" s="101"/>
    </row>
    <row r="40" spans="1:26" ht="14.25" customHeight="1" x14ac:dyDescent="0.35">
      <c r="A40" s="3860"/>
      <c r="B40" s="3861"/>
      <c r="C40" s="3861"/>
      <c r="D40" s="3862"/>
      <c r="E40" s="3863"/>
      <c r="F40" s="3858"/>
      <c r="G40" s="5529"/>
      <c r="H40" s="5529"/>
      <c r="I40" s="3858"/>
      <c r="J40" s="3859"/>
      <c r="K40" s="3863"/>
      <c r="L40" s="3858"/>
      <c r="M40" s="5529"/>
      <c r="N40" s="5529"/>
      <c r="O40" s="3858"/>
      <c r="P40" s="3873"/>
      <c r="Q40" s="763"/>
      <c r="R40" s="3888"/>
      <c r="S40" s="3888"/>
      <c r="X40" s="101"/>
      <c r="Y40" s="101"/>
      <c r="Z40" s="101"/>
    </row>
    <row r="41" spans="1:26" ht="14.25" customHeight="1" x14ac:dyDescent="0.35">
      <c r="A41" s="3860"/>
      <c r="B41" s="3861"/>
      <c r="C41" s="3861"/>
      <c r="D41" s="3862"/>
      <c r="E41" s="3863"/>
      <c r="F41" s="3858"/>
      <c r="G41" s="5529"/>
      <c r="H41" s="5529"/>
      <c r="I41" s="3858"/>
      <c r="J41" s="3859"/>
      <c r="K41" s="3863"/>
      <c r="L41" s="3858"/>
      <c r="M41" s="5529"/>
      <c r="N41" s="5529"/>
      <c r="O41" s="3858"/>
      <c r="P41" s="3873"/>
      <c r="Q41" s="763"/>
      <c r="R41" s="3888"/>
      <c r="S41" s="3888"/>
      <c r="X41" s="101"/>
      <c r="Y41" s="101"/>
      <c r="Z41" s="101"/>
    </row>
    <row r="42" spans="1:26" ht="14.25" customHeight="1" x14ac:dyDescent="0.35">
      <c r="A42" s="3860"/>
      <c r="B42" s="3861"/>
      <c r="C42" s="3861"/>
      <c r="D42" s="3862"/>
      <c r="E42" s="3863"/>
      <c r="F42" s="3858"/>
      <c r="G42" s="5529"/>
      <c r="H42" s="5529"/>
      <c r="I42" s="3858"/>
      <c r="J42" s="3859"/>
      <c r="K42" s="3863"/>
      <c r="L42" s="3858"/>
      <c r="M42" s="5529"/>
      <c r="N42" s="5529"/>
      <c r="O42" s="3858"/>
      <c r="P42" s="3873"/>
      <c r="Q42" s="763"/>
      <c r="R42" s="3888"/>
      <c r="S42" s="3888"/>
      <c r="X42" s="101"/>
      <c r="Y42" s="101"/>
      <c r="Z42" s="101"/>
    </row>
    <row r="43" spans="1:26" ht="14.25" customHeight="1" x14ac:dyDescent="0.35">
      <c r="A43" s="3860"/>
      <c r="B43" s="3861"/>
      <c r="C43" s="3861"/>
      <c r="D43" s="3862"/>
      <c r="E43" s="3863"/>
      <c r="F43" s="3858"/>
      <c r="G43" s="5529"/>
      <c r="H43" s="5529"/>
      <c r="I43" s="3858"/>
      <c r="J43" s="3859"/>
      <c r="K43" s="3863"/>
      <c r="L43" s="3858"/>
      <c r="M43" s="5529"/>
      <c r="N43" s="5529"/>
      <c r="O43" s="3858"/>
      <c r="P43" s="3873"/>
      <c r="Q43" s="763"/>
      <c r="R43" s="3888"/>
      <c r="S43" s="3888"/>
      <c r="X43" s="101"/>
      <c r="Y43" s="101"/>
      <c r="Z43" s="101"/>
    </row>
    <row r="44" spans="1:26" ht="14.25" customHeight="1" x14ac:dyDescent="0.35">
      <c r="A44" s="3860"/>
      <c r="B44" s="3861"/>
      <c r="C44" s="3861"/>
      <c r="D44" s="3862"/>
      <c r="E44" s="3863"/>
      <c r="F44" s="3858"/>
      <c r="G44" s="5529"/>
      <c r="H44" s="5529"/>
      <c r="I44" s="3858"/>
      <c r="J44" s="3859"/>
      <c r="K44" s="3863"/>
      <c r="L44" s="3858"/>
      <c r="M44" s="5529"/>
      <c r="N44" s="5529"/>
      <c r="O44" s="3858"/>
      <c r="P44" s="3873"/>
      <c r="Q44" s="763"/>
      <c r="R44" s="3888"/>
      <c r="S44" s="3888"/>
      <c r="X44" s="101"/>
      <c r="Y44" s="101"/>
      <c r="Z44" s="101"/>
    </row>
    <row r="45" spans="1:26" ht="14.25" customHeight="1" x14ac:dyDescent="0.35">
      <c r="A45" s="3860"/>
      <c r="B45" s="3861"/>
      <c r="C45" s="3861"/>
      <c r="D45" s="3862"/>
      <c r="E45" s="3863"/>
      <c r="F45" s="3858"/>
      <c r="G45" s="5529"/>
      <c r="H45" s="5529"/>
      <c r="I45" s="3858"/>
      <c r="J45" s="3859"/>
      <c r="K45" s="3863"/>
      <c r="L45" s="3858"/>
      <c r="M45" s="5529"/>
      <c r="N45" s="5529"/>
      <c r="O45" s="3858"/>
      <c r="P45" s="3873"/>
      <c r="Q45" s="763"/>
      <c r="R45" s="3888"/>
      <c r="S45" s="3888"/>
      <c r="X45" s="101"/>
      <c r="Y45" s="101"/>
      <c r="Z45" s="101"/>
    </row>
    <row r="46" spans="1:26" ht="14.25" customHeight="1" x14ac:dyDescent="0.35">
      <c r="A46" s="3860"/>
      <c r="B46" s="3861"/>
      <c r="C46" s="3861"/>
      <c r="D46" s="3862"/>
      <c r="E46" s="3863"/>
      <c r="F46" s="3858"/>
      <c r="G46" s="5529"/>
      <c r="H46" s="5529"/>
      <c r="I46" s="3858"/>
      <c r="J46" s="3859"/>
      <c r="K46" s="3863"/>
      <c r="L46" s="3858"/>
      <c r="M46" s="5529"/>
      <c r="N46" s="5529"/>
      <c r="O46" s="3858"/>
      <c r="P46" s="3873"/>
      <c r="Q46" s="763"/>
      <c r="R46" s="3888"/>
      <c r="S46" s="3888"/>
      <c r="X46" s="101"/>
      <c r="Y46" s="101"/>
      <c r="Z46" s="101"/>
    </row>
    <row r="47" spans="1:26" ht="14.25" customHeight="1" x14ac:dyDescent="0.35">
      <c r="A47" s="3860"/>
      <c r="B47" s="3861"/>
      <c r="C47" s="3861"/>
      <c r="D47" s="3862"/>
      <c r="E47" s="3863"/>
      <c r="F47" s="3858"/>
      <c r="G47" s="5529"/>
      <c r="H47" s="5529"/>
      <c r="I47" s="3858"/>
      <c r="J47" s="3859"/>
      <c r="K47" s="3863"/>
      <c r="L47" s="3858"/>
      <c r="M47" s="5529"/>
      <c r="N47" s="5529"/>
      <c r="O47" s="3858"/>
      <c r="P47" s="3873"/>
      <c r="Q47" s="763"/>
      <c r="R47" s="3888"/>
      <c r="S47" s="3888"/>
      <c r="X47" s="101"/>
      <c r="Y47" s="101"/>
      <c r="Z47" s="101"/>
    </row>
    <row r="48" spans="1:26" ht="14.25" customHeight="1" x14ac:dyDescent="0.35">
      <c r="A48" s="3860"/>
      <c r="B48" s="3861"/>
      <c r="C48" s="3861"/>
      <c r="D48" s="3862"/>
      <c r="E48" s="3863"/>
      <c r="F48" s="3858"/>
      <c r="G48" s="5529"/>
      <c r="H48" s="5529"/>
      <c r="I48" s="3858"/>
      <c r="J48" s="3859"/>
      <c r="K48" s="3863"/>
      <c r="L48" s="3858"/>
      <c r="M48" s="5529"/>
      <c r="N48" s="5529"/>
      <c r="O48" s="3858"/>
      <c r="P48" s="3873"/>
      <c r="Q48" s="763"/>
      <c r="R48" s="3888"/>
      <c r="S48" s="3888"/>
      <c r="X48" s="101"/>
      <c r="Y48" s="101"/>
      <c r="Z48" s="101"/>
    </row>
    <row r="49" spans="1:26" ht="14.25" customHeight="1" thickBot="1" x14ac:dyDescent="0.4">
      <c r="A49" s="3908"/>
      <c r="B49" s="3909"/>
      <c r="C49" s="3910"/>
      <c r="D49" s="3911"/>
      <c r="E49" s="3912"/>
      <c r="F49" s="3885"/>
      <c r="G49" s="3913"/>
      <c r="H49" s="3913"/>
      <c r="I49" s="3885"/>
      <c r="J49" s="3914"/>
      <c r="K49" s="3912"/>
      <c r="L49" s="3885"/>
      <c r="M49" s="3913"/>
      <c r="N49" s="3913"/>
      <c r="O49" s="3885"/>
      <c r="P49" s="3886"/>
      <c r="Q49" s="763"/>
      <c r="R49" s="3888"/>
      <c r="S49" s="3888"/>
      <c r="X49" s="101"/>
      <c r="Y49" s="101"/>
      <c r="Z49" s="101"/>
    </row>
    <row r="50" spans="1:26" ht="9.75" customHeight="1" thickTop="1" x14ac:dyDescent="0.35">
      <c r="A50" s="2271"/>
      <c r="B50" s="2271"/>
      <c r="C50" s="3889" t="s">
        <v>222</v>
      </c>
      <c r="D50" s="3890"/>
      <c r="E50" s="3893">
        <f>SUM(E35:F49)</f>
        <v>0</v>
      </c>
      <c r="F50" s="3894"/>
      <c r="G50" s="3903">
        <f>SUM(G35:H49)</f>
        <v>0</v>
      </c>
      <c r="H50" s="3904"/>
      <c r="I50" s="3893">
        <f>SUM(I35:J49)</f>
        <v>0</v>
      </c>
      <c r="J50" s="3899"/>
      <c r="K50" s="3901">
        <f>SUM(K35:L49)</f>
        <v>0</v>
      </c>
      <c r="L50" s="3894"/>
      <c r="M50" s="3903">
        <f>SUM(M35:N49)</f>
        <v>0</v>
      </c>
      <c r="N50" s="3904"/>
      <c r="O50" s="3893">
        <f>SUM(O35:P49)</f>
        <v>0</v>
      </c>
      <c r="P50" s="3906"/>
      <c r="Q50" s="64"/>
      <c r="W50" s="101"/>
      <c r="X50" s="101"/>
      <c r="Y50" s="101"/>
    </row>
    <row r="51" spans="1:26" ht="9.75" customHeight="1" thickBot="1" x14ac:dyDescent="0.4">
      <c r="A51" s="2271"/>
      <c r="B51" s="2271"/>
      <c r="C51" s="3891"/>
      <c r="D51" s="3892"/>
      <c r="E51" s="3895"/>
      <c r="F51" s="3895"/>
      <c r="G51" s="3905"/>
      <c r="H51" s="3905"/>
      <c r="I51" s="3895"/>
      <c r="J51" s="3900"/>
      <c r="K51" s="3902"/>
      <c r="L51" s="3895"/>
      <c r="M51" s="3905"/>
      <c r="N51" s="3905"/>
      <c r="O51" s="3895"/>
      <c r="P51" s="3907"/>
      <c r="Q51" s="64"/>
      <c r="W51" s="101"/>
      <c r="X51" s="101"/>
      <c r="Y51" s="101"/>
    </row>
    <row r="52" spans="1:26" ht="15" customHeight="1" thickTop="1" x14ac:dyDescent="0.35">
      <c r="A52" s="2271"/>
      <c r="B52" s="2271"/>
      <c r="C52" s="2271"/>
      <c r="D52" s="2271"/>
      <c r="E52" s="2271"/>
      <c r="F52" s="2271"/>
      <c r="G52" s="2271"/>
      <c r="H52" s="2271"/>
      <c r="I52" s="2271"/>
      <c r="J52" s="2271"/>
      <c r="K52" s="2271"/>
      <c r="L52" s="2271"/>
      <c r="M52" s="2271"/>
      <c r="N52" s="2271"/>
      <c r="O52" s="2271"/>
      <c r="P52" s="2271"/>
      <c r="Q52" s="64"/>
      <c r="W52" s="101"/>
      <c r="X52" s="101"/>
      <c r="Y52" s="101"/>
    </row>
    <row r="53" spans="1:26" ht="15" customHeight="1" x14ac:dyDescent="0.35">
      <c r="A53" s="2271"/>
      <c r="B53" s="2271"/>
      <c r="C53" s="2271"/>
      <c r="D53" s="2271"/>
      <c r="E53" s="2271"/>
      <c r="F53" s="2271"/>
      <c r="G53" s="2271"/>
      <c r="H53" s="2271"/>
      <c r="I53" s="2271"/>
      <c r="J53" s="2271"/>
      <c r="K53" s="2271"/>
      <c r="L53" s="2271"/>
      <c r="M53" s="2271"/>
      <c r="N53" s="2271"/>
      <c r="O53" s="2271"/>
      <c r="P53" s="2271"/>
      <c r="Q53" s="64"/>
      <c r="W53" s="101"/>
      <c r="X53" s="101"/>
      <c r="Y53" s="101"/>
    </row>
    <row r="54" spans="1:26" ht="15" thickBot="1" x14ac:dyDescent="0.4">
      <c r="A54" s="64"/>
      <c r="B54" s="64"/>
      <c r="C54" s="64"/>
      <c r="D54" s="64"/>
      <c r="E54" s="64"/>
      <c r="F54" s="64"/>
      <c r="G54" s="64"/>
      <c r="H54" s="64"/>
      <c r="I54" s="64"/>
      <c r="J54" s="64"/>
      <c r="K54" s="64"/>
      <c r="L54" s="64"/>
      <c r="M54" s="64"/>
      <c r="N54" s="64"/>
      <c r="O54" s="64"/>
      <c r="P54" s="64"/>
      <c r="Q54" s="64"/>
      <c r="R54" s="64"/>
      <c r="S54" s="64"/>
      <c r="T54" s="64"/>
      <c r="U54" s="64"/>
      <c r="V54" s="64"/>
      <c r="W54" s="64"/>
    </row>
    <row r="55" spans="1:26" ht="19.5" thickTop="1" thickBot="1" x14ac:dyDescent="0.4">
      <c r="A55" s="3874" t="s">
        <v>10</v>
      </c>
      <c r="B55" s="3875"/>
      <c r="C55" s="3875"/>
      <c r="D55" s="3875"/>
      <c r="E55" s="3875"/>
      <c r="F55" s="3875"/>
      <c r="G55" s="3875"/>
      <c r="H55" s="3875"/>
      <c r="I55" s="3875"/>
      <c r="J55" s="3875"/>
      <c r="K55" s="3875"/>
      <c r="L55" s="30"/>
      <c r="M55" s="3725" t="s">
        <v>748</v>
      </c>
      <c r="N55" s="3726"/>
      <c r="O55" s="3727"/>
      <c r="P55" s="31"/>
      <c r="Q55" s="64"/>
      <c r="R55" s="64"/>
      <c r="S55" s="64"/>
      <c r="T55" s="64"/>
      <c r="U55" s="64"/>
      <c r="V55" s="64"/>
      <c r="W55" s="64"/>
    </row>
    <row r="56" spans="1:26" ht="19.5" customHeight="1" x14ac:dyDescent="0.35">
      <c r="A56" s="3876" t="s">
        <v>1084</v>
      </c>
      <c r="B56" s="3877"/>
      <c r="C56" s="3877"/>
      <c r="D56" s="3877"/>
      <c r="E56" s="3877"/>
      <c r="F56" s="3877"/>
      <c r="G56" s="3877"/>
      <c r="H56" s="3877"/>
      <c r="I56" s="3877"/>
      <c r="J56" s="3877"/>
      <c r="K56" s="3877"/>
      <c r="L56" s="32"/>
      <c r="M56" s="3750" t="s">
        <v>795</v>
      </c>
      <c r="N56" s="3751"/>
      <c r="O56" s="3752"/>
      <c r="P56" s="33"/>
      <c r="Q56" s="64"/>
      <c r="R56" s="64"/>
      <c r="S56" s="64"/>
      <c r="T56" s="64"/>
      <c r="U56" s="64"/>
      <c r="V56" s="64"/>
      <c r="W56" s="64"/>
    </row>
    <row r="57" spans="1:26" ht="19.5" customHeight="1" x14ac:dyDescent="0.35">
      <c r="A57" s="3878"/>
      <c r="B57" s="3879"/>
      <c r="C57" s="3879"/>
      <c r="D57" s="3879"/>
      <c r="E57" s="3879"/>
      <c r="F57" s="3879"/>
      <c r="G57" s="3879"/>
      <c r="H57" s="3879"/>
      <c r="I57" s="3879"/>
      <c r="J57" s="3879"/>
      <c r="K57" s="3879"/>
      <c r="L57" s="32"/>
      <c r="M57" s="3753"/>
      <c r="N57" s="3754"/>
      <c r="O57" s="3755"/>
      <c r="P57" s="33"/>
      <c r="Q57" s="64"/>
      <c r="R57" s="64"/>
      <c r="S57" s="64"/>
      <c r="T57" s="64"/>
      <c r="U57" s="64"/>
      <c r="V57" s="64"/>
      <c r="W57" s="64"/>
    </row>
    <row r="58" spans="1:26" ht="19.5" customHeight="1" x14ac:dyDescent="0.35">
      <c r="A58" s="3878"/>
      <c r="B58" s="3879"/>
      <c r="C58" s="3879"/>
      <c r="D58" s="3879"/>
      <c r="E58" s="3879"/>
      <c r="F58" s="3879"/>
      <c r="G58" s="3879"/>
      <c r="H58" s="3879"/>
      <c r="I58" s="3879"/>
      <c r="J58" s="3879"/>
      <c r="K58" s="3879"/>
      <c r="L58" s="32"/>
      <c r="M58" s="3753"/>
      <c r="N58" s="3754"/>
      <c r="O58" s="3755"/>
      <c r="P58" s="33"/>
      <c r="Q58" s="64"/>
      <c r="R58" s="64"/>
      <c r="S58" s="64"/>
      <c r="T58" s="64"/>
      <c r="U58" s="64"/>
      <c r="V58" s="64"/>
      <c r="W58" s="64"/>
    </row>
    <row r="59" spans="1:26" ht="19.5" customHeight="1" x14ac:dyDescent="0.35">
      <c r="A59" s="3878"/>
      <c r="B59" s="3879"/>
      <c r="C59" s="3879"/>
      <c r="D59" s="3879"/>
      <c r="E59" s="3879"/>
      <c r="F59" s="3879"/>
      <c r="G59" s="3879"/>
      <c r="H59" s="3879"/>
      <c r="I59" s="3879"/>
      <c r="J59" s="3879"/>
      <c r="K59" s="3879"/>
      <c r="L59" s="32"/>
      <c r="M59" s="3753"/>
      <c r="N59" s="3754"/>
      <c r="O59" s="3755"/>
      <c r="P59" s="33"/>
      <c r="Q59" s="64"/>
      <c r="R59" s="64"/>
      <c r="S59" s="64"/>
      <c r="T59" s="64"/>
      <c r="U59" s="64"/>
      <c r="V59" s="64"/>
      <c r="W59" s="64"/>
    </row>
    <row r="60" spans="1:26" ht="19.5" customHeight="1" thickBot="1" x14ac:dyDescent="0.4">
      <c r="A60" s="3880"/>
      <c r="B60" s="3881"/>
      <c r="C60" s="3881"/>
      <c r="D60" s="3881"/>
      <c r="E60" s="3881"/>
      <c r="F60" s="3881"/>
      <c r="G60" s="3881"/>
      <c r="H60" s="3881"/>
      <c r="I60" s="3881"/>
      <c r="J60" s="3881"/>
      <c r="K60" s="3881"/>
      <c r="L60" s="32"/>
      <c r="M60" s="3756"/>
      <c r="N60" s="3757"/>
      <c r="O60" s="3758"/>
      <c r="P60" s="33"/>
      <c r="Q60" s="64"/>
      <c r="R60" s="64"/>
      <c r="S60" s="64"/>
      <c r="T60" s="64"/>
      <c r="U60" s="64"/>
      <c r="V60" s="64"/>
      <c r="W60" s="64"/>
    </row>
    <row r="61" spans="1:26" ht="15.5" thickTop="1" thickBot="1" x14ac:dyDescent="0.4">
      <c r="A61" s="64"/>
      <c r="B61" s="64"/>
      <c r="C61" s="64"/>
      <c r="D61" s="64"/>
      <c r="E61" s="64"/>
      <c r="F61" s="64"/>
      <c r="G61" s="64"/>
      <c r="H61" s="64"/>
      <c r="I61" s="64"/>
      <c r="J61" s="64"/>
      <c r="K61" s="64"/>
      <c r="L61" s="64"/>
      <c r="M61" s="31"/>
      <c r="N61" s="31"/>
      <c r="O61" s="31"/>
      <c r="P61" s="64"/>
      <c r="Q61" s="64"/>
      <c r="R61" s="64"/>
      <c r="S61" s="64"/>
      <c r="T61" s="64"/>
      <c r="U61" s="64"/>
      <c r="V61" s="64"/>
      <c r="W61" s="64"/>
    </row>
    <row r="62" spans="1:26" ht="19.5" thickTop="1" thickBot="1" x14ac:dyDescent="0.4">
      <c r="A62" s="3883" t="s">
        <v>11</v>
      </c>
      <c r="B62" s="3884"/>
      <c r="C62" s="3884"/>
      <c r="D62" s="3884"/>
      <c r="E62" s="3884"/>
      <c r="F62" s="3884"/>
      <c r="G62" s="3884"/>
      <c r="H62" s="3884"/>
      <c r="I62" s="3884"/>
      <c r="J62" s="3884"/>
      <c r="K62" s="3884"/>
      <c r="L62" s="30"/>
      <c r="M62" s="3725" t="s">
        <v>748</v>
      </c>
      <c r="N62" s="3726"/>
      <c r="O62" s="3727"/>
      <c r="P62" s="31"/>
      <c r="Q62" s="64"/>
      <c r="R62" s="64"/>
      <c r="S62" s="64"/>
      <c r="T62" s="64"/>
      <c r="U62" s="64"/>
      <c r="V62" s="64"/>
      <c r="W62" s="64"/>
    </row>
    <row r="63" spans="1:26" ht="19.5" customHeight="1" x14ac:dyDescent="0.35">
      <c r="A63" s="3876" t="s">
        <v>796</v>
      </c>
      <c r="B63" s="3877"/>
      <c r="C63" s="3877"/>
      <c r="D63" s="3877"/>
      <c r="E63" s="3877"/>
      <c r="F63" s="3877"/>
      <c r="G63" s="3877"/>
      <c r="H63" s="3877"/>
      <c r="I63" s="3877"/>
      <c r="J63" s="3877"/>
      <c r="K63" s="3877"/>
      <c r="L63" s="30"/>
      <c r="M63" s="3750" t="s">
        <v>794</v>
      </c>
      <c r="N63" s="3751"/>
      <c r="O63" s="3752"/>
      <c r="P63" s="31"/>
      <c r="Q63" s="64"/>
      <c r="R63" s="64"/>
      <c r="S63" s="64"/>
      <c r="T63" s="64"/>
      <c r="U63" s="64"/>
      <c r="V63" s="64"/>
      <c r="W63" s="64"/>
    </row>
    <row r="64" spans="1:26" ht="19.5" customHeight="1" x14ac:dyDescent="0.35">
      <c r="A64" s="3878"/>
      <c r="B64" s="3882"/>
      <c r="C64" s="3882"/>
      <c r="D64" s="3882"/>
      <c r="E64" s="3882"/>
      <c r="F64" s="3882"/>
      <c r="G64" s="3882"/>
      <c r="H64" s="3882"/>
      <c r="I64" s="3882"/>
      <c r="J64" s="3882"/>
      <c r="K64" s="3882"/>
      <c r="L64" s="30"/>
      <c r="M64" s="3753"/>
      <c r="N64" s="3754"/>
      <c r="O64" s="3755"/>
      <c r="P64" s="31"/>
      <c r="Q64" s="64"/>
      <c r="R64" s="64"/>
      <c r="S64" s="64"/>
      <c r="T64" s="64"/>
      <c r="U64" s="64"/>
      <c r="V64" s="64"/>
      <c r="W64" s="64"/>
    </row>
    <row r="65" spans="1:23" ht="19.5" customHeight="1" x14ac:dyDescent="0.35">
      <c r="A65" s="3878"/>
      <c r="B65" s="3882"/>
      <c r="C65" s="3882"/>
      <c r="D65" s="3882"/>
      <c r="E65" s="3882"/>
      <c r="F65" s="3882"/>
      <c r="G65" s="3882"/>
      <c r="H65" s="3882"/>
      <c r="I65" s="3882"/>
      <c r="J65" s="3882"/>
      <c r="K65" s="3882"/>
      <c r="L65" s="30"/>
      <c r="M65" s="3753"/>
      <c r="N65" s="3754"/>
      <c r="O65" s="3755"/>
      <c r="P65" s="31"/>
      <c r="Q65" s="64"/>
      <c r="R65" s="64"/>
      <c r="S65" s="64"/>
      <c r="T65" s="64"/>
      <c r="U65" s="64"/>
      <c r="V65" s="64"/>
      <c r="W65" s="64"/>
    </row>
    <row r="66" spans="1:23" ht="19.5" customHeight="1" thickBot="1" x14ac:dyDescent="0.4">
      <c r="A66" s="3880"/>
      <c r="B66" s="3881"/>
      <c r="C66" s="3881"/>
      <c r="D66" s="3881"/>
      <c r="E66" s="3881"/>
      <c r="F66" s="3881"/>
      <c r="G66" s="3881"/>
      <c r="H66" s="3881"/>
      <c r="I66" s="3881"/>
      <c r="J66" s="3881"/>
      <c r="K66" s="3881"/>
      <c r="L66" s="30"/>
      <c r="M66" s="3756"/>
      <c r="N66" s="3757"/>
      <c r="O66" s="3758"/>
      <c r="P66" s="31"/>
      <c r="Q66" s="64"/>
      <c r="R66" s="64"/>
      <c r="S66" s="64"/>
      <c r="T66" s="64"/>
      <c r="U66" s="64"/>
      <c r="V66" s="64"/>
      <c r="W66" s="64"/>
    </row>
    <row r="67" spans="1:23" ht="15" thickTop="1" x14ac:dyDescent="0.35">
      <c r="A67" s="64"/>
      <c r="B67" s="64"/>
      <c r="C67" s="64"/>
      <c r="D67" s="64"/>
      <c r="E67" s="64"/>
      <c r="F67" s="64"/>
      <c r="G67" s="64"/>
      <c r="H67" s="64"/>
      <c r="I67" s="64"/>
      <c r="J67" s="64"/>
      <c r="K67" s="64"/>
      <c r="L67" s="64"/>
      <c r="M67" s="64"/>
      <c r="N67" s="64"/>
      <c r="O67" s="64"/>
      <c r="P67" s="64"/>
      <c r="Q67" s="64"/>
      <c r="R67" s="64"/>
      <c r="S67" s="64"/>
      <c r="T67" s="64"/>
      <c r="U67" s="64"/>
      <c r="V67" s="64"/>
      <c r="W67" s="64"/>
    </row>
    <row r="68" spans="1:23" x14ac:dyDescent="0.35">
      <c r="A68" s="64"/>
      <c r="B68" s="64"/>
      <c r="C68" s="64"/>
      <c r="D68" s="64"/>
      <c r="E68" s="64"/>
      <c r="F68" s="64"/>
      <c r="G68" s="64"/>
      <c r="H68" s="64"/>
      <c r="I68" s="64"/>
      <c r="J68" s="64"/>
      <c r="K68" s="64"/>
      <c r="L68" s="64"/>
      <c r="M68" s="64"/>
      <c r="N68" s="64"/>
      <c r="O68" s="64"/>
      <c r="P68" s="64"/>
      <c r="Q68" s="64"/>
    </row>
    <row r="69" spans="1:23" x14ac:dyDescent="0.35">
      <c r="A69" s="64"/>
      <c r="B69" s="64"/>
      <c r="C69" s="64"/>
      <c r="D69" s="64"/>
      <c r="E69" s="64"/>
      <c r="F69" s="64"/>
      <c r="G69" s="64"/>
      <c r="H69" s="64"/>
      <c r="I69" s="64"/>
      <c r="J69" s="64"/>
      <c r="K69" s="64"/>
      <c r="L69" s="64"/>
      <c r="M69" s="64"/>
      <c r="N69" s="64"/>
      <c r="O69" s="64"/>
      <c r="P69" s="64"/>
      <c r="Q69" s="64"/>
    </row>
    <row r="70" spans="1:23" x14ac:dyDescent="0.35">
      <c r="A70" s="64"/>
      <c r="B70" s="64"/>
      <c r="C70" s="64"/>
      <c r="D70" s="64"/>
      <c r="E70" s="64"/>
      <c r="F70" s="64"/>
      <c r="G70" s="64"/>
      <c r="H70" s="64"/>
      <c r="I70" s="64"/>
      <c r="J70" s="64"/>
      <c r="K70" s="64"/>
      <c r="L70" s="64"/>
      <c r="M70" s="64"/>
      <c r="N70" s="64"/>
      <c r="O70" s="64"/>
      <c r="P70" s="64"/>
      <c r="Q70" s="64"/>
    </row>
  </sheetData>
  <mergeCells count="218">
    <mergeCell ref="D3:G3"/>
    <mergeCell ref="A4:G4"/>
    <mergeCell ref="H4:P4"/>
    <mergeCell ref="A5:B5"/>
    <mergeCell ref="C5:P5"/>
    <mergeCell ref="A6:B6"/>
    <mergeCell ref="C6:P6"/>
    <mergeCell ref="D1:G1"/>
    <mergeCell ref="I1:J1"/>
    <mergeCell ref="L1:M1"/>
    <mergeCell ref="D2:G2"/>
    <mergeCell ref="I2:J2"/>
    <mergeCell ref="L2:M2"/>
    <mergeCell ref="A10:P10"/>
    <mergeCell ref="A11:D11"/>
    <mergeCell ref="E11:H11"/>
    <mergeCell ref="I11:L11"/>
    <mergeCell ref="M11:P11"/>
    <mergeCell ref="A12:P12"/>
    <mergeCell ref="A7:D7"/>
    <mergeCell ref="E7:H7"/>
    <mergeCell ref="I7:L7"/>
    <mergeCell ref="M7:P7"/>
    <mergeCell ref="A8:P8"/>
    <mergeCell ref="A9:D9"/>
    <mergeCell ref="E9:H9"/>
    <mergeCell ref="I9:L9"/>
    <mergeCell ref="M9:P9"/>
    <mergeCell ref="A16:P16"/>
    <mergeCell ref="A17:D17"/>
    <mergeCell ref="E17:H17"/>
    <mergeCell ref="I17:L17"/>
    <mergeCell ref="M17:P17"/>
    <mergeCell ref="A18:P18"/>
    <mergeCell ref="A13:D13"/>
    <mergeCell ref="E13:H13"/>
    <mergeCell ref="I13:L13"/>
    <mergeCell ref="M13:P13"/>
    <mergeCell ref="A14:P14"/>
    <mergeCell ref="A15:D15"/>
    <mergeCell ref="E15:H15"/>
    <mergeCell ref="I15:L15"/>
    <mergeCell ref="M15:P15"/>
    <mergeCell ref="A22:P22"/>
    <mergeCell ref="A23:D23"/>
    <mergeCell ref="E23:H23"/>
    <mergeCell ref="I23:L23"/>
    <mergeCell ref="M23:P23"/>
    <mergeCell ref="A24:P24"/>
    <mergeCell ref="A19:D19"/>
    <mergeCell ref="E19:H19"/>
    <mergeCell ref="I19:L19"/>
    <mergeCell ref="M19:P19"/>
    <mergeCell ref="A20:P20"/>
    <mergeCell ref="A21:D21"/>
    <mergeCell ref="E21:H21"/>
    <mergeCell ref="I21:L21"/>
    <mergeCell ref="M21:P21"/>
    <mergeCell ref="A28:P28"/>
    <mergeCell ref="A29:D29"/>
    <mergeCell ref="E29:H29"/>
    <mergeCell ref="I29:L29"/>
    <mergeCell ref="M29:P29"/>
    <mergeCell ref="A30:P30"/>
    <mergeCell ref="A25:D25"/>
    <mergeCell ref="E25:H25"/>
    <mergeCell ref="I25:L25"/>
    <mergeCell ref="M25:P25"/>
    <mergeCell ref="A26:P26"/>
    <mergeCell ref="A27:D27"/>
    <mergeCell ref="E27:H27"/>
    <mergeCell ref="I27:L27"/>
    <mergeCell ref="M27:P27"/>
    <mergeCell ref="A33:D33"/>
    <mergeCell ref="E33:J33"/>
    <mergeCell ref="K33:P33"/>
    <mergeCell ref="A34:D34"/>
    <mergeCell ref="E34:F34"/>
    <mergeCell ref="G34:H34"/>
    <mergeCell ref="I34:J34"/>
    <mergeCell ref="K34:L34"/>
    <mergeCell ref="M34:N34"/>
    <mergeCell ref="O34:P34"/>
    <mergeCell ref="O35:P35"/>
    <mergeCell ref="R35:S35"/>
    <mergeCell ref="A36:D36"/>
    <mergeCell ref="E36:F36"/>
    <mergeCell ref="G36:H36"/>
    <mergeCell ref="I36:J36"/>
    <mergeCell ref="K36:L36"/>
    <mergeCell ref="M36:N36"/>
    <mergeCell ref="O36:P36"/>
    <mergeCell ref="R36:S36"/>
    <mergeCell ref="A35:D35"/>
    <mergeCell ref="E35:F35"/>
    <mergeCell ref="G35:H35"/>
    <mergeCell ref="I35:J35"/>
    <mergeCell ref="K35:L35"/>
    <mergeCell ref="M35:N35"/>
    <mergeCell ref="O37:P37"/>
    <mergeCell ref="R37:S37"/>
    <mergeCell ref="A38:D38"/>
    <mergeCell ref="E38:F38"/>
    <mergeCell ref="G38:H38"/>
    <mergeCell ref="I38:J38"/>
    <mergeCell ref="K38:L38"/>
    <mergeCell ref="M38:N38"/>
    <mergeCell ref="O38:P38"/>
    <mergeCell ref="R38:S38"/>
    <mergeCell ref="A37:D37"/>
    <mergeCell ref="E37:F37"/>
    <mergeCell ref="G37:H37"/>
    <mergeCell ref="I37:J37"/>
    <mergeCell ref="K37:L37"/>
    <mergeCell ref="M37:N37"/>
    <mergeCell ref="O39:P39"/>
    <mergeCell ref="R39:S39"/>
    <mergeCell ref="A40:D40"/>
    <mergeCell ref="E40:F40"/>
    <mergeCell ref="G40:H40"/>
    <mergeCell ref="I40:J40"/>
    <mergeCell ref="K40:L40"/>
    <mergeCell ref="M40:N40"/>
    <mergeCell ref="O40:P40"/>
    <mergeCell ref="R40:S40"/>
    <mergeCell ref="A39:D39"/>
    <mergeCell ref="E39:F39"/>
    <mergeCell ref="G39:H39"/>
    <mergeCell ref="I39:J39"/>
    <mergeCell ref="K39:L39"/>
    <mergeCell ref="M39:N39"/>
    <mergeCell ref="O41:P41"/>
    <mergeCell ref="R41:S41"/>
    <mergeCell ref="A42:D42"/>
    <mergeCell ref="E42:F42"/>
    <mergeCell ref="G42:H42"/>
    <mergeCell ref="I42:J42"/>
    <mergeCell ref="K42:L42"/>
    <mergeCell ref="M42:N42"/>
    <mergeCell ref="O42:P42"/>
    <mergeCell ref="R42:S42"/>
    <mergeCell ref="A41:D41"/>
    <mergeCell ref="E41:F41"/>
    <mergeCell ref="G41:H41"/>
    <mergeCell ref="I41:J41"/>
    <mergeCell ref="K41:L41"/>
    <mergeCell ref="M41:N41"/>
    <mergeCell ref="O43:P43"/>
    <mergeCell ref="R43:S43"/>
    <mergeCell ref="A44:D44"/>
    <mergeCell ref="E44:F44"/>
    <mergeCell ref="G44:H44"/>
    <mergeCell ref="I44:J44"/>
    <mergeCell ref="K44:L44"/>
    <mergeCell ref="M44:N44"/>
    <mergeCell ref="O44:P44"/>
    <mergeCell ref="R44:S44"/>
    <mergeCell ref="A43:D43"/>
    <mergeCell ref="E43:F43"/>
    <mergeCell ref="G43:H43"/>
    <mergeCell ref="I43:J43"/>
    <mergeCell ref="K43:L43"/>
    <mergeCell ref="M43:N43"/>
    <mergeCell ref="O45:P45"/>
    <mergeCell ref="R45:S45"/>
    <mergeCell ref="A46:D46"/>
    <mergeCell ref="E46:F46"/>
    <mergeCell ref="G46:H46"/>
    <mergeCell ref="I46:J46"/>
    <mergeCell ref="K46:L46"/>
    <mergeCell ref="M46:N46"/>
    <mergeCell ref="O46:P46"/>
    <mergeCell ref="R46:S46"/>
    <mergeCell ref="A45:D45"/>
    <mergeCell ref="E45:F45"/>
    <mergeCell ref="G45:H45"/>
    <mergeCell ref="I45:J45"/>
    <mergeCell ref="K45:L45"/>
    <mergeCell ref="M45:N45"/>
    <mergeCell ref="O47:P47"/>
    <mergeCell ref="R47:S47"/>
    <mergeCell ref="A48:D48"/>
    <mergeCell ref="E48:F48"/>
    <mergeCell ref="G48:H48"/>
    <mergeCell ref="I48:J48"/>
    <mergeCell ref="K48:L48"/>
    <mergeCell ref="M48:N48"/>
    <mergeCell ref="O48:P48"/>
    <mergeCell ref="R48:S48"/>
    <mergeCell ref="A47:D47"/>
    <mergeCell ref="E47:F47"/>
    <mergeCell ref="G47:H47"/>
    <mergeCell ref="I47:J47"/>
    <mergeCell ref="K47:L47"/>
    <mergeCell ref="M47:N47"/>
    <mergeCell ref="R49:S49"/>
    <mergeCell ref="C50:D51"/>
    <mergeCell ref="E50:F51"/>
    <mergeCell ref="G50:H51"/>
    <mergeCell ref="I50:J51"/>
    <mergeCell ref="K50:L51"/>
    <mergeCell ref="M50:N51"/>
    <mergeCell ref="O50:P51"/>
    <mergeCell ref="A49:D49"/>
    <mergeCell ref="E49:F49"/>
    <mergeCell ref="G49:H49"/>
    <mergeCell ref="I49:J49"/>
    <mergeCell ref="K49:L49"/>
    <mergeCell ref="M49:N49"/>
    <mergeCell ref="A63:K66"/>
    <mergeCell ref="M63:O66"/>
    <mergeCell ref="A55:K55"/>
    <mergeCell ref="M55:O55"/>
    <mergeCell ref="A56:K60"/>
    <mergeCell ref="M56:O60"/>
    <mergeCell ref="A62:K62"/>
    <mergeCell ref="M62:O62"/>
    <mergeCell ref="O49:P49"/>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A00-000000000000}">
      <formula1>AvancementTheme</formula1>
    </dataValidation>
  </dataValidations>
  <hyperlinks>
    <hyperlink ref="O1" location="DPDV_03CP3" display="PdV" xr:uid="{00000000-0004-0000-4A00-000000000000}"/>
    <hyperlink ref="P1" location="DKPI_03CP3" display="KPI's" xr:uid="{00000000-0004-0000-4A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euil28">
    <tabColor rgb="FFFFC000"/>
    <pageSetUpPr fitToPage="1"/>
  </sheetPr>
  <dimension ref="A1:AE104"/>
  <sheetViews>
    <sheetView showGridLines="0" showRowColHeaders="0" zoomScaleNormal="100" workbookViewId="0">
      <pane ySplit="5" topLeftCell="A6" activePane="bottomLeft" state="frozen"/>
      <selection activeCell="H7" sqref="H7"/>
      <selection pane="bottomLeft" activeCell="H7" sqref="H7:I7"/>
    </sheetView>
  </sheetViews>
  <sheetFormatPr baseColWidth="10" defaultColWidth="11.453125" defaultRowHeight="14.5" x14ac:dyDescent="0.35"/>
  <cols>
    <col min="1" max="1" width="9" style="60" customWidth="1"/>
    <col min="2" max="5" width="11.453125" style="60"/>
    <col min="6" max="6" width="0.54296875" style="60" customWidth="1"/>
    <col min="7" max="7" width="13.54296875" style="60" customWidth="1"/>
    <col min="8" max="9" width="11.453125" style="60"/>
    <col min="10" max="10" width="0.7265625" style="60" customWidth="1"/>
    <col min="11" max="11" width="11" style="60" customWidth="1"/>
    <col min="12" max="12" width="12.81640625" style="60" customWidth="1"/>
    <col min="13" max="14" width="11.453125" style="60"/>
    <col min="15" max="15" width="11.453125" style="60" customWidth="1"/>
    <col min="16" max="16384" width="11.453125" style="60"/>
  </cols>
  <sheetData>
    <row r="1" spans="1:31"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458"/>
      <c r="R1" s="458"/>
      <c r="S1" s="458"/>
    </row>
    <row r="2" spans="1:31" s="58" customFormat="1" ht="18" customHeight="1" x14ac:dyDescent="0.35">
      <c r="A2" s="393"/>
      <c r="B2" s="393"/>
      <c r="C2" s="393"/>
      <c r="D2" s="3342" t="str">
        <f>NomClient</f>
        <v xml:space="preserve">EQUINIX </v>
      </c>
      <c r="E2" s="3343"/>
      <c r="F2" s="3343"/>
      <c r="G2" s="3344"/>
      <c r="H2" s="393"/>
      <c r="I2" s="3345" t="s">
        <v>410</v>
      </c>
      <c r="J2" s="3346"/>
      <c r="K2" s="393"/>
      <c r="L2" s="3347">
        <v>42420.657604166663</v>
      </c>
      <c r="M2" s="3348"/>
      <c r="N2" s="394"/>
      <c r="O2" s="451">
        <f>IF(LEN(DPDV_03CK3)&gt;0,LEN(DPDV_03CK3),0-PDV_NBmini)</f>
        <v>58</v>
      </c>
      <c r="P2" s="451">
        <f>IF(LEN(DKPI_03CK3)&gt;0,LEN(DKPI_03CK3),0-KPI_NBmini)</f>
        <v>31</v>
      </c>
      <c r="Q2" s="459"/>
      <c r="R2" s="459"/>
      <c r="S2" s="459"/>
    </row>
    <row r="3" spans="1:3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31" s="1" customFormat="1" ht="24.75" customHeight="1" thickBot="1" x14ac:dyDescent="0.4">
      <c r="A4" s="3507" t="str">
        <f>Parametre!B25  &amp; "  : "</f>
        <v xml:space="preserve">Positionnement de l'offre  : </v>
      </c>
      <c r="B4" s="3507"/>
      <c r="C4" s="3507"/>
      <c r="D4" s="3507"/>
      <c r="E4" s="3507"/>
      <c r="F4" s="3507"/>
      <c r="G4" s="3507"/>
      <c r="H4" s="3505" t="str">
        <f xml:space="preserve"> "Channel ready pour " &amp; NomProd3</f>
        <v xml:space="preserve">Channel ready pour </v>
      </c>
      <c r="I4" s="3505"/>
      <c r="J4" s="3505"/>
      <c r="K4" s="3505"/>
      <c r="L4" s="3505"/>
      <c r="M4" s="3505"/>
      <c r="N4" s="3505"/>
      <c r="O4" s="3505"/>
      <c r="P4" s="3506"/>
      <c r="Q4" s="444"/>
      <c r="R4" s="444"/>
      <c r="S4" s="444"/>
    </row>
    <row r="5" spans="1:31" s="193" customFormat="1" ht="29.25" customHeight="1" thickBot="1" x14ac:dyDescent="0.4">
      <c r="A5" s="3438" t="s">
        <v>14</v>
      </c>
      <c r="B5" s="3438"/>
      <c r="C5" s="3508" t="s">
        <v>753</v>
      </c>
      <c r="D5" s="3508"/>
      <c r="E5" s="3508"/>
      <c r="F5" s="3508"/>
      <c r="G5" s="3508"/>
      <c r="H5" s="3508"/>
      <c r="I5" s="3508"/>
      <c r="J5" s="3508"/>
      <c r="K5" s="3508"/>
      <c r="L5" s="3508"/>
      <c r="M5" s="3508"/>
      <c r="N5" s="3508"/>
      <c r="O5" s="3508"/>
      <c r="P5" s="3508"/>
      <c r="Q5" s="460"/>
      <c r="R5" s="460"/>
      <c r="S5" s="460"/>
    </row>
    <row r="6" spans="1:31" ht="16" thickTop="1" x14ac:dyDescent="0.35">
      <c r="A6" s="4452"/>
      <c r="B6" s="4535" t="s">
        <v>260</v>
      </c>
      <c r="C6" s="4536"/>
      <c r="D6" s="4536"/>
      <c r="E6" s="4536"/>
      <c r="F6" s="4534" t="str">
        <f>"Vue du " &amp; ChanlReadyAxe1</f>
        <v>Vue du EQUINIX</v>
      </c>
      <c r="G6" s="4534"/>
      <c r="H6" s="4534" t="str">
        <f>"Vue du " &amp; ChanlReadyAxe2</f>
        <v>Vue du ASEMA</v>
      </c>
      <c r="I6" s="4534"/>
      <c r="J6" s="4544" t="s">
        <v>246</v>
      </c>
      <c r="K6" s="4544"/>
      <c r="L6" s="4544" t="s">
        <v>247</v>
      </c>
      <c r="M6" s="4534" t="s">
        <v>18</v>
      </c>
      <c r="N6" s="4534"/>
      <c r="O6" s="4534"/>
      <c r="P6" s="4539"/>
      <c r="Q6" s="463"/>
      <c r="R6" s="463"/>
      <c r="S6" s="64"/>
      <c r="U6" s="66"/>
      <c r="V6" s="66"/>
      <c r="W6" s="72"/>
      <c r="X6" s="73"/>
      <c r="Y6" s="73"/>
      <c r="Z6" s="66"/>
      <c r="AA6" s="66"/>
      <c r="AB6" s="66"/>
      <c r="AC6" s="66"/>
      <c r="AD6" s="66"/>
      <c r="AE6" s="66"/>
    </row>
    <row r="7" spans="1:31" s="193" customFormat="1" ht="16" thickBot="1" x14ac:dyDescent="0.4">
      <c r="A7" s="4452"/>
      <c r="B7" s="4537"/>
      <c r="C7" s="4538"/>
      <c r="D7" s="4538"/>
      <c r="E7" s="4538"/>
      <c r="F7" s="4543" t="s">
        <v>16</v>
      </c>
      <c r="G7" s="4543"/>
      <c r="H7" s="4540" t="s">
        <v>16</v>
      </c>
      <c r="I7" s="4540"/>
      <c r="J7" s="4545"/>
      <c r="K7" s="4545"/>
      <c r="L7" s="4545"/>
      <c r="M7" s="4540"/>
      <c r="N7" s="4540"/>
      <c r="O7" s="4540"/>
      <c r="P7" s="4541"/>
      <c r="Q7" s="460"/>
      <c r="R7" s="460"/>
      <c r="S7" s="460"/>
      <c r="T7" s="94"/>
      <c r="U7" s="94"/>
      <c r="V7" s="95"/>
      <c r="W7" s="96"/>
      <c r="X7" s="96"/>
      <c r="Y7" s="94"/>
      <c r="Z7" s="94"/>
      <c r="AA7" s="94"/>
      <c r="AB7" s="94"/>
      <c r="AC7" s="94"/>
      <c r="AD7" s="94"/>
    </row>
    <row r="8" spans="1:31" ht="9" customHeight="1" thickTop="1" x14ac:dyDescent="0.35">
      <c r="A8" s="4532" t="s">
        <v>259</v>
      </c>
      <c r="B8" s="4518"/>
      <c r="C8" s="4519"/>
      <c r="D8" s="4519"/>
      <c r="E8" s="4519"/>
      <c r="F8" s="4519"/>
      <c r="G8" s="4519"/>
      <c r="H8" s="4519"/>
      <c r="I8" s="4519"/>
      <c r="J8" s="4519"/>
      <c r="K8" s="4519"/>
      <c r="L8" s="4519"/>
      <c r="M8" s="4519"/>
      <c r="N8" s="4519"/>
      <c r="O8" s="4519"/>
      <c r="P8" s="4520"/>
      <c r="Q8" s="463"/>
      <c r="R8" s="463"/>
      <c r="S8" s="64"/>
      <c r="U8" s="66"/>
      <c r="V8" s="66"/>
      <c r="W8" s="72"/>
      <c r="X8" s="73"/>
      <c r="Y8" s="73"/>
      <c r="Z8" s="66"/>
      <c r="AA8" s="66"/>
      <c r="AB8" s="66"/>
      <c r="AC8" s="66"/>
      <c r="AD8" s="66"/>
      <c r="AE8" s="66"/>
    </row>
    <row r="9" spans="1:31" ht="42.75" customHeight="1" x14ac:dyDescent="0.35">
      <c r="A9" s="4533"/>
      <c r="B9" s="4500" t="s">
        <v>538</v>
      </c>
      <c r="C9" s="4501"/>
      <c r="D9" s="4501"/>
      <c r="E9" s="4501"/>
      <c r="F9" s="4502"/>
      <c r="G9" s="4502"/>
      <c r="H9" s="4502"/>
      <c r="I9" s="4502"/>
      <c r="J9" s="4503">
        <f>ABS(F9-H9)</f>
        <v>0</v>
      </c>
      <c r="K9" s="4503"/>
      <c r="L9" s="1505">
        <v>10</v>
      </c>
      <c r="M9" s="4504"/>
      <c r="N9" s="4504"/>
      <c r="O9" s="4504"/>
      <c r="P9" s="4505"/>
      <c r="Q9" s="463"/>
      <c r="R9" s="463"/>
      <c r="S9" s="64"/>
      <c r="U9" s="66"/>
      <c r="V9" s="66"/>
      <c r="W9" s="72"/>
      <c r="X9" s="73"/>
      <c r="Y9" s="73"/>
      <c r="Z9" s="66"/>
      <c r="AA9" s="66"/>
      <c r="AB9" s="66"/>
      <c r="AC9" s="66"/>
      <c r="AD9" s="66"/>
      <c r="AE9" s="66"/>
    </row>
    <row r="10" spans="1:31" ht="39" customHeight="1" x14ac:dyDescent="0.35">
      <c r="A10" s="4533"/>
      <c r="B10" s="4500" t="s">
        <v>539</v>
      </c>
      <c r="C10" s="4501"/>
      <c r="D10" s="4501"/>
      <c r="E10" s="4501"/>
      <c r="F10" s="4502"/>
      <c r="G10" s="4502"/>
      <c r="H10" s="4502"/>
      <c r="I10" s="4502"/>
      <c r="J10" s="4503">
        <f t="shared" ref="J10:J19" si="0">ABS(F10-H10)</f>
        <v>0</v>
      </c>
      <c r="K10" s="4503"/>
      <c r="L10" s="1505">
        <v>10</v>
      </c>
      <c r="M10" s="4504"/>
      <c r="N10" s="4504"/>
      <c r="O10" s="4504"/>
      <c r="P10" s="4505"/>
      <c r="Q10" s="463"/>
      <c r="R10" s="463"/>
      <c r="S10" s="64"/>
      <c r="U10" s="66"/>
      <c r="V10" s="66"/>
      <c r="W10" s="72"/>
      <c r="X10" s="73"/>
      <c r="Y10" s="73"/>
      <c r="Z10" s="66"/>
      <c r="AA10" s="66"/>
      <c r="AB10" s="66"/>
      <c r="AC10" s="66"/>
      <c r="AD10" s="66"/>
      <c r="AE10" s="66"/>
    </row>
    <row r="11" spans="1:31" ht="30" customHeight="1" x14ac:dyDescent="0.35">
      <c r="A11" s="4533"/>
      <c r="B11" s="4500" t="s">
        <v>248</v>
      </c>
      <c r="C11" s="4501"/>
      <c r="D11" s="4501"/>
      <c r="E11" s="4501"/>
      <c r="F11" s="4502"/>
      <c r="G11" s="4502"/>
      <c r="H11" s="4502"/>
      <c r="I11" s="4502"/>
      <c r="J11" s="4503">
        <f t="shared" si="0"/>
        <v>0</v>
      </c>
      <c r="K11" s="4503"/>
      <c r="L11" s="1505">
        <v>10</v>
      </c>
      <c r="M11" s="4504"/>
      <c r="N11" s="4504"/>
      <c r="O11" s="4504"/>
      <c r="P11" s="4505"/>
      <c r="Q11" s="463"/>
      <c r="R11" s="463"/>
      <c r="S11" s="64"/>
      <c r="U11" s="66"/>
      <c r="V11" s="66"/>
      <c r="W11" s="72"/>
      <c r="X11" s="73"/>
      <c r="Y11" s="73"/>
      <c r="Z11" s="66"/>
      <c r="AA11" s="66"/>
      <c r="AB11" s="66"/>
      <c r="AC11" s="66"/>
      <c r="AD11" s="66"/>
      <c r="AE11" s="66"/>
    </row>
    <row r="12" spans="1:31" ht="30" customHeight="1" x14ac:dyDescent="0.35">
      <c r="A12" s="4533"/>
      <c r="B12" s="4500" t="s">
        <v>540</v>
      </c>
      <c r="C12" s="4501"/>
      <c r="D12" s="4501"/>
      <c r="E12" s="4501"/>
      <c r="F12" s="4502"/>
      <c r="G12" s="4502"/>
      <c r="H12" s="4502"/>
      <c r="I12" s="4502"/>
      <c r="J12" s="4503">
        <f t="shared" si="0"/>
        <v>0</v>
      </c>
      <c r="K12" s="4503"/>
      <c r="L12" s="1505">
        <v>10</v>
      </c>
      <c r="M12" s="4504"/>
      <c r="N12" s="4504"/>
      <c r="O12" s="4504"/>
      <c r="P12" s="4505"/>
      <c r="Q12" s="463"/>
      <c r="R12" s="463"/>
      <c r="S12" s="64"/>
      <c r="U12" s="66"/>
      <c r="V12" s="66"/>
      <c r="W12" s="72"/>
      <c r="X12" s="73"/>
      <c r="Y12" s="73"/>
      <c r="Z12" s="66"/>
      <c r="AA12" s="66"/>
      <c r="AB12" s="66"/>
      <c r="AC12" s="66"/>
      <c r="AD12" s="66"/>
      <c r="AE12" s="66"/>
    </row>
    <row r="13" spans="1:31" ht="30" customHeight="1" x14ac:dyDescent="0.35">
      <c r="A13" s="4533"/>
      <c r="B13" s="4500" t="s">
        <v>541</v>
      </c>
      <c r="C13" s="4500"/>
      <c r="D13" s="4500"/>
      <c r="E13" s="4500"/>
      <c r="F13" s="4502"/>
      <c r="G13" s="4502"/>
      <c r="H13" s="4502"/>
      <c r="I13" s="4502"/>
      <c r="J13" s="4503">
        <f t="shared" si="0"/>
        <v>0</v>
      </c>
      <c r="K13" s="4503"/>
      <c r="L13" s="1505">
        <v>10</v>
      </c>
      <c r="M13" s="4504"/>
      <c r="N13" s="4504"/>
      <c r="O13" s="4504"/>
      <c r="P13" s="4505"/>
      <c r="Q13" s="463"/>
      <c r="R13" s="463"/>
      <c r="S13" s="64"/>
      <c r="U13" s="66"/>
      <c r="V13" s="66"/>
      <c r="W13" s="72"/>
      <c r="X13" s="73"/>
      <c r="Y13" s="73"/>
      <c r="Z13" s="66"/>
      <c r="AA13" s="66"/>
      <c r="AB13" s="66"/>
      <c r="AC13" s="66"/>
      <c r="AD13" s="66"/>
      <c r="AE13" s="66"/>
    </row>
    <row r="14" spans="1:31" ht="30" customHeight="1" x14ac:dyDescent="0.35">
      <c r="A14" s="4533"/>
      <c r="B14" s="4500" t="s">
        <v>542</v>
      </c>
      <c r="C14" s="4501"/>
      <c r="D14" s="4501"/>
      <c r="E14" s="4501"/>
      <c r="F14" s="4502"/>
      <c r="G14" s="4502"/>
      <c r="H14" s="4502"/>
      <c r="I14" s="4502"/>
      <c r="J14" s="4503">
        <f t="shared" si="0"/>
        <v>0</v>
      </c>
      <c r="K14" s="4503"/>
      <c r="L14" s="1505">
        <v>10</v>
      </c>
      <c r="M14" s="4504"/>
      <c r="N14" s="4504"/>
      <c r="O14" s="4504"/>
      <c r="P14" s="4505"/>
      <c r="Q14" s="463"/>
      <c r="R14" s="463"/>
      <c r="S14" s="64"/>
      <c r="U14" s="66"/>
      <c r="V14" s="66"/>
      <c r="W14" s="72"/>
      <c r="X14" s="73"/>
      <c r="Y14" s="73"/>
      <c r="Z14" s="66"/>
      <c r="AA14" s="66"/>
      <c r="AB14" s="66"/>
      <c r="AC14" s="66"/>
      <c r="AD14" s="66"/>
      <c r="AE14" s="66"/>
    </row>
    <row r="15" spans="1:31" ht="30" customHeight="1" x14ac:dyDescent="0.35">
      <c r="A15" s="4533"/>
      <c r="B15" s="4500" t="s">
        <v>874</v>
      </c>
      <c r="C15" s="4501"/>
      <c r="D15" s="4501"/>
      <c r="E15" s="4501"/>
      <c r="F15" s="4502"/>
      <c r="G15" s="4502"/>
      <c r="H15" s="4502"/>
      <c r="I15" s="4502"/>
      <c r="J15" s="4503">
        <f t="shared" si="0"/>
        <v>0</v>
      </c>
      <c r="K15" s="4503"/>
      <c r="L15" s="1505">
        <v>10</v>
      </c>
      <c r="M15" s="4504"/>
      <c r="N15" s="4504"/>
      <c r="O15" s="4504"/>
      <c r="P15" s="4505"/>
      <c r="Q15" s="463"/>
      <c r="R15" s="463"/>
      <c r="S15" s="64"/>
      <c r="U15" s="66"/>
      <c r="V15" s="66"/>
      <c r="W15" s="72"/>
      <c r="X15" s="73"/>
      <c r="Y15" s="73"/>
      <c r="Z15" s="66"/>
      <c r="AA15" s="66"/>
      <c r="AB15" s="66"/>
      <c r="AC15" s="66"/>
      <c r="AD15" s="66"/>
      <c r="AE15" s="66"/>
    </row>
    <row r="16" spans="1:31" ht="30" customHeight="1" x14ac:dyDescent="0.35">
      <c r="A16" s="4533"/>
      <c r="B16" s="4500" t="s">
        <v>543</v>
      </c>
      <c r="C16" s="4501"/>
      <c r="D16" s="4501"/>
      <c r="E16" s="4501"/>
      <c r="F16" s="4502"/>
      <c r="G16" s="4502"/>
      <c r="H16" s="4502"/>
      <c r="I16" s="4502"/>
      <c r="J16" s="4503">
        <f t="shared" si="0"/>
        <v>0</v>
      </c>
      <c r="K16" s="4503"/>
      <c r="L16" s="1505">
        <v>10</v>
      </c>
      <c r="M16" s="4504"/>
      <c r="N16" s="4504"/>
      <c r="O16" s="4504"/>
      <c r="P16" s="4505"/>
      <c r="Q16" s="463"/>
      <c r="R16" s="463"/>
      <c r="S16" s="64"/>
      <c r="U16" s="66"/>
      <c r="V16" s="66"/>
      <c r="W16" s="72"/>
      <c r="X16" s="73"/>
      <c r="Y16" s="73"/>
      <c r="Z16" s="66"/>
      <c r="AA16" s="66"/>
      <c r="AB16" s="66"/>
      <c r="AC16" s="66"/>
      <c r="AD16" s="66"/>
      <c r="AE16" s="66"/>
    </row>
    <row r="17" spans="1:31" ht="30" customHeight="1" x14ac:dyDescent="0.35">
      <c r="A17" s="4533"/>
      <c r="B17" s="4500" t="s">
        <v>544</v>
      </c>
      <c r="C17" s="4501"/>
      <c r="D17" s="4501"/>
      <c r="E17" s="4501"/>
      <c r="F17" s="4502"/>
      <c r="G17" s="4502"/>
      <c r="H17" s="4502"/>
      <c r="I17" s="4502"/>
      <c r="J17" s="4503">
        <f t="shared" si="0"/>
        <v>0</v>
      </c>
      <c r="K17" s="4503"/>
      <c r="L17" s="1505">
        <v>10</v>
      </c>
      <c r="M17" s="4504"/>
      <c r="N17" s="4504"/>
      <c r="O17" s="4504"/>
      <c r="P17" s="4505"/>
      <c r="Q17" s="463"/>
      <c r="R17" s="463"/>
      <c r="S17" s="64"/>
      <c r="U17" s="66"/>
      <c r="V17" s="66"/>
      <c r="W17" s="72"/>
      <c r="X17" s="73"/>
      <c r="Y17" s="73"/>
      <c r="Z17" s="66"/>
      <c r="AA17" s="66"/>
      <c r="AB17" s="66"/>
      <c r="AC17" s="66"/>
      <c r="AD17" s="66"/>
      <c r="AE17" s="66"/>
    </row>
    <row r="18" spans="1:31" ht="30" customHeight="1" x14ac:dyDescent="0.35">
      <c r="A18" s="4533"/>
      <c r="B18" s="4500" t="s">
        <v>545</v>
      </c>
      <c r="C18" s="4501"/>
      <c r="D18" s="4501"/>
      <c r="E18" s="4501"/>
      <c r="F18" s="4502"/>
      <c r="G18" s="4502"/>
      <c r="H18" s="4502"/>
      <c r="I18" s="4502"/>
      <c r="J18" s="4503">
        <f t="shared" si="0"/>
        <v>0</v>
      </c>
      <c r="K18" s="4503"/>
      <c r="L18" s="1505">
        <v>10</v>
      </c>
      <c r="M18" s="4504"/>
      <c r="N18" s="4504"/>
      <c r="O18" s="4504"/>
      <c r="P18" s="4505"/>
      <c r="Q18" s="463"/>
      <c r="R18" s="463"/>
      <c r="S18" s="64"/>
      <c r="U18" s="66"/>
      <c r="V18" s="66"/>
      <c r="W18" s="72"/>
      <c r="X18" s="73"/>
      <c r="Y18" s="73"/>
      <c r="Z18" s="66"/>
      <c r="AA18" s="66"/>
      <c r="AB18" s="66"/>
      <c r="AC18" s="66"/>
      <c r="AD18" s="66"/>
      <c r="AE18" s="66"/>
    </row>
    <row r="19" spans="1:31" ht="30" customHeight="1" x14ac:dyDescent="0.35">
      <c r="A19" s="4533"/>
      <c r="B19" s="4512" t="s">
        <v>546</v>
      </c>
      <c r="C19" s="4501"/>
      <c r="D19" s="4501"/>
      <c r="E19" s="4501"/>
      <c r="F19" s="4502"/>
      <c r="G19" s="4502"/>
      <c r="H19" s="4502"/>
      <c r="I19" s="4502"/>
      <c r="J19" s="4503">
        <f t="shared" si="0"/>
        <v>0</v>
      </c>
      <c r="K19" s="4503"/>
      <c r="L19" s="1505">
        <v>10</v>
      </c>
      <c r="M19" s="4504"/>
      <c r="N19" s="4504"/>
      <c r="O19" s="4504"/>
      <c r="P19" s="4505"/>
      <c r="Q19" s="463"/>
      <c r="R19" s="463"/>
      <c r="S19" s="64"/>
      <c r="U19" s="66"/>
      <c r="V19" s="66"/>
      <c r="W19" s="72"/>
      <c r="X19" s="73"/>
      <c r="Y19" s="73"/>
      <c r="Z19" s="66"/>
      <c r="AA19" s="66"/>
      <c r="AB19" s="66"/>
      <c r="AC19" s="66"/>
      <c r="AD19" s="66"/>
      <c r="AE19" s="66"/>
    </row>
    <row r="20" spans="1:31" ht="30" customHeight="1" x14ac:dyDescent="0.35">
      <c r="A20" s="4533"/>
      <c r="B20" s="4512" t="s">
        <v>547</v>
      </c>
      <c r="C20" s="4501"/>
      <c r="D20" s="4501"/>
      <c r="E20" s="4501"/>
      <c r="F20" s="4502"/>
      <c r="G20" s="4502"/>
      <c r="H20" s="4502"/>
      <c r="I20" s="4502"/>
      <c r="J20" s="4503">
        <f>ABS(F20-H20)</f>
        <v>0</v>
      </c>
      <c r="K20" s="4503"/>
      <c r="L20" s="1505">
        <v>10</v>
      </c>
      <c r="M20" s="4504"/>
      <c r="N20" s="4504"/>
      <c r="O20" s="4504"/>
      <c r="P20" s="4505"/>
      <c r="Q20" s="463"/>
      <c r="R20" s="463"/>
      <c r="S20" s="64"/>
      <c r="U20" s="66"/>
      <c r="V20" s="66"/>
      <c r="W20" s="72"/>
      <c r="X20" s="73"/>
      <c r="Y20" s="73"/>
      <c r="Z20" s="66"/>
      <c r="AA20" s="66"/>
      <c r="AB20" s="66"/>
      <c r="AC20" s="66"/>
      <c r="AD20" s="66"/>
      <c r="AE20" s="66"/>
    </row>
    <row r="21" spans="1:31" s="1378" customFormat="1" ht="12" customHeight="1" thickBot="1" x14ac:dyDescent="0.4">
      <c r="A21" s="4533"/>
      <c r="B21" s="4524" t="s">
        <v>1385</v>
      </c>
      <c r="C21" s="4525"/>
      <c r="D21" s="4525"/>
      <c r="E21" s="4525"/>
      <c r="F21" s="4521" t="e">
        <f>AVERAGE(F9:G20)</f>
        <v>#DIV/0!</v>
      </c>
      <c r="G21" s="4521"/>
      <c r="H21" s="4521" t="e">
        <f>AVERAGE(H9:I20)</f>
        <v>#DIV/0!</v>
      </c>
      <c r="I21" s="4521"/>
      <c r="J21" s="4526"/>
      <c r="K21" s="4526"/>
      <c r="L21" s="1377"/>
      <c r="M21" s="4527"/>
      <c r="N21" s="4528"/>
      <c r="O21" s="4528"/>
      <c r="P21" s="4529"/>
      <c r="Q21" s="1375"/>
      <c r="R21" s="1375"/>
      <c r="S21" s="1375"/>
      <c r="U21" s="1379"/>
      <c r="V21" s="1379"/>
      <c r="W21" s="1380"/>
      <c r="X21" s="1376"/>
      <c r="Y21" s="1376"/>
      <c r="Z21" s="1379"/>
      <c r="AA21" s="1379"/>
      <c r="AB21" s="1379"/>
      <c r="AC21" s="1379"/>
      <c r="AD21" s="1379"/>
      <c r="AE21" s="1379"/>
    </row>
    <row r="22" spans="1:31" ht="9" customHeight="1" x14ac:dyDescent="0.35">
      <c r="A22" s="4530" t="s">
        <v>571</v>
      </c>
      <c r="B22" s="4518"/>
      <c r="C22" s="4519"/>
      <c r="D22" s="4519"/>
      <c r="E22" s="4519"/>
      <c r="F22" s="4519"/>
      <c r="G22" s="4519"/>
      <c r="H22" s="4519"/>
      <c r="I22" s="4519"/>
      <c r="J22" s="4519"/>
      <c r="K22" s="4519"/>
      <c r="L22" s="4519"/>
      <c r="M22" s="4519"/>
      <c r="N22" s="4519"/>
      <c r="O22" s="4519"/>
      <c r="P22" s="4520"/>
      <c r="Q22" s="463"/>
      <c r="R22" s="463"/>
      <c r="S22" s="64"/>
      <c r="U22" s="66"/>
      <c r="V22" s="66"/>
      <c r="W22" s="72"/>
      <c r="X22" s="73"/>
      <c r="Y22" s="73"/>
      <c r="Z22" s="66"/>
      <c r="AA22" s="66"/>
      <c r="AB22" s="66"/>
      <c r="AC22" s="66"/>
      <c r="AD22" s="66"/>
      <c r="AE22" s="66"/>
    </row>
    <row r="23" spans="1:31" ht="30" customHeight="1" x14ac:dyDescent="0.35">
      <c r="A23" s="4531"/>
      <c r="B23" s="4500" t="s">
        <v>249</v>
      </c>
      <c r="C23" s="4501"/>
      <c r="D23" s="4501"/>
      <c r="E23" s="4501"/>
      <c r="F23" s="4502"/>
      <c r="G23" s="4502"/>
      <c r="H23" s="4502">
        <v>0</v>
      </c>
      <c r="I23" s="4502"/>
      <c r="J23" s="4503">
        <f t="shared" ref="J23:J31" si="1">ABS(F23-H23)</f>
        <v>0</v>
      </c>
      <c r="K23" s="4503"/>
      <c r="L23" s="1505">
        <v>10</v>
      </c>
      <c r="M23" s="4504"/>
      <c r="N23" s="4504"/>
      <c r="O23" s="4504"/>
      <c r="P23" s="4505"/>
      <c r="Q23" s="463"/>
      <c r="R23" s="463"/>
      <c r="S23" s="64"/>
      <c r="U23" s="66"/>
      <c r="V23" s="66"/>
      <c r="W23" s="72"/>
      <c r="X23" s="73"/>
      <c r="Y23" s="73"/>
      <c r="Z23" s="66"/>
      <c r="AA23" s="66"/>
      <c r="AB23" s="66"/>
      <c r="AC23" s="66"/>
      <c r="AD23" s="66"/>
      <c r="AE23" s="66"/>
    </row>
    <row r="24" spans="1:31" ht="30" customHeight="1" x14ac:dyDescent="0.35">
      <c r="A24" s="4531"/>
      <c r="B24" s="4500" t="s">
        <v>875</v>
      </c>
      <c r="C24" s="4501"/>
      <c r="D24" s="4501"/>
      <c r="E24" s="4501"/>
      <c r="F24" s="4502"/>
      <c r="G24" s="4502"/>
      <c r="H24" s="4502"/>
      <c r="I24" s="4502"/>
      <c r="J24" s="4503">
        <f t="shared" si="1"/>
        <v>0</v>
      </c>
      <c r="K24" s="4503"/>
      <c r="L24" s="1505">
        <v>10</v>
      </c>
      <c r="M24" s="4504"/>
      <c r="N24" s="4504"/>
      <c r="O24" s="4504"/>
      <c r="P24" s="4505"/>
      <c r="Q24" s="463"/>
      <c r="R24" s="463"/>
      <c r="S24" s="64"/>
      <c r="U24" s="66"/>
      <c r="V24" s="66"/>
      <c r="W24" s="72"/>
      <c r="X24" s="73"/>
      <c r="Y24" s="73"/>
      <c r="Z24" s="66"/>
      <c r="AA24" s="66"/>
      <c r="AB24" s="66"/>
      <c r="AC24" s="66"/>
      <c r="AD24" s="66"/>
      <c r="AE24" s="66"/>
    </row>
    <row r="25" spans="1:31" ht="30" customHeight="1" x14ac:dyDescent="0.35">
      <c r="A25" s="4531"/>
      <c r="B25" s="4500" t="s">
        <v>548</v>
      </c>
      <c r="C25" s="4501"/>
      <c r="D25" s="4501"/>
      <c r="E25" s="4501"/>
      <c r="F25" s="4502"/>
      <c r="G25" s="4502"/>
      <c r="H25" s="4502"/>
      <c r="I25" s="4502"/>
      <c r="J25" s="4503">
        <f t="shared" si="1"/>
        <v>0</v>
      </c>
      <c r="K25" s="4503"/>
      <c r="L25" s="1505">
        <v>10</v>
      </c>
      <c r="M25" s="4504"/>
      <c r="N25" s="4504"/>
      <c r="O25" s="4504"/>
      <c r="P25" s="4505"/>
      <c r="Q25" s="463"/>
      <c r="R25" s="463"/>
      <c r="S25" s="64"/>
      <c r="U25" s="66"/>
      <c r="V25" s="66"/>
      <c r="W25" s="72"/>
      <c r="X25" s="73"/>
      <c r="Y25" s="73"/>
      <c r="Z25" s="66"/>
      <c r="AA25" s="66"/>
      <c r="AB25" s="66"/>
      <c r="AC25" s="66"/>
      <c r="AD25" s="66"/>
      <c r="AE25" s="66"/>
    </row>
    <row r="26" spans="1:31" ht="30" customHeight="1" x14ac:dyDescent="0.35">
      <c r="A26" s="4531"/>
      <c r="B26" s="4500" t="s">
        <v>549</v>
      </c>
      <c r="C26" s="4501"/>
      <c r="D26" s="4501"/>
      <c r="E26" s="4501"/>
      <c r="F26" s="4502"/>
      <c r="G26" s="4502"/>
      <c r="H26" s="4502"/>
      <c r="I26" s="4502"/>
      <c r="J26" s="4503">
        <f t="shared" si="1"/>
        <v>0</v>
      </c>
      <c r="K26" s="4503"/>
      <c r="L26" s="1505">
        <v>10</v>
      </c>
      <c r="M26" s="4504"/>
      <c r="N26" s="4504"/>
      <c r="O26" s="4504"/>
      <c r="P26" s="4505"/>
      <c r="Q26" s="463"/>
      <c r="R26" s="463"/>
      <c r="S26" s="64"/>
      <c r="U26" s="66"/>
      <c r="V26" s="66"/>
      <c r="W26" s="72"/>
      <c r="X26" s="73"/>
      <c r="Y26" s="73"/>
      <c r="Z26" s="66"/>
      <c r="AA26" s="66"/>
      <c r="AB26" s="66"/>
      <c r="AC26" s="66"/>
      <c r="AD26" s="66"/>
      <c r="AE26" s="66"/>
    </row>
    <row r="27" spans="1:31" ht="30" customHeight="1" x14ac:dyDescent="0.35">
      <c r="A27" s="4531"/>
      <c r="B27" s="4500" t="s">
        <v>250</v>
      </c>
      <c r="C27" s="4501"/>
      <c r="D27" s="4501"/>
      <c r="E27" s="4501"/>
      <c r="F27" s="4502"/>
      <c r="G27" s="4502"/>
      <c r="H27" s="4502"/>
      <c r="I27" s="4502"/>
      <c r="J27" s="4503">
        <f t="shared" si="1"/>
        <v>0</v>
      </c>
      <c r="K27" s="4503"/>
      <c r="L27" s="1505">
        <v>10</v>
      </c>
      <c r="M27" s="4504"/>
      <c r="N27" s="4504"/>
      <c r="O27" s="4504"/>
      <c r="P27" s="4505"/>
      <c r="Q27" s="463"/>
      <c r="R27" s="463"/>
      <c r="S27" s="64"/>
      <c r="U27" s="66"/>
      <c r="V27" s="66"/>
      <c r="W27" s="72"/>
      <c r="X27" s="73"/>
      <c r="Y27" s="73"/>
      <c r="Z27" s="66"/>
      <c r="AA27" s="66"/>
      <c r="AB27" s="66"/>
      <c r="AC27" s="66"/>
      <c r="AD27" s="66"/>
      <c r="AE27" s="66"/>
    </row>
    <row r="28" spans="1:31" ht="30" customHeight="1" x14ac:dyDescent="0.35">
      <c r="A28" s="4531"/>
      <c r="B28" s="4500" t="s">
        <v>251</v>
      </c>
      <c r="C28" s="4501"/>
      <c r="D28" s="4501"/>
      <c r="E28" s="4501"/>
      <c r="F28" s="4502"/>
      <c r="G28" s="4502"/>
      <c r="H28" s="4502"/>
      <c r="I28" s="4502"/>
      <c r="J28" s="4503">
        <f t="shared" si="1"/>
        <v>0</v>
      </c>
      <c r="K28" s="4503"/>
      <c r="L28" s="1505">
        <v>10</v>
      </c>
      <c r="M28" s="4504"/>
      <c r="N28" s="4504"/>
      <c r="O28" s="4504"/>
      <c r="P28" s="4505"/>
      <c r="Q28" s="463"/>
      <c r="R28" s="463"/>
      <c r="S28" s="64"/>
      <c r="U28" s="66"/>
      <c r="V28" s="66"/>
      <c r="W28" s="72"/>
      <c r="X28" s="73"/>
      <c r="Y28" s="73"/>
      <c r="Z28" s="66"/>
      <c r="AA28" s="66"/>
      <c r="AB28" s="66"/>
      <c r="AC28" s="66"/>
      <c r="AD28" s="66"/>
      <c r="AE28" s="66"/>
    </row>
    <row r="29" spans="1:31" ht="30" customHeight="1" x14ac:dyDescent="0.35">
      <c r="A29" s="4531"/>
      <c r="B29" s="4500" t="s">
        <v>550</v>
      </c>
      <c r="C29" s="4501"/>
      <c r="D29" s="4501"/>
      <c r="E29" s="4501"/>
      <c r="F29" s="4502"/>
      <c r="G29" s="4502"/>
      <c r="H29" s="4502"/>
      <c r="I29" s="4502"/>
      <c r="J29" s="4503">
        <f t="shared" si="1"/>
        <v>0</v>
      </c>
      <c r="K29" s="4503"/>
      <c r="L29" s="1505">
        <v>10</v>
      </c>
      <c r="M29" s="4504"/>
      <c r="N29" s="4504"/>
      <c r="O29" s="4504"/>
      <c r="P29" s="4505"/>
      <c r="Q29" s="463"/>
      <c r="R29" s="463"/>
      <c r="S29" s="64"/>
      <c r="U29" s="66"/>
      <c r="V29" s="66"/>
      <c r="W29" s="72"/>
      <c r="X29" s="73"/>
      <c r="Y29" s="73"/>
      <c r="Z29" s="66"/>
      <c r="AA29" s="66"/>
      <c r="AB29" s="66"/>
      <c r="AC29" s="66"/>
      <c r="AD29" s="66"/>
      <c r="AE29" s="66"/>
    </row>
    <row r="30" spans="1:31" ht="30" customHeight="1" x14ac:dyDescent="0.35">
      <c r="A30" s="4531"/>
      <c r="B30" s="4500" t="s">
        <v>551</v>
      </c>
      <c r="C30" s="4501"/>
      <c r="D30" s="4501"/>
      <c r="E30" s="4501"/>
      <c r="F30" s="4502"/>
      <c r="G30" s="4502"/>
      <c r="H30" s="4502"/>
      <c r="I30" s="4502"/>
      <c r="J30" s="4503">
        <f t="shared" si="1"/>
        <v>0</v>
      </c>
      <c r="K30" s="4503"/>
      <c r="L30" s="1505">
        <v>10</v>
      </c>
      <c r="M30" s="4504"/>
      <c r="N30" s="4504"/>
      <c r="O30" s="4504"/>
      <c r="P30" s="4505"/>
      <c r="Q30" s="463"/>
      <c r="R30" s="463"/>
      <c r="S30" s="64"/>
      <c r="U30" s="66"/>
      <c r="V30" s="66"/>
      <c r="W30" s="72"/>
      <c r="X30" s="73"/>
      <c r="Y30" s="73"/>
      <c r="Z30" s="66"/>
      <c r="AA30" s="66"/>
      <c r="AB30" s="66"/>
      <c r="AC30" s="66"/>
      <c r="AD30" s="66"/>
      <c r="AE30" s="66"/>
    </row>
    <row r="31" spans="1:31" ht="30" customHeight="1" x14ac:dyDescent="0.35">
      <c r="A31" s="4531"/>
      <c r="B31" s="4500" t="s">
        <v>873</v>
      </c>
      <c r="C31" s="4501"/>
      <c r="D31" s="4501"/>
      <c r="E31" s="4501"/>
      <c r="F31" s="4502"/>
      <c r="G31" s="4502"/>
      <c r="H31" s="4502"/>
      <c r="I31" s="4502"/>
      <c r="J31" s="4503">
        <f t="shared" si="1"/>
        <v>0</v>
      </c>
      <c r="K31" s="4503"/>
      <c r="L31" s="1505">
        <v>10</v>
      </c>
      <c r="M31" s="4504"/>
      <c r="N31" s="4504"/>
      <c r="O31" s="4504"/>
      <c r="P31" s="4505"/>
      <c r="Q31" s="463"/>
      <c r="R31" s="463"/>
      <c r="S31" s="64"/>
      <c r="U31" s="66"/>
      <c r="V31" s="66"/>
      <c r="W31" s="72"/>
      <c r="X31" s="73"/>
      <c r="Y31" s="73"/>
      <c r="Z31" s="66"/>
      <c r="AA31" s="66"/>
      <c r="AB31" s="66"/>
      <c r="AC31" s="66"/>
      <c r="AD31" s="66"/>
      <c r="AE31" s="66"/>
    </row>
    <row r="32" spans="1:31" ht="30" customHeight="1" x14ac:dyDescent="0.35">
      <c r="A32" s="4531"/>
      <c r="B32" s="4512" t="s">
        <v>552</v>
      </c>
      <c r="C32" s="4501"/>
      <c r="D32" s="4501"/>
      <c r="E32" s="4501"/>
      <c r="F32" s="4502"/>
      <c r="G32" s="4502"/>
      <c r="H32" s="4502"/>
      <c r="I32" s="4502"/>
      <c r="J32" s="4503">
        <f>ABS(F32-H32)</f>
        <v>0</v>
      </c>
      <c r="K32" s="4503"/>
      <c r="L32" s="1505">
        <v>10</v>
      </c>
      <c r="M32" s="4504"/>
      <c r="N32" s="4504"/>
      <c r="O32" s="4504"/>
      <c r="P32" s="4505"/>
      <c r="Q32" s="463"/>
      <c r="R32" s="463"/>
      <c r="S32" s="64"/>
      <c r="U32" s="66"/>
      <c r="V32" s="66"/>
      <c r="W32" s="72"/>
      <c r="X32" s="73"/>
      <c r="Y32" s="73"/>
      <c r="Z32" s="66"/>
      <c r="AA32" s="66"/>
      <c r="AB32" s="66"/>
      <c r="AC32" s="66"/>
      <c r="AD32" s="66"/>
      <c r="AE32" s="66"/>
    </row>
    <row r="33" spans="1:31" ht="18.75" customHeight="1" thickBot="1" x14ac:dyDescent="0.4">
      <c r="A33" s="4531"/>
      <c r="B33" s="4513" t="s">
        <v>1385</v>
      </c>
      <c r="C33" s="4542"/>
      <c r="D33" s="4542"/>
      <c r="E33" s="4542"/>
      <c r="F33" s="4521" t="e">
        <f>AVERAGE(F23:G32)</f>
        <v>#DIV/0!</v>
      </c>
      <c r="G33" s="4521"/>
      <c r="H33" s="4521">
        <f>AVERAGE(H23:I32)</f>
        <v>0</v>
      </c>
      <c r="I33" s="4521"/>
      <c r="J33" s="4509">
        <v>0</v>
      </c>
      <c r="K33" s="4509"/>
      <c r="L33" s="1508">
        <v>0</v>
      </c>
      <c r="M33" s="1506"/>
      <c r="N33" s="1506"/>
      <c r="O33" s="1506"/>
      <c r="P33" s="1507"/>
      <c r="Q33" s="463"/>
      <c r="R33" s="463"/>
      <c r="S33" s="64"/>
      <c r="U33" s="66"/>
      <c r="V33" s="66"/>
      <c r="W33" s="72"/>
      <c r="X33" s="73"/>
      <c r="Y33" s="73"/>
      <c r="Z33" s="66"/>
      <c r="AA33" s="66"/>
      <c r="AB33" s="66"/>
      <c r="AC33" s="66"/>
      <c r="AD33" s="66"/>
      <c r="AE33" s="66"/>
    </row>
    <row r="34" spans="1:31" ht="9" customHeight="1" x14ac:dyDescent="0.35">
      <c r="A34" s="4522" t="s">
        <v>572</v>
      </c>
      <c r="B34" s="4518"/>
      <c r="C34" s="4519"/>
      <c r="D34" s="4519"/>
      <c r="E34" s="4519"/>
      <c r="F34" s="4519"/>
      <c r="G34" s="4519"/>
      <c r="H34" s="4519"/>
      <c r="I34" s="4519"/>
      <c r="J34" s="4519"/>
      <c r="K34" s="4519"/>
      <c r="L34" s="4519"/>
      <c r="M34" s="4519"/>
      <c r="N34" s="4519"/>
      <c r="O34" s="4519"/>
      <c r="P34" s="4520"/>
      <c r="Q34" s="463"/>
      <c r="R34" s="463"/>
      <c r="S34" s="64"/>
      <c r="U34" s="66"/>
      <c r="V34" s="66"/>
      <c r="W34" s="72"/>
      <c r="X34" s="73"/>
      <c r="Y34" s="73"/>
      <c r="Z34" s="66"/>
      <c r="AA34" s="66"/>
      <c r="AB34" s="66"/>
      <c r="AC34" s="66"/>
      <c r="AD34" s="66"/>
      <c r="AE34" s="66"/>
    </row>
    <row r="35" spans="1:31" ht="30" customHeight="1" x14ac:dyDescent="0.35">
      <c r="A35" s="4523"/>
      <c r="B35" s="4512" t="s">
        <v>553</v>
      </c>
      <c r="C35" s="4501"/>
      <c r="D35" s="4501"/>
      <c r="E35" s="4501"/>
      <c r="F35" s="4502"/>
      <c r="G35" s="4502"/>
      <c r="H35" s="4502">
        <v>0</v>
      </c>
      <c r="I35" s="4502"/>
      <c r="J35" s="4503">
        <f t="shared" ref="J35:J41" si="2">ABS(F35-H35)</f>
        <v>0</v>
      </c>
      <c r="K35" s="4503"/>
      <c r="L35" s="1505">
        <v>10</v>
      </c>
      <c r="M35" s="4504"/>
      <c r="N35" s="4504"/>
      <c r="O35" s="4504"/>
      <c r="P35" s="4505"/>
      <c r="Q35" s="463"/>
      <c r="R35" s="463"/>
      <c r="S35" s="64"/>
      <c r="U35" s="66"/>
      <c r="V35" s="66"/>
      <c r="W35" s="72"/>
      <c r="X35" s="73"/>
      <c r="Y35" s="73"/>
      <c r="Z35" s="66"/>
      <c r="AA35" s="66"/>
      <c r="AB35" s="66"/>
      <c r="AC35" s="66"/>
      <c r="AD35" s="66"/>
      <c r="AE35" s="66"/>
    </row>
    <row r="36" spans="1:31" ht="30" customHeight="1" x14ac:dyDescent="0.35">
      <c r="A36" s="4523"/>
      <c r="B36" s="4512" t="s">
        <v>554</v>
      </c>
      <c r="C36" s="4501"/>
      <c r="D36" s="4501"/>
      <c r="E36" s="4501"/>
      <c r="F36" s="4502"/>
      <c r="G36" s="4502"/>
      <c r="H36" s="4502"/>
      <c r="I36" s="4502"/>
      <c r="J36" s="4503">
        <f t="shared" si="2"/>
        <v>0</v>
      </c>
      <c r="K36" s="4503"/>
      <c r="L36" s="1505">
        <v>10</v>
      </c>
      <c r="M36" s="4504"/>
      <c r="N36" s="4504"/>
      <c r="O36" s="4504"/>
      <c r="P36" s="4505"/>
      <c r="Q36" s="463"/>
      <c r="R36" s="463"/>
      <c r="S36" s="64"/>
      <c r="U36" s="66"/>
      <c r="V36" s="66"/>
      <c r="W36" s="72"/>
      <c r="X36" s="73"/>
      <c r="Y36" s="73"/>
      <c r="Z36" s="66"/>
      <c r="AA36" s="66"/>
      <c r="AB36" s="66"/>
      <c r="AC36" s="66"/>
      <c r="AD36" s="66"/>
      <c r="AE36" s="66"/>
    </row>
    <row r="37" spans="1:31" ht="30" customHeight="1" x14ac:dyDescent="0.35">
      <c r="A37" s="4523"/>
      <c r="B37" s="4512" t="s">
        <v>252</v>
      </c>
      <c r="C37" s="4501"/>
      <c r="D37" s="4501"/>
      <c r="E37" s="4501"/>
      <c r="F37" s="4502"/>
      <c r="G37" s="4502"/>
      <c r="H37" s="4502"/>
      <c r="I37" s="4502"/>
      <c r="J37" s="4503">
        <f t="shared" si="2"/>
        <v>0</v>
      </c>
      <c r="K37" s="4503"/>
      <c r="L37" s="1505">
        <v>10</v>
      </c>
      <c r="M37" s="4504"/>
      <c r="N37" s="4504"/>
      <c r="O37" s="4504"/>
      <c r="P37" s="4505"/>
      <c r="Q37" s="463"/>
      <c r="R37" s="463"/>
      <c r="S37" s="64"/>
      <c r="U37" s="66"/>
      <c r="V37" s="66"/>
      <c r="W37" s="72"/>
      <c r="X37" s="73"/>
      <c r="Y37" s="73"/>
      <c r="Z37" s="66"/>
      <c r="AA37" s="66"/>
      <c r="AB37" s="66"/>
      <c r="AC37" s="66"/>
      <c r="AD37" s="66"/>
      <c r="AE37" s="66"/>
    </row>
    <row r="38" spans="1:31" ht="30" customHeight="1" x14ac:dyDescent="0.35">
      <c r="A38" s="4523"/>
      <c r="B38" s="4512" t="s">
        <v>557</v>
      </c>
      <c r="C38" s="4501"/>
      <c r="D38" s="4501"/>
      <c r="E38" s="4501"/>
      <c r="F38" s="4502"/>
      <c r="G38" s="4502"/>
      <c r="H38" s="4502"/>
      <c r="I38" s="4502"/>
      <c r="J38" s="4503">
        <f t="shared" si="2"/>
        <v>0</v>
      </c>
      <c r="K38" s="4503"/>
      <c r="L38" s="1505">
        <v>10</v>
      </c>
      <c r="M38" s="4504"/>
      <c r="N38" s="4504"/>
      <c r="O38" s="4504"/>
      <c r="P38" s="4505"/>
      <c r="Q38" s="463"/>
      <c r="R38" s="463"/>
      <c r="S38" s="64"/>
      <c r="U38" s="66"/>
      <c r="V38" s="66"/>
      <c r="W38" s="72"/>
      <c r="X38" s="73"/>
      <c r="Y38" s="73"/>
      <c r="Z38" s="66"/>
      <c r="AA38" s="66"/>
      <c r="AB38" s="66"/>
      <c r="AC38" s="66"/>
      <c r="AD38" s="66"/>
      <c r="AE38" s="66"/>
    </row>
    <row r="39" spans="1:31" ht="30" customHeight="1" x14ac:dyDescent="0.35">
      <c r="A39" s="4523"/>
      <c r="B39" s="4512" t="s">
        <v>558</v>
      </c>
      <c r="C39" s="4501"/>
      <c r="D39" s="4501"/>
      <c r="E39" s="4501"/>
      <c r="F39" s="4502"/>
      <c r="G39" s="4502"/>
      <c r="H39" s="4502"/>
      <c r="I39" s="4502"/>
      <c r="J39" s="4503">
        <f t="shared" si="2"/>
        <v>0</v>
      </c>
      <c r="K39" s="4503"/>
      <c r="L39" s="1505">
        <v>10</v>
      </c>
      <c r="M39" s="4504"/>
      <c r="N39" s="4504"/>
      <c r="O39" s="4504"/>
      <c r="P39" s="4505"/>
      <c r="Q39" s="463"/>
      <c r="R39" s="463"/>
      <c r="S39" s="64"/>
      <c r="U39" s="66"/>
      <c r="V39" s="66"/>
      <c r="W39" s="72"/>
      <c r="X39" s="73"/>
      <c r="Y39" s="73"/>
      <c r="Z39" s="66"/>
      <c r="AA39" s="66"/>
      <c r="AB39" s="66"/>
      <c r="AC39" s="66"/>
      <c r="AD39" s="66"/>
      <c r="AE39" s="66"/>
    </row>
    <row r="40" spans="1:31" ht="30" customHeight="1" x14ac:dyDescent="0.35">
      <c r="A40" s="4523"/>
      <c r="B40" s="4512" t="s">
        <v>556</v>
      </c>
      <c r="C40" s="4501"/>
      <c r="D40" s="4501"/>
      <c r="E40" s="4501"/>
      <c r="F40" s="4502"/>
      <c r="G40" s="4502"/>
      <c r="H40" s="4502"/>
      <c r="I40" s="4502"/>
      <c r="J40" s="4503">
        <f t="shared" si="2"/>
        <v>0</v>
      </c>
      <c r="K40" s="4503"/>
      <c r="L40" s="1505">
        <v>10</v>
      </c>
      <c r="M40" s="4504"/>
      <c r="N40" s="4504"/>
      <c r="O40" s="4504"/>
      <c r="P40" s="4505"/>
      <c r="Q40" s="463"/>
      <c r="R40" s="463"/>
      <c r="S40" s="64"/>
      <c r="U40" s="66"/>
      <c r="V40" s="66"/>
      <c r="W40" s="72"/>
      <c r="X40" s="73"/>
      <c r="Y40" s="73"/>
      <c r="Z40" s="66"/>
      <c r="AA40" s="66"/>
      <c r="AB40" s="66"/>
      <c r="AC40" s="66"/>
      <c r="AD40" s="66"/>
      <c r="AE40" s="66"/>
    </row>
    <row r="41" spans="1:31" ht="30" customHeight="1" x14ac:dyDescent="0.35">
      <c r="A41" s="4523"/>
      <c r="B41" s="4512" t="s">
        <v>555</v>
      </c>
      <c r="C41" s="4501"/>
      <c r="D41" s="4501"/>
      <c r="E41" s="4501"/>
      <c r="F41" s="4502"/>
      <c r="G41" s="4502"/>
      <c r="H41" s="4502"/>
      <c r="I41" s="4502"/>
      <c r="J41" s="4503">
        <f t="shared" si="2"/>
        <v>0</v>
      </c>
      <c r="K41" s="4503"/>
      <c r="L41" s="1505">
        <v>10</v>
      </c>
      <c r="M41" s="4504"/>
      <c r="N41" s="4504"/>
      <c r="O41" s="4504"/>
      <c r="P41" s="4505"/>
      <c r="Q41" s="463"/>
      <c r="R41" s="463"/>
      <c r="S41" s="64"/>
      <c r="U41" s="66"/>
      <c r="V41" s="66"/>
      <c r="W41" s="72"/>
      <c r="X41" s="73"/>
      <c r="Y41" s="73"/>
      <c r="Z41" s="66"/>
      <c r="AA41" s="66"/>
      <c r="AB41" s="66"/>
      <c r="AC41" s="66"/>
      <c r="AD41" s="66"/>
      <c r="AE41" s="66"/>
    </row>
    <row r="42" spans="1:31" ht="30" customHeight="1" x14ac:dyDescent="0.35">
      <c r="A42" s="4523"/>
      <c r="B42" s="4512" t="s">
        <v>253</v>
      </c>
      <c r="C42" s="4501"/>
      <c r="D42" s="4501"/>
      <c r="E42" s="4501"/>
      <c r="F42" s="4502"/>
      <c r="G42" s="4502"/>
      <c r="H42" s="4502"/>
      <c r="I42" s="4502"/>
      <c r="J42" s="4503">
        <f>ABS(F42-H42)</f>
        <v>0</v>
      </c>
      <c r="K42" s="4503"/>
      <c r="L42" s="1505">
        <v>10</v>
      </c>
      <c r="M42" s="4504"/>
      <c r="N42" s="4504"/>
      <c r="O42" s="4504"/>
      <c r="P42" s="4505"/>
      <c r="Q42" s="463"/>
      <c r="R42" s="463"/>
      <c r="S42" s="64"/>
      <c r="U42" s="66"/>
      <c r="V42" s="66"/>
      <c r="W42" s="72"/>
      <c r="X42" s="73"/>
      <c r="Y42" s="73"/>
      <c r="Z42" s="66"/>
      <c r="AA42" s="66"/>
      <c r="AB42" s="66"/>
      <c r="AC42" s="66"/>
      <c r="AD42" s="66"/>
      <c r="AE42" s="66"/>
    </row>
    <row r="43" spans="1:31" ht="18" customHeight="1" thickBot="1" x14ac:dyDescent="0.4">
      <c r="A43" s="4523"/>
      <c r="B43" s="4513" t="s">
        <v>1385</v>
      </c>
      <c r="C43" s="4514"/>
      <c r="D43" s="4514"/>
      <c r="E43" s="4514"/>
      <c r="F43" s="4508" t="e">
        <f>AVERAGE(F35:G42)</f>
        <v>#DIV/0!</v>
      </c>
      <c r="G43" s="4508"/>
      <c r="H43" s="4508">
        <f>AVERAGE(H35:I42)</f>
        <v>0</v>
      </c>
      <c r="I43" s="4508"/>
      <c r="J43" s="4509">
        <v>0</v>
      </c>
      <c r="K43" s="4509"/>
      <c r="L43" s="744"/>
      <c r="M43" s="4510"/>
      <c r="N43" s="4510"/>
      <c r="O43" s="4510"/>
      <c r="P43" s="4511"/>
      <c r="Q43" s="463"/>
      <c r="R43" s="463"/>
      <c r="S43" s="64"/>
      <c r="U43" s="66"/>
      <c r="V43" s="66"/>
      <c r="W43" s="72"/>
      <c r="X43" s="73"/>
      <c r="Y43" s="73"/>
      <c r="Z43" s="66"/>
      <c r="AA43" s="66"/>
      <c r="AB43" s="66"/>
      <c r="AC43" s="66"/>
      <c r="AD43" s="66"/>
      <c r="AE43" s="66"/>
    </row>
    <row r="44" spans="1:31" ht="9" customHeight="1" x14ac:dyDescent="0.35">
      <c r="A44" s="4515" t="s">
        <v>258</v>
      </c>
      <c r="B44" s="4518"/>
      <c r="C44" s="4519"/>
      <c r="D44" s="4519"/>
      <c r="E44" s="4519"/>
      <c r="F44" s="4519"/>
      <c r="G44" s="4519"/>
      <c r="H44" s="4519"/>
      <c r="I44" s="4519"/>
      <c r="J44" s="4519"/>
      <c r="K44" s="4519"/>
      <c r="L44" s="4519"/>
      <c r="M44" s="4519"/>
      <c r="N44" s="4519"/>
      <c r="O44" s="4519"/>
      <c r="P44" s="4520"/>
      <c r="Q44" s="463"/>
      <c r="R44" s="463"/>
      <c r="S44" s="64"/>
      <c r="U44" s="66"/>
      <c r="V44" s="66"/>
      <c r="W44" s="72"/>
      <c r="X44" s="73"/>
      <c r="Y44" s="73"/>
      <c r="Z44" s="66"/>
      <c r="AA44" s="66"/>
      <c r="AB44" s="66"/>
      <c r="AC44" s="66"/>
      <c r="AD44" s="66"/>
      <c r="AE44" s="66"/>
    </row>
    <row r="45" spans="1:31" ht="30" customHeight="1" x14ac:dyDescent="0.35">
      <c r="A45" s="4516"/>
      <c r="B45" s="4512" t="s">
        <v>254</v>
      </c>
      <c r="C45" s="4501"/>
      <c r="D45" s="4501"/>
      <c r="E45" s="4501"/>
      <c r="F45" s="4502"/>
      <c r="G45" s="4502"/>
      <c r="H45" s="4502">
        <v>0</v>
      </c>
      <c r="I45" s="4502"/>
      <c r="J45" s="4503">
        <f t="shared" ref="J45:J50" si="3">ABS(F45-H45)</f>
        <v>0</v>
      </c>
      <c r="K45" s="4503"/>
      <c r="L45" s="1505">
        <v>10</v>
      </c>
      <c r="M45" s="4504"/>
      <c r="N45" s="4504"/>
      <c r="O45" s="4504"/>
      <c r="P45" s="4505"/>
      <c r="Q45" s="463"/>
      <c r="R45" s="463"/>
      <c r="S45" s="64"/>
      <c r="U45" s="66"/>
      <c r="V45" s="66"/>
      <c r="W45" s="72"/>
      <c r="X45" s="73"/>
      <c r="Y45" s="73"/>
      <c r="Z45" s="66"/>
      <c r="AA45" s="66"/>
      <c r="AB45" s="66"/>
      <c r="AC45" s="66"/>
      <c r="AD45" s="66"/>
      <c r="AE45" s="66"/>
    </row>
    <row r="46" spans="1:31" ht="30" customHeight="1" x14ac:dyDescent="0.35">
      <c r="A46" s="4516"/>
      <c r="B46" s="4512" t="s">
        <v>559</v>
      </c>
      <c r="C46" s="4501"/>
      <c r="D46" s="4501"/>
      <c r="E46" s="4501"/>
      <c r="F46" s="4502"/>
      <c r="G46" s="4502"/>
      <c r="H46" s="4502"/>
      <c r="I46" s="4502"/>
      <c r="J46" s="4503">
        <f t="shared" si="3"/>
        <v>0</v>
      </c>
      <c r="K46" s="4503"/>
      <c r="L46" s="1505">
        <v>10</v>
      </c>
      <c r="M46" s="4504"/>
      <c r="N46" s="4504"/>
      <c r="O46" s="4504"/>
      <c r="P46" s="4505"/>
      <c r="Q46" s="463"/>
      <c r="R46" s="463"/>
      <c r="S46" s="64"/>
      <c r="U46" s="66"/>
      <c r="V46" s="66"/>
      <c r="W46" s="72"/>
      <c r="X46" s="73"/>
      <c r="Y46" s="73"/>
      <c r="Z46" s="66"/>
      <c r="AA46" s="66"/>
      <c r="AB46" s="66"/>
      <c r="AC46" s="66"/>
      <c r="AD46" s="66"/>
      <c r="AE46" s="66"/>
    </row>
    <row r="47" spans="1:31" ht="30" customHeight="1" x14ac:dyDescent="0.35">
      <c r="A47" s="4516"/>
      <c r="B47" s="4512" t="s">
        <v>255</v>
      </c>
      <c r="C47" s="4501"/>
      <c r="D47" s="4501"/>
      <c r="E47" s="4501"/>
      <c r="F47" s="4502"/>
      <c r="G47" s="4502"/>
      <c r="H47" s="4502"/>
      <c r="I47" s="4502"/>
      <c r="J47" s="4503">
        <f t="shared" si="3"/>
        <v>0</v>
      </c>
      <c r="K47" s="4503"/>
      <c r="L47" s="1505">
        <v>10</v>
      </c>
      <c r="M47" s="4504"/>
      <c r="N47" s="4504"/>
      <c r="O47" s="4504"/>
      <c r="P47" s="4505"/>
      <c r="Q47" s="463"/>
      <c r="R47" s="463"/>
      <c r="S47" s="64"/>
      <c r="U47" s="66"/>
      <c r="V47" s="66"/>
      <c r="W47" s="72"/>
      <c r="X47" s="73"/>
      <c r="Y47" s="73"/>
      <c r="Z47" s="66"/>
      <c r="AA47" s="66"/>
      <c r="AB47" s="66"/>
      <c r="AC47" s="66"/>
      <c r="AD47" s="66"/>
      <c r="AE47" s="66"/>
    </row>
    <row r="48" spans="1:31" ht="30" customHeight="1" x14ac:dyDescent="0.35">
      <c r="A48" s="4516"/>
      <c r="B48" s="4512" t="s">
        <v>560</v>
      </c>
      <c r="C48" s="4501"/>
      <c r="D48" s="4501"/>
      <c r="E48" s="4501"/>
      <c r="F48" s="4502"/>
      <c r="G48" s="4502"/>
      <c r="H48" s="4502"/>
      <c r="I48" s="4502"/>
      <c r="J48" s="4503">
        <f t="shared" si="3"/>
        <v>0</v>
      </c>
      <c r="K48" s="4503"/>
      <c r="L48" s="1505">
        <v>10</v>
      </c>
      <c r="M48" s="4504"/>
      <c r="N48" s="4504"/>
      <c r="O48" s="4504"/>
      <c r="P48" s="4505"/>
      <c r="Q48" s="463"/>
      <c r="R48" s="463"/>
      <c r="S48" s="64"/>
      <c r="U48" s="66"/>
      <c r="V48" s="66"/>
      <c r="W48" s="72"/>
      <c r="X48" s="73"/>
      <c r="Y48" s="73"/>
      <c r="Z48" s="66"/>
      <c r="AA48" s="66"/>
      <c r="AB48" s="66"/>
      <c r="AC48" s="66"/>
      <c r="AD48" s="66"/>
      <c r="AE48" s="66"/>
    </row>
    <row r="49" spans="1:31" ht="30" customHeight="1" x14ac:dyDescent="0.35">
      <c r="A49" s="4516"/>
      <c r="B49" s="4512" t="s">
        <v>876</v>
      </c>
      <c r="C49" s="4501"/>
      <c r="D49" s="4501"/>
      <c r="E49" s="4501"/>
      <c r="F49" s="4502"/>
      <c r="G49" s="4502"/>
      <c r="H49" s="4502"/>
      <c r="I49" s="4502"/>
      <c r="J49" s="4503">
        <f t="shared" si="3"/>
        <v>0</v>
      </c>
      <c r="K49" s="4503"/>
      <c r="L49" s="1505">
        <v>10</v>
      </c>
      <c r="M49" s="4504"/>
      <c r="N49" s="4504"/>
      <c r="O49" s="4504"/>
      <c r="P49" s="4505"/>
      <c r="Q49" s="463"/>
      <c r="R49" s="463"/>
      <c r="S49" s="64"/>
      <c r="U49" s="66"/>
      <c r="V49" s="66"/>
      <c r="W49" s="72"/>
      <c r="X49" s="73"/>
      <c r="Y49" s="73"/>
      <c r="Z49" s="66"/>
      <c r="AA49" s="66"/>
      <c r="AB49" s="66"/>
      <c r="AC49" s="66"/>
      <c r="AD49" s="66"/>
      <c r="AE49" s="66"/>
    </row>
    <row r="50" spans="1:31" ht="30" customHeight="1" x14ac:dyDescent="0.35">
      <c r="A50" s="4516"/>
      <c r="B50" s="4500" t="s">
        <v>256</v>
      </c>
      <c r="C50" s="4501"/>
      <c r="D50" s="4501"/>
      <c r="E50" s="4501"/>
      <c r="F50" s="4502"/>
      <c r="G50" s="4502"/>
      <c r="H50" s="4502"/>
      <c r="I50" s="4502"/>
      <c r="J50" s="4503">
        <f t="shared" si="3"/>
        <v>0</v>
      </c>
      <c r="K50" s="4503"/>
      <c r="L50" s="1505">
        <v>10</v>
      </c>
      <c r="M50" s="4504"/>
      <c r="N50" s="4504"/>
      <c r="O50" s="4504"/>
      <c r="P50" s="4505"/>
      <c r="Q50" s="463"/>
      <c r="R50" s="463"/>
      <c r="S50" s="64"/>
      <c r="U50" s="66"/>
      <c r="V50" s="66"/>
      <c r="W50" s="72"/>
      <c r="X50" s="73"/>
      <c r="Y50" s="73"/>
      <c r="Z50" s="66"/>
      <c r="AA50" s="66"/>
      <c r="AB50" s="66"/>
      <c r="AC50" s="66"/>
      <c r="AD50" s="66"/>
      <c r="AE50" s="66"/>
    </row>
    <row r="51" spans="1:31" ht="30" customHeight="1" x14ac:dyDescent="0.35">
      <c r="A51" s="4516"/>
      <c r="B51" s="4500" t="s">
        <v>257</v>
      </c>
      <c r="C51" s="4501"/>
      <c r="D51" s="4501"/>
      <c r="E51" s="4501"/>
      <c r="F51" s="4502"/>
      <c r="G51" s="4502"/>
      <c r="H51" s="4502"/>
      <c r="I51" s="4502"/>
      <c r="J51" s="4503">
        <f>ABS(F51-H51)</f>
        <v>0</v>
      </c>
      <c r="K51" s="4503"/>
      <c r="L51" s="1505">
        <v>10</v>
      </c>
      <c r="M51" s="4504"/>
      <c r="N51" s="4504"/>
      <c r="O51" s="4504"/>
      <c r="P51" s="4505"/>
      <c r="Q51" s="463"/>
      <c r="R51" s="463"/>
      <c r="S51" s="64"/>
      <c r="U51" s="66"/>
      <c r="V51" s="66"/>
      <c r="W51" s="72"/>
      <c r="X51" s="73"/>
      <c r="Y51" s="73"/>
      <c r="Z51" s="66"/>
      <c r="AA51" s="66"/>
      <c r="AB51" s="66"/>
      <c r="AC51" s="66"/>
      <c r="AD51" s="66"/>
      <c r="AE51" s="66"/>
    </row>
    <row r="52" spans="1:31" ht="11.25" customHeight="1" thickBot="1" x14ac:dyDescent="0.4">
      <c r="A52" s="4516"/>
      <c r="B52" s="4506" t="s">
        <v>1385</v>
      </c>
      <c r="C52" s="4507"/>
      <c r="D52" s="4507"/>
      <c r="E52" s="4507"/>
      <c r="F52" s="4508" t="e">
        <f>AVERAGE(F45:G51)</f>
        <v>#DIV/0!</v>
      </c>
      <c r="G52" s="4508"/>
      <c r="H52" s="4508">
        <f>AVERAGE(H45:I51)</f>
        <v>0</v>
      </c>
      <c r="I52" s="4508"/>
      <c r="J52" s="4509">
        <v>0</v>
      </c>
      <c r="K52" s="4509"/>
      <c r="L52" s="744"/>
      <c r="M52" s="4510"/>
      <c r="N52" s="4510"/>
      <c r="O52" s="4510"/>
      <c r="P52" s="4511"/>
      <c r="Q52" s="463"/>
      <c r="R52" s="463"/>
      <c r="S52" s="64"/>
      <c r="U52" s="66"/>
      <c r="V52" s="66"/>
      <c r="W52" s="72"/>
      <c r="X52" s="73"/>
      <c r="Y52" s="73"/>
      <c r="Z52" s="66"/>
      <c r="AA52" s="66"/>
      <c r="AB52" s="66"/>
      <c r="AC52" s="66"/>
      <c r="AD52" s="66"/>
      <c r="AE52" s="66"/>
    </row>
    <row r="53" spans="1:31" ht="9" customHeight="1" thickBot="1" x14ac:dyDescent="0.4">
      <c r="A53" s="4517"/>
      <c r="B53" s="4488"/>
      <c r="C53" s="4489"/>
      <c r="D53" s="4489"/>
      <c r="E53" s="4489"/>
      <c r="F53" s="4489"/>
      <c r="G53" s="4489"/>
      <c r="H53" s="4489"/>
      <c r="I53" s="4489"/>
      <c r="J53" s="4489"/>
      <c r="K53" s="4489"/>
      <c r="L53" s="4489"/>
      <c r="M53" s="4489"/>
      <c r="N53" s="4489"/>
      <c r="O53" s="4489"/>
      <c r="P53" s="4490"/>
      <c r="Q53" s="463"/>
      <c r="R53" s="463"/>
      <c r="S53" s="64"/>
      <c r="U53" s="66"/>
      <c r="V53" s="66"/>
      <c r="W53" s="72"/>
      <c r="X53" s="73"/>
      <c r="Y53" s="73"/>
      <c r="Z53" s="66"/>
      <c r="AA53" s="66"/>
      <c r="AB53" s="66"/>
      <c r="AC53" s="66"/>
      <c r="AD53" s="66"/>
      <c r="AE53" s="66"/>
    </row>
    <row r="54" spans="1:31" ht="29.25" customHeight="1" thickTop="1" x14ac:dyDescent="0.35">
      <c r="A54" s="1498"/>
      <c r="B54" s="1498"/>
      <c r="C54" s="1498"/>
      <c r="D54" s="4491" t="s">
        <v>222</v>
      </c>
      <c r="E54" s="4492"/>
      <c r="F54" s="4493">
        <f>SUM(F9:G20)+SUM(F23:G32)+SUM(F35:G42)+SUM(F45:G51)</f>
        <v>0</v>
      </c>
      <c r="G54" s="4493"/>
      <c r="H54" s="4493">
        <f>SUM(H9:I20)+SUM(H23:I32)+SUM(H35:I42)+SUM(H45:I51)</f>
        <v>0</v>
      </c>
      <c r="I54" s="4493"/>
      <c r="J54" s="4493">
        <f>SUM(J8:J53)</f>
        <v>0</v>
      </c>
      <c r="K54" s="4493"/>
      <c r="L54" s="4494">
        <f>SUM(L8:L53)</f>
        <v>370</v>
      </c>
      <c r="M54" s="1498"/>
      <c r="N54" s="1498"/>
      <c r="O54" s="1498"/>
      <c r="P54" s="1498"/>
      <c r="Q54" s="463"/>
      <c r="R54" s="463"/>
      <c r="S54" s="64"/>
      <c r="U54" s="66"/>
      <c r="V54" s="66"/>
      <c r="W54" s="72"/>
      <c r="X54" s="73"/>
      <c r="Y54" s="73"/>
      <c r="Z54" s="66"/>
      <c r="AA54" s="66"/>
      <c r="AB54" s="66"/>
      <c r="AC54" s="66"/>
      <c r="AD54" s="66"/>
      <c r="AE54" s="66"/>
    </row>
    <row r="55" spans="1:31" ht="29.25" customHeight="1" thickBot="1" x14ac:dyDescent="0.4">
      <c r="A55" s="1498"/>
      <c r="B55" s="1498"/>
      <c r="C55" s="1498"/>
      <c r="D55" s="4496" t="s">
        <v>261</v>
      </c>
      <c r="E55" s="4497"/>
      <c r="F55" s="4498" t="e">
        <f>AVERAGE(F9:G20,F23:G32,F35:G42,F45:G51)</f>
        <v>#DIV/0!</v>
      </c>
      <c r="G55" s="4498"/>
      <c r="H55" s="4498">
        <f>AVERAGE(H9:I20,H23:I32,H35:I42,H45:I51)</f>
        <v>0</v>
      </c>
      <c r="I55" s="4498"/>
      <c r="J55" s="4499">
        <f>J54/L54</f>
        <v>0</v>
      </c>
      <c r="K55" s="4499"/>
      <c r="L55" s="4495"/>
      <c r="M55" s="1498"/>
      <c r="N55" s="1498"/>
      <c r="O55" s="1498"/>
      <c r="P55" s="1498"/>
      <c r="Q55" s="463"/>
      <c r="R55" s="463"/>
      <c r="S55" s="64"/>
      <c r="U55" s="66"/>
      <c r="V55" s="66"/>
      <c r="W55" s="72"/>
      <c r="X55" s="73"/>
      <c r="Y55" s="73"/>
      <c r="Z55" s="66"/>
      <c r="AA55" s="66"/>
      <c r="AB55" s="66"/>
      <c r="AC55" s="66"/>
      <c r="AD55" s="66"/>
      <c r="AE55" s="66"/>
    </row>
    <row r="56" spans="1:31" ht="15" thickTop="1" x14ac:dyDescent="0.35">
      <c r="A56" s="1498"/>
      <c r="B56" s="1498"/>
      <c r="C56" s="64"/>
      <c r="D56" s="64"/>
      <c r="E56" s="64"/>
      <c r="F56" s="64"/>
      <c r="G56" s="64"/>
      <c r="H56" s="1498"/>
      <c r="I56" s="1498"/>
      <c r="J56" s="1498"/>
      <c r="K56" s="1498"/>
      <c r="L56" s="1498"/>
      <c r="M56" s="1498"/>
      <c r="N56" s="1498"/>
      <c r="O56" s="1498"/>
      <c r="P56" s="1498"/>
      <c r="Q56" s="463"/>
      <c r="R56" s="463"/>
      <c r="S56" s="64"/>
      <c r="U56" s="93"/>
      <c r="V56" s="93"/>
      <c r="W56" s="73"/>
      <c r="X56" s="73"/>
      <c r="Y56" s="73"/>
      <c r="Z56" s="66"/>
      <c r="AA56" s="66"/>
      <c r="AB56" s="66"/>
      <c r="AC56" s="66"/>
      <c r="AD56" s="66"/>
      <c r="AE56" s="66"/>
    </row>
    <row r="57" spans="1:31" ht="24.75" customHeight="1" x14ac:dyDescent="0.35">
      <c r="A57" s="64"/>
      <c r="B57" s="64"/>
      <c r="C57" s="64"/>
      <c r="D57" s="64"/>
      <c r="E57" s="64"/>
      <c r="F57" s="64"/>
      <c r="G57" s="64"/>
      <c r="H57" s="64"/>
      <c r="I57" s="64"/>
      <c r="J57" s="64"/>
      <c r="K57" s="64"/>
      <c r="L57" s="64"/>
      <c r="M57" s="64"/>
      <c r="N57" s="64"/>
      <c r="O57" s="64"/>
      <c r="P57" s="64"/>
      <c r="Q57" s="64"/>
      <c r="R57" s="64"/>
      <c r="S57" s="64"/>
    </row>
    <row r="58" spans="1:31" x14ac:dyDescent="0.35">
      <c r="A58" s="64"/>
      <c r="B58" s="64"/>
      <c r="C58" s="64"/>
      <c r="D58" s="64"/>
      <c r="E58" s="64"/>
      <c r="F58" s="64"/>
      <c r="G58" s="64"/>
      <c r="H58" s="64"/>
      <c r="I58" s="64"/>
      <c r="J58" s="64"/>
      <c r="K58" s="64"/>
      <c r="L58" s="64"/>
      <c r="M58" s="64"/>
      <c r="N58" s="64"/>
      <c r="O58" s="64"/>
      <c r="P58" s="64"/>
      <c r="Q58" s="64"/>
      <c r="R58" s="64"/>
      <c r="S58" s="64"/>
      <c r="T58" s="64"/>
      <c r="U58" s="64"/>
    </row>
    <row r="59" spans="1:31" x14ac:dyDescent="0.35">
      <c r="A59" s="64"/>
      <c r="B59" s="64"/>
      <c r="C59" s="64"/>
      <c r="D59" s="64"/>
      <c r="E59" s="64"/>
      <c r="F59" s="64"/>
      <c r="G59" s="64"/>
      <c r="H59" s="64"/>
      <c r="I59" s="64"/>
      <c r="J59" s="64"/>
      <c r="K59" s="64"/>
      <c r="L59" s="64"/>
      <c r="M59" s="64"/>
      <c r="N59" s="64"/>
      <c r="O59" s="64"/>
      <c r="P59" s="64"/>
      <c r="Q59" s="64"/>
      <c r="R59" s="64"/>
      <c r="S59" s="64"/>
    </row>
    <row r="60" spans="1:31" x14ac:dyDescent="0.35">
      <c r="A60" s="64"/>
      <c r="B60" s="64"/>
      <c r="C60" s="64"/>
      <c r="D60" s="64"/>
      <c r="E60" s="64"/>
      <c r="F60" s="64"/>
      <c r="G60" s="64"/>
      <c r="H60" s="64"/>
      <c r="I60" s="64"/>
      <c r="J60" s="64"/>
      <c r="K60" s="64"/>
      <c r="L60" s="64"/>
      <c r="M60" s="64"/>
      <c r="N60" s="64"/>
      <c r="O60" s="64"/>
      <c r="P60" s="64"/>
      <c r="Q60" s="64"/>
      <c r="R60" s="64"/>
      <c r="S60" s="64"/>
    </row>
    <row r="61" spans="1:31" x14ac:dyDescent="0.35">
      <c r="A61" s="64"/>
      <c r="B61" s="64"/>
      <c r="C61" s="64"/>
      <c r="D61" s="64"/>
      <c r="E61" s="64"/>
      <c r="F61" s="64"/>
      <c r="G61" s="64"/>
      <c r="H61" s="64"/>
      <c r="I61" s="64"/>
      <c r="J61" s="64"/>
      <c r="K61" s="64"/>
      <c r="L61" s="64"/>
      <c r="M61" s="64"/>
      <c r="N61" s="64"/>
      <c r="O61" s="64"/>
      <c r="P61" s="64"/>
      <c r="Q61" s="64"/>
      <c r="R61" s="64"/>
      <c r="S61" s="64"/>
    </row>
    <row r="62" spans="1:31" x14ac:dyDescent="0.35">
      <c r="A62" s="64"/>
      <c r="B62" s="64"/>
      <c r="C62" s="64"/>
      <c r="D62" s="64"/>
      <c r="E62" s="64"/>
      <c r="F62" s="64"/>
      <c r="G62" s="64"/>
      <c r="H62" s="64"/>
      <c r="I62" s="64"/>
      <c r="J62" s="64"/>
      <c r="K62" s="64"/>
      <c r="L62" s="64"/>
      <c r="M62" s="64"/>
      <c r="N62" s="64"/>
      <c r="O62" s="64"/>
      <c r="P62" s="64"/>
      <c r="Q62" s="64"/>
      <c r="R62" s="64"/>
      <c r="S62" s="64"/>
    </row>
    <row r="63" spans="1:31" x14ac:dyDescent="0.35">
      <c r="A63" s="64"/>
      <c r="B63" s="64"/>
      <c r="C63" s="64"/>
      <c r="D63" s="64"/>
      <c r="E63" s="64"/>
      <c r="F63" s="64"/>
      <c r="G63" s="64"/>
      <c r="H63" s="64"/>
      <c r="I63" s="64"/>
      <c r="J63" s="64"/>
      <c r="K63" s="64"/>
      <c r="L63" s="64"/>
      <c r="M63" s="64"/>
      <c r="N63" s="64"/>
      <c r="O63" s="64"/>
      <c r="P63" s="64"/>
      <c r="Q63" s="64"/>
      <c r="R63" s="64"/>
      <c r="S63" s="64"/>
    </row>
    <row r="64" spans="1:31" x14ac:dyDescent="0.35">
      <c r="A64" s="64"/>
      <c r="B64" s="64"/>
      <c r="C64" s="64"/>
      <c r="D64" s="64"/>
      <c r="E64" s="64"/>
      <c r="F64" s="64"/>
      <c r="G64" s="64"/>
      <c r="H64" s="64"/>
      <c r="I64" s="64"/>
      <c r="J64" s="64"/>
      <c r="K64" s="64"/>
      <c r="L64" s="64"/>
      <c r="M64" s="64"/>
      <c r="N64" s="64"/>
      <c r="O64" s="64"/>
      <c r="P64" s="64"/>
      <c r="Q64" s="64"/>
      <c r="R64" s="64"/>
      <c r="S64" s="64"/>
    </row>
    <row r="65" spans="1:19" x14ac:dyDescent="0.35">
      <c r="A65" s="64"/>
      <c r="B65" s="64"/>
      <c r="C65" s="64"/>
      <c r="D65" s="64"/>
      <c r="E65" s="64"/>
      <c r="F65" s="64"/>
      <c r="G65" s="64"/>
      <c r="H65" s="64"/>
      <c r="I65" s="64"/>
      <c r="J65" s="64"/>
      <c r="K65" s="64"/>
      <c r="L65" s="64"/>
      <c r="M65" s="64"/>
      <c r="N65" s="64"/>
      <c r="O65" s="64"/>
      <c r="P65" s="64"/>
      <c r="Q65" s="64"/>
      <c r="R65" s="64"/>
      <c r="S65" s="64"/>
    </row>
    <row r="66" spans="1:19" x14ac:dyDescent="0.35">
      <c r="A66" s="64"/>
      <c r="B66" s="64"/>
      <c r="C66" s="64"/>
      <c r="D66" s="64"/>
      <c r="E66" s="64"/>
      <c r="F66" s="64"/>
      <c r="G66" s="64"/>
      <c r="H66" s="64"/>
      <c r="I66" s="64"/>
      <c r="J66" s="64"/>
      <c r="K66" s="64"/>
      <c r="L66" s="64"/>
      <c r="M66" s="64"/>
      <c r="N66" s="64"/>
      <c r="O66" s="64"/>
      <c r="P66" s="64"/>
      <c r="Q66" s="64"/>
      <c r="R66" s="64"/>
      <c r="S66" s="64"/>
    </row>
    <row r="67" spans="1:19" x14ac:dyDescent="0.35">
      <c r="A67" s="64"/>
      <c r="B67" s="64"/>
      <c r="C67" s="64"/>
      <c r="D67" s="64"/>
      <c r="E67" s="64"/>
      <c r="F67" s="64"/>
      <c r="G67" s="64"/>
      <c r="H67" s="64"/>
      <c r="I67" s="64"/>
      <c r="J67" s="64"/>
      <c r="K67" s="64"/>
      <c r="L67" s="64"/>
      <c r="M67" s="64"/>
      <c r="N67" s="64"/>
      <c r="O67" s="64"/>
      <c r="P67" s="64"/>
      <c r="Q67" s="64"/>
      <c r="R67" s="64"/>
      <c r="S67" s="64"/>
    </row>
    <row r="68" spans="1:19" x14ac:dyDescent="0.35">
      <c r="A68" s="64"/>
      <c r="B68" s="64"/>
      <c r="C68" s="64"/>
      <c r="D68" s="64"/>
      <c r="E68" s="64"/>
      <c r="F68" s="64"/>
      <c r="G68" s="64"/>
      <c r="H68" s="64"/>
      <c r="I68" s="64"/>
      <c r="J68" s="64"/>
      <c r="K68" s="64"/>
      <c r="L68" s="64"/>
      <c r="M68" s="64"/>
      <c r="N68" s="64"/>
      <c r="O68" s="64"/>
      <c r="P68" s="64"/>
      <c r="Q68" s="64"/>
      <c r="R68" s="64"/>
      <c r="S68" s="64"/>
    </row>
    <row r="69" spans="1:19" x14ac:dyDescent="0.35">
      <c r="A69" s="64"/>
      <c r="B69" s="64"/>
      <c r="C69" s="64"/>
      <c r="D69" s="64"/>
      <c r="E69" s="64"/>
      <c r="F69" s="64"/>
      <c r="G69" s="64"/>
      <c r="H69" s="64"/>
      <c r="I69" s="64"/>
      <c r="J69" s="64"/>
      <c r="K69" s="64"/>
      <c r="L69" s="64"/>
      <c r="M69" s="64"/>
      <c r="N69" s="64"/>
      <c r="O69" s="64"/>
      <c r="P69" s="64"/>
      <c r="Q69" s="64"/>
      <c r="R69" s="64"/>
      <c r="S69" s="64"/>
    </row>
    <row r="70" spans="1:19" x14ac:dyDescent="0.35">
      <c r="A70" s="64"/>
      <c r="B70" s="64"/>
      <c r="C70" s="64"/>
      <c r="D70" s="64"/>
      <c r="E70" s="64"/>
      <c r="F70" s="64"/>
      <c r="G70" s="64"/>
      <c r="H70" s="64"/>
      <c r="I70" s="64"/>
      <c r="J70" s="64"/>
      <c r="K70" s="64"/>
      <c r="L70" s="64"/>
      <c r="M70" s="64"/>
      <c r="N70" s="64"/>
      <c r="O70" s="64"/>
      <c r="P70" s="64"/>
      <c r="Q70" s="64"/>
      <c r="R70" s="64"/>
      <c r="S70" s="64"/>
    </row>
    <row r="71" spans="1:19" x14ac:dyDescent="0.35">
      <c r="A71" s="64"/>
      <c r="B71" s="64"/>
      <c r="C71" s="64"/>
      <c r="D71" s="64"/>
      <c r="E71" s="64"/>
      <c r="F71" s="64"/>
      <c r="G71" s="64"/>
      <c r="H71" s="64"/>
      <c r="I71" s="64"/>
      <c r="J71" s="64"/>
      <c r="K71" s="64"/>
      <c r="L71" s="64"/>
      <c r="M71" s="64"/>
      <c r="N71" s="64"/>
      <c r="O71" s="64"/>
      <c r="P71" s="64"/>
      <c r="Q71" s="64"/>
      <c r="R71" s="64"/>
      <c r="S71" s="64"/>
    </row>
    <row r="72" spans="1:19" x14ac:dyDescent="0.35">
      <c r="A72" s="64"/>
      <c r="B72" s="64"/>
      <c r="C72" s="64"/>
      <c r="D72" s="64"/>
      <c r="E72" s="64"/>
      <c r="F72" s="64"/>
      <c r="G72" s="64"/>
      <c r="H72" s="64"/>
      <c r="I72" s="64"/>
      <c r="J72" s="64"/>
      <c r="K72" s="64"/>
      <c r="L72" s="64"/>
      <c r="M72" s="64"/>
      <c r="N72" s="64"/>
      <c r="O72" s="64"/>
      <c r="P72" s="64"/>
      <c r="Q72" s="64"/>
      <c r="R72" s="64"/>
      <c r="S72" s="64"/>
    </row>
    <row r="73" spans="1:19" x14ac:dyDescent="0.35">
      <c r="A73" s="64"/>
      <c r="B73" s="64"/>
      <c r="C73" s="64"/>
      <c r="D73" s="64"/>
      <c r="E73" s="64"/>
      <c r="F73" s="64"/>
      <c r="G73" s="64"/>
      <c r="H73" s="64"/>
      <c r="I73" s="64"/>
      <c r="J73" s="64"/>
      <c r="K73" s="64"/>
      <c r="L73" s="64"/>
      <c r="M73" s="64"/>
      <c r="N73" s="64"/>
      <c r="O73" s="64"/>
      <c r="P73" s="64"/>
      <c r="Q73" s="64"/>
      <c r="R73" s="64"/>
      <c r="S73" s="64"/>
    </row>
    <row r="74" spans="1:19" x14ac:dyDescent="0.35">
      <c r="A74" s="64"/>
      <c r="B74" s="64"/>
      <c r="C74" s="64"/>
      <c r="D74" s="64"/>
      <c r="E74" s="64"/>
      <c r="F74" s="64"/>
      <c r="G74" s="64"/>
      <c r="H74" s="64"/>
      <c r="I74" s="64"/>
      <c r="J74" s="64"/>
      <c r="K74" s="64"/>
      <c r="L74" s="64"/>
      <c r="M74" s="64"/>
      <c r="N74" s="64"/>
      <c r="O74" s="64"/>
      <c r="P74" s="64"/>
      <c r="Q74" s="64"/>
      <c r="R74" s="64"/>
      <c r="S74" s="64"/>
    </row>
    <row r="75" spans="1:19" x14ac:dyDescent="0.35">
      <c r="A75" s="64"/>
      <c r="B75" s="64"/>
      <c r="C75" s="64"/>
      <c r="D75" s="64"/>
      <c r="E75" s="64"/>
      <c r="F75" s="64"/>
      <c r="G75" s="64"/>
      <c r="H75" s="64"/>
      <c r="I75" s="64"/>
      <c r="J75" s="64"/>
      <c r="K75" s="64"/>
      <c r="L75" s="64"/>
      <c r="M75" s="64"/>
      <c r="N75" s="64"/>
      <c r="O75" s="64"/>
      <c r="P75" s="64"/>
      <c r="Q75" s="64"/>
      <c r="R75" s="64"/>
      <c r="S75" s="64"/>
    </row>
    <row r="76" spans="1:19" x14ac:dyDescent="0.35">
      <c r="A76" s="64"/>
      <c r="B76" s="64"/>
      <c r="C76" s="64"/>
      <c r="D76" s="64"/>
      <c r="E76" s="64"/>
      <c r="F76" s="64"/>
      <c r="G76" s="64"/>
      <c r="H76" s="64"/>
      <c r="I76" s="64"/>
      <c r="J76" s="64"/>
      <c r="K76" s="64"/>
      <c r="L76" s="64"/>
      <c r="M76" s="64"/>
      <c r="N76" s="64"/>
      <c r="O76" s="64"/>
      <c r="P76" s="64"/>
      <c r="Q76" s="64"/>
      <c r="R76" s="64"/>
      <c r="S76" s="64"/>
    </row>
    <row r="77" spans="1:19" x14ac:dyDescent="0.35">
      <c r="A77" s="64"/>
      <c r="B77" s="64"/>
      <c r="C77" s="64"/>
      <c r="D77" s="64"/>
      <c r="E77" s="64"/>
      <c r="F77" s="64"/>
      <c r="G77" s="64"/>
      <c r="H77" s="64"/>
      <c r="I77" s="64"/>
      <c r="J77" s="64"/>
      <c r="K77" s="64"/>
      <c r="L77" s="64"/>
      <c r="M77" s="64"/>
      <c r="N77" s="64"/>
      <c r="O77" s="64"/>
      <c r="P77" s="64"/>
      <c r="Q77" s="64"/>
      <c r="R77" s="64"/>
      <c r="S77" s="64"/>
    </row>
    <row r="78" spans="1:19" x14ac:dyDescent="0.35">
      <c r="A78" s="64"/>
      <c r="B78" s="64"/>
      <c r="C78" s="64"/>
      <c r="D78" s="64"/>
      <c r="E78" s="64"/>
      <c r="F78" s="64"/>
      <c r="G78" s="64"/>
      <c r="H78" s="64"/>
      <c r="I78" s="64"/>
      <c r="J78" s="64"/>
      <c r="K78" s="64"/>
      <c r="L78" s="64"/>
      <c r="M78" s="64"/>
      <c r="N78" s="64"/>
      <c r="O78" s="64"/>
      <c r="P78" s="64"/>
      <c r="Q78" s="64"/>
      <c r="R78" s="64"/>
      <c r="S78" s="64"/>
    </row>
    <row r="79" spans="1:19" x14ac:dyDescent="0.35">
      <c r="A79" s="64"/>
      <c r="B79" s="64"/>
      <c r="C79" s="64"/>
      <c r="D79" s="64"/>
      <c r="E79" s="64"/>
      <c r="F79" s="64"/>
      <c r="G79" s="64"/>
      <c r="H79" s="64"/>
      <c r="I79" s="64"/>
      <c r="J79" s="64"/>
      <c r="K79" s="64"/>
      <c r="L79" s="64"/>
      <c r="M79" s="64"/>
      <c r="N79" s="64"/>
      <c r="O79" s="64"/>
      <c r="P79" s="64"/>
      <c r="Q79" s="64"/>
      <c r="R79" s="64"/>
      <c r="S79" s="64"/>
    </row>
    <row r="80" spans="1:19" x14ac:dyDescent="0.35">
      <c r="A80" s="64"/>
      <c r="B80" s="64"/>
      <c r="C80" s="64"/>
      <c r="D80" s="64"/>
      <c r="E80" s="64"/>
      <c r="F80" s="64"/>
      <c r="G80" s="64"/>
      <c r="H80" s="64"/>
      <c r="I80" s="64"/>
      <c r="J80" s="64"/>
      <c r="K80" s="64"/>
      <c r="L80" s="64"/>
      <c r="M80" s="64"/>
      <c r="N80" s="64"/>
      <c r="O80" s="64"/>
      <c r="P80" s="64"/>
      <c r="Q80" s="64"/>
      <c r="R80" s="64"/>
      <c r="S80" s="64"/>
    </row>
    <row r="81" spans="1:21" x14ac:dyDescent="0.35">
      <c r="A81" s="64"/>
      <c r="B81" s="64"/>
      <c r="C81" s="64"/>
      <c r="D81" s="64"/>
      <c r="E81" s="64"/>
      <c r="F81" s="64"/>
      <c r="G81" s="64"/>
      <c r="H81" s="64"/>
      <c r="I81" s="64"/>
      <c r="J81" s="64"/>
      <c r="K81" s="64"/>
      <c r="L81" s="64"/>
      <c r="M81" s="64"/>
      <c r="N81" s="64"/>
      <c r="O81" s="64"/>
      <c r="P81" s="64"/>
      <c r="Q81" s="64"/>
      <c r="R81" s="64"/>
      <c r="S81" s="64"/>
    </row>
    <row r="82" spans="1:21" x14ac:dyDescent="0.35">
      <c r="A82" s="64"/>
      <c r="B82" s="64"/>
      <c r="C82" s="64"/>
      <c r="D82" s="64"/>
      <c r="E82" s="64"/>
      <c r="F82" s="64"/>
      <c r="G82" s="64"/>
      <c r="H82" s="64"/>
      <c r="I82" s="64"/>
      <c r="J82" s="64"/>
      <c r="K82" s="64"/>
      <c r="L82" s="64"/>
      <c r="M82" s="64"/>
      <c r="N82" s="64"/>
      <c r="O82" s="64"/>
      <c r="P82" s="64"/>
      <c r="Q82" s="64"/>
      <c r="R82" s="64"/>
      <c r="S82" s="64"/>
    </row>
    <row r="83" spans="1:21" x14ac:dyDescent="0.35">
      <c r="A83" s="64"/>
      <c r="B83" s="64"/>
      <c r="C83" s="64"/>
      <c r="D83" s="64"/>
      <c r="E83" s="64"/>
      <c r="F83" s="64"/>
      <c r="G83" s="64"/>
      <c r="H83" s="64"/>
      <c r="I83" s="64"/>
      <c r="J83" s="64"/>
      <c r="K83" s="64"/>
      <c r="L83" s="64"/>
      <c r="M83" s="64"/>
      <c r="N83" s="64"/>
      <c r="O83" s="64"/>
      <c r="P83" s="64"/>
      <c r="Q83" s="64"/>
      <c r="R83" s="64"/>
      <c r="S83" s="64"/>
    </row>
    <row r="84" spans="1:21" x14ac:dyDescent="0.35">
      <c r="A84" s="64"/>
      <c r="B84" s="64"/>
      <c r="C84" s="64"/>
      <c r="D84" s="64"/>
      <c r="E84" s="64"/>
      <c r="F84" s="64"/>
      <c r="G84" s="64"/>
      <c r="H84" s="64"/>
      <c r="I84" s="64"/>
      <c r="J84" s="64"/>
      <c r="K84" s="64"/>
      <c r="L84" s="64"/>
      <c r="M84" s="64"/>
      <c r="N84" s="64"/>
      <c r="O84" s="64"/>
      <c r="P84" s="64"/>
      <c r="Q84" s="64"/>
      <c r="R84" s="64"/>
      <c r="S84" s="64"/>
    </row>
    <row r="85" spans="1:21" x14ac:dyDescent="0.35">
      <c r="A85" s="64"/>
      <c r="B85" s="64"/>
      <c r="C85" s="64"/>
      <c r="D85" s="64"/>
      <c r="E85" s="64"/>
      <c r="F85" s="64"/>
      <c r="G85" s="64"/>
      <c r="H85" s="64"/>
      <c r="I85" s="64"/>
      <c r="J85" s="64"/>
      <c r="K85" s="64"/>
      <c r="L85" s="64"/>
      <c r="M85" s="64"/>
      <c r="N85" s="64"/>
      <c r="O85" s="64"/>
      <c r="P85" s="64"/>
      <c r="Q85" s="64"/>
      <c r="R85" s="64"/>
      <c r="S85" s="64"/>
    </row>
    <row r="86" spans="1:21" x14ac:dyDescent="0.35">
      <c r="A86" s="64"/>
      <c r="B86" s="64"/>
      <c r="C86" s="64"/>
      <c r="D86" s="64"/>
      <c r="E86" s="64"/>
      <c r="F86" s="64"/>
      <c r="G86" s="64"/>
      <c r="H86" s="64"/>
      <c r="I86" s="64"/>
      <c r="J86" s="64"/>
      <c r="K86" s="64"/>
      <c r="L86" s="64"/>
      <c r="M86" s="64"/>
      <c r="N86" s="64"/>
      <c r="O86" s="64"/>
      <c r="P86" s="64"/>
      <c r="Q86" s="64"/>
      <c r="R86" s="64"/>
      <c r="S86" s="64"/>
    </row>
    <row r="87" spans="1:21" x14ac:dyDescent="0.35">
      <c r="A87" s="64"/>
      <c r="B87" s="64"/>
      <c r="C87" s="64"/>
      <c r="D87" s="64"/>
      <c r="E87" s="64"/>
      <c r="F87" s="64"/>
      <c r="G87" s="64"/>
      <c r="H87" s="64"/>
      <c r="I87" s="64"/>
      <c r="J87" s="64"/>
      <c r="K87" s="64"/>
      <c r="L87" s="64"/>
      <c r="M87" s="64"/>
      <c r="N87" s="64"/>
      <c r="O87" s="64"/>
      <c r="P87" s="64"/>
      <c r="Q87" s="64"/>
      <c r="R87" s="64"/>
      <c r="S87" s="64"/>
    </row>
    <row r="88" spans="1:21" ht="69" customHeight="1" thickBot="1" x14ac:dyDescent="0.4">
      <c r="A88" s="64"/>
      <c r="B88" s="64"/>
      <c r="C88" s="64"/>
      <c r="D88" s="64"/>
      <c r="E88" s="64"/>
      <c r="F88" s="64"/>
      <c r="G88" s="64"/>
      <c r="H88" s="64"/>
      <c r="I88" s="64"/>
      <c r="J88" s="64"/>
      <c r="K88" s="64"/>
      <c r="L88" s="64"/>
      <c r="M88" s="64"/>
      <c r="N88" s="64"/>
      <c r="O88" s="64"/>
      <c r="P88" s="64"/>
      <c r="Q88" s="64"/>
      <c r="R88" s="64"/>
      <c r="S88" s="64"/>
    </row>
    <row r="89" spans="1:21" ht="19.5" thickTop="1" thickBot="1" x14ac:dyDescent="0.4">
      <c r="A89" s="3883" t="s">
        <v>10</v>
      </c>
      <c r="B89" s="3884"/>
      <c r="C89" s="3884"/>
      <c r="D89" s="3884"/>
      <c r="E89" s="3884"/>
      <c r="F89" s="3884"/>
      <c r="G89" s="3884"/>
      <c r="H89" s="3884"/>
      <c r="I89" s="3884"/>
      <c r="J89" s="3884"/>
      <c r="K89" s="5402"/>
      <c r="L89" s="30"/>
      <c r="M89" s="3725" t="s">
        <v>748</v>
      </c>
      <c r="N89" s="3726"/>
      <c r="O89" s="3727"/>
      <c r="P89" s="31"/>
      <c r="Q89" s="64"/>
      <c r="R89" s="64"/>
      <c r="S89" s="64"/>
      <c r="T89" s="64"/>
      <c r="U89" s="64"/>
    </row>
    <row r="90" spans="1:21" ht="21" customHeight="1" x14ac:dyDescent="0.35">
      <c r="A90" s="5531" t="s">
        <v>1533</v>
      </c>
      <c r="B90" s="5532"/>
      <c r="C90" s="5532"/>
      <c r="D90" s="5532"/>
      <c r="E90" s="5532"/>
      <c r="F90" s="5532"/>
      <c r="G90" s="5532"/>
      <c r="H90" s="5532"/>
      <c r="I90" s="5532"/>
      <c r="J90" s="5532"/>
      <c r="K90" s="5533"/>
      <c r="L90" s="30"/>
      <c r="M90" s="3750" t="s">
        <v>1399</v>
      </c>
      <c r="N90" s="5066"/>
      <c r="O90" s="3752"/>
      <c r="P90" s="31"/>
      <c r="Q90" s="64"/>
      <c r="R90" s="64"/>
      <c r="S90" s="64"/>
      <c r="T90" s="64"/>
      <c r="U90" s="64"/>
    </row>
    <row r="91" spans="1:21" ht="21" customHeight="1" x14ac:dyDescent="0.35">
      <c r="A91" s="5534"/>
      <c r="B91" s="5535"/>
      <c r="C91" s="5535"/>
      <c r="D91" s="5535"/>
      <c r="E91" s="5535"/>
      <c r="F91" s="5535"/>
      <c r="G91" s="5535"/>
      <c r="H91" s="5535"/>
      <c r="I91" s="5535"/>
      <c r="J91" s="5535"/>
      <c r="K91" s="5536"/>
      <c r="L91" s="30"/>
      <c r="M91" s="3753"/>
      <c r="N91" s="3754"/>
      <c r="O91" s="5067"/>
      <c r="P91" s="31"/>
      <c r="Q91" s="64"/>
      <c r="R91" s="64"/>
      <c r="S91" s="64"/>
      <c r="T91" s="64"/>
      <c r="U91" s="64"/>
    </row>
    <row r="92" spans="1:21" ht="21" customHeight="1" x14ac:dyDescent="0.35">
      <c r="A92" s="5534"/>
      <c r="B92" s="5535"/>
      <c r="C92" s="5535"/>
      <c r="D92" s="5535"/>
      <c r="E92" s="5535"/>
      <c r="F92" s="5535"/>
      <c r="G92" s="5535"/>
      <c r="H92" s="5535"/>
      <c r="I92" s="5535"/>
      <c r="J92" s="5535"/>
      <c r="K92" s="5536"/>
      <c r="L92" s="30"/>
      <c r="M92" s="3753"/>
      <c r="N92" s="3754"/>
      <c r="O92" s="5067"/>
      <c r="P92" s="31"/>
      <c r="Q92" s="64"/>
      <c r="R92" s="64"/>
      <c r="S92" s="64"/>
      <c r="T92" s="64"/>
      <c r="U92" s="64"/>
    </row>
    <row r="93" spans="1:21" ht="21" customHeight="1" x14ac:dyDescent="0.35">
      <c r="A93" s="5534"/>
      <c r="B93" s="5535"/>
      <c r="C93" s="5535"/>
      <c r="D93" s="5535"/>
      <c r="E93" s="5535"/>
      <c r="F93" s="5535"/>
      <c r="G93" s="5535"/>
      <c r="H93" s="5535"/>
      <c r="I93" s="5535"/>
      <c r="J93" s="5535"/>
      <c r="K93" s="5536"/>
      <c r="L93" s="30"/>
      <c r="M93" s="3753"/>
      <c r="N93" s="3754"/>
      <c r="O93" s="5067"/>
      <c r="P93" s="31"/>
      <c r="Q93" s="64"/>
      <c r="R93" s="64"/>
      <c r="S93" s="64"/>
      <c r="T93" s="64"/>
      <c r="U93" s="64"/>
    </row>
    <row r="94" spans="1:21" ht="21" customHeight="1" thickBot="1" x14ac:dyDescent="0.4">
      <c r="A94" s="5534"/>
      <c r="B94" s="5535"/>
      <c r="C94" s="5535"/>
      <c r="D94" s="5535"/>
      <c r="E94" s="5535"/>
      <c r="F94" s="5535"/>
      <c r="G94" s="5535"/>
      <c r="H94" s="5535"/>
      <c r="I94" s="5535"/>
      <c r="J94" s="5535"/>
      <c r="K94" s="5536"/>
      <c r="L94" s="30"/>
      <c r="M94" s="5334"/>
      <c r="N94" s="3757"/>
      <c r="O94" s="3758"/>
      <c r="P94" s="31"/>
      <c r="Q94" s="64"/>
      <c r="R94" s="64"/>
      <c r="S94" s="64"/>
      <c r="T94" s="64"/>
      <c r="U94" s="64"/>
    </row>
    <row r="95" spans="1:21" ht="21" customHeight="1" thickBot="1" x14ac:dyDescent="0.4">
      <c r="A95" s="5537"/>
      <c r="B95" s="5538"/>
      <c r="C95" s="5538"/>
      <c r="D95" s="5538"/>
      <c r="E95" s="5538"/>
      <c r="F95" s="5538"/>
      <c r="G95" s="5538"/>
      <c r="H95" s="5538"/>
      <c r="I95" s="5538"/>
      <c r="J95" s="5538"/>
      <c r="K95" s="5539"/>
      <c r="L95" s="30"/>
      <c r="M95" s="64"/>
      <c r="N95" s="64"/>
      <c r="O95" s="64"/>
      <c r="P95" s="31"/>
      <c r="Q95" s="64"/>
      <c r="R95" s="64"/>
      <c r="S95" s="64"/>
      <c r="T95" s="64"/>
      <c r="U95" s="64"/>
    </row>
    <row r="96" spans="1:21" ht="15.5" thickTop="1" thickBot="1" x14ac:dyDescent="0.4">
      <c r="A96" s="64"/>
      <c r="B96" s="64"/>
      <c r="C96" s="64"/>
      <c r="D96" s="64"/>
      <c r="E96" s="64"/>
      <c r="F96" s="64"/>
      <c r="G96" s="64"/>
      <c r="H96" s="64"/>
      <c r="I96" s="64"/>
      <c r="J96" s="64"/>
      <c r="K96" s="64"/>
      <c r="L96" s="64"/>
      <c r="M96" s="64"/>
      <c r="N96" s="64"/>
      <c r="O96" s="64"/>
      <c r="P96" s="64"/>
      <c r="Q96" s="64"/>
      <c r="R96" s="64"/>
      <c r="S96" s="64"/>
      <c r="T96" s="64"/>
      <c r="U96" s="64"/>
    </row>
    <row r="97" spans="1:21" ht="19.5" customHeight="1" thickTop="1" thickBot="1" x14ac:dyDescent="0.4">
      <c r="A97" s="3883" t="s">
        <v>11</v>
      </c>
      <c r="B97" s="5470"/>
      <c r="C97" s="5470"/>
      <c r="D97" s="5470"/>
      <c r="E97" s="5470"/>
      <c r="F97" s="5470"/>
      <c r="G97" s="5470"/>
      <c r="H97" s="5470"/>
      <c r="I97" s="5470"/>
      <c r="J97" s="5470"/>
      <c r="K97" s="5470"/>
      <c r="L97" s="30"/>
      <c r="M97" s="3725" t="s">
        <v>748</v>
      </c>
      <c r="N97" s="3726"/>
      <c r="O97" s="3727"/>
      <c r="P97" s="31"/>
      <c r="Q97" s="64"/>
      <c r="R97" s="64"/>
      <c r="S97" s="64"/>
      <c r="T97" s="64"/>
      <c r="U97" s="64"/>
    </row>
    <row r="98" spans="1:21" ht="21" customHeight="1" x14ac:dyDescent="0.35">
      <c r="A98" s="3876" t="s">
        <v>1089</v>
      </c>
      <c r="B98" s="3877"/>
      <c r="C98" s="3877"/>
      <c r="D98" s="3877"/>
      <c r="E98" s="3877"/>
      <c r="F98" s="3877"/>
      <c r="G98" s="3877"/>
      <c r="H98" s="3877"/>
      <c r="I98" s="3877"/>
      <c r="J98" s="3877"/>
      <c r="K98" s="5398"/>
      <c r="L98" s="30"/>
      <c r="M98" s="3750" t="s">
        <v>1400</v>
      </c>
      <c r="N98" s="5066"/>
      <c r="O98" s="3752"/>
      <c r="P98" s="31"/>
      <c r="Q98" s="64"/>
      <c r="R98" s="64"/>
      <c r="S98" s="64"/>
      <c r="T98" s="64"/>
      <c r="U98" s="64"/>
    </row>
    <row r="99" spans="1:21" ht="21" customHeight="1" x14ac:dyDescent="0.35">
      <c r="A99" s="3878"/>
      <c r="B99" s="3879"/>
      <c r="C99" s="3879"/>
      <c r="D99" s="3879"/>
      <c r="E99" s="3879"/>
      <c r="F99" s="3879"/>
      <c r="G99" s="3879"/>
      <c r="H99" s="3879"/>
      <c r="I99" s="3879"/>
      <c r="J99" s="3879"/>
      <c r="K99" s="5399"/>
      <c r="L99" s="30"/>
      <c r="M99" s="3753"/>
      <c r="N99" s="3754"/>
      <c r="O99" s="5067"/>
      <c r="P99" s="31"/>
      <c r="Q99" s="64"/>
      <c r="R99" s="64"/>
      <c r="S99" s="64"/>
      <c r="T99" s="64"/>
      <c r="U99" s="64"/>
    </row>
    <row r="100" spans="1:21" ht="21" customHeight="1" x14ac:dyDescent="0.35">
      <c r="A100" s="3878"/>
      <c r="B100" s="3879"/>
      <c r="C100" s="3879"/>
      <c r="D100" s="3879"/>
      <c r="E100" s="3879"/>
      <c r="F100" s="3879"/>
      <c r="G100" s="3879"/>
      <c r="H100" s="3879"/>
      <c r="I100" s="3879"/>
      <c r="J100" s="3879"/>
      <c r="K100" s="5399"/>
      <c r="L100" s="30"/>
      <c r="M100" s="3753"/>
      <c r="N100" s="3754"/>
      <c r="O100" s="5067"/>
      <c r="P100" s="31"/>
      <c r="Q100" s="64"/>
      <c r="R100" s="64"/>
      <c r="S100" s="64"/>
      <c r="T100" s="64"/>
      <c r="U100" s="64"/>
    </row>
    <row r="101" spans="1:21" ht="21" customHeight="1" x14ac:dyDescent="0.35">
      <c r="A101" s="3878"/>
      <c r="B101" s="3879"/>
      <c r="C101" s="3879"/>
      <c r="D101" s="3879"/>
      <c r="E101" s="3879"/>
      <c r="F101" s="3879"/>
      <c r="G101" s="3879"/>
      <c r="H101" s="3879"/>
      <c r="I101" s="3879"/>
      <c r="J101" s="3879"/>
      <c r="K101" s="5399"/>
      <c r="L101" s="30"/>
      <c r="M101" s="3753"/>
      <c r="N101" s="3754"/>
      <c r="O101" s="5067"/>
      <c r="P101" s="31"/>
      <c r="Q101" s="64"/>
      <c r="R101" s="64"/>
      <c r="S101" s="64"/>
      <c r="T101" s="64"/>
      <c r="U101" s="64"/>
    </row>
    <row r="102" spans="1:21" ht="15" thickBot="1" x14ac:dyDescent="0.4">
      <c r="A102" s="3880"/>
      <c r="B102" s="3881"/>
      <c r="C102" s="3881"/>
      <c r="D102" s="3881"/>
      <c r="E102" s="3881"/>
      <c r="F102" s="3881"/>
      <c r="G102" s="3881"/>
      <c r="H102" s="3881"/>
      <c r="I102" s="3881"/>
      <c r="J102" s="3881"/>
      <c r="K102" s="5400"/>
      <c r="L102" s="64"/>
      <c r="M102" s="5334"/>
      <c r="N102" s="3757"/>
      <c r="O102" s="3758"/>
      <c r="P102" s="64"/>
      <c r="Q102" s="64"/>
      <c r="R102" s="64"/>
      <c r="S102" s="64"/>
      <c r="T102" s="64"/>
      <c r="U102" s="64"/>
    </row>
    <row r="103" spans="1:21" ht="15" thickTop="1" x14ac:dyDescent="0.35">
      <c r="A103" s="64"/>
      <c r="B103" s="64"/>
      <c r="C103" s="64"/>
      <c r="D103" s="64"/>
      <c r="E103" s="64"/>
      <c r="F103" s="64"/>
      <c r="G103" s="64"/>
      <c r="H103" s="64"/>
      <c r="I103" s="64"/>
      <c r="J103" s="64"/>
      <c r="K103" s="64"/>
      <c r="L103" s="64"/>
      <c r="M103" s="64"/>
      <c r="N103" s="64"/>
      <c r="O103" s="64"/>
      <c r="P103" s="64"/>
      <c r="Q103" s="64"/>
      <c r="R103" s="64"/>
      <c r="S103" s="64"/>
      <c r="T103" s="64"/>
      <c r="U103" s="64"/>
    </row>
    <row r="104" spans="1:21" x14ac:dyDescent="0.35">
      <c r="A104" s="64"/>
      <c r="B104" s="64"/>
      <c r="C104" s="64"/>
      <c r="D104" s="64"/>
      <c r="E104" s="64"/>
      <c r="F104" s="64"/>
      <c r="G104" s="64"/>
      <c r="H104" s="64"/>
      <c r="I104" s="64"/>
      <c r="J104" s="64"/>
      <c r="K104" s="64"/>
      <c r="L104" s="64"/>
      <c r="M104" s="64"/>
      <c r="N104" s="64"/>
      <c r="O104" s="64"/>
      <c r="P104" s="64"/>
      <c r="Q104" s="64"/>
      <c r="R104" s="64"/>
      <c r="S104" s="64"/>
    </row>
  </sheetData>
  <mergeCells count="250">
    <mergeCell ref="A89:K89"/>
    <mergeCell ref="M89:O89"/>
    <mergeCell ref="A90:K95"/>
    <mergeCell ref="M90:O94"/>
    <mergeCell ref="A97:K97"/>
    <mergeCell ref="M97:O97"/>
    <mergeCell ref="A98:K102"/>
    <mergeCell ref="M98:O102"/>
    <mergeCell ref="A6:A7"/>
    <mergeCell ref="B6:E7"/>
    <mergeCell ref="F6:G6"/>
    <mergeCell ref="H6:I6"/>
    <mergeCell ref="J6:K7"/>
    <mergeCell ref="L6:L7"/>
    <mergeCell ref="M6:P7"/>
    <mergeCell ref="F7:G7"/>
    <mergeCell ref="H7:I7"/>
    <mergeCell ref="A8:A21"/>
    <mergeCell ref="B8:P8"/>
    <mergeCell ref="B9:E9"/>
    <mergeCell ref="F9:G9"/>
    <mergeCell ref="H9:I9"/>
    <mergeCell ref="J9:K9"/>
    <mergeCell ref="M9:P9"/>
    <mergeCell ref="D1:G1"/>
    <mergeCell ref="I1:J1"/>
    <mergeCell ref="L1:M1"/>
    <mergeCell ref="D2:G2"/>
    <mergeCell ref="I2:J2"/>
    <mergeCell ref="L2:M2"/>
    <mergeCell ref="A4:G4"/>
    <mergeCell ref="H4:P4"/>
    <mergeCell ref="A5:B5"/>
    <mergeCell ref="C5:P5"/>
    <mergeCell ref="D3:G3"/>
    <mergeCell ref="B10:E10"/>
    <mergeCell ref="F10:G10"/>
    <mergeCell ref="H10:I10"/>
    <mergeCell ref="J10:K10"/>
    <mergeCell ref="M10:P10"/>
    <mergeCell ref="B11:E11"/>
    <mergeCell ref="F11:G11"/>
    <mergeCell ref="H11:I11"/>
    <mergeCell ref="J11:K11"/>
    <mergeCell ref="M11:P11"/>
    <mergeCell ref="B12:E12"/>
    <mergeCell ref="F12:G12"/>
    <mergeCell ref="H12:I12"/>
    <mergeCell ref="J12:K12"/>
    <mergeCell ref="M12:P12"/>
    <mergeCell ref="B13:E13"/>
    <mergeCell ref="F13:G13"/>
    <mergeCell ref="H13:I13"/>
    <mergeCell ref="J13:K13"/>
    <mergeCell ref="M13:P13"/>
    <mergeCell ref="B14:E14"/>
    <mergeCell ref="F14:G14"/>
    <mergeCell ref="H14:I14"/>
    <mergeCell ref="J14:K14"/>
    <mergeCell ref="M14:P14"/>
    <mergeCell ref="B15:E15"/>
    <mergeCell ref="F15:G15"/>
    <mergeCell ref="H15:I15"/>
    <mergeCell ref="J15:K15"/>
    <mergeCell ref="M15:P15"/>
    <mergeCell ref="B16:E16"/>
    <mergeCell ref="F16:G16"/>
    <mergeCell ref="H16:I16"/>
    <mergeCell ref="J16:K16"/>
    <mergeCell ref="M16:P16"/>
    <mergeCell ref="B17:E17"/>
    <mergeCell ref="F17:G17"/>
    <mergeCell ref="H17:I17"/>
    <mergeCell ref="J17:K17"/>
    <mergeCell ref="M17:P17"/>
    <mergeCell ref="B18:E18"/>
    <mergeCell ref="F18:G18"/>
    <mergeCell ref="H18:I18"/>
    <mergeCell ref="J18:K18"/>
    <mergeCell ref="M18:P18"/>
    <mergeCell ref="B19:E19"/>
    <mergeCell ref="F19:G19"/>
    <mergeCell ref="H19:I19"/>
    <mergeCell ref="J19:K19"/>
    <mergeCell ref="M19:P19"/>
    <mergeCell ref="B20:E20"/>
    <mergeCell ref="F20:G20"/>
    <mergeCell ref="H20:I20"/>
    <mergeCell ref="J20:K20"/>
    <mergeCell ref="M20:P20"/>
    <mergeCell ref="B21:E21"/>
    <mergeCell ref="F21:G21"/>
    <mergeCell ref="H21:I21"/>
    <mergeCell ref="J21:K21"/>
    <mergeCell ref="M21:P21"/>
    <mergeCell ref="J24:K24"/>
    <mergeCell ref="M24:P24"/>
    <mergeCell ref="B25:E25"/>
    <mergeCell ref="F25:G25"/>
    <mergeCell ref="H25:I25"/>
    <mergeCell ref="J25:K25"/>
    <mergeCell ref="M25:P25"/>
    <mergeCell ref="A22:A33"/>
    <mergeCell ref="B22:P22"/>
    <mergeCell ref="B23:E23"/>
    <mergeCell ref="F23:G23"/>
    <mergeCell ref="H23:I23"/>
    <mergeCell ref="J23:K23"/>
    <mergeCell ref="M23:P23"/>
    <mergeCell ref="B24:E24"/>
    <mergeCell ref="F24:G24"/>
    <mergeCell ref="H24:I24"/>
    <mergeCell ref="B26:E26"/>
    <mergeCell ref="F26:G26"/>
    <mergeCell ref="H26:I26"/>
    <mergeCell ref="J26:K26"/>
    <mergeCell ref="M26:P26"/>
    <mergeCell ref="B27:E27"/>
    <mergeCell ref="F27:G27"/>
    <mergeCell ref="H27:I27"/>
    <mergeCell ref="J27:K27"/>
    <mergeCell ref="M27:P27"/>
    <mergeCell ref="B28:E28"/>
    <mergeCell ref="F28:G28"/>
    <mergeCell ref="H28:I28"/>
    <mergeCell ref="J28:K28"/>
    <mergeCell ref="M28:P28"/>
    <mergeCell ref="B29:E29"/>
    <mergeCell ref="F29:G29"/>
    <mergeCell ref="H29:I29"/>
    <mergeCell ref="J29:K29"/>
    <mergeCell ref="M29:P29"/>
    <mergeCell ref="B32:E32"/>
    <mergeCell ref="F32:G32"/>
    <mergeCell ref="H32:I32"/>
    <mergeCell ref="J32:K32"/>
    <mergeCell ref="M32:P32"/>
    <mergeCell ref="F33:G33"/>
    <mergeCell ref="H33:I33"/>
    <mergeCell ref="J33:K33"/>
    <mergeCell ref="B30:E30"/>
    <mergeCell ref="F30:G30"/>
    <mergeCell ref="H30:I30"/>
    <mergeCell ref="J30:K30"/>
    <mergeCell ref="M30:P30"/>
    <mergeCell ref="B31:E31"/>
    <mergeCell ref="F31:G31"/>
    <mergeCell ref="H31:I31"/>
    <mergeCell ref="J31:K31"/>
    <mergeCell ref="M31:P31"/>
    <mergeCell ref="B33:E33"/>
    <mergeCell ref="J36:K36"/>
    <mergeCell ref="M36:P36"/>
    <mergeCell ref="B37:E37"/>
    <mergeCell ref="F37:G37"/>
    <mergeCell ref="H37:I37"/>
    <mergeCell ref="J37:K37"/>
    <mergeCell ref="M37:P37"/>
    <mergeCell ref="A34:A43"/>
    <mergeCell ref="B34:P34"/>
    <mergeCell ref="B35:E35"/>
    <mergeCell ref="F35:G35"/>
    <mergeCell ref="H35:I35"/>
    <mergeCell ref="J35:K35"/>
    <mergeCell ref="M35:P35"/>
    <mergeCell ref="B36:E36"/>
    <mergeCell ref="F36:G36"/>
    <mergeCell ref="H36:I36"/>
    <mergeCell ref="B38:E38"/>
    <mergeCell ref="F38:G38"/>
    <mergeCell ref="H38:I38"/>
    <mergeCell ref="J38:K38"/>
    <mergeCell ref="M38:P38"/>
    <mergeCell ref="B39:E39"/>
    <mergeCell ref="F39:G39"/>
    <mergeCell ref="H39:I39"/>
    <mergeCell ref="J39:K39"/>
    <mergeCell ref="M39:P39"/>
    <mergeCell ref="B40:E40"/>
    <mergeCell ref="F40:G40"/>
    <mergeCell ref="H40:I40"/>
    <mergeCell ref="J40:K40"/>
    <mergeCell ref="M40:P40"/>
    <mergeCell ref="B41:E41"/>
    <mergeCell ref="F41:G41"/>
    <mergeCell ref="H41:I41"/>
    <mergeCell ref="J41:K41"/>
    <mergeCell ref="M41:P41"/>
    <mergeCell ref="B42:E42"/>
    <mergeCell ref="F42:G42"/>
    <mergeCell ref="H42:I42"/>
    <mergeCell ref="J42:K42"/>
    <mergeCell ref="M42:P42"/>
    <mergeCell ref="B43:E43"/>
    <mergeCell ref="F43:G43"/>
    <mergeCell ref="H43:I43"/>
    <mergeCell ref="J43:K43"/>
    <mergeCell ref="M43:P43"/>
    <mergeCell ref="J46:K46"/>
    <mergeCell ref="M46:P46"/>
    <mergeCell ref="B47:E47"/>
    <mergeCell ref="F47:G47"/>
    <mergeCell ref="H47:I47"/>
    <mergeCell ref="J47:K47"/>
    <mergeCell ref="M47:P47"/>
    <mergeCell ref="A44:A53"/>
    <mergeCell ref="B44:P44"/>
    <mergeCell ref="B45:E45"/>
    <mergeCell ref="F45:G45"/>
    <mergeCell ref="H45:I45"/>
    <mergeCell ref="J45:K45"/>
    <mergeCell ref="M45:P45"/>
    <mergeCell ref="B46:E46"/>
    <mergeCell ref="F46:G46"/>
    <mergeCell ref="H46:I46"/>
    <mergeCell ref="B48:E48"/>
    <mergeCell ref="F48:G48"/>
    <mergeCell ref="H48:I48"/>
    <mergeCell ref="J48:K48"/>
    <mergeCell ref="M48:P48"/>
    <mergeCell ref="B49:E49"/>
    <mergeCell ref="F49:G49"/>
    <mergeCell ref="H49:I49"/>
    <mergeCell ref="J49:K49"/>
    <mergeCell ref="M49:P49"/>
    <mergeCell ref="B52:E52"/>
    <mergeCell ref="F52:G52"/>
    <mergeCell ref="H52:I52"/>
    <mergeCell ref="J52:K52"/>
    <mergeCell ref="M52:P52"/>
    <mergeCell ref="B53:P53"/>
    <mergeCell ref="B50:E50"/>
    <mergeCell ref="F50:G50"/>
    <mergeCell ref="H50:I50"/>
    <mergeCell ref="J50:K50"/>
    <mergeCell ref="M50:P50"/>
    <mergeCell ref="B51:E51"/>
    <mergeCell ref="F51:G51"/>
    <mergeCell ref="H51:I51"/>
    <mergeCell ref="J51:K51"/>
    <mergeCell ref="M51:P51"/>
    <mergeCell ref="D54:E54"/>
    <mergeCell ref="F54:G54"/>
    <mergeCell ref="H54:I54"/>
    <mergeCell ref="J54:K54"/>
    <mergeCell ref="L54:L55"/>
    <mergeCell ref="D55:E55"/>
    <mergeCell ref="F55:G55"/>
    <mergeCell ref="H55:I55"/>
    <mergeCell ref="J55:K5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B00-000000000000}">
      <formula1>AvancementTheme</formula1>
    </dataValidation>
  </dataValidations>
  <hyperlinks>
    <hyperlink ref="P1" location="DKPI_03CK3" display="KPI's" xr:uid="{00000000-0004-0000-4B00-000000000000}"/>
    <hyperlink ref="O1" location="DPDV_03CK3" display="PdV" xr:uid="{00000000-0004-0000-4B00-000001000000}"/>
  </hyperlinks>
  <pageMargins left="0.70866141732283472" right="0.70866141732283472" top="0.74803149606299213" bottom="0.74803149606299213" header="0.31496062992125984" footer="0.31496062992125984"/>
  <pageSetup paperSize="9" scale="53" orientation="portrait" r:id="rId1"/>
  <headerFooter>
    <oddHeader>&amp;LPAD Methodology (c) 2013-2014&amp;RStrategic Management Workshop</oddHeader>
    <oddFooter>&amp;L&amp;F&amp;C&amp;A&amp;RSituation au : &amp;D - page : &amp;P/&amp;N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euil40">
    <tabColor theme="9" tint="-0.249977111117893"/>
    <pageSetUpPr fitToPage="1"/>
  </sheetPr>
  <dimension ref="A1:AA49"/>
  <sheetViews>
    <sheetView showGridLines="0" showRowColHeaders="0" zoomScaleNormal="100" workbookViewId="0">
      <pane xSplit="3" ySplit="9" topLeftCell="D18" activePane="bottomRight" state="frozen"/>
      <selection activeCell="H7" sqref="H7"/>
      <selection pane="topRight" activeCell="H7" sqref="H7"/>
      <selection pane="bottomLeft" activeCell="H7" sqref="H7"/>
      <selection pane="bottomRight" activeCell="H7" sqref="H7:I7"/>
    </sheetView>
  </sheetViews>
  <sheetFormatPr baseColWidth="10" defaultColWidth="11.453125" defaultRowHeight="14.5" x14ac:dyDescent="0.35"/>
  <cols>
    <col min="1" max="1" width="11.453125" style="60" customWidth="1"/>
    <col min="2" max="2" width="11.26953125" style="60" customWidth="1"/>
    <col min="3" max="3" width="8.54296875" style="60" customWidth="1"/>
    <col min="4" max="26" width="6.7265625" style="60" customWidth="1"/>
    <col min="27" max="27" width="11.453125" style="60" customWidth="1"/>
    <col min="28" max="16384" width="11.453125" style="60"/>
  </cols>
  <sheetData>
    <row r="1" spans="1:27"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t="s">
        <v>2</v>
      </c>
      <c r="Y1" s="479" t="s">
        <v>3</v>
      </c>
      <c r="Z1" s="389"/>
      <c r="AA1" s="458"/>
    </row>
    <row r="2" spans="1:27" s="58" customFormat="1" ht="18" customHeight="1" x14ac:dyDescent="0.35">
      <c r="A2" s="393"/>
      <c r="B2" s="393"/>
      <c r="C2" s="393"/>
      <c r="D2" s="393"/>
      <c r="E2" s="3822" t="str">
        <f>NomClient</f>
        <v xml:space="preserve">EQUINIX </v>
      </c>
      <c r="F2" s="3823"/>
      <c r="G2" s="3823"/>
      <c r="H2" s="3823"/>
      <c r="I2" s="3823"/>
      <c r="J2" s="3824"/>
      <c r="K2" s="393"/>
      <c r="L2" s="3345" t="s">
        <v>409</v>
      </c>
      <c r="M2" s="3826"/>
      <c r="N2" s="3826"/>
      <c r="O2" s="3346"/>
      <c r="P2" s="393"/>
      <c r="Q2" s="393"/>
      <c r="R2" s="3347">
        <v>42420.672546296293</v>
      </c>
      <c r="S2" s="3825"/>
      <c r="T2" s="3825"/>
      <c r="U2" s="3348"/>
      <c r="V2" s="699"/>
      <c r="W2" s="699"/>
      <c r="X2" s="451">
        <f>IF(LEN(DPDV_04SC3)&gt;0,LEN(DPDV_04SC3),0-PDV_NBmini)</f>
        <v>37</v>
      </c>
      <c r="Y2" s="451">
        <f>IF(LEN(DKPI_04SC3)&gt;0,LEN(DKPI_04SC3),0-KPI_NBmini)</f>
        <v>38</v>
      </c>
      <c r="Z2" s="699"/>
      <c r="AA2" s="459"/>
    </row>
    <row r="3" spans="1:27" ht="9.75" customHeight="1" thickBot="1" x14ac:dyDescent="0.4">
      <c r="A3" s="396"/>
      <c r="B3" s="396"/>
      <c r="C3" s="396"/>
      <c r="D3" s="3696" t="s">
        <v>1792</v>
      </c>
      <c r="E3" s="3696"/>
      <c r="F3" s="3696"/>
      <c r="G3" s="3696"/>
      <c r="H3" s="1960"/>
      <c r="I3" s="1960"/>
      <c r="J3" s="1960"/>
      <c r="K3" s="396"/>
      <c r="L3" s="396"/>
      <c r="M3" s="396"/>
      <c r="N3" s="396"/>
      <c r="O3" s="396"/>
      <c r="P3" s="396"/>
      <c r="Q3" s="831"/>
      <c r="R3" s="831"/>
      <c r="S3" s="831"/>
      <c r="T3" s="831"/>
      <c r="U3" s="831"/>
      <c r="V3" s="831"/>
      <c r="W3" s="2310"/>
      <c r="X3" s="2310"/>
      <c r="Y3" s="2310"/>
      <c r="Z3" s="2310"/>
    </row>
    <row r="4" spans="1:27" s="1" customFormat="1" ht="24.75" customHeight="1" thickBot="1" x14ac:dyDescent="0.4">
      <c r="A4" s="5552" t="str">
        <f>Parametre!B26  &amp; "  : "</f>
        <v xml:space="preserve">Marchés cibles  : </v>
      </c>
      <c r="B4" s="5552"/>
      <c r="C4" s="5552"/>
      <c r="D4" s="5552"/>
      <c r="E4" s="5552"/>
      <c r="F4" s="5552"/>
      <c r="G4" s="5552"/>
      <c r="H4" s="5552"/>
      <c r="I4" s="5552"/>
      <c r="J4" s="5552"/>
      <c r="K4" s="5553" t="str">
        <f>"Répartition Sectorielle pour " &amp; NomProd3</f>
        <v xml:space="preserve">Répartition Sectorielle pour </v>
      </c>
      <c r="L4" s="5553"/>
      <c r="M4" s="5553"/>
      <c r="N4" s="5553"/>
      <c r="O4" s="5553"/>
      <c r="P4" s="5553"/>
      <c r="Q4" s="5553"/>
      <c r="R4" s="5553"/>
      <c r="S4" s="5553"/>
      <c r="T4" s="5553"/>
      <c r="U4" s="5553"/>
      <c r="V4" s="5553"/>
      <c r="W4" s="5553"/>
      <c r="X4" s="5553"/>
      <c r="Y4" s="5553"/>
      <c r="Z4" s="5554"/>
      <c r="AA4" s="444"/>
    </row>
    <row r="5" spans="1:27" ht="37.5" customHeight="1" thickBot="1" x14ac:dyDescent="0.4">
      <c r="A5" s="3438" t="s">
        <v>14</v>
      </c>
      <c r="B5" s="3438"/>
      <c r="C5" s="3508" t="s">
        <v>579</v>
      </c>
      <c r="D5" s="3508"/>
      <c r="E5" s="3508"/>
      <c r="F5" s="3508"/>
      <c r="G5" s="3508"/>
      <c r="H5" s="3508"/>
      <c r="I5" s="3508"/>
      <c r="J5" s="3508"/>
      <c r="K5" s="3508"/>
      <c r="L5" s="3508"/>
      <c r="M5" s="3508"/>
      <c r="N5" s="3508"/>
      <c r="O5" s="3508"/>
      <c r="P5" s="3508"/>
      <c r="Q5" s="3508"/>
      <c r="R5" s="3508"/>
      <c r="S5" s="3508"/>
      <c r="T5" s="3508"/>
      <c r="U5" s="3508"/>
      <c r="V5" s="3508"/>
      <c r="W5" s="3508"/>
      <c r="X5" s="3508"/>
      <c r="Y5" s="3508"/>
      <c r="Z5" s="3508"/>
      <c r="AA5" s="64"/>
    </row>
    <row r="6" spans="1:27" ht="27.75" customHeight="1" x14ac:dyDescent="0.35">
      <c r="A6" s="3836"/>
      <c r="B6" s="3837" t="s">
        <v>359</v>
      </c>
      <c r="C6" s="3832"/>
      <c r="D6" s="3831" t="s">
        <v>573</v>
      </c>
      <c r="E6" s="3831"/>
      <c r="F6" s="3831" t="s">
        <v>523</v>
      </c>
      <c r="G6" s="3831"/>
      <c r="H6" s="3831" t="s">
        <v>352</v>
      </c>
      <c r="I6" s="3831"/>
      <c r="J6" s="3831" t="s">
        <v>574</v>
      </c>
      <c r="K6" s="3831"/>
      <c r="L6" s="3832" t="s">
        <v>575</v>
      </c>
      <c r="M6" s="3833"/>
      <c r="N6" s="3829"/>
      <c r="O6" s="3830"/>
      <c r="P6" s="3837" t="s">
        <v>577</v>
      </c>
      <c r="Q6" s="3832"/>
      <c r="R6" s="3832"/>
      <c r="S6" s="3831" t="s">
        <v>355</v>
      </c>
      <c r="T6" s="3831"/>
      <c r="U6" s="3831" t="s">
        <v>356</v>
      </c>
      <c r="V6" s="3831"/>
      <c r="W6" s="3831" t="s">
        <v>357</v>
      </c>
      <c r="X6" s="3831"/>
      <c r="Y6" s="3831" t="s">
        <v>578</v>
      </c>
      <c r="Z6" s="3845"/>
      <c r="AA6" s="3828"/>
    </row>
    <row r="7" spans="1:27" ht="18" customHeight="1" thickBot="1" x14ac:dyDescent="0.4">
      <c r="A7" s="3836"/>
      <c r="B7" s="3838"/>
      <c r="C7" s="3839"/>
      <c r="D7" s="3834">
        <v>1</v>
      </c>
      <c r="E7" s="3834"/>
      <c r="F7" s="3834">
        <v>2</v>
      </c>
      <c r="G7" s="3834"/>
      <c r="H7" s="3834">
        <v>3</v>
      </c>
      <c r="I7" s="3834"/>
      <c r="J7" s="3834">
        <v>4</v>
      </c>
      <c r="K7" s="3834"/>
      <c r="L7" s="3834">
        <v>5</v>
      </c>
      <c r="M7" s="3844"/>
      <c r="N7" s="3829"/>
      <c r="O7" s="3830"/>
      <c r="P7" s="3838"/>
      <c r="Q7" s="3839"/>
      <c r="R7" s="3839"/>
      <c r="S7" s="3846"/>
      <c r="T7" s="3846"/>
      <c r="U7" s="3847"/>
      <c r="V7" s="3847"/>
      <c r="W7" s="3848"/>
      <c r="X7" s="3848"/>
      <c r="Y7" s="3849"/>
      <c r="Z7" s="3850"/>
      <c r="AA7" s="3828"/>
    </row>
    <row r="8" spans="1:27" ht="5.25" customHeight="1" thickBot="1" x14ac:dyDescent="0.4">
      <c r="A8" s="3697"/>
      <c r="B8" s="3697"/>
      <c r="C8" s="3697"/>
      <c r="D8" s="3697"/>
      <c r="E8" s="3697"/>
      <c r="F8" s="3697"/>
      <c r="G8" s="3697"/>
      <c r="H8" s="3697"/>
      <c r="I8" s="3697"/>
      <c r="J8" s="3697"/>
      <c r="K8" s="3697"/>
      <c r="L8" s="3697"/>
      <c r="M8" s="3697"/>
      <c r="N8" s="3697"/>
      <c r="O8" s="3697"/>
      <c r="P8" s="3697"/>
      <c r="Q8" s="3697"/>
      <c r="R8" s="3697"/>
      <c r="S8" s="3697"/>
      <c r="T8" s="3697"/>
      <c r="U8" s="3697"/>
      <c r="V8" s="3697"/>
      <c r="W8" s="3697"/>
      <c r="X8" s="3697"/>
      <c r="Y8" s="3697"/>
      <c r="Z8" s="3697"/>
      <c r="AA8" s="3697"/>
    </row>
    <row r="9" spans="1:27" s="192" customFormat="1" ht="77.25" customHeight="1" thickTop="1" thickBot="1" x14ac:dyDescent="0.4">
      <c r="A9" s="3802" t="str">
        <f>NomProd1
&amp;
" Repartition Sectorielle"</f>
        <v>EQUINIX Repartition Sectorielle</v>
      </c>
      <c r="B9" s="3803"/>
      <c r="C9" s="3803" t="s">
        <v>222</v>
      </c>
      <c r="D9" s="771" t="s">
        <v>327</v>
      </c>
      <c r="E9" s="772" t="s">
        <v>299</v>
      </c>
      <c r="F9" s="772" t="s">
        <v>328</v>
      </c>
      <c r="G9" s="772" t="s">
        <v>329</v>
      </c>
      <c r="H9" s="772" t="s">
        <v>330</v>
      </c>
      <c r="I9" s="772" t="s">
        <v>331</v>
      </c>
      <c r="J9" s="772" t="s">
        <v>332</v>
      </c>
      <c r="K9" s="772" t="s">
        <v>333</v>
      </c>
      <c r="L9" s="772" t="s">
        <v>334</v>
      </c>
      <c r="M9" s="772" t="s">
        <v>335</v>
      </c>
      <c r="N9" s="772" t="s">
        <v>336</v>
      </c>
      <c r="O9" s="772" t="s">
        <v>337</v>
      </c>
      <c r="P9" s="772" t="s">
        <v>338</v>
      </c>
      <c r="Q9" s="772" t="s">
        <v>339</v>
      </c>
      <c r="R9" s="772" t="s">
        <v>340</v>
      </c>
      <c r="S9" s="772" t="s">
        <v>341</v>
      </c>
      <c r="T9" s="772" t="s">
        <v>342</v>
      </c>
      <c r="U9" s="772" t="s">
        <v>343</v>
      </c>
      <c r="V9" s="772" t="s">
        <v>349</v>
      </c>
      <c r="W9" s="772" t="s">
        <v>344</v>
      </c>
      <c r="X9" s="772" t="s">
        <v>345</v>
      </c>
      <c r="Y9" s="772" t="s">
        <v>346</v>
      </c>
      <c r="Z9" s="773" t="s">
        <v>347</v>
      </c>
      <c r="AA9" s="701"/>
    </row>
    <row r="10" spans="1:27" ht="3.75" customHeight="1" thickBot="1" x14ac:dyDescent="0.4">
      <c r="A10" s="774"/>
      <c r="B10" s="775"/>
      <c r="C10" s="776"/>
      <c r="D10" s="777"/>
      <c r="E10" s="778"/>
      <c r="F10" s="778"/>
      <c r="G10" s="778"/>
      <c r="H10" s="778"/>
      <c r="I10" s="778"/>
      <c r="J10" s="778"/>
      <c r="K10" s="778"/>
      <c r="L10" s="778"/>
      <c r="M10" s="778"/>
      <c r="N10" s="778"/>
      <c r="O10" s="778"/>
      <c r="P10" s="778"/>
      <c r="Q10" s="778"/>
      <c r="R10" s="778"/>
      <c r="S10" s="778"/>
      <c r="T10" s="778"/>
      <c r="U10" s="778"/>
      <c r="V10" s="778"/>
      <c r="W10" s="778"/>
      <c r="X10" s="778"/>
      <c r="Y10" s="778"/>
      <c r="Z10" s="779"/>
      <c r="AA10" s="64"/>
    </row>
    <row r="11" spans="1:27" ht="26.25" customHeight="1" thickBot="1" x14ac:dyDescent="0.4">
      <c r="A11" s="5543" t="str">
        <f>"% base client en " &amp; AnReference</f>
        <v>% base client en 2018</v>
      </c>
      <c r="B11" s="5544"/>
      <c r="C11" s="780">
        <f>SUM(D11:Z11)</f>
        <v>1</v>
      </c>
      <c r="D11" s="230"/>
      <c r="E11" s="231"/>
      <c r="F11" s="231"/>
      <c r="G11" s="231"/>
      <c r="H11" s="231"/>
      <c r="I11" s="231"/>
      <c r="J11" s="231"/>
      <c r="K11" s="231">
        <v>0.17</v>
      </c>
      <c r="L11" s="231"/>
      <c r="M11" s="231">
        <v>0.18</v>
      </c>
      <c r="N11" s="231">
        <v>0.2</v>
      </c>
      <c r="O11" s="231"/>
      <c r="P11" s="231"/>
      <c r="Q11" s="231">
        <v>0.1</v>
      </c>
      <c r="R11" s="231">
        <v>0.05</v>
      </c>
      <c r="S11" s="231"/>
      <c r="T11" s="231">
        <v>0.05</v>
      </c>
      <c r="U11" s="231"/>
      <c r="V11" s="231"/>
      <c r="W11" s="231">
        <v>0.1</v>
      </c>
      <c r="X11" s="231">
        <v>0.15</v>
      </c>
      <c r="Y11" s="231"/>
      <c r="Z11" s="232"/>
      <c r="AA11" s="64"/>
    </row>
    <row r="12" spans="1:27" ht="3.75" customHeight="1" thickBot="1" x14ac:dyDescent="0.4">
      <c r="A12" s="774"/>
      <c r="B12" s="775"/>
      <c r="C12" s="776"/>
      <c r="D12" s="777"/>
      <c r="E12" s="778"/>
      <c r="F12" s="778"/>
      <c r="G12" s="778"/>
      <c r="H12" s="778"/>
      <c r="I12" s="778"/>
      <c r="J12" s="778"/>
      <c r="K12" s="778"/>
      <c r="L12" s="778"/>
      <c r="M12" s="778"/>
      <c r="N12" s="778"/>
      <c r="O12" s="778"/>
      <c r="P12" s="778"/>
      <c r="Q12" s="778"/>
      <c r="R12" s="778"/>
      <c r="S12" s="778"/>
      <c r="T12" s="778"/>
      <c r="U12" s="778"/>
      <c r="V12" s="778"/>
      <c r="W12" s="778"/>
      <c r="X12" s="778"/>
      <c r="Y12" s="778"/>
      <c r="Z12" s="779"/>
      <c r="AA12" s="64"/>
    </row>
    <row r="13" spans="1:27" ht="31.5" customHeight="1" x14ac:dyDescent="0.35">
      <c r="A13" s="3791" t="s">
        <v>576</v>
      </c>
      <c r="B13" s="3792"/>
      <c r="C13" s="3793"/>
      <c r="D13" s="314">
        <v>1</v>
      </c>
      <c r="E13" s="114">
        <v>1</v>
      </c>
      <c r="F13" s="114">
        <v>2</v>
      </c>
      <c r="G13" s="114">
        <v>1</v>
      </c>
      <c r="H13" s="114">
        <v>1</v>
      </c>
      <c r="I13" s="114">
        <v>1</v>
      </c>
      <c r="J13" s="114">
        <v>2</v>
      </c>
      <c r="K13" s="340">
        <v>3</v>
      </c>
      <c r="L13" s="114">
        <v>1</v>
      </c>
      <c r="M13" s="340">
        <v>3</v>
      </c>
      <c r="N13" s="342">
        <v>5</v>
      </c>
      <c r="O13" s="114">
        <v>1</v>
      </c>
      <c r="P13" s="114">
        <v>1</v>
      </c>
      <c r="Q13" s="114">
        <v>2</v>
      </c>
      <c r="R13" s="340">
        <v>4</v>
      </c>
      <c r="S13" s="114">
        <v>2</v>
      </c>
      <c r="T13" s="114">
        <v>2</v>
      </c>
      <c r="U13" s="114">
        <v>1</v>
      </c>
      <c r="V13" s="114">
        <v>1</v>
      </c>
      <c r="W13" s="341">
        <v>5</v>
      </c>
      <c r="X13" s="341">
        <v>5</v>
      </c>
      <c r="Y13" s="341">
        <v>3</v>
      </c>
      <c r="Z13" s="196">
        <v>1</v>
      </c>
      <c r="AA13" s="64"/>
    </row>
    <row r="14" spans="1:27" ht="22.5" customHeight="1" thickBot="1" x14ac:dyDescent="0.4">
      <c r="A14" s="3794" t="s">
        <v>149</v>
      </c>
      <c r="B14" s="3795"/>
      <c r="C14" s="4585"/>
      <c r="D14" s="337"/>
      <c r="E14" s="338"/>
      <c r="F14" s="338"/>
      <c r="G14" s="338"/>
      <c r="H14" s="338"/>
      <c r="I14" s="338"/>
      <c r="J14" s="338"/>
      <c r="K14" s="338" t="s">
        <v>850</v>
      </c>
      <c r="L14" s="338"/>
      <c r="M14" s="338" t="s">
        <v>850</v>
      </c>
      <c r="N14" s="338" t="s">
        <v>973</v>
      </c>
      <c r="O14" s="338"/>
      <c r="P14" s="338"/>
      <c r="Q14" s="338"/>
      <c r="R14" s="338" t="s">
        <v>868</v>
      </c>
      <c r="S14" s="338"/>
      <c r="T14" s="338"/>
      <c r="U14" s="338"/>
      <c r="V14" s="338"/>
      <c r="W14" s="338" t="s">
        <v>973</v>
      </c>
      <c r="X14" s="338" t="s">
        <v>973</v>
      </c>
      <c r="Y14" s="338" t="s">
        <v>868</v>
      </c>
      <c r="Z14" s="339"/>
      <c r="AA14" s="64"/>
    </row>
    <row r="15" spans="1:27" ht="3.75" customHeight="1" thickBot="1" x14ac:dyDescent="0.4">
      <c r="A15" s="5545"/>
      <c r="B15" s="5546"/>
      <c r="C15" s="5546"/>
      <c r="D15" s="5546"/>
      <c r="E15" s="5546"/>
      <c r="F15" s="5546"/>
      <c r="G15" s="5546"/>
      <c r="H15" s="5546"/>
      <c r="I15" s="5546"/>
      <c r="J15" s="5546"/>
      <c r="K15" s="5546"/>
      <c r="L15" s="5546"/>
      <c r="M15" s="5546"/>
      <c r="N15" s="5546"/>
      <c r="O15" s="5546"/>
      <c r="P15" s="5546"/>
      <c r="Q15" s="5546"/>
      <c r="R15" s="5546"/>
      <c r="S15" s="5546"/>
      <c r="T15" s="5546"/>
      <c r="U15" s="5546"/>
      <c r="V15" s="5546"/>
      <c r="W15" s="5546"/>
      <c r="X15" s="5546"/>
      <c r="Y15" s="5546"/>
      <c r="Z15" s="5547"/>
      <c r="AA15" s="64"/>
    </row>
    <row r="16" spans="1:27" ht="18.75" customHeight="1" thickBot="1" x14ac:dyDescent="0.4">
      <c r="A16" s="1160" t="s">
        <v>974</v>
      </c>
      <c r="B16" s="781"/>
      <c r="C16" s="782">
        <f>SUM(D16:Z16)</f>
        <v>0</v>
      </c>
      <c r="D16" s="790"/>
      <c r="E16" s="791"/>
      <c r="F16" s="791"/>
      <c r="G16" s="791"/>
      <c r="H16" s="791"/>
      <c r="I16" s="791"/>
      <c r="J16" s="791"/>
      <c r="K16" s="791"/>
      <c r="L16" s="791"/>
      <c r="M16" s="791"/>
      <c r="N16" s="791"/>
      <c r="O16" s="791"/>
      <c r="P16" s="791"/>
      <c r="Q16" s="791"/>
      <c r="R16" s="791"/>
      <c r="S16" s="791"/>
      <c r="T16" s="792"/>
      <c r="U16" s="792"/>
      <c r="V16" s="792"/>
      <c r="W16" s="792"/>
      <c r="X16" s="792"/>
      <c r="Y16" s="792"/>
      <c r="Z16" s="793"/>
      <c r="AA16" s="64"/>
    </row>
    <row r="17" spans="1:27" ht="22.5" customHeight="1" x14ac:dyDescent="0.35">
      <c r="A17" s="3816" t="s">
        <v>1018</v>
      </c>
      <c r="B17" s="3817"/>
      <c r="C17" s="783">
        <f>SUM(D17:Z17)</f>
        <v>83</v>
      </c>
      <c r="D17" s="353">
        <v>5</v>
      </c>
      <c r="E17" s="234"/>
      <c r="F17" s="234"/>
      <c r="G17" s="234"/>
      <c r="H17" s="234"/>
      <c r="I17" s="234"/>
      <c r="J17" s="234"/>
      <c r="K17" s="234">
        <v>5</v>
      </c>
      <c r="L17" s="234"/>
      <c r="M17" s="234">
        <v>5</v>
      </c>
      <c r="N17" s="234">
        <v>3</v>
      </c>
      <c r="O17" s="234"/>
      <c r="P17" s="234"/>
      <c r="Q17" s="234"/>
      <c r="R17" s="234">
        <v>10</v>
      </c>
      <c r="S17" s="234"/>
      <c r="T17" s="234"/>
      <c r="U17" s="234"/>
      <c r="V17" s="234"/>
      <c r="W17" s="234">
        <v>30</v>
      </c>
      <c r="X17" s="234">
        <v>20</v>
      </c>
      <c r="Y17" s="234">
        <v>5</v>
      </c>
      <c r="Z17" s="235"/>
      <c r="AA17" s="64"/>
    </row>
    <row r="18" spans="1:27" ht="22.5" customHeight="1" x14ac:dyDescent="0.35">
      <c r="A18" s="4558" t="s">
        <v>1019</v>
      </c>
      <c r="B18" s="4559"/>
      <c r="C18" s="784">
        <f>SUM(D18:Z18)</f>
        <v>38</v>
      </c>
      <c r="D18" s="354">
        <v>1</v>
      </c>
      <c r="E18" s="236"/>
      <c r="F18" s="236"/>
      <c r="G18" s="236"/>
      <c r="H18" s="236"/>
      <c r="I18" s="236"/>
      <c r="J18" s="236"/>
      <c r="K18" s="236">
        <v>1</v>
      </c>
      <c r="L18" s="236"/>
      <c r="M18" s="236">
        <v>2</v>
      </c>
      <c r="N18" s="236">
        <v>2</v>
      </c>
      <c r="O18" s="236"/>
      <c r="P18" s="236"/>
      <c r="Q18" s="236"/>
      <c r="R18" s="236">
        <v>5</v>
      </c>
      <c r="S18" s="236"/>
      <c r="T18" s="237"/>
      <c r="U18" s="237"/>
      <c r="V18" s="237"/>
      <c r="W18" s="237">
        <v>15</v>
      </c>
      <c r="X18" s="237">
        <v>10</v>
      </c>
      <c r="Y18" s="237">
        <v>2</v>
      </c>
      <c r="Z18" s="238"/>
      <c r="AA18" s="64"/>
    </row>
    <row r="19" spans="1:27" ht="29.25" customHeight="1" thickBot="1" x14ac:dyDescent="0.4">
      <c r="A19" s="5548" t="s">
        <v>1103</v>
      </c>
      <c r="B19" s="5549"/>
      <c r="C19" s="785">
        <f>SUM(D19:Z19)</f>
        <v>39</v>
      </c>
      <c r="D19" s="355">
        <v>2</v>
      </c>
      <c r="E19" s="352"/>
      <c r="F19" s="352"/>
      <c r="G19" s="352"/>
      <c r="H19" s="352"/>
      <c r="I19" s="352"/>
      <c r="J19" s="352"/>
      <c r="K19" s="352">
        <v>1</v>
      </c>
      <c r="L19" s="352"/>
      <c r="M19" s="352">
        <v>2</v>
      </c>
      <c r="N19" s="352">
        <v>2</v>
      </c>
      <c r="O19" s="352"/>
      <c r="P19" s="352"/>
      <c r="Q19" s="352"/>
      <c r="R19" s="352">
        <v>5</v>
      </c>
      <c r="S19" s="352"/>
      <c r="T19" s="351"/>
      <c r="U19" s="351"/>
      <c r="V19" s="351"/>
      <c r="W19" s="351">
        <v>15</v>
      </c>
      <c r="X19" s="351">
        <v>10</v>
      </c>
      <c r="Y19" s="351">
        <v>2</v>
      </c>
      <c r="Z19" s="356"/>
      <c r="AA19" s="64"/>
    </row>
    <row r="20" spans="1:27" ht="22.5" customHeight="1" thickTop="1" x14ac:dyDescent="0.35">
      <c r="A20" s="5550" t="s">
        <v>975</v>
      </c>
      <c r="B20" s="5551"/>
      <c r="C20" s="786">
        <f t="shared" ref="C20:J20" si="0">C17-C18-C19</f>
        <v>6</v>
      </c>
      <c r="D20" s="787">
        <f t="shared" si="0"/>
        <v>2</v>
      </c>
      <c r="E20" s="788">
        <f t="shared" si="0"/>
        <v>0</v>
      </c>
      <c r="F20" s="788">
        <f t="shared" si="0"/>
        <v>0</v>
      </c>
      <c r="G20" s="788">
        <f t="shared" si="0"/>
        <v>0</v>
      </c>
      <c r="H20" s="788">
        <f t="shared" si="0"/>
        <v>0</v>
      </c>
      <c r="I20" s="788">
        <f t="shared" si="0"/>
        <v>0</v>
      </c>
      <c r="J20" s="788">
        <f t="shared" si="0"/>
        <v>0</v>
      </c>
      <c r="K20" s="788">
        <f>K17-K18-K19</f>
        <v>3</v>
      </c>
      <c r="L20" s="788">
        <f t="shared" ref="L20:Z20" si="1">L17-L18-L19</f>
        <v>0</v>
      </c>
      <c r="M20" s="788">
        <f t="shared" si="1"/>
        <v>1</v>
      </c>
      <c r="N20" s="788">
        <f t="shared" si="1"/>
        <v>-1</v>
      </c>
      <c r="O20" s="788">
        <f t="shared" si="1"/>
        <v>0</v>
      </c>
      <c r="P20" s="788">
        <f t="shared" si="1"/>
        <v>0</v>
      </c>
      <c r="Q20" s="788">
        <f t="shared" si="1"/>
        <v>0</v>
      </c>
      <c r="R20" s="788">
        <f t="shared" si="1"/>
        <v>0</v>
      </c>
      <c r="S20" s="788">
        <f t="shared" si="1"/>
        <v>0</v>
      </c>
      <c r="T20" s="788">
        <f t="shared" si="1"/>
        <v>0</v>
      </c>
      <c r="U20" s="788">
        <f t="shared" si="1"/>
        <v>0</v>
      </c>
      <c r="V20" s="788">
        <f t="shared" si="1"/>
        <v>0</v>
      </c>
      <c r="W20" s="788">
        <f t="shared" si="1"/>
        <v>0</v>
      </c>
      <c r="X20" s="788">
        <f t="shared" si="1"/>
        <v>0</v>
      </c>
      <c r="Y20" s="788">
        <f t="shared" si="1"/>
        <v>1</v>
      </c>
      <c r="Z20" s="789">
        <f t="shared" si="1"/>
        <v>0</v>
      </c>
      <c r="AA20" s="64"/>
    </row>
    <row r="21" spans="1:27" ht="0.75" customHeight="1" thickBot="1" x14ac:dyDescent="0.4">
      <c r="A21" s="5541" t="s">
        <v>361</v>
      </c>
      <c r="B21" s="5542"/>
      <c r="C21" s="785">
        <f>SUM(D21:Z21)</f>
        <v>39</v>
      </c>
      <c r="D21" s="115">
        <f t="shared" ref="D21:Z21" si="2">D17-(D18+D20)</f>
        <v>2</v>
      </c>
      <c r="E21" s="115">
        <f t="shared" si="2"/>
        <v>0</v>
      </c>
      <c r="F21" s="115">
        <f t="shared" si="2"/>
        <v>0</v>
      </c>
      <c r="G21" s="115">
        <f t="shared" si="2"/>
        <v>0</v>
      </c>
      <c r="H21" s="115">
        <f t="shared" si="2"/>
        <v>0</v>
      </c>
      <c r="I21" s="115">
        <f t="shared" si="2"/>
        <v>0</v>
      </c>
      <c r="J21" s="115">
        <f t="shared" si="2"/>
        <v>0</v>
      </c>
      <c r="K21" s="115">
        <f t="shared" si="2"/>
        <v>1</v>
      </c>
      <c r="L21" s="115">
        <f t="shared" si="2"/>
        <v>0</v>
      </c>
      <c r="M21" s="115">
        <f t="shared" si="2"/>
        <v>2</v>
      </c>
      <c r="N21" s="115">
        <f t="shared" si="2"/>
        <v>2</v>
      </c>
      <c r="O21" s="115">
        <f t="shared" si="2"/>
        <v>0</v>
      </c>
      <c r="P21" s="115">
        <f t="shared" si="2"/>
        <v>0</v>
      </c>
      <c r="Q21" s="115">
        <f t="shared" si="2"/>
        <v>0</v>
      </c>
      <c r="R21" s="115">
        <f t="shared" si="2"/>
        <v>5</v>
      </c>
      <c r="S21" s="115">
        <f t="shared" si="2"/>
        <v>0</v>
      </c>
      <c r="T21" s="115">
        <f t="shared" si="2"/>
        <v>0</v>
      </c>
      <c r="U21" s="115">
        <f t="shared" si="2"/>
        <v>0</v>
      </c>
      <c r="V21" s="115">
        <f t="shared" si="2"/>
        <v>0</v>
      </c>
      <c r="W21" s="115">
        <f t="shared" si="2"/>
        <v>15</v>
      </c>
      <c r="X21" s="115">
        <f t="shared" si="2"/>
        <v>10</v>
      </c>
      <c r="Y21" s="115">
        <f t="shared" si="2"/>
        <v>2</v>
      </c>
      <c r="Z21" s="115">
        <f t="shared" si="2"/>
        <v>0</v>
      </c>
      <c r="AA21" s="64"/>
    </row>
    <row r="22" spans="1:27" ht="15" thickTop="1" x14ac:dyDescent="0.35">
      <c r="A22" s="470"/>
      <c r="B22" s="470"/>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63"/>
      <c r="AA22" s="64"/>
    </row>
    <row r="23" spans="1:27" ht="27.75" customHeight="1" thickBot="1" x14ac:dyDescent="0.4">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row>
    <row r="24" spans="1:27" ht="20.25" customHeight="1" thickTop="1" thickBot="1" x14ac:dyDescent="0.4">
      <c r="A24" s="4573" t="s">
        <v>10</v>
      </c>
      <c r="B24" s="4574"/>
      <c r="C24" s="4574"/>
      <c r="D24" s="4574"/>
      <c r="E24" s="4574"/>
      <c r="F24" s="4574"/>
      <c r="G24" s="4574"/>
      <c r="H24" s="4574"/>
      <c r="I24" s="4574"/>
      <c r="J24" s="4574"/>
      <c r="K24" s="4574"/>
      <c r="L24" s="4574"/>
      <c r="M24" s="4574"/>
      <c r="N24" s="4574"/>
      <c r="O24" s="4574"/>
      <c r="P24" s="4574"/>
      <c r="Q24" s="5540"/>
      <c r="R24" s="113"/>
      <c r="S24" s="31"/>
      <c r="T24" s="3725" t="s">
        <v>748</v>
      </c>
      <c r="U24" s="3726"/>
      <c r="V24" s="3727"/>
      <c r="W24" s="31"/>
      <c r="X24" s="31"/>
      <c r="Y24" s="31"/>
      <c r="Z24" s="64"/>
      <c r="AA24" s="64"/>
    </row>
    <row r="25" spans="1:27" ht="20.25" customHeight="1" x14ac:dyDescent="0.35">
      <c r="A25" s="4575" t="s">
        <v>1085</v>
      </c>
      <c r="B25" s="4576"/>
      <c r="C25" s="4576"/>
      <c r="D25" s="4576"/>
      <c r="E25" s="4576"/>
      <c r="F25" s="4576"/>
      <c r="G25" s="4576"/>
      <c r="H25" s="4576"/>
      <c r="I25" s="4576"/>
      <c r="J25" s="4576"/>
      <c r="K25" s="4576"/>
      <c r="L25" s="4576"/>
      <c r="M25" s="4576"/>
      <c r="N25" s="4576"/>
      <c r="O25" s="4576"/>
      <c r="P25" s="4576"/>
      <c r="Q25" s="4576"/>
      <c r="R25" s="36"/>
      <c r="S25" s="33"/>
      <c r="T25" s="3750" t="s">
        <v>798</v>
      </c>
      <c r="U25" s="3751"/>
      <c r="V25" s="3752"/>
      <c r="W25" s="33"/>
      <c r="X25" s="33"/>
      <c r="Y25" s="33"/>
      <c r="Z25" s="64"/>
      <c r="AA25" s="64"/>
    </row>
    <row r="26" spans="1:27" ht="20.25" customHeight="1" x14ac:dyDescent="0.35">
      <c r="A26" s="4577"/>
      <c r="B26" s="4578"/>
      <c r="C26" s="4578"/>
      <c r="D26" s="4578"/>
      <c r="E26" s="4578"/>
      <c r="F26" s="4578"/>
      <c r="G26" s="4578"/>
      <c r="H26" s="4578"/>
      <c r="I26" s="4578"/>
      <c r="J26" s="4578"/>
      <c r="K26" s="4578"/>
      <c r="L26" s="4578"/>
      <c r="M26" s="4578"/>
      <c r="N26" s="4578"/>
      <c r="O26" s="4578"/>
      <c r="P26" s="4578"/>
      <c r="Q26" s="4578"/>
      <c r="R26" s="36"/>
      <c r="S26" s="33"/>
      <c r="T26" s="3753"/>
      <c r="U26" s="3754"/>
      <c r="V26" s="3755"/>
      <c r="W26" s="33"/>
      <c r="X26" s="33"/>
      <c r="Y26" s="33"/>
      <c r="Z26" s="64"/>
      <c r="AA26" s="64"/>
    </row>
    <row r="27" spans="1:27" ht="20.25" customHeight="1" x14ac:dyDescent="0.35">
      <c r="A27" s="4577"/>
      <c r="B27" s="4578"/>
      <c r="C27" s="4578"/>
      <c r="D27" s="4578"/>
      <c r="E27" s="4578"/>
      <c r="F27" s="4578"/>
      <c r="G27" s="4578"/>
      <c r="H27" s="4578"/>
      <c r="I27" s="4578"/>
      <c r="J27" s="4578"/>
      <c r="K27" s="4578"/>
      <c r="L27" s="4578"/>
      <c r="M27" s="4578"/>
      <c r="N27" s="4578"/>
      <c r="O27" s="4578"/>
      <c r="P27" s="4578"/>
      <c r="Q27" s="4578"/>
      <c r="R27" s="36"/>
      <c r="S27" s="33"/>
      <c r="T27" s="3753"/>
      <c r="U27" s="3754"/>
      <c r="V27" s="3755"/>
      <c r="W27" s="33"/>
      <c r="X27" s="33"/>
      <c r="Y27" s="33"/>
      <c r="Z27" s="64"/>
      <c r="AA27" s="64"/>
    </row>
    <row r="28" spans="1:27" ht="15" thickBot="1" x14ac:dyDescent="0.4">
      <c r="A28" s="4579"/>
      <c r="B28" s="4580"/>
      <c r="C28" s="4580"/>
      <c r="D28" s="4580"/>
      <c r="E28" s="4580"/>
      <c r="F28" s="4580"/>
      <c r="G28" s="4580"/>
      <c r="H28" s="4580"/>
      <c r="I28" s="4580"/>
      <c r="J28" s="4580"/>
      <c r="K28" s="4580"/>
      <c r="L28" s="4580"/>
      <c r="M28" s="4580"/>
      <c r="N28" s="4580"/>
      <c r="O28" s="4580"/>
      <c r="P28" s="4580"/>
      <c r="Q28" s="4580"/>
      <c r="R28" s="36"/>
      <c r="S28" s="33"/>
      <c r="T28" s="3756"/>
      <c r="U28" s="3757"/>
      <c r="V28" s="3758"/>
      <c r="W28" s="33"/>
      <c r="X28" s="33"/>
      <c r="Y28" s="33"/>
      <c r="Z28" s="64"/>
      <c r="AA28" s="64"/>
    </row>
    <row r="29" spans="1:27" ht="15.5" thickTop="1" thickBot="1" x14ac:dyDescent="0.4">
      <c r="A29" s="64"/>
      <c r="B29" s="64"/>
      <c r="C29" s="64"/>
      <c r="D29" s="64"/>
      <c r="E29" s="64"/>
      <c r="F29" s="64"/>
      <c r="G29" s="64"/>
      <c r="H29" s="64"/>
      <c r="I29" s="64"/>
      <c r="J29" s="64"/>
      <c r="K29" s="64"/>
      <c r="L29" s="64"/>
      <c r="M29" s="64"/>
      <c r="N29" s="64"/>
      <c r="O29" s="64"/>
      <c r="P29" s="64"/>
      <c r="Q29" s="64"/>
      <c r="R29" s="64"/>
      <c r="S29" s="64"/>
      <c r="T29" s="31"/>
      <c r="U29" s="31"/>
      <c r="V29" s="31"/>
      <c r="W29" s="64"/>
      <c r="X29" s="64"/>
      <c r="Y29" s="64"/>
      <c r="Z29" s="64"/>
      <c r="AA29" s="64"/>
    </row>
    <row r="30" spans="1:27" ht="20.25" customHeight="1" thickTop="1" thickBot="1" x14ac:dyDescent="0.4">
      <c r="A30" s="4573" t="s">
        <v>11</v>
      </c>
      <c r="B30" s="4574"/>
      <c r="C30" s="4574"/>
      <c r="D30" s="4574"/>
      <c r="E30" s="4574"/>
      <c r="F30" s="4574"/>
      <c r="G30" s="4574"/>
      <c r="H30" s="4574"/>
      <c r="I30" s="4574"/>
      <c r="J30" s="4574"/>
      <c r="K30" s="4574"/>
      <c r="L30" s="4574"/>
      <c r="M30" s="4574"/>
      <c r="N30" s="4574"/>
      <c r="O30" s="4574"/>
      <c r="P30" s="4574"/>
      <c r="Q30" s="5540"/>
      <c r="R30" s="113"/>
      <c r="S30" s="31"/>
      <c r="T30" s="3725" t="s">
        <v>748</v>
      </c>
      <c r="U30" s="3726"/>
      <c r="V30" s="3727"/>
      <c r="W30" s="31"/>
      <c r="X30" s="31"/>
      <c r="Y30" s="31"/>
      <c r="Z30" s="64"/>
      <c r="AA30" s="64"/>
    </row>
    <row r="31" spans="1:27" ht="20.25" customHeight="1" x14ac:dyDescent="0.35">
      <c r="A31" s="4575" t="s">
        <v>1086</v>
      </c>
      <c r="B31" s="4576"/>
      <c r="C31" s="4576"/>
      <c r="D31" s="4576"/>
      <c r="E31" s="4576"/>
      <c r="F31" s="4576"/>
      <c r="G31" s="4576"/>
      <c r="H31" s="4576"/>
      <c r="I31" s="4576"/>
      <c r="J31" s="4576"/>
      <c r="K31" s="4576"/>
      <c r="L31" s="4576"/>
      <c r="M31" s="4576"/>
      <c r="N31" s="4576"/>
      <c r="O31" s="4576"/>
      <c r="P31" s="4576"/>
      <c r="Q31" s="4576"/>
      <c r="R31" s="36"/>
      <c r="S31" s="33"/>
      <c r="T31" s="3750" t="s">
        <v>799</v>
      </c>
      <c r="U31" s="3751"/>
      <c r="V31" s="3752"/>
      <c r="W31" s="33"/>
      <c r="X31" s="33"/>
      <c r="Y31" s="33"/>
      <c r="Z31" s="64"/>
      <c r="AA31" s="64"/>
    </row>
    <row r="32" spans="1:27" ht="20.25" customHeight="1" x14ac:dyDescent="0.35">
      <c r="A32" s="4577"/>
      <c r="B32" s="4578"/>
      <c r="C32" s="4578"/>
      <c r="D32" s="4578"/>
      <c r="E32" s="4578"/>
      <c r="F32" s="4578"/>
      <c r="G32" s="4578"/>
      <c r="H32" s="4578"/>
      <c r="I32" s="4578"/>
      <c r="J32" s="4578"/>
      <c r="K32" s="4578"/>
      <c r="L32" s="4578"/>
      <c r="M32" s="4578"/>
      <c r="N32" s="4578"/>
      <c r="O32" s="4578"/>
      <c r="P32" s="4578"/>
      <c r="Q32" s="4578"/>
      <c r="R32" s="36"/>
      <c r="S32" s="33"/>
      <c r="T32" s="3753"/>
      <c r="U32" s="3754"/>
      <c r="V32" s="3755"/>
      <c r="W32" s="33"/>
      <c r="X32" s="33"/>
      <c r="Y32" s="33"/>
      <c r="Z32" s="64"/>
      <c r="AA32" s="64"/>
    </row>
    <row r="33" spans="1:27" ht="20.25" customHeight="1" x14ac:dyDescent="0.35">
      <c r="A33" s="4577"/>
      <c r="B33" s="4578"/>
      <c r="C33" s="4578"/>
      <c r="D33" s="4578"/>
      <c r="E33" s="4578"/>
      <c r="F33" s="4578"/>
      <c r="G33" s="4578"/>
      <c r="H33" s="4578"/>
      <c r="I33" s="4578"/>
      <c r="J33" s="4578"/>
      <c r="K33" s="4578"/>
      <c r="L33" s="4578"/>
      <c r="M33" s="4578"/>
      <c r="N33" s="4578"/>
      <c r="O33" s="4578"/>
      <c r="P33" s="4578"/>
      <c r="Q33" s="4578"/>
      <c r="R33" s="36"/>
      <c r="S33" s="33"/>
      <c r="T33" s="3753"/>
      <c r="U33" s="3754"/>
      <c r="V33" s="3755"/>
      <c r="W33" s="33"/>
      <c r="X33" s="33"/>
      <c r="Y33" s="33"/>
      <c r="Z33" s="64"/>
      <c r="AA33" s="64"/>
    </row>
    <row r="34" spans="1:27" ht="15" thickBot="1" x14ac:dyDescent="0.4">
      <c r="A34" s="4579"/>
      <c r="B34" s="4580"/>
      <c r="C34" s="4580"/>
      <c r="D34" s="4580"/>
      <c r="E34" s="4580"/>
      <c r="F34" s="4580"/>
      <c r="G34" s="4580"/>
      <c r="H34" s="4580"/>
      <c r="I34" s="4580"/>
      <c r="J34" s="4580"/>
      <c r="K34" s="4580"/>
      <c r="L34" s="4580"/>
      <c r="M34" s="4580"/>
      <c r="N34" s="4580"/>
      <c r="O34" s="4580"/>
      <c r="P34" s="4580"/>
      <c r="Q34" s="4580"/>
      <c r="R34" s="36"/>
      <c r="S34" s="33"/>
      <c r="T34" s="3756"/>
      <c r="U34" s="3757"/>
      <c r="V34" s="3758"/>
      <c r="W34" s="33"/>
      <c r="X34" s="33"/>
      <c r="Y34" s="33"/>
      <c r="Z34" s="64"/>
      <c r="AA34" s="64"/>
    </row>
    <row r="35" spans="1:27" ht="15" thickTop="1" x14ac:dyDescent="0.35">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row>
    <row r="36" spans="1:27" ht="15" thickBot="1" x14ac:dyDescent="0.4">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row>
    <row r="37" spans="1:27" ht="19" thickTop="1" x14ac:dyDescent="0.45">
      <c r="A37" s="4565" t="s">
        <v>803</v>
      </c>
      <c r="B37" s="4566"/>
      <c r="C37" s="4566"/>
      <c r="D37" s="4566"/>
      <c r="E37" s="4566"/>
      <c r="F37" s="4566"/>
      <c r="G37" s="4566"/>
      <c r="H37" s="4566"/>
      <c r="I37" s="4566"/>
      <c r="J37" s="4566"/>
      <c r="K37" s="4567"/>
      <c r="L37" s="64"/>
      <c r="M37" s="64"/>
      <c r="N37" s="64"/>
      <c r="O37" s="64"/>
      <c r="P37" s="64"/>
      <c r="Q37" s="64"/>
      <c r="R37" s="64"/>
      <c r="S37" s="64"/>
      <c r="T37" s="64"/>
      <c r="U37" s="64"/>
      <c r="V37" s="64"/>
      <c r="W37" s="64"/>
      <c r="X37" s="64"/>
      <c r="Y37" s="64"/>
      <c r="Z37" s="64"/>
      <c r="AA37" s="64"/>
    </row>
    <row r="38" spans="1:27" x14ac:dyDescent="0.35">
      <c r="A38" s="4592" t="s">
        <v>800</v>
      </c>
      <c r="B38" s="4562"/>
      <c r="C38" s="4562" t="s">
        <v>801</v>
      </c>
      <c r="D38" s="4562"/>
      <c r="E38" s="4562"/>
      <c r="F38" s="4568" t="s">
        <v>882</v>
      </c>
      <c r="G38" s="4569"/>
      <c r="H38" s="4568" t="s">
        <v>883</v>
      </c>
      <c r="I38" s="4569"/>
      <c r="J38" s="4562" t="s">
        <v>802</v>
      </c>
      <c r="K38" s="4572"/>
      <c r="L38" s="64"/>
      <c r="M38" s="64"/>
      <c r="N38" s="64"/>
      <c r="O38" s="64"/>
      <c r="P38" s="64"/>
      <c r="Q38" s="64"/>
      <c r="R38" s="64"/>
      <c r="S38" s="64"/>
      <c r="T38" s="64"/>
      <c r="U38" s="64"/>
      <c r="V38" s="64"/>
      <c r="W38" s="64"/>
      <c r="X38" s="64"/>
      <c r="Y38" s="64"/>
      <c r="Z38" s="64"/>
      <c r="AA38" s="64"/>
    </row>
    <row r="39" spans="1:27" x14ac:dyDescent="0.35">
      <c r="A39" s="4592"/>
      <c r="B39" s="4562"/>
      <c r="C39" s="4562"/>
      <c r="D39" s="4562"/>
      <c r="E39" s="4562"/>
      <c r="F39" s="4570"/>
      <c r="G39" s="4571"/>
      <c r="H39" s="4570"/>
      <c r="I39" s="4571"/>
      <c r="J39" s="4562"/>
      <c r="K39" s="4572"/>
      <c r="L39" s="64"/>
      <c r="M39" s="64"/>
      <c r="N39" s="64"/>
      <c r="O39" s="64"/>
      <c r="P39" s="64"/>
      <c r="Q39" s="64"/>
      <c r="R39" s="64"/>
      <c r="S39" s="64"/>
      <c r="T39" s="64"/>
      <c r="U39" s="64"/>
      <c r="V39" s="64"/>
      <c r="W39" s="64"/>
      <c r="X39" s="64"/>
      <c r="Y39" s="64"/>
      <c r="Z39" s="64"/>
      <c r="AA39" s="64"/>
    </row>
    <row r="40" spans="1:27" x14ac:dyDescent="0.35">
      <c r="A40" s="4552" t="s">
        <v>879</v>
      </c>
      <c r="B40" s="4553"/>
      <c r="C40" s="4549"/>
      <c r="D40" s="4549"/>
      <c r="E40" s="4549"/>
      <c r="F40" s="4550"/>
      <c r="G40" s="4550"/>
      <c r="H40" s="4550"/>
      <c r="I40" s="4550"/>
      <c r="J40" s="4549"/>
      <c r="K40" s="4551"/>
      <c r="L40" s="64"/>
      <c r="M40" s="64"/>
      <c r="N40" s="64"/>
      <c r="O40" s="64"/>
      <c r="P40" s="64"/>
      <c r="Q40" s="64"/>
      <c r="R40" s="64"/>
      <c r="S40" s="64"/>
      <c r="T40" s="64"/>
      <c r="U40" s="64"/>
      <c r="V40" s="64"/>
      <c r="W40" s="64"/>
      <c r="X40" s="64"/>
      <c r="Y40" s="64"/>
      <c r="Z40" s="64"/>
      <c r="AA40" s="64"/>
    </row>
    <row r="41" spans="1:27" x14ac:dyDescent="0.35">
      <c r="A41" s="4552" t="s">
        <v>880</v>
      </c>
      <c r="B41" s="4553"/>
      <c r="C41" s="4549"/>
      <c r="D41" s="4549"/>
      <c r="E41" s="4549"/>
      <c r="F41" s="4550"/>
      <c r="G41" s="4550"/>
      <c r="H41" s="4550"/>
      <c r="I41" s="4550"/>
      <c r="J41" s="4549"/>
      <c r="K41" s="4551"/>
      <c r="L41" s="64"/>
      <c r="M41" s="64"/>
      <c r="N41" s="64"/>
      <c r="O41" s="64"/>
      <c r="P41" s="64"/>
      <c r="Q41" s="64"/>
      <c r="R41" s="64"/>
      <c r="S41" s="64"/>
      <c r="T41" s="64"/>
      <c r="U41" s="64"/>
      <c r="V41" s="64"/>
      <c r="W41" s="64"/>
      <c r="X41" s="64"/>
      <c r="Y41" s="64"/>
      <c r="Z41" s="64"/>
      <c r="AA41" s="64"/>
    </row>
    <row r="42" spans="1:27" x14ac:dyDescent="0.35">
      <c r="A42" s="4552" t="s">
        <v>881</v>
      </c>
      <c r="B42" s="4553"/>
      <c r="C42" s="4549"/>
      <c r="D42" s="4549"/>
      <c r="E42" s="4549"/>
      <c r="F42" s="4550"/>
      <c r="G42" s="4550"/>
      <c r="H42" s="4550"/>
      <c r="I42" s="4550"/>
      <c r="J42" s="4549"/>
      <c r="K42" s="4551"/>
      <c r="L42" s="64"/>
      <c r="M42" s="64"/>
      <c r="N42" s="64"/>
      <c r="O42" s="64"/>
      <c r="P42" s="64"/>
      <c r="Q42" s="64"/>
      <c r="R42" s="64"/>
      <c r="S42" s="64"/>
      <c r="T42" s="64"/>
      <c r="U42" s="64"/>
      <c r="V42" s="64"/>
      <c r="W42" s="64"/>
      <c r="X42" s="64"/>
      <c r="Y42" s="64"/>
      <c r="Z42" s="64"/>
      <c r="AA42" s="64"/>
    </row>
    <row r="43" spans="1:27" x14ac:dyDescent="0.35">
      <c r="A43" s="4552" t="s">
        <v>327</v>
      </c>
      <c r="B43" s="4553"/>
      <c r="C43" s="4549"/>
      <c r="D43" s="4549"/>
      <c r="E43" s="4549"/>
      <c r="F43" s="4550"/>
      <c r="G43" s="4550"/>
      <c r="H43" s="4550"/>
      <c r="I43" s="4550"/>
      <c r="J43" s="4549"/>
      <c r="K43" s="4551"/>
      <c r="L43" s="64"/>
      <c r="M43" s="64"/>
      <c r="N43" s="64"/>
      <c r="O43" s="64"/>
      <c r="P43" s="64"/>
      <c r="Q43" s="64"/>
      <c r="R43" s="64"/>
      <c r="S43" s="64"/>
      <c r="T43" s="64"/>
      <c r="U43" s="64"/>
      <c r="V43" s="64"/>
      <c r="W43" s="64"/>
      <c r="X43" s="64"/>
      <c r="Y43" s="64"/>
      <c r="Z43" s="64"/>
      <c r="AA43" s="64"/>
    </row>
    <row r="44" spans="1:27" x14ac:dyDescent="0.35">
      <c r="A44" s="4552" t="s">
        <v>299</v>
      </c>
      <c r="B44" s="4553"/>
      <c r="C44" s="4549"/>
      <c r="D44" s="4549"/>
      <c r="E44" s="4549"/>
      <c r="F44" s="4550"/>
      <c r="G44" s="4550"/>
      <c r="H44" s="4550"/>
      <c r="I44" s="4550"/>
      <c r="J44" s="4549"/>
      <c r="K44" s="4551"/>
      <c r="L44" s="64"/>
      <c r="M44" s="64"/>
      <c r="N44" s="64"/>
      <c r="O44" s="64"/>
      <c r="P44" s="64"/>
      <c r="Q44" s="64"/>
      <c r="R44" s="64"/>
      <c r="S44" s="64"/>
      <c r="T44" s="64"/>
      <c r="U44" s="64"/>
      <c r="V44" s="64"/>
      <c r="W44" s="64"/>
      <c r="X44" s="64"/>
      <c r="Y44" s="64"/>
      <c r="Z44" s="64"/>
      <c r="AA44" s="64"/>
    </row>
    <row r="45" spans="1:27" x14ac:dyDescent="0.35">
      <c r="A45" s="4552"/>
      <c r="B45" s="4553"/>
      <c r="C45" s="4549"/>
      <c r="D45" s="4549"/>
      <c r="E45" s="4549"/>
      <c r="F45" s="4550"/>
      <c r="G45" s="4550"/>
      <c r="H45" s="4550"/>
      <c r="I45" s="4550"/>
      <c r="J45" s="4549"/>
      <c r="K45" s="4551"/>
      <c r="L45" s="64"/>
      <c r="M45" s="64"/>
      <c r="N45" s="64"/>
      <c r="O45" s="64"/>
      <c r="P45" s="64"/>
      <c r="Q45" s="64"/>
      <c r="R45" s="64"/>
      <c r="S45" s="64"/>
      <c r="T45" s="64"/>
      <c r="U45" s="64"/>
      <c r="V45" s="64"/>
      <c r="W45" s="64"/>
      <c r="X45" s="64"/>
      <c r="Y45" s="64"/>
      <c r="Z45" s="64"/>
      <c r="AA45" s="64"/>
    </row>
    <row r="46" spans="1:27" x14ac:dyDescent="0.35">
      <c r="A46" s="4552"/>
      <c r="B46" s="4553"/>
      <c r="C46" s="4549"/>
      <c r="D46" s="4549"/>
      <c r="E46" s="4549"/>
      <c r="F46" s="4550"/>
      <c r="G46" s="4550"/>
      <c r="H46" s="4550"/>
      <c r="I46" s="4550"/>
      <c r="J46" s="4549"/>
      <c r="K46" s="4551"/>
      <c r="L46" s="64"/>
      <c r="M46" s="64"/>
      <c r="N46" s="64"/>
      <c r="O46" s="64"/>
      <c r="P46" s="64"/>
      <c r="Q46" s="64"/>
      <c r="R46" s="64"/>
      <c r="S46" s="64"/>
      <c r="T46" s="64"/>
      <c r="U46" s="64"/>
      <c r="V46" s="64"/>
      <c r="W46" s="64"/>
      <c r="X46" s="64"/>
      <c r="Y46" s="64"/>
      <c r="Z46" s="64"/>
      <c r="AA46" s="64"/>
    </row>
    <row r="47" spans="1:27" ht="9" customHeight="1" thickBot="1" x14ac:dyDescent="0.4">
      <c r="A47" s="4546"/>
      <c r="B47" s="4547"/>
      <c r="C47" s="4547"/>
      <c r="D47" s="4547"/>
      <c r="E47" s="4547"/>
      <c r="F47" s="4547"/>
      <c r="G47" s="4547"/>
      <c r="H47" s="4547"/>
      <c r="I47" s="4547"/>
      <c r="J47" s="4547"/>
      <c r="K47" s="4548"/>
      <c r="L47" s="64"/>
      <c r="M47" s="64"/>
      <c r="N47" s="64"/>
      <c r="O47" s="64"/>
      <c r="P47" s="64"/>
      <c r="Q47" s="64"/>
      <c r="R47" s="64"/>
      <c r="S47" s="64"/>
      <c r="T47" s="64"/>
      <c r="U47" s="64"/>
      <c r="V47" s="64"/>
      <c r="W47" s="64"/>
      <c r="X47" s="64"/>
      <c r="Y47" s="64"/>
      <c r="Z47" s="64"/>
      <c r="AA47" s="64"/>
    </row>
    <row r="48" spans="1:27" ht="15" thickTop="1" x14ac:dyDescent="0.3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row>
    <row r="49" spans="1:27"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row>
  </sheetData>
  <mergeCells count="95">
    <mergeCell ref="D3:G3"/>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6:Z6"/>
    <mergeCell ref="L6:M6"/>
    <mergeCell ref="N6:O7"/>
    <mergeCell ref="P6:R7"/>
    <mergeCell ref="S6:T6"/>
    <mergeCell ref="U6:V6"/>
    <mergeCell ref="J7:K7"/>
    <mergeCell ref="L7:M7"/>
    <mergeCell ref="S7:T7"/>
    <mergeCell ref="U7:V7"/>
    <mergeCell ref="W7:X7"/>
    <mergeCell ref="A21:B21"/>
    <mergeCell ref="Y7:Z7"/>
    <mergeCell ref="A8:AA8"/>
    <mergeCell ref="A9:C9"/>
    <mergeCell ref="A11:B11"/>
    <mergeCell ref="A13:C13"/>
    <mergeCell ref="A14:C14"/>
    <mergeCell ref="A15:Z15"/>
    <mergeCell ref="A17:B17"/>
    <mergeCell ref="A18:B18"/>
    <mergeCell ref="A19:B19"/>
    <mergeCell ref="A20:B20"/>
    <mergeCell ref="AA6:AA7"/>
    <mergeCell ref="D7:E7"/>
    <mergeCell ref="F7:G7"/>
    <mergeCell ref="H7:I7"/>
    <mergeCell ref="A24:Q24"/>
    <mergeCell ref="T24:V24"/>
    <mergeCell ref="A25:Q28"/>
    <mergeCell ref="T25:V28"/>
    <mergeCell ref="A30:Q30"/>
    <mergeCell ref="T30:V30"/>
    <mergeCell ref="A31:Q34"/>
    <mergeCell ref="T31:V34"/>
    <mergeCell ref="A37:K37"/>
    <mergeCell ref="A38:B39"/>
    <mergeCell ref="C38:E39"/>
    <mergeCell ref="F38:G39"/>
    <mergeCell ref="H38:I39"/>
    <mergeCell ref="J38:K39"/>
    <mergeCell ref="A41:B41"/>
    <mergeCell ref="C41:E41"/>
    <mergeCell ref="F41:G41"/>
    <mergeCell ref="H41:I41"/>
    <mergeCell ref="J41:K41"/>
    <mergeCell ref="A40:B40"/>
    <mergeCell ref="C40:E40"/>
    <mergeCell ref="F40:G40"/>
    <mergeCell ref="H40:I40"/>
    <mergeCell ref="J40:K40"/>
    <mergeCell ref="A43:B43"/>
    <mergeCell ref="C43:E43"/>
    <mergeCell ref="F43:G43"/>
    <mergeCell ref="H43:I43"/>
    <mergeCell ref="J43:K43"/>
    <mergeCell ref="A42:B42"/>
    <mergeCell ref="C42:E42"/>
    <mergeCell ref="F42:G42"/>
    <mergeCell ref="H42:I42"/>
    <mergeCell ref="J42:K42"/>
    <mergeCell ref="A47:K47"/>
    <mergeCell ref="A44:B44"/>
    <mergeCell ref="C44:E44"/>
    <mergeCell ref="F44:G44"/>
    <mergeCell ref="H44:I44"/>
    <mergeCell ref="J44:K44"/>
    <mergeCell ref="A45:B45"/>
    <mergeCell ref="C45:E45"/>
    <mergeCell ref="F45:G45"/>
    <mergeCell ref="H45:I45"/>
    <mergeCell ref="J45:K45"/>
    <mergeCell ref="A46:B46"/>
    <mergeCell ref="C46:E46"/>
    <mergeCell ref="F46:G46"/>
    <mergeCell ref="H46:I46"/>
    <mergeCell ref="J46:K46"/>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4C00-000000000000}">
      <formula1>AvancementTheme</formula1>
    </dataValidation>
  </dataValidations>
  <hyperlinks>
    <hyperlink ref="X1" location="DPDV_04SC3" display="PdV" xr:uid="{00000000-0004-0000-4C00-000000000000}"/>
    <hyperlink ref="Y1" location="DKPI_04SC3" display="KPI's" xr:uid="{00000000-0004-0000-4C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6">
    <tabColor rgb="FFFFFF00"/>
    <pageSetUpPr fitToPage="1"/>
  </sheetPr>
  <dimension ref="A1:AF56"/>
  <sheetViews>
    <sheetView showGridLines="0" topLeftCell="A10" zoomScaleNormal="100" workbookViewId="0">
      <selection activeCell="C16" sqref="C16:Q16"/>
    </sheetView>
  </sheetViews>
  <sheetFormatPr baseColWidth="10" defaultColWidth="11.453125" defaultRowHeight="14.5" x14ac:dyDescent="0.35"/>
  <cols>
    <col min="1" max="2" width="11.453125" style="60"/>
    <col min="3" max="3" width="15.26953125" style="60" customWidth="1"/>
    <col min="4" max="4" width="10.54296875" style="60" customWidth="1"/>
    <col min="5" max="5" width="11.453125" style="60"/>
    <col min="6" max="7" width="10.7265625" style="60" customWidth="1"/>
    <col min="8" max="8" width="8.7265625" style="60" customWidth="1"/>
    <col min="9" max="9" width="12.81640625" style="60" customWidth="1"/>
    <col min="10" max="10" width="9.453125" style="60" customWidth="1"/>
    <col min="11" max="11" width="11.1796875" style="60" customWidth="1"/>
    <col min="12" max="12" width="8.81640625" style="60" customWidth="1"/>
    <col min="13" max="13" width="11.453125" style="60"/>
    <col min="14" max="14" width="10.1796875" style="60" customWidth="1"/>
    <col min="15" max="15" width="10.453125" style="60" customWidth="1"/>
    <col min="16" max="16" width="9.26953125" style="60" customWidth="1"/>
    <col min="17" max="17" width="10.1796875" style="60" customWidth="1"/>
    <col min="18" max="20" width="11.453125" style="60"/>
    <col min="21" max="21" width="23.7265625" style="60" customWidth="1"/>
    <col min="22" max="16384" width="11.453125" style="60"/>
  </cols>
  <sheetData>
    <row r="1" spans="1:28" s="54" customFormat="1" ht="15" customHeight="1" x14ac:dyDescent="0.35">
      <c r="A1" s="389"/>
      <c r="B1" s="389"/>
      <c r="C1" s="389"/>
      <c r="D1" s="3341" t="s">
        <v>5</v>
      </c>
      <c r="E1" s="3341"/>
      <c r="F1" s="3341"/>
      <c r="G1" s="3341"/>
      <c r="H1" s="391"/>
      <c r="I1" s="3341" t="s">
        <v>6</v>
      </c>
      <c r="J1" s="3341"/>
      <c r="K1" s="389"/>
      <c r="L1" s="3341" t="s">
        <v>9</v>
      </c>
      <c r="M1" s="3341"/>
      <c r="N1" s="959"/>
      <c r="O1" s="389"/>
      <c r="P1" s="479"/>
      <c r="Q1" s="479"/>
      <c r="R1" s="458"/>
      <c r="S1" s="458"/>
      <c r="T1" s="458"/>
      <c r="U1" s="458"/>
      <c r="V1" s="458"/>
      <c r="W1" s="458"/>
    </row>
    <row r="2" spans="1:28" s="58" customFormat="1" ht="18" customHeight="1" x14ac:dyDescent="0.35">
      <c r="A2" s="393"/>
      <c r="B2" s="393"/>
      <c r="C2" s="393"/>
      <c r="D2" s="3342" t="str">
        <f>NomClient</f>
        <v xml:space="preserve">EQUINIX </v>
      </c>
      <c r="E2" s="3343"/>
      <c r="F2" s="3343"/>
      <c r="G2" s="3344"/>
      <c r="H2" s="393"/>
      <c r="I2" s="3345" t="s">
        <v>410</v>
      </c>
      <c r="J2" s="3346"/>
      <c r="K2" s="393"/>
      <c r="L2" s="3347">
        <v>42971.837881944448</v>
      </c>
      <c r="M2" s="3348"/>
      <c r="N2" s="699"/>
      <c r="O2" s="394"/>
      <c r="P2" s="451"/>
      <c r="Q2" s="451"/>
      <c r="R2" s="459"/>
      <c r="S2" s="459"/>
      <c r="T2" s="459"/>
      <c r="U2" s="459"/>
      <c r="V2" s="459"/>
      <c r="W2" s="459"/>
    </row>
    <row r="3" spans="1:28" ht="6.75" customHeight="1" thickBot="1" x14ac:dyDescent="0.4">
      <c r="A3" s="396"/>
      <c r="B3" s="396"/>
      <c r="C3" s="396"/>
      <c r="D3" s="396"/>
      <c r="E3" s="396"/>
      <c r="F3" s="396"/>
      <c r="G3" s="396"/>
      <c r="H3" s="396"/>
      <c r="I3" s="396"/>
      <c r="J3" s="396"/>
      <c r="K3" s="396"/>
      <c r="L3" s="396"/>
      <c r="M3" s="396"/>
      <c r="N3" s="396"/>
      <c r="O3" s="396"/>
      <c r="P3" s="396"/>
      <c r="Q3" s="396"/>
      <c r="R3" s="64"/>
      <c r="S3" s="64"/>
      <c r="T3" s="64"/>
      <c r="U3" s="64"/>
      <c r="V3" s="64"/>
      <c r="W3" s="64"/>
    </row>
    <row r="4" spans="1:28" s="1" customFormat="1" ht="24.75" customHeight="1" thickBot="1" x14ac:dyDescent="0.4">
      <c r="A4" s="3507" t="s">
        <v>1160</v>
      </c>
      <c r="B4" s="3507"/>
      <c r="C4" s="3507"/>
      <c r="D4" s="3507"/>
      <c r="E4" s="3507"/>
      <c r="F4" s="3507"/>
      <c r="G4" s="3507"/>
      <c r="H4" s="3505" t="s">
        <v>2871</v>
      </c>
      <c r="I4" s="3505"/>
      <c r="J4" s="3505"/>
      <c r="K4" s="3505"/>
      <c r="L4" s="3505"/>
      <c r="M4" s="3505"/>
      <c r="N4" s="3505"/>
      <c r="O4" s="3505"/>
      <c r="P4" s="3505"/>
      <c r="Q4" s="3506"/>
      <c r="R4" s="444"/>
      <c r="S4" s="444"/>
      <c r="T4" s="444"/>
      <c r="U4" s="444"/>
      <c r="V4" s="444"/>
    </row>
    <row r="5" spans="1:28" s="193" customFormat="1" ht="19.5" customHeight="1" x14ac:dyDescent="0.35">
      <c r="A5" s="3438" t="s">
        <v>14</v>
      </c>
      <c r="B5" s="3438"/>
      <c r="C5" s="3508" t="s">
        <v>2283</v>
      </c>
      <c r="D5" s="3439"/>
      <c r="E5" s="3439"/>
      <c r="F5" s="3439"/>
      <c r="G5" s="3439"/>
      <c r="H5" s="3439"/>
      <c r="I5" s="3439"/>
      <c r="J5" s="3439"/>
      <c r="K5" s="3439"/>
      <c r="L5" s="3439"/>
      <c r="M5" s="3439"/>
      <c r="N5" s="3439"/>
      <c r="O5" s="3439"/>
      <c r="P5" s="3439"/>
      <c r="Q5" s="460"/>
      <c r="R5" s="460"/>
      <c r="S5" s="460"/>
      <c r="T5" s="460"/>
      <c r="U5" s="460"/>
      <c r="V5" s="460"/>
    </row>
    <row r="6" spans="1:28" s="193" customFormat="1" ht="19.5" customHeight="1" x14ac:dyDescent="0.35">
      <c r="A6" s="2592"/>
      <c r="B6" s="2592"/>
      <c r="C6" s="2602"/>
      <c r="D6" s="2591"/>
      <c r="E6" s="2591"/>
      <c r="F6" s="2591"/>
      <c r="G6" s="2591"/>
      <c r="H6" s="2591"/>
      <c r="I6" s="2591"/>
      <c r="J6" s="2591"/>
      <c r="K6" s="2591"/>
      <c r="L6" s="2591"/>
      <c r="M6" s="2591"/>
      <c r="N6" s="2591"/>
      <c r="O6" s="2591"/>
      <c r="P6" s="2591"/>
      <c r="Q6" s="460"/>
      <c r="R6" s="460"/>
      <c r="S6" s="460"/>
      <c r="T6" s="460"/>
      <c r="U6" s="460"/>
      <c r="V6" s="460"/>
    </row>
    <row r="7" spans="1:28" s="66" customFormat="1" ht="94.5" customHeight="1" x14ac:dyDescent="0.35">
      <c r="A7" s="3474" t="s">
        <v>2879</v>
      </c>
      <c r="B7" s="3475"/>
      <c r="C7" s="3476"/>
      <c r="D7" s="3477"/>
      <c r="E7" s="3477"/>
      <c r="F7" s="3477"/>
      <c r="G7" s="3477"/>
      <c r="H7" s="3477"/>
      <c r="I7" s="3477"/>
      <c r="J7" s="3477"/>
      <c r="K7" s="3477"/>
      <c r="L7" s="3477"/>
      <c r="M7" s="3477"/>
      <c r="N7" s="3477"/>
      <c r="O7" s="3477"/>
      <c r="P7" s="3477"/>
      <c r="Q7" s="3478"/>
      <c r="R7" s="397"/>
      <c r="T7" s="103"/>
      <c r="U7" s="93"/>
      <c r="V7" s="93"/>
    </row>
    <row r="8" spans="1:28" s="11" customFormat="1" ht="45" customHeight="1" thickBot="1" x14ac:dyDescent="0.4">
      <c r="A8" s="2823"/>
      <c r="B8" s="2824"/>
      <c r="C8" s="2824"/>
      <c r="D8" s="2824"/>
      <c r="E8" s="2824"/>
      <c r="F8" s="2824"/>
      <c r="G8" s="2824"/>
      <c r="H8" s="2824"/>
      <c r="I8" s="2824"/>
      <c r="J8" s="2824"/>
      <c r="K8" s="2824"/>
      <c r="L8" s="2824"/>
      <c r="M8" s="2824"/>
      <c r="N8" s="2824"/>
      <c r="O8" s="2824"/>
      <c r="P8" s="2824"/>
      <c r="Q8" s="2824"/>
      <c r="R8" s="766"/>
      <c r="S8" s="12"/>
      <c r="T8" s="366"/>
      <c r="U8" s="344"/>
      <c r="V8" s="344"/>
      <c r="W8" s="12"/>
      <c r="X8" s="12"/>
      <c r="Y8" s="12"/>
      <c r="Z8" s="12"/>
      <c r="AA8" s="12"/>
      <c r="AB8" s="12"/>
    </row>
    <row r="9" spans="1:28" s="193" customFormat="1" ht="73.5" customHeight="1" thickTop="1" thickBot="1" x14ac:dyDescent="0.4">
      <c r="A9" s="3482" t="s">
        <v>2842</v>
      </c>
      <c r="B9" s="3483"/>
      <c r="C9" s="3490" t="s">
        <v>2838</v>
      </c>
      <c r="D9" s="3491"/>
      <c r="E9" s="3491"/>
      <c r="F9" s="3491"/>
      <c r="G9" s="3491"/>
      <c r="H9" s="3491"/>
      <c r="I9" s="3491"/>
      <c r="J9" s="3492"/>
      <c r="K9" s="3493" t="s">
        <v>2839</v>
      </c>
      <c r="L9" s="3491"/>
      <c r="M9" s="3491"/>
      <c r="N9" s="3491"/>
      <c r="O9" s="3491"/>
      <c r="P9" s="3491"/>
      <c r="Q9" s="3492"/>
      <c r="R9" s="460"/>
    </row>
    <row r="10" spans="1:28" s="94" customFormat="1" ht="16.5" customHeight="1" thickTop="1" thickBot="1" x14ac:dyDescent="0.4">
      <c r="A10" s="3484"/>
      <c r="B10" s="3485"/>
      <c r="C10" s="3494" t="s">
        <v>2840</v>
      </c>
      <c r="D10" s="3495"/>
      <c r="E10" s="3495"/>
      <c r="F10" s="3495"/>
      <c r="G10" s="3495"/>
      <c r="H10" s="3495"/>
      <c r="I10" s="3495"/>
      <c r="J10" s="3495"/>
      <c r="K10" s="3495"/>
      <c r="L10" s="3495"/>
      <c r="M10" s="3495"/>
      <c r="N10" s="3495"/>
      <c r="O10" s="3495"/>
      <c r="P10" s="3495"/>
      <c r="Q10" s="3496"/>
      <c r="R10" s="765"/>
    </row>
    <row r="11" spans="1:28" s="94" customFormat="1" ht="63" customHeight="1" thickTop="1" thickBot="1" x14ac:dyDescent="0.4">
      <c r="A11" s="3486"/>
      <c r="B11" s="3487"/>
      <c r="C11" s="3479"/>
      <c r="D11" s="3480"/>
      <c r="E11" s="3480"/>
      <c r="F11" s="3480"/>
      <c r="G11" s="3480"/>
      <c r="H11" s="3480"/>
      <c r="I11" s="3480"/>
      <c r="J11" s="3480"/>
      <c r="K11" s="3480"/>
      <c r="L11" s="3480"/>
      <c r="M11" s="3480"/>
      <c r="N11" s="3480"/>
      <c r="O11" s="3480"/>
      <c r="P11" s="3480"/>
      <c r="Q11" s="3481"/>
      <c r="R11" s="765"/>
    </row>
    <row r="12" spans="1:28" s="66" customFormat="1" ht="38.25" customHeight="1" thickTop="1" x14ac:dyDescent="0.35">
      <c r="A12" s="3488"/>
      <c r="B12" s="3489"/>
      <c r="C12" s="3489"/>
      <c r="D12" s="3489"/>
      <c r="E12" s="3489"/>
      <c r="F12" s="3489"/>
      <c r="G12" s="3489"/>
      <c r="H12" s="3489"/>
      <c r="I12" s="3489"/>
      <c r="J12" s="3489"/>
      <c r="K12" s="3489"/>
      <c r="L12" s="3489"/>
      <c r="M12" s="3489"/>
      <c r="N12" s="3489"/>
      <c r="O12" s="3489"/>
      <c r="P12" s="3489"/>
      <c r="Q12" s="3489"/>
      <c r="R12" s="397"/>
      <c r="T12" s="103"/>
      <c r="U12" s="93"/>
      <c r="V12" s="93"/>
    </row>
    <row r="13" spans="1:28" s="11" customFormat="1" ht="51" customHeight="1" x14ac:dyDescent="0.35">
      <c r="A13" s="3511" t="s">
        <v>2845</v>
      </c>
      <c r="B13" s="3512"/>
      <c r="C13" s="2832" t="s">
        <v>2646</v>
      </c>
      <c r="D13" s="2805"/>
      <c r="E13" s="2833" t="s">
        <v>2647</v>
      </c>
      <c r="F13" s="2927"/>
      <c r="G13" s="2833" t="s">
        <v>2651</v>
      </c>
      <c r="H13" s="2927"/>
      <c r="I13" s="2833" t="s">
        <v>2654</v>
      </c>
      <c r="J13" s="2927"/>
      <c r="K13" s="2833" t="s">
        <v>2650</v>
      </c>
      <c r="L13" s="2927"/>
      <c r="M13" s="2833" t="s">
        <v>2648</v>
      </c>
      <c r="N13" s="2927"/>
      <c r="O13" s="2833" t="s">
        <v>2652</v>
      </c>
      <c r="P13" s="2927"/>
      <c r="Q13" s="2806"/>
      <c r="R13" s="766"/>
      <c r="S13" s="12"/>
      <c r="T13" s="366"/>
      <c r="U13" s="344"/>
      <c r="V13" s="344"/>
      <c r="W13" s="12"/>
      <c r="X13" s="12"/>
      <c r="Y13" s="12"/>
      <c r="Z13" s="12"/>
      <c r="AA13" s="12"/>
      <c r="AB13" s="12"/>
    </row>
    <row r="14" spans="1:28" s="66" customFormat="1" ht="48" customHeight="1" x14ac:dyDescent="0.35">
      <c r="A14" s="3485"/>
      <c r="B14" s="3513"/>
      <c r="C14" s="2833" t="s">
        <v>2655</v>
      </c>
      <c r="D14" s="2927"/>
      <c r="E14" s="2833" t="s">
        <v>2656</v>
      </c>
      <c r="F14" s="2927"/>
      <c r="G14" s="2833" t="s">
        <v>2657</v>
      </c>
      <c r="H14" s="2927"/>
      <c r="I14" s="2833" t="s">
        <v>2658</v>
      </c>
      <c r="J14" s="2927"/>
      <c r="K14" s="2833" t="s">
        <v>2653</v>
      </c>
      <c r="L14" s="2923"/>
      <c r="M14" s="2833" t="s">
        <v>2649</v>
      </c>
      <c r="N14" s="2927"/>
      <c r="O14" s="2833" t="s">
        <v>2659</v>
      </c>
      <c r="P14" s="2927"/>
      <c r="Q14" s="2806"/>
      <c r="R14" s="397"/>
      <c r="T14" s="103"/>
      <c r="U14" s="93"/>
      <c r="V14" s="93"/>
    </row>
    <row r="15" spans="1:28" s="11" customFormat="1" ht="29.25" customHeight="1" x14ac:dyDescent="0.35">
      <c r="A15" s="2936"/>
      <c r="B15" s="2937"/>
      <c r="C15" s="2937"/>
      <c r="D15" s="2937"/>
      <c r="E15" s="2937"/>
      <c r="F15" s="2937"/>
      <c r="G15" s="2937"/>
      <c r="H15" s="2937"/>
      <c r="I15" s="2937"/>
      <c r="J15" s="2937"/>
      <c r="K15" s="2937"/>
      <c r="L15" s="2937"/>
      <c r="M15" s="2937"/>
      <c r="N15" s="2937"/>
      <c r="O15" s="2937"/>
      <c r="P15" s="2937"/>
      <c r="Q15" s="2937"/>
      <c r="R15" s="766"/>
      <c r="S15" s="12"/>
      <c r="T15" s="366"/>
      <c r="U15" s="344"/>
      <c r="V15" s="344"/>
      <c r="W15" s="12"/>
      <c r="X15" s="12"/>
      <c r="Y15" s="12"/>
      <c r="Z15" s="12"/>
      <c r="AA15" s="12"/>
      <c r="AB15" s="12"/>
    </row>
    <row r="16" spans="1:28" s="66" customFormat="1" ht="84.75" customHeight="1" x14ac:dyDescent="0.35">
      <c r="A16" s="3474" t="s">
        <v>2692</v>
      </c>
      <c r="B16" s="3475"/>
      <c r="C16" s="3514" t="s">
        <v>2977</v>
      </c>
      <c r="D16" s="3520"/>
      <c r="E16" s="3520"/>
      <c r="F16" s="3520"/>
      <c r="G16" s="3520"/>
      <c r="H16" s="3520"/>
      <c r="I16" s="3520"/>
      <c r="J16" s="3520"/>
      <c r="K16" s="3520"/>
      <c r="L16" s="3520"/>
      <c r="M16" s="3520"/>
      <c r="N16" s="3520"/>
      <c r="O16" s="3520"/>
      <c r="P16" s="3520"/>
      <c r="Q16" s="3521"/>
      <c r="R16" s="397"/>
      <c r="T16" s="103"/>
      <c r="U16" s="93"/>
      <c r="V16" s="93"/>
    </row>
    <row r="17" spans="1:28" s="66" customFormat="1" ht="38.25" customHeight="1" x14ac:dyDescent="0.35">
      <c r="A17" s="3488"/>
      <c r="B17" s="3489"/>
      <c r="C17" s="3489"/>
      <c r="D17" s="3489"/>
      <c r="E17" s="3489"/>
      <c r="F17" s="3489"/>
      <c r="G17" s="3489"/>
      <c r="H17" s="3489"/>
      <c r="I17" s="3489"/>
      <c r="J17" s="3489"/>
      <c r="K17" s="3489"/>
      <c r="L17" s="3489"/>
      <c r="M17" s="3489"/>
      <c r="N17" s="3489"/>
      <c r="O17" s="3489"/>
      <c r="P17" s="3489"/>
      <c r="Q17" s="3489"/>
      <c r="R17" s="397"/>
      <c r="T17" s="103"/>
      <c r="U17" s="93"/>
      <c r="V17" s="93"/>
    </row>
    <row r="18" spans="1:28" s="66" customFormat="1" ht="51.75" customHeight="1" x14ac:dyDescent="0.35">
      <c r="A18" s="3474" t="s">
        <v>2661</v>
      </c>
      <c r="B18" s="3475"/>
      <c r="C18" s="3514"/>
      <c r="D18" s="3515"/>
      <c r="E18" s="3515"/>
      <c r="F18" s="3515"/>
      <c r="G18" s="3515"/>
      <c r="H18" s="3515"/>
      <c r="I18" s="3515"/>
      <c r="J18" s="3515"/>
      <c r="K18" s="3515"/>
      <c r="L18" s="3515"/>
      <c r="M18" s="3515"/>
      <c r="N18" s="3515"/>
      <c r="O18" s="3515"/>
      <c r="P18" s="3515"/>
      <c r="Q18" s="3516"/>
      <c r="R18" s="397"/>
      <c r="T18" s="103"/>
      <c r="U18" s="93"/>
      <c r="V18" s="93"/>
    </row>
    <row r="19" spans="1:28" s="11" customFormat="1" ht="46.5" customHeight="1" x14ac:dyDescent="0.35">
      <c r="A19" s="2938"/>
      <c r="B19" s="2939"/>
      <c r="C19" s="2939"/>
      <c r="D19" s="2939"/>
      <c r="E19" s="2939"/>
      <c r="F19" s="2939"/>
      <c r="G19" s="2939"/>
      <c r="H19" s="2939"/>
      <c r="I19" s="2939"/>
      <c r="J19" s="2939"/>
      <c r="K19" s="2939"/>
      <c r="L19" s="2939"/>
      <c r="M19" s="2939"/>
      <c r="N19" s="2939"/>
      <c r="O19" s="2939"/>
      <c r="P19" s="2939"/>
      <c r="Q19" s="2939"/>
      <c r="R19" s="766"/>
      <c r="S19" s="12"/>
      <c r="T19" s="366"/>
      <c r="U19" s="344"/>
      <c r="V19" s="344"/>
      <c r="W19" s="12"/>
      <c r="X19" s="12"/>
      <c r="Y19" s="12"/>
      <c r="Z19" s="12"/>
      <c r="AA19" s="12"/>
      <c r="AB19" s="12"/>
    </row>
    <row r="20" spans="1:28" s="11" customFormat="1" ht="63" customHeight="1" x14ac:dyDescent="0.35">
      <c r="A20" s="3474" t="s">
        <v>2841</v>
      </c>
      <c r="B20" s="3475"/>
      <c r="C20" s="3517"/>
      <c r="D20" s="3518"/>
      <c r="E20" s="3518"/>
      <c r="F20" s="3518"/>
      <c r="G20" s="3518"/>
      <c r="H20" s="3518"/>
      <c r="I20" s="3518"/>
      <c r="J20" s="3518"/>
      <c r="K20" s="3518"/>
      <c r="L20" s="3518"/>
      <c r="M20" s="3518"/>
      <c r="N20" s="3518"/>
      <c r="O20" s="3518"/>
      <c r="P20" s="3518"/>
      <c r="Q20" s="3519"/>
      <c r="R20" s="766"/>
      <c r="S20" s="12"/>
      <c r="T20" s="366"/>
      <c r="U20" s="344"/>
      <c r="V20" s="344"/>
      <c r="W20" s="12"/>
      <c r="X20" s="12"/>
      <c r="Y20" s="12"/>
      <c r="Z20" s="12"/>
      <c r="AA20" s="12"/>
      <c r="AB20" s="12"/>
    </row>
    <row r="21" spans="1:28" s="66" customFormat="1" ht="31.5" customHeight="1" x14ac:dyDescent="0.35">
      <c r="A21" s="3488"/>
      <c r="B21" s="3489"/>
      <c r="C21" s="3489"/>
      <c r="D21" s="3489"/>
      <c r="E21" s="3489"/>
      <c r="F21" s="3489"/>
      <c r="G21" s="3489"/>
      <c r="H21" s="3489"/>
      <c r="I21" s="3489"/>
      <c r="J21" s="3489"/>
      <c r="K21" s="3489"/>
      <c r="L21" s="3489"/>
      <c r="M21" s="3489"/>
      <c r="N21" s="3489"/>
      <c r="O21" s="3489"/>
      <c r="P21" s="3489"/>
      <c r="Q21" s="3489"/>
      <c r="R21" s="397"/>
      <c r="T21" s="103"/>
      <c r="U21" s="93"/>
      <c r="V21" s="93"/>
    </row>
    <row r="22" spans="1:28" s="66" customFormat="1" ht="57" customHeight="1" x14ac:dyDescent="0.35">
      <c r="A22" s="3474" t="s">
        <v>2281</v>
      </c>
      <c r="B22" s="3475"/>
      <c r="C22" s="3502"/>
      <c r="D22" s="3503"/>
      <c r="E22" s="3503"/>
      <c r="F22" s="3503"/>
      <c r="G22" s="3503"/>
      <c r="H22" s="3503"/>
      <c r="I22" s="3503"/>
      <c r="J22" s="3503"/>
      <c r="K22" s="3503"/>
      <c r="L22" s="3503"/>
      <c r="M22" s="3503"/>
      <c r="N22" s="3503"/>
      <c r="O22" s="3503"/>
      <c r="P22" s="3503"/>
      <c r="Q22" s="3504"/>
      <c r="R22" s="397"/>
      <c r="T22" s="103"/>
      <c r="U22" s="93"/>
      <c r="V22" s="93"/>
    </row>
    <row r="23" spans="1:28" s="11" customFormat="1" ht="63" customHeight="1" x14ac:dyDescent="0.35">
      <c r="A23" s="2792"/>
      <c r="B23" s="2793"/>
      <c r="C23" s="2793"/>
      <c r="D23" s="2793"/>
      <c r="E23" s="2793"/>
      <c r="F23" s="2793"/>
      <c r="G23" s="2793"/>
      <c r="H23" s="2793"/>
      <c r="I23" s="2793"/>
      <c r="J23" s="2793"/>
      <c r="K23" s="2793"/>
      <c r="L23" s="2793"/>
      <c r="M23" s="2793"/>
      <c r="N23" s="2793"/>
      <c r="O23" s="2793"/>
      <c r="P23" s="2793"/>
      <c r="Q23" s="2793"/>
      <c r="R23" s="766"/>
      <c r="S23" s="12"/>
      <c r="T23" s="366"/>
      <c r="U23" s="344"/>
      <c r="V23" s="344"/>
      <c r="W23" s="12"/>
      <c r="X23" s="12"/>
      <c r="Y23" s="12"/>
      <c r="Z23" s="12"/>
      <c r="AA23" s="12"/>
      <c r="AB23" s="12"/>
    </row>
    <row r="24" spans="1:28" s="66" customFormat="1" ht="39" customHeight="1" x14ac:dyDescent="0.35">
      <c r="A24" s="3474" t="s">
        <v>2282</v>
      </c>
      <c r="B24" s="3475"/>
      <c r="C24" s="2802"/>
      <c r="D24" s="2803"/>
      <c r="E24" s="2803"/>
      <c r="F24" s="2803"/>
      <c r="G24" s="2803"/>
      <c r="H24" s="2803"/>
      <c r="I24" s="2803"/>
      <c r="J24" s="2803"/>
      <c r="K24" s="2803"/>
      <c r="L24" s="2803"/>
      <c r="M24" s="2803"/>
      <c r="N24" s="2803"/>
      <c r="O24" s="2803"/>
      <c r="P24" s="2803"/>
      <c r="Q24" s="2804"/>
      <c r="R24" s="397"/>
      <c r="T24" s="103"/>
      <c r="U24" s="93"/>
      <c r="V24" s="93"/>
    </row>
    <row r="25" spans="1:28" s="11" customFormat="1" ht="63" customHeight="1" x14ac:dyDescent="0.35">
      <c r="A25" s="2792"/>
      <c r="B25" s="2793"/>
      <c r="C25" s="2793"/>
      <c r="D25" s="2793"/>
      <c r="E25" s="2793"/>
      <c r="F25" s="2793"/>
      <c r="G25" s="2793"/>
      <c r="H25" s="2793"/>
      <c r="I25" s="2793"/>
      <c r="J25" s="2793"/>
      <c r="K25" s="2793"/>
      <c r="L25" s="2793"/>
      <c r="M25" s="2793"/>
      <c r="N25" s="2793"/>
      <c r="O25" s="2793"/>
      <c r="P25" s="2793"/>
      <c r="Q25" s="2793"/>
      <c r="R25" s="766"/>
      <c r="S25" s="12"/>
      <c r="T25" s="366"/>
      <c r="U25" s="344"/>
      <c r="V25" s="344"/>
      <c r="W25" s="12"/>
      <c r="X25" s="12"/>
      <c r="Y25" s="12"/>
      <c r="Z25" s="12"/>
      <c r="AA25" s="12"/>
      <c r="AB25" s="12"/>
    </row>
    <row r="26" spans="1:28" s="66" customFormat="1" ht="35.25" customHeight="1" x14ac:dyDescent="0.35">
      <c r="A26" s="3474" t="s">
        <v>2279</v>
      </c>
      <c r="B26" s="3475"/>
      <c r="C26" s="2802"/>
      <c r="D26" s="2803"/>
      <c r="E26" s="2803"/>
      <c r="F26" s="2803"/>
      <c r="G26" s="2803"/>
      <c r="H26" s="2803"/>
      <c r="I26" s="2803"/>
      <c r="J26" s="2803"/>
      <c r="K26" s="2803"/>
      <c r="L26" s="2803"/>
      <c r="M26" s="2803"/>
      <c r="N26" s="2803"/>
      <c r="O26" s="2803"/>
      <c r="P26" s="2803"/>
      <c r="Q26" s="2804"/>
      <c r="R26" s="397"/>
      <c r="T26" s="103"/>
      <c r="U26" s="93"/>
      <c r="V26" s="93"/>
    </row>
    <row r="27" spans="1:28" s="11" customFormat="1" ht="34.5" customHeight="1" x14ac:dyDescent="0.35">
      <c r="A27" s="2792"/>
      <c r="B27" s="2793"/>
      <c r="C27" s="2793"/>
      <c r="D27" s="2793"/>
      <c r="E27" s="2793"/>
      <c r="F27" s="2793"/>
      <c r="G27" s="2793"/>
      <c r="H27" s="2793"/>
      <c r="I27" s="2793"/>
      <c r="J27" s="2793"/>
      <c r="K27" s="2793"/>
      <c r="L27" s="2793"/>
      <c r="M27" s="2793"/>
      <c r="N27" s="2793"/>
      <c r="O27" s="2793"/>
      <c r="P27" s="2793"/>
      <c r="Q27" s="2793"/>
      <c r="R27" s="766"/>
      <c r="S27" s="12"/>
      <c r="T27" s="366"/>
      <c r="U27" s="344"/>
      <c r="V27" s="344"/>
      <c r="W27" s="12"/>
      <c r="X27" s="12"/>
      <c r="Y27" s="12"/>
      <c r="Z27" s="12"/>
      <c r="AA27" s="12"/>
      <c r="AB27" s="12"/>
    </row>
    <row r="28" spans="1:28" ht="35.25" customHeight="1" x14ac:dyDescent="0.35">
      <c r="A28" s="3474" t="s">
        <v>2479</v>
      </c>
      <c r="B28" s="3475"/>
      <c r="C28" s="2802"/>
      <c r="D28" s="2803"/>
      <c r="E28" s="2803"/>
      <c r="F28" s="2803"/>
      <c r="G28" s="2803"/>
      <c r="H28" s="2803"/>
      <c r="I28" s="2803"/>
      <c r="J28" s="2803"/>
      <c r="K28" s="2803"/>
      <c r="L28" s="2803"/>
      <c r="M28" s="2803"/>
      <c r="N28" s="2803"/>
      <c r="O28" s="2803"/>
      <c r="P28" s="2803"/>
      <c r="Q28" s="2804"/>
      <c r="R28" s="397"/>
      <c r="S28" s="66"/>
      <c r="T28" s="103"/>
      <c r="U28" s="93"/>
      <c r="V28" s="93"/>
      <c r="W28" s="66"/>
      <c r="X28" s="66"/>
      <c r="Y28" s="66"/>
      <c r="Z28" s="66"/>
      <c r="AA28" s="66"/>
      <c r="AB28" s="66"/>
    </row>
    <row r="29" spans="1:28" s="11" customFormat="1" ht="41.25" customHeight="1" thickBot="1" x14ac:dyDescent="0.4">
      <c r="A29" s="2821"/>
      <c r="B29" s="2822"/>
      <c r="C29" s="2822"/>
      <c r="D29" s="2822"/>
      <c r="E29" s="2822"/>
      <c r="F29" s="2822"/>
      <c r="G29" s="2822"/>
      <c r="H29" s="2822"/>
      <c r="I29" s="2822"/>
      <c r="J29" s="2822"/>
      <c r="K29" s="2822"/>
      <c r="L29" s="2822"/>
      <c r="M29" s="2822"/>
      <c r="N29" s="2822"/>
      <c r="O29" s="2822"/>
      <c r="P29" s="2822"/>
      <c r="Q29" s="2822"/>
      <c r="R29" s="766"/>
      <c r="S29" s="12"/>
      <c r="T29" s="366"/>
      <c r="U29" s="344"/>
      <c r="V29" s="344"/>
      <c r="W29" s="12"/>
      <c r="X29" s="12"/>
      <c r="Y29" s="12"/>
      <c r="Z29" s="12"/>
      <c r="AA29" s="12"/>
      <c r="AB29" s="12"/>
    </row>
    <row r="30" spans="1:28" ht="63.75" customHeight="1" thickTop="1" x14ac:dyDescent="0.35">
      <c r="A30" s="3474" t="s">
        <v>2964</v>
      </c>
      <c r="B30" s="3475"/>
      <c r="C30" s="2802"/>
      <c r="D30" s="2803"/>
      <c r="E30" s="2803"/>
      <c r="F30" s="2803"/>
      <c r="G30" s="2803"/>
      <c r="H30" s="2803"/>
      <c r="I30" s="2803"/>
      <c r="J30" s="2803"/>
      <c r="K30" s="2803"/>
      <c r="L30" s="2803"/>
      <c r="M30" s="2803"/>
      <c r="N30" s="2803"/>
      <c r="O30" s="2803"/>
      <c r="P30" s="2803"/>
      <c r="Q30" s="2804"/>
      <c r="R30" s="397"/>
      <c r="S30" s="66"/>
      <c r="T30" s="103"/>
      <c r="U30" s="93"/>
      <c r="V30" s="93"/>
      <c r="W30" s="66"/>
      <c r="X30" s="66"/>
      <c r="Y30" s="66"/>
      <c r="Z30" s="66"/>
      <c r="AA30" s="66"/>
      <c r="AB30" s="66"/>
    </row>
    <row r="31" spans="1:28" s="11" customFormat="1" ht="36.75" customHeight="1" thickBot="1" x14ac:dyDescent="0.4">
      <c r="A31" s="2795"/>
      <c r="B31" s="2796"/>
      <c r="C31" s="2796"/>
      <c r="D31" s="2796"/>
      <c r="E31" s="2796"/>
      <c r="F31" s="2796"/>
      <c r="G31" s="2796"/>
      <c r="H31" s="2796"/>
      <c r="I31" s="2796"/>
      <c r="J31" s="2796"/>
      <c r="K31" s="2796"/>
      <c r="L31" s="2796"/>
      <c r="M31" s="2796"/>
      <c r="N31" s="2796"/>
      <c r="O31" s="2796"/>
      <c r="P31" s="2796"/>
      <c r="Q31" s="2796"/>
      <c r="R31" s="766"/>
      <c r="S31" s="12"/>
      <c r="T31" s="366"/>
      <c r="U31" s="344"/>
      <c r="V31" s="344"/>
      <c r="W31" s="12"/>
      <c r="X31" s="12"/>
      <c r="Y31" s="12"/>
      <c r="Z31" s="12"/>
      <c r="AA31" s="12"/>
      <c r="AB31" s="12"/>
    </row>
    <row r="32" spans="1:28" ht="35.25" customHeight="1" thickTop="1" x14ac:dyDescent="0.35">
      <c r="A32" s="3474" t="s">
        <v>2280</v>
      </c>
      <c r="B32" s="3475"/>
      <c r="C32" s="2802"/>
      <c r="D32" s="2803"/>
      <c r="E32" s="2803"/>
      <c r="F32" s="2803"/>
      <c r="G32" s="2803"/>
      <c r="H32" s="2803"/>
      <c r="I32" s="2803"/>
      <c r="J32" s="2803"/>
      <c r="K32" s="2803"/>
      <c r="L32" s="2803"/>
      <c r="M32" s="2803"/>
      <c r="N32" s="2803"/>
      <c r="O32" s="2803"/>
      <c r="P32" s="2803"/>
      <c r="Q32" s="2804"/>
      <c r="R32" s="397"/>
      <c r="S32" s="66"/>
      <c r="T32" s="103"/>
      <c r="U32" s="93"/>
      <c r="V32" s="93"/>
      <c r="W32" s="66"/>
      <c r="X32" s="66"/>
      <c r="Y32" s="66"/>
      <c r="Z32" s="66"/>
      <c r="AA32" s="66"/>
      <c r="AB32" s="66"/>
    </row>
    <row r="33" spans="1:32" s="11" customFormat="1" ht="45.75" customHeight="1" thickBot="1" x14ac:dyDescent="0.4">
      <c r="A33" s="2795"/>
      <c r="B33" s="2796"/>
      <c r="C33" s="2796"/>
      <c r="D33" s="2796"/>
      <c r="E33" s="2796"/>
      <c r="F33" s="2796"/>
      <c r="G33" s="2796"/>
      <c r="H33" s="2796"/>
      <c r="I33" s="2796"/>
      <c r="J33" s="2796"/>
      <c r="K33" s="2796"/>
      <c r="L33" s="2796"/>
      <c r="M33" s="2796"/>
      <c r="N33" s="2796"/>
      <c r="O33" s="2796"/>
      <c r="P33" s="2796"/>
      <c r="Q33" s="2796"/>
      <c r="R33" s="766"/>
      <c r="S33" s="12"/>
      <c r="T33" s="366"/>
      <c r="U33" s="344"/>
      <c r="V33" s="344"/>
      <c r="W33" s="12"/>
      <c r="X33" s="12"/>
      <c r="Y33" s="12"/>
      <c r="Z33" s="12"/>
      <c r="AA33" s="12"/>
      <c r="AB33" s="12"/>
    </row>
    <row r="34" spans="1:32" ht="69.75" customHeight="1" thickTop="1" x14ac:dyDescent="0.35">
      <c r="A34" s="3474" t="s">
        <v>2350</v>
      </c>
      <c r="B34" s="3475"/>
      <c r="C34" s="2802"/>
      <c r="D34" s="2803"/>
      <c r="E34" s="2803"/>
      <c r="F34" s="2803"/>
      <c r="G34" s="2803"/>
      <c r="H34" s="2803"/>
      <c r="I34" s="2803"/>
      <c r="J34" s="2803"/>
      <c r="K34" s="2803"/>
      <c r="L34" s="2803"/>
      <c r="M34" s="2803"/>
      <c r="N34" s="2803"/>
      <c r="O34" s="2803"/>
      <c r="P34" s="2803"/>
      <c r="Q34" s="2804"/>
      <c r="R34" s="397"/>
      <c r="S34" s="66"/>
      <c r="T34" s="103"/>
      <c r="U34" s="93"/>
      <c r="V34" s="93"/>
      <c r="W34" s="66"/>
      <c r="X34" s="66"/>
      <c r="Y34" s="66"/>
      <c r="Z34" s="66"/>
      <c r="AA34" s="66"/>
      <c r="AB34" s="66"/>
    </row>
    <row r="35" spans="1:32" s="11" customFormat="1" ht="32.25" customHeight="1" thickBot="1" x14ac:dyDescent="0.4">
      <c r="A35" s="2795"/>
      <c r="B35" s="2796"/>
      <c r="C35" s="2796"/>
      <c r="D35" s="2796"/>
      <c r="E35" s="2796"/>
      <c r="F35" s="2796"/>
      <c r="G35" s="2796"/>
      <c r="H35" s="2796"/>
      <c r="I35" s="2796"/>
      <c r="J35" s="2796"/>
      <c r="K35" s="2796"/>
      <c r="L35" s="2796"/>
      <c r="M35" s="2796"/>
      <c r="N35" s="2796"/>
      <c r="O35" s="2796"/>
      <c r="P35" s="2796"/>
      <c r="Q35" s="2796"/>
      <c r="R35" s="766"/>
      <c r="S35" s="12"/>
      <c r="T35" s="366"/>
      <c r="U35" s="344"/>
      <c r="V35" s="344"/>
      <c r="W35" s="12"/>
      <c r="X35" s="12"/>
      <c r="Y35" s="12"/>
      <c r="Z35" s="12"/>
      <c r="AA35" s="12"/>
      <c r="AB35" s="12"/>
    </row>
    <row r="36" spans="1:32" ht="70.5" customHeight="1" thickTop="1" x14ac:dyDescent="0.35">
      <c r="A36" s="3474" t="s">
        <v>2351</v>
      </c>
      <c r="B36" s="3475"/>
      <c r="C36" s="3471"/>
      <c r="D36" s="3472"/>
      <c r="E36" s="3472"/>
      <c r="F36" s="3472"/>
      <c r="G36" s="3472"/>
      <c r="H36" s="3472"/>
      <c r="I36" s="3472"/>
      <c r="J36" s="3472"/>
      <c r="K36" s="3472"/>
      <c r="L36" s="3472"/>
      <c r="M36" s="3472"/>
      <c r="N36" s="3472"/>
      <c r="O36" s="3472"/>
      <c r="P36" s="3472"/>
      <c r="Q36" s="3473"/>
      <c r="R36" s="397"/>
      <c r="S36" s="66"/>
      <c r="T36" s="103"/>
      <c r="U36" s="93"/>
      <c r="V36" s="93"/>
      <c r="W36" s="66"/>
      <c r="X36" s="66"/>
      <c r="Y36" s="66"/>
      <c r="Z36" s="66"/>
      <c r="AA36" s="66"/>
      <c r="AB36" s="66"/>
    </row>
    <row r="37" spans="1:32" s="193" customFormat="1" ht="19.5" hidden="1" customHeight="1" thickTop="1" x14ac:dyDescent="0.35">
      <c r="A37" s="2795"/>
      <c r="B37" s="2796"/>
      <c r="C37" s="2796"/>
      <c r="D37" s="2796"/>
      <c r="E37" s="2796"/>
      <c r="F37" s="2796"/>
      <c r="G37" s="2796"/>
      <c r="H37" s="2796"/>
      <c r="I37" s="2796"/>
      <c r="J37" s="2796"/>
      <c r="K37" s="2796"/>
      <c r="L37" s="2796"/>
      <c r="M37" s="2796"/>
      <c r="N37" s="2796"/>
      <c r="O37" s="2796"/>
      <c r="P37" s="2796"/>
      <c r="Q37" s="2796"/>
      <c r="R37" s="2785"/>
      <c r="S37" s="2785"/>
      <c r="T37" s="2785"/>
      <c r="U37" s="2786"/>
      <c r="V37" s="460"/>
    </row>
    <row r="38" spans="1:32" s="94" customFormat="1" ht="8.9" hidden="1" customHeight="1" x14ac:dyDescent="0.35">
      <c r="A38" s="3509" t="s">
        <v>1154</v>
      </c>
      <c r="B38" s="3510"/>
      <c r="C38" s="3510" t="s">
        <v>1153</v>
      </c>
      <c r="D38" s="3510"/>
      <c r="E38" s="3510"/>
      <c r="F38" s="3510"/>
      <c r="G38" s="3510"/>
      <c r="H38" s="3510"/>
      <c r="I38" s="3510"/>
      <c r="J38" s="2801" t="s">
        <v>1152</v>
      </c>
      <c r="K38" s="2801"/>
      <c r="L38" s="2801"/>
      <c r="M38" s="2801"/>
      <c r="N38" s="2801"/>
      <c r="O38" s="2801"/>
      <c r="P38" s="2801"/>
      <c r="Q38" s="2785" t="s">
        <v>1151</v>
      </c>
      <c r="R38" s="2790"/>
      <c r="S38" s="2790"/>
      <c r="T38" s="2790"/>
      <c r="U38" s="2791"/>
      <c r="V38" s="765"/>
    </row>
    <row r="39" spans="1:32" s="11" customFormat="1" ht="33.75" hidden="1" customHeight="1" x14ac:dyDescent="0.35">
      <c r="A39" s="2789"/>
      <c r="B39" s="2790"/>
      <c r="C39" s="2790"/>
      <c r="D39" s="2790"/>
      <c r="E39" s="2790"/>
      <c r="F39" s="2790"/>
      <c r="G39" s="2790"/>
      <c r="H39" s="2790"/>
      <c r="I39" s="2790"/>
      <c r="J39" s="2790"/>
      <c r="K39" s="2790"/>
      <c r="L39" s="2790"/>
      <c r="M39" s="2790"/>
      <c r="N39" s="2790"/>
      <c r="O39" s="2790"/>
      <c r="P39" s="2790"/>
      <c r="Q39" s="2790"/>
      <c r="R39" s="2787"/>
      <c r="S39" s="2787"/>
      <c r="T39" s="2787"/>
      <c r="U39" s="2788"/>
      <c r="V39" s="766"/>
      <c r="W39" s="12"/>
      <c r="X39" s="366"/>
      <c r="Y39" s="344"/>
      <c r="Z39" s="344"/>
      <c r="AA39" s="12"/>
      <c r="AB39" s="12"/>
      <c r="AC39" s="12"/>
      <c r="AD39" s="12"/>
      <c r="AE39" s="12"/>
      <c r="AF39" s="12"/>
    </row>
    <row r="40" spans="1:32" s="66" customFormat="1" ht="8.9" hidden="1" customHeight="1" x14ac:dyDescent="0.35">
      <c r="A40" s="3497" t="s">
        <v>1150</v>
      </c>
      <c r="B40" s="3498"/>
      <c r="C40" s="3498" t="s">
        <v>1149</v>
      </c>
      <c r="D40" s="3498"/>
      <c r="E40" s="3498"/>
      <c r="F40" s="3498"/>
      <c r="G40" s="3498"/>
      <c r="H40" s="3498"/>
      <c r="I40" s="3498"/>
      <c r="J40" s="2784" t="s">
        <v>1148</v>
      </c>
      <c r="K40" s="2784"/>
      <c r="L40" s="2784"/>
      <c r="M40" s="2784"/>
      <c r="N40" s="2784"/>
      <c r="O40" s="2784"/>
      <c r="P40" s="2784"/>
      <c r="Q40" s="2787"/>
      <c r="R40" s="2793"/>
      <c r="S40" s="2793"/>
      <c r="T40" s="2793"/>
      <c r="U40" s="2794"/>
      <c r="V40" s="397"/>
      <c r="X40" s="103"/>
      <c r="Y40" s="93"/>
      <c r="Z40" s="93"/>
    </row>
    <row r="41" spans="1:32" s="11" customFormat="1" ht="59.25" hidden="1" customHeight="1" x14ac:dyDescent="0.35">
      <c r="A41" s="2792"/>
      <c r="B41" s="2793"/>
      <c r="C41" s="2793"/>
      <c r="D41" s="2793"/>
      <c r="E41" s="2793"/>
      <c r="F41" s="2793"/>
      <c r="G41" s="2793"/>
      <c r="H41" s="2793"/>
      <c r="I41" s="2793"/>
      <c r="J41" s="2793"/>
      <c r="K41" s="2793"/>
      <c r="L41" s="2793"/>
      <c r="M41" s="2793"/>
      <c r="N41" s="2793"/>
      <c r="O41" s="2793"/>
      <c r="P41" s="2793"/>
      <c r="Q41" s="2793"/>
      <c r="R41" s="2787"/>
      <c r="S41" s="2787"/>
      <c r="T41" s="2787"/>
      <c r="U41" s="2788"/>
      <c r="V41" s="766"/>
      <c r="W41" s="12"/>
      <c r="X41" s="366"/>
      <c r="Y41" s="344"/>
      <c r="Z41" s="344"/>
      <c r="AA41" s="12"/>
      <c r="AB41" s="12"/>
      <c r="AC41" s="12"/>
      <c r="AD41" s="12"/>
      <c r="AE41" s="12"/>
      <c r="AF41" s="12"/>
    </row>
    <row r="42" spans="1:32" s="66" customFormat="1" ht="8.9" hidden="1" customHeight="1" x14ac:dyDescent="0.35">
      <c r="A42" s="3497" t="s">
        <v>1147</v>
      </c>
      <c r="B42" s="3498"/>
      <c r="C42" s="3475" t="s">
        <v>1146</v>
      </c>
      <c r="D42" s="3498"/>
      <c r="E42" s="3498"/>
      <c r="F42" s="3498"/>
      <c r="G42" s="3498"/>
      <c r="H42" s="3498"/>
      <c r="I42" s="3498"/>
      <c r="J42" s="2784" t="s">
        <v>1199</v>
      </c>
      <c r="K42" s="2784"/>
      <c r="L42" s="2784"/>
      <c r="M42" s="2784"/>
      <c r="N42" s="2784"/>
      <c r="O42" s="2784"/>
      <c r="P42" s="2784"/>
      <c r="Q42" s="2787"/>
      <c r="R42" s="2793"/>
      <c r="S42" s="2793"/>
      <c r="T42" s="2793"/>
      <c r="U42" s="2794"/>
      <c r="V42" s="397"/>
      <c r="X42" s="103"/>
      <c r="Y42" s="93"/>
      <c r="Z42" s="93"/>
    </row>
    <row r="43" spans="1:32" s="11" customFormat="1" ht="78.75" hidden="1" customHeight="1" x14ac:dyDescent="0.35">
      <c r="A43" s="2792"/>
      <c r="B43" s="2793"/>
      <c r="C43" s="2793"/>
      <c r="D43" s="2793"/>
      <c r="E43" s="2793"/>
      <c r="F43" s="2793"/>
      <c r="G43" s="2793"/>
      <c r="H43" s="2793"/>
      <c r="I43" s="2793"/>
      <c r="J43" s="2793"/>
      <c r="K43" s="2793"/>
      <c r="L43" s="2793"/>
      <c r="M43" s="2793"/>
      <c r="N43" s="2793"/>
      <c r="O43" s="2793"/>
      <c r="P43" s="2793"/>
      <c r="Q43" s="2793"/>
      <c r="R43" s="2787"/>
      <c r="S43" s="2787"/>
      <c r="T43" s="2787"/>
      <c r="U43" s="2788"/>
      <c r="V43" s="766"/>
      <c r="W43" s="12"/>
      <c r="X43" s="366"/>
      <c r="Y43" s="344"/>
      <c r="Z43" s="344"/>
      <c r="AA43" s="12"/>
      <c r="AB43" s="12"/>
      <c r="AC43" s="12"/>
      <c r="AD43" s="12"/>
      <c r="AE43" s="12"/>
      <c r="AF43" s="12"/>
    </row>
    <row r="44" spans="1:32" s="66" customFormat="1" ht="8.9" hidden="1" customHeight="1" x14ac:dyDescent="0.35">
      <c r="A44" s="3497" t="s">
        <v>1144</v>
      </c>
      <c r="B44" s="3498"/>
      <c r="C44" s="3475" t="s">
        <v>1143</v>
      </c>
      <c r="D44" s="3498"/>
      <c r="E44" s="3498"/>
      <c r="F44" s="3498"/>
      <c r="G44" s="3498"/>
      <c r="H44" s="3498"/>
      <c r="I44" s="3498"/>
      <c r="J44" s="2784" t="s">
        <v>1142</v>
      </c>
      <c r="K44" s="2784"/>
      <c r="L44" s="2784"/>
      <c r="M44" s="2784"/>
      <c r="N44" s="2784"/>
      <c r="O44" s="2784"/>
      <c r="P44" s="2784"/>
      <c r="Q44" s="2787"/>
      <c r="R44" s="2799"/>
      <c r="S44" s="2799"/>
      <c r="T44" s="2799"/>
      <c r="U44" s="2800"/>
      <c r="V44" s="397"/>
      <c r="X44" s="103"/>
      <c r="Y44" s="93"/>
      <c r="Z44" s="93"/>
    </row>
    <row r="45" spans="1:32" s="11" customFormat="1" ht="78.75" hidden="1" customHeight="1" x14ac:dyDescent="0.35">
      <c r="A45" s="2798"/>
      <c r="B45" s="2799"/>
      <c r="C45" s="2799"/>
      <c r="D45" s="2799"/>
      <c r="E45" s="2799"/>
      <c r="F45" s="2799"/>
      <c r="G45" s="2799"/>
      <c r="H45" s="2799"/>
      <c r="I45" s="2799"/>
      <c r="J45" s="2799"/>
      <c r="K45" s="2799"/>
      <c r="L45" s="2799"/>
      <c r="M45" s="2799"/>
      <c r="N45" s="2799"/>
      <c r="O45" s="2799"/>
      <c r="P45" s="2799"/>
      <c r="Q45" s="2799"/>
      <c r="R45" s="2787"/>
      <c r="S45" s="2787"/>
      <c r="T45" s="2787"/>
      <c r="U45" s="2788"/>
      <c r="V45" s="766"/>
      <c r="W45" s="12"/>
      <c r="X45" s="366"/>
      <c r="Y45" s="344"/>
      <c r="Z45" s="344"/>
      <c r="AA45" s="12"/>
      <c r="AB45" s="12"/>
      <c r="AC45" s="12"/>
      <c r="AD45" s="12"/>
      <c r="AE45" s="12"/>
      <c r="AF45" s="12"/>
    </row>
    <row r="46" spans="1:32" s="66" customFormat="1" ht="8.9" hidden="1" customHeight="1" x14ac:dyDescent="0.35">
      <c r="A46" s="3497" t="s">
        <v>1141</v>
      </c>
      <c r="B46" s="3498"/>
      <c r="C46" s="3475" t="s">
        <v>1140</v>
      </c>
      <c r="D46" s="3498"/>
      <c r="E46" s="3498"/>
      <c r="F46" s="3498"/>
      <c r="G46" s="3498"/>
      <c r="H46" s="3498"/>
      <c r="I46" s="3498"/>
      <c r="J46" s="2784" t="s">
        <v>1139</v>
      </c>
      <c r="K46" s="2784"/>
      <c r="L46" s="2784"/>
      <c r="M46" s="2784"/>
      <c r="N46" s="2784"/>
      <c r="O46" s="2784"/>
      <c r="P46" s="2784"/>
      <c r="Q46" s="2787"/>
      <c r="R46" s="2793"/>
      <c r="S46" s="2793"/>
      <c r="T46" s="2793"/>
      <c r="U46" s="2794"/>
      <c r="V46" s="397"/>
      <c r="X46" s="103"/>
      <c r="Y46" s="93"/>
      <c r="Z46" s="93"/>
    </row>
    <row r="47" spans="1:32" s="11" customFormat="1" ht="78.75" hidden="1" customHeight="1" x14ac:dyDescent="0.35">
      <c r="A47" s="2792"/>
      <c r="B47" s="2793"/>
      <c r="C47" s="2793"/>
      <c r="D47" s="2793"/>
      <c r="E47" s="2793"/>
      <c r="F47" s="2793"/>
      <c r="G47" s="2793"/>
      <c r="H47" s="2793"/>
      <c r="I47" s="2793"/>
      <c r="J47" s="2793"/>
      <c r="K47" s="2793"/>
      <c r="L47" s="2793"/>
      <c r="M47" s="2793"/>
      <c r="N47" s="2793"/>
      <c r="O47" s="2793"/>
      <c r="P47" s="2793"/>
      <c r="Q47" s="2793"/>
      <c r="R47" s="2787"/>
      <c r="S47" s="2787"/>
      <c r="T47" s="2787"/>
      <c r="U47" s="2788"/>
      <c r="V47" s="766"/>
      <c r="W47" s="12"/>
      <c r="X47" s="366"/>
      <c r="Y47" s="344"/>
      <c r="Z47" s="344"/>
      <c r="AA47" s="12"/>
      <c r="AB47" s="12"/>
      <c r="AC47" s="12"/>
      <c r="AD47" s="12"/>
      <c r="AE47" s="12"/>
      <c r="AF47" s="12"/>
    </row>
    <row r="48" spans="1:32" s="66" customFormat="1" ht="8.9" hidden="1" customHeight="1" x14ac:dyDescent="0.35">
      <c r="A48" s="3497" t="s">
        <v>1138</v>
      </c>
      <c r="B48" s="3498"/>
      <c r="C48" s="3475" t="s">
        <v>1137</v>
      </c>
      <c r="D48" s="3498"/>
      <c r="E48" s="3498"/>
      <c r="F48" s="3498"/>
      <c r="G48" s="3498"/>
      <c r="H48" s="3498"/>
      <c r="I48" s="3498"/>
      <c r="J48" s="2784" t="s">
        <v>1136</v>
      </c>
      <c r="K48" s="2784"/>
      <c r="L48" s="2784"/>
      <c r="M48" s="2784"/>
      <c r="N48" s="2784"/>
      <c r="O48" s="2784"/>
      <c r="P48" s="2784"/>
      <c r="Q48" s="2787"/>
      <c r="R48" s="2793"/>
      <c r="S48" s="2793"/>
      <c r="T48" s="2793"/>
      <c r="U48" s="2794"/>
      <c r="V48" s="397"/>
      <c r="X48" s="103"/>
      <c r="Y48" s="93"/>
      <c r="Z48" s="93"/>
    </row>
    <row r="49" spans="1:32" s="11" customFormat="1" ht="78.75" hidden="1" customHeight="1" x14ac:dyDescent="0.35">
      <c r="A49" s="2792"/>
      <c r="B49" s="2793"/>
      <c r="C49" s="2793"/>
      <c r="D49" s="2793"/>
      <c r="E49" s="2793"/>
      <c r="F49" s="2793"/>
      <c r="G49" s="2793"/>
      <c r="H49" s="2793"/>
      <c r="I49" s="2793"/>
      <c r="J49" s="2793"/>
      <c r="K49" s="2793"/>
      <c r="L49" s="2793"/>
      <c r="M49" s="2793"/>
      <c r="N49" s="2793"/>
      <c r="O49" s="2793"/>
      <c r="P49" s="2793"/>
      <c r="Q49" s="2793"/>
      <c r="R49" s="2787"/>
      <c r="S49" s="2787"/>
      <c r="T49" s="2787"/>
      <c r="U49" s="2788"/>
      <c r="V49" s="766"/>
      <c r="W49" s="12"/>
      <c r="X49" s="366"/>
      <c r="Y49" s="344"/>
      <c r="Z49" s="344"/>
      <c r="AA49" s="12"/>
      <c r="AB49" s="12"/>
      <c r="AC49" s="12"/>
      <c r="AD49" s="12"/>
      <c r="AE49" s="12"/>
      <c r="AF49" s="12"/>
    </row>
    <row r="50" spans="1:32" s="66" customFormat="1" ht="8.9" hidden="1" customHeight="1" x14ac:dyDescent="0.35">
      <c r="A50" s="3497" t="s">
        <v>1135</v>
      </c>
      <c r="B50" s="3498"/>
      <c r="C50" s="3499" t="s">
        <v>1134</v>
      </c>
      <c r="D50" s="3500"/>
      <c r="E50" s="3500"/>
      <c r="F50" s="3500"/>
      <c r="G50" s="3500"/>
      <c r="H50" s="3500"/>
      <c r="I50" s="3500"/>
      <c r="J50" s="2784" t="s">
        <v>1133</v>
      </c>
      <c r="K50" s="2784"/>
      <c r="L50" s="2784"/>
      <c r="M50" s="2784"/>
      <c r="N50" s="2784"/>
      <c r="O50" s="2784"/>
      <c r="P50" s="2784"/>
      <c r="Q50" s="2787"/>
      <c r="R50" s="2793"/>
      <c r="S50" s="2793"/>
      <c r="T50" s="2793"/>
      <c r="U50" s="2794"/>
      <c r="V50" s="397"/>
      <c r="X50" s="103"/>
      <c r="Y50" s="93"/>
      <c r="Z50" s="93"/>
    </row>
    <row r="51" spans="1:32" s="11" customFormat="1" ht="126.75" hidden="1" customHeight="1" x14ac:dyDescent="0.35">
      <c r="A51" s="2792"/>
      <c r="B51" s="2793"/>
      <c r="C51" s="2793"/>
      <c r="D51" s="2793"/>
      <c r="E51" s="2793"/>
      <c r="F51" s="2793"/>
      <c r="G51" s="2793"/>
      <c r="H51" s="2793"/>
      <c r="I51" s="2793"/>
      <c r="J51" s="2793"/>
      <c r="K51" s="2793"/>
      <c r="L51" s="2793"/>
      <c r="M51" s="2793"/>
      <c r="N51" s="2793"/>
      <c r="O51" s="2793"/>
      <c r="P51" s="2793"/>
      <c r="Q51" s="2793"/>
      <c r="R51" s="2787"/>
      <c r="S51" s="2787"/>
      <c r="T51" s="2787"/>
      <c r="U51" s="2788"/>
      <c r="V51" s="766"/>
      <c r="W51" s="12"/>
      <c r="X51" s="366"/>
      <c r="Y51" s="344"/>
      <c r="Z51" s="344"/>
      <c r="AA51" s="12"/>
      <c r="AB51" s="12"/>
      <c r="AC51" s="12"/>
      <c r="AD51" s="12"/>
      <c r="AE51" s="12"/>
      <c r="AF51" s="12"/>
    </row>
    <row r="52" spans="1:32" s="66" customFormat="1" ht="8.9" hidden="1" customHeight="1" x14ac:dyDescent="0.35">
      <c r="A52" s="3497" t="s">
        <v>1132</v>
      </c>
      <c r="B52" s="3498"/>
      <c r="C52" s="3501" t="s">
        <v>1131</v>
      </c>
      <c r="D52" s="3498"/>
      <c r="E52" s="3498"/>
      <c r="F52" s="3498"/>
      <c r="G52" s="3498"/>
      <c r="H52" s="3498"/>
      <c r="I52" s="3498"/>
      <c r="J52" s="2784" t="s">
        <v>1130</v>
      </c>
      <c r="K52" s="2784"/>
      <c r="L52" s="2784"/>
      <c r="M52" s="2784"/>
      <c r="N52" s="2784"/>
      <c r="O52" s="2784"/>
      <c r="P52" s="2784"/>
      <c r="Q52" s="2787"/>
      <c r="R52" s="2793"/>
      <c r="S52" s="2793"/>
      <c r="T52" s="2793"/>
      <c r="U52" s="2794"/>
      <c r="V52" s="397"/>
      <c r="X52" s="103"/>
      <c r="Y52" s="93"/>
      <c r="Z52" s="93"/>
    </row>
    <row r="53" spans="1:32" s="11" customFormat="1" ht="137.25" hidden="1" customHeight="1" x14ac:dyDescent="0.35">
      <c r="A53" s="2792"/>
      <c r="B53" s="2793"/>
      <c r="C53" s="2793"/>
      <c r="D53" s="2793"/>
      <c r="E53" s="2793"/>
      <c r="F53" s="2793"/>
      <c r="G53" s="2793"/>
      <c r="H53" s="2793"/>
      <c r="I53" s="2793"/>
      <c r="J53" s="2793"/>
      <c r="K53" s="2793"/>
      <c r="L53" s="2793"/>
      <c r="M53" s="2793"/>
      <c r="N53" s="2793"/>
      <c r="O53" s="2793"/>
      <c r="P53" s="2793"/>
      <c r="Q53" s="2793"/>
      <c r="R53" s="2787"/>
      <c r="S53" s="2787"/>
      <c r="T53" s="2787"/>
      <c r="U53" s="2788"/>
      <c r="V53" s="766"/>
      <c r="W53" s="12"/>
      <c r="X53" s="366"/>
      <c r="Y53" s="344"/>
      <c r="Z53" s="344"/>
      <c r="AA53" s="12"/>
      <c r="AB53" s="12"/>
      <c r="AC53" s="12"/>
      <c r="AD53" s="12"/>
      <c r="AE53" s="12"/>
      <c r="AF53" s="12"/>
    </row>
    <row r="54" spans="1:32" ht="8.9" hidden="1" customHeight="1" thickBot="1" x14ac:dyDescent="0.4">
      <c r="A54" s="3497" t="s">
        <v>1129</v>
      </c>
      <c r="B54" s="3498"/>
      <c r="C54" s="3475" t="s">
        <v>1128</v>
      </c>
      <c r="D54" s="3498"/>
      <c r="E54" s="3498"/>
      <c r="F54" s="3498"/>
      <c r="G54" s="3498"/>
      <c r="H54" s="3498"/>
      <c r="I54" s="3498"/>
      <c r="J54" s="2784" t="s">
        <v>1127</v>
      </c>
      <c r="K54" s="2784"/>
      <c r="L54" s="2784"/>
      <c r="M54" s="2784"/>
      <c r="N54" s="2784"/>
      <c r="O54" s="2784"/>
      <c r="P54" s="2784"/>
      <c r="Q54" s="2787"/>
      <c r="R54" s="2796"/>
      <c r="S54" s="2796"/>
      <c r="T54" s="2796"/>
      <c r="U54" s="2797"/>
      <c r="V54" s="397"/>
      <c r="W54" s="66"/>
      <c r="X54" s="103"/>
      <c r="Y54" s="93"/>
      <c r="Z54" s="93"/>
      <c r="AA54" s="66"/>
      <c r="AB54" s="66"/>
      <c r="AC54" s="66"/>
      <c r="AD54" s="66"/>
      <c r="AE54" s="66"/>
      <c r="AF54" s="66"/>
    </row>
    <row r="55" spans="1:32" ht="16" hidden="1" thickBot="1" x14ac:dyDescent="0.4">
      <c r="A55" s="2795"/>
      <c r="B55" s="2796"/>
      <c r="C55" s="2796"/>
      <c r="D55" s="2796"/>
      <c r="E55" s="2796"/>
      <c r="F55" s="2796"/>
      <c r="G55" s="2796"/>
      <c r="H55" s="2796"/>
      <c r="I55" s="2796"/>
      <c r="J55" s="2796"/>
      <c r="K55" s="2796"/>
      <c r="L55" s="2796"/>
      <c r="M55" s="2796"/>
      <c r="N55" s="2796"/>
      <c r="O55" s="2796"/>
      <c r="P55" s="2796"/>
      <c r="Q55" s="2796"/>
      <c r="R55" s="64"/>
      <c r="S55" s="64"/>
      <c r="T55" s="64"/>
      <c r="U55" s="64"/>
      <c r="V55" s="64"/>
    </row>
    <row r="56" spans="1:32" x14ac:dyDescent="0.35">
      <c r="A56" s="64"/>
      <c r="B56" s="64"/>
      <c r="C56" s="64"/>
      <c r="D56" s="64"/>
      <c r="E56" s="64"/>
      <c r="F56" s="64"/>
      <c r="G56" s="64"/>
      <c r="H56" s="64"/>
      <c r="I56" s="64"/>
      <c r="J56" s="64"/>
      <c r="K56" s="64"/>
      <c r="L56" s="64"/>
      <c r="M56" s="64"/>
      <c r="N56" s="64"/>
      <c r="O56" s="64"/>
      <c r="P56" s="64"/>
      <c r="Q56" s="64"/>
    </row>
  </sheetData>
  <mergeCells count="55">
    <mergeCell ref="A22:B22"/>
    <mergeCell ref="A24:B24"/>
    <mergeCell ref="D1:G1"/>
    <mergeCell ref="I1:J1"/>
    <mergeCell ref="L1:M1"/>
    <mergeCell ref="D2:G2"/>
    <mergeCell ref="I2:J2"/>
    <mergeCell ref="L2:M2"/>
    <mergeCell ref="A13:B14"/>
    <mergeCell ref="A18:B18"/>
    <mergeCell ref="C18:Q18"/>
    <mergeCell ref="C20:Q20"/>
    <mergeCell ref="C16:Q16"/>
    <mergeCell ref="A32:B32"/>
    <mergeCell ref="C22:Q22"/>
    <mergeCell ref="H4:Q4"/>
    <mergeCell ref="A44:B44"/>
    <mergeCell ref="C44:I44"/>
    <mergeCell ref="A4:G4"/>
    <mergeCell ref="A5:B5"/>
    <mergeCell ref="C5:P5"/>
    <mergeCell ref="A38:B38"/>
    <mergeCell ref="C38:I38"/>
    <mergeCell ref="A42:B42"/>
    <mergeCell ref="A16:B16"/>
    <mergeCell ref="A28:B28"/>
    <mergeCell ref="C42:I42"/>
    <mergeCell ref="A40:B40"/>
    <mergeCell ref="C40:I40"/>
    <mergeCell ref="A54:B54"/>
    <mergeCell ref="C54:I54"/>
    <mergeCell ref="A46:B46"/>
    <mergeCell ref="C46:I46"/>
    <mergeCell ref="A48:B48"/>
    <mergeCell ref="C48:I48"/>
    <mergeCell ref="A50:B50"/>
    <mergeCell ref="C50:I50"/>
    <mergeCell ref="A52:B52"/>
    <mergeCell ref="C52:I52"/>
    <mergeCell ref="C36:Q36"/>
    <mergeCell ref="A7:B7"/>
    <mergeCell ref="C7:Q7"/>
    <mergeCell ref="A26:B26"/>
    <mergeCell ref="A34:B34"/>
    <mergeCell ref="A36:B36"/>
    <mergeCell ref="A30:B30"/>
    <mergeCell ref="C11:Q11"/>
    <mergeCell ref="A9:B11"/>
    <mergeCell ref="A17:Q17"/>
    <mergeCell ref="C9:J9"/>
    <mergeCell ref="K9:Q9"/>
    <mergeCell ref="C10:Q10"/>
    <mergeCell ref="A20:B20"/>
    <mergeCell ref="A12:Q12"/>
    <mergeCell ref="A21:Q21"/>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600-000000000000}">
      <formula1>AvancementTheme</formula1>
    </dataValidation>
  </dataValidations>
  <pageMargins left="0.70866141732283472" right="0.70866141732283472" top="0.74803149606299213" bottom="0.74803149606299213" header="0.31496062992125984" footer="0.31496062992125984"/>
  <pageSetup paperSize="9" scale="39" orientation="portrait" r:id="rId1"/>
  <headerFooter>
    <oddHeader>&amp;LPAD Methodology (c) 2013-2014&amp;RStrategic Management Workshop</oddHeader>
    <oddFooter>&amp;L&amp;F&amp;C&amp;A&amp;RSituation au : &amp;D - page : &amp;P/&amp;N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euil83">
    <tabColor theme="9" tint="-0.249977111117893"/>
    <pageSetUpPr fitToPage="1"/>
  </sheetPr>
  <dimension ref="A1:AB45"/>
  <sheetViews>
    <sheetView showGridLines="0" showRowColHeaders="0" zoomScaleNormal="100" workbookViewId="0">
      <pane xSplit="3" ySplit="9" topLeftCell="D10" activePane="bottomRight" state="frozen"/>
      <selection activeCell="H7" sqref="H7"/>
      <selection pane="topRight" activeCell="H7" sqref="H7"/>
      <selection pane="bottomLeft" activeCell="H7" sqref="H7"/>
      <selection pane="bottomRight" activeCell="H7" sqref="H7:I7"/>
    </sheetView>
  </sheetViews>
  <sheetFormatPr baseColWidth="10" defaultColWidth="11.453125" defaultRowHeight="14.5" x14ac:dyDescent="0.35"/>
  <cols>
    <col min="1" max="1" width="11.453125" style="60" customWidth="1"/>
    <col min="2" max="2" width="11.26953125" style="60" customWidth="1"/>
    <col min="3" max="3" width="8.54296875" style="60" customWidth="1"/>
    <col min="4" max="27" width="6.7265625" style="60" customWidth="1"/>
    <col min="28" max="16384" width="11.453125" style="60"/>
  </cols>
  <sheetData>
    <row r="1" spans="1:28"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t="s">
        <v>2</v>
      </c>
      <c r="Y1" s="479" t="s">
        <v>3</v>
      </c>
      <c r="Z1" s="389"/>
      <c r="AA1" s="458"/>
      <c r="AB1" s="458"/>
    </row>
    <row r="2" spans="1:28" s="58" customFormat="1" ht="18" customHeight="1" x14ac:dyDescent="0.35">
      <c r="A2" s="393"/>
      <c r="B2" s="393"/>
      <c r="C2" s="393"/>
      <c r="D2" s="393"/>
      <c r="E2" s="3822" t="str">
        <f>NomClient</f>
        <v xml:space="preserve">EQUINIX </v>
      </c>
      <c r="F2" s="3823"/>
      <c r="G2" s="3823"/>
      <c r="H2" s="3823"/>
      <c r="I2" s="3823"/>
      <c r="J2" s="3824"/>
      <c r="K2" s="393"/>
      <c r="L2" s="3345" t="s">
        <v>409</v>
      </c>
      <c r="M2" s="3826"/>
      <c r="N2" s="3826"/>
      <c r="O2" s="3346"/>
      <c r="P2" s="2311"/>
      <c r="Q2" s="393"/>
      <c r="R2" s="3347">
        <v>42420.674131944441</v>
      </c>
      <c r="S2" s="3825"/>
      <c r="T2" s="3825"/>
      <c r="U2" s="3348"/>
      <c r="V2" s="699"/>
      <c r="W2" s="699"/>
      <c r="X2" s="451">
        <f>IF(LEN(DPDV_04GI3)&gt;0,LEN(DPDV_04GI3),0-PDV_NBmini)</f>
        <v>37</v>
      </c>
      <c r="Y2" s="451">
        <f>IF(LEN(DKPI_04GI3)&gt;0,LEN(DKPI_04GI3),0-KPI_NBmini)</f>
        <v>37</v>
      </c>
      <c r="Z2" s="699"/>
      <c r="AA2" s="459"/>
      <c r="AB2" s="459"/>
    </row>
    <row r="3" spans="1:28" ht="9.75" customHeight="1" thickBot="1" x14ac:dyDescent="0.4">
      <c r="A3" s="396"/>
      <c r="B3" s="396"/>
      <c r="C3" s="396"/>
      <c r="D3" s="2309"/>
      <c r="E3" s="6441" t="s">
        <v>1792</v>
      </c>
      <c r="F3" s="6441"/>
      <c r="G3" s="6441"/>
      <c r="H3" s="6441"/>
      <c r="I3" s="6441"/>
      <c r="J3" s="6441"/>
      <c r="K3" s="396"/>
      <c r="L3" s="396"/>
      <c r="M3" s="396"/>
      <c r="N3" s="396"/>
      <c r="O3" s="396"/>
      <c r="P3" s="396"/>
      <c r="Q3" s="831"/>
      <c r="R3" s="831"/>
      <c r="S3" s="831"/>
      <c r="T3" s="831"/>
      <c r="U3" s="831"/>
      <c r="V3" s="831"/>
      <c r="W3" s="2310"/>
      <c r="X3" s="2310"/>
      <c r="Y3" s="2310"/>
      <c r="Z3" s="2310"/>
    </row>
    <row r="4" spans="1:28" s="1" customFormat="1" ht="24.75" customHeight="1" thickBot="1" x14ac:dyDescent="0.4">
      <c r="A4" s="5552" t="str">
        <f>Parametre!B26 &amp; "   : "</f>
        <v xml:space="preserve">Marchés cibles   : </v>
      </c>
      <c r="B4" s="5552"/>
      <c r="C4" s="5552"/>
      <c r="D4" s="5552"/>
      <c r="E4" s="5552"/>
      <c r="F4" s="5552"/>
      <c r="G4" s="5552"/>
      <c r="H4" s="5552"/>
      <c r="I4" s="5552"/>
      <c r="J4" s="5552"/>
      <c r="K4" s="5553" t="str">
        <f>"Répartition à l'International pour " &amp; NomProd3</f>
        <v xml:space="preserve">Répartition à l'International pour </v>
      </c>
      <c r="L4" s="5553"/>
      <c r="M4" s="5553"/>
      <c r="N4" s="5553"/>
      <c r="O4" s="5553"/>
      <c r="P4" s="5553"/>
      <c r="Q4" s="5553"/>
      <c r="R4" s="5553"/>
      <c r="S4" s="5553"/>
      <c r="T4" s="5553"/>
      <c r="U4" s="5553"/>
      <c r="V4" s="5553"/>
      <c r="W4" s="5553"/>
      <c r="X4" s="5553"/>
      <c r="Y4" s="5553"/>
      <c r="Z4" s="5554"/>
      <c r="AA4" s="444"/>
      <c r="AB4" s="444"/>
    </row>
    <row r="5" spans="1:28" s="65" customFormat="1" ht="37.5" customHeight="1" thickBot="1" x14ac:dyDescent="0.4">
      <c r="A5" s="3438" t="s">
        <v>14</v>
      </c>
      <c r="B5" s="3438"/>
      <c r="C5" s="3508" t="s">
        <v>593</v>
      </c>
      <c r="D5" s="3508"/>
      <c r="E5" s="3508"/>
      <c r="F5" s="3508"/>
      <c r="G5" s="3508"/>
      <c r="H5" s="3508"/>
      <c r="I5" s="3508"/>
      <c r="J5" s="3508"/>
      <c r="K5" s="3508"/>
      <c r="L5" s="3508"/>
      <c r="M5" s="3508"/>
      <c r="N5" s="3508"/>
      <c r="O5" s="3508"/>
      <c r="P5" s="3508"/>
      <c r="Q5" s="3508"/>
      <c r="R5" s="3508"/>
      <c r="S5" s="3508"/>
      <c r="T5" s="3508"/>
      <c r="U5" s="3508"/>
      <c r="V5" s="3508"/>
      <c r="W5" s="3508"/>
      <c r="X5" s="3508"/>
      <c r="Y5" s="3508"/>
      <c r="Z5" s="3508"/>
      <c r="AA5" s="398"/>
      <c r="AB5" s="398"/>
    </row>
    <row r="6" spans="1:28" ht="17.25" customHeight="1" x14ac:dyDescent="0.35">
      <c r="A6" s="3836"/>
      <c r="B6" s="3837" t="s">
        <v>359</v>
      </c>
      <c r="C6" s="3832"/>
      <c r="D6" s="3831" t="s">
        <v>350</v>
      </c>
      <c r="E6" s="3831"/>
      <c r="F6" s="3831" t="s">
        <v>351</v>
      </c>
      <c r="G6" s="3831"/>
      <c r="H6" s="3831" t="s">
        <v>352</v>
      </c>
      <c r="I6" s="3831"/>
      <c r="J6" s="3831" t="s">
        <v>353</v>
      </c>
      <c r="K6" s="3831"/>
      <c r="L6" s="3831" t="s">
        <v>354</v>
      </c>
      <c r="M6" s="3845"/>
      <c r="N6" s="3829"/>
      <c r="O6" s="3830"/>
      <c r="P6" s="3837" t="s">
        <v>594</v>
      </c>
      <c r="Q6" s="3832"/>
      <c r="R6" s="3832"/>
      <c r="S6" s="3831" t="s">
        <v>355</v>
      </c>
      <c r="T6" s="3831"/>
      <c r="U6" s="3831" t="s">
        <v>356</v>
      </c>
      <c r="V6" s="3831"/>
      <c r="W6" s="3831" t="s">
        <v>357</v>
      </c>
      <c r="X6" s="3831"/>
      <c r="Y6" s="3831" t="s">
        <v>358</v>
      </c>
      <c r="Z6" s="3845"/>
      <c r="AA6" s="3828"/>
      <c r="AB6" s="64"/>
    </row>
    <row r="7" spans="1:28" ht="18" customHeight="1" thickBot="1" x14ac:dyDescent="0.4">
      <c r="A7" s="3836"/>
      <c r="B7" s="3838"/>
      <c r="C7" s="3839"/>
      <c r="D7" s="3834">
        <v>1</v>
      </c>
      <c r="E7" s="3834"/>
      <c r="F7" s="3834">
        <v>2</v>
      </c>
      <c r="G7" s="3834"/>
      <c r="H7" s="3834">
        <v>3</v>
      </c>
      <c r="I7" s="3834"/>
      <c r="J7" s="3834">
        <v>4</v>
      </c>
      <c r="K7" s="3834"/>
      <c r="L7" s="3834">
        <v>5</v>
      </c>
      <c r="M7" s="3844"/>
      <c r="N7" s="3829"/>
      <c r="O7" s="3830"/>
      <c r="P7" s="3838"/>
      <c r="Q7" s="3839"/>
      <c r="R7" s="3839"/>
      <c r="S7" s="3846"/>
      <c r="T7" s="3846"/>
      <c r="U7" s="3847"/>
      <c r="V7" s="3847"/>
      <c r="W7" s="3848"/>
      <c r="X7" s="3848"/>
      <c r="Y7" s="3849"/>
      <c r="Z7" s="3850"/>
      <c r="AA7" s="3828"/>
      <c r="AB7" s="64"/>
    </row>
    <row r="8" spans="1:28" ht="5.25" customHeight="1" thickBot="1" x14ac:dyDescent="0.4">
      <c r="A8" s="3697"/>
      <c r="B8" s="3697"/>
      <c r="C8" s="3697"/>
      <c r="D8" s="3697"/>
      <c r="E8" s="3697"/>
      <c r="F8" s="3697"/>
      <c r="G8" s="3697"/>
      <c r="H8" s="3697"/>
      <c r="I8" s="3697"/>
      <c r="J8" s="3697"/>
      <c r="K8" s="3697"/>
      <c r="L8" s="3697"/>
      <c r="M8" s="3697"/>
      <c r="N8" s="3697"/>
      <c r="O8" s="3697"/>
      <c r="P8" s="3697"/>
      <c r="Q8" s="3697"/>
      <c r="R8" s="3697"/>
      <c r="S8" s="3697"/>
      <c r="T8" s="3697"/>
      <c r="U8" s="3697"/>
      <c r="V8" s="3697"/>
      <c r="W8" s="3697"/>
      <c r="X8" s="3697"/>
      <c r="Y8" s="3697"/>
      <c r="Z8" s="3697"/>
      <c r="AA8" s="3697"/>
      <c r="AB8" s="64"/>
    </row>
    <row r="9" spans="1:28" s="192" customFormat="1" ht="90.75" customHeight="1" thickTop="1" thickBot="1" x14ac:dyDescent="0.4">
      <c r="A9" s="3800" t="str">
        <f>NomProd1 &amp;
" Repartition Export"</f>
        <v>EQUINIX Repartition Export</v>
      </c>
      <c r="B9" s="3801"/>
      <c r="C9" s="820" t="s">
        <v>222</v>
      </c>
      <c r="D9" s="821" t="s">
        <v>382</v>
      </c>
      <c r="E9" s="822" t="s">
        <v>383</v>
      </c>
      <c r="F9" s="822" t="s">
        <v>384</v>
      </c>
      <c r="G9" s="822" t="s">
        <v>385</v>
      </c>
      <c r="H9" s="822" t="s">
        <v>386</v>
      </c>
      <c r="I9" s="822" t="s">
        <v>387</v>
      </c>
      <c r="J9" s="822" t="s">
        <v>388</v>
      </c>
      <c r="K9" s="822" t="s">
        <v>389</v>
      </c>
      <c r="L9" s="823" t="s">
        <v>390</v>
      </c>
      <c r="M9" s="823" t="s">
        <v>391</v>
      </c>
      <c r="N9" s="823" t="s">
        <v>392</v>
      </c>
      <c r="O9" s="823" t="s">
        <v>393</v>
      </c>
      <c r="P9" s="823" t="s">
        <v>394</v>
      </c>
      <c r="Q9" s="823" t="s">
        <v>395</v>
      </c>
      <c r="R9" s="823" t="s">
        <v>396</v>
      </c>
      <c r="S9" s="823" t="s">
        <v>397</v>
      </c>
      <c r="T9" s="823" t="s">
        <v>398</v>
      </c>
      <c r="U9" s="823" t="s">
        <v>399</v>
      </c>
      <c r="V9" s="823" t="s">
        <v>400</v>
      </c>
      <c r="W9" s="823" t="s">
        <v>401</v>
      </c>
      <c r="X9" s="823" t="s">
        <v>402</v>
      </c>
      <c r="Y9" s="823" t="s">
        <v>403</v>
      </c>
      <c r="Z9" s="823" t="s">
        <v>404</v>
      </c>
      <c r="AA9" s="824" t="s">
        <v>405</v>
      </c>
      <c r="AB9" s="701"/>
    </row>
    <row r="10" spans="1:28" ht="17.25" customHeight="1" thickBot="1" x14ac:dyDescent="0.4">
      <c r="A10" s="4608" t="str">
        <f>"% CA client en " &amp; AnReference</f>
        <v>% CA client en 2018</v>
      </c>
      <c r="B10" s="4609"/>
      <c r="C10" s="825">
        <f>SUM(D10:AA10)</f>
        <v>0</v>
      </c>
      <c r="D10" s="316"/>
      <c r="E10" s="317"/>
      <c r="F10" s="317"/>
      <c r="G10" s="317"/>
      <c r="H10" s="317"/>
      <c r="I10" s="317"/>
      <c r="J10" s="317"/>
      <c r="K10" s="317"/>
      <c r="L10" s="317"/>
      <c r="M10" s="317"/>
      <c r="N10" s="317"/>
      <c r="O10" s="317"/>
      <c r="P10" s="317"/>
      <c r="Q10" s="317"/>
      <c r="R10" s="317"/>
      <c r="S10" s="317"/>
      <c r="T10" s="317"/>
      <c r="U10" s="317"/>
      <c r="V10" s="317"/>
      <c r="W10" s="317"/>
      <c r="X10" s="317"/>
      <c r="Y10" s="317"/>
      <c r="Z10" s="317"/>
      <c r="AA10" s="318"/>
      <c r="AB10" s="64"/>
    </row>
    <row r="11" spans="1:28" ht="31.5" customHeight="1" x14ac:dyDescent="0.35">
      <c r="A11" s="4602" t="s">
        <v>348</v>
      </c>
      <c r="B11" s="4603"/>
      <c r="C11" s="4604"/>
      <c r="D11" s="314"/>
      <c r="E11" s="114"/>
      <c r="F11" s="114"/>
      <c r="G11" s="114"/>
      <c r="H11" s="114"/>
      <c r="I11" s="114"/>
      <c r="J11" s="114"/>
      <c r="K11" s="114"/>
      <c r="L11" s="114"/>
      <c r="M11" s="114"/>
      <c r="N11" s="114"/>
      <c r="O11" s="114"/>
      <c r="P11" s="114"/>
      <c r="Q11" s="114"/>
      <c r="R11" s="114"/>
      <c r="S11" s="114"/>
      <c r="T11" s="114"/>
      <c r="U11" s="114"/>
      <c r="V11" s="114"/>
      <c r="W11" s="114"/>
      <c r="X11" s="114"/>
      <c r="Y11" s="114"/>
      <c r="Z11" s="114"/>
      <c r="AA11" s="196"/>
      <c r="AB11" s="64"/>
    </row>
    <row r="12" spans="1:28" ht="22.5" customHeight="1" thickBot="1" x14ac:dyDescent="0.4">
      <c r="A12" s="3794" t="s">
        <v>149</v>
      </c>
      <c r="B12" s="3795"/>
      <c r="C12" s="4585"/>
      <c r="D12" s="258"/>
      <c r="E12" s="259"/>
      <c r="F12" s="259"/>
      <c r="G12" s="259"/>
      <c r="H12" s="259"/>
      <c r="I12" s="259"/>
      <c r="J12" s="259"/>
      <c r="K12" s="259"/>
      <c r="L12" s="259"/>
      <c r="M12" s="259"/>
      <c r="N12" s="259"/>
      <c r="O12" s="259"/>
      <c r="P12" s="259"/>
      <c r="Q12" s="259"/>
      <c r="R12" s="259"/>
      <c r="S12" s="259"/>
      <c r="T12" s="259"/>
      <c r="U12" s="259"/>
      <c r="V12" s="259"/>
      <c r="W12" s="259"/>
      <c r="X12" s="259"/>
      <c r="Y12" s="259"/>
      <c r="Z12" s="259"/>
      <c r="AA12" s="260"/>
      <c r="AB12" s="64"/>
    </row>
    <row r="13" spans="1:28" ht="7.5" customHeight="1" thickBot="1" x14ac:dyDescent="0.4">
      <c r="A13" s="826"/>
      <c r="B13" s="826"/>
      <c r="C13" s="827"/>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64"/>
    </row>
    <row r="14" spans="1:28" ht="22.5" customHeight="1" x14ac:dyDescent="0.35">
      <c r="A14" s="3816" t="s">
        <v>884</v>
      </c>
      <c r="B14" s="3817"/>
      <c r="C14" s="783">
        <f>SUM(D14:AA14)</f>
        <v>0</v>
      </c>
      <c r="D14" s="233"/>
      <c r="E14" s="234"/>
      <c r="F14" s="234"/>
      <c r="G14" s="234"/>
      <c r="H14" s="234"/>
      <c r="I14" s="234"/>
      <c r="J14" s="234"/>
      <c r="K14" s="234"/>
      <c r="L14" s="234"/>
      <c r="M14" s="234"/>
      <c r="N14" s="234"/>
      <c r="O14" s="234"/>
      <c r="P14" s="234"/>
      <c r="Q14" s="234"/>
      <c r="R14" s="234"/>
      <c r="S14" s="234"/>
      <c r="T14" s="234"/>
      <c r="U14" s="234"/>
      <c r="V14" s="234"/>
      <c r="W14" s="234"/>
      <c r="X14" s="234"/>
      <c r="Y14" s="234"/>
      <c r="Z14" s="234"/>
      <c r="AA14" s="235"/>
      <c r="AB14" s="64"/>
    </row>
    <row r="15" spans="1:28" ht="22.5" customHeight="1" x14ac:dyDescent="0.35">
      <c r="A15" s="4558" t="s">
        <v>360</v>
      </c>
      <c r="B15" s="4559"/>
      <c r="C15" s="784">
        <f>SUM(D15:AA15)</f>
        <v>0</v>
      </c>
      <c r="D15" s="236"/>
      <c r="E15" s="237"/>
      <c r="F15" s="237"/>
      <c r="G15" s="237"/>
      <c r="H15" s="237"/>
      <c r="I15" s="237"/>
      <c r="J15" s="237"/>
      <c r="K15" s="237"/>
      <c r="L15" s="237"/>
      <c r="M15" s="237"/>
      <c r="N15" s="237"/>
      <c r="O15" s="237"/>
      <c r="P15" s="237"/>
      <c r="Q15" s="237"/>
      <c r="R15" s="237"/>
      <c r="S15" s="237"/>
      <c r="T15" s="237"/>
      <c r="U15" s="237"/>
      <c r="V15" s="237"/>
      <c r="W15" s="237"/>
      <c r="X15" s="237"/>
      <c r="Y15" s="237"/>
      <c r="Z15" s="237"/>
      <c r="AA15" s="238"/>
      <c r="AB15" s="64"/>
    </row>
    <row r="16" spans="1:28" ht="22.5" customHeight="1" thickBot="1" x14ac:dyDescent="0.4">
      <c r="A16" s="4560" t="s">
        <v>913</v>
      </c>
      <c r="B16" s="4561"/>
      <c r="C16" s="812">
        <f>SUM(D16:AA16)</f>
        <v>0</v>
      </c>
      <c r="D16" s="352"/>
      <c r="E16" s="351"/>
      <c r="F16" s="351"/>
      <c r="G16" s="351"/>
      <c r="H16" s="351"/>
      <c r="I16" s="351"/>
      <c r="J16" s="351"/>
      <c r="K16" s="351"/>
      <c r="L16" s="351"/>
      <c r="M16" s="351"/>
      <c r="N16" s="351"/>
      <c r="O16" s="351"/>
      <c r="P16" s="351"/>
      <c r="Q16" s="351"/>
      <c r="R16" s="351"/>
      <c r="S16" s="351"/>
      <c r="T16" s="351"/>
      <c r="U16" s="351"/>
      <c r="V16" s="351"/>
      <c r="W16" s="351"/>
      <c r="X16" s="351"/>
      <c r="Y16" s="351"/>
      <c r="Z16" s="351"/>
      <c r="AA16" s="356"/>
      <c r="AB16" s="64"/>
    </row>
    <row r="17" spans="1:28" ht="23.25" customHeight="1" thickTop="1" thickBot="1" x14ac:dyDescent="0.4">
      <c r="A17" s="4606" t="s">
        <v>361</v>
      </c>
      <c r="B17" s="4607"/>
      <c r="C17" s="828">
        <f>SUM(D17:AA17)</f>
        <v>0</v>
      </c>
      <c r="D17" s="357">
        <f t="shared" ref="D17:AA17" si="0">D14-(D15+D16)</f>
        <v>0</v>
      </c>
      <c r="E17" s="357">
        <f t="shared" si="0"/>
        <v>0</v>
      </c>
      <c r="F17" s="357">
        <f t="shared" si="0"/>
        <v>0</v>
      </c>
      <c r="G17" s="357">
        <f t="shared" si="0"/>
        <v>0</v>
      </c>
      <c r="H17" s="357">
        <f t="shared" si="0"/>
        <v>0</v>
      </c>
      <c r="I17" s="357">
        <f t="shared" si="0"/>
        <v>0</v>
      </c>
      <c r="J17" s="357">
        <f t="shared" si="0"/>
        <v>0</v>
      </c>
      <c r="K17" s="357">
        <f t="shared" si="0"/>
        <v>0</v>
      </c>
      <c r="L17" s="357">
        <f t="shared" si="0"/>
        <v>0</v>
      </c>
      <c r="M17" s="357">
        <f t="shared" si="0"/>
        <v>0</v>
      </c>
      <c r="N17" s="357">
        <f t="shared" si="0"/>
        <v>0</v>
      </c>
      <c r="O17" s="357">
        <f t="shared" si="0"/>
        <v>0</v>
      </c>
      <c r="P17" s="357">
        <f t="shared" si="0"/>
        <v>0</v>
      </c>
      <c r="Q17" s="357">
        <f t="shared" si="0"/>
        <v>0</v>
      </c>
      <c r="R17" s="357">
        <f t="shared" si="0"/>
        <v>0</v>
      </c>
      <c r="S17" s="357">
        <f t="shared" si="0"/>
        <v>0</v>
      </c>
      <c r="T17" s="357">
        <f t="shared" si="0"/>
        <v>0</v>
      </c>
      <c r="U17" s="357">
        <f t="shared" si="0"/>
        <v>0</v>
      </c>
      <c r="V17" s="357">
        <f t="shared" si="0"/>
        <v>0</v>
      </c>
      <c r="W17" s="357">
        <f t="shared" si="0"/>
        <v>0</v>
      </c>
      <c r="X17" s="357">
        <f t="shared" si="0"/>
        <v>0</v>
      </c>
      <c r="Y17" s="357">
        <f t="shared" si="0"/>
        <v>0</v>
      </c>
      <c r="Z17" s="357">
        <f t="shared" si="0"/>
        <v>0</v>
      </c>
      <c r="AA17" s="358">
        <f t="shared" si="0"/>
        <v>0</v>
      </c>
      <c r="AB17" s="64"/>
    </row>
    <row r="18" spans="1:28" ht="15" thickTop="1" x14ac:dyDescent="0.35">
      <c r="A18" s="470"/>
      <c r="B18" s="470"/>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63"/>
      <c r="AA18" s="64"/>
      <c r="AB18" s="64"/>
    </row>
    <row r="19" spans="1:28" ht="15" thickBot="1" x14ac:dyDescent="0.4">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row>
    <row r="20" spans="1:28" ht="20.25" customHeight="1" thickTop="1" thickBot="1" x14ac:dyDescent="0.4">
      <c r="A20" s="4573" t="s">
        <v>10</v>
      </c>
      <c r="B20" s="4574"/>
      <c r="C20" s="4574"/>
      <c r="D20" s="4574"/>
      <c r="E20" s="4574"/>
      <c r="F20" s="4574"/>
      <c r="G20" s="4574"/>
      <c r="H20" s="4574"/>
      <c r="I20" s="4574"/>
      <c r="J20" s="4574"/>
      <c r="K20" s="4574"/>
      <c r="L20" s="4574"/>
      <c r="M20" s="4574"/>
      <c r="N20" s="4574"/>
      <c r="O20" s="4574"/>
      <c r="P20" s="4574"/>
      <c r="Q20" s="4574"/>
      <c r="R20" s="113"/>
      <c r="S20" s="3725" t="s">
        <v>748</v>
      </c>
      <c r="T20" s="3726"/>
      <c r="U20" s="3727"/>
      <c r="V20" s="31"/>
      <c r="W20" s="31"/>
      <c r="X20" s="31"/>
      <c r="Y20" s="31"/>
      <c r="Z20" s="64"/>
      <c r="AA20" s="64"/>
      <c r="AB20" s="64"/>
    </row>
    <row r="21" spans="1:28" ht="20.25" customHeight="1" x14ac:dyDescent="0.35">
      <c r="A21" s="4575" t="s">
        <v>1085</v>
      </c>
      <c r="B21" s="4576"/>
      <c r="C21" s="4576"/>
      <c r="D21" s="4576"/>
      <c r="E21" s="4576"/>
      <c r="F21" s="4576"/>
      <c r="G21" s="4576"/>
      <c r="H21" s="4576"/>
      <c r="I21" s="4576"/>
      <c r="J21" s="4576"/>
      <c r="K21" s="4576"/>
      <c r="L21" s="4576"/>
      <c r="M21" s="4576"/>
      <c r="N21" s="4576"/>
      <c r="O21" s="4576"/>
      <c r="P21" s="4576"/>
      <c r="Q21" s="4576"/>
      <c r="R21" s="36"/>
      <c r="S21" s="3750" t="s">
        <v>798</v>
      </c>
      <c r="T21" s="3751"/>
      <c r="U21" s="3752"/>
      <c r="V21" s="33"/>
      <c r="W21" s="33"/>
      <c r="X21" s="33"/>
      <c r="Y21" s="33"/>
      <c r="Z21" s="64"/>
      <c r="AA21" s="64"/>
      <c r="AB21" s="64"/>
    </row>
    <row r="22" spans="1:28" ht="20.25" customHeight="1" x14ac:dyDescent="0.35">
      <c r="A22" s="4577"/>
      <c r="B22" s="4578"/>
      <c r="C22" s="4578"/>
      <c r="D22" s="4578"/>
      <c r="E22" s="4578"/>
      <c r="F22" s="4578"/>
      <c r="G22" s="4578"/>
      <c r="H22" s="4578"/>
      <c r="I22" s="4578"/>
      <c r="J22" s="4578"/>
      <c r="K22" s="4578"/>
      <c r="L22" s="4578"/>
      <c r="M22" s="4578"/>
      <c r="N22" s="4578"/>
      <c r="O22" s="4578"/>
      <c r="P22" s="4578"/>
      <c r="Q22" s="4578"/>
      <c r="R22" s="36"/>
      <c r="S22" s="3753"/>
      <c r="T22" s="3754"/>
      <c r="U22" s="3755"/>
      <c r="V22" s="33"/>
      <c r="W22" s="33"/>
      <c r="X22" s="33"/>
      <c r="Y22" s="33"/>
      <c r="Z22" s="64"/>
      <c r="AA22" s="64"/>
      <c r="AB22" s="64"/>
    </row>
    <row r="23" spans="1:28" ht="20.25" customHeight="1" x14ac:dyDescent="0.35">
      <c r="A23" s="4577"/>
      <c r="B23" s="4578"/>
      <c r="C23" s="4578"/>
      <c r="D23" s="4578"/>
      <c r="E23" s="4578"/>
      <c r="F23" s="4578"/>
      <c r="G23" s="4578"/>
      <c r="H23" s="4578"/>
      <c r="I23" s="4578"/>
      <c r="J23" s="4578"/>
      <c r="K23" s="4578"/>
      <c r="L23" s="4578"/>
      <c r="M23" s="4578"/>
      <c r="N23" s="4578"/>
      <c r="O23" s="4578"/>
      <c r="P23" s="4578"/>
      <c r="Q23" s="4578"/>
      <c r="R23" s="36"/>
      <c r="S23" s="3753"/>
      <c r="T23" s="3754"/>
      <c r="U23" s="3755"/>
      <c r="V23" s="33"/>
      <c r="W23" s="33"/>
      <c r="X23" s="33"/>
      <c r="Y23" s="33"/>
      <c r="Z23" s="64"/>
      <c r="AA23" s="64"/>
      <c r="AB23" s="64"/>
    </row>
    <row r="24" spans="1:28" ht="15" thickBot="1" x14ac:dyDescent="0.4">
      <c r="A24" s="4579"/>
      <c r="B24" s="4580"/>
      <c r="C24" s="4580"/>
      <c r="D24" s="4580"/>
      <c r="E24" s="4580"/>
      <c r="F24" s="4580"/>
      <c r="G24" s="4580"/>
      <c r="H24" s="4580"/>
      <c r="I24" s="4580"/>
      <c r="J24" s="4580"/>
      <c r="K24" s="4580"/>
      <c r="L24" s="4580"/>
      <c r="M24" s="4580"/>
      <c r="N24" s="4580"/>
      <c r="O24" s="4580"/>
      <c r="P24" s="4580"/>
      <c r="Q24" s="4580"/>
      <c r="R24" s="36"/>
      <c r="S24" s="3756"/>
      <c r="T24" s="3757"/>
      <c r="U24" s="3758"/>
      <c r="V24" s="33"/>
      <c r="W24" s="33"/>
      <c r="X24" s="33"/>
      <c r="Y24" s="33"/>
      <c r="Z24" s="64"/>
      <c r="AA24" s="64"/>
      <c r="AB24" s="64"/>
    </row>
    <row r="25" spans="1:28" ht="15.5" thickTop="1" thickBot="1" x14ac:dyDescent="0.4">
      <c r="A25" s="64"/>
      <c r="B25" s="64"/>
      <c r="C25" s="64"/>
      <c r="D25" s="64"/>
      <c r="E25" s="64"/>
      <c r="F25" s="64"/>
      <c r="G25" s="64"/>
      <c r="H25" s="64"/>
      <c r="I25" s="64"/>
      <c r="J25" s="64"/>
      <c r="K25" s="64"/>
      <c r="L25" s="64"/>
      <c r="M25" s="64"/>
      <c r="N25" s="64"/>
      <c r="O25" s="64"/>
      <c r="P25" s="64"/>
      <c r="Q25" s="64"/>
      <c r="R25" s="64"/>
      <c r="S25" s="31"/>
      <c r="T25" s="31"/>
      <c r="U25" s="31"/>
      <c r="V25" s="64"/>
      <c r="W25" s="64"/>
      <c r="X25" s="64"/>
      <c r="Y25" s="64"/>
      <c r="Z25" s="64"/>
      <c r="AA25" s="64"/>
      <c r="AB25" s="64"/>
    </row>
    <row r="26" spans="1:28" ht="20.25" customHeight="1" thickTop="1" thickBot="1" x14ac:dyDescent="0.4">
      <c r="A26" s="4573" t="s">
        <v>11</v>
      </c>
      <c r="B26" s="4605"/>
      <c r="C26" s="4605"/>
      <c r="D26" s="4605"/>
      <c r="E26" s="4605"/>
      <c r="F26" s="4605"/>
      <c r="G26" s="4605"/>
      <c r="H26" s="4605"/>
      <c r="I26" s="4605"/>
      <c r="J26" s="4605"/>
      <c r="K26" s="4605"/>
      <c r="L26" s="4605"/>
      <c r="M26" s="4605"/>
      <c r="N26" s="4605"/>
      <c r="O26" s="4605"/>
      <c r="P26" s="4605"/>
      <c r="Q26" s="4605"/>
      <c r="R26" s="113"/>
      <c r="S26" s="3725" t="s">
        <v>748</v>
      </c>
      <c r="T26" s="3726"/>
      <c r="U26" s="3727"/>
      <c r="V26" s="31"/>
      <c r="W26" s="31"/>
      <c r="X26" s="31"/>
      <c r="Y26" s="31"/>
      <c r="Z26" s="64"/>
      <c r="AA26" s="64"/>
      <c r="AB26" s="64"/>
    </row>
    <row r="27" spans="1:28" ht="20.25" customHeight="1" x14ac:dyDescent="0.35">
      <c r="A27" s="4575" t="s">
        <v>1085</v>
      </c>
      <c r="B27" s="4581"/>
      <c r="C27" s="4581"/>
      <c r="D27" s="4581"/>
      <c r="E27" s="4581"/>
      <c r="F27" s="4581"/>
      <c r="G27" s="4581"/>
      <c r="H27" s="4581"/>
      <c r="I27" s="4581"/>
      <c r="J27" s="4581"/>
      <c r="K27" s="4581"/>
      <c r="L27" s="4581"/>
      <c r="M27" s="4581"/>
      <c r="N27" s="4581"/>
      <c r="O27" s="4581"/>
      <c r="P27" s="4581"/>
      <c r="Q27" s="4581"/>
      <c r="R27" s="36"/>
      <c r="S27" s="4593" t="s">
        <v>799</v>
      </c>
      <c r="T27" s="4594"/>
      <c r="U27" s="4595"/>
      <c r="V27" s="33"/>
      <c r="W27" s="33"/>
      <c r="X27" s="33"/>
      <c r="Y27" s="33"/>
      <c r="Z27" s="64"/>
      <c r="AA27" s="64"/>
      <c r="AB27" s="64"/>
    </row>
    <row r="28" spans="1:28" ht="20.25" customHeight="1" x14ac:dyDescent="0.35">
      <c r="A28" s="4582"/>
      <c r="B28" s="3882"/>
      <c r="C28" s="3882"/>
      <c r="D28" s="3882"/>
      <c r="E28" s="3882"/>
      <c r="F28" s="3882"/>
      <c r="G28" s="3882"/>
      <c r="H28" s="3882"/>
      <c r="I28" s="3882"/>
      <c r="J28" s="3882"/>
      <c r="K28" s="3882"/>
      <c r="L28" s="3882"/>
      <c r="M28" s="3882"/>
      <c r="N28" s="3882"/>
      <c r="O28" s="3882"/>
      <c r="P28" s="3882"/>
      <c r="Q28" s="3882"/>
      <c r="R28" s="36"/>
      <c r="S28" s="4596"/>
      <c r="T28" s="4597"/>
      <c r="U28" s="4598"/>
      <c r="V28" s="33"/>
      <c r="W28" s="33"/>
      <c r="X28" s="33"/>
      <c r="Y28" s="33"/>
      <c r="Z28" s="64"/>
      <c r="AA28" s="64"/>
      <c r="AB28" s="64"/>
    </row>
    <row r="29" spans="1:28" ht="20.25" customHeight="1" x14ac:dyDescent="0.35">
      <c r="A29" s="4582"/>
      <c r="B29" s="3882"/>
      <c r="C29" s="3882"/>
      <c r="D29" s="3882"/>
      <c r="E29" s="3882"/>
      <c r="F29" s="3882"/>
      <c r="G29" s="3882"/>
      <c r="H29" s="3882"/>
      <c r="I29" s="3882"/>
      <c r="J29" s="3882"/>
      <c r="K29" s="3882"/>
      <c r="L29" s="3882"/>
      <c r="M29" s="3882"/>
      <c r="N29" s="3882"/>
      <c r="O29" s="3882"/>
      <c r="P29" s="3882"/>
      <c r="Q29" s="3882"/>
      <c r="R29" s="36"/>
      <c r="S29" s="4596"/>
      <c r="T29" s="4597"/>
      <c r="U29" s="4598"/>
      <c r="V29" s="33"/>
      <c r="W29" s="33"/>
      <c r="X29" s="33"/>
      <c r="Y29" s="33"/>
      <c r="Z29" s="64"/>
      <c r="AA29" s="64"/>
      <c r="AB29" s="64"/>
    </row>
    <row r="30" spans="1:28" ht="15" thickBot="1" x14ac:dyDescent="0.4">
      <c r="A30" s="4583"/>
      <c r="B30" s="4584"/>
      <c r="C30" s="4584"/>
      <c r="D30" s="4584"/>
      <c r="E30" s="4584"/>
      <c r="F30" s="4584"/>
      <c r="G30" s="4584"/>
      <c r="H30" s="4584"/>
      <c r="I30" s="4584"/>
      <c r="J30" s="4584"/>
      <c r="K30" s="4584"/>
      <c r="L30" s="4584"/>
      <c r="M30" s="4584"/>
      <c r="N30" s="4584"/>
      <c r="O30" s="4584"/>
      <c r="P30" s="4584"/>
      <c r="Q30" s="4584"/>
      <c r="R30" s="36"/>
      <c r="S30" s="4599"/>
      <c r="T30" s="4600"/>
      <c r="U30" s="4601"/>
      <c r="V30" s="33"/>
      <c r="W30" s="33"/>
      <c r="X30" s="33"/>
      <c r="Y30" s="33"/>
      <c r="Z30" s="64"/>
      <c r="AA30" s="64"/>
      <c r="AB30" s="64"/>
    </row>
    <row r="31" spans="1:28" ht="15" thickTop="1" x14ac:dyDescent="0.35">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row>
    <row r="32" spans="1:28" ht="15" thickBot="1" x14ac:dyDescent="0.4">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row>
    <row r="33" spans="1:28" ht="19" thickTop="1" x14ac:dyDescent="0.45">
      <c r="A33" s="4565" t="s">
        <v>805</v>
      </c>
      <c r="B33" s="4566"/>
      <c r="C33" s="4566"/>
      <c r="D33" s="4566"/>
      <c r="E33" s="4566"/>
      <c r="F33" s="4566"/>
      <c r="G33" s="4566"/>
      <c r="H33" s="4566"/>
      <c r="I33" s="4566"/>
      <c r="J33" s="4566"/>
      <c r="K33" s="4567"/>
      <c r="L33" s="64"/>
      <c r="M33" s="64"/>
      <c r="N33" s="64"/>
      <c r="O33" s="64"/>
      <c r="P33" s="64"/>
      <c r="Q33" s="64"/>
      <c r="R33" s="64"/>
      <c r="S33" s="64"/>
      <c r="T33" s="64"/>
      <c r="U33" s="64"/>
      <c r="V33" s="64"/>
      <c r="W33" s="64"/>
      <c r="X33" s="64"/>
      <c r="Y33" s="64"/>
      <c r="Z33" s="64"/>
      <c r="AA33" s="64"/>
      <c r="AB33" s="64"/>
    </row>
    <row r="34" spans="1:28" ht="15" customHeight="1" x14ac:dyDescent="0.35">
      <c r="A34" s="4592" t="s">
        <v>800</v>
      </c>
      <c r="B34" s="4562"/>
      <c r="C34" s="4562" t="s">
        <v>801</v>
      </c>
      <c r="D34" s="4562"/>
      <c r="E34" s="4562"/>
      <c r="F34" s="4568" t="s">
        <v>882</v>
      </c>
      <c r="G34" s="4569"/>
      <c r="H34" s="4568" t="s">
        <v>891</v>
      </c>
      <c r="I34" s="4569"/>
      <c r="J34" s="4562" t="s">
        <v>802</v>
      </c>
      <c r="K34" s="4572"/>
      <c r="L34" s="64"/>
      <c r="M34" s="64"/>
      <c r="N34" s="64"/>
      <c r="O34" s="64"/>
      <c r="P34" s="64"/>
      <c r="Q34" s="64"/>
      <c r="R34" s="64"/>
      <c r="S34" s="64"/>
      <c r="T34" s="64"/>
      <c r="U34" s="64"/>
      <c r="V34" s="64"/>
      <c r="W34" s="64"/>
      <c r="X34" s="64"/>
      <c r="Y34" s="64"/>
      <c r="Z34" s="64"/>
      <c r="AA34" s="64"/>
      <c r="AB34" s="64"/>
    </row>
    <row r="35" spans="1:28" x14ac:dyDescent="0.35">
      <c r="A35" s="4592"/>
      <c r="B35" s="4562"/>
      <c r="C35" s="4562"/>
      <c r="D35" s="4562"/>
      <c r="E35" s="4562"/>
      <c r="F35" s="4570"/>
      <c r="G35" s="4571"/>
      <c r="H35" s="4570"/>
      <c r="I35" s="4571"/>
      <c r="J35" s="4562"/>
      <c r="K35" s="4572"/>
      <c r="L35" s="64"/>
      <c r="M35" s="64"/>
      <c r="N35" s="64"/>
      <c r="O35" s="64"/>
      <c r="P35" s="64"/>
      <c r="Q35" s="64"/>
      <c r="R35" s="64"/>
      <c r="S35" s="64"/>
      <c r="T35" s="64"/>
      <c r="U35" s="64"/>
      <c r="V35" s="64"/>
      <c r="W35" s="64"/>
      <c r="X35" s="64"/>
      <c r="Y35" s="64"/>
      <c r="Z35" s="64"/>
      <c r="AA35" s="64"/>
      <c r="AB35" s="64"/>
    </row>
    <row r="36" spans="1:28" x14ac:dyDescent="0.35">
      <c r="A36" s="4552" t="s">
        <v>382</v>
      </c>
      <c r="B36" s="4553"/>
      <c r="C36" s="4549"/>
      <c r="D36" s="4549"/>
      <c r="E36" s="4549"/>
      <c r="F36" s="4550"/>
      <c r="G36" s="4550"/>
      <c r="H36" s="4550"/>
      <c r="I36" s="4550"/>
      <c r="J36" s="4549"/>
      <c r="K36" s="4551"/>
      <c r="L36" s="64"/>
      <c r="M36" s="64"/>
      <c r="N36" s="64"/>
      <c r="O36" s="64"/>
      <c r="P36" s="64"/>
      <c r="Q36" s="64"/>
      <c r="R36" s="64"/>
      <c r="S36" s="64"/>
      <c r="T36" s="64"/>
      <c r="U36" s="64"/>
      <c r="V36" s="64"/>
      <c r="W36" s="64"/>
      <c r="X36" s="64"/>
      <c r="Y36" s="64"/>
      <c r="Z36" s="64"/>
      <c r="AA36" s="64"/>
      <c r="AB36" s="64"/>
    </row>
    <row r="37" spans="1:28" x14ac:dyDescent="0.35">
      <c r="A37" s="4552" t="s">
        <v>889</v>
      </c>
      <c r="B37" s="4553"/>
      <c r="C37" s="4549"/>
      <c r="D37" s="4549"/>
      <c r="E37" s="4549"/>
      <c r="F37" s="4550"/>
      <c r="G37" s="4550"/>
      <c r="H37" s="4550"/>
      <c r="I37" s="4550"/>
      <c r="J37" s="4549"/>
      <c r="K37" s="4551"/>
      <c r="L37" s="64"/>
      <c r="M37" s="64"/>
      <c r="N37" s="64"/>
      <c r="O37" s="64"/>
      <c r="P37" s="64"/>
      <c r="Q37" s="64"/>
      <c r="R37" s="64"/>
      <c r="S37" s="64"/>
      <c r="T37" s="64"/>
      <c r="U37" s="64"/>
      <c r="V37" s="64"/>
      <c r="W37" s="64"/>
      <c r="X37" s="64"/>
      <c r="Y37" s="64"/>
      <c r="Z37" s="64"/>
      <c r="AA37" s="64"/>
      <c r="AB37" s="64"/>
    </row>
    <row r="38" spans="1:28" x14ac:dyDescent="0.35">
      <c r="A38" s="4552" t="s">
        <v>890</v>
      </c>
      <c r="B38" s="4553"/>
      <c r="C38" s="4549"/>
      <c r="D38" s="4549"/>
      <c r="E38" s="4549"/>
      <c r="F38" s="4550"/>
      <c r="G38" s="4550"/>
      <c r="H38" s="4550"/>
      <c r="I38" s="4550"/>
      <c r="J38" s="4549"/>
      <c r="K38" s="4551"/>
      <c r="L38" s="64"/>
      <c r="M38" s="64"/>
      <c r="N38" s="64"/>
      <c r="O38" s="64"/>
      <c r="P38" s="64"/>
      <c r="Q38" s="64"/>
      <c r="R38" s="64"/>
      <c r="S38" s="64"/>
      <c r="T38" s="64"/>
      <c r="U38" s="64"/>
      <c r="V38" s="64"/>
      <c r="W38" s="64"/>
      <c r="X38" s="64"/>
      <c r="Y38" s="64"/>
      <c r="Z38" s="64"/>
      <c r="AA38" s="64"/>
      <c r="AB38" s="64"/>
    </row>
    <row r="39" spans="1:28" x14ac:dyDescent="0.35">
      <c r="A39" s="4552" t="s">
        <v>387</v>
      </c>
      <c r="B39" s="4553"/>
      <c r="C39" s="4549"/>
      <c r="D39" s="4549"/>
      <c r="E39" s="4549"/>
      <c r="F39" s="4550"/>
      <c r="G39" s="4550"/>
      <c r="H39" s="4550"/>
      <c r="I39" s="4550"/>
      <c r="J39" s="4549"/>
      <c r="K39" s="4551"/>
      <c r="L39" s="64"/>
      <c r="M39" s="64"/>
      <c r="N39" s="64"/>
      <c r="O39" s="64"/>
      <c r="P39" s="64"/>
      <c r="Q39" s="64"/>
      <c r="R39" s="64"/>
      <c r="S39" s="64"/>
      <c r="T39" s="64"/>
      <c r="U39" s="64"/>
      <c r="V39" s="64"/>
      <c r="W39" s="64"/>
      <c r="X39" s="64"/>
      <c r="Y39" s="64"/>
      <c r="Z39" s="64"/>
      <c r="AA39" s="64"/>
      <c r="AB39" s="64"/>
    </row>
    <row r="40" spans="1:28" x14ac:dyDescent="0.35">
      <c r="A40" s="4552" t="s">
        <v>403</v>
      </c>
      <c r="B40" s="4553"/>
      <c r="C40" s="4549"/>
      <c r="D40" s="4549"/>
      <c r="E40" s="4549"/>
      <c r="F40" s="4550"/>
      <c r="G40" s="4550"/>
      <c r="H40" s="4550"/>
      <c r="I40" s="4550"/>
      <c r="J40" s="4549"/>
      <c r="K40" s="4551"/>
      <c r="L40" s="64"/>
      <c r="M40" s="64"/>
      <c r="N40" s="64"/>
      <c r="O40" s="64"/>
      <c r="P40" s="64"/>
      <c r="Q40" s="64"/>
      <c r="R40" s="64"/>
      <c r="S40" s="64"/>
      <c r="T40" s="64"/>
      <c r="U40" s="64"/>
      <c r="V40" s="64"/>
      <c r="W40" s="64"/>
      <c r="X40" s="64"/>
      <c r="Y40" s="64"/>
      <c r="Z40" s="64"/>
      <c r="AA40" s="64"/>
      <c r="AB40" s="64"/>
    </row>
    <row r="41" spans="1:28" x14ac:dyDescent="0.35">
      <c r="A41" s="4552"/>
      <c r="B41" s="4553"/>
      <c r="C41" s="4549"/>
      <c r="D41" s="4549"/>
      <c r="E41" s="4549"/>
      <c r="F41" s="4550"/>
      <c r="G41" s="4550"/>
      <c r="H41" s="4550"/>
      <c r="I41" s="4550"/>
      <c r="J41" s="4549"/>
      <c r="K41" s="4551"/>
      <c r="L41" s="64"/>
      <c r="M41" s="64"/>
      <c r="N41" s="64"/>
      <c r="O41" s="64"/>
      <c r="P41" s="64"/>
      <c r="Q41" s="64"/>
      <c r="R41" s="64"/>
      <c r="S41" s="64"/>
      <c r="T41" s="64"/>
      <c r="U41" s="64"/>
      <c r="V41" s="64"/>
      <c r="W41" s="64"/>
      <c r="X41" s="64"/>
      <c r="Y41" s="64"/>
      <c r="Z41" s="64"/>
      <c r="AA41" s="64"/>
      <c r="AB41" s="64"/>
    </row>
    <row r="42" spans="1:28" x14ac:dyDescent="0.35">
      <c r="A42" s="4552"/>
      <c r="B42" s="4553"/>
      <c r="C42" s="4549"/>
      <c r="D42" s="4549"/>
      <c r="E42" s="4549"/>
      <c r="F42" s="4550"/>
      <c r="G42" s="4550"/>
      <c r="H42" s="4550"/>
      <c r="I42" s="4550"/>
      <c r="J42" s="4549"/>
      <c r="K42" s="4551"/>
      <c r="L42" s="64"/>
      <c r="M42" s="64"/>
      <c r="N42" s="64"/>
      <c r="O42" s="64"/>
      <c r="P42" s="64"/>
      <c r="Q42" s="64"/>
      <c r="R42" s="64"/>
      <c r="S42" s="64"/>
      <c r="T42" s="64"/>
      <c r="U42" s="64"/>
      <c r="V42" s="64"/>
      <c r="W42" s="64"/>
      <c r="X42" s="64"/>
      <c r="Y42" s="64"/>
      <c r="Z42" s="64"/>
      <c r="AA42" s="64"/>
      <c r="AB42" s="64"/>
    </row>
    <row r="43" spans="1:28" ht="15" thickBot="1" x14ac:dyDescent="0.4">
      <c r="A43" s="4546"/>
      <c r="B43" s="4547"/>
      <c r="C43" s="4547"/>
      <c r="D43" s="4547"/>
      <c r="E43" s="4547"/>
      <c r="F43" s="4547"/>
      <c r="G43" s="4547"/>
      <c r="H43" s="4547"/>
      <c r="I43" s="4547"/>
      <c r="J43" s="4547"/>
      <c r="K43" s="4548"/>
      <c r="L43" s="64"/>
      <c r="M43" s="64"/>
      <c r="N43" s="64"/>
      <c r="O43" s="64"/>
      <c r="P43" s="64"/>
      <c r="Q43" s="64"/>
      <c r="R43" s="64"/>
      <c r="S43" s="64"/>
      <c r="T43" s="64"/>
      <c r="U43" s="64"/>
      <c r="V43" s="64"/>
      <c r="W43" s="64"/>
      <c r="X43" s="64"/>
      <c r="Y43" s="64"/>
      <c r="Z43" s="64"/>
      <c r="AA43" s="64"/>
      <c r="AB43" s="64"/>
    </row>
    <row r="44" spans="1:28" ht="15" thickTop="1" x14ac:dyDescent="0.35">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row>
    <row r="45" spans="1:28" x14ac:dyDescent="0.35">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row>
  </sheetData>
  <mergeCells count="93">
    <mergeCell ref="E3:J3"/>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6:Z6"/>
    <mergeCell ref="L6:M6"/>
    <mergeCell ref="N6:O7"/>
    <mergeCell ref="P6:R7"/>
    <mergeCell ref="S6:T6"/>
    <mergeCell ref="U6:V6"/>
    <mergeCell ref="J7:K7"/>
    <mergeCell ref="L7:M7"/>
    <mergeCell ref="S7:T7"/>
    <mergeCell ref="U7:V7"/>
    <mergeCell ref="W7:X7"/>
    <mergeCell ref="S20:U20"/>
    <mergeCell ref="Y7:Z7"/>
    <mergeCell ref="A8:AA8"/>
    <mergeCell ref="A9:B9"/>
    <mergeCell ref="A10:B10"/>
    <mergeCell ref="A11:C11"/>
    <mergeCell ref="A12:C12"/>
    <mergeCell ref="A14:B14"/>
    <mergeCell ref="A15:B15"/>
    <mergeCell ref="A16:B16"/>
    <mergeCell ref="A17:B17"/>
    <mergeCell ref="A20:Q20"/>
    <mergeCell ref="AA6:AA7"/>
    <mergeCell ref="D7:E7"/>
    <mergeCell ref="F7:G7"/>
    <mergeCell ref="H7:I7"/>
    <mergeCell ref="A21:Q24"/>
    <mergeCell ref="S21:U24"/>
    <mergeCell ref="A26:Q26"/>
    <mergeCell ref="S26:U26"/>
    <mergeCell ref="A27:Q30"/>
    <mergeCell ref="S27:U30"/>
    <mergeCell ref="A33:K33"/>
    <mergeCell ref="A34:B35"/>
    <mergeCell ref="C34:E35"/>
    <mergeCell ref="F34:G35"/>
    <mergeCell ref="H34:I35"/>
    <mergeCell ref="J34:K35"/>
    <mergeCell ref="A37:B37"/>
    <mergeCell ref="C37:E37"/>
    <mergeCell ref="F37:G37"/>
    <mergeCell ref="H37:I37"/>
    <mergeCell ref="J37:K37"/>
    <mergeCell ref="A36:B36"/>
    <mergeCell ref="C36:E36"/>
    <mergeCell ref="F36:G36"/>
    <mergeCell ref="H36:I36"/>
    <mergeCell ref="J36:K36"/>
    <mergeCell ref="A39:B39"/>
    <mergeCell ref="C39:E39"/>
    <mergeCell ref="F39:G39"/>
    <mergeCell ref="H39:I39"/>
    <mergeCell ref="J39:K39"/>
    <mergeCell ref="A38:B38"/>
    <mergeCell ref="C38:E38"/>
    <mergeCell ref="F38:G38"/>
    <mergeCell ref="H38:I38"/>
    <mergeCell ref="J38:K38"/>
    <mergeCell ref="A43:K43"/>
    <mergeCell ref="A40:B40"/>
    <mergeCell ref="C40:E40"/>
    <mergeCell ref="F40:G40"/>
    <mergeCell ref="H40:I40"/>
    <mergeCell ref="J40:K40"/>
    <mergeCell ref="A41:B41"/>
    <mergeCell ref="C41:E41"/>
    <mergeCell ref="F41:G41"/>
    <mergeCell ref="H41:I41"/>
    <mergeCell ref="J41:K41"/>
    <mergeCell ref="A42:B42"/>
    <mergeCell ref="C42:E42"/>
    <mergeCell ref="F42:G42"/>
    <mergeCell ref="H42:I42"/>
    <mergeCell ref="J42:K42"/>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4D00-000000000000}">
      <formula1>AvancementTheme</formula1>
    </dataValidation>
  </dataValidations>
  <hyperlinks>
    <hyperlink ref="X1" location="DPDV_04GI3" display="PdV" xr:uid="{00000000-0004-0000-4D00-000000000000}"/>
    <hyperlink ref="Y1" location="DKPI_04GI3" display="KPI's" xr:uid="{00000000-0004-0000-4D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euil43">
    <tabColor theme="9" tint="-0.249977111117893"/>
    <pageSetUpPr fitToPage="1"/>
  </sheetPr>
  <dimension ref="A1:AA46"/>
  <sheetViews>
    <sheetView showGridLines="0" showRowColHeaders="0" zoomScale="110" zoomScaleNormal="110" workbookViewId="0">
      <pane xSplit="3" ySplit="9" topLeftCell="D10" activePane="bottomRight" state="frozen"/>
      <selection activeCell="H7" sqref="H7"/>
      <selection pane="topRight" activeCell="H7" sqref="H7"/>
      <selection pane="bottomLeft" activeCell="H7" sqref="H7"/>
      <selection pane="bottomRight" activeCell="H7" sqref="H7:I7"/>
    </sheetView>
  </sheetViews>
  <sheetFormatPr baseColWidth="10" defaultColWidth="11.453125" defaultRowHeight="14.5" x14ac:dyDescent="0.35"/>
  <cols>
    <col min="1" max="1" width="11.453125" style="60" customWidth="1"/>
    <col min="2" max="2" width="11.26953125" style="60" customWidth="1"/>
    <col min="3" max="3" width="8.54296875" style="60" customWidth="1"/>
    <col min="4" max="26" width="6.7265625" style="60" customWidth="1"/>
    <col min="27" max="16384" width="11.453125" style="60"/>
  </cols>
  <sheetData>
    <row r="1" spans="1:27" s="54" customFormat="1" ht="15" customHeight="1" x14ac:dyDescent="0.35">
      <c r="A1" s="389"/>
      <c r="B1" s="389"/>
      <c r="C1" s="389"/>
      <c r="D1" s="389"/>
      <c r="E1" s="3341" t="s">
        <v>5</v>
      </c>
      <c r="F1" s="3341"/>
      <c r="G1" s="3341"/>
      <c r="H1" s="3341"/>
      <c r="I1" s="3341"/>
      <c r="J1" s="3341"/>
      <c r="K1" s="391"/>
      <c r="L1" s="3341" t="s">
        <v>6</v>
      </c>
      <c r="M1" s="3341"/>
      <c r="N1" s="3341"/>
      <c r="O1" s="3341"/>
      <c r="P1" s="389"/>
      <c r="Q1" s="389"/>
      <c r="R1" s="3341" t="s">
        <v>9</v>
      </c>
      <c r="S1" s="3341"/>
      <c r="T1" s="3341"/>
      <c r="U1" s="3341"/>
      <c r="V1" s="389"/>
      <c r="W1" s="389"/>
      <c r="X1" s="479" t="s">
        <v>2</v>
      </c>
      <c r="Y1" s="479" t="s">
        <v>3</v>
      </c>
      <c r="Z1" s="389"/>
      <c r="AA1" s="458"/>
    </row>
    <row r="2" spans="1:27" s="58" customFormat="1" ht="18" customHeight="1" x14ac:dyDescent="0.35">
      <c r="A2" s="393"/>
      <c r="B2" s="393"/>
      <c r="C2" s="393"/>
      <c r="D2" s="393"/>
      <c r="E2" s="3822" t="str">
        <f>NomClient</f>
        <v xml:space="preserve">EQUINIX </v>
      </c>
      <c r="F2" s="3823"/>
      <c r="G2" s="3823"/>
      <c r="H2" s="3823"/>
      <c r="I2" s="3823"/>
      <c r="J2" s="3824"/>
      <c r="K2" s="393"/>
      <c r="L2" s="3345" t="s">
        <v>409</v>
      </c>
      <c r="M2" s="3826"/>
      <c r="N2" s="3826"/>
      <c r="O2" s="3346"/>
      <c r="P2" s="393"/>
      <c r="Q2" s="393"/>
      <c r="R2" s="3347">
        <v>42420.673310185186</v>
      </c>
      <c r="S2" s="3825"/>
      <c r="T2" s="3825"/>
      <c r="U2" s="3348"/>
      <c r="V2" s="699"/>
      <c r="W2" s="699"/>
      <c r="X2" s="451">
        <f>IF(LEN(DPDV_04GF3)&gt;0,LEN(DPDV_04GF3),0-PDV_NBmini)</f>
        <v>18</v>
      </c>
      <c r="Y2" s="451">
        <f>IF(LEN(DKPI_04GF3)&gt;0,LEN(DKPI_04GF3),0-KPI_NBmini)</f>
        <v>18</v>
      </c>
      <c r="Z2" s="699"/>
      <c r="AA2" s="459"/>
    </row>
    <row r="3" spans="1:27" ht="9.75" customHeight="1" thickBot="1" x14ac:dyDescent="0.4">
      <c r="A3" s="396"/>
      <c r="B3" s="396"/>
      <c r="C3" s="396"/>
      <c r="D3" s="3696" t="s">
        <v>1792</v>
      </c>
      <c r="E3" s="3696"/>
      <c r="F3" s="3696"/>
      <c r="G3" s="3696"/>
      <c r="H3" s="1960"/>
      <c r="I3" s="1960"/>
      <c r="J3" s="1960"/>
      <c r="K3" s="396"/>
      <c r="L3" s="396"/>
      <c r="M3" s="396"/>
      <c r="N3" s="396"/>
      <c r="O3" s="396"/>
      <c r="P3" s="396"/>
      <c r="Q3" s="831"/>
      <c r="R3" s="831"/>
      <c r="S3" s="831"/>
      <c r="T3" s="831"/>
      <c r="U3" s="831"/>
      <c r="V3" s="831"/>
      <c r="W3" s="2310"/>
      <c r="X3" s="2310"/>
      <c r="Y3" s="2310"/>
      <c r="Z3" s="2310"/>
    </row>
    <row r="4" spans="1:27" s="1" customFormat="1" ht="24.75" customHeight="1" thickBot="1" x14ac:dyDescent="0.4">
      <c r="A4" s="5552" t="str">
        <f>Parametre!B26 &amp; "  : "</f>
        <v xml:space="preserve">Marchés cibles  : </v>
      </c>
      <c r="B4" s="5552"/>
      <c r="C4" s="5552"/>
      <c r="D4" s="5552"/>
      <c r="E4" s="5552"/>
      <c r="F4" s="5552"/>
      <c r="G4" s="5552"/>
      <c r="H4" s="5552"/>
      <c r="I4" s="5552"/>
      <c r="J4" s="5552"/>
      <c r="K4" s="5553" t="str">
        <f>"Répartition Régionale pour " &amp; NomProd3</f>
        <v xml:space="preserve">Répartition Régionale pour </v>
      </c>
      <c r="L4" s="5553"/>
      <c r="M4" s="5553"/>
      <c r="N4" s="5553"/>
      <c r="O4" s="5553"/>
      <c r="P4" s="5553"/>
      <c r="Q4" s="5553"/>
      <c r="R4" s="5553"/>
      <c r="S4" s="5553"/>
      <c r="T4" s="5553"/>
      <c r="U4" s="5553"/>
      <c r="V4" s="5553"/>
      <c r="W4" s="5553"/>
      <c r="X4" s="5553"/>
      <c r="Y4" s="5553"/>
      <c r="Z4" s="5554"/>
      <c r="AA4" s="444"/>
    </row>
    <row r="5" spans="1:27" ht="37.5" customHeight="1" thickBot="1" x14ac:dyDescent="0.4">
      <c r="A5" s="4590" t="s">
        <v>14</v>
      </c>
      <c r="B5" s="4590"/>
      <c r="C5" s="4591" t="s">
        <v>579</v>
      </c>
      <c r="D5" s="4591"/>
      <c r="E5" s="4591"/>
      <c r="F5" s="4591"/>
      <c r="G5" s="4591"/>
      <c r="H5" s="4591"/>
      <c r="I5" s="4591"/>
      <c r="J5" s="4591"/>
      <c r="K5" s="4591"/>
      <c r="L5" s="4591"/>
      <c r="M5" s="4591"/>
      <c r="N5" s="4591"/>
      <c r="O5" s="4591"/>
      <c r="P5" s="4591"/>
      <c r="Q5" s="4591"/>
      <c r="R5" s="4591"/>
      <c r="S5" s="4591"/>
      <c r="T5" s="4591"/>
      <c r="U5" s="4591"/>
      <c r="V5" s="4591"/>
      <c r="W5" s="4591"/>
      <c r="X5" s="4591"/>
      <c r="Y5" s="4591"/>
      <c r="Z5" s="4591"/>
      <c r="AA5" s="64"/>
    </row>
    <row r="6" spans="1:27" ht="17.25" customHeight="1" x14ac:dyDescent="0.35">
      <c r="A6" s="3836"/>
      <c r="B6" s="3837" t="s">
        <v>359</v>
      </c>
      <c r="C6" s="3832"/>
      <c r="D6" s="3831" t="s">
        <v>350</v>
      </c>
      <c r="E6" s="3831"/>
      <c r="F6" s="3831" t="s">
        <v>351</v>
      </c>
      <c r="G6" s="3831"/>
      <c r="H6" s="3831" t="s">
        <v>352</v>
      </c>
      <c r="I6" s="3831"/>
      <c r="J6" s="3831" t="s">
        <v>353</v>
      </c>
      <c r="K6" s="3831"/>
      <c r="L6" s="3831" t="s">
        <v>354</v>
      </c>
      <c r="M6" s="3845"/>
      <c r="N6" s="3829"/>
      <c r="O6" s="3830"/>
      <c r="P6" s="3837" t="s">
        <v>577</v>
      </c>
      <c r="Q6" s="3832"/>
      <c r="R6" s="3832"/>
      <c r="S6" s="3831" t="s">
        <v>355</v>
      </c>
      <c r="T6" s="3831"/>
      <c r="U6" s="3831" t="s">
        <v>356</v>
      </c>
      <c r="V6" s="3831"/>
      <c r="W6" s="3831" t="s">
        <v>357</v>
      </c>
      <c r="X6" s="3831"/>
      <c r="Y6" s="3831" t="s">
        <v>578</v>
      </c>
      <c r="Z6" s="3845"/>
      <c r="AA6" s="3828"/>
    </row>
    <row r="7" spans="1:27" ht="18" customHeight="1" thickBot="1" x14ac:dyDescent="0.4">
      <c r="A7" s="3836"/>
      <c r="B7" s="3838"/>
      <c r="C7" s="3839"/>
      <c r="D7" s="3834">
        <v>1</v>
      </c>
      <c r="E7" s="3834"/>
      <c r="F7" s="3834">
        <v>2</v>
      </c>
      <c r="G7" s="3834"/>
      <c r="H7" s="3834">
        <v>3</v>
      </c>
      <c r="I7" s="3834"/>
      <c r="J7" s="3834">
        <v>4</v>
      </c>
      <c r="K7" s="3834"/>
      <c r="L7" s="3834">
        <v>5</v>
      </c>
      <c r="M7" s="3844"/>
      <c r="N7" s="3829"/>
      <c r="O7" s="3830"/>
      <c r="P7" s="3838"/>
      <c r="Q7" s="3839"/>
      <c r="R7" s="3839"/>
      <c r="S7" s="3846"/>
      <c r="T7" s="3846"/>
      <c r="U7" s="3847"/>
      <c r="V7" s="3847"/>
      <c r="W7" s="3848"/>
      <c r="X7" s="3848"/>
      <c r="Y7" s="3849"/>
      <c r="Z7" s="3850"/>
      <c r="AA7" s="3828"/>
    </row>
    <row r="8" spans="1:27" ht="5.25" customHeight="1" thickBot="1" x14ac:dyDescent="0.4">
      <c r="A8" s="3697"/>
      <c r="B8" s="3697"/>
      <c r="C8" s="3697"/>
      <c r="D8" s="3697"/>
      <c r="E8" s="3697"/>
      <c r="F8" s="3697"/>
      <c r="G8" s="3697"/>
      <c r="H8" s="3697"/>
      <c r="I8" s="3697"/>
      <c r="J8" s="3697"/>
      <c r="K8" s="3697"/>
      <c r="L8" s="3697"/>
      <c r="M8" s="3697"/>
      <c r="N8" s="3697"/>
      <c r="O8" s="3697"/>
      <c r="P8" s="3697"/>
      <c r="Q8" s="3697"/>
      <c r="R8" s="3697"/>
      <c r="S8" s="3697"/>
      <c r="T8" s="3697"/>
      <c r="U8" s="3697"/>
      <c r="V8" s="3697"/>
      <c r="W8" s="3697"/>
      <c r="X8" s="3697"/>
      <c r="Y8" s="3697"/>
      <c r="Z8" s="3697"/>
      <c r="AA8" s="3697"/>
    </row>
    <row r="9" spans="1:27" s="192" customFormat="1" ht="90.75" customHeight="1" thickTop="1" thickBot="1" x14ac:dyDescent="0.4">
      <c r="A9" s="3802" t="str">
        <f>NomProd1 &amp;
" Repartition Regionale France"</f>
        <v>EQUINIX Repartition Regionale France</v>
      </c>
      <c r="B9" s="3803"/>
      <c r="C9" s="794" t="s">
        <v>222</v>
      </c>
      <c r="D9" s="795" t="s">
        <v>362</v>
      </c>
      <c r="E9" s="796" t="s">
        <v>363</v>
      </c>
      <c r="F9" s="796" t="s">
        <v>364</v>
      </c>
      <c r="G9" s="796" t="s">
        <v>365</v>
      </c>
      <c r="H9" s="796" t="s">
        <v>366</v>
      </c>
      <c r="I9" s="796" t="s">
        <v>367</v>
      </c>
      <c r="J9" s="796" t="s">
        <v>368</v>
      </c>
      <c r="K9" s="796" t="s">
        <v>369</v>
      </c>
      <c r="L9" s="796" t="s">
        <v>370</v>
      </c>
      <c r="M9" s="796" t="s">
        <v>371</v>
      </c>
      <c r="N9" s="796" t="s">
        <v>372</v>
      </c>
      <c r="O9" s="796" t="s">
        <v>373</v>
      </c>
      <c r="P9" s="796" t="s">
        <v>374</v>
      </c>
      <c r="Q9" s="796" t="s">
        <v>375</v>
      </c>
      <c r="R9" s="796" t="s">
        <v>376</v>
      </c>
      <c r="S9" s="796" t="s">
        <v>377</v>
      </c>
      <c r="T9" s="796" t="s">
        <v>378</v>
      </c>
      <c r="U9" s="796" t="s">
        <v>379</v>
      </c>
      <c r="V9" s="796" t="s">
        <v>380</v>
      </c>
      <c r="W9" s="796" t="s">
        <v>381</v>
      </c>
      <c r="X9" s="797" t="s">
        <v>1059</v>
      </c>
      <c r="Y9" s="701"/>
      <c r="Z9" s="701"/>
      <c r="AA9" s="701"/>
    </row>
    <row r="10" spans="1:27" s="192" customFormat="1" ht="30.75" customHeight="1" thickBot="1" x14ac:dyDescent="0.4">
      <c r="A10" s="4586" t="s">
        <v>580</v>
      </c>
      <c r="B10" s="4587"/>
      <c r="C10" s="798">
        <f>SUM(D10:X10)</f>
        <v>1.0000000000000004</v>
      </c>
      <c r="D10" s="813">
        <v>0.25</v>
      </c>
      <c r="E10" s="814">
        <v>0.11</v>
      </c>
      <c r="F10" s="814">
        <v>0.06</v>
      </c>
      <c r="G10" s="814">
        <v>0.06</v>
      </c>
      <c r="H10" s="814">
        <v>0.06</v>
      </c>
      <c r="I10" s="814">
        <v>0.05</v>
      </c>
      <c r="J10" s="814">
        <v>0.04</v>
      </c>
      <c r="K10" s="814">
        <v>0.04</v>
      </c>
      <c r="L10" s="814">
        <v>0.04</v>
      </c>
      <c r="M10" s="814">
        <v>0.03</v>
      </c>
      <c r="N10" s="814">
        <v>0.03</v>
      </c>
      <c r="O10" s="814">
        <v>0.03</v>
      </c>
      <c r="P10" s="814">
        <v>0.03</v>
      </c>
      <c r="Q10" s="814">
        <v>0.03</v>
      </c>
      <c r="R10" s="814">
        <v>0.03</v>
      </c>
      <c r="S10" s="814">
        <v>0.03</v>
      </c>
      <c r="T10" s="814">
        <v>0.02</v>
      </c>
      <c r="U10" s="814">
        <v>0.02</v>
      </c>
      <c r="V10" s="814">
        <v>0.02</v>
      </c>
      <c r="W10" s="814">
        <v>0.01</v>
      </c>
      <c r="X10" s="815">
        <v>0.01</v>
      </c>
      <c r="Y10" s="701"/>
      <c r="Z10" s="701"/>
      <c r="AA10" s="701"/>
    </row>
    <row r="11" spans="1:27" ht="17.25" customHeight="1" thickBot="1" x14ac:dyDescent="0.4">
      <c r="A11" s="4588" t="str">
        <f>"% CA client en " &amp; AnReference</f>
        <v>% CA client en 2018</v>
      </c>
      <c r="B11" s="4589"/>
      <c r="C11" s="799">
        <f>SUM(D11:X11)</f>
        <v>1</v>
      </c>
      <c r="D11" s="816">
        <v>0.1</v>
      </c>
      <c r="E11" s="817">
        <v>0.2</v>
      </c>
      <c r="F11" s="817"/>
      <c r="G11" s="817"/>
      <c r="H11" s="817">
        <v>0.05</v>
      </c>
      <c r="I11" s="817">
        <v>0.2</v>
      </c>
      <c r="J11" s="817"/>
      <c r="K11" s="817"/>
      <c r="L11" s="817">
        <v>0.1</v>
      </c>
      <c r="M11" s="817"/>
      <c r="N11" s="817"/>
      <c r="O11" s="817">
        <v>0.15</v>
      </c>
      <c r="P11" s="817">
        <v>0.1</v>
      </c>
      <c r="Q11" s="817">
        <v>0.1</v>
      </c>
      <c r="R11" s="817"/>
      <c r="S11" s="817"/>
      <c r="T11" s="817"/>
      <c r="U11" s="817"/>
      <c r="V11" s="817"/>
      <c r="W11" s="817"/>
      <c r="X11" s="818"/>
      <c r="Y11" s="64"/>
      <c r="Z11" s="64"/>
      <c r="AA11" s="64"/>
    </row>
    <row r="12" spans="1:27" ht="9" customHeight="1" x14ac:dyDescent="0.35">
      <c r="A12" s="800"/>
      <c r="B12" s="801"/>
      <c r="C12" s="802"/>
      <c r="D12" s="803"/>
      <c r="E12" s="804"/>
      <c r="F12" s="804"/>
      <c r="G12" s="804"/>
      <c r="H12" s="804"/>
      <c r="I12" s="804"/>
      <c r="J12" s="804"/>
      <c r="K12" s="804"/>
      <c r="L12" s="804"/>
      <c r="M12" s="804"/>
      <c r="N12" s="804"/>
      <c r="O12" s="804"/>
      <c r="P12" s="804"/>
      <c r="Q12" s="804"/>
      <c r="R12" s="804"/>
      <c r="S12" s="804"/>
      <c r="T12" s="804"/>
      <c r="U12" s="804"/>
      <c r="V12" s="804"/>
      <c r="W12" s="804"/>
      <c r="X12" s="805"/>
      <c r="Y12" s="64"/>
      <c r="Z12" s="64"/>
      <c r="AA12" s="64"/>
    </row>
    <row r="13" spans="1:27" ht="31.5" customHeight="1" x14ac:dyDescent="0.35">
      <c r="A13" s="4555" t="s">
        <v>348</v>
      </c>
      <c r="B13" s="4556"/>
      <c r="C13" s="4557"/>
      <c r="D13" s="315"/>
      <c r="E13" s="261"/>
      <c r="F13" s="261"/>
      <c r="G13" s="261"/>
      <c r="H13" s="261"/>
      <c r="I13" s="261"/>
      <c r="J13" s="261"/>
      <c r="K13" s="261"/>
      <c r="L13" s="261"/>
      <c r="M13" s="261"/>
      <c r="N13" s="261"/>
      <c r="O13" s="261"/>
      <c r="P13" s="261"/>
      <c r="Q13" s="261"/>
      <c r="R13" s="261"/>
      <c r="S13" s="261"/>
      <c r="T13" s="261"/>
      <c r="U13" s="261"/>
      <c r="V13" s="261"/>
      <c r="W13" s="261"/>
      <c r="X13" s="262"/>
      <c r="Y13" s="64"/>
      <c r="Z13" s="64"/>
      <c r="AA13" s="64"/>
    </row>
    <row r="14" spans="1:27" ht="22.5" customHeight="1" thickBot="1" x14ac:dyDescent="0.4">
      <c r="A14" s="3794" t="s">
        <v>149</v>
      </c>
      <c r="B14" s="3795"/>
      <c r="C14" s="4585"/>
      <c r="D14" s="227" t="s">
        <v>973</v>
      </c>
      <c r="E14" s="228" t="s">
        <v>868</v>
      </c>
      <c r="F14" s="228" t="s">
        <v>868</v>
      </c>
      <c r="G14" s="228" t="s">
        <v>868</v>
      </c>
      <c r="H14" s="228" t="s">
        <v>868</v>
      </c>
      <c r="I14" s="228" t="s">
        <v>850</v>
      </c>
      <c r="J14" s="228"/>
      <c r="K14" s="228"/>
      <c r="L14" s="228"/>
      <c r="M14" s="228"/>
      <c r="N14" s="228"/>
      <c r="O14" s="228"/>
      <c r="P14" s="228"/>
      <c r="Q14" s="228"/>
      <c r="R14" s="228"/>
      <c r="S14" s="228"/>
      <c r="T14" s="228"/>
      <c r="U14" s="228"/>
      <c r="V14" s="228"/>
      <c r="W14" s="228"/>
      <c r="X14" s="229"/>
      <c r="Y14" s="64"/>
      <c r="Z14" s="64"/>
      <c r="AA14" s="64"/>
    </row>
    <row r="15" spans="1:27" s="66" customFormat="1" ht="9" customHeight="1" thickBot="1" x14ac:dyDescent="0.4">
      <c r="A15" s="806"/>
      <c r="B15" s="807"/>
      <c r="C15" s="808"/>
      <c r="D15" s="809"/>
      <c r="E15" s="810"/>
      <c r="F15" s="810"/>
      <c r="G15" s="810"/>
      <c r="H15" s="810"/>
      <c r="I15" s="810"/>
      <c r="J15" s="810"/>
      <c r="K15" s="810"/>
      <c r="L15" s="810"/>
      <c r="M15" s="810"/>
      <c r="N15" s="810"/>
      <c r="O15" s="810"/>
      <c r="P15" s="810"/>
      <c r="Q15" s="810"/>
      <c r="R15" s="810"/>
      <c r="S15" s="810"/>
      <c r="T15" s="810"/>
      <c r="U15" s="810"/>
      <c r="V15" s="810"/>
      <c r="W15" s="810"/>
      <c r="X15" s="811"/>
      <c r="Y15" s="397"/>
      <c r="Z15" s="397"/>
      <c r="AA15" s="397"/>
    </row>
    <row r="16" spans="1:27" ht="22.5" customHeight="1" x14ac:dyDescent="0.35">
      <c r="A16" s="3816" t="s">
        <v>884</v>
      </c>
      <c r="B16" s="3817"/>
      <c r="C16" s="783">
        <f>SUM(D16:X16)</f>
        <v>71</v>
      </c>
      <c r="D16" s="233">
        <v>15</v>
      </c>
      <c r="E16" s="234">
        <v>8</v>
      </c>
      <c r="F16" s="234">
        <v>6</v>
      </c>
      <c r="G16" s="234">
        <v>5</v>
      </c>
      <c r="H16" s="234">
        <v>5</v>
      </c>
      <c r="I16" s="234">
        <v>4</v>
      </c>
      <c r="J16" s="234">
        <v>3</v>
      </c>
      <c r="K16" s="234">
        <v>3</v>
      </c>
      <c r="L16" s="234">
        <v>3</v>
      </c>
      <c r="M16" s="234">
        <v>3</v>
      </c>
      <c r="N16" s="234">
        <v>2</v>
      </c>
      <c r="O16" s="234">
        <v>2</v>
      </c>
      <c r="P16" s="234">
        <v>2</v>
      </c>
      <c r="Q16" s="234">
        <v>2</v>
      </c>
      <c r="R16" s="234">
        <v>2</v>
      </c>
      <c r="S16" s="234">
        <v>1</v>
      </c>
      <c r="T16" s="234">
        <v>1</v>
      </c>
      <c r="U16" s="234">
        <v>1</v>
      </c>
      <c r="V16" s="234">
        <v>1</v>
      </c>
      <c r="W16" s="234">
        <v>1</v>
      </c>
      <c r="X16" s="235">
        <v>1</v>
      </c>
      <c r="Y16" s="64"/>
      <c r="Z16" s="64"/>
      <c r="AA16" s="64"/>
    </row>
    <row r="17" spans="1:27" ht="22.5" customHeight="1" x14ac:dyDescent="0.35">
      <c r="A17" s="4558" t="s">
        <v>360</v>
      </c>
      <c r="B17" s="4559"/>
      <c r="C17" s="784">
        <f>SUM(D17:X17)</f>
        <v>2</v>
      </c>
      <c r="D17" s="236">
        <v>2</v>
      </c>
      <c r="E17" s="237"/>
      <c r="F17" s="237"/>
      <c r="G17" s="237"/>
      <c r="H17" s="237"/>
      <c r="I17" s="237"/>
      <c r="J17" s="237"/>
      <c r="K17" s="237"/>
      <c r="L17" s="237"/>
      <c r="M17" s="237"/>
      <c r="N17" s="237"/>
      <c r="O17" s="237"/>
      <c r="P17" s="237"/>
      <c r="Q17" s="237"/>
      <c r="R17" s="237"/>
      <c r="S17" s="237"/>
      <c r="T17" s="237"/>
      <c r="U17" s="237"/>
      <c r="V17" s="237"/>
      <c r="W17" s="237"/>
      <c r="X17" s="238"/>
      <c r="Y17" s="64"/>
      <c r="Z17" s="64"/>
      <c r="AA17" s="64"/>
    </row>
    <row r="18" spans="1:27" ht="22.5" customHeight="1" thickBot="1" x14ac:dyDescent="0.4">
      <c r="A18" s="4560" t="s">
        <v>913</v>
      </c>
      <c r="B18" s="4561"/>
      <c r="C18" s="812">
        <f>SUM(D18:X18)</f>
        <v>1</v>
      </c>
      <c r="D18" s="352">
        <v>1</v>
      </c>
      <c r="E18" s="351"/>
      <c r="F18" s="351"/>
      <c r="G18" s="351"/>
      <c r="H18" s="351"/>
      <c r="I18" s="351"/>
      <c r="J18" s="351"/>
      <c r="K18" s="351"/>
      <c r="L18" s="351"/>
      <c r="M18" s="351"/>
      <c r="N18" s="351"/>
      <c r="O18" s="351"/>
      <c r="P18" s="351"/>
      <c r="Q18" s="351"/>
      <c r="R18" s="351"/>
      <c r="S18" s="351"/>
      <c r="T18" s="351"/>
      <c r="U18" s="351"/>
      <c r="V18" s="351"/>
      <c r="W18" s="351"/>
      <c r="X18" s="356"/>
      <c r="Y18" s="64"/>
      <c r="Z18" s="64"/>
      <c r="AA18" s="64"/>
    </row>
    <row r="19" spans="1:27" ht="16.5" customHeight="1" thickTop="1" thickBot="1" x14ac:dyDescent="0.4">
      <c r="A19" s="5561" t="s">
        <v>361</v>
      </c>
      <c r="B19" s="5562"/>
      <c r="C19" s="357">
        <f t="shared" ref="C19:X19" si="0">C16-(C17+C18)</f>
        <v>68</v>
      </c>
      <c r="D19" s="357">
        <f t="shared" si="0"/>
        <v>12</v>
      </c>
      <c r="E19" s="357">
        <f t="shared" si="0"/>
        <v>8</v>
      </c>
      <c r="F19" s="357">
        <f t="shared" si="0"/>
        <v>6</v>
      </c>
      <c r="G19" s="357">
        <f t="shared" si="0"/>
        <v>5</v>
      </c>
      <c r="H19" s="357">
        <f t="shared" si="0"/>
        <v>5</v>
      </c>
      <c r="I19" s="357">
        <f t="shared" si="0"/>
        <v>4</v>
      </c>
      <c r="J19" s="357">
        <f t="shared" si="0"/>
        <v>3</v>
      </c>
      <c r="K19" s="357">
        <f t="shared" si="0"/>
        <v>3</v>
      </c>
      <c r="L19" s="357">
        <f t="shared" si="0"/>
        <v>3</v>
      </c>
      <c r="M19" s="357">
        <f t="shared" si="0"/>
        <v>3</v>
      </c>
      <c r="N19" s="357">
        <f t="shared" si="0"/>
        <v>2</v>
      </c>
      <c r="O19" s="357">
        <f t="shared" si="0"/>
        <v>2</v>
      </c>
      <c r="P19" s="357">
        <f t="shared" si="0"/>
        <v>2</v>
      </c>
      <c r="Q19" s="357">
        <f t="shared" si="0"/>
        <v>2</v>
      </c>
      <c r="R19" s="357">
        <f t="shared" si="0"/>
        <v>2</v>
      </c>
      <c r="S19" s="357">
        <f t="shared" si="0"/>
        <v>1</v>
      </c>
      <c r="T19" s="357">
        <f t="shared" si="0"/>
        <v>1</v>
      </c>
      <c r="U19" s="357">
        <f t="shared" si="0"/>
        <v>1</v>
      </c>
      <c r="V19" s="357">
        <f t="shared" si="0"/>
        <v>1</v>
      </c>
      <c r="W19" s="357">
        <f t="shared" si="0"/>
        <v>1</v>
      </c>
      <c r="X19" s="358">
        <f t="shared" si="0"/>
        <v>1</v>
      </c>
      <c r="Y19" s="64"/>
      <c r="Z19" s="64"/>
      <c r="AA19" s="64"/>
    </row>
    <row r="20" spans="1:27" ht="15" thickTop="1" x14ac:dyDescent="0.35">
      <c r="A20" s="470"/>
      <c r="B20" s="470"/>
      <c r="C20" s="470"/>
      <c r="D20" s="470"/>
      <c r="E20" s="470"/>
      <c r="F20" s="470"/>
      <c r="G20" s="470"/>
      <c r="H20" s="470"/>
      <c r="I20" s="470"/>
      <c r="J20" s="470"/>
      <c r="K20" s="470"/>
      <c r="L20" s="470"/>
      <c r="M20" s="470"/>
      <c r="N20" s="470"/>
      <c r="O20" s="470"/>
      <c r="P20" s="470"/>
      <c r="Q20" s="470"/>
      <c r="R20" s="470"/>
      <c r="S20" s="470"/>
      <c r="T20" s="470"/>
      <c r="U20" s="470"/>
      <c r="V20" s="470"/>
      <c r="W20" s="470"/>
      <c r="X20" s="470"/>
      <c r="Y20" s="470"/>
      <c r="Z20" s="463"/>
      <c r="AA20" s="64"/>
    </row>
    <row r="21" spans="1:27" ht="15" thickBot="1" x14ac:dyDescent="0.4">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row>
    <row r="22" spans="1:27" ht="20.25" customHeight="1" thickTop="1" thickBot="1" x14ac:dyDescent="0.4">
      <c r="A22" s="4573" t="s">
        <v>10</v>
      </c>
      <c r="B22" s="4574"/>
      <c r="C22" s="4574"/>
      <c r="D22" s="4574"/>
      <c r="E22" s="4574"/>
      <c r="F22" s="4574"/>
      <c r="G22" s="4574"/>
      <c r="H22" s="4574"/>
      <c r="I22" s="4574"/>
      <c r="J22" s="4574"/>
      <c r="K22" s="4574"/>
      <c r="L22" s="4574"/>
      <c r="M22" s="4574"/>
      <c r="N22" s="4574"/>
      <c r="O22" s="4574"/>
      <c r="P22" s="4574"/>
      <c r="Q22" s="4574"/>
      <c r="R22" s="113"/>
      <c r="S22" s="31"/>
      <c r="T22" s="3725" t="s">
        <v>748</v>
      </c>
      <c r="U22" s="3726"/>
      <c r="V22" s="3727"/>
      <c r="W22" s="31"/>
      <c r="X22" s="31"/>
      <c r="Y22" s="31"/>
      <c r="Z22" s="64"/>
      <c r="AA22" s="64"/>
    </row>
    <row r="23" spans="1:27" ht="20.25" customHeight="1" x14ac:dyDescent="0.35">
      <c r="A23" s="4575" t="s">
        <v>1087</v>
      </c>
      <c r="B23" s="4581"/>
      <c r="C23" s="4581"/>
      <c r="D23" s="4581"/>
      <c r="E23" s="4581"/>
      <c r="F23" s="4581"/>
      <c r="G23" s="4581"/>
      <c r="H23" s="4581"/>
      <c r="I23" s="4581"/>
      <c r="J23" s="4581"/>
      <c r="K23" s="4581"/>
      <c r="L23" s="4581"/>
      <c r="M23" s="4581"/>
      <c r="N23" s="4581"/>
      <c r="O23" s="4581"/>
      <c r="P23" s="4581"/>
      <c r="Q23" s="4581"/>
      <c r="R23" s="36"/>
      <c r="S23" s="33"/>
      <c r="T23" s="3750" t="s">
        <v>798</v>
      </c>
      <c r="U23" s="3751"/>
      <c r="V23" s="3752"/>
      <c r="W23" s="33"/>
      <c r="X23" s="33"/>
      <c r="Y23" s="33"/>
      <c r="Z23" s="64"/>
      <c r="AA23" s="64"/>
    </row>
    <row r="24" spans="1:27" ht="20.25" customHeight="1" x14ac:dyDescent="0.35">
      <c r="A24" s="4582"/>
      <c r="B24" s="3882"/>
      <c r="C24" s="3882"/>
      <c r="D24" s="3882"/>
      <c r="E24" s="3882"/>
      <c r="F24" s="3882"/>
      <c r="G24" s="3882"/>
      <c r="H24" s="3882"/>
      <c r="I24" s="3882"/>
      <c r="J24" s="3882"/>
      <c r="K24" s="3882"/>
      <c r="L24" s="3882"/>
      <c r="M24" s="3882"/>
      <c r="N24" s="3882"/>
      <c r="O24" s="3882"/>
      <c r="P24" s="3882"/>
      <c r="Q24" s="3882"/>
      <c r="R24" s="36"/>
      <c r="S24" s="33"/>
      <c r="T24" s="3753"/>
      <c r="U24" s="3754"/>
      <c r="V24" s="3755"/>
      <c r="W24" s="33"/>
      <c r="X24" s="33"/>
      <c r="Y24" s="33"/>
      <c r="Z24" s="64"/>
      <c r="AA24" s="64"/>
    </row>
    <row r="25" spans="1:27" ht="20.25" customHeight="1" x14ac:dyDescent="0.35">
      <c r="A25" s="4582"/>
      <c r="B25" s="3882"/>
      <c r="C25" s="3882"/>
      <c r="D25" s="3882"/>
      <c r="E25" s="3882"/>
      <c r="F25" s="3882"/>
      <c r="G25" s="3882"/>
      <c r="H25" s="3882"/>
      <c r="I25" s="3882"/>
      <c r="J25" s="3882"/>
      <c r="K25" s="3882"/>
      <c r="L25" s="3882"/>
      <c r="M25" s="3882"/>
      <c r="N25" s="3882"/>
      <c r="O25" s="3882"/>
      <c r="P25" s="3882"/>
      <c r="Q25" s="3882"/>
      <c r="R25" s="36"/>
      <c r="S25" s="33"/>
      <c r="T25" s="3753"/>
      <c r="U25" s="3754"/>
      <c r="V25" s="3755"/>
      <c r="W25" s="33"/>
      <c r="X25" s="33"/>
      <c r="Y25" s="33"/>
      <c r="Z25" s="64"/>
      <c r="AA25" s="64"/>
    </row>
    <row r="26" spans="1:27" ht="15" thickBot="1" x14ac:dyDescent="0.4">
      <c r="A26" s="4583"/>
      <c r="B26" s="4584"/>
      <c r="C26" s="4584"/>
      <c r="D26" s="4584"/>
      <c r="E26" s="4584"/>
      <c r="F26" s="4584"/>
      <c r="G26" s="4584"/>
      <c r="H26" s="4584"/>
      <c r="I26" s="4584"/>
      <c r="J26" s="4584"/>
      <c r="K26" s="4584"/>
      <c r="L26" s="4584"/>
      <c r="M26" s="4584"/>
      <c r="N26" s="4584"/>
      <c r="O26" s="4584"/>
      <c r="P26" s="4584"/>
      <c r="Q26" s="4584"/>
      <c r="R26" s="36"/>
      <c r="S26" s="33"/>
      <c r="T26" s="3756"/>
      <c r="U26" s="3757"/>
      <c r="V26" s="3758"/>
      <c r="W26" s="33"/>
      <c r="X26" s="33"/>
      <c r="Y26" s="33"/>
      <c r="Z26" s="64"/>
      <c r="AA26" s="64"/>
    </row>
    <row r="27" spans="1:27" ht="15.5" thickTop="1" thickBot="1" x14ac:dyDescent="0.4">
      <c r="A27" s="64"/>
      <c r="B27" s="64"/>
      <c r="C27" s="64"/>
      <c r="D27" s="64"/>
      <c r="E27" s="64"/>
      <c r="F27" s="64"/>
      <c r="G27" s="64"/>
      <c r="H27" s="64"/>
      <c r="I27" s="64"/>
      <c r="J27" s="64"/>
      <c r="K27" s="64"/>
      <c r="L27" s="64"/>
      <c r="M27" s="64"/>
      <c r="N27" s="64"/>
      <c r="O27" s="64"/>
      <c r="P27" s="64"/>
      <c r="Q27" s="64"/>
      <c r="R27" s="64"/>
      <c r="S27" s="64"/>
      <c r="T27" s="31"/>
      <c r="U27" s="31"/>
      <c r="V27" s="31"/>
      <c r="W27" s="64"/>
      <c r="X27" s="64"/>
      <c r="Y27" s="64"/>
      <c r="Z27" s="64"/>
      <c r="AA27" s="64"/>
    </row>
    <row r="28" spans="1:27" ht="20.25" customHeight="1" thickTop="1" thickBot="1" x14ac:dyDescent="0.4">
      <c r="A28" s="4573" t="s">
        <v>11</v>
      </c>
      <c r="B28" s="4574"/>
      <c r="C28" s="4574"/>
      <c r="D28" s="4574"/>
      <c r="E28" s="4574"/>
      <c r="F28" s="4574"/>
      <c r="G28" s="4574"/>
      <c r="H28" s="4574"/>
      <c r="I28" s="4574"/>
      <c r="J28" s="4574"/>
      <c r="K28" s="4574"/>
      <c r="L28" s="4574"/>
      <c r="M28" s="4574"/>
      <c r="N28" s="4574"/>
      <c r="O28" s="4574"/>
      <c r="P28" s="4574"/>
      <c r="Q28" s="4574"/>
      <c r="R28" s="113"/>
      <c r="S28" s="31"/>
      <c r="T28" s="3725" t="s">
        <v>748</v>
      </c>
      <c r="U28" s="3726"/>
      <c r="V28" s="3727"/>
      <c r="W28" s="31"/>
      <c r="X28" s="31"/>
      <c r="Y28" s="31"/>
      <c r="Z28" s="64"/>
      <c r="AA28" s="64"/>
    </row>
    <row r="29" spans="1:27" ht="20.25" customHeight="1" x14ac:dyDescent="0.35">
      <c r="A29" s="4575" t="s">
        <v>1088</v>
      </c>
      <c r="B29" s="4576"/>
      <c r="C29" s="4576"/>
      <c r="D29" s="4576"/>
      <c r="E29" s="4576"/>
      <c r="F29" s="4576"/>
      <c r="G29" s="4576"/>
      <c r="H29" s="4576"/>
      <c r="I29" s="4576"/>
      <c r="J29" s="4576"/>
      <c r="K29" s="4576"/>
      <c r="L29" s="4576"/>
      <c r="M29" s="4576"/>
      <c r="N29" s="4576"/>
      <c r="O29" s="4576"/>
      <c r="P29" s="4576"/>
      <c r="Q29" s="4576"/>
      <c r="R29" s="36"/>
      <c r="S29" s="33"/>
      <c r="T29" s="3750" t="s">
        <v>799</v>
      </c>
      <c r="U29" s="3751"/>
      <c r="V29" s="3752"/>
      <c r="W29" s="33"/>
      <c r="X29" s="33"/>
      <c r="Y29" s="33"/>
      <c r="Z29" s="64"/>
      <c r="AA29" s="64"/>
    </row>
    <row r="30" spans="1:27" ht="20.25" customHeight="1" x14ac:dyDescent="0.35">
      <c r="A30" s="4577"/>
      <c r="B30" s="4578"/>
      <c r="C30" s="4578"/>
      <c r="D30" s="4578"/>
      <c r="E30" s="4578"/>
      <c r="F30" s="4578"/>
      <c r="G30" s="4578"/>
      <c r="H30" s="4578"/>
      <c r="I30" s="4578"/>
      <c r="J30" s="4578"/>
      <c r="K30" s="4578"/>
      <c r="L30" s="4578"/>
      <c r="M30" s="4578"/>
      <c r="N30" s="4578"/>
      <c r="O30" s="4578"/>
      <c r="P30" s="4578"/>
      <c r="Q30" s="4578"/>
      <c r="R30" s="36"/>
      <c r="S30" s="33"/>
      <c r="T30" s="3753"/>
      <c r="U30" s="3754"/>
      <c r="V30" s="3755"/>
      <c r="W30" s="33"/>
      <c r="X30" s="33"/>
      <c r="Y30" s="33"/>
      <c r="Z30" s="64"/>
      <c r="AA30" s="64"/>
    </row>
    <row r="31" spans="1:27" ht="20.25" customHeight="1" x14ac:dyDescent="0.35">
      <c r="A31" s="4577"/>
      <c r="B31" s="4578"/>
      <c r="C31" s="4578"/>
      <c r="D31" s="4578"/>
      <c r="E31" s="4578"/>
      <c r="F31" s="4578"/>
      <c r="G31" s="4578"/>
      <c r="H31" s="4578"/>
      <c r="I31" s="4578"/>
      <c r="J31" s="4578"/>
      <c r="K31" s="4578"/>
      <c r="L31" s="4578"/>
      <c r="M31" s="4578"/>
      <c r="N31" s="4578"/>
      <c r="O31" s="4578"/>
      <c r="P31" s="4578"/>
      <c r="Q31" s="4578"/>
      <c r="R31" s="36"/>
      <c r="S31" s="33"/>
      <c r="T31" s="3753"/>
      <c r="U31" s="3754"/>
      <c r="V31" s="3755"/>
      <c r="W31" s="33"/>
      <c r="X31" s="33"/>
      <c r="Y31" s="33"/>
      <c r="Z31" s="64"/>
      <c r="AA31" s="64"/>
    </row>
    <row r="32" spans="1:27" ht="15" thickBot="1" x14ac:dyDescent="0.4">
      <c r="A32" s="4579"/>
      <c r="B32" s="4580"/>
      <c r="C32" s="4580"/>
      <c r="D32" s="4580"/>
      <c r="E32" s="4580"/>
      <c r="F32" s="4580"/>
      <c r="G32" s="4580"/>
      <c r="H32" s="4580"/>
      <c r="I32" s="4580"/>
      <c r="J32" s="4580"/>
      <c r="K32" s="4580"/>
      <c r="L32" s="4580"/>
      <c r="M32" s="4580"/>
      <c r="N32" s="4580"/>
      <c r="O32" s="4580"/>
      <c r="P32" s="4580"/>
      <c r="Q32" s="4580"/>
      <c r="R32" s="36"/>
      <c r="S32" s="33"/>
      <c r="T32" s="3756"/>
      <c r="U32" s="3757"/>
      <c r="V32" s="3758"/>
      <c r="W32" s="33"/>
      <c r="X32" s="33"/>
      <c r="Y32" s="33"/>
      <c r="Z32" s="64"/>
      <c r="AA32" s="64"/>
    </row>
    <row r="33" spans="1:27" ht="15" thickTop="1" x14ac:dyDescent="0.35">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row>
    <row r="34" spans="1:27" ht="15" thickBot="1" x14ac:dyDescent="0.4">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row>
    <row r="35" spans="1:27" ht="19" thickTop="1" x14ac:dyDescent="0.45">
      <c r="A35" s="4565" t="s">
        <v>804</v>
      </c>
      <c r="B35" s="4566"/>
      <c r="C35" s="4566"/>
      <c r="D35" s="4566"/>
      <c r="E35" s="4566"/>
      <c r="F35" s="4566"/>
      <c r="G35" s="4566"/>
      <c r="H35" s="4566"/>
      <c r="I35" s="4566"/>
      <c r="J35" s="4566"/>
      <c r="K35" s="4567"/>
      <c r="L35" s="64"/>
      <c r="M35" s="64"/>
      <c r="N35" s="64"/>
      <c r="O35" s="64"/>
      <c r="P35" s="64"/>
      <c r="Q35" s="64"/>
      <c r="R35" s="64"/>
      <c r="S35" s="64"/>
      <c r="T35" s="64"/>
      <c r="U35" s="64"/>
      <c r="V35" s="64"/>
      <c r="W35" s="64"/>
      <c r="X35" s="64"/>
      <c r="Y35" s="64"/>
      <c r="Z35" s="64"/>
      <c r="AA35" s="64"/>
    </row>
    <row r="36" spans="1:27" x14ac:dyDescent="0.35">
      <c r="A36" s="4592" t="s">
        <v>800</v>
      </c>
      <c r="B36" s="4562"/>
      <c r="C36" s="4562" t="s">
        <v>801</v>
      </c>
      <c r="D36" s="4562"/>
      <c r="E36" s="4562"/>
      <c r="F36" s="4568" t="s">
        <v>882</v>
      </c>
      <c r="G36" s="4569"/>
      <c r="H36" s="4568" t="s">
        <v>883</v>
      </c>
      <c r="I36" s="4569"/>
      <c r="J36" s="4562" t="s">
        <v>802</v>
      </c>
      <c r="K36" s="4572"/>
      <c r="L36" s="64"/>
      <c r="M36" s="64"/>
      <c r="N36" s="64"/>
      <c r="O36" s="64"/>
      <c r="P36" s="64"/>
      <c r="Q36" s="64"/>
      <c r="R36" s="64"/>
      <c r="S36" s="64"/>
      <c r="T36" s="64"/>
      <c r="U36" s="64"/>
      <c r="V36" s="64"/>
      <c r="W36" s="64"/>
      <c r="X36" s="64"/>
      <c r="Y36" s="64"/>
      <c r="Z36" s="64"/>
      <c r="AA36" s="64"/>
    </row>
    <row r="37" spans="1:27" x14ac:dyDescent="0.35">
      <c r="A37" s="4592"/>
      <c r="B37" s="4562"/>
      <c r="C37" s="4562"/>
      <c r="D37" s="4562"/>
      <c r="E37" s="4562"/>
      <c r="F37" s="4570"/>
      <c r="G37" s="4571"/>
      <c r="H37" s="4570"/>
      <c r="I37" s="4571"/>
      <c r="J37" s="4562"/>
      <c r="K37" s="4572"/>
      <c r="L37" s="64"/>
      <c r="M37" s="64"/>
      <c r="N37" s="64"/>
      <c r="O37" s="64"/>
      <c r="P37" s="64"/>
      <c r="Q37" s="64"/>
      <c r="R37" s="64"/>
      <c r="S37" s="64"/>
      <c r="T37" s="64"/>
      <c r="U37" s="64"/>
      <c r="V37" s="64"/>
      <c r="W37" s="64"/>
      <c r="X37" s="64"/>
      <c r="Y37" s="64"/>
      <c r="Z37" s="64"/>
      <c r="AA37" s="64"/>
    </row>
    <row r="38" spans="1:27" x14ac:dyDescent="0.35">
      <c r="A38" s="4552" t="s">
        <v>362</v>
      </c>
      <c r="B38" s="4553"/>
      <c r="C38" s="4549"/>
      <c r="D38" s="4549"/>
      <c r="E38" s="4549"/>
      <c r="F38" s="4550"/>
      <c r="G38" s="4550"/>
      <c r="H38" s="4550"/>
      <c r="I38" s="4550"/>
      <c r="J38" s="4549"/>
      <c r="K38" s="4551"/>
      <c r="L38" s="64"/>
      <c r="M38" s="64"/>
      <c r="N38" s="64"/>
      <c r="O38" s="64"/>
      <c r="P38" s="64"/>
      <c r="Q38" s="64"/>
      <c r="R38" s="64"/>
      <c r="S38" s="64"/>
      <c r="T38" s="64"/>
      <c r="U38" s="64"/>
      <c r="V38" s="64"/>
      <c r="W38" s="64"/>
      <c r="X38" s="64"/>
      <c r="Y38" s="64"/>
      <c r="Z38" s="64"/>
      <c r="AA38" s="64"/>
    </row>
    <row r="39" spans="1:27" x14ac:dyDescent="0.35">
      <c r="A39" s="4552" t="s">
        <v>885</v>
      </c>
      <c r="B39" s="4553"/>
      <c r="C39" s="4549"/>
      <c r="D39" s="4549"/>
      <c r="E39" s="4549"/>
      <c r="F39" s="4550"/>
      <c r="G39" s="4550"/>
      <c r="H39" s="4550"/>
      <c r="I39" s="4550"/>
      <c r="J39" s="4549"/>
      <c r="K39" s="4551"/>
      <c r="L39" s="64"/>
      <c r="M39" s="64"/>
      <c r="N39" s="64"/>
      <c r="O39" s="64"/>
      <c r="P39" s="64"/>
      <c r="Q39" s="64"/>
      <c r="R39" s="64"/>
      <c r="S39" s="64"/>
      <c r="T39" s="64"/>
      <c r="U39" s="64"/>
      <c r="V39" s="64"/>
      <c r="W39" s="64"/>
      <c r="X39" s="64"/>
      <c r="Y39" s="64"/>
      <c r="Z39" s="64"/>
      <c r="AA39" s="64"/>
    </row>
    <row r="40" spans="1:27" x14ac:dyDescent="0.35">
      <c r="A40" s="4552" t="s">
        <v>886</v>
      </c>
      <c r="B40" s="4553"/>
      <c r="C40" s="4549"/>
      <c r="D40" s="4549"/>
      <c r="E40" s="4549"/>
      <c r="F40" s="4550"/>
      <c r="G40" s="4550"/>
      <c r="H40" s="4550"/>
      <c r="I40" s="4550"/>
      <c r="J40" s="4549"/>
      <c r="K40" s="4551"/>
      <c r="L40" s="64"/>
      <c r="M40" s="64"/>
      <c r="N40" s="64"/>
      <c r="O40" s="64"/>
      <c r="P40" s="64"/>
      <c r="Q40" s="64"/>
      <c r="R40" s="64"/>
      <c r="S40" s="64"/>
      <c r="T40" s="64"/>
      <c r="U40" s="64"/>
      <c r="V40" s="64"/>
      <c r="W40" s="64"/>
      <c r="X40" s="64"/>
      <c r="Y40" s="64"/>
      <c r="Z40" s="64"/>
      <c r="AA40" s="64"/>
    </row>
    <row r="41" spans="1:27" x14ac:dyDescent="0.35">
      <c r="A41" s="4552" t="s">
        <v>887</v>
      </c>
      <c r="B41" s="4553"/>
      <c r="C41" s="4549"/>
      <c r="D41" s="4549"/>
      <c r="E41" s="4549"/>
      <c r="F41" s="4550"/>
      <c r="G41" s="4550"/>
      <c r="H41" s="4550"/>
      <c r="I41" s="4550"/>
      <c r="J41" s="4549"/>
      <c r="K41" s="4551"/>
      <c r="L41" s="64"/>
      <c r="M41" s="64"/>
      <c r="N41" s="64"/>
      <c r="O41" s="64"/>
      <c r="P41" s="64"/>
      <c r="Q41" s="64"/>
      <c r="R41" s="64"/>
      <c r="S41" s="64"/>
      <c r="T41" s="64"/>
      <c r="U41" s="64"/>
      <c r="V41" s="64"/>
      <c r="W41" s="64"/>
      <c r="X41" s="64"/>
      <c r="Y41" s="64"/>
      <c r="Z41" s="64"/>
      <c r="AA41" s="64"/>
    </row>
    <row r="42" spans="1:27" x14ac:dyDescent="0.35">
      <c r="A42" s="4552" t="s">
        <v>888</v>
      </c>
      <c r="B42" s="4553"/>
      <c r="C42" s="4549"/>
      <c r="D42" s="4549"/>
      <c r="E42" s="4549"/>
      <c r="F42" s="4550"/>
      <c r="G42" s="4550"/>
      <c r="H42" s="4550"/>
      <c r="I42" s="4550"/>
      <c r="J42" s="4549"/>
      <c r="K42" s="4551"/>
      <c r="L42" s="64"/>
      <c r="M42" s="64"/>
      <c r="N42" s="64"/>
      <c r="O42" s="64"/>
      <c r="P42" s="64"/>
      <c r="Q42" s="64"/>
      <c r="R42" s="64"/>
      <c r="S42" s="64"/>
      <c r="T42" s="64"/>
      <c r="U42" s="64"/>
      <c r="V42" s="64"/>
      <c r="W42" s="64"/>
      <c r="X42" s="64"/>
      <c r="Y42" s="64"/>
      <c r="Z42" s="64"/>
      <c r="AA42" s="64"/>
    </row>
    <row r="43" spans="1:27" x14ac:dyDescent="0.35">
      <c r="A43" s="4552"/>
      <c r="B43" s="4553"/>
      <c r="C43" s="4549"/>
      <c r="D43" s="4549"/>
      <c r="E43" s="4549"/>
      <c r="F43" s="4550"/>
      <c r="G43" s="4550"/>
      <c r="H43" s="4550"/>
      <c r="I43" s="4550"/>
      <c r="J43" s="4549"/>
      <c r="K43" s="4551"/>
      <c r="L43" s="64"/>
      <c r="M43" s="64"/>
      <c r="N43" s="64"/>
      <c r="O43" s="64"/>
      <c r="P43" s="64"/>
      <c r="Q43" s="64"/>
      <c r="R43" s="64"/>
      <c r="S43" s="64"/>
      <c r="T43" s="64"/>
      <c r="U43" s="64"/>
      <c r="V43" s="64"/>
      <c r="W43" s="64"/>
      <c r="X43" s="64"/>
      <c r="Y43" s="64"/>
      <c r="Z43" s="64"/>
      <c r="AA43" s="64"/>
    </row>
    <row r="44" spans="1:27" x14ac:dyDescent="0.35">
      <c r="A44" s="4552"/>
      <c r="B44" s="4553"/>
      <c r="C44" s="4549"/>
      <c r="D44" s="4549"/>
      <c r="E44" s="4549"/>
      <c r="F44" s="4550"/>
      <c r="G44" s="4550"/>
      <c r="H44" s="4550"/>
      <c r="I44" s="4550"/>
      <c r="J44" s="4549"/>
      <c r="K44" s="4551"/>
      <c r="L44" s="64"/>
      <c r="M44" s="64"/>
      <c r="N44" s="64"/>
      <c r="O44" s="64"/>
      <c r="P44" s="64"/>
      <c r="Q44" s="64"/>
      <c r="R44" s="64"/>
      <c r="S44" s="64"/>
      <c r="T44" s="64"/>
      <c r="U44" s="64"/>
      <c r="V44" s="64"/>
      <c r="W44" s="64"/>
      <c r="X44" s="64"/>
      <c r="Y44" s="64"/>
      <c r="Z44" s="64"/>
      <c r="AA44" s="64"/>
    </row>
    <row r="45" spans="1:27" ht="15" thickBot="1" x14ac:dyDescent="0.4">
      <c r="A45" s="4546"/>
      <c r="B45" s="4547"/>
      <c r="C45" s="4547"/>
      <c r="D45" s="4547"/>
      <c r="E45" s="4547"/>
      <c r="F45" s="4547"/>
      <c r="G45" s="4547"/>
      <c r="H45" s="4547"/>
      <c r="I45" s="4547"/>
      <c r="J45" s="4547"/>
      <c r="K45" s="4548"/>
      <c r="L45" s="64"/>
      <c r="M45" s="64"/>
      <c r="N45" s="64"/>
      <c r="O45" s="64"/>
      <c r="P45" s="64"/>
      <c r="Q45" s="64"/>
      <c r="R45" s="64"/>
      <c r="S45" s="64"/>
      <c r="T45" s="64"/>
      <c r="U45" s="64"/>
      <c r="V45" s="64"/>
      <c r="W45" s="64"/>
      <c r="X45" s="64"/>
      <c r="Y45" s="64"/>
      <c r="Z45" s="64"/>
      <c r="AA45" s="64"/>
    </row>
    <row r="46" spans="1:27" ht="15" thickTop="1" x14ac:dyDescent="0.3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row>
  </sheetData>
  <mergeCells count="94">
    <mergeCell ref="D3:G3"/>
    <mergeCell ref="E1:J1"/>
    <mergeCell ref="L1:O1"/>
    <mergeCell ref="R1:U1"/>
    <mergeCell ref="E2:J2"/>
    <mergeCell ref="L2:O2"/>
    <mergeCell ref="R2:U2"/>
    <mergeCell ref="W6:X6"/>
    <mergeCell ref="A4:J4"/>
    <mergeCell ref="K4:Z4"/>
    <mergeCell ref="A5:B5"/>
    <mergeCell ref="C5:Z5"/>
    <mergeCell ref="A6:A7"/>
    <mergeCell ref="B6:C7"/>
    <mergeCell ref="D6:E6"/>
    <mergeCell ref="F6:G6"/>
    <mergeCell ref="H6:I6"/>
    <mergeCell ref="J6:K6"/>
    <mergeCell ref="Y7:Z7"/>
    <mergeCell ref="A13:C13"/>
    <mergeCell ref="Y6:Z6"/>
    <mergeCell ref="AA6:AA7"/>
    <mergeCell ref="D7:E7"/>
    <mergeCell ref="F7:G7"/>
    <mergeCell ref="H7:I7"/>
    <mergeCell ref="J7:K7"/>
    <mergeCell ref="L7:M7"/>
    <mergeCell ref="S7:T7"/>
    <mergeCell ref="U7:V7"/>
    <mergeCell ref="W7:X7"/>
    <mergeCell ref="L6:M6"/>
    <mergeCell ref="N6:O7"/>
    <mergeCell ref="P6:R7"/>
    <mergeCell ref="S6:T6"/>
    <mergeCell ref="U6:V6"/>
    <mergeCell ref="A8:AA8"/>
    <mergeCell ref="A9:B9"/>
    <mergeCell ref="A10:B10"/>
    <mergeCell ref="A11:B11"/>
    <mergeCell ref="A29:Q32"/>
    <mergeCell ref="T29:V32"/>
    <mergeCell ref="A14:C14"/>
    <mergeCell ref="A16:B16"/>
    <mergeCell ref="A17:B17"/>
    <mergeCell ref="A18:B18"/>
    <mergeCell ref="A19:B19"/>
    <mergeCell ref="A22:Q22"/>
    <mergeCell ref="T22:V22"/>
    <mergeCell ref="A23:Q26"/>
    <mergeCell ref="T23:V26"/>
    <mergeCell ref="A28:Q28"/>
    <mergeCell ref="T28:V28"/>
    <mergeCell ref="A35:K35"/>
    <mergeCell ref="A36:B37"/>
    <mergeCell ref="C36:E37"/>
    <mergeCell ref="F36:G37"/>
    <mergeCell ref="H36:I37"/>
    <mergeCell ref="J36:K37"/>
    <mergeCell ref="A39:B39"/>
    <mergeCell ref="C39:E39"/>
    <mergeCell ref="F39:G39"/>
    <mergeCell ref="H39:I39"/>
    <mergeCell ref="J39:K39"/>
    <mergeCell ref="A38:B38"/>
    <mergeCell ref="C38:E38"/>
    <mergeCell ref="F38:G38"/>
    <mergeCell ref="H38:I38"/>
    <mergeCell ref="J38:K38"/>
    <mergeCell ref="A41:B41"/>
    <mergeCell ref="C41:E41"/>
    <mergeCell ref="F41:G41"/>
    <mergeCell ref="H41:I41"/>
    <mergeCell ref="J41:K41"/>
    <mergeCell ref="A40:B40"/>
    <mergeCell ref="C40:E40"/>
    <mergeCell ref="F40:G40"/>
    <mergeCell ref="H40:I40"/>
    <mergeCell ref="J40:K40"/>
    <mergeCell ref="A45:K45"/>
    <mergeCell ref="A42:B42"/>
    <mergeCell ref="C42:E42"/>
    <mergeCell ref="F42:G42"/>
    <mergeCell ref="H42:I42"/>
    <mergeCell ref="J42:K42"/>
    <mergeCell ref="A43:B43"/>
    <mergeCell ref="C43:E43"/>
    <mergeCell ref="F43:G43"/>
    <mergeCell ref="H43:I43"/>
    <mergeCell ref="J43:K43"/>
    <mergeCell ref="A44:B44"/>
    <mergeCell ref="C44:E44"/>
    <mergeCell ref="F44:G44"/>
    <mergeCell ref="H44:I44"/>
    <mergeCell ref="J44:K44"/>
  </mergeCells>
  <conditionalFormatting sqref="X2">
    <cfRule type="iconSet" priority="2">
      <iconSet iconSet="3Symbols2" showValue="0">
        <cfvo type="percent" val="0"/>
        <cfvo type="num" val="0"/>
        <cfvo type="num" val="10"/>
      </iconSet>
    </cfRule>
  </conditionalFormatting>
  <conditionalFormatting sqref="Y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4E00-000000000000}">
      <formula1>AvancementTheme</formula1>
    </dataValidation>
  </dataValidations>
  <hyperlinks>
    <hyperlink ref="X1" location="DPDV_04GF3" display="PdV" xr:uid="{00000000-0004-0000-4E00-000000000000}"/>
    <hyperlink ref="Y1" location="DKPI_04GF3" display="KPI's" xr:uid="{00000000-0004-0000-4E00-000001000000}"/>
  </hyperlinks>
  <pageMargins left="0.70866141732283472" right="0.70866141732283472" top="0.74803149606299213" bottom="0.74803149606299213" header="0.31496062992125984" footer="0.31496062992125984"/>
  <pageSetup paperSize="9" scale="44" orientation="portrait" r:id="rId1"/>
  <headerFooter>
    <oddHeader>&amp;LPAD Methodology (c) 2013-2014&amp;RStrategic Management Workshop</oddHeader>
    <oddFooter>&amp;L&amp;F&amp;C&amp;A&amp;RSituation au : &amp;D - page : &amp;P/&amp;N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euil55">
    <tabColor theme="2" tint="-0.249977111117893"/>
    <pageSetUpPr fitToPage="1"/>
  </sheetPr>
  <dimension ref="A1:V42"/>
  <sheetViews>
    <sheetView showGridLines="0" showRowColHeaders="0" zoomScaleNormal="100" workbookViewId="0">
      <pane ySplit="8" topLeftCell="A9" activePane="bottomLeft" state="frozen"/>
      <selection activeCell="H7" sqref="H7"/>
      <selection pane="bottomLeft" activeCell="H7" sqref="H7"/>
    </sheetView>
  </sheetViews>
  <sheetFormatPr baseColWidth="10" defaultColWidth="11.453125" defaultRowHeight="14.5" x14ac:dyDescent="0.35"/>
  <cols>
    <col min="1" max="3" width="11.453125" style="60"/>
    <col min="4" max="4" width="10.7265625" style="60" customWidth="1"/>
    <col min="5" max="5" width="11.7265625" style="60" customWidth="1"/>
    <col min="6" max="9" width="10.7265625" style="60" customWidth="1"/>
    <col min="10" max="10" width="9.453125" style="60" customWidth="1"/>
    <col min="11" max="11" width="10.7265625" style="60" customWidth="1"/>
    <col min="12" max="17" width="9.453125" style="60" customWidth="1"/>
    <col min="18"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389"/>
      <c r="P1" s="479" t="s">
        <v>2</v>
      </c>
      <c r="Q1" s="479" t="s">
        <v>3</v>
      </c>
      <c r="R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42420.721608796295</v>
      </c>
      <c r="M2" s="3348"/>
      <c r="N2" s="699"/>
      <c r="O2" s="394"/>
      <c r="P2" s="451">
        <f>IF(LEN(DPDV_06TP3)&gt;0,LEN(DPDV_06TP3),0-PDV_NBmini)</f>
        <v>62</v>
      </c>
      <c r="Q2" s="451">
        <f>IF(LEN(DKPI_06TP3)&gt;0,LEN(DKPI_06TP3),0-KPI_NBmini)</f>
        <v>-10</v>
      </c>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3769" t="str">
        <f>Parametre!B28 &amp; "  : "</f>
        <v xml:space="preserve">Typologie des partenaires  : </v>
      </c>
      <c r="B4" s="3769"/>
      <c r="C4" s="3769"/>
      <c r="D4" s="3769"/>
      <c r="E4" s="3769"/>
      <c r="F4" s="3769"/>
      <c r="G4" s="3769"/>
      <c r="H4" s="3767" t="str">
        <f>"Quels Partenaires pour " &amp; NomProd3</f>
        <v xml:space="preserve">Quels Partenaires pour </v>
      </c>
      <c r="I4" s="3767"/>
      <c r="J4" s="3767"/>
      <c r="K4" s="3767"/>
      <c r="L4" s="3767"/>
      <c r="M4" s="3767"/>
      <c r="N4" s="3767"/>
      <c r="O4" s="3767"/>
      <c r="P4" s="3767"/>
      <c r="Q4" s="3768"/>
      <c r="R4" s="444"/>
    </row>
    <row r="5" spans="1:22" s="25" customFormat="1" ht="36" customHeight="1" thickBot="1" x14ac:dyDescent="0.4">
      <c r="A5" s="3438" t="s">
        <v>14</v>
      </c>
      <c r="B5" s="3438"/>
      <c r="C5" s="3508" t="s">
        <v>810</v>
      </c>
      <c r="D5" s="3508"/>
      <c r="E5" s="3508"/>
      <c r="F5" s="3508"/>
      <c r="G5" s="3508"/>
      <c r="H5" s="3508"/>
      <c r="I5" s="3508"/>
      <c r="J5" s="3508"/>
      <c r="K5" s="3508"/>
      <c r="L5" s="3508"/>
      <c r="M5" s="3508"/>
      <c r="N5" s="3508"/>
      <c r="O5" s="3508"/>
      <c r="P5" s="3508"/>
      <c r="Q5" s="3508"/>
      <c r="R5" s="767"/>
    </row>
    <row r="6" spans="1:22" s="118" customFormat="1" ht="30.75" customHeight="1" thickTop="1" x14ac:dyDescent="0.35">
      <c r="A6" s="4636" t="s">
        <v>463</v>
      </c>
      <c r="B6" s="4637"/>
      <c r="C6" s="4637"/>
      <c r="D6" s="4645"/>
      <c r="E6" s="837" t="s">
        <v>462</v>
      </c>
      <c r="F6" s="4642" t="s">
        <v>461</v>
      </c>
      <c r="G6" s="4643"/>
      <c r="H6" s="4643"/>
      <c r="I6" s="4644"/>
      <c r="J6" s="4636" t="s">
        <v>460</v>
      </c>
      <c r="K6" s="4637"/>
      <c r="L6" s="4637"/>
      <c r="M6" s="4637"/>
      <c r="N6" s="4637"/>
      <c r="O6" s="4637"/>
      <c r="P6" s="4637"/>
      <c r="Q6" s="4638"/>
      <c r="R6" s="836"/>
    </row>
    <row r="7" spans="1:22" s="118" customFormat="1" ht="72.75" customHeight="1" x14ac:dyDescent="0.35">
      <c r="A7" s="4649" t="s">
        <v>459</v>
      </c>
      <c r="B7" s="4650"/>
      <c r="C7" s="4650"/>
      <c r="D7" s="4651"/>
      <c r="E7" s="838" t="s">
        <v>508</v>
      </c>
      <c r="F7" s="839" t="s">
        <v>173</v>
      </c>
      <c r="G7" s="840" t="s">
        <v>510</v>
      </c>
      <c r="H7" s="840" t="s">
        <v>509</v>
      </c>
      <c r="I7" s="841" t="s">
        <v>511</v>
      </c>
      <c r="J7" s="4632" t="s">
        <v>458</v>
      </c>
      <c r="K7" s="4633"/>
      <c r="L7" s="4634" t="s">
        <v>457</v>
      </c>
      <c r="M7" s="4634"/>
      <c r="N7" s="4634" t="s">
        <v>456</v>
      </c>
      <c r="O7" s="4634"/>
      <c r="P7" s="4634" t="s">
        <v>455</v>
      </c>
      <c r="Q7" s="4635"/>
      <c r="R7" s="842"/>
    </row>
    <row r="8" spans="1:22" s="118" customFormat="1" ht="0.75" customHeight="1" x14ac:dyDescent="0.35">
      <c r="A8" s="843" t="s">
        <v>454</v>
      </c>
      <c r="B8" s="844"/>
      <c r="C8" s="845"/>
      <c r="D8" s="846"/>
      <c r="E8" s="847"/>
      <c r="F8" s="848"/>
      <c r="G8" s="849"/>
      <c r="H8" s="844"/>
      <c r="I8" s="850"/>
      <c r="J8" s="851"/>
      <c r="K8" s="852"/>
      <c r="L8" s="853"/>
      <c r="M8" s="854"/>
      <c r="N8" s="854"/>
      <c r="O8" s="854"/>
      <c r="P8" s="854"/>
      <c r="Q8" s="855"/>
      <c r="R8" s="836"/>
    </row>
    <row r="9" spans="1:22" s="118" customFormat="1" ht="0.75" customHeight="1" x14ac:dyDescent="0.35">
      <c r="A9" s="843"/>
      <c r="B9" s="844"/>
      <c r="C9" s="845"/>
      <c r="D9" s="846"/>
      <c r="E9" s="847"/>
      <c r="F9" s="848"/>
      <c r="G9" s="849"/>
      <c r="H9" s="844"/>
      <c r="I9" s="850"/>
      <c r="J9" s="851"/>
      <c r="K9" s="852"/>
      <c r="L9" s="853"/>
      <c r="M9" s="854"/>
      <c r="N9" s="854"/>
      <c r="O9" s="854"/>
      <c r="P9" s="854"/>
      <c r="Q9" s="855"/>
      <c r="R9" s="836"/>
    </row>
    <row r="10" spans="1:22" s="121" customFormat="1" ht="9.75" customHeight="1" x14ac:dyDescent="0.35">
      <c r="A10" s="5577"/>
      <c r="B10" s="5578"/>
      <c r="C10" s="5578"/>
      <c r="D10" s="5578"/>
      <c r="E10" s="5578"/>
      <c r="F10" s="5578"/>
      <c r="G10" s="5578"/>
      <c r="H10" s="5578"/>
      <c r="I10" s="5578"/>
      <c r="J10" s="5578"/>
      <c r="K10" s="5578"/>
      <c r="L10" s="5578"/>
      <c r="M10" s="5578"/>
      <c r="N10" s="5578"/>
      <c r="O10" s="5578"/>
      <c r="P10" s="5578"/>
      <c r="Q10" s="5579"/>
      <c r="R10" s="856"/>
    </row>
    <row r="11" spans="1:22" s="116" customFormat="1" ht="35.25" customHeight="1" x14ac:dyDescent="0.3">
      <c r="A11" s="5572" t="s">
        <v>614</v>
      </c>
      <c r="B11" s="5573"/>
      <c r="C11" s="5573"/>
      <c r="D11" s="5574"/>
      <c r="E11" s="156" t="s">
        <v>741</v>
      </c>
      <c r="F11" s="375"/>
      <c r="G11" s="370"/>
      <c r="H11" s="148"/>
      <c r="I11" s="140"/>
      <c r="J11" s="5567"/>
      <c r="K11" s="5568"/>
      <c r="L11" s="5569"/>
      <c r="M11" s="5569"/>
      <c r="N11" s="5570"/>
      <c r="O11" s="5570"/>
      <c r="P11" s="5570"/>
      <c r="Q11" s="5571"/>
      <c r="R11" s="651"/>
    </row>
    <row r="12" spans="1:22" s="118" customFormat="1" ht="35.25" customHeight="1" x14ac:dyDescent="0.35">
      <c r="A12" s="5564" t="s">
        <v>610</v>
      </c>
      <c r="B12" s="5565"/>
      <c r="C12" s="5565"/>
      <c r="D12" s="5566"/>
      <c r="E12" s="156"/>
      <c r="F12" s="375"/>
      <c r="G12" s="370"/>
      <c r="H12" s="148"/>
      <c r="I12" s="140"/>
      <c r="J12" s="5575"/>
      <c r="K12" s="5576"/>
      <c r="L12" s="5569"/>
      <c r="M12" s="5569"/>
      <c r="N12" s="5570"/>
      <c r="O12" s="5570"/>
      <c r="P12" s="5570"/>
      <c r="Q12" s="5571"/>
      <c r="R12" s="836"/>
    </row>
    <row r="13" spans="1:22" s="118" customFormat="1" ht="35.25" customHeight="1" x14ac:dyDescent="0.35">
      <c r="A13" s="5564" t="s">
        <v>453</v>
      </c>
      <c r="B13" s="5565"/>
      <c r="C13" s="5565"/>
      <c r="D13" s="5566"/>
      <c r="E13" s="156"/>
      <c r="F13" s="375"/>
      <c r="G13" s="370"/>
      <c r="H13" s="148"/>
      <c r="I13" s="140"/>
      <c r="J13" s="5567"/>
      <c r="K13" s="5568"/>
      <c r="L13" s="5569"/>
      <c r="M13" s="5569"/>
      <c r="N13" s="5570"/>
      <c r="O13" s="5570"/>
      <c r="P13" s="5570"/>
      <c r="Q13" s="5571"/>
      <c r="R13" s="836"/>
    </row>
    <row r="14" spans="1:22" s="123" customFormat="1" ht="35.25" customHeight="1" x14ac:dyDescent="0.3">
      <c r="A14" s="5564" t="s">
        <v>452</v>
      </c>
      <c r="B14" s="5565"/>
      <c r="C14" s="5565"/>
      <c r="D14" s="5566"/>
      <c r="E14" s="156"/>
      <c r="F14" s="153"/>
      <c r="G14" s="154"/>
      <c r="H14" s="154"/>
      <c r="I14" s="155"/>
      <c r="J14" s="5567"/>
      <c r="K14" s="5568"/>
      <c r="L14" s="5569"/>
      <c r="M14" s="5569"/>
      <c r="N14" s="5570"/>
      <c r="O14" s="5570"/>
      <c r="P14" s="5570"/>
      <c r="Q14" s="5571"/>
      <c r="R14" s="857"/>
    </row>
    <row r="15" spans="1:22" s="123" customFormat="1" ht="35.25" customHeight="1" x14ac:dyDescent="0.3">
      <c r="A15" s="5564" t="s">
        <v>451</v>
      </c>
      <c r="B15" s="5565"/>
      <c r="C15" s="5565"/>
      <c r="D15" s="5566"/>
      <c r="E15" s="156"/>
      <c r="F15" s="153"/>
      <c r="G15" s="154"/>
      <c r="H15" s="154"/>
      <c r="I15" s="155"/>
      <c r="J15" s="5567"/>
      <c r="K15" s="5568"/>
      <c r="L15" s="5569"/>
      <c r="M15" s="5569"/>
      <c r="N15" s="5570"/>
      <c r="O15" s="5570"/>
      <c r="P15" s="5570"/>
      <c r="Q15" s="5571"/>
      <c r="R15" s="857"/>
    </row>
    <row r="16" spans="1:22" s="124" customFormat="1" ht="35.25" customHeight="1" x14ac:dyDescent="0.35">
      <c r="A16" s="5564" t="s">
        <v>450</v>
      </c>
      <c r="B16" s="5565"/>
      <c r="C16" s="5565"/>
      <c r="D16" s="5566"/>
      <c r="E16" s="156"/>
      <c r="F16" s="375"/>
      <c r="G16" s="370"/>
      <c r="H16" s="370"/>
      <c r="I16" s="374"/>
      <c r="J16" s="5567"/>
      <c r="K16" s="5568"/>
      <c r="L16" s="5569"/>
      <c r="M16" s="5569"/>
      <c r="N16" s="5570"/>
      <c r="O16" s="5570"/>
      <c r="P16" s="5570"/>
      <c r="Q16" s="5571"/>
      <c r="R16" s="858"/>
    </row>
    <row r="17" spans="1:18" s="118" customFormat="1" ht="35.25" customHeight="1" x14ac:dyDescent="0.35">
      <c r="A17" s="5564" t="s">
        <v>449</v>
      </c>
      <c r="B17" s="5565"/>
      <c r="C17" s="5565"/>
      <c r="D17" s="5566"/>
      <c r="E17" s="156"/>
      <c r="F17" s="375"/>
      <c r="G17" s="370"/>
      <c r="H17" s="148"/>
      <c r="I17" s="140"/>
      <c r="J17" s="5567"/>
      <c r="K17" s="5568"/>
      <c r="L17" s="5569"/>
      <c r="M17" s="5569"/>
      <c r="N17" s="5570"/>
      <c r="O17" s="5570"/>
      <c r="P17" s="5570"/>
      <c r="Q17" s="5571"/>
      <c r="R17" s="836"/>
    </row>
    <row r="18" spans="1:18" s="118" customFormat="1" ht="35.25" customHeight="1" x14ac:dyDescent="0.35">
      <c r="A18" s="5564" t="s">
        <v>448</v>
      </c>
      <c r="B18" s="5565"/>
      <c r="C18" s="5565"/>
      <c r="D18" s="5566"/>
      <c r="E18" s="156"/>
      <c r="F18" s="375"/>
      <c r="G18" s="370"/>
      <c r="H18" s="148"/>
      <c r="I18" s="140"/>
      <c r="J18" s="5567"/>
      <c r="K18" s="5568"/>
      <c r="L18" s="5569"/>
      <c r="M18" s="5569"/>
      <c r="N18" s="5570"/>
      <c r="O18" s="5570"/>
      <c r="P18" s="5570"/>
      <c r="Q18" s="5571"/>
      <c r="R18" s="836"/>
    </row>
    <row r="19" spans="1:18" s="124" customFormat="1" ht="35.25" customHeight="1" x14ac:dyDescent="0.35">
      <c r="A19" s="5564" t="s">
        <v>447</v>
      </c>
      <c r="B19" s="5565"/>
      <c r="C19" s="5565"/>
      <c r="D19" s="5566"/>
      <c r="E19" s="156"/>
      <c r="F19" s="375"/>
      <c r="G19" s="370"/>
      <c r="H19" s="370"/>
      <c r="I19" s="374"/>
      <c r="J19" s="5567"/>
      <c r="K19" s="5568"/>
      <c r="L19" s="5569"/>
      <c r="M19" s="5569"/>
      <c r="N19" s="5570"/>
      <c r="O19" s="5570"/>
      <c r="P19" s="5570"/>
      <c r="Q19" s="5571"/>
      <c r="R19" s="858"/>
    </row>
    <row r="20" spans="1:18" s="124" customFormat="1" ht="35.25" customHeight="1" x14ac:dyDescent="0.35">
      <c r="A20" s="5564" t="s">
        <v>446</v>
      </c>
      <c r="B20" s="5565"/>
      <c r="C20" s="5565"/>
      <c r="D20" s="5566"/>
      <c r="E20" s="156"/>
      <c r="F20" s="375"/>
      <c r="G20" s="370"/>
      <c r="H20" s="370"/>
      <c r="I20" s="374"/>
      <c r="J20" s="5567"/>
      <c r="K20" s="5568"/>
      <c r="L20" s="5569"/>
      <c r="M20" s="5569"/>
      <c r="N20" s="5570"/>
      <c r="O20" s="5570"/>
      <c r="P20" s="5570"/>
      <c r="Q20" s="5571"/>
      <c r="R20" s="858"/>
    </row>
    <row r="21" spans="1:18" s="124" customFormat="1" ht="35.25" customHeight="1" x14ac:dyDescent="0.35">
      <c r="A21" s="5564" t="s">
        <v>445</v>
      </c>
      <c r="B21" s="5565"/>
      <c r="C21" s="5565"/>
      <c r="D21" s="5566"/>
      <c r="E21" s="156"/>
      <c r="F21" s="375"/>
      <c r="G21" s="370"/>
      <c r="H21" s="370"/>
      <c r="I21" s="374"/>
      <c r="J21" s="5567"/>
      <c r="K21" s="5568"/>
      <c r="L21" s="5569"/>
      <c r="M21" s="5569"/>
      <c r="N21" s="5570"/>
      <c r="O21" s="5570"/>
      <c r="P21" s="5570"/>
      <c r="Q21" s="5571"/>
      <c r="R21" s="858"/>
    </row>
    <row r="22" spans="1:18" s="124" customFormat="1" ht="35.25" customHeight="1" x14ac:dyDescent="0.35">
      <c r="A22" s="5564" t="s">
        <v>512</v>
      </c>
      <c r="B22" s="5565"/>
      <c r="C22" s="5565"/>
      <c r="D22" s="5566"/>
      <c r="E22" s="156" t="s">
        <v>151</v>
      </c>
      <c r="F22" s="375"/>
      <c r="G22" s="370"/>
      <c r="H22" s="370"/>
      <c r="I22" s="374"/>
      <c r="J22" s="5567"/>
      <c r="K22" s="5568"/>
      <c r="L22" s="5569"/>
      <c r="M22" s="5569"/>
      <c r="N22" s="5570"/>
      <c r="O22" s="5570"/>
      <c r="P22" s="5570"/>
      <c r="Q22" s="5571"/>
      <c r="R22" s="858"/>
    </row>
    <row r="23" spans="1:18" s="124" customFormat="1" ht="35.25" customHeight="1" x14ac:dyDescent="0.35">
      <c r="A23" s="5572" t="s">
        <v>444</v>
      </c>
      <c r="B23" s="5573"/>
      <c r="C23" s="5573"/>
      <c r="D23" s="5574"/>
      <c r="E23" s="156"/>
      <c r="F23" s="375"/>
      <c r="G23" s="370"/>
      <c r="H23" s="370"/>
      <c r="I23" s="374"/>
      <c r="J23" s="5567"/>
      <c r="K23" s="5568"/>
      <c r="L23" s="5569"/>
      <c r="M23" s="5569"/>
      <c r="N23" s="5570"/>
      <c r="O23" s="5570"/>
      <c r="P23" s="5570"/>
      <c r="Q23" s="5571"/>
      <c r="R23" s="858"/>
    </row>
    <row r="24" spans="1:18" s="124" customFormat="1" ht="35.25" customHeight="1" x14ac:dyDescent="0.35">
      <c r="A24" s="5564" t="s">
        <v>443</v>
      </c>
      <c r="B24" s="5565"/>
      <c r="C24" s="5565"/>
      <c r="D24" s="5566"/>
      <c r="E24" s="156"/>
      <c r="F24" s="375"/>
      <c r="G24" s="370"/>
      <c r="H24" s="370"/>
      <c r="I24" s="374"/>
      <c r="J24" s="5567"/>
      <c r="K24" s="5568"/>
      <c r="L24" s="5569"/>
      <c r="M24" s="5569"/>
      <c r="N24" s="5570"/>
      <c r="O24" s="5570"/>
      <c r="P24" s="5570"/>
      <c r="Q24" s="5571"/>
      <c r="R24" s="858"/>
    </row>
    <row r="25" spans="1:18" s="124" customFormat="1" ht="35.25" customHeight="1" x14ac:dyDescent="0.35">
      <c r="A25" s="5564" t="s">
        <v>184</v>
      </c>
      <c r="B25" s="5565"/>
      <c r="C25" s="5565"/>
      <c r="D25" s="5566"/>
      <c r="E25" s="156"/>
      <c r="F25" s="375"/>
      <c r="G25" s="370"/>
      <c r="H25" s="370"/>
      <c r="I25" s="374"/>
      <c r="J25" s="5567"/>
      <c r="K25" s="5568"/>
      <c r="L25" s="5569"/>
      <c r="M25" s="5569"/>
      <c r="N25" s="5570"/>
      <c r="O25" s="5570"/>
      <c r="P25" s="5570"/>
      <c r="Q25" s="5571"/>
      <c r="R25" s="858"/>
    </row>
    <row r="26" spans="1:18" s="124" customFormat="1" ht="35.25" customHeight="1" x14ac:dyDescent="0.35">
      <c r="A26" s="5564" t="s">
        <v>128</v>
      </c>
      <c r="B26" s="5565"/>
      <c r="C26" s="5565"/>
      <c r="D26" s="5566"/>
      <c r="E26" s="156"/>
      <c r="F26" s="375"/>
      <c r="G26" s="370"/>
      <c r="H26" s="370"/>
      <c r="I26" s="374"/>
      <c r="J26" s="5567"/>
      <c r="K26" s="5568"/>
      <c r="L26" s="5569"/>
      <c r="M26" s="5569"/>
      <c r="N26" s="5570"/>
      <c r="O26" s="5570"/>
      <c r="P26" s="5570"/>
      <c r="Q26" s="5571"/>
      <c r="R26" s="858"/>
    </row>
    <row r="27" spans="1:18" s="121" customFormat="1" ht="7.5" customHeight="1" thickBot="1" x14ac:dyDescent="0.4">
      <c r="A27" s="3770"/>
      <c r="B27" s="3771"/>
      <c r="C27" s="3771"/>
      <c r="D27" s="3771"/>
      <c r="E27" s="3771"/>
      <c r="F27" s="3771"/>
      <c r="G27" s="3771"/>
      <c r="H27" s="3771"/>
      <c r="I27" s="3771"/>
      <c r="J27" s="3771"/>
      <c r="K27" s="3771"/>
      <c r="L27" s="3771"/>
      <c r="M27" s="3771"/>
      <c r="N27" s="3771"/>
      <c r="O27" s="3771"/>
      <c r="P27" s="3771"/>
      <c r="Q27" s="3772"/>
      <c r="R27" s="856"/>
    </row>
    <row r="28" spans="1:18" ht="13.5" customHeight="1" thickTop="1" x14ac:dyDescent="0.35">
      <c r="A28" s="859"/>
      <c r="B28" s="859"/>
      <c r="C28" s="860"/>
      <c r="D28" s="860"/>
      <c r="E28" s="860"/>
      <c r="F28" s="860"/>
      <c r="G28" s="860"/>
      <c r="H28" s="860"/>
      <c r="I28" s="860"/>
      <c r="J28" s="860"/>
      <c r="K28" s="860"/>
      <c r="L28" s="860"/>
      <c r="M28" s="860"/>
      <c r="N28" s="860"/>
      <c r="O28" s="861"/>
      <c r="P28" s="861"/>
      <c r="Q28" s="860"/>
      <c r="R28" s="64"/>
    </row>
    <row r="29" spans="1:18" ht="15" thickBot="1" x14ac:dyDescent="0.4">
      <c r="A29" s="64"/>
      <c r="B29" s="64"/>
      <c r="C29" s="64"/>
      <c r="D29" s="64"/>
      <c r="E29" s="64"/>
      <c r="F29" s="64"/>
      <c r="G29" s="64"/>
      <c r="H29" s="64"/>
      <c r="I29" s="64"/>
      <c r="J29" s="64"/>
      <c r="K29" s="64"/>
      <c r="L29" s="64"/>
      <c r="M29" s="64"/>
      <c r="N29" s="64"/>
      <c r="O29" s="64"/>
      <c r="P29" s="64"/>
      <c r="Q29" s="64"/>
      <c r="R29" s="64"/>
    </row>
    <row r="30" spans="1:18" ht="19.5" thickTop="1" thickBot="1" x14ac:dyDescent="0.4">
      <c r="A30" s="3728" t="s">
        <v>10</v>
      </c>
      <c r="B30" s="3729"/>
      <c r="C30" s="3729"/>
      <c r="D30" s="3729"/>
      <c r="E30" s="3729"/>
      <c r="F30" s="3729"/>
      <c r="G30" s="3729"/>
      <c r="H30" s="3729"/>
      <c r="I30" s="3729"/>
      <c r="J30" s="3729"/>
      <c r="K30" s="3730"/>
      <c r="L30" s="31"/>
      <c r="M30" s="3725" t="s">
        <v>748</v>
      </c>
      <c r="N30" s="3726"/>
      <c r="O30" s="3727"/>
      <c r="P30" s="31"/>
      <c r="Q30" s="31"/>
      <c r="R30" s="64"/>
    </row>
    <row r="31" spans="1:18" ht="20.25" customHeight="1" x14ac:dyDescent="0.35">
      <c r="A31" s="5563" t="s">
        <v>611</v>
      </c>
      <c r="B31" s="4611"/>
      <c r="C31" s="4611"/>
      <c r="D31" s="4611"/>
      <c r="E31" s="4611"/>
      <c r="F31" s="4611"/>
      <c r="G31" s="4611"/>
      <c r="H31" s="4611"/>
      <c r="I31" s="4611"/>
      <c r="J31" s="4611"/>
      <c r="K31" s="4612"/>
      <c r="L31" s="33"/>
      <c r="M31" s="3750" t="s">
        <v>811</v>
      </c>
      <c r="N31" s="3751"/>
      <c r="O31" s="3752"/>
      <c r="P31" s="33"/>
      <c r="Q31" s="33"/>
      <c r="R31" s="64"/>
    </row>
    <row r="32" spans="1:18" ht="20.25" customHeight="1" x14ac:dyDescent="0.35">
      <c r="A32" s="4613"/>
      <c r="B32" s="4614"/>
      <c r="C32" s="4614"/>
      <c r="D32" s="4614"/>
      <c r="E32" s="4614"/>
      <c r="F32" s="4614"/>
      <c r="G32" s="4614"/>
      <c r="H32" s="4614"/>
      <c r="I32" s="4614"/>
      <c r="J32" s="4614"/>
      <c r="K32" s="4615"/>
      <c r="L32" s="33"/>
      <c r="M32" s="3753"/>
      <c r="N32" s="3754"/>
      <c r="O32" s="3755"/>
      <c r="P32" s="33"/>
      <c r="Q32" s="33"/>
      <c r="R32" s="64"/>
    </row>
    <row r="33" spans="1:18" ht="20.25" customHeight="1" x14ac:dyDescent="0.35">
      <c r="A33" s="4613"/>
      <c r="B33" s="4614"/>
      <c r="C33" s="4614"/>
      <c r="D33" s="4614"/>
      <c r="E33" s="4614"/>
      <c r="F33" s="4614"/>
      <c r="G33" s="4614"/>
      <c r="H33" s="4614"/>
      <c r="I33" s="4614"/>
      <c r="J33" s="4614"/>
      <c r="K33" s="4615"/>
      <c r="L33" s="33"/>
      <c r="M33" s="3753"/>
      <c r="N33" s="3754"/>
      <c r="O33" s="3755"/>
      <c r="P33" s="33"/>
      <c r="Q33" s="33"/>
      <c r="R33" s="64"/>
    </row>
    <row r="34" spans="1:18" ht="20.25" customHeight="1" thickBot="1" x14ac:dyDescent="0.4">
      <c r="A34" s="4613"/>
      <c r="B34" s="4614"/>
      <c r="C34" s="4614"/>
      <c r="D34" s="4614"/>
      <c r="E34" s="4614"/>
      <c r="F34" s="4614"/>
      <c r="G34" s="4614"/>
      <c r="H34" s="4614"/>
      <c r="I34" s="4614"/>
      <c r="J34" s="4614"/>
      <c r="K34" s="4615"/>
      <c r="L34" s="33"/>
      <c r="M34" s="3756"/>
      <c r="N34" s="3757"/>
      <c r="O34" s="3758"/>
      <c r="P34" s="33"/>
      <c r="Q34" s="33"/>
      <c r="R34" s="64"/>
    </row>
    <row r="35" spans="1:18" ht="20.25" customHeight="1" thickBot="1" x14ac:dyDescent="0.4">
      <c r="A35" s="4616"/>
      <c r="B35" s="4617"/>
      <c r="C35" s="4617"/>
      <c r="D35" s="4617"/>
      <c r="E35" s="4617"/>
      <c r="F35" s="4617"/>
      <c r="G35" s="4617"/>
      <c r="H35" s="4617"/>
      <c r="I35" s="4617"/>
      <c r="J35" s="4617"/>
      <c r="K35" s="4618"/>
      <c r="L35" s="33"/>
      <c r="M35" s="31"/>
      <c r="N35" s="31"/>
      <c r="O35" s="31"/>
      <c r="P35" s="33"/>
      <c r="Q35" s="33"/>
      <c r="R35" s="64"/>
    </row>
    <row r="36" spans="1:18" ht="20.25" customHeight="1" thickTop="1" thickBot="1" x14ac:dyDescent="0.4">
      <c r="A36" s="64"/>
      <c r="B36" s="64"/>
      <c r="C36" s="64"/>
      <c r="D36" s="64"/>
      <c r="E36" s="64"/>
      <c r="F36" s="64"/>
      <c r="G36" s="64"/>
      <c r="H36" s="64"/>
      <c r="I36" s="64"/>
      <c r="J36" s="64"/>
      <c r="K36" s="64"/>
      <c r="L36" s="33"/>
      <c r="M36" s="3725" t="s">
        <v>748</v>
      </c>
      <c r="N36" s="3726"/>
      <c r="O36" s="3727"/>
      <c r="P36" s="33"/>
      <c r="Q36" s="33"/>
      <c r="R36" s="64"/>
    </row>
    <row r="37" spans="1:18" ht="16.5" customHeight="1" thickTop="1" x14ac:dyDescent="0.35">
      <c r="A37" s="3728" t="s">
        <v>11</v>
      </c>
      <c r="B37" s="3729"/>
      <c r="C37" s="3729"/>
      <c r="D37" s="3729"/>
      <c r="E37" s="3729"/>
      <c r="F37" s="3729"/>
      <c r="G37" s="3729"/>
      <c r="H37" s="3729"/>
      <c r="I37" s="3729"/>
      <c r="J37" s="3729"/>
      <c r="K37" s="3730"/>
      <c r="L37" s="64"/>
      <c r="M37" s="3750" t="s">
        <v>812</v>
      </c>
      <c r="N37" s="3751"/>
      <c r="O37" s="3752"/>
      <c r="P37" s="64"/>
      <c r="Q37" s="64"/>
      <c r="R37" s="64"/>
    </row>
    <row r="38" spans="1:18" x14ac:dyDescent="0.35">
      <c r="A38" s="4628"/>
      <c r="B38" s="4626"/>
      <c r="C38" s="4626"/>
      <c r="D38" s="4626"/>
      <c r="E38" s="4626"/>
      <c r="F38" s="4626"/>
      <c r="G38" s="4626"/>
      <c r="H38" s="4626"/>
      <c r="I38" s="4626"/>
      <c r="J38" s="4626"/>
      <c r="K38" s="4627"/>
      <c r="L38" s="31"/>
      <c r="M38" s="3753"/>
      <c r="N38" s="3754"/>
      <c r="O38" s="3755"/>
      <c r="P38" s="31"/>
      <c r="Q38" s="31"/>
      <c r="R38" s="64"/>
    </row>
    <row r="39" spans="1:18" ht="20.25" customHeight="1" x14ac:dyDescent="0.35">
      <c r="A39" s="4628"/>
      <c r="B39" s="4626"/>
      <c r="C39" s="4626"/>
      <c r="D39" s="4626"/>
      <c r="E39" s="4626"/>
      <c r="F39" s="4626"/>
      <c r="G39" s="4626"/>
      <c r="H39" s="4626"/>
      <c r="I39" s="4626"/>
      <c r="J39" s="4626"/>
      <c r="K39" s="4627"/>
      <c r="L39" s="33"/>
      <c r="M39" s="3753"/>
      <c r="N39" s="3754"/>
      <c r="O39" s="3755"/>
      <c r="P39" s="33"/>
      <c r="Q39" s="33"/>
      <c r="R39" s="64"/>
    </row>
    <row r="40" spans="1:18" ht="20.25" customHeight="1" thickBot="1" x14ac:dyDescent="0.4">
      <c r="A40" s="4628"/>
      <c r="B40" s="4626"/>
      <c r="C40" s="4626"/>
      <c r="D40" s="4626"/>
      <c r="E40" s="4626"/>
      <c r="F40" s="4626"/>
      <c r="G40" s="4626"/>
      <c r="H40" s="4626"/>
      <c r="I40" s="4626"/>
      <c r="J40" s="4626"/>
      <c r="K40" s="4627"/>
      <c r="L40" s="33"/>
      <c r="M40" s="3756"/>
      <c r="N40" s="3757"/>
      <c r="O40" s="3758"/>
      <c r="P40" s="33"/>
      <c r="Q40" s="33"/>
      <c r="R40" s="64"/>
    </row>
    <row r="41" spans="1:18" ht="20.25" customHeight="1" thickBot="1" x14ac:dyDescent="0.4">
      <c r="A41" s="4629"/>
      <c r="B41" s="4630"/>
      <c r="C41" s="4630"/>
      <c r="D41" s="4630"/>
      <c r="E41" s="4630"/>
      <c r="F41" s="4630"/>
      <c r="G41" s="4630"/>
      <c r="H41" s="4630"/>
      <c r="I41" s="4630"/>
      <c r="J41" s="4630"/>
      <c r="K41" s="4631"/>
      <c r="L41" s="33"/>
      <c r="M41" s="33"/>
      <c r="N41" s="33"/>
      <c r="O41" s="33"/>
      <c r="P41" s="33"/>
      <c r="Q41" s="33"/>
      <c r="R41" s="64"/>
    </row>
    <row r="42" spans="1:18" ht="20.25" customHeight="1" thickTop="1" x14ac:dyDescent="0.35">
      <c r="A42" s="64"/>
      <c r="B42" s="64"/>
      <c r="C42" s="64"/>
      <c r="D42" s="64"/>
      <c r="E42" s="64"/>
      <c r="F42" s="64"/>
      <c r="G42" s="64"/>
      <c r="H42" s="64"/>
      <c r="I42" s="64"/>
      <c r="J42" s="64"/>
      <c r="K42" s="64"/>
      <c r="L42" s="33"/>
      <c r="M42" s="33"/>
      <c r="N42" s="33"/>
      <c r="O42" s="33"/>
      <c r="P42" s="33"/>
      <c r="Q42" s="33"/>
      <c r="R42" s="64"/>
    </row>
  </sheetData>
  <mergeCells count="109">
    <mergeCell ref="D1:G1"/>
    <mergeCell ref="I1:J1"/>
    <mergeCell ref="L1:M1"/>
    <mergeCell ref="D2:G2"/>
    <mergeCell ref="I2:J2"/>
    <mergeCell ref="L2:M2"/>
    <mergeCell ref="A7:D7"/>
    <mergeCell ref="J7:K7"/>
    <mergeCell ref="L7:M7"/>
    <mergeCell ref="D3:G3"/>
    <mergeCell ref="N7:O7"/>
    <mergeCell ref="P7:Q7"/>
    <mergeCell ref="A10:Q10"/>
    <mergeCell ref="H4:Q4"/>
    <mergeCell ref="A5:B5"/>
    <mergeCell ref="C5:Q5"/>
    <mergeCell ref="A6:D6"/>
    <mergeCell ref="F6:I6"/>
    <mergeCell ref="J6:Q6"/>
    <mergeCell ref="A11:D11"/>
    <mergeCell ref="J11:K11"/>
    <mergeCell ref="L11:M11"/>
    <mergeCell ref="N11:O11"/>
    <mergeCell ref="P11:Q11"/>
    <mergeCell ref="A12:D12"/>
    <mergeCell ref="J12:K12"/>
    <mergeCell ref="L12:M12"/>
    <mergeCell ref="N12:O12"/>
    <mergeCell ref="P12:Q12"/>
    <mergeCell ref="A13:D13"/>
    <mergeCell ref="J13:K13"/>
    <mergeCell ref="L13:M13"/>
    <mergeCell ref="N13:O13"/>
    <mergeCell ref="P13:Q13"/>
    <mergeCell ref="A14:D14"/>
    <mergeCell ref="J14:K14"/>
    <mergeCell ref="L14:M14"/>
    <mergeCell ref="N14:O14"/>
    <mergeCell ref="P14:Q14"/>
    <mergeCell ref="A15:D15"/>
    <mergeCell ref="J15:K15"/>
    <mergeCell ref="L15:M15"/>
    <mergeCell ref="N15:O15"/>
    <mergeCell ref="P15:Q15"/>
    <mergeCell ref="A16:D16"/>
    <mergeCell ref="J16:K16"/>
    <mergeCell ref="L16:M16"/>
    <mergeCell ref="N16:O16"/>
    <mergeCell ref="P16:Q16"/>
    <mergeCell ref="A17:D17"/>
    <mergeCell ref="J17:K17"/>
    <mergeCell ref="L17:M17"/>
    <mergeCell ref="N17:O17"/>
    <mergeCell ref="P17:Q17"/>
    <mergeCell ref="A18:D18"/>
    <mergeCell ref="J18:K18"/>
    <mergeCell ref="L18:M18"/>
    <mergeCell ref="N18:O18"/>
    <mergeCell ref="P18:Q18"/>
    <mergeCell ref="A19:D19"/>
    <mergeCell ref="J19:K19"/>
    <mergeCell ref="L19:M19"/>
    <mergeCell ref="N19:O19"/>
    <mergeCell ref="P19:Q19"/>
    <mergeCell ref="A20:D20"/>
    <mergeCell ref="J20:K20"/>
    <mergeCell ref="L20:M20"/>
    <mergeCell ref="N20:O20"/>
    <mergeCell ref="P20:Q20"/>
    <mergeCell ref="P23:Q23"/>
    <mergeCell ref="A24:D24"/>
    <mergeCell ref="J24:K24"/>
    <mergeCell ref="L24:M24"/>
    <mergeCell ref="N24:O24"/>
    <mergeCell ref="P24:Q24"/>
    <mergeCell ref="A21:D21"/>
    <mergeCell ref="J21:K21"/>
    <mergeCell ref="L21:M21"/>
    <mergeCell ref="N21:O21"/>
    <mergeCell ref="P21:Q21"/>
    <mergeCell ref="A22:D22"/>
    <mergeCell ref="J22:K22"/>
    <mergeCell ref="L22:M22"/>
    <mergeCell ref="N22:O22"/>
    <mergeCell ref="P22:Q22"/>
    <mergeCell ref="A37:K37"/>
    <mergeCell ref="M37:O40"/>
    <mergeCell ref="A38:K41"/>
    <mergeCell ref="A4:G4"/>
    <mergeCell ref="A27:Q27"/>
    <mergeCell ref="A30:K30"/>
    <mergeCell ref="M30:O30"/>
    <mergeCell ref="A31:K35"/>
    <mergeCell ref="M31:O34"/>
    <mergeCell ref="M36:O36"/>
    <mergeCell ref="A25:D25"/>
    <mergeCell ref="J25:K25"/>
    <mergeCell ref="L25:M25"/>
    <mergeCell ref="N25:O25"/>
    <mergeCell ref="P25:Q25"/>
    <mergeCell ref="A26:D26"/>
    <mergeCell ref="J26:K26"/>
    <mergeCell ref="L26:M26"/>
    <mergeCell ref="N26:O26"/>
    <mergeCell ref="P26:Q26"/>
    <mergeCell ref="A23:D23"/>
    <mergeCell ref="J23:K23"/>
    <mergeCell ref="L23:M23"/>
    <mergeCell ref="N23:O23"/>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4F00-000000000000}">
      <formula1>AvancementTheme</formula1>
    </dataValidation>
  </dataValidations>
  <hyperlinks>
    <hyperlink ref="P1" location="DPDV_06TP3" display="PdV" xr:uid="{00000000-0004-0000-4F00-000000000000}"/>
    <hyperlink ref="Q1" location="DKPI_06TP3" display="KPI's" xr:uid="{00000000-0004-0000-4F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F00-000001000000}">
          <x14:formula1>
            <xm:f>Parametre!$B$15:$B$17</xm:f>
          </x14:formula1>
          <xm:sqref>E11:E26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euil59">
    <tabColor theme="2" tint="-0.249977111117893"/>
    <pageSetUpPr fitToPage="1"/>
  </sheetPr>
  <dimension ref="A1:V56"/>
  <sheetViews>
    <sheetView showGridLines="0" showRowColHeaders="0" zoomScaleNormal="100" workbookViewId="0">
      <pane ySplit="11" topLeftCell="A27" activePane="bottomLeft" state="frozen"/>
      <selection activeCell="H7" sqref="H7"/>
      <selection pane="bottomLeft" activeCell="C7" sqref="C7:Q8"/>
    </sheetView>
  </sheetViews>
  <sheetFormatPr baseColWidth="10" defaultColWidth="11.453125" defaultRowHeight="14.5" x14ac:dyDescent="0.35"/>
  <cols>
    <col min="1" max="3" width="11.453125" style="60"/>
    <col min="4" max="5" width="10.7265625" style="60" customWidth="1"/>
    <col min="6" max="12" width="12.81640625" style="60" customWidth="1"/>
    <col min="13" max="13" width="14.26953125" style="60" customWidth="1"/>
    <col min="14" max="19" width="12.81640625" style="60" customWidth="1"/>
    <col min="20"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389"/>
      <c r="P1" s="479" t="s">
        <v>2</v>
      </c>
      <c r="Q1" s="479" t="s">
        <v>3</v>
      </c>
      <c r="R1" s="458"/>
      <c r="S1" s="458"/>
      <c r="T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42420.722118055557</v>
      </c>
      <c r="M2" s="3348"/>
      <c r="N2" s="699"/>
      <c r="O2" s="394"/>
      <c r="P2" s="451">
        <f>IF(LEN(DPDV_06RP3)&gt;0,LEN(DPDV_06RP3),0-PDV_NBmini)</f>
        <v>-10</v>
      </c>
      <c r="Q2" s="451">
        <f>IF(LEN(DKPI_06RP3)&gt;0,LEN(DKPI_06RP3),0-KPI_NBmini)</f>
        <v>57</v>
      </c>
      <c r="R2" s="459"/>
      <c r="S2" s="459"/>
      <c r="T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3769" t="str">
        <f>Parametre!B28 &amp; "  : "</f>
        <v xml:space="preserve">Typologie des partenaires  : </v>
      </c>
      <c r="B4" s="3769"/>
      <c r="C4" s="3769"/>
      <c r="D4" s="3769"/>
      <c r="E4" s="3769"/>
      <c r="F4" s="3769"/>
      <c r="G4" s="3769"/>
      <c r="H4" s="3767" t="str">
        <f>"Responsabilité Partenaires pour " &amp; NomProd3</f>
        <v xml:space="preserve">Responsabilité Partenaires pour </v>
      </c>
      <c r="I4" s="3767"/>
      <c r="J4" s="3767"/>
      <c r="K4" s="3767"/>
      <c r="L4" s="3767"/>
      <c r="M4" s="3767"/>
      <c r="N4" s="3767"/>
      <c r="O4" s="3767"/>
      <c r="P4" s="3767"/>
      <c r="Q4" s="3768"/>
      <c r="R4" s="444"/>
      <c r="S4" s="444"/>
      <c r="T4" s="444"/>
    </row>
    <row r="5" spans="1:22" ht="7.5" customHeight="1" x14ac:dyDescent="0.35">
      <c r="A5" s="3773"/>
      <c r="B5" s="3773"/>
      <c r="C5" s="3773"/>
      <c r="D5" s="3773"/>
      <c r="E5" s="3773"/>
      <c r="F5" s="3773"/>
      <c r="G5" s="3773"/>
      <c r="H5" s="3773"/>
      <c r="I5" s="3773"/>
      <c r="J5" s="3773"/>
      <c r="K5" s="3773"/>
      <c r="L5" s="3773"/>
      <c r="M5" s="3773"/>
      <c r="N5" s="3773"/>
      <c r="O5" s="3773"/>
      <c r="P5" s="3773"/>
      <c r="Q5" s="3773"/>
      <c r="R5" s="64"/>
      <c r="S5" s="64"/>
      <c r="T5" s="64"/>
    </row>
    <row r="6" spans="1:22" s="25" customFormat="1" ht="25.5" customHeight="1" x14ac:dyDescent="0.35">
      <c r="A6" s="3438" t="s">
        <v>14</v>
      </c>
      <c r="B6" s="3438"/>
      <c r="C6" s="3439" t="s">
        <v>612</v>
      </c>
      <c r="D6" s="3439"/>
      <c r="E6" s="3439"/>
      <c r="F6" s="3439"/>
      <c r="G6" s="3439"/>
      <c r="H6" s="3439"/>
      <c r="I6" s="3439"/>
      <c r="J6" s="3439"/>
      <c r="K6" s="3439"/>
      <c r="L6" s="3439"/>
      <c r="M6" s="3439"/>
      <c r="N6" s="3439"/>
      <c r="O6" s="3439"/>
      <c r="P6" s="3439"/>
      <c r="Q6" s="3439"/>
      <c r="R6" s="767"/>
      <c r="S6" s="767"/>
      <c r="T6" s="767"/>
    </row>
    <row r="7" spans="1:22" ht="4.5" customHeight="1" thickBot="1" x14ac:dyDescent="0.4">
      <c r="A7" s="3697" t="s">
        <v>20</v>
      </c>
      <c r="B7" s="3697"/>
      <c r="C7" s="3508"/>
      <c r="D7" s="3508"/>
      <c r="E7" s="3508"/>
      <c r="F7" s="3508"/>
      <c r="G7" s="3508"/>
      <c r="H7" s="3508"/>
      <c r="I7" s="3508"/>
      <c r="J7" s="3508"/>
      <c r="K7" s="3508"/>
      <c r="L7" s="3508"/>
      <c r="M7" s="3508"/>
      <c r="N7" s="3508"/>
      <c r="O7" s="3508"/>
      <c r="P7" s="3508"/>
      <c r="Q7" s="3508"/>
      <c r="R7" s="64"/>
      <c r="S7" s="64"/>
      <c r="T7" s="64"/>
    </row>
    <row r="8" spans="1:22" ht="14.25" hidden="1" customHeight="1" thickBot="1" x14ac:dyDescent="0.4">
      <c r="A8" s="3697"/>
      <c r="B8" s="3697"/>
      <c r="C8" s="3508"/>
      <c r="D8" s="3508"/>
      <c r="E8" s="3508"/>
      <c r="F8" s="3508"/>
      <c r="G8" s="3508"/>
      <c r="H8" s="3508"/>
      <c r="I8" s="3508"/>
      <c r="J8" s="3508"/>
      <c r="K8" s="3508"/>
      <c r="L8" s="3508"/>
      <c r="M8" s="3508"/>
      <c r="N8" s="3508"/>
      <c r="O8" s="3508"/>
      <c r="P8" s="3508"/>
      <c r="Q8" s="3508"/>
      <c r="R8" s="64"/>
      <c r="S8" s="64"/>
      <c r="T8" s="64"/>
    </row>
    <row r="9" spans="1:22" ht="9.75" hidden="1" customHeight="1" thickBot="1" x14ac:dyDescent="0.4">
      <c r="A9" s="764"/>
      <c r="B9" s="764"/>
      <c r="C9" s="480"/>
      <c r="D9" s="480"/>
      <c r="E9" s="480"/>
      <c r="F9" s="480"/>
      <c r="G9" s="480"/>
      <c r="H9" s="480"/>
      <c r="I9" s="480"/>
      <c r="J9" s="480"/>
      <c r="K9" s="480"/>
      <c r="L9" s="480"/>
      <c r="M9" s="480"/>
      <c r="N9" s="480"/>
      <c r="O9" s="64"/>
      <c r="P9" s="64"/>
      <c r="Q9" s="480"/>
      <c r="R9" s="64"/>
      <c r="S9" s="64"/>
      <c r="T9" s="64"/>
    </row>
    <row r="10" spans="1:22" s="125" customFormat="1" ht="55.5" customHeight="1" thickTop="1" x14ac:dyDescent="0.35">
      <c r="A10" s="3779" t="s">
        <v>463</v>
      </c>
      <c r="B10" s="3774"/>
      <c r="C10" s="3774"/>
      <c r="D10" s="3774"/>
      <c r="E10" s="862" t="s">
        <v>462</v>
      </c>
      <c r="F10" s="3778" t="s">
        <v>476</v>
      </c>
      <c r="G10" s="3778"/>
      <c r="H10" s="3774" t="s">
        <v>475</v>
      </c>
      <c r="I10" s="3774"/>
      <c r="J10" s="3774"/>
      <c r="K10" s="3774"/>
      <c r="L10" s="3774" t="s">
        <v>474</v>
      </c>
      <c r="M10" s="3774"/>
      <c r="N10" s="3774"/>
      <c r="O10" s="3774"/>
      <c r="P10" s="3774"/>
      <c r="Q10" s="3774"/>
      <c r="R10" s="3774"/>
      <c r="S10" s="3775"/>
      <c r="T10" s="863"/>
    </row>
    <row r="11" spans="1:22" s="118" customFormat="1" ht="73.5" customHeight="1" thickBot="1" x14ac:dyDescent="0.4">
      <c r="A11" s="3780" t="s">
        <v>459</v>
      </c>
      <c r="B11" s="3781"/>
      <c r="C11" s="3781"/>
      <c r="D11" s="5591"/>
      <c r="E11" s="872" t="s">
        <v>508</v>
      </c>
      <c r="F11" s="873" t="s">
        <v>473</v>
      </c>
      <c r="G11" s="874" t="s">
        <v>472</v>
      </c>
      <c r="H11" s="875" t="s">
        <v>471</v>
      </c>
      <c r="I11" s="876" t="s">
        <v>470</v>
      </c>
      <c r="J11" s="876" t="s">
        <v>469</v>
      </c>
      <c r="K11" s="874" t="s">
        <v>314</v>
      </c>
      <c r="L11" s="877" t="s">
        <v>468</v>
      </c>
      <c r="M11" s="878" t="s">
        <v>467</v>
      </c>
      <c r="N11" s="876" t="s">
        <v>466</v>
      </c>
      <c r="O11" s="878" t="s">
        <v>465</v>
      </c>
      <c r="P11" s="876" t="s">
        <v>101</v>
      </c>
      <c r="Q11" s="876" t="s">
        <v>321</v>
      </c>
      <c r="R11" s="876" t="s">
        <v>297</v>
      </c>
      <c r="S11" s="879" t="s">
        <v>464</v>
      </c>
      <c r="T11" s="836"/>
    </row>
    <row r="12" spans="1:22" s="121" customFormat="1" ht="7.5" customHeight="1" x14ac:dyDescent="0.35">
      <c r="A12" s="5592"/>
      <c r="B12" s="5593"/>
      <c r="C12" s="5593"/>
      <c r="D12" s="5593"/>
      <c r="E12" s="5593"/>
      <c r="F12" s="5593"/>
      <c r="G12" s="5593"/>
      <c r="H12" s="5593"/>
      <c r="I12" s="5593"/>
      <c r="J12" s="5593"/>
      <c r="K12" s="5593"/>
      <c r="L12" s="5593"/>
      <c r="M12" s="5593"/>
      <c r="N12" s="5593"/>
      <c r="O12" s="5593"/>
      <c r="P12" s="5593"/>
      <c r="Q12" s="5593"/>
      <c r="R12" s="5593"/>
      <c r="S12" s="5594"/>
      <c r="T12" s="856"/>
    </row>
    <row r="13" spans="1:22" s="116" customFormat="1" ht="35.25" customHeight="1" x14ac:dyDescent="0.3">
      <c r="A13" s="5588" t="str">
        <f>'06-TYPOPARTNER-OFR3'!A11:D11</f>
        <v>Force de vente directe</v>
      </c>
      <c r="B13" s="5589"/>
      <c r="C13" s="5589"/>
      <c r="D13" s="5590"/>
      <c r="E13" s="136" t="str">
        <f>IF(LEN('06-TYPOPARTNER-OFR3'!E11)&lt;1,"",'06-TYPOPARTNER-OFR3'!E11)</f>
        <v>1- Haute</v>
      </c>
      <c r="F13" s="137"/>
      <c r="G13" s="138"/>
      <c r="H13" s="126"/>
      <c r="I13" s="127"/>
      <c r="J13" s="127"/>
      <c r="K13" s="128"/>
      <c r="L13" s="144"/>
      <c r="M13" s="145"/>
      <c r="N13" s="145"/>
      <c r="O13" s="145"/>
      <c r="P13" s="145"/>
      <c r="Q13" s="145"/>
      <c r="R13" s="145"/>
      <c r="S13" s="146"/>
      <c r="T13" s="651"/>
    </row>
    <row r="14" spans="1:22" s="118" customFormat="1" ht="35.25" customHeight="1" x14ac:dyDescent="0.35">
      <c r="A14" s="5588" t="str">
        <f>'06-TYPOPARTNER-OFR3'!A12:D12</f>
        <v>ESN ( SS2I )</v>
      </c>
      <c r="B14" s="5589"/>
      <c r="C14" s="5589"/>
      <c r="D14" s="5590"/>
      <c r="E14" s="136" t="str">
        <f>IF(LEN('06-TYPOPARTNER-OFR3'!E12)&lt;1,"",'06-TYPOPARTNER-OFR3'!E12)</f>
        <v/>
      </c>
      <c r="F14" s="139"/>
      <c r="G14" s="140"/>
      <c r="H14" s="129"/>
      <c r="I14" s="122"/>
      <c r="J14" s="122"/>
      <c r="K14" s="130"/>
      <c r="L14" s="147"/>
      <c r="M14" s="148"/>
      <c r="N14" s="148"/>
      <c r="O14" s="148"/>
      <c r="P14" s="148"/>
      <c r="Q14" s="148"/>
      <c r="R14" s="148"/>
      <c r="S14" s="149"/>
      <c r="T14" s="836"/>
    </row>
    <row r="15" spans="1:22" s="118" customFormat="1" ht="35.25" customHeight="1" x14ac:dyDescent="0.35">
      <c r="A15" s="5588" t="str">
        <f>'06-TYPOPARTNER-OFR3'!A13:D13</f>
        <v>VARs régionaux</v>
      </c>
      <c r="B15" s="5589"/>
      <c r="C15" s="5589"/>
      <c r="D15" s="5590"/>
      <c r="E15" s="136" t="str">
        <f>IF(LEN('06-TYPOPARTNER-OFR3'!E13)&lt;1,"",'06-TYPOPARTNER-OFR3'!E13)</f>
        <v/>
      </c>
      <c r="F15" s="139"/>
      <c r="G15" s="140"/>
      <c r="H15" s="129"/>
      <c r="I15" s="122"/>
      <c r="J15" s="122"/>
      <c r="K15" s="130"/>
      <c r="L15" s="147"/>
      <c r="M15" s="148"/>
      <c r="N15" s="148"/>
      <c r="O15" s="148"/>
      <c r="P15" s="148"/>
      <c r="Q15" s="148"/>
      <c r="R15" s="148"/>
      <c r="S15" s="149"/>
      <c r="T15" s="836"/>
    </row>
    <row r="16" spans="1:22" s="123" customFormat="1" ht="35.25" customHeight="1" x14ac:dyDescent="0.3">
      <c r="A16" s="5588" t="str">
        <f>'06-TYPOPARTNER-OFR3'!A14:D14</f>
        <v>VARs nationaux</v>
      </c>
      <c r="B16" s="5589"/>
      <c r="C16" s="5589"/>
      <c r="D16" s="5590"/>
      <c r="E16" s="136" t="str">
        <f>IF(LEN('06-TYPOPARTNER-OFR3'!E14)&lt;1,"",'06-TYPOPARTNER-OFR3'!E14)</f>
        <v/>
      </c>
      <c r="F16" s="141"/>
      <c r="G16" s="142"/>
      <c r="H16" s="131"/>
      <c r="I16" s="132"/>
      <c r="J16" s="132"/>
      <c r="K16" s="133"/>
      <c r="L16" s="150"/>
      <c r="M16" s="151"/>
      <c r="N16" s="151"/>
      <c r="O16" s="151"/>
      <c r="P16" s="151"/>
      <c r="Q16" s="151"/>
      <c r="R16" s="151"/>
      <c r="S16" s="152"/>
      <c r="T16" s="857"/>
    </row>
    <row r="17" spans="1:20" s="123" customFormat="1" ht="35.25" customHeight="1" x14ac:dyDescent="0.3">
      <c r="A17" s="5588" t="str">
        <f>'06-TYPOPARTNER-OFR3'!A15:D15</f>
        <v xml:space="preserve">Editeurs </v>
      </c>
      <c r="B17" s="5589"/>
      <c r="C17" s="5589"/>
      <c r="D17" s="5590"/>
      <c r="E17" s="136" t="str">
        <f>IF(LEN('06-TYPOPARTNER-OFR3'!E15)&lt;1,"",'06-TYPOPARTNER-OFR3'!E15)</f>
        <v/>
      </c>
      <c r="F17" s="141"/>
      <c r="G17" s="142"/>
      <c r="H17" s="131"/>
      <c r="I17" s="132"/>
      <c r="J17" s="132"/>
      <c r="K17" s="133"/>
      <c r="L17" s="150"/>
      <c r="M17" s="151"/>
      <c r="N17" s="151"/>
      <c r="O17" s="151"/>
      <c r="P17" s="151"/>
      <c r="Q17" s="151"/>
      <c r="R17" s="151"/>
      <c r="S17" s="152"/>
      <c r="T17" s="857"/>
    </row>
    <row r="18" spans="1:20" s="124" customFormat="1" ht="35.25" customHeight="1" x14ac:dyDescent="0.35">
      <c r="A18" s="5588" t="str">
        <f>'06-TYPOPARTNER-OFR3'!A16:D16</f>
        <v>Hébergeurs</v>
      </c>
      <c r="B18" s="5589"/>
      <c r="C18" s="5589"/>
      <c r="D18" s="5590"/>
      <c r="E18" s="136" t="str">
        <f>IF(LEN('06-TYPOPARTNER-OFR3'!E16)&lt;1,"",'06-TYPOPARTNER-OFR3'!E16)</f>
        <v/>
      </c>
      <c r="F18" s="143"/>
      <c r="G18" s="374"/>
      <c r="H18" s="134"/>
      <c r="I18" s="120"/>
      <c r="J18" s="120"/>
      <c r="K18" s="135"/>
      <c r="L18" s="375"/>
      <c r="M18" s="370"/>
      <c r="N18" s="370"/>
      <c r="O18" s="370"/>
      <c r="P18" s="370"/>
      <c r="Q18" s="370"/>
      <c r="R18" s="370"/>
      <c r="S18" s="371"/>
      <c r="T18" s="858"/>
    </row>
    <row r="19" spans="1:20" s="118" customFormat="1" ht="35.25" customHeight="1" x14ac:dyDescent="0.35">
      <c r="A19" s="5588" t="str">
        <f>'06-TYPOPARTNER-OFR3'!A17:D17</f>
        <v>Constructeurs</v>
      </c>
      <c r="B19" s="5589"/>
      <c r="C19" s="5589"/>
      <c r="D19" s="5590"/>
      <c r="E19" s="136" t="str">
        <f>IF(LEN('06-TYPOPARTNER-OFR3'!E17)&lt;1,"",'06-TYPOPARTNER-OFR3'!E17)</f>
        <v/>
      </c>
      <c r="F19" s="139"/>
      <c r="G19" s="140"/>
      <c r="H19" s="129"/>
      <c r="I19" s="122"/>
      <c r="J19" s="122"/>
      <c r="K19" s="130"/>
      <c r="L19" s="147"/>
      <c r="M19" s="148"/>
      <c r="N19" s="148"/>
      <c r="O19" s="148"/>
      <c r="P19" s="148"/>
      <c r="Q19" s="148"/>
      <c r="R19" s="148"/>
      <c r="S19" s="149"/>
      <c r="T19" s="836"/>
    </row>
    <row r="20" spans="1:20" s="118" customFormat="1" ht="35.25" customHeight="1" x14ac:dyDescent="0.35">
      <c r="A20" s="5588" t="str">
        <f>'06-TYPOPARTNER-OFR3'!A18:D18</f>
        <v xml:space="preserve">Cabinets de conseil </v>
      </c>
      <c r="B20" s="5589"/>
      <c r="C20" s="5589"/>
      <c r="D20" s="5590"/>
      <c r="E20" s="136" t="str">
        <f>IF(LEN('06-TYPOPARTNER-OFR3'!E18)&lt;1,"",'06-TYPOPARTNER-OFR3'!E18)</f>
        <v/>
      </c>
      <c r="F20" s="139"/>
      <c r="G20" s="140"/>
      <c r="H20" s="129"/>
      <c r="I20" s="122"/>
      <c r="J20" s="122"/>
      <c r="K20" s="130"/>
      <c r="L20" s="147"/>
      <c r="M20" s="148"/>
      <c r="N20" s="148"/>
      <c r="O20" s="148"/>
      <c r="P20" s="148"/>
      <c r="Q20" s="148"/>
      <c r="R20" s="148"/>
      <c r="S20" s="149"/>
      <c r="T20" s="836"/>
    </row>
    <row r="21" spans="1:20" s="124" customFormat="1" ht="35.25" customHeight="1" x14ac:dyDescent="0.35">
      <c r="A21" s="5588" t="str">
        <f>'06-TYPOPARTNER-OFR3'!A19:D19</f>
        <v>Consultants indépendants</v>
      </c>
      <c r="B21" s="5589"/>
      <c r="C21" s="5589"/>
      <c r="D21" s="5590"/>
      <c r="E21" s="136" t="str">
        <f>IF(LEN('06-TYPOPARTNER-OFR3'!E19)&lt;1,"",'06-TYPOPARTNER-OFR3'!E19)</f>
        <v/>
      </c>
      <c r="F21" s="143"/>
      <c r="G21" s="374"/>
      <c r="H21" s="134"/>
      <c r="I21" s="120"/>
      <c r="J21" s="120"/>
      <c r="K21" s="135"/>
      <c r="L21" s="375"/>
      <c r="M21" s="370"/>
      <c r="N21" s="370"/>
      <c r="O21" s="370"/>
      <c r="P21" s="370"/>
      <c r="Q21" s="370"/>
      <c r="R21" s="370"/>
      <c r="S21" s="371"/>
      <c r="T21" s="858"/>
    </row>
    <row r="22" spans="1:20" s="124" customFormat="1" ht="35.25" customHeight="1" x14ac:dyDescent="0.35">
      <c r="A22" s="5588" t="str">
        <f>'06-TYPOPARTNER-OFR3'!A20:D20</f>
        <v>Hébergeurs d'infrastructures, MSP. Mode Revente</v>
      </c>
      <c r="B22" s="5589"/>
      <c r="C22" s="5589"/>
      <c r="D22" s="5590"/>
      <c r="E22" s="136" t="str">
        <f>IF(LEN('06-TYPOPARTNER-OFR3'!E20)&lt;1,"",'06-TYPOPARTNER-OFR3'!E20)</f>
        <v/>
      </c>
      <c r="F22" s="143"/>
      <c r="G22" s="374"/>
      <c r="H22" s="134"/>
      <c r="I22" s="120"/>
      <c r="J22" s="120"/>
      <c r="K22" s="135"/>
      <c r="L22" s="375"/>
      <c r="M22" s="370"/>
      <c r="N22" s="370"/>
      <c r="O22" s="370"/>
      <c r="P22" s="370"/>
      <c r="Q22" s="370"/>
      <c r="R22" s="370"/>
      <c r="S22" s="371"/>
      <c r="T22" s="858"/>
    </row>
    <row r="23" spans="1:20" s="124" customFormat="1" ht="35.25" customHeight="1" x14ac:dyDescent="0.35">
      <c r="A23" s="5588" t="str">
        <f>'06-TYPOPARTNER-OFR3'!A21:D21</f>
        <v>Hébergeurs d'infrastructures, MSP. Marque blanche</v>
      </c>
      <c r="B23" s="5589"/>
      <c r="C23" s="5589"/>
      <c r="D23" s="5590"/>
      <c r="E23" s="136" t="str">
        <f>IF(LEN('06-TYPOPARTNER-OFR3'!E21)&lt;1,"",'06-TYPOPARTNER-OFR3'!E21)</f>
        <v/>
      </c>
      <c r="F23" s="143"/>
      <c r="G23" s="374"/>
      <c r="H23" s="134"/>
      <c r="I23" s="120"/>
      <c r="J23" s="120"/>
      <c r="K23" s="135"/>
      <c r="L23" s="375"/>
      <c r="M23" s="370"/>
      <c r="N23" s="370"/>
      <c r="O23" s="370"/>
      <c r="P23" s="370"/>
      <c r="Q23" s="370"/>
      <c r="R23" s="370"/>
      <c r="S23" s="371"/>
      <c r="T23" s="858"/>
    </row>
    <row r="24" spans="1:20" s="124" customFormat="1" ht="35.25" customHeight="1" x14ac:dyDescent="0.35">
      <c r="A24" s="5588" t="str">
        <f>'06-TYPOPARTNER-OFR3'!A22:D22</f>
        <v>Web Agencies</v>
      </c>
      <c r="B24" s="5589"/>
      <c r="C24" s="5589"/>
      <c r="D24" s="5590"/>
      <c r="E24" s="136" t="str">
        <f>IF(LEN('06-TYPOPARTNER-OFR3'!E22)&lt;1,"",'06-TYPOPARTNER-OFR3'!E22)</f>
        <v>2- Moyenne</v>
      </c>
      <c r="F24" s="143"/>
      <c r="G24" s="374"/>
      <c r="H24" s="134"/>
      <c r="I24" s="120"/>
      <c r="J24" s="120"/>
      <c r="K24" s="135"/>
      <c r="L24" s="375"/>
      <c r="M24" s="370"/>
      <c r="N24" s="370"/>
      <c r="O24" s="370"/>
      <c r="P24" s="370"/>
      <c r="Q24" s="370"/>
      <c r="R24" s="370"/>
      <c r="S24" s="371"/>
      <c r="T24" s="858"/>
    </row>
    <row r="25" spans="1:20" s="124" customFormat="1" ht="35.25" customHeight="1" x14ac:dyDescent="0.35">
      <c r="A25" s="5588" t="str">
        <f>'06-TYPOPARTNER-OFR3'!A23:D23</f>
        <v xml:space="preserve">Constructeurs </v>
      </c>
      <c r="B25" s="5589"/>
      <c r="C25" s="5589"/>
      <c r="D25" s="5590"/>
      <c r="E25" s="136" t="str">
        <f>IF(LEN('06-TYPOPARTNER-OFR3'!E23)&lt;1,"",'06-TYPOPARTNER-OFR3'!E23)</f>
        <v/>
      </c>
      <c r="F25" s="143"/>
      <c r="G25" s="374"/>
      <c r="H25" s="134"/>
      <c r="I25" s="120"/>
      <c r="J25" s="120"/>
      <c r="K25" s="135"/>
      <c r="L25" s="375"/>
      <c r="M25" s="370"/>
      <c r="N25" s="370"/>
      <c r="O25" s="370"/>
      <c r="P25" s="370"/>
      <c r="Q25" s="370"/>
      <c r="R25" s="370"/>
      <c r="S25" s="371"/>
      <c r="T25" s="858"/>
    </row>
    <row r="26" spans="1:20" s="124" customFormat="1" ht="35.25" customHeight="1" x14ac:dyDescent="0.35">
      <c r="A26" s="5588" t="str">
        <f>'06-TYPOPARTNER-OFR3'!A24:D24</f>
        <v xml:space="preserve">Grossistes </v>
      </c>
      <c r="B26" s="5589"/>
      <c r="C26" s="5589"/>
      <c r="D26" s="5590"/>
      <c r="E26" s="136" t="str">
        <f>IF(LEN('06-TYPOPARTNER-OFR3'!E24)&lt;1,"",'06-TYPOPARTNER-OFR3'!E24)</f>
        <v/>
      </c>
      <c r="F26" s="143"/>
      <c r="G26" s="374"/>
      <c r="H26" s="134"/>
      <c r="I26" s="120"/>
      <c r="J26" s="120"/>
      <c r="K26" s="135"/>
      <c r="L26" s="375"/>
      <c r="M26" s="370"/>
      <c r="N26" s="370"/>
      <c r="O26" s="370"/>
      <c r="P26" s="370"/>
      <c r="Q26" s="370"/>
      <c r="R26" s="370"/>
      <c r="S26" s="371"/>
      <c r="T26" s="858"/>
    </row>
    <row r="27" spans="1:20" s="124" customFormat="1" ht="35.25" customHeight="1" x14ac:dyDescent="0.35">
      <c r="A27" s="5588" t="str">
        <f>'06-TYPOPARTNER-OFR3'!A25:D25</f>
        <v>Revendeurs</v>
      </c>
      <c r="B27" s="5589"/>
      <c r="C27" s="5589"/>
      <c r="D27" s="5590"/>
      <c r="E27" s="136" t="str">
        <f>IF(LEN('06-TYPOPARTNER-OFR3'!E25)&lt;1,"",'06-TYPOPARTNER-OFR3'!E25)</f>
        <v/>
      </c>
      <c r="F27" s="143"/>
      <c r="G27" s="374"/>
      <c r="H27" s="134"/>
      <c r="I27" s="120"/>
      <c r="J27" s="120"/>
      <c r="K27" s="135"/>
      <c r="L27" s="375"/>
      <c r="M27" s="370"/>
      <c r="N27" s="370"/>
      <c r="O27" s="370"/>
      <c r="P27" s="370"/>
      <c r="Q27" s="370"/>
      <c r="R27" s="370"/>
      <c r="S27" s="371"/>
      <c r="T27" s="858"/>
    </row>
    <row r="28" spans="1:20" s="124" customFormat="1" ht="35.25" customHeight="1" x14ac:dyDescent="0.35">
      <c r="A28" s="5588" t="str">
        <f>'06-TYPOPARTNER-OFR3'!A26:D26</f>
        <v>Autres</v>
      </c>
      <c r="B28" s="5589"/>
      <c r="C28" s="5589"/>
      <c r="D28" s="5590"/>
      <c r="E28" s="136" t="str">
        <f>IF(LEN('06-TYPOPARTNER-OFR3'!E26)&lt;1,"",'06-TYPOPARTNER-OFR3'!E26)</f>
        <v/>
      </c>
      <c r="F28" s="143"/>
      <c r="G28" s="374"/>
      <c r="H28" s="134"/>
      <c r="I28" s="120"/>
      <c r="J28" s="120"/>
      <c r="K28" s="135"/>
      <c r="L28" s="375"/>
      <c r="M28" s="370"/>
      <c r="N28" s="370"/>
      <c r="O28" s="370"/>
      <c r="P28" s="370"/>
      <c r="Q28" s="370"/>
      <c r="R28" s="370"/>
      <c r="S28" s="371"/>
      <c r="T28" s="858"/>
    </row>
    <row r="29" spans="1:20" s="121" customFormat="1" ht="12" customHeight="1" thickBot="1" x14ac:dyDescent="0.4">
      <c r="A29" s="3770"/>
      <c r="B29" s="3771"/>
      <c r="C29" s="3771"/>
      <c r="D29" s="3771"/>
      <c r="E29" s="3771"/>
      <c r="F29" s="3771"/>
      <c r="G29" s="3771"/>
      <c r="H29" s="3771"/>
      <c r="I29" s="3771"/>
      <c r="J29" s="3771"/>
      <c r="K29" s="3771"/>
      <c r="L29" s="3771"/>
      <c r="M29" s="3771"/>
      <c r="N29" s="3771"/>
      <c r="O29" s="3771"/>
      <c r="P29" s="3771"/>
      <c r="Q29" s="3771"/>
      <c r="R29" s="3771"/>
      <c r="S29" s="3772"/>
      <c r="T29" s="856"/>
    </row>
    <row r="30" spans="1:20" ht="13.5" customHeight="1" thickTop="1" x14ac:dyDescent="0.35">
      <c r="A30" s="859"/>
      <c r="B30" s="859"/>
      <c r="C30" s="860"/>
      <c r="D30" s="860"/>
      <c r="E30" s="860"/>
      <c r="F30" s="860"/>
      <c r="G30" s="860"/>
      <c r="H30" s="860"/>
      <c r="I30" s="860"/>
      <c r="J30" s="860"/>
      <c r="K30" s="860"/>
      <c r="L30" s="860"/>
      <c r="M30" s="860"/>
      <c r="N30" s="860"/>
      <c r="O30" s="861"/>
      <c r="P30" s="861"/>
      <c r="Q30" s="860"/>
      <c r="R30" s="64"/>
      <c r="S30" s="64"/>
      <c r="T30" s="64"/>
    </row>
    <row r="31" spans="1:20" ht="15" thickBot="1" x14ac:dyDescent="0.4">
      <c r="A31" s="64"/>
      <c r="B31" s="64"/>
      <c r="C31" s="64"/>
      <c r="D31" s="64"/>
      <c r="E31" s="64"/>
      <c r="F31" s="64"/>
      <c r="G31" s="64"/>
      <c r="H31" s="64"/>
      <c r="I31" s="64"/>
      <c r="J31" s="64"/>
      <c r="K31" s="64"/>
      <c r="L31" s="64"/>
      <c r="M31" s="64"/>
      <c r="N31" s="64"/>
      <c r="O31" s="64"/>
      <c r="P31" s="64"/>
      <c r="Q31" s="64"/>
      <c r="R31" s="64"/>
      <c r="S31" s="64"/>
      <c r="T31" s="64"/>
    </row>
    <row r="32" spans="1:20" ht="19.5" thickTop="1" thickBot="1" x14ac:dyDescent="0.4">
      <c r="A32" s="3728" t="s">
        <v>10</v>
      </c>
      <c r="B32" s="3729"/>
      <c r="C32" s="3729"/>
      <c r="D32" s="3729"/>
      <c r="E32" s="3729"/>
      <c r="F32" s="3729"/>
      <c r="G32" s="3729"/>
      <c r="H32" s="3729"/>
      <c r="I32" s="3729"/>
      <c r="J32" s="3729"/>
      <c r="K32" s="3730"/>
      <c r="L32" s="31"/>
      <c r="M32" s="3725" t="s">
        <v>748</v>
      </c>
      <c r="N32" s="3726"/>
      <c r="O32" s="3727"/>
      <c r="P32" s="31"/>
      <c r="Q32" s="31"/>
      <c r="R32" s="64"/>
      <c r="S32" s="64"/>
      <c r="T32" s="64"/>
    </row>
    <row r="33" spans="1:20" ht="20.25" customHeight="1" x14ac:dyDescent="0.35">
      <c r="A33" s="6444"/>
      <c r="B33" s="6445"/>
      <c r="C33" s="6445"/>
      <c r="D33" s="6445"/>
      <c r="E33" s="6445"/>
      <c r="F33" s="6445"/>
      <c r="G33" s="6445"/>
      <c r="H33" s="6445"/>
      <c r="I33" s="6445"/>
      <c r="J33" s="6445"/>
      <c r="K33" s="6446"/>
      <c r="L33" s="33"/>
      <c r="M33" s="3750" t="s">
        <v>813</v>
      </c>
      <c r="N33" s="3751"/>
      <c r="O33" s="3752"/>
      <c r="P33" s="33"/>
      <c r="Q33" s="33"/>
      <c r="R33" s="64"/>
      <c r="S33" s="64"/>
      <c r="T33" s="64"/>
    </row>
    <row r="34" spans="1:20" ht="20.25" customHeight="1" x14ac:dyDescent="0.35">
      <c r="A34" s="6444"/>
      <c r="B34" s="6445"/>
      <c r="C34" s="6445"/>
      <c r="D34" s="6445"/>
      <c r="E34" s="6445"/>
      <c r="F34" s="6445"/>
      <c r="G34" s="6445"/>
      <c r="H34" s="6445"/>
      <c r="I34" s="6445"/>
      <c r="J34" s="6445"/>
      <c r="K34" s="6446"/>
      <c r="L34" s="33"/>
      <c r="M34" s="3753"/>
      <c r="N34" s="3754"/>
      <c r="O34" s="3755"/>
      <c r="P34" s="33"/>
      <c r="Q34" s="33"/>
      <c r="R34" s="64"/>
      <c r="S34" s="64"/>
      <c r="T34" s="64"/>
    </row>
    <row r="35" spans="1:20" ht="20.25" customHeight="1" x14ac:dyDescent="0.35">
      <c r="A35" s="6444"/>
      <c r="B35" s="6445"/>
      <c r="C35" s="6445"/>
      <c r="D35" s="6445"/>
      <c r="E35" s="6445"/>
      <c r="F35" s="6445"/>
      <c r="G35" s="6445"/>
      <c r="H35" s="6445"/>
      <c r="I35" s="6445"/>
      <c r="J35" s="6445"/>
      <c r="K35" s="6446"/>
      <c r="L35" s="33"/>
      <c r="M35" s="3753"/>
      <c r="N35" s="3754"/>
      <c r="O35" s="3755"/>
      <c r="P35" s="33"/>
      <c r="Q35" s="33"/>
      <c r="R35" s="64"/>
      <c r="S35" s="64"/>
      <c r="T35" s="64"/>
    </row>
    <row r="36" spans="1:20" ht="20.25" customHeight="1" thickBot="1" x14ac:dyDescent="0.4">
      <c r="A36" s="6447"/>
      <c r="B36" s="6448"/>
      <c r="C36" s="6448"/>
      <c r="D36" s="6448"/>
      <c r="E36" s="6448"/>
      <c r="F36" s="6448"/>
      <c r="G36" s="6448"/>
      <c r="H36" s="6448"/>
      <c r="I36" s="6448"/>
      <c r="J36" s="6448"/>
      <c r="K36" s="6449"/>
      <c r="L36" s="33"/>
      <c r="M36" s="3756"/>
      <c r="N36" s="3757"/>
      <c r="O36" s="3758"/>
      <c r="P36" s="33"/>
      <c r="Q36" s="33"/>
      <c r="R36" s="64"/>
      <c r="S36" s="64"/>
      <c r="T36" s="64"/>
    </row>
    <row r="37" spans="1:20" ht="15.5" thickTop="1" thickBot="1" x14ac:dyDescent="0.4">
      <c r="A37" s="64"/>
      <c r="B37" s="64"/>
      <c r="C37" s="64"/>
      <c r="D37" s="64"/>
      <c r="E37" s="64"/>
      <c r="F37" s="64"/>
      <c r="G37" s="64"/>
      <c r="H37" s="64"/>
      <c r="I37" s="64"/>
      <c r="J37" s="64"/>
      <c r="K37" s="64"/>
      <c r="L37" s="64"/>
      <c r="M37" s="31"/>
      <c r="N37" s="31"/>
      <c r="O37" s="31"/>
      <c r="P37" s="64"/>
      <c r="Q37" s="64"/>
      <c r="R37" s="64"/>
      <c r="S37" s="64"/>
      <c r="T37" s="64"/>
    </row>
    <row r="38" spans="1:20" ht="19.5" thickTop="1" thickBot="1" x14ac:dyDescent="0.4">
      <c r="A38" s="3728" t="s">
        <v>11</v>
      </c>
      <c r="B38" s="3742"/>
      <c r="C38" s="3742"/>
      <c r="D38" s="3742"/>
      <c r="E38" s="3742"/>
      <c r="F38" s="3742"/>
      <c r="G38" s="3742"/>
      <c r="H38" s="3742"/>
      <c r="I38" s="3742"/>
      <c r="J38" s="3742"/>
      <c r="K38" s="3743"/>
      <c r="L38" s="31"/>
      <c r="M38" s="3725" t="s">
        <v>748</v>
      </c>
      <c r="N38" s="3726"/>
      <c r="O38" s="3727"/>
      <c r="P38" s="31"/>
      <c r="Q38" s="31"/>
      <c r="R38" s="64"/>
      <c r="S38" s="64"/>
      <c r="T38" s="64"/>
    </row>
    <row r="39" spans="1:20" ht="20.25" customHeight="1" x14ac:dyDescent="0.35">
      <c r="A39" s="6444" t="s">
        <v>815</v>
      </c>
      <c r="B39" s="6450"/>
      <c r="C39" s="6450"/>
      <c r="D39" s="6450"/>
      <c r="E39" s="6450"/>
      <c r="F39" s="6450"/>
      <c r="G39" s="6450"/>
      <c r="H39" s="6450"/>
      <c r="I39" s="6450"/>
      <c r="J39" s="6450"/>
      <c r="K39" s="6451"/>
      <c r="L39" s="33"/>
      <c r="M39" s="3750" t="s">
        <v>814</v>
      </c>
      <c r="N39" s="3751"/>
      <c r="O39" s="3752"/>
      <c r="P39" s="33"/>
      <c r="Q39" s="33"/>
      <c r="R39" s="64"/>
      <c r="S39" s="64"/>
      <c r="T39" s="64"/>
    </row>
    <row r="40" spans="1:20" ht="20.25" customHeight="1" x14ac:dyDescent="0.35">
      <c r="A40" s="6452"/>
      <c r="B40" s="6450"/>
      <c r="C40" s="6450"/>
      <c r="D40" s="6450"/>
      <c r="E40" s="6450"/>
      <c r="F40" s="6450"/>
      <c r="G40" s="6450"/>
      <c r="H40" s="6450"/>
      <c r="I40" s="6450"/>
      <c r="J40" s="6450"/>
      <c r="K40" s="6451"/>
      <c r="L40" s="33"/>
      <c r="M40" s="3753"/>
      <c r="N40" s="3754"/>
      <c r="O40" s="3755"/>
      <c r="P40" s="33"/>
      <c r="Q40" s="33"/>
      <c r="R40" s="64"/>
      <c r="S40" s="64"/>
      <c r="T40" s="64"/>
    </row>
    <row r="41" spans="1:20" ht="20.25" customHeight="1" x14ac:dyDescent="0.35">
      <c r="A41" s="6452"/>
      <c r="B41" s="6450"/>
      <c r="C41" s="6450"/>
      <c r="D41" s="6450"/>
      <c r="E41" s="6450"/>
      <c r="F41" s="6450"/>
      <c r="G41" s="6450"/>
      <c r="H41" s="6450"/>
      <c r="I41" s="6450"/>
      <c r="J41" s="6450"/>
      <c r="K41" s="6451"/>
      <c r="L41" s="33"/>
      <c r="M41" s="3753"/>
      <c r="N41" s="3754"/>
      <c r="O41" s="3755"/>
      <c r="P41" s="33"/>
      <c r="Q41" s="33"/>
      <c r="R41" s="64"/>
      <c r="S41" s="64"/>
      <c r="T41" s="64"/>
    </row>
    <row r="42" spans="1:20" ht="20.25" customHeight="1" thickBot="1" x14ac:dyDescent="0.4">
      <c r="A42" s="6453"/>
      <c r="B42" s="6454"/>
      <c r="C42" s="6454"/>
      <c r="D42" s="6454"/>
      <c r="E42" s="6454"/>
      <c r="F42" s="6454"/>
      <c r="G42" s="6454"/>
      <c r="H42" s="6454"/>
      <c r="I42" s="6454"/>
      <c r="J42" s="6454"/>
      <c r="K42" s="6455"/>
      <c r="L42" s="33"/>
      <c r="M42" s="3756"/>
      <c r="N42" s="3757"/>
      <c r="O42" s="3758"/>
      <c r="P42" s="33"/>
      <c r="Q42" s="33"/>
      <c r="R42" s="64"/>
      <c r="S42" s="64"/>
      <c r="T42" s="64"/>
    </row>
    <row r="43" spans="1:20" ht="15" thickTop="1" x14ac:dyDescent="0.35">
      <c r="A43" s="64"/>
      <c r="B43" s="64"/>
      <c r="C43" s="64"/>
      <c r="D43" s="64"/>
      <c r="E43" s="64"/>
      <c r="F43" s="64"/>
      <c r="G43" s="64"/>
      <c r="H43" s="64"/>
      <c r="I43" s="64"/>
      <c r="J43" s="64"/>
      <c r="K43" s="64"/>
      <c r="L43" s="64"/>
      <c r="M43" s="64"/>
      <c r="N43" s="64"/>
      <c r="O43" s="64"/>
      <c r="P43" s="64"/>
      <c r="Q43" s="64"/>
      <c r="R43" s="64"/>
      <c r="S43" s="64"/>
      <c r="T43" s="64"/>
    </row>
    <row r="44" spans="1:20" ht="15" thickBot="1" x14ac:dyDescent="0.4">
      <c r="A44" s="64"/>
      <c r="B44" s="64"/>
      <c r="C44" s="64"/>
      <c r="D44" s="64"/>
      <c r="E44" s="64"/>
      <c r="F44" s="64"/>
      <c r="G44" s="64"/>
      <c r="H44" s="64"/>
      <c r="I44" s="64"/>
      <c r="J44" s="64"/>
      <c r="K44" s="64"/>
      <c r="L44" s="64"/>
      <c r="M44" s="64"/>
      <c r="N44" s="64"/>
      <c r="O44" s="64"/>
      <c r="P44" s="64"/>
      <c r="Q44" s="64"/>
      <c r="R44" s="64"/>
      <c r="S44" s="64"/>
      <c r="T44" s="64"/>
    </row>
    <row r="45" spans="1:20" ht="19" thickTop="1" x14ac:dyDescent="0.45">
      <c r="A45" s="5585" t="s">
        <v>821</v>
      </c>
      <c r="B45" s="5586"/>
      <c r="C45" s="5586"/>
      <c r="D45" s="5586"/>
      <c r="E45" s="5586"/>
      <c r="F45" s="5586"/>
      <c r="G45" s="5586"/>
      <c r="H45" s="5586"/>
      <c r="I45" s="5586"/>
      <c r="J45" s="5586"/>
      <c r="K45" s="5586"/>
      <c r="L45" s="5586"/>
      <c r="M45" s="5587"/>
      <c r="N45" s="64"/>
      <c r="O45" s="64"/>
      <c r="P45" s="64"/>
      <c r="Q45" s="64"/>
      <c r="R45" s="64"/>
      <c r="S45" s="64"/>
      <c r="T45" s="64"/>
    </row>
    <row r="46" spans="1:20" x14ac:dyDescent="0.35">
      <c r="A46" s="3761" t="s">
        <v>816</v>
      </c>
      <c r="B46" s="3731"/>
      <c r="C46" s="3731" t="s">
        <v>817</v>
      </c>
      <c r="D46" s="3731"/>
      <c r="E46" s="3731"/>
      <c r="F46" s="3731" t="s">
        <v>818</v>
      </c>
      <c r="G46" s="3731"/>
      <c r="H46" s="3731" t="s">
        <v>819</v>
      </c>
      <c r="I46" s="3731"/>
      <c r="J46" s="3731" t="s">
        <v>822</v>
      </c>
      <c r="K46" s="3731"/>
      <c r="L46" s="3731" t="s">
        <v>820</v>
      </c>
      <c r="M46" s="3732"/>
      <c r="N46" s="64"/>
      <c r="O46" s="64"/>
      <c r="P46" s="64"/>
      <c r="Q46" s="64"/>
      <c r="R46" s="64"/>
      <c r="S46" s="64"/>
      <c r="T46" s="64"/>
    </row>
    <row r="47" spans="1:20" x14ac:dyDescent="0.35">
      <c r="A47" s="3761"/>
      <c r="B47" s="3731"/>
      <c r="C47" s="3731"/>
      <c r="D47" s="3731"/>
      <c r="E47" s="3731"/>
      <c r="F47" s="3731"/>
      <c r="G47" s="3731"/>
      <c r="H47" s="3731"/>
      <c r="I47" s="3731"/>
      <c r="J47" s="3731"/>
      <c r="K47" s="3731"/>
      <c r="L47" s="3731"/>
      <c r="M47" s="3732"/>
      <c r="N47" s="64"/>
      <c r="O47" s="64"/>
      <c r="P47" s="64"/>
      <c r="Q47" s="64"/>
      <c r="R47" s="64"/>
      <c r="S47" s="64"/>
      <c r="T47" s="64"/>
    </row>
    <row r="48" spans="1:20" x14ac:dyDescent="0.35">
      <c r="A48" s="899"/>
      <c r="B48" s="900"/>
      <c r="C48" s="6442"/>
      <c r="D48" s="6442"/>
      <c r="E48" s="6442"/>
      <c r="F48" s="6442"/>
      <c r="G48" s="6442"/>
      <c r="H48" s="6442"/>
      <c r="I48" s="6442"/>
      <c r="J48" s="5581">
        <f>SUM(C48:I48)</f>
        <v>0</v>
      </c>
      <c r="K48" s="5581"/>
      <c r="L48" s="6442"/>
      <c r="M48" s="6443"/>
      <c r="N48" s="64"/>
      <c r="O48" s="64"/>
      <c r="P48" s="64"/>
      <c r="Q48" s="64"/>
      <c r="R48" s="64"/>
      <c r="S48" s="64"/>
      <c r="T48" s="64"/>
    </row>
    <row r="49" spans="1:20" x14ac:dyDescent="0.35">
      <c r="A49" s="899"/>
      <c r="B49" s="900"/>
      <c r="C49" s="6442"/>
      <c r="D49" s="6442"/>
      <c r="E49" s="6442"/>
      <c r="F49" s="6442"/>
      <c r="G49" s="6442"/>
      <c r="H49" s="6442"/>
      <c r="I49" s="6442"/>
      <c r="J49" s="5581">
        <f t="shared" ref="J49:J54" si="0">SUM(C49:I49)</f>
        <v>0</v>
      </c>
      <c r="K49" s="5581"/>
      <c r="L49" s="6442"/>
      <c r="M49" s="6443"/>
      <c r="N49" s="64"/>
      <c r="O49" s="64"/>
      <c r="P49" s="64"/>
      <c r="Q49" s="64"/>
      <c r="R49" s="64"/>
      <c r="S49" s="64"/>
      <c r="T49" s="64"/>
    </row>
    <row r="50" spans="1:20" x14ac:dyDescent="0.35">
      <c r="A50" s="899"/>
      <c r="B50" s="900"/>
      <c r="C50" s="6442"/>
      <c r="D50" s="6442"/>
      <c r="E50" s="6442"/>
      <c r="F50" s="6442"/>
      <c r="G50" s="6442"/>
      <c r="H50" s="6442"/>
      <c r="I50" s="6442"/>
      <c r="J50" s="5581">
        <f t="shared" si="0"/>
        <v>0</v>
      </c>
      <c r="K50" s="5581"/>
      <c r="L50" s="6442"/>
      <c r="M50" s="6443"/>
      <c r="N50" s="64"/>
      <c r="O50" s="64"/>
      <c r="P50" s="64"/>
      <c r="Q50" s="64"/>
      <c r="R50" s="64"/>
      <c r="S50" s="64"/>
      <c r="T50" s="64"/>
    </row>
    <row r="51" spans="1:20" x14ac:dyDescent="0.35">
      <c r="A51" s="899"/>
      <c r="B51" s="900"/>
      <c r="C51" s="6442"/>
      <c r="D51" s="6442"/>
      <c r="E51" s="6442"/>
      <c r="F51" s="6442"/>
      <c r="G51" s="6442"/>
      <c r="H51" s="6442"/>
      <c r="I51" s="6442"/>
      <c r="J51" s="5581">
        <f t="shared" si="0"/>
        <v>0</v>
      </c>
      <c r="K51" s="5581"/>
      <c r="L51" s="6442"/>
      <c r="M51" s="6443"/>
      <c r="N51" s="64"/>
      <c r="O51" s="64"/>
      <c r="P51" s="64"/>
      <c r="Q51" s="64"/>
      <c r="R51" s="64"/>
      <c r="S51" s="64"/>
      <c r="T51" s="64"/>
    </row>
    <row r="52" spans="1:20" x14ac:dyDescent="0.35">
      <c r="A52" s="899"/>
      <c r="B52" s="900"/>
      <c r="C52" s="6442"/>
      <c r="D52" s="6442"/>
      <c r="E52" s="6442"/>
      <c r="F52" s="6442"/>
      <c r="G52" s="6442"/>
      <c r="H52" s="6442"/>
      <c r="I52" s="6442"/>
      <c r="J52" s="5581">
        <f t="shared" si="0"/>
        <v>0</v>
      </c>
      <c r="K52" s="5581"/>
      <c r="L52" s="6442"/>
      <c r="M52" s="6443"/>
      <c r="N52" s="64"/>
      <c r="O52" s="64"/>
      <c r="P52" s="64"/>
      <c r="Q52" s="64"/>
      <c r="R52" s="64"/>
      <c r="S52" s="64"/>
      <c r="T52" s="64"/>
    </row>
    <row r="53" spans="1:20" x14ac:dyDescent="0.35">
      <c r="A53" s="899"/>
      <c r="B53" s="900"/>
      <c r="C53" s="6442"/>
      <c r="D53" s="6442"/>
      <c r="E53" s="6442"/>
      <c r="F53" s="6442"/>
      <c r="G53" s="6442"/>
      <c r="H53" s="6442"/>
      <c r="I53" s="6442"/>
      <c r="J53" s="5581">
        <f t="shared" si="0"/>
        <v>0</v>
      </c>
      <c r="K53" s="5581"/>
      <c r="L53" s="6442"/>
      <c r="M53" s="6443"/>
      <c r="N53" s="64"/>
      <c r="O53" s="64"/>
      <c r="P53" s="64"/>
      <c r="Q53" s="64"/>
      <c r="R53" s="64"/>
      <c r="S53" s="64"/>
      <c r="T53" s="64"/>
    </row>
    <row r="54" spans="1:20" x14ac:dyDescent="0.35">
      <c r="A54" s="899"/>
      <c r="B54" s="900"/>
      <c r="C54" s="6442"/>
      <c r="D54" s="6442"/>
      <c r="E54" s="6442"/>
      <c r="F54" s="6442"/>
      <c r="G54" s="6442"/>
      <c r="H54" s="6442"/>
      <c r="I54" s="6442"/>
      <c r="J54" s="5581">
        <f t="shared" si="0"/>
        <v>0</v>
      </c>
      <c r="K54" s="5581"/>
      <c r="L54" s="6442"/>
      <c r="M54" s="6443"/>
      <c r="N54" s="64"/>
      <c r="O54" s="64"/>
      <c r="P54" s="64"/>
      <c r="Q54" s="64"/>
      <c r="R54" s="64"/>
      <c r="S54" s="64"/>
      <c r="T54" s="64"/>
    </row>
    <row r="55" spans="1:20" ht="15" thickBot="1" x14ac:dyDescent="0.4">
      <c r="A55" s="864"/>
      <c r="B55" s="865"/>
      <c r="C55" s="5583"/>
      <c r="D55" s="5583"/>
      <c r="E55" s="5583"/>
      <c r="F55" s="5583"/>
      <c r="G55" s="5583"/>
      <c r="H55" s="5583"/>
      <c r="I55" s="5583"/>
      <c r="J55" s="5583"/>
      <c r="K55" s="5583"/>
      <c r="L55" s="5583"/>
      <c r="M55" s="5584"/>
      <c r="N55" s="64"/>
      <c r="O55" s="64"/>
      <c r="P55" s="64"/>
      <c r="Q55" s="64"/>
      <c r="R55" s="64"/>
      <c r="S55" s="64"/>
      <c r="T55" s="64"/>
    </row>
    <row r="56" spans="1:20" ht="15" thickTop="1" x14ac:dyDescent="0.35">
      <c r="A56" s="64"/>
      <c r="B56" s="64"/>
      <c r="C56" s="64"/>
      <c r="D56" s="64"/>
      <c r="E56" s="64"/>
      <c r="F56" s="64"/>
      <c r="G56" s="64"/>
      <c r="H56" s="64"/>
      <c r="I56" s="64"/>
      <c r="J56" s="64"/>
      <c r="K56" s="64"/>
      <c r="L56" s="64"/>
      <c r="M56" s="64"/>
      <c r="N56" s="64"/>
      <c r="O56" s="64"/>
      <c r="P56" s="64"/>
      <c r="Q56" s="64"/>
      <c r="R56" s="64"/>
      <c r="S56" s="64"/>
      <c r="T56" s="64"/>
    </row>
  </sheetData>
  <mergeCells count="92">
    <mergeCell ref="D3:G3"/>
    <mergeCell ref="D1:G1"/>
    <mergeCell ref="I1:J1"/>
    <mergeCell ref="L1:M1"/>
    <mergeCell ref="D2:G2"/>
    <mergeCell ref="I2:J2"/>
    <mergeCell ref="L2:M2"/>
    <mergeCell ref="H4:Q4"/>
    <mergeCell ref="A5:Q5"/>
    <mergeCell ref="A6:B6"/>
    <mergeCell ref="C6:Q6"/>
    <mergeCell ref="A7:B8"/>
    <mergeCell ref="C7:Q8"/>
    <mergeCell ref="A4:G4"/>
    <mergeCell ref="A18:D18"/>
    <mergeCell ref="A10:D10"/>
    <mergeCell ref="F10:G10"/>
    <mergeCell ref="H10:K10"/>
    <mergeCell ref="L10:S10"/>
    <mergeCell ref="A11:D11"/>
    <mergeCell ref="A12:S12"/>
    <mergeCell ref="A13:D13"/>
    <mergeCell ref="A14:D14"/>
    <mergeCell ref="A15:D15"/>
    <mergeCell ref="A16:D16"/>
    <mergeCell ref="A17:D17"/>
    <mergeCell ref="A32:K32"/>
    <mergeCell ref="M32:O32"/>
    <mergeCell ref="A19:D19"/>
    <mergeCell ref="A20:D20"/>
    <mergeCell ref="A21:D21"/>
    <mergeCell ref="A22:D22"/>
    <mergeCell ref="A23:D23"/>
    <mergeCell ref="A24:D24"/>
    <mergeCell ref="A25:D25"/>
    <mergeCell ref="A26:D26"/>
    <mergeCell ref="A27:D27"/>
    <mergeCell ref="A28:D28"/>
    <mergeCell ref="A29:S29"/>
    <mergeCell ref="A33:K36"/>
    <mergeCell ref="M33:O36"/>
    <mergeCell ref="A38:K38"/>
    <mergeCell ref="M38:O38"/>
    <mergeCell ref="A39:K42"/>
    <mergeCell ref="M39:O42"/>
    <mergeCell ref="A45:M45"/>
    <mergeCell ref="A46:B47"/>
    <mergeCell ref="C46:E47"/>
    <mergeCell ref="F46:G47"/>
    <mergeCell ref="H46:I47"/>
    <mergeCell ref="J46:K47"/>
    <mergeCell ref="L46:M47"/>
    <mergeCell ref="C49:E49"/>
    <mergeCell ref="F49:G49"/>
    <mergeCell ref="H49:I49"/>
    <mergeCell ref="J49:K49"/>
    <mergeCell ref="L49:M49"/>
    <mergeCell ref="C48:E48"/>
    <mergeCell ref="F48:G48"/>
    <mergeCell ref="H48:I48"/>
    <mergeCell ref="J48:K48"/>
    <mergeCell ref="L48:M48"/>
    <mergeCell ref="C51:E51"/>
    <mergeCell ref="F51:G51"/>
    <mergeCell ref="H51:I51"/>
    <mergeCell ref="J51:K51"/>
    <mergeCell ref="L51:M51"/>
    <mergeCell ref="C50:E50"/>
    <mergeCell ref="F50:G50"/>
    <mergeCell ref="H50:I50"/>
    <mergeCell ref="J50:K50"/>
    <mergeCell ref="L50:M50"/>
    <mergeCell ref="C53:E53"/>
    <mergeCell ref="F53:G53"/>
    <mergeCell ref="H53:I53"/>
    <mergeCell ref="J53:K53"/>
    <mergeCell ref="L53:M53"/>
    <mergeCell ref="C52:E52"/>
    <mergeCell ref="F52:G52"/>
    <mergeCell ref="H52:I52"/>
    <mergeCell ref="J52:K52"/>
    <mergeCell ref="L52:M52"/>
    <mergeCell ref="C55:E55"/>
    <mergeCell ref="F55:G55"/>
    <mergeCell ref="H55:I55"/>
    <mergeCell ref="J55:K55"/>
    <mergeCell ref="L55:M55"/>
    <mergeCell ref="C54:E54"/>
    <mergeCell ref="F54:G54"/>
    <mergeCell ref="H54:I54"/>
    <mergeCell ref="J54:K54"/>
    <mergeCell ref="L54:M54"/>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000-000000000000}">
      <formula1>AvancementTheme</formula1>
    </dataValidation>
  </dataValidations>
  <hyperlinks>
    <hyperlink ref="P1" location="DPDV_06RP3" display="PdV" xr:uid="{00000000-0004-0000-5000-000000000000}"/>
    <hyperlink ref="Q1" location="DKPI_06RP3" display="KPI's" xr:uid="{00000000-0004-0000-5000-000001000000}"/>
  </hyperlink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euil57">
    <tabColor theme="2" tint="-0.249977111117893"/>
    <pageSetUpPr fitToPage="1"/>
  </sheetPr>
  <dimension ref="A1:V49"/>
  <sheetViews>
    <sheetView showGridLines="0" showRowColHeaders="0" zoomScaleNormal="100" workbookViewId="0">
      <pane ySplit="7" topLeftCell="A8" activePane="bottomLeft" state="frozen"/>
      <selection activeCell="H7" sqref="H7"/>
      <selection pane="bottomLeft" activeCell="A7" sqref="A7:H7"/>
    </sheetView>
  </sheetViews>
  <sheetFormatPr baseColWidth="10" defaultColWidth="11.453125" defaultRowHeight="14.5" x14ac:dyDescent="0.35"/>
  <cols>
    <col min="1" max="1" width="11.453125" style="60"/>
    <col min="2" max="2" width="11.81640625" style="60" customWidth="1"/>
    <col min="3" max="3" width="8.81640625" style="60" customWidth="1"/>
    <col min="4" max="4" width="7.54296875" style="60" customWidth="1"/>
    <col min="5" max="9" width="10.7265625" style="60" customWidth="1"/>
    <col min="10" max="10" width="9.453125" style="60" customWidth="1"/>
    <col min="11" max="11" width="10.7265625" style="60" customWidth="1"/>
    <col min="12" max="15" width="9.453125" style="60" customWidth="1"/>
    <col min="16" max="16" width="11.26953125" style="60" customWidth="1"/>
    <col min="17" max="17" width="14.453125" style="60" customWidth="1"/>
    <col min="18" max="16384" width="11.453125" style="60"/>
  </cols>
  <sheetData>
    <row r="1" spans="1:22" s="54" customFormat="1" ht="15" customHeight="1" x14ac:dyDescent="0.35">
      <c r="A1" s="959"/>
      <c r="B1" s="959"/>
      <c r="C1" s="959"/>
      <c r="D1" s="3341" t="s">
        <v>5</v>
      </c>
      <c r="E1" s="3341"/>
      <c r="F1" s="3341"/>
      <c r="G1" s="3341"/>
      <c r="H1" s="391"/>
      <c r="I1" s="3341" t="s">
        <v>6</v>
      </c>
      <c r="J1" s="3341"/>
      <c r="K1" s="959"/>
      <c r="L1" s="3341" t="s">
        <v>9</v>
      </c>
      <c r="M1" s="3341"/>
      <c r="N1" s="959"/>
      <c r="O1" s="959"/>
      <c r="P1" s="479" t="s">
        <v>2</v>
      </c>
      <c r="Q1" s="479" t="s">
        <v>3</v>
      </c>
      <c r="R1" s="458"/>
    </row>
    <row r="2" spans="1:22" s="58" customFormat="1" ht="18" customHeight="1" x14ac:dyDescent="0.35">
      <c r="A2" s="393"/>
      <c r="B2" s="393"/>
      <c r="C2" s="393"/>
      <c r="D2" s="3342" t="str">
        <f>NomClient</f>
        <v xml:space="preserve">EQUINIX </v>
      </c>
      <c r="E2" s="3343"/>
      <c r="F2" s="3343"/>
      <c r="G2" s="3344"/>
      <c r="H2" s="393"/>
      <c r="I2" s="3345" t="s">
        <v>410</v>
      </c>
      <c r="J2" s="3346"/>
      <c r="K2" s="393"/>
      <c r="L2" s="3347">
        <v>42420.722685185188</v>
      </c>
      <c r="M2" s="3348"/>
      <c r="N2" s="699"/>
      <c r="O2" s="394"/>
      <c r="P2" s="451">
        <f>IF(LEN(DPDV_06PP3)&gt;0,LEN(DPDV_06PP3),0-PDV_NBmini)</f>
        <v>27</v>
      </c>
      <c r="Q2" s="451">
        <f>IF(LEN(DKPI_06PP3)&gt;0,LEN(DKPI_06PP3),0-KPI_NBmini)</f>
        <v>61</v>
      </c>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0.25" customHeight="1" thickBot="1" x14ac:dyDescent="0.4">
      <c r="A4" s="3769" t="str">
        <f>Parametre!B28 &amp; "  : "</f>
        <v xml:space="preserve">Typologie des partenaires  : </v>
      </c>
      <c r="B4" s="3769"/>
      <c r="C4" s="3769"/>
      <c r="D4" s="3769"/>
      <c r="E4" s="3769"/>
      <c r="F4" s="3769"/>
      <c r="G4" s="3769"/>
      <c r="H4" s="3767" t="str">
        <f>"Partenaires idéaux pour " &amp; NomProd3</f>
        <v xml:space="preserve">Partenaires idéaux pour </v>
      </c>
      <c r="I4" s="3767"/>
      <c r="J4" s="3767"/>
      <c r="K4" s="3767"/>
      <c r="L4" s="3767"/>
      <c r="M4" s="3767"/>
      <c r="N4" s="3767"/>
      <c r="O4" s="3767"/>
      <c r="P4" s="3767"/>
      <c r="Q4" s="3768"/>
      <c r="R4" s="444"/>
    </row>
    <row r="5" spans="1:22" s="193" customFormat="1" ht="15" customHeight="1" thickBot="1" x14ac:dyDescent="0.4">
      <c r="A5" s="3438" t="s">
        <v>14</v>
      </c>
      <c r="B5" s="3438"/>
      <c r="C5" s="4693" t="s">
        <v>613</v>
      </c>
      <c r="D5" s="4693"/>
      <c r="E5" s="4693"/>
      <c r="F5" s="4693"/>
      <c r="G5" s="4693"/>
      <c r="H5" s="4693"/>
      <c r="I5" s="4693"/>
      <c r="J5" s="4693"/>
      <c r="K5" s="4693"/>
      <c r="L5" s="4693"/>
      <c r="M5" s="4693"/>
      <c r="N5" s="4693"/>
      <c r="O5" s="4693"/>
      <c r="P5" s="4693"/>
      <c r="Q5" s="4693"/>
      <c r="R5" s="460"/>
    </row>
    <row r="6" spans="1:22" s="125" customFormat="1" ht="18.75" customHeight="1" thickBot="1" x14ac:dyDescent="0.4">
      <c r="A6" s="4701" t="s">
        <v>463</v>
      </c>
      <c r="B6" s="4702"/>
      <c r="C6" s="868" t="s">
        <v>462</v>
      </c>
      <c r="D6" s="4695" t="s">
        <v>478</v>
      </c>
      <c r="E6" s="4696"/>
      <c r="F6" s="4696"/>
      <c r="G6" s="4696"/>
      <c r="H6" s="4696"/>
      <c r="I6" s="4696"/>
      <c r="J6" s="4696"/>
      <c r="K6" s="4696"/>
      <c r="L6" s="4696"/>
      <c r="M6" s="4696"/>
      <c r="N6" s="4696"/>
      <c r="O6" s="4696"/>
      <c r="P6" s="4696"/>
      <c r="Q6" s="4697"/>
      <c r="R6" s="863"/>
    </row>
    <row r="7" spans="1:22" s="118" customFormat="1" ht="100.5" customHeight="1" thickBot="1" x14ac:dyDescent="0.4">
      <c r="A7" s="5617" t="s">
        <v>1104</v>
      </c>
      <c r="B7" s="5618"/>
      <c r="C7" s="5618"/>
      <c r="D7" s="5618"/>
      <c r="E7" s="5618"/>
      <c r="F7" s="5618"/>
      <c r="G7" s="5618"/>
      <c r="H7" s="5618"/>
      <c r="I7" s="5619" t="s">
        <v>1105</v>
      </c>
      <c r="J7" s="5620"/>
      <c r="K7" s="5620"/>
      <c r="L7" s="5620"/>
      <c r="M7" s="5620"/>
      <c r="N7" s="5620"/>
      <c r="O7" s="5620"/>
      <c r="P7" s="5620"/>
      <c r="Q7" s="5621"/>
      <c r="R7" s="836"/>
    </row>
    <row r="8" spans="1:22" s="121" customFormat="1" ht="11.25" customHeight="1" x14ac:dyDescent="0.35">
      <c r="A8" s="5622"/>
      <c r="B8" s="5623"/>
      <c r="C8" s="5623"/>
      <c r="D8" s="5623"/>
      <c r="E8" s="5623"/>
      <c r="F8" s="5623"/>
      <c r="G8" s="5623"/>
      <c r="H8" s="5623"/>
      <c r="I8" s="5623"/>
      <c r="J8" s="5623"/>
      <c r="K8" s="5623"/>
      <c r="L8" s="5623"/>
      <c r="M8" s="5623"/>
      <c r="N8" s="5623"/>
      <c r="O8" s="5623"/>
      <c r="P8" s="5623"/>
      <c r="Q8" s="5624"/>
      <c r="R8" s="856"/>
    </row>
    <row r="9" spans="1:22" s="118" customFormat="1" ht="35.25" customHeight="1" x14ac:dyDescent="0.35">
      <c r="A9" s="6456" t="str">
        <f>TYPOPARTNER!A11:D11</f>
        <v>Force de vente directe</v>
      </c>
      <c r="B9" s="6461"/>
      <c r="C9" s="309" t="str">
        <f>IF(LEN(TYPOPARTNER!E11)&lt;1,"",TYPOPARTNER!E11)</f>
        <v/>
      </c>
      <c r="D9" s="6458"/>
      <c r="E9" s="6459"/>
      <c r="F9" s="6459"/>
      <c r="G9" s="6459"/>
      <c r="H9" s="6459"/>
      <c r="I9" s="6459"/>
      <c r="J9" s="6459"/>
      <c r="K9" s="6459"/>
      <c r="L9" s="6459"/>
      <c r="M9" s="6459"/>
      <c r="N9" s="6459"/>
      <c r="O9" s="6459"/>
      <c r="P9" s="6459"/>
      <c r="Q9" s="6460"/>
      <c r="R9" s="836"/>
    </row>
    <row r="10" spans="1:22" s="118" customFormat="1" ht="60.75" customHeight="1" x14ac:dyDescent="0.35">
      <c r="A10" s="6456" t="str">
        <f>TYPOPARTNER!A12:D12</f>
        <v xml:space="preserve">VARs / SS2I locales </v>
      </c>
      <c r="B10" s="6461"/>
      <c r="C10" s="309" t="str">
        <f>IF(LEN(TYPOPARTNER!E12)&lt;1,"",TYPOPARTNER!E12)</f>
        <v>1- Haute</v>
      </c>
      <c r="D10" s="6458"/>
      <c r="E10" s="6459"/>
      <c r="F10" s="6459" t="s">
        <v>1073</v>
      </c>
      <c r="G10" s="6459"/>
      <c r="H10" s="6459"/>
      <c r="I10" s="6459"/>
      <c r="J10" s="6459"/>
      <c r="K10" s="6459"/>
      <c r="L10" s="6459"/>
      <c r="M10" s="6459"/>
      <c r="N10" s="6459"/>
      <c r="O10" s="6459"/>
      <c r="P10" s="6459"/>
      <c r="Q10" s="6460"/>
      <c r="R10" s="836"/>
    </row>
    <row r="11" spans="1:22" s="124" customFormat="1" ht="109.5" customHeight="1" x14ac:dyDescent="0.35">
      <c r="A11" s="6456" t="e">
        <f>TYPOPARTNER!#REF!</f>
        <v>#REF!</v>
      </c>
      <c r="B11" s="6457"/>
      <c r="C11" s="309" t="str">
        <f>IF(LEN(TYPOPARTNER!E13)&lt;1,"",TYPOPARTNER!E13)</f>
        <v>1- Haute</v>
      </c>
      <c r="D11" s="6462" t="s">
        <v>1778</v>
      </c>
      <c r="E11" s="6463"/>
      <c r="F11" s="6463" t="s">
        <v>1070</v>
      </c>
      <c r="G11" s="6463"/>
      <c r="H11" s="6463"/>
      <c r="I11" s="6463"/>
      <c r="J11" s="6463"/>
      <c r="K11" s="6463"/>
      <c r="L11" s="6463"/>
      <c r="M11" s="6463"/>
      <c r="N11" s="6463"/>
      <c r="O11" s="6463"/>
      <c r="P11" s="6463"/>
      <c r="Q11" s="6464"/>
      <c r="R11" s="858"/>
    </row>
    <row r="12" spans="1:22" s="189" customFormat="1" ht="35.25" customHeight="1" x14ac:dyDescent="0.35">
      <c r="A12" s="960" t="str">
        <f>TYPOPARTNER!A13:D13</f>
        <v>ESN ( SS2I )</v>
      </c>
      <c r="B12" s="961"/>
      <c r="C12" s="309" t="str">
        <f>IF(LEN(TYPOPARTNER!E14)&lt;1,"",TYPOPARTNER!E14)</f>
        <v>1- Haute</v>
      </c>
      <c r="D12" s="6458"/>
      <c r="E12" s="6459"/>
      <c r="F12" s="6459"/>
      <c r="G12" s="6459"/>
      <c r="H12" s="6459"/>
      <c r="I12" s="6459"/>
      <c r="J12" s="6459"/>
      <c r="K12" s="6459"/>
      <c r="L12" s="6459"/>
      <c r="M12" s="6459"/>
      <c r="N12" s="6459"/>
      <c r="O12" s="6459"/>
      <c r="P12" s="6459"/>
      <c r="Q12" s="6460"/>
      <c r="R12" s="869"/>
    </row>
    <row r="13" spans="1:22" s="189" customFormat="1" ht="58.5" customHeight="1" x14ac:dyDescent="0.35">
      <c r="A13" s="6456" t="str">
        <f>TYPOPARTNER!A15:D15</f>
        <v>Editeurs de solutions complémentaires</v>
      </c>
      <c r="B13" s="6461"/>
      <c r="C13" s="309" t="str">
        <f>IF(LEN(TYPOPARTNER!E15)&lt;1,"",TYPOPARTNER!E15)</f>
        <v>1- Haute</v>
      </c>
      <c r="D13" s="6462" t="s">
        <v>1778</v>
      </c>
      <c r="E13" s="6463"/>
      <c r="F13" s="6463" t="s">
        <v>1071</v>
      </c>
      <c r="G13" s="6463"/>
      <c r="H13" s="6463"/>
      <c r="I13" s="6463"/>
      <c r="J13" s="6463"/>
      <c r="K13" s="6463"/>
      <c r="L13" s="6463"/>
      <c r="M13" s="6463"/>
      <c r="N13" s="6463"/>
      <c r="O13" s="6463"/>
      <c r="P13" s="6463"/>
      <c r="Q13" s="6464"/>
      <c r="R13" s="869"/>
    </row>
    <row r="14" spans="1:22" s="124" customFormat="1" ht="35.25" customHeight="1" x14ac:dyDescent="0.35">
      <c r="A14" s="6456" t="str">
        <f>TYPOPARTNER!A16:D16</f>
        <v>Cabinets de conseil / Consultants</v>
      </c>
      <c r="B14" s="6457"/>
      <c r="C14" s="309" t="str">
        <f>IF(LEN(TYPOPARTNER!E16)&lt;1,"",TYPOPARTNER!E16)</f>
        <v>2- Moyenne</v>
      </c>
      <c r="D14" s="6458"/>
      <c r="E14" s="6459"/>
      <c r="F14" s="6459"/>
      <c r="G14" s="6459"/>
      <c r="H14" s="6459"/>
      <c r="I14" s="6459"/>
      <c r="J14" s="6459"/>
      <c r="K14" s="6459"/>
      <c r="L14" s="6459"/>
      <c r="M14" s="6459"/>
      <c r="N14" s="6459"/>
      <c r="O14" s="6459"/>
      <c r="P14" s="6459"/>
      <c r="Q14" s="6460"/>
      <c r="R14" s="858"/>
    </row>
    <row r="15" spans="1:22" s="118" customFormat="1" ht="35.25" customHeight="1" x14ac:dyDescent="0.35">
      <c r="A15" s="6456" t="str">
        <f>TYPOPARTNER!A17:D17</f>
        <v xml:space="preserve">Hébergeurs </v>
      </c>
      <c r="B15" s="6457"/>
      <c r="C15" s="309" t="str">
        <f>IF(LEN(TYPOPARTNER!E17)&lt;1,"",TYPOPARTNER!E17)</f>
        <v>2- Moyenne</v>
      </c>
      <c r="D15" s="6458"/>
      <c r="E15" s="6459"/>
      <c r="F15" s="6459"/>
      <c r="G15" s="6459"/>
      <c r="H15" s="6459"/>
      <c r="I15" s="6459"/>
      <c r="J15" s="6459"/>
      <c r="K15" s="6459"/>
      <c r="L15" s="6459"/>
      <c r="M15" s="6459"/>
      <c r="N15" s="6459"/>
      <c r="O15" s="6459"/>
      <c r="P15" s="6459"/>
      <c r="Q15" s="6460"/>
      <c r="R15" s="836"/>
    </row>
    <row r="16" spans="1:22" s="118" customFormat="1" ht="35.25" customHeight="1" x14ac:dyDescent="0.35">
      <c r="A16" s="6456" t="str">
        <f>TYPOPARTNER!A18:D18</f>
        <v>Agrégateurs</v>
      </c>
      <c r="B16" s="6457"/>
      <c r="C16" s="309" t="str">
        <f>IF(LEN(TYPOPARTNER!E18)&lt;1,"",TYPOPARTNER!E18)</f>
        <v>2- Moyenne</v>
      </c>
      <c r="D16" s="6458"/>
      <c r="E16" s="6459"/>
      <c r="F16" s="6459" t="s">
        <v>1072</v>
      </c>
      <c r="G16" s="6459"/>
      <c r="H16" s="6459"/>
      <c r="I16" s="6459"/>
      <c r="J16" s="6459"/>
      <c r="K16" s="6459"/>
      <c r="L16" s="6459"/>
      <c r="M16" s="6459"/>
      <c r="N16" s="6459"/>
      <c r="O16" s="6459"/>
      <c r="P16" s="6459"/>
      <c r="Q16" s="6460"/>
      <c r="R16" s="836"/>
    </row>
    <row r="17" spans="1:18" s="124" customFormat="1" ht="35.25" customHeight="1" x14ac:dyDescent="0.35">
      <c r="A17" s="6456" t="str">
        <f>TYPOPARTNER!A19:D19</f>
        <v>Autre</v>
      </c>
      <c r="B17" s="6457"/>
      <c r="C17" s="309" t="str">
        <f>IF(LEN(TYPOPARTNER!E19)&lt;1,"",TYPOPARTNER!E19)</f>
        <v/>
      </c>
      <c r="D17" s="6458"/>
      <c r="E17" s="6459"/>
      <c r="F17" s="6459"/>
      <c r="G17" s="6459"/>
      <c r="H17" s="6459"/>
      <c r="I17" s="6459"/>
      <c r="J17" s="6459"/>
      <c r="K17" s="6459"/>
      <c r="L17" s="6459"/>
      <c r="M17" s="6459"/>
      <c r="N17" s="6459"/>
      <c r="O17" s="6459"/>
      <c r="P17" s="6459"/>
      <c r="Q17" s="6460"/>
      <c r="R17" s="858"/>
    </row>
    <row r="18" spans="1:18" s="124" customFormat="1" ht="35.25" customHeight="1" x14ac:dyDescent="0.35">
      <c r="A18" s="6456">
        <f>TYPOPARTNER!A20:D20</f>
        <v>0</v>
      </c>
      <c r="B18" s="6457"/>
      <c r="C18" s="309" t="str">
        <f>IF(LEN(TYPOPARTNER!E20)&lt;1,"",TYPOPARTNER!E20)</f>
        <v/>
      </c>
      <c r="D18" s="6458"/>
      <c r="E18" s="6459"/>
      <c r="F18" s="6459"/>
      <c r="G18" s="6459"/>
      <c r="H18" s="6459"/>
      <c r="I18" s="6459"/>
      <c r="J18" s="6459"/>
      <c r="K18" s="6459"/>
      <c r="L18" s="6459"/>
      <c r="M18" s="6459"/>
      <c r="N18" s="6459"/>
      <c r="O18" s="6459"/>
      <c r="P18" s="6459"/>
      <c r="Q18" s="6460"/>
      <c r="R18" s="858"/>
    </row>
    <row r="19" spans="1:18" s="124" customFormat="1" ht="35.25" customHeight="1" x14ac:dyDescent="0.35">
      <c r="A19" s="6456">
        <f>TYPOPARTNER!A21:D21</f>
        <v>0</v>
      </c>
      <c r="B19" s="6457"/>
      <c r="C19" s="309" t="str">
        <f>IF(LEN(TYPOPARTNER!E21)&lt;1,"",TYPOPARTNER!E21)</f>
        <v/>
      </c>
      <c r="D19" s="6458"/>
      <c r="E19" s="6459"/>
      <c r="F19" s="6459"/>
      <c r="G19" s="6459"/>
      <c r="H19" s="6459"/>
      <c r="I19" s="6459"/>
      <c r="J19" s="6459"/>
      <c r="K19" s="6459"/>
      <c r="L19" s="6459"/>
      <c r="M19" s="6459"/>
      <c r="N19" s="6459"/>
      <c r="O19" s="6459"/>
      <c r="P19" s="6459"/>
      <c r="Q19" s="6460"/>
      <c r="R19" s="858"/>
    </row>
    <row r="20" spans="1:18" s="124" customFormat="1" ht="35.25" customHeight="1" x14ac:dyDescent="0.35">
      <c r="A20" s="6456">
        <f>TYPOPARTNER!A22:D22</f>
        <v>0</v>
      </c>
      <c r="B20" s="6457"/>
      <c r="C20" s="309" t="str">
        <f>IF(LEN(TYPOPARTNER!E22)&lt;1,"",TYPOPARTNER!E22)</f>
        <v/>
      </c>
      <c r="D20" s="6458"/>
      <c r="E20" s="6459"/>
      <c r="F20" s="6459"/>
      <c r="G20" s="6459"/>
      <c r="H20" s="6459"/>
      <c r="I20" s="6459"/>
      <c r="J20" s="6459"/>
      <c r="K20" s="6459"/>
      <c r="L20" s="6459"/>
      <c r="M20" s="6459"/>
      <c r="N20" s="6459"/>
      <c r="O20" s="6459"/>
      <c r="P20" s="6459"/>
      <c r="Q20" s="6460"/>
      <c r="R20" s="858"/>
    </row>
    <row r="21" spans="1:18" s="124" customFormat="1" ht="35.25" customHeight="1" x14ac:dyDescent="0.35">
      <c r="A21" s="6456">
        <f>TYPOPARTNER!A23:D23</f>
        <v>0</v>
      </c>
      <c r="B21" s="6457"/>
      <c r="C21" s="309" t="str">
        <f>IF(LEN(TYPOPARTNER!E23)&lt;1,"",TYPOPARTNER!E23)</f>
        <v/>
      </c>
      <c r="D21" s="6458"/>
      <c r="E21" s="6459"/>
      <c r="F21" s="6459"/>
      <c r="G21" s="6459"/>
      <c r="H21" s="6459"/>
      <c r="I21" s="6459"/>
      <c r="J21" s="6459"/>
      <c r="K21" s="6459"/>
      <c r="L21" s="6459"/>
      <c r="M21" s="6459"/>
      <c r="N21" s="6459"/>
      <c r="O21" s="6459"/>
      <c r="P21" s="6459"/>
      <c r="Q21" s="6460"/>
      <c r="R21" s="858"/>
    </row>
    <row r="22" spans="1:18" s="124" customFormat="1" ht="35.25" customHeight="1" x14ac:dyDescent="0.35">
      <c r="A22" s="6456">
        <f>TYPOPARTNER!A24:D24</f>
        <v>0</v>
      </c>
      <c r="B22" s="6457"/>
      <c r="C22" s="309" t="str">
        <f>IF(LEN(TYPOPARTNER!E24)&lt;1,"",TYPOPARTNER!E24)</f>
        <v/>
      </c>
      <c r="D22" s="6458"/>
      <c r="E22" s="6459"/>
      <c r="F22" s="6459"/>
      <c r="G22" s="6459"/>
      <c r="H22" s="6459"/>
      <c r="I22" s="6459"/>
      <c r="J22" s="6459"/>
      <c r="K22" s="6459"/>
      <c r="L22" s="6459"/>
      <c r="M22" s="6459"/>
      <c r="N22" s="6459"/>
      <c r="O22" s="6459"/>
      <c r="P22" s="6459"/>
      <c r="Q22" s="6460"/>
      <c r="R22" s="858"/>
    </row>
    <row r="23" spans="1:18" s="124" customFormat="1" ht="35.25" customHeight="1" x14ac:dyDescent="0.35">
      <c r="A23" s="6456" t="e">
        <f>TYPOPARTNER!#REF!</f>
        <v>#REF!</v>
      </c>
      <c r="B23" s="6457"/>
      <c r="C23" s="309" t="e">
        <f>IF(LEN(TYPOPARTNER!#REF!)&lt;1,"",TYPOPARTNER!#REF!)</f>
        <v>#REF!</v>
      </c>
      <c r="D23" s="6458"/>
      <c r="E23" s="6459"/>
      <c r="F23" s="6459"/>
      <c r="G23" s="6459"/>
      <c r="H23" s="6459"/>
      <c r="I23" s="6459"/>
      <c r="J23" s="6459"/>
      <c r="K23" s="6459"/>
      <c r="L23" s="6459"/>
      <c r="M23" s="6459"/>
      <c r="N23" s="6459"/>
      <c r="O23" s="6459"/>
      <c r="P23" s="6459"/>
      <c r="Q23" s="6460"/>
      <c r="R23" s="858"/>
    </row>
    <row r="24" spans="1:18" s="124" customFormat="1" ht="35.25" customHeight="1" x14ac:dyDescent="0.35">
      <c r="A24" s="6456" t="e">
        <f>TYPOPARTNER!#REF!</f>
        <v>#REF!</v>
      </c>
      <c r="B24" s="6457"/>
      <c r="C24" s="309" t="e">
        <f>IF(LEN(TYPOPARTNER!#REF!)&lt;1,"",TYPOPARTNER!#REF!)</f>
        <v>#REF!</v>
      </c>
      <c r="D24" s="6458"/>
      <c r="E24" s="6459"/>
      <c r="F24" s="6459"/>
      <c r="G24" s="6459"/>
      <c r="H24" s="6459"/>
      <c r="I24" s="6459"/>
      <c r="J24" s="6459"/>
      <c r="K24" s="6459"/>
      <c r="L24" s="6459"/>
      <c r="M24" s="6459"/>
      <c r="N24" s="6459"/>
      <c r="O24" s="6459"/>
      <c r="P24" s="6459"/>
      <c r="Q24" s="6460"/>
      <c r="R24" s="858"/>
    </row>
    <row r="25" spans="1:18" s="121" customFormat="1" ht="12" customHeight="1" thickBot="1" x14ac:dyDescent="0.4">
      <c r="A25" s="3770"/>
      <c r="B25" s="3771"/>
      <c r="C25" s="3771"/>
      <c r="D25" s="3771"/>
      <c r="E25" s="3771"/>
      <c r="F25" s="3771"/>
      <c r="G25" s="3771"/>
      <c r="H25" s="3771"/>
      <c r="I25" s="3771"/>
      <c r="J25" s="3771"/>
      <c r="K25" s="3771"/>
      <c r="L25" s="3771"/>
      <c r="M25" s="3771"/>
      <c r="N25" s="3771"/>
      <c r="O25" s="3771"/>
      <c r="P25" s="3771"/>
      <c r="Q25" s="3772"/>
      <c r="R25" s="856"/>
    </row>
    <row r="26" spans="1:18" s="65" customFormat="1" ht="13.5" customHeight="1" thickTop="1" x14ac:dyDescent="0.35">
      <c r="A26" s="870"/>
      <c r="B26" s="870"/>
      <c r="C26" s="860"/>
      <c r="D26" s="860"/>
      <c r="E26" s="860"/>
      <c r="F26" s="860"/>
      <c r="G26" s="860"/>
      <c r="H26" s="860"/>
      <c r="I26" s="860"/>
      <c r="J26" s="860"/>
      <c r="K26" s="860"/>
      <c r="L26" s="860"/>
      <c r="M26" s="860"/>
      <c r="N26" s="860"/>
      <c r="O26" s="871"/>
      <c r="P26" s="871"/>
      <c r="Q26" s="860"/>
      <c r="R26" s="398"/>
    </row>
    <row r="27" spans="1:18" s="65" customFormat="1" ht="15" thickBot="1" x14ac:dyDescent="0.4">
      <c r="A27" s="398"/>
      <c r="B27" s="398"/>
      <c r="C27" s="398"/>
      <c r="D27" s="398"/>
      <c r="E27" s="398"/>
      <c r="F27" s="398"/>
      <c r="G27" s="398"/>
      <c r="H27" s="398"/>
      <c r="I27" s="398"/>
      <c r="J27" s="398"/>
      <c r="K27" s="398"/>
      <c r="L27" s="398"/>
      <c r="M27" s="398"/>
      <c r="N27" s="398"/>
      <c r="O27" s="398"/>
      <c r="P27" s="398"/>
      <c r="Q27" s="398"/>
      <c r="R27" s="398"/>
    </row>
    <row r="28" spans="1:18" s="65" customFormat="1" ht="19.5" thickTop="1" thickBot="1" x14ac:dyDescent="0.4">
      <c r="A28" s="3728" t="s">
        <v>10</v>
      </c>
      <c r="B28" s="3729"/>
      <c r="C28" s="3729"/>
      <c r="D28" s="3729"/>
      <c r="E28" s="3729"/>
      <c r="F28" s="3729"/>
      <c r="G28" s="3729"/>
      <c r="H28" s="3729"/>
      <c r="I28" s="3729"/>
      <c r="J28" s="3729"/>
      <c r="K28" s="3730"/>
      <c r="L28" s="190"/>
      <c r="M28" s="4698" t="s">
        <v>748</v>
      </c>
      <c r="N28" s="4699"/>
      <c r="O28" s="4700"/>
      <c r="P28" s="190"/>
      <c r="Q28" s="190"/>
      <c r="R28" s="398"/>
    </row>
    <row r="29" spans="1:18" s="65" customFormat="1" ht="20.25" customHeight="1" x14ac:dyDescent="0.35">
      <c r="A29" s="3746" t="s">
        <v>824</v>
      </c>
      <c r="B29" s="3744"/>
      <c r="C29" s="3744"/>
      <c r="D29" s="3744"/>
      <c r="E29" s="3744"/>
      <c r="F29" s="3744"/>
      <c r="G29" s="3744"/>
      <c r="H29" s="3744"/>
      <c r="I29" s="3744"/>
      <c r="J29" s="3744"/>
      <c r="K29" s="3745"/>
      <c r="L29" s="191"/>
      <c r="M29" s="3750" t="s">
        <v>823</v>
      </c>
      <c r="N29" s="3751"/>
      <c r="O29" s="3752"/>
      <c r="P29" s="191"/>
      <c r="Q29" s="191"/>
      <c r="R29" s="398"/>
    </row>
    <row r="30" spans="1:18" s="65" customFormat="1" ht="20.25" customHeight="1" x14ac:dyDescent="0.35">
      <c r="A30" s="3746"/>
      <c r="B30" s="3744"/>
      <c r="C30" s="3744"/>
      <c r="D30" s="3744"/>
      <c r="E30" s="3744"/>
      <c r="F30" s="3744"/>
      <c r="G30" s="3744"/>
      <c r="H30" s="3744"/>
      <c r="I30" s="3744"/>
      <c r="J30" s="3744"/>
      <c r="K30" s="3745"/>
      <c r="L30" s="191"/>
      <c r="M30" s="3753"/>
      <c r="N30" s="3754"/>
      <c r="O30" s="3755"/>
      <c r="P30" s="191"/>
      <c r="Q30" s="191"/>
      <c r="R30" s="398"/>
    </row>
    <row r="31" spans="1:18" s="65" customFormat="1" ht="20.25" customHeight="1" x14ac:dyDescent="0.35">
      <c r="A31" s="3746"/>
      <c r="B31" s="3744"/>
      <c r="C31" s="3744"/>
      <c r="D31" s="3744"/>
      <c r="E31" s="3744"/>
      <c r="F31" s="3744"/>
      <c r="G31" s="3744"/>
      <c r="H31" s="3744"/>
      <c r="I31" s="3744"/>
      <c r="J31" s="3744"/>
      <c r="K31" s="3745"/>
      <c r="L31" s="191"/>
      <c r="M31" s="3753"/>
      <c r="N31" s="3754"/>
      <c r="O31" s="3755"/>
      <c r="P31" s="191"/>
      <c r="Q31" s="191"/>
      <c r="R31" s="398"/>
    </row>
    <row r="32" spans="1:18" s="65" customFormat="1" ht="20.25" customHeight="1" thickBot="1" x14ac:dyDescent="0.4">
      <c r="A32" s="3747"/>
      <c r="B32" s="3748"/>
      <c r="C32" s="3748"/>
      <c r="D32" s="3748"/>
      <c r="E32" s="3748"/>
      <c r="F32" s="3748"/>
      <c r="G32" s="3748"/>
      <c r="H32" s="3748"/>
      <c r="I32" s="3748"/>
      <c r="J32" s="3748"/>
      <c r="K32" s="3749"/>
      <c r="L32" s="191"/>
      <c r="M32" s="3756"/>
      <c r="N32" s="3757"/>
      <c r="O32" s="3758"/>
      <c r="P32" s="191"/>
      <c r="Q32" s="191"/>
      <c r="R32" s="398"/>
    </row>
    <row r="33" spans="1:18" s="65" customFormat="1" ht="15.5" thickTop="1" thickBot="1" x14ac:dyDescent="0.4">
      <c r="A33" s="398"/>
      <c r="B33" s="398"/>
      <c r="C33" s="398"/>
      <c r="D33" s="398"/>
      <c r="E33" s="398"/>
      <c r="F33" s="398"/>
      <c r="G33" s="398"/>
      <c r="H33" s="398"/>
      <c r="I33" s="398"/>
      <c r="J33" s="398"/>
      <c r="K33" s="398"/>
      <c r="L33" s="398"/>
      <c r="M33" s="190"/>
      <c r="N33" s="190"/>
      <c r="O33" s="190"/>
      <c r="P33" s="398"/>
      <c r="Q33" s="398"/>
      <c r="R33" s="398"/>
    </row>
    <row r="34" spans="1:18" s="65" customFormat="1" ht="19.5" thickTop="1" thickBot="1" x14ac:dyDescent="0.4">
      <c r="A34" s="3728" t="s">
        <v>11</v>
      </c>
      <c r="B34" s="3742"/>
      <c r="C34" s="3742"/>
      <c r="D34" s="3742"/>
      <c r="E34" s="3742"/>
      <c r="F34" s="3742"/>
      <c r="G34" s="3742"/>
      <c r="H34" s="3742"/>
      <c r="I34" s="3742"/>
      <c r="J34" s="3742"/>
      <c r="K34" s="3743"/>
      <c r="L34" s="190"/>
      <c r="M34" s="4698" t="s">
        <v>748</v>
      </c>
      <c r="N34" s="4699"/>
      <c r="O34" s="4700"/>
      <c r="P34" s="190"/>
      <c r="Q34" s="190"/>
      <c r="R34" s="398"/>
    </row>
    <row r="35" spans="1:18" s="65" customFormat="1" ht="20.25" customHeight="1" x14ac:dyDescent="0.35">
      <c r="A35" s="3746" t="s">
        <v>826</v>
      </c>
      <c r="B35" s="3744"/>
      <c r="C35" s="3744"/>
      <c r="D35" s="3744"/>
      <c r="E35" s="3744"/>
      <c r="F35" s="3744"/>
      <c r="G35" s="3744"/>
      <c r="H35" s="3744"/>
      <c r="I35" s="3744"/>
      <c r="J35" s="3744"/>
      <c r="K35" s="3745"/>
      <c r="L35" s="191"/>
      <c r="M35" s="3750" t="s">
        <v>825</v>
      </c>
      <c r="N35" s="3751"/>
      <c r="O35" s="3752"/>
      <c r="P35" s="191"/>
      <c r="Q35" s="191"/>
      <c r="R35" s="398"/>
    </row>
    <row r="36" spans="1:18" s="65" customFormat="1" ht="20.25" customHeight="1" x14ac:dyDescent="0.35">
      <c r="A36" s="3746"/>
      <c r="B36" s="3744"/>
      <c r="C36" s="3744"/>
      <c r="D36" s="3744"/>
      <c r="E36" s="3744"/>
      <c r="F36" s="3744"/>
      <c r="G36" s="3744"/>
      <c r="H36" s="3744"/>
      <c r="I36" s="3744"/>
      <c r="J36" s="3744"/>
      <c r="K36" s="3745"/>
      <c r="L36" s="191"/>
      <c r="M36" s="3753"/>
      <c r="N36" s="3754"/>
      <c r="O36" s="3755"/>
      <c r="P36" s="191"/>
      <c r="Q36" s="191"/>
      <c r="R36" s="398"/>
    </row>
    <row r="37" spans="1:18" s="65" customFormat="1" ht="20.25" customHeight="1" x14ac:dyDescent="0.35">
      <c r="A37" s="3746"/>
      <c r="B37" s="3744"/>
      <c r="C37" s="3744"/>
      <c r="D37" s="3744"/>
      <c r="E37" s="3744"/>
      <c r="F37" s="3744"/>
      <c r="G37" s="3744"/>
      <c r="H37" s="3744"/>
      <c r="I37" s="3744"/>
      <c r="J37" s="3744"/>
      <c r="K37" s="3745"/>
      <c r="L37" s="191"/>
      <c r="M37" s="3753"/>
      <c r="N37" s="3754"/>
      <c r="O37" s="3755"/>
      <c r="P37" s="191"/>
      <c r="Q37" s="191"/>
      <c r="R37" s="398"/>
    </row>
    <row r="38" spans="1:18" s="65" customFormat="1" ht="20.25" customHeight="1" thickBot="1" x14ac:dyDescent="0.4">
      <c r="A38" s="3747"/>
      <c r="B38" s="3748"/>
      <c r="C38" s="3748"/>
      <c r="D38" s="3748"/>
      <c r="E38" s="3748"/>
      <c r="F38" s="3748"/>
      <c r="G38" s="3748"/>
      <c r="H38" s="3748"/>
      <c r="I38" s="3748"/>
      <c r="J38" s="3748"/>
      <c r="K38" s="3749"/>
      <c r="L38" s="191"/>
      <c r="M38" s="3756"/>
      <c r="N38" s="3757"/>
      <c r="O38" s="3758"/>
      <c r="P38" s="191"/>
      <c r="Q38" s="191"/>
      <c r="R38" s="398"/>
    </row>
    <row r="39" spans="1:18" s="65" customFormat="1" ht="15" thickTop="1" x14ac:dyDescent="0.35">
      <c r="A39" s="398"/>
      <c r="B39" s="398"/>
      <c r="C39" s="398"/>
      <c r="D39" s="398"/>
      <c r="E39" s="398"/>
      <c r="F39" s="398"/>
      <c r="G39" s="398"/>
      <c r="H39" s="398"/>
      <c r="I39" s="398"/>
      <c r="J39" s="398"/>
      <c r="K39" s="398"/>
      <c r="L39" s="398"/>
      <c r="M39" s="398"/>
      <c r="N39" s="398"/>
      <c r="O39" s="398"/>
      <c r="P39" s="398"/>
      <c r="Q39" s="398"/>
      <c r="R39" s="398"/>
    </row>
    <row r="40" spans="1:18" s="65" customFormat="1" x14ac:dyDescent="0.35"/>
    <row r="41" spans="1:18" s="65" customFormat="1" x14ac:dyDescent="0.35"/>
    <row r="42" spans="1:18" s="65" customFormat="1" x14ac:dyDescent="0.35"/>
    <row r="43" spans="1:18" s="65" customFormat="1" x14ac:dyDescent="0.35"/>
    <row r="44" spans="1:18" s="65" customFormat="1" x14ac:dyDescent="0.35"/>
    <row r="45" spans="1:18" s="65" customFormat="1" x14ac:dyDescent="0.35"/>
    <row r="46" spans="1:18" s="65" customFormat="1" x14ac:dyDescent="0.35"/>
    <row r="47" spans="1:18" s="65" customFormat="1" x14ac:dyDescent="0.35"/>
    <row r="48" spans="1:18" s="65" customFormat="1" x14ac:dyDescent="0.35"/>
    <row r="49" s="65" customFormat="1" x14ac:dyDescent="0.35"/>
  </sheetData>
  <mergeCells count="56">
    <mergeCell ref="D3:G3"/>
    <mergeCell ref="D1:G1"/>
    <mergeCell ref="I1:J1"/>
    <mergeCell ref="L1:M1"/>
    <mergeCell ref="D2:G2"/>
    <mergeCell ref="I2:J2"/>
    <mergeCell ref="L2:M2"/>
    <mergeCell ref="A4:G4"/>
    <mergeCell ref="H4:Q4"/>
    <mergeCell ref="A5:B5"/>
    <mergeCell ref="C5:Q5"/>
    <mergeCell ref="A6:B6"/>
    <mergeCell ref="D6:Q6"/>
    <mergeCell ref="A14:B14"/>
    <mergeCell ref="D14:Q14"/>
    <mergeCell ref="A7:H7"/>
    <mergeCell ref="I7:Q7"/>
    <mergeCell ref="A8:Q8"/>
    <mergeCell ref="A9:B9"/>
    <mergeCell ref="D9:Q9"/>
    <mergeCell ref="A10:B10"/>
    <mergeCell ref="D10:Q10"/>
    <mergeCell ref="A11:B11"/>
    <mergeCell ref="D11:Q11"/>
    <mergeCell ref="D12:Q12"/>
    <mergeCell ref="A13:B13"/>
    <mergeCell ref="D13:Q13"/>
    <mergeCell ref="A15:B15"/>
    <mergeCell ref="D15:Q15"/>
    <mergeCell ref="A16:B16"/>
    <mergeCell ref="D16:Q16"/>
    <mergeCell ref="A17:B17"/>
    <mergeCell ref="D17:Q17"/>
    <mergeCell ref="A18:B18"/>
    <mergeCell ref="D18:Q18"/>
    <mergeCell ref="A19:B19"/>
    <mergeCell ref="D19:Q19"/>
    <mergeCell ref="A20:B20"/>
    <mergeCell ref="D20:Q20"/>
    <mergeCell ref="A21:B21"/>
    <mergeCell ref="D21:Q21"/>
    <mergeCell ref="A22:B22"/>
    <mergeCell ref="D22:Q22"/>
    <mergeCell ref="A23:B23"/>
    <mergeCell ref="D23:Q23"/>
    <mergeCell ref="A34:K34"/>
    <mergeCell ref="M34:O34"/>
    <mergeCell ref="A35:K38"/>
    <mergeCell ref="M35:O38"/>
    <mergeCell ref="A24:B24"/>
    <mergeCell ref="D24:Q24"/>
    <mergeCell ref="A25:Q25"/>
    <mergeCell ref="A28:K28"/>
    <mergeCell ref="M28:O28"/>
    <mergeCell ref="A29:K32"/>
    <mergeCell ref="M29:O32"/>
  </mergeCells>
  <conditionalFormatting sqref="P2">
    <cfRule type="iconSet" priority="2">
      <iconSet iconSet="3Symbols2" showValue="0">
        <cfvo type="percent" val="0"/>
        <cfvo type="num" val="0"/>
        <cfvo type="num" val="10"/>
      </iconSet>
    </cfRule>
  </conditionalFormatting>
  <conditionalFormatting sqref="Q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100-000000000000}">
      <formula1>AvancementTheme</formula1>
    </dataValidation>
  </dataValidations>
  <hyperlinks>
    <hyperlink ref="P1" location="DPDV_06PP3" display="PdV" xr:uid="{00000000-0004-0000-5100-000000000000}"/>
    <hyperlink ref="Q1" location="DKPI_06PP3" display="KPI's" xr:uid="{00000000-0004-0000-5100-000001000000}"/>
  </hyperlinks>
  <pageMargins left="0.70866141732283472" right="0.70866141732283472" top="0.74803149606299213" bottom="0.74803149606299213" header="0.31496062992125984" footer="0.31496062992125984"/>
  <pageSetup paperSize="9" scale="49" orientation="portrait" r:id="rId1"/>
  <headerFooter>
    <oddHeader>&amp;LPAD Methodology (c) 2013-2014&amp;RStrategic Management Workshop</oddHeader>
    <oddFooter>&amp;L&amp;F&amp;C&amp;A&amp;RSituation au : &amp;D - page : &amp;P/&amp;N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euil52">
    <tabColor theme="6" tint="0.59999389629810485"/>
    <pageSetUpPr fitToPage="1"/>
  </sheetPr>
  <dimension ref="A1:V42"/>
  <sheetViews>
    <sheetView showGridLines="0" showRowColHeaders="0" zoomScaleNormal="100" workbookViewId="0">
      <pane ySplit="8" topLeftCell="A9" activePane="bottomLeft" state="frozen"/>
      <selection activeCell="H7" sqref="H7"/>
      <selection pane="bottomLeft" activeCell="G7" sqref="G7:H7"/>
    </sheetView>
  </sheetViews>
  <sheetFormatPr baseColWidth="10" defaultColWidth="11.453125" defaultRowHeight="14.5" x14ac:dyDescent="0.35"/>
  <cols>
    <col min="1" max="3" width="11.453125" style="60"/>
    <col min="4" max="9" width="10.7265625" style="60" customWidth="1"/>
    <col min="10" max="10" width="9.453125" style="60" customWidth="1"/>
    <col min="11" max="11" width="10.7265625" style="60" customWidth="1"/>
    <col min="12" max="16" width="9.453125" style="60" customWidth="1"/>
    <col min="17"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row>
    <row r="2" spans="1:22" s="58" customFormat="1" ht="18" customHeight="1" x14ac:dyDescent="0.35">
      <c r="A2" s="393"/>
      <c r="B2" s="393"/>
      <c r="C2" s="393"/>
      <c r="D2" s="3342" t="str">
        <f>NomClient</f>
        <v xml:space="preserve">EQUINIX </v>
      </c>
      <c r="E2" s="3343"/>
      <c r="F2" s="3343"/>
      <c r="G2" s="3344"/>
      <c r="H2" s="393"/>
      <c r="I2" s="3345" t="s">
        <v>409</v>
      </c>
      <c r="J2" s="3346"/>
      <c r="K2" s="393"/>
      <c r="L2" s="3347">
        <v>42420.723958333336</v>
      </c>
      <c r="M2" s="3348"/>
      <c r="N2" s="699"/>
      <c r="O2" s="451">
        <f>IF(LEN(DPDV_07DC3)&gt;0,LEN(DPDV_07DC3),0-PDV_NBmini)</f>
        <v>132</v>
      </c>
      <c r="P2" s="451">
        <f>IF(LEN(DKPI_07DC3)&gt;0,LEN(DKPI_07DC3),0-KPI_NBmini)</f>
        <v>51</v>
      </c>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3769" t="str">
        <f>Parametre!B29 &amp; "  : "</f>
        <v xml:space="preserve">Dimentionnement du réseau  : </v>
      </c>
      <c r="B4" s="3769"/>
      <c r="C4" s="3769"/>
      <c r="D4" s="3769"/>
      <c r="E4" s="3769"/>
      <c r="F4" s="3767" t="str">
        <f>"Nombre de partenaires pour " &amp; NomProd3</f>
        <v xml:space="preserve">Nombre de partenaires pour </v>
      </c>
      <c r="G4" s="3767"/>
      <c r="H4" s="3767"/>
      <c r="I4" s="3767"/>
      <c r="J4" s="3767"/>
      <c r="K4" s="3767"/>
      <c r="L4" s="3767"/>
      <c r="M4" s="3767"/>
      <c r="N4" s="3767"/>
      <c r="O4" s="3767"/>
      <c r="P4" s="3768"/>
    </row>
    <row r="5" spans="1:22" s="193" customFormat="1" ht="21" customHeight="1" thickBot="1" x14ac:dyDescent="0.4">
      <c r="A5" s="3438" t="s">
        <v>14</v>
      </c>
      <c r="B5" s="3438"/>
      <c r="C5" s="3439" t="s">
        <v>615</v>
      </c>
      <c r="D5" s="3439"/>
      <c r="E5" s="3439"/>
      <c r="F5" s="3439"/>
      <c r="G5" s="3439"/>
      <c r="H5" s="3439"/>
      <c r="I5" s="3439"/>
      <c r="J5" s="3439"/>
      <c r="K5" s="3439"/>
      <c r="L5" s="3439"/>
      <c r="M5" s="3439"/>
      <c r="N5" s="3439"/>
      <c r="O5" s="3439"/>
      <c r="P5" s="3439"/>
    </row>
    <row r="6" spans="1:22" s="125" customFormat="1" ht="55.5" customHeight="1" thickTop="1" x14ac:dyDescent="0.35">
      <c r="A6" s="5708" t="s">
        <v>1161</v>
      </c>
      <c r="B6" s="5709"/>
      <c r="C6" s="881" t="s">
        <v>462</v>
      </c>
      <c r="D6" s="5709" t="s">
        <v>477</v>
      </c>
      <c r="E6" s="5709"/>
      <c r="F6" s="5709"/>
      <c r="G6" s="5710" t="s">
        <v>482</v>
      </c>
      <c r="H6" s="5710"/>
      <c r="I6" s="5710"/>
      <c r="J6" s="5710"/>
      <c r="K6" s="5710"/>
      <c r="L6" s="5710"/>
      <c r="M6" s="5710"/>
      <c r="N6" s="5710"/>
      <c r="O6" s="5710"/>
      <c r="P6" s="5711"/>
    </row>
    <row r="7" spans="1:22" s="118" customFormat="1" ht="49.5" customHeight="1" thickBot="1" x14ac:dyDescent="0.4">
      <c r="A7" s="5705"/>
      <c r="B7" s="5706"/>
      <c r="C7" s="882" t="s">
        <v>508</v>
      </c>
      <c r="D7" s="5707" t="s">
        <v>851</v>
      </c>
      <c r="E7" s="5707"/>
      <c r="F7" s="5707"/>
      <c r="G7" s="5707" t="s">
        <v>481</v>
      </c>
      <c r="H7" s="5707"/>
      <c r="I7" s="5707" t="s">
        <v>480</v>
      </c>
      <c r="J7" s="5707"/>
      <c r="K7" s="5707" t="s">
        <v>479</v>
      </c>
      <c r="L7" s="5707"/>
      <c r="M7" s="882" t="s">
        <v>1106</v>
      </c>
      <c r="N7" s="882" t="s">
        <v>1107</v>
      </c>
      <c r="O7" s="882" t="s">
        <v>1108</v>
      </c>
      <c r="P7" s="883" t="s">
        <v>1109</v>
      </c>
    </row>
    <row r="8" spans="1:22" s="118" customFormat="1" ht="0.75" hidden="1" customHeight="1" x14ac:dyDescent="0.35">
      <c r="A8" s="884" t="s">
        <v>454</v>
      </c>
      <c r="B8" s="885"/>
      <c r="C8" s="886"/>
      <c r="D8" s="886"/>
      <c r="E8" s="887"/>
      <c r="F8" s="885"/>
      <c r="G8" s="885"/>
      <c r="H8" s="885"/>
      <c r="I8" s="885"/>
      <c r="J8" s="885"/>
      <c r="K8" s="885"/>
      <c r="L8" s="885"/>
      <c r="M8" s="885"/>
      <c r="N8" s="885"/>
      <c r="O8" s="885"/>
      <c r="P8" s="888"/>
    </row>
    <row r="9" spans="1:22" s="118" customFormat="1" ht="0.75" hidden="1" customHeight="1" x14ac:dyDescent="0.35">
      <c r="A9" s="889"/>
      <c r="B9" s="890"/>
      <c r="C9" s="891"/>
      <c r="D9" s="891"/>
      <c r="E9" s="892"/>
      <c r="F9" s="890"/>
      <c r="G9" s="890"/>
      <c r="H9" s="890"/>
      <c r="I9" s="890"/>
      <c r="J9" s="890"/>
      <c r="K9" s="890"/>
      <c r="L9" s="890"/>
      <c r="M9" s="890"/>
      <c r="N9" s="890"/>
      <c r="O9" s="890"/>
      <c r="P9" s="893"/>
    </row>
    <row r="10" spans="1:22" s="121" customFormat="1" ht="12" customHeight="1" thickTop="1" x14ac:dyDescent="0.35">
      <c r="A10" s="5702"/>
      <c r="B10" s="5703"/>
      <c r="C10" s="5703"/>
      <c r="D10" s="5703"/>
      <c r="E10" s="5703"/>
      <c r="F10" s="5703"/>
      <c r="G10" s="5703"/>
      <c r="H10" s="5703"/>
      <c r="I10" s="5703"/>
      <c r="J10" s="5703"/>
      <c r="K10" s="5703"/>
      <c r="L10" s="5703"/>
      <c r="M10" s="5703"/>
      <c r="N10" s="5703"/>
      <c r="O10" s="5703"/>
      <c r="P10" s="5704"/>
    </row>
    <row r="11" spans="1:22" s="116" customFormat="1" ht="35.25" customHeight="1" x14ac:dyDescent="0.3">
      <c r="A11" s="5693" t="str">
        <f>TYPOPARTNER!A11:D11</f>
        <v>Force de vente directe</v>
      </c>
      <c r="B11" s="5694"/>
      <c r="C11" s="880" t="str">
        <f>IF(LEN(TYPOPARTNER!E11)&lt;1,"",TYPOPARTNER!E11)</f>
        <v/>
      </c>
      <c r="D11" s="5695"/>
      <c r="E11" s="5695"/>
      <c r="F11" s="5695"/>
      <c r="G11" s="5696"/>
      <c r="H11" s="5696"/>
      <c r="I11" s="5697"/>
      <c r="J11" s="5697"/>
      <c r="K11" s="5698"/>
      <c r="L11" s="5698"/>
      <c r="M11" s="897"/>
      <c r="N11" s="897"/>
      <c r="O11" s="897"/>
      <c r="P11" s="898"/>
    </row>
    <row r="12" spans="1:22" s="118" customFormat="1" ht="35.25" customHeight="1" x14ac:dyDescent="0.35">
      <c r="A12" s="5693" t="str">
        <f>TYPOPARTNER!A12:D12</f>
        <v xml:space="preserve">VARs / SS2I locales </v>
      </c>
      <c r="B12" s="5694"/>
      <c r="C12" s="880" t="str">
        <f>IF(LEN(TYPOPARTNER!E12)&lt;1,"",TYPOPARTNER!E12)</f>
        <v>1- Haute</v>
      </c>
      <c r="D12" s="5695"/>
      <c r="E12" s="5695"/>
      <c r="F12" s="5695"/>
      <c r="G12" s="5696"/>
      <c r="H12" s="5696"/>
      <c r="I12" s="5697"/>
      <c r="J12" s="5697"/>
      <c r="K12" s="5698">
        <f t="shared" ref="K12:K17" si="0">I12-G12</f>
        <v>0</v>
      </c>
      <c r="L12" s="5698"/>
      <c r="M12" s="897"/>
      <c r="N12" s="897"/>
      <c r="O12" s="897"/>
      <c r="P12" s="898"/>
    </row>
    <row r="13" spans="1:22" s="118" customFormat="1" ht="53.25" customHeight="1" x14ac:dyDescent="0.35">
      <c r="A13" s="5693" t="e">
        <f>TYPOPARTNER!#REF!</f>
        <v>#REF!</v>
      </c>
      <c r="B13" s="5694"/>
      <c r="C13" s="880" t="str">
        <f>IF(LEN(TYPOPARTNER!E13)&lt;1,"",TYPOPARTNER!E13)</f>
        <v>1- Haute</v>
      </c>
      <c r="D13" s="5695"/>
      <c r="E13" s="5695"/>
      <c r="F13" s="5695"/>
      <c r="G13" s="5696"/>
      <c r="H13" s="5696"/>
      <c r="I13" s="5697"/>
      <c r="J13" s="5697"/>
      <c r="K13" s="5698">
        <f t="shared" si="0"/>
        <v>0</v>
      </c>
      <c r="L13" s="5698"/>
      <c r="M13" s="897"/>
      <c r="N13" s="897"/>
      <c r="O13" s="897"/>
      <c r="P13" s="898"/>
    </row>
    <row r="14" spans="1:22" s="123" customFormat="1" ht="54.75" customHeight="1" x14ac:dyDescent="0.3">
      <c r="A14" s="5693" t="str">
        <f>TYPOPARTNER!A13:D13</f>
        <v>ESN ( SS2I )</v>
      </c>
      <c r="B14" s="5694"/>
      <c r="C14" s="880" t="str">
        <f>IF(LEN(TYPOPARTNER!E14)&lt;1,"",TYPOPARTNER!E14)</f>
        <v>1- Haute</v>
      </c>
      <c r="D14" s="5695"/>
      <c r="E14" s="5695"/>
      <c r="F14" s="5695"/>
      <c r="G14" s="5696"/>
      <c r="H14" s="5696"/>
      <c r="I14" s="5697"/>
      <c r="J14" s="5697"/>
      <c r="K14" s="5698">
        <f t="shared" si="0"/>
        <v>0</v>
      </c>
      <c r="L14" s="5698"/>
      <c r="M14" s="897"/>
      <c r="N14" s="897"/>
      <c r="O14" s="897"/>
      <c r="P14" s="898"/>
    </row>
    <row r="15" spans="1:22" s="123" customFormat="1" ht="35.25" customHeight="1" x14ac:dyDescent="0.3">
      <c r="A15" s="5693" t="str">
        <f>TYPOPARTNER!A15:D15</f>
        <v>Editeurs de solutions complémentaires</v>
      </c>
      <c r="B15" s="5694"/>
      <c r="C15" s="880" t="str">
        <f>IF(LEN(TYPOPARTNER!E15)&lt;1,"",TYPOPARTNER!E15)</f>
        <v>1- Haute</v>
      </c>
      <c r="D15" s="5695"/>
      <c r="E15" s="5695"/>
      <c r="F15" s="5695"/>
      <c r="G15" s="5696"/>
      <c r="H15" s="5696"/>
      <c r="I15" s="5697"/>
      <c r="J15" s="5697"/>
      <c r="K15" s="5698">
        <f t="shared" si="0"/>
        <v>0</v>
      </c>
      <c r="L15" s="5698"/>
      <c r="M15" s="897"/>
      <c r="N15" s="897"/>
      <c r="O15" s="897"/>
      <c r="P15" s="898"/>
    </row>
    <row r="16" spans="1:22" s="124" customFormat="1" ht="35.25" customHeight="1" x14ac:dyDescent="0.35">
      <c r="A16" s="5693" t="str">
        <f>TYPOPARTNER!A16:D16</f>
        <v>Cabinets de conseil / Consultants</v>
      </c>
      <c r="B16" s="5694"/>
      <c r="C16" s="880" t="str">
        <f>IF(LEN(TYPOPARTNER!E16)&lt;1,"",TYPOPARTNER!E16)</f>
        <v>2- Moyenne</v>
      </c>
      <c r="D16" s="5695"/>
      <c r="E16" s="5695"/>
      <c r="F16" s="5695"/>
      <c r="G16" s="5696"/>
      <c r="H16" s="5696"/>
      <c r="I16" s="5697"/>
      <c r="J16" s="5697"/>
      <c r="K16" s="5698">
        <f t="shared" si="0"/>
        <v>0</v>
      </c>
      <c r="L16" s="5698"/>
      <c r="M16" s="897"/>
      <c r="N16" s="897"/>
      <c r="O16" s="897"/>
      <c r="P16" s="898"/>
    </row>
    <row r="17" spans="1:16" s="118" customFormat="1" ht="35.25" customHeight="1" x14ac:dyDescent="0.35">
      <c r="A17" s="5693" t="str">
        <f>TYPOPARTNER!A17:D17</f>
        <v xml:space="preserve">Hébergeurs </v>
      </c>
      <c r="B17" s="5694"/>
      <c r="C17" s="880" t="str">
        <f>IF(LEN(TYPOPARTNER!E17)&lt;1,"",TYPOPARTNER!E17)</f>
        <v>2- Moyenne</v>
      </c>
      <c r="D17" s="5695"/>
      <c r="E17" s="5695"/>
      <c r="F17" s="5695"/>
      <c r="G17" s="5696"/>
      <c r="H17" s="5696"/>
      <c r="I17" s="5697"/>
      <c r="J17" s="5697"/>
      <c r="K17" s="5698">
        <f t="shared" si="0"/>
        <v>0</v>
      </c>
      <c r="L17" s="5698"/>
      <c r="M17" s="897"/>
      <c r="N17" s="897"/>
      <c r="O17" s="897"/>
      <c r="P17" s="898"/>
    </row>
    <row r="18" spans="1:16" s="118" customFormat="1" ht="35.25" customHeight="1" x14ac:dyDescent="0.35">
      <c r="A18" s="5693" t="str">
        <f>TYPOPARTNER!A18:D18</f>
        <v>Agrégateurs</v>
      </c>
      <c r="B18" s="5694"/>
      <c r="C18" s="880" t="str">
        <f>IF(LEN(TYPOPARTNER!E18)&lt;1,"",TYPOPARTNER!E18)</f>
        <v>2- Moyenne</v>
      </c>
      <c r="D18" s="5695"/>
      <c r="E18" s="5695"/>
      <c r="F18" s="5695"/>
      <c r="G18" s="5696">
        <v>0</v>
      </c>
      <c r="H18" s="5696"/>
      <c r="I18" s="5697">
        <v>10</v>
      </c>
      <c r="J18" s="5697"/>
      <c r="K18" s="5698">
        <f>I18-G18</f>
        <v>10</v>
      </c>
      <c r="L18" s="5698"/>
      <c r="M18" s="897">
        <v>2</v>
      </c>
      <c r="N18" s="897">
        <v>3</v>
      </c>
      <c r="O18" s="897">
        <v>2</v>
      </c>
      <c r="P18" s="898">
        <v>3</v>
      </c>
    </row>
    <row r="19" spans="1:16" s="124" customFormat="1" ht="35.25" customHeight="1" x14ac:dyDescent="0.35">
      <c r="A19" s="5693" t="str">
        <f>TYPOPARTNER!A19:D19</f>
        <v>Autre</v>
      </c>
      <c r="B19" s="5694"/>
      <c r="C19" s="880" t="str">
        <f>IF(LEN(TYPOPARTNER!E19)&lt;1,"",TYPOPARTNER!E19)</f>
        <v/>
      </c>
      <c r="D19" s="5695"/>
      <c r="E19" s="5695"/>
      <c r="F19" s="5695"/>
      <c r="G19" s="5696"/>
      <c r="H19" s="5696"/>
      <c r="I19" s="5697"/>
      <c r="J19" s="5697"/>
      <c r="K19" s="5698">
        <f t="shared" ref="K19:K26" si="1">I19-G19</f>
        <v>0</v>
      </c>
      <c r="L19" s="5698"/>
      <c r="M19" s="897"/>
      <c r="N19" s="897"/>
      <c r="O19" s="897"/>
      <c r="P19" s="898"/>
    </row>
    <row r="20" spans="1:16" s="124" customFormat="1" ht="35.25" customHeight="1" x14ac:dyDescent="0.35">
      <c r="A20" s="5693">
        <f>TYPOPARTNER!A20:D20</f>
        <v>0</v>
      </c>
      <c r="B20" s="5694"/>
      <c r="C20" s="880" t="str">
        <f>IF(LEN(TYPOPARTNER!E20)&lt;1,"",TYPOPARTNER!E20)</f>
        <v/>
      </c>
      <c r="D20" s="5695"/>
      <c r="E20" s="5695"/>
      <c r="F20" s="5695"/>
      <c r="G20" s="5696"/>
      <c r="H20" s="5696"/>
      <c r="I20" s="5697"/>
      <c r="J20" s="5697"/>
      <c r="K20" s="5698">
        <f t="shared" si="1"/>
        <v>0</v>
      </c>
      <c r="L20" s="5698"/>
      <c r="M20" s="897"/>
      <c r="N20" s="897"/>
      <c r="O20" s="897"/>
      <c r="P20" s="898"/>
    </row>
    <row r="21" spans="1:16" s="124" customFormat="1" ht="35.25" customHeight="1" x14ac:dyDescent="0.35">
      <c r="A21" s="5693">
        <f>TYPOPARTNER!A21:D21</f>
        <v>0</v>
      </c>
      <c r="B21" s="5694"/>
      <c r="C21" s="880" t="str">
        <f>IF(LEN(TYPOPARTNER!E21)&lt;1,"",TYPOPARTNER!E21)</f>
        <v/>
      </c>
      <c r="D21" s="5695"/>
      <c r="E21" s="5695"/>
      <c r="F21" s="5695"/>
      <c r="G21" s="5696"/>
      <c r="H21" s="5696"/>
      <c r="I21" s="5697"/>
      <c r="J21" s="5697"/>
      <c r="K21" s="5698">
        <f t="shared" si="1"/>
        <v>0</v>
      </c>
      <c r="L21" s="5698"/>
      <c r="M21" s="897"/>
      <c r="N21" s="897"/>
      <c r="O21" s="897"/>
      <c r="P21" s="898"/>
    </row>
    <row r="22" spans="1:16" s="124" customFormat="1" ht="35.25" customHeight="1" x14ac:dyDescent="0.35">
      <c r="A22" s="5693">
        <f>TYPOPARTNER!A22:D22</f>
        <v>0</v>
      </c>
      <c r="B22" s="5694"/>
      <c r="C22" s="880" t="str">
        <f>IF(LEN(TYPOPARTNER!E22)&lt;1,"",TYPOPARTNER!E22)</f>
        <v/>
      </c>
      <c r="D22" s="5695"/>
      <c r="E22" s="5695"/>
      <c r="F22" s="5695"/>
      <c r="G22" s="5696"/>
      <c r="H22" s="5696"/>
      <c r="I22" s="5697"/>
      <c r="J22" s="5697"/>
      <c r="K22" s="5698">
        <f t="shared" si="1"/>
        <v>0</v>
      </c>
      <c r="L22" s="5698"/>
      <c r="M22" s="897"/>
      <c r="N22" s="897"/>
      <c r="O22" s="897"/>
      <c r="P22" s="898"/>
    </row>
    <row r="23" spans="1:16" s="124" customFormat="1" ht="35.25" customHeight="1" x14ac:dyDescent="0.35">
      <c r="A23" s="5693">
        <f>TYPOPARTNER!A23:D23</f>
        <v>0</v>
      </c>
      <c r="B23" s="5694"/>
      <c r="C23" s="880" t="str">
        <f>IF(LEN(TYPOPARTNER!E23)&lt;1,"",TYPOPARTNER!E23)</f>
        <v/>
      </c>
      <c r="D23" s="5695"/>
      <c r="E23" s="5695"/>
      <c r="F23" s="5695"/>
      <c r="G23" s="5696"/>
      <c r="H23" s="5696"/>
      <c r="I23" s="5697"/>
      <c r="J23" s="5697"/>
      <c r="K23" s="5698">
        <f t="shared" si="1"/>
        <v>0</v>
      </c>
      <c r="L23" s="5698"/>
      <c r="M23" s="897"/>
      <c r="N23" s="897"/>
      <c r="O23" s="897"/>
      <c r="P23" s="898"/>
    </row>
    <row r="24" spans="1:16" s="124" customFormat="1" ht="35.25" customHeight="1" x14ac:dyDescent="0.35">
      <c r="A24" s="5693">
        <f>TYPOPARTNER!A24:D24</f>
        <v>0</v>
      </c>
      <c r="B24" s="5694"/>
      <c r="C24" s="880" t="str">
        <f>IF(LEN(TYPOPARTNER!E24)&lt;1,"",TYPOPARTNER!E24)</f>
        <v/>
      </c>
      <c r="D24" s="5695"/>
      <c r="E24" s="5695"/>
      <c r="F24" s="5695"/>
      <c r="G24" s="5696"/>
      <c r="H24" s="5696"/>
      <c r="I24" s="5697"/>
      <c r="J24" s="5697"/>
      <c r="K24" s="5698">
        <f t="shared" si="1"/>
        <v>0</v>
      </c>
      <c r="L24" s="5698"/>
      <c r="M24" s="897"/>
      <c r="N24" s="897"/>
      <c r="O24" s="897"/>
      <c r="P24" s="898"/>
    </row>
    <row r="25" spans="1:16" s="124" customFormat="1" ht="35.25" customHeight="1" x14ac:dyDescent="0.35">
      <c r="A25" s="5693" t="e">
        <f>TYPOPARTNER!#REF!</f>
        <v>#REF!</v>
      </c>
      <c r="B25" s="5694"/>
      <c r="C25" s="880" t="e">
        <f>IF(LEN(TYPOPARTNER!#REF!)&lt;1,"",TYPOPARTNER!#REF!)</f>
        <v>#REF!</v>
      </c>
      <c r="D25" s="5695"/>
      <c r="E25" s="5695"/>
      <c r="F25" s="5695"/>
      <c r="G25" s="5696"/>
      <c r="H25" s="5696"/>
      <c r="I25" s="5697"/>
      <c r="J25" s="5697"/>
      <c r="K25" s="5698">
        <f t="shared" si="1"/>
        <v>0</v>
      </c>
      <c r="L25" s="5698"/>
      <c r="M25" s="897"/>
      <c r="N25" s="897"/>
      <c r="O25" s="897"/>
      <c r="P25" s="898"/>
    </row>
    <row r="26" spans="1:16" s="124" customFormat="1" ht="35.25" customHeight="1" x14ac:dyDescent="0.35">
      <c r="A26" s="5693" t="e">
        <f>TYPOPARTNER!#REF!</f>
        <v>#REF!</v>
      </c>
      <c r="B26" s="5694"/>
      <c r="C26" s="880" t="e">
        <f>IF(LEN(TYPOPARTNER!#REF!)&lt;1,"",TYPOPARTNER!#REF!)</f>
        <v>#REF!</v>
      </c>
      <c r="D26" s="5695"/>
      <c r="E26" s="5695"/>
      <c r="F26" s="5695"/>
      <c r="G26" s="5696"/>
      <c r="H26" s="5696"/>
      <c r="I26" s="5697"/>
      <c r="J26" s="5697"/>
      <c r="K26" s="5698">
        <f t="shared" si="1"/>
        <v>0</v>
      </c>
      <c r="L26" s="5698"/>
      <c r="M26" s="897"/>
      <c r="N26" s="897"/>
      <c r="O26" s="897"/>
      <c r="P26" s="898"/>
    </row>
    <row r="27" spans="1:16" s="121" customFormat="1" ht="12" customHeight="1" thickBot="1" x14ac:dyDescent="0.4">
      <c r="A27" s="5699"/>
      <c r="B27" s="5700"/>
      <c r="C27" s="5700"/>
      <c r="D27" s="5700"/>
      <c r="E27" s="5700"/>
      <c r="F27" s="5700"/>
      <c r="G27" s="5700"/>
      <c r="H27" s="5700"/>
      <c r="I27" s="5700"/>
      <c r="J27" s="5700"/>
      <c r="K27" s="5700"/>
      <c r="L27" s="5700"/>
      <c r="M27" s="5700"/>
      <c r="N27" s="5700"/>
      <c r="O27" s="5700"/>
      <c r="P27" s="5701"/>
    </row>
    <row r="28" spans="1:16" s="121" customFormat="1" ht="30" customHeight="1" thickTop="1" thickBot="1" x14ac:dyDescent="0.4">
      <c r="A28" s="894"/>
      <c r="B28" s="894"/>
      <c r="C28" s="894"/>
      <c r="D28" s="894"/>
      <c r="E28" s="894"/>
      <c r="F28" s="856"/>
      <c r="G28" s="5683" t="s">
        <v>222</v>
      </c>
      <c r="H28" s="5684"/>
      <c r="I28" s="5685">
        <f>SUM(I10:I26)</f>
        <v>10</v>
      </c>
      <c r="J28" s="5685"/>
      <c r="K28" s="5685">
        <f>SUM(K10:K26)</f>
        <v>10</v>
      </c>
      <c r="L28" s="5685"/>
      <c r="M28" s="895">
        <f>SUM(M10:M26)</f>
        <v>2</v>
      </c>
      <c r="N28" s="895">
        <f>SUM(N10:N26)</f>
        <v>3</v>
      </c>
      <c r="O28" s="895">
        <f>SUM(O10:O26)</f>
        <v>2</v>
      </c>
      <c r="P28" s="896">
        <f>SUM(P11:P26)</f>
        <v>3</v>
      </c>
    </row>
    <row r="29" spans="1:16" ht="13.5" customHeight="1" thickTop="1" x14ac:dyDescent="0.35">
      <c r="A29" s="859"/>
      <c r="B29" s="859"/>
      <c r="C29" s="860"/>
      <c r="D29" s="860"/>
      <c r="E29" s="860"/>
      <c r="F29" s="860"/>
      <c r="G29" s="860"/>
      <c r="H29" s="860"/>
      <c r="I29" s="860"/>
      <c r="J29" s="860"/>
      <c r="K29" s="860"/>
      <c r="L29" s="860"/>
      <c r="M29" s="860"/>
      <c r="N29" s="860"/>
      <c r="O29" s="861"/>
      <c r="P29" s="861"/>
    </row>
    <row r="30" spans="1:16" ht="15" thickBot="1" x14ac:dyDescent="0.4">
      <c r="A30" s="64"/>
      <c r="B30" s="64"/>
      <c r="C30" s="64"/>
      <c r="D30" s="64"/>
      <c r="E30" s="64"/>
      <c r="F30" s="64"/>
      <c r="G30" s="64"/>
      <c r="H30" s="64"/>
      <c r="I30" s="64"/>
      <c r="J30" s="64"/>
      <c r="K30" s="64"/>
      <c r="L30" s="64"/>
      <c r="M30" s="64"/>
      <c r="N30" s="64"/>
      <c r="O30" s="64"/>
      <c r="P30" s="64"/>
    </row>
    <row r="31" spans="1:16" ht="19.5" thickTop="1" thickBot="1" x14ac:dyDescent="0.4">
      <c r="A31" s="5673" t="s">
        <v>10</v>
      </c>
      <c r="B31" s="5686"/>
      <c r="C31" s="5686"/>
      <c r="D31" s="5686"/>
      <c r="E31" s="5686"/>
      <c r="F31" s="5686"/>
      <c r="G31" s="5686"/>
      <c r="H31" s="5686"/>
      <c r="I31" s="5686"/>
      <c r="J31" s="5686"/>
      <c r="K31" s="5687"/>
      <c r="L31" s="31"/>
      <c r="M31" s="3725" t="s">
        <v>748</v>
      </c>
      <c r="N31" s="3726"/>
      <c r="O31" s="3727"/>
      <c r="P31" s="31"/>
    </row>
    <row r="32" spans="1:16" ht="20.25" customHeight="1" x14ac:dyDescent="0.35">
      <c r="A32" s="5676" t="s">
        <v>1079</v>
      </c>
      <c r="B32" s="5688"/>
      <c r="C32" s="5688"/>
      <c r="D32" s="5688"/>
      <c r="E32" s="5688"/>
      <c r="F32" s="5688"/>
      <c r="G32" s="5688"/>
      <c r="H32" s="5688"/>
      <c r="I32" s="5688"/>
      <c r="J32" s="5688"/>
      <c r="K32" s="5689"/>
      <c r="L32" s="33"/>
      <c r="M32" s="3750" t="s">
        <v>827</v>
      </c>
      <c r="N32" s="3751"/>
      <c r="O32" s="3752"/>
      <c r="P32" s="33"/>
    </row>
    <row r="33" spans="1:16" ht="20.25" customHeight="1" x14ac:dyDescent="0.35">
      <c r="A33" s="5676"/>
      <c r="B33" s="5688"/>
      <c r="C33" s="5688"/>
      <c r="D33" s="5688"/>
      <c r="E33" s="5688"/>
      <c r="F33" s="5688"/>
      <c r="G33" s="5688"/>
      <c r="H33" s="5688"/>
      <c r="I33" s="5688"/>
      <c r="J33" s="5688"/>
      <c r="K33" s="5689"/>
      <c r="L33" s="33"/>
      <c r="M33" s="3753"/>
      <c r="N33" s="3754"/>
      <c r="O33" s="3755"/>
      <c r="P33" s="33"/>
    </row>
    <row r="34" spans="1:16" ht="20.25" customHeight="1" x14ac:dyDescent="0.35">
      <c r="A34" s="5676"/>
      <c r="B34" s="5688"/>
      <c r="C34" s="5688"/>
      <c r="D34" s="5688"/>
      <c r="E34" s="5688"/>
      <c r="F34" s="5688"/>
      <c r="G34" s="5688"/>
      <c r="H34" s="5688"/>
      <c r="I34" s="5688"/>
      <c r="J34" s="5688"/>
      <c r="K34" s="5689"/>
      <c r="L34" s="33"/>
      <c r="M34" s="3753"/>
      <c r="N34" s="3754"/>
      <c r="O34" s="3755"/>
      <c r="P34" s="33"/>
    </row>
    <row r="35" spans="1:16" ht="20.25" customHeight="1" thickBot="1" x14ac:dyDescent="0.4">
      <c r="A35" s="5690"/>
      <c r="B35" s="5691"/>
      <c r="C35" s="5691"/>
      <c r="D35" s="5691"/>
      <c r="E35" s="5691"/>
      <c r="F35" s="5691"/>
      <c r="G35" s="5691"/>
      <c r="H35" s="5691"/>
      <c r="I35" s="5691"/>
      <c r="J35" s="5691"/>
      <c r="K35" s="5692"/>
      <c r="L35" s="33"/>
      <c r="M35" s="3756"/>
      <c r="N35" s="3757"/>
      <c r="O35" s="3758"/>
      <c r="P35" s="33"/>
    </row>
    <row r="36" spans="1:16" ht="15.5" thickTop="1" thickBot="1" x14ac:dyDescent="0.4">
      <c r="A36" s="64"/>
      <c r="B36" s="64"/>
      <c r="C36" s="64"/>
      <c r="D36" s="64"/>
      <c r="E36" s="64"/>
      <c r="F36" s="64"/>
      <c r="G36" s="64"/>
      <c r="H36" s="64"/>
      <c r="I36" s="64"/>
      <c r="J36" s="64"/>
      <c r="K36" s="64"/>
      <c r="L36" s="64"/>
      <c r="M36" s="31"/>
      <c r="N36" s="31"/>
      <c r="O36" s="31"/>
      <c r="P36" s="64"/>
    </row>
    <row r="37" spans="1:16" ht="19.5" thickTop="1" thickBot="1" x14ac:dyDescent="0.4">
      <c r="A37" s="5673" t="s">
        <v>11</v>
      </c>
      <c r="B37" s="5674"/>
      <c r="C37" s="5674"/>
      <c r="D37" s="5674"/>
      <c r="E37" s="5674"/>
      <c r="F37" s="5674"/>
      <c r="G37" s="5674"/>
      <c r="H37" s="5674"/>
      <c r="I37" s="5674"/>
      <c r="J37" s="5674"/>
      <c r="K37" s="5675"/>
      <c r="L37" s="31"/>
      <c r="M37" s="3725" t="s">
        <v>748</v>
      </c>
      <c r="N37" s="3726"/>
      <c r="O37" s="3727"/>
      <c r="P37" s="31"/>
    </row>
    <row r="38" spans="1:16" ht="20.25" customHeight="1" x14ac:dyDescent="0.35">
      <c r="A38" s="5676" t="s">
        <v>1078</v>
      </c>
      <c r="B38" s="5677"/>
      <c r="C38" s="5677"/>
      <c r="D38" s="5677"/>
      <c r="E38" s="5677"/>
      <c r="F38" s="5677"/>
      <c r="G38" s="5677"/>
      <c r="H38" s="5677"/>
      <c r="I38" s="5677"/>
      <c r="J38" s="5677"/>
      <c r="K38" s="5678"/>
      <c r="L38" s="33"/>
      <c r="M38" s="3750" t="s">
        <v>828</v>
      </c>
      <c r="N38" s="3751"/>
      <c r="O38" s="3752"/>
      <c r="P38" s="33"/>
    </row>
    <row r="39" spans="1:16" ht="20.25" customHeight="1" x14ac:dyDescent="0.35">
      <c r="A39" s="5679"/>
      <c r="B39" s="5677"/>
      <c r="C39" s="5677"/>
      <c r="D39" s="5677"/>
      <c r="E39" s="5677"/>
      <c r="F39" s="5677"/>
      <c r="G39" s="5677"/>
      <c r="H39" s="5677"/>
      <c r="I39" s="5677"/>
      <c r="J39" s="5677"/>
      <c r="K39" s="5678"/>
      <c r="L39" s="33"/>
      <c r="M39" s="3753"/>
      <c r="N39" s="3754"/>
      <c r="O39" s="3755"/>
      <c r="P39" s="33"/>
    </row>
    <row r="40" spans="1:16" ht="20.25" customHeight="1" x14ac:dyDescent="0.35">
      <c r="A40" s="5679"/>
      <c r="B40" s="5677"/>
      <c r="C40" s="5677"/>
      <c r="D40" s="5677"/>
      <c r="E40" s="5677"/>
      <c r="F40" s="5677"/>
      <c r="G40" s="5677"/>
      <c r="H40" s="5677"/>
      <c r="I40" s="5677"/>
      <c r="J40" s="5677"/>
      <c r="K40" s="5678"/>
      <c r="L40" s="33"/>
      <c r="M40" s="3753"/>
      <c r="N40" s="3754"/>
      <c r="O40" s="3755"/>
      <c r="P40" s="33"/>
    </row>
    <row r="41" spans="1:16" ht="20.25" customHeight="1" thickBot="1" x14ac:dyDescent="0.4">
      <c r="A41" s="5680"/>
      <c r="B41" s="5681"/>
      <c r="C41" s="5681"/>
      <c r="D41" s="5681"/>
      <c r="E41" s="5681"/>
      <c r="F41" s="5681"/>
      <c r="G41" s="5681"/>
      <c r="H41" s="5681"/>
      <c r="I41" s="5681"/>
      <c r="J41" s="5681"/>
      <c r="K41" s="5682"/>
      <c r="L41" s="33"/>
      <c r="M41" s="3756"/>
      <c r="N41" s="3757"/>
      <c r="O41" s="3758"/>
      <c r="P41" s="33"/>
    </row>
    <row r="42" spans="1:16" ht="15" thickTop="1" x14ac:dyDescent="0.35">
      <c r="A42" s="64"/>
      <c r="B42" s="64"/>
      <c r="C42" s="64"/>
      <c r="D42" s="64"/>
      <c r="E42" s="64"/>
      <c r="F42" s="64"/>
      <c r="G42" s="64"/>
      <c r="H42" s="64"/>
      <c r="I42" s="64"/>
      <c r="J42" s="64"/>
      <c r="K42" s="64"/>
      <c r="L42" s="64"/>
      <c r="M42" s="64"/>
      <c r="N42" s="64"/>
      <c r="O42" s="64"/>
      <c r="P42" s="64"/>
    </row>
  </sheetData>
  <mergeCells count="112">
    <mergeCell ref="A4:E4"/>
    <mergeCell ref="F4:P4"/>
    <mergeCell ref="A5:B5"/>
    <mergeCell ref="C5:P5"/>
    <mergeCell ref="A6:B6"/>
    <mergeCell ref="D6:F6"/>
    <mergeCell ref="G6:P6"/>
    <mergeCell ref="D1:G1"/>
    <mergeCell ref="I1:J1"/>
    <mergeCell ref="L1:M1"/>
    <mergeCell ref="D2:G2"/>
    <mergeCell ref="I2:J2"/>
    <mergeCell ref="L2:M2"/>
    <mergeCell ref="D3:G3"/>
    <mergeCell ref="A10:P10"/>
    <mergeCell ref="A11:B11"/>
    <mergeCell ref="D11:F11"/>
    <mergeCell ref="G11:H11"/>
    <mergeCell ref="I11:J11"/>
    <mergeCell ref="K11:L11"/>
    <mergeCell ref="A7:B7"/>
    <mergeCell ref="D7:F7"/>
    <mergeCell ref="G7:H7"/>
    <mergeCell ref="I7:J7"/>
    <mergeCell ref="K7:L7"/>
    <mergeCell ref="A12:B12"/>
    <mergeCell ref="D12:F12"/>
    <mergeCell ref="G12:H12"/>
    <mergeCell ref="I12:J12"/>
    <mergeCell ref="K12:L12"/>
    <mergeCell ref="A13:B13"/>
    <mergeCell ref="D13:F13"/>
    <mergeCell ref="G13:H13"/>
    <mergeCell ref="I13:J13"/>
    <mergeCell ref="K13:L13"/>
    <mergeCell ref="A14:B14"/>
    <mergeCell ref="D14:F14"/>
    <mergeCell ref="G14:H14"/>
    <mergeCell ref="I14:J14"/>
    <mergeCell ref="K14:L14"/>
    <mergeCell ref="A15:B15"/>
    <mergeCell ref="D15:F15"/>
    <mergeCell ref="G15:H15"/>
    <mergeCell ref="I15:J15"/>
    <mergeCell ref="K15:L15"/>
    <mergeCell ref="A16:B16"/>
    <mergeCell ref="D16:F16"/>
    <mergeCell ref="G16:H16"/>
    <mergeCell ref="I16:J16"/>
    <mergeCell ref="K16:L16"/>
    <mergeCell ref="A17:B17"/>
    <mergeCell ref="D17:F17"/>
    <mergeCell ref="G17:H17"/>
    <mergeCell ref="I17:J17"/>
    <mergeCell ref="K17:L17"/>
    <mergeCell ref="A18:B18"/>
    <mergeCell ref="D18:F18"/>
    <mergeCell ref="G18:H18"/>
    <mergeCell ref="I18:J18"/>
    <mergeCell ref="K18:L18"/>
    <mergeCell ref="A19:B19"/>
    <mergeCell ref="D19:F19"/>
    <mergeCell ref="G19:H19"/>
    <mergeCell ref="I19:J19"/>
    <mergeCell ref="K19:L19"/>
    <mergeCell ref="A20:B20"/>
    <mergeCell ref="D20:F20"/>
    <mergeCell ref="G20:H20"/>
    <mergeCell ref="I20:J20"/>
    <mergeCell ref="K20:L20"/>
    <mergeCell ref="A21:B21"/>
    <mergeCell ref="D21:F21"/>
    <mergeCell ref="G21:H21"/>
    <mergeCell ref="I21:J21"/>
    <mergeCell ref="K21:L21"/>
    <mergeCell ref="A22:B22"/>
    <mergeCell ref="D22:F22"/>
    <mergeCell ref="G22:H22"/>
    <mergeCell ref="I22:J22"/>
    <mergeCell ref="K22:L22"/>
    <mergeCell ref="A23:B23"/>
    <mergeCell ref="D23:F23"/>
    <mergeCell ref="G23:H23"/>
    <mergeCell ref="I23:J23"/>
    <mergeCell ref="K23:L23"/>
    <mergeCell ref="A26:B26"/>
    <mergeCell ref="D26:F26"/>
    <mergeCell ref="G26:H26"/>
    <mergeCell ref="I26:J26"/>
    <mergeCell ref="K26:L26"/>
    <mergeCell ref="A27:P27"/>
    <mergeCell ref="A24:B24"/>
    <mergeCell ref="D24:F24"/>
    <mergeCell ref="G24:H24"/>
    <mergeCell ref="I24:J24"/>
    <mergeCell ref="K24:L24"/>
    <mergeCell ref="A25:B25"/>
    <mergeCell ref="D25:F25"/>
    <mergeCell ref="G25:H25"/>
    <mergeCell ref="I25:J25"/>
    <mergeCell ref="K25:L25"/>
    <mergeCell ref="A37:K37"/>
    <mergeCell ref="M37:O37"/>
    <mergeCell ref="A38:K41"/>
    <mergeCell ref="M38:O41"/>
    <mergeCell ref="G28:H28"/>
    <mergeCell ref="I28:J28"/>
    <mergeCell ref="K28:L28"/>
    <mergeCell ref="A31:K31"/>
    <mergeCell ref="M31:O31"/>
    <mergeCell ref="A32:K35"/>
    <mergeCell ref="M32:O3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200-000000000000}">
      <formula1>AvancementTheme</formula1>
    </dataValidation>
  </dataValidations>
  <hyperlinks>
    <hyperlink ref="O1" location="DPDV_07DC3" display="PdV" xr:uid="{00000000-0004-0000-5200-000000000000}"/>
    <hyperlink ref="P1" location="DKPI_07DC3" display="KPI's" xr:uid="{00000000-0004-0000-5200-000001000000}"/>
  </hyperlinks>
  <pageMargins left="0.70866141732283472" right="0.70866141732283472" top="0.74803149606299213" bottom="0.74803149606299213" header="0.31496062992125984" footer="0.31496062992125984"/>
  <pageSetup paperSize="9" scale="52" orientation="portrait" r:id="rId1"/>
  <headerFooter>
    <oddHeader>&amp;LPAD Methodology (c) 2013-2014&amp;RStrategic Management Workshop</oddHeader>
    <oddFooter>&amp;L&amp;F&amp;C&amp;A&amp;RSituation au : &amp;D - page : &amp;P/&amp;N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euil80">
    <tabColor theme="8" tint="0.59999389629810485"/>
    <pageSetUpPr fitToPage="1"/>
  </sheetPr>
  <dimension ref="A1:BZ39"/>
  <sheetViews>
    <sheetView showGridLines="0" showRowColHeaders="0" zoomScaleNormal="100" workbookViewId="0">
      <pane ySplit="5" topLeftCell="A6" activePane="bottomLeft" state="frozen"/>
      <selection activeCell="H7" sqref="H7"/>
      <selection pane="bottomLeft" activeCell="H7" sqref="H7"/>
    </sheetView>
  </sheetViews>
  <sheetFormatPr baseColWidth="10" defaultColWidth="11.453125" defaultRowHeight="14.5" x14ac:dyDescent="0.35"/>
  <cols>
    <col min="1" max="1" width="8.54296875" style="60" customWidth="1"/>
    <col min="2" max="2" width="14.1796875" style="60" customWidth="1"/>
    <col min="3" max="11" width="11.453125" style="60"/>
    <col min="12" max="12" width="12.81640625" style="60" customWidth="1"/>
    <col min="13" max="14" width="11.453125" style="60"/>
    <col min="15" max="15" width="11.453125" style="60" customWidth="1"/>
    <col min="16" max="16" width="11.453125" style="60"/>
    <col min="17" max="17" width="8.1796875" style="60" customWidth="1"/>
    <col min="18" max="16384" width="11.453125" style="60"/>
  </cols>
  <sheetData>
    <row r="1" spans="1:78"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829"/>
      <c r="R1" s="458"/>
    </row>
    <row r="2" spans="1:78" s="58" customFormat="1" ht="18" customHeight="1" x14ac:dyDescent="0.35">
      <c r="A2" s="393"/>
      <c r="B2" s="393"/>
      <c r="C2" s="393"/>
      <c r="D2" s="3342" t="str">
        <f>NomClient</f>
        <v xml:space="preserve">EQUINIX </v>
      </c>
      <c r="E2" s="3343"/>
      <c r="F2" s="3343"/>
      <c r="G2" s="3344"/>
      <c r="H2" s="393"/>
      <c r="I2" s="3345" t="s">
        <v>407</v>
      </c>
      <c r="J2" s="3346"/>
      <c r="K2" s="393"/>
      <c r="L2" s="3347">
        <v>42420.752372685187</v>
      </c>
      <c r="M2" s="3348"/>
      <c r="N2" s="394"/>
      <c r="O2" s="451">
        <f>IF(LEN(DPDV_10TL3)&gt;0,LEN(DPDV_10TL3),0-PDV_NBmini)</f>
        <v>-10</v>
      </c>
      <c r="P2" s="451">
        <f>IF(LEN(DKPI_10TL3)&gt;0,LEN(DKPI_10TL3),0-KPI_NBmini)</f>
        <v>-10</v>
      </c>
      <c r="Q2" s="830"/>
      <c r="R2" s="459"/>
    </row>
    <row r="3" spans="1:78"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78" s="1" customFormat="1" ht="24.75" customHeight="1" thickBot="1" x14ac:dyDescent="0.4">
      <c r="A4" s="907"/>
      <c r="B4" s="4203" t="str">
        <f>Parametre!B32 &amp; "   : "</f>
        <v xml:space="preserve">Programmes partenaires   : </v>
      </c>
      <c r="C4" s="4203"/>
      <c r="D4" s="4203"/>
      <c r="E4" s="4203"/>
      <c r="F4" s="4203"/>
      <c r="G4" s="4203"/>
      <c r="H4" s="4204" t="str">
        <f>"Taux de Lead nécessaire pour "&amp; NomProd3</f>
        <v xml:space="preserve">Taux de Lead nécessaire pour </v>
      </c>
      <c r="I4" s="4204"/>
      <c r="J4" s="4204"/>
      <c r="K4" s="4204"/>
      <c r="L4" s="4204"/>
      <c r="M4" s="4204"/>
      <c r="N4" s="4204"/>
      <c r="O4" s="4204"/>
      <c r="P4" s="4204"/>
      <c r="Q4" s="4205"/>
      <c r="R4" s="444"/>
    </row>
    <row r="5" spans="1:78" s="193" customFormat="1" ht="24.75" customHeight="1" x14ac:dyDescent="0.35">
      <c r="A5" s="3438" t="s">
        <v>14</v>
      </c>
      <c r="B5" s="3438"/>
      <c r="C5" s="3508" t="s">
        <v>967</v>
      </c>
      <c r="D5" s="3508"/>
      <c r="E5" s="3508"/>
      <c r="F5" s="3508"/>
      <c r="G5" s="3508"/>
      <c r="H5" s="3508"/>
      <c r="I5" s="3508"/>
      <c r="J5" s="3508"/>
      <c r="K5" s="3508"/>
      <c r="L5" s="3508"/>
      <c r="M5" s="3508"/>
      <c r="N5" s="3508"/>
      <c r="O5" s="3508"/>
      <c r="P5" s="3508"/>
      <c r="Q5" s="3508"/>
      <c r="R5" s="460"/>
    </row>
    <row r="6" spans="1:78" s="47" customFormat="1" ht="15" thickBot="1" x14ac:dyDescent="0.4">
      <c r="A6" s="908"/>
      <c r="B6" s="909"/>
      <c r="C6" s="909"/>
      <c r="D6" s="909"/>
      <c r="E6" s="909"/>
      <c r="F6" s="909"/>
      <c r="G6" s="909"/>
      <c r="H6" s="6375"/>
      <c r="I6" s="6375"/>
      <c r="J6" s="909"/>
      <c r="K6" s="909"/>
      <c r="L6" s="909"/>
      <c r="M6" s="908"/>
      <c r="N6" s="908"/>
      <c r="O6" s="908"/>
      <c r="P6" s="908"/>
      <c r="Q6" s="908"/>
      <c r="R6" s="908"/>
    </row>
    <row r="7" spans="1:78" s="48" customFormat="1" ht="15" thickTop="1" x14ac:dyDescent="0.35">
      <c r="A7" s="6365" t="str">
        <f>"ETAPES CYCLE DE VENTE Offre " &amp; NomProd1</f>
        <v>ETAPES CYCLE DE VENTE Offre EQUINIX</v>
      </c>
      <c r="B7" s="6366"/>
      <c r="C7" s="6366"/>
      <c r="D7" s="6366"/>
      <c r="E7" s="6366"/>
      <c r="F7" s="6366"/>
      <c r="G7" s="6366"/>
      <c r="H7" s="910" t="s">
        <v>501</v>
      </c>
      <c r="I7" s="911" t="s">
        <v>500</v>
      </c>
      <c r="J7" s="6366" t="s">
        <v>499</v>
      </c>
      <c r="K7" s="6366"/>
      <c r="L7" s="6366"/>
      <c r="M7" s="6376"/>
      <c r="N7" s="912"/>
      <c r="O7" s="913"/>
      <c r="P7" s="913"/>
      <c r="Q7" s="913"/>
      <c r="R7" s="914"/>
    </row>
    <row r="8" spans="1:78" s="268" customFormat="1" ht="9" customHeight="1" x14ac:dyDescent="0.35">
      <c r="A8" s="6377"/>
      <c r="B8" s="6378"/>
      <c r="C8" s="6378"/>
      <c r="D8" s="6378"/>
      <c r="E8" s="6378"/>
      <c r="F8" s="6378"/>
      <c r="G8" s="6378"/>
      <c r="H8" s="6378"/>
      <c r="I8" s="6378"/>
      <c r="J8" s="6378"/>
      <c r="K8" s="6378"/>
      <c r="L8" s="6378"/>
      <c r="M8" s="6379"/>
      <c r="N8" s="915"/>
      <c r="O8" s="916"/>
      <c r="P8" s="916"/>
      <c r="Q8" s="916"/>
      <c r="R8" s="916"/>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row>
    <row r="9" spans="1:78" s="47" customFormat="1" x14ac:dyDescent="0.35">
      <c r="A9" s="6370" t="s">
        <v>1121</v>
      </c>
      <c r="B9" s="6371"/>
      <c r="C9" s="6371"/>
      <c r="D9" s="6371"/>
      <c r="E9" s="6371"/>
      <c r="F9" s="6371"/>
      <c r="G9" s="6371"/>
      <c r="H9" s="925"/>
      <c r="I9" s="906">
        <v>1000</v>
      </c>
      <c r="J9" s="6380" t="s">
        <v>957</v>
      </c>
      <c r="K9" s="6355"/>
      <c r="L9" s="6355"/>
      <c r="M9" s="6356"/>
      <c r="N9" s="918"/>
      <c r="O9" s="919"/>
      <c r="P9" s="919"/>
      <c r="Q9" s="919"/>
      <c r="R9" s="908"/>
    </row>
    <row r="10" spans="1:78" s="47" customFormat="1" x14ac:dyDescent="0.35">
      <c r="A10" s="6370" t="s">
        <v>966</v>
      </c>
      <c r="B10" s="6355"/>
      <c r="C10" s="6355"/>
      <c r="D10" s="6355"/>
      <c r="E10" s="6355"/>
      <c r="F10" s="6355"/>
      <c r="G10" s="6355"/>
      <c r="H10" s="921">
        <v>0.4</v>
      </c>
      <c r="I10" s="927">
        <f>I9*H10</f>
        <v>400</v>
      </c>
      <c r="J10" s="6371"/>
      <c r="K10" s="6371"/>
      <c r="L10" s="6371"/>
      <c r="M10" s="6372"/>
      <c r="N10" s="918"/>
      <c r="O10" s="919"/>
      <c r="P10" s="919"/>
      <c r="Q10" s="919"/>
      <c r="R10" s="908"/>
    </row>
    <row r="11" spans="1:78" s="47" customFormat="1" ht="43.5" customHeight="1" x14ac:dyDescent="0.35">
      <c r="A11" s="6367" t="s">
        <v>1122</v>
      </c>
      <c r="B11" s="6373"/>
      <c r="C11" s="6373"/>
      <c r="D11" s="6373"/>
      <c r="E11" s="6373"/>
      <c r="F11" s="6373"/>
      <c r="G11" s="6374"/>
      <c r="H11" s="921">
        <v>0.5</v>
      </c>
      <c r="I11" s="927">
        <f>I10*H11</f>
        <v>200</v>
      </c>
      <c r="J11" s="6355"/>
      <c r="K11" s="6355"/>
      <c r="L11" s="6355"/>
      <c r="M11" s="6356"/>
      <c r="N11" s="918"/>
      <c r="O11" s="919"/>
      <c r="P11" s="919"/>
      <c r="Q11" s="919"/>
      <c r="R11" s="908"/>
    </row>
    <row r="12" spans="1:78" s="47" customFormat="1" ht="30.75" customHeight="1" x14ac:dyDescent="0.35">
      <c r="A12" s="6367" t="s">
        <v>1123</v>
      </c>
      <c r="B12" s="6368"/>
      <c r="C12" s="6368"/>
      <c r="D12" s="6368"/>
      <c r="E12" s="6368"/>
      <c r="F12" s="6368"/>
      <c r="G12" s="6369"/>
      <c r="H12" s="921">
        <v>0.15</v>
      </c>
      <c r="I12" s="925">
        <f>I10*H12</f>
        <v>60</v>
      </c>
      <c r="J12" s="6355"/>
      <c r="K12" s="6355"/>
      <c r="L12" s="6355"/>
      <c r="M12" s="6356"/>
      <c r="N12" s="918"/>
      <c r="O12" s="919"/>
      <c r="P12" s="919"/>
      <c r="Q12" s="919"/>
      <c r="R12" s="908"/>
    </row>
    <row r="13" spans="1:78" s="47" customFormat="1" ht="23.25" customHeight="1" x14ac:dyDescent="0.35">
      <c r="A13" s="6370" t="s">
        <v>1124</v>
      </c>
      <c r="B13" s="6355"/>
      <c r="C13" s="6355"/>
      <c r="D13" s="6355"/>
      <c r="E13" s="6355"/>
      <c r="F13" s="6355"/>
      <c r="G13" s="6355"/>
      <c r="H13" s="922">
        <v>0.5</v>
      </c>
      <c r="I13" s="928">
        <f>I12*H13</f>
        <v>30</v>
      </c>
      <c r="J13" s="6371"/>
      <c r="K13" s="6371"/>
      <c r="L13" s="6371"/>
      <c r="M13" s="6372"/>
      <c r="N13" s="918"/>
      <c r="O13" s="919"/>
      <c r="P13" s="919"/>
      <c r="Q13" s="919"/>
      <c r="R13" s="908"/>
    </row>
    <row r="14" spans="1:78" s="47" customFormat="1" x14ac:dyDescent="0.35">
      <c r="A14" s="6354"/>
      <c r="B14" s="6355"/>
      <c r="C14" s="6355"/>
      <c r="D14" s="6355"/>
      <c r="E14" s="6355"/>
      <c r="F14" s="6355"/>
      <c r="G14" s="6355"/>
      <c r="H14" s="923"/>
      <c r="I14" s="924"/>
      <c r="J14" s="6355"/>
      <c r="K14" s="6355"/>
      <c r="L14" s="6355"/>
      <c r="M14" s="6356"/>
      <c r="N14" s="918"/>
      <c r="O14" s="919"/>
      <c r="P14" s="919"/>
      <c r="Q14" s="919"/>
      <c r="R14" s="908"/>
    </row>
    <row r="15" spans="1:78" s="47" customFormat="1" x14ac:dyDescent="0.35">
      <c r="A15" s="6354"/>
      <c r="B15" s="6355"/>
      <c r="C15" s="6355"/>
      <c r="D15" s="6355"/>
      <c r="E15" s="6355"/>
      <c r="F15" s="6355"/>
      <c r="G15" s="6355"/>
      <c r="H15" s="925"/>
      <c r="I15" s="926"/>
      <c r="J15" s="6355"/>
      <c r="K15" s="6355"/>
      <c r="L15" s="6355"/>
      <c r="M15" s="6356"/>
      <c r="N15" s="918"/>
      <c r="O15" s="919"/>
      <c r="P15" s="919"/>
      <c r="Q15" s="919"/>
      <c r="R15" s="908"/>
    </row>
    <row r="16" spans="1:78" s="47" customFormat="1" ht="9" customHeight="1" thickBot="1" x14ac:dyDescent="0.4">
      <c r="A16" s="6357"/>
      <c r="B16" s="6358"/>
      <c r="C16" s="6358"/>
      <c r="D16" s="6358"/>
      <c r="E16" s="6358"/>
      <c r="F16" s="6358"/>
      <c r="G16" s="6358"/>
      <c r="H16" s="6358"/>
      <c r="I16" s="6358"/>
      <c r="J16" s="6358"/>
      <c r="K16" s="6358"/>
      <c r="L16" s="6358"/>
      <c r="M16" s="6359"/>
      <c r="N16" s="918"/>
      <c r="O16" s="919"/>
      <c r="P16" s="919"/>
      <c r="Q16" s="919"/>
      <c r="R16" s="908"/>
    </row>
    <row r="17" spans="1:76" ht="20.25" customHeight="1" thickTop="1" x14ac:dyDescent="0.35">
      <c r="A17" s="743"/>
      <c r="B17" s="743"/>
      <c r="C17" s="481"/>
      <c r="D17" s="481"/>
      <c r="E17" s="481"/>
      <c r="F17" s="481"/>
      <c r="G17" s="481"/>
      <c r="H17" s="481"/>
      <c r="I17" s="481"/>
      <c r="J17" s="481"/>
      <c r="K17" s="481"/>
      <c r="L17" s="481"/>
      <c r="M17" s="481"/>
      <c r="N17" s="481"/>
      <c r="O17" s="481"/>
      <c r="P17" s="481"/>
      <c r="Q17" s="743"/>
      <c r="R17" s="382"/>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row>
    <row r="18" spans="1:76" ht="20.25" customHeight="1" thickBot="1" x14ac:dyDescent="0.4">
      <c r="A18" s="743"/>
      <c r="B18" s="743"/>
      <c r="C18" s="481"/>
      <c r="D18" s="481"/>
      <c r="E18" s="481"/>
      <c r="F18" s="481"/>
      <c r="G18" s="481"/>
      <c r="H18" s="481"/>
      <c r="I18" s="481"/>
      <c r="J18" s="481"/>
      <c r="K18" s="481"/>
      <c r="L18" s="481"/>
      <c r="M18" s="481"/>
      <c r="N18" s="481"/>
      <c r="O18" s="481"/>
      <c r="P18" s="481"/>
      <c r="Q18" s="743"/>
      <c r="R18" s="382"/>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row>
    <row r="19" spans="1:76" ht="19.5" thickTop="1" thickBot="1" x14ac:dyDescent="0.4">
      <c r="A19" s="5169" t="s">
        <v>10</v>
      </c>
      <c r="B19" s="5170"/>
      <c r="C19" s="5170"/>
      <c r="D19" s="5170"/>
      <c r="E19" s="5170"/>
      <c r="F19" s="5170"/>
      <c r="G19" s="5170"/>
      <c r="H19" s="5170"/>
      <c r="I19" s="5170"/>
      <c r="J19" s="5170"/>
      <c r="K19" s="5170"/>
      <c r="L19" s="161"/>
      <c r="M19" s="3725" t="s">
        <v>748</v>
      </c>
      <c r="N19" s="3726"/>
      <c r="O19" s="3727"/>
      <c r="P19" s="31"/>
      <c r="Q19" s="64"/>
      <c r="R19" s="382"/>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row>
    <row r="20" spans="1:76" ht="20.25" customHeight="1" x14ac:dyDescent="0.35">
      <c r="A20" s="5164"/>
      <c r="B20" s="5166"/>
      <c r="C20" s="5166"/>
      <c r="D20" s="5166"/>
      <c r="E20" s="5166"/>
      <c r="F20" s="5166"/>
      <c r="G20" s="5166"/>
      <c r="H20" s="5166"/>
      <c r="I20" s="5166"/>
      <c r="J20" s="5166"/>
      <c r="K20" s="5166"/>
      <c r="L20" s="39"/>
      <c r="M20" s="3750"/>
      <c r="N20" s="3751"/>
      <c r="O20" s="3752"/>
      <c r="P20" s="33"/>
      <c r="Q20" s="64"/>
      <c r="R20" s="382"/>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row>
    <row r="21" spans="1:76" ht="20.25" customHeight="1" x14ac:dyDescent="0.35">
      <c r="A21" s="5164"/>
      <c r="B21" s="5166"/>
      <c r="C21" s="5166"/>
      <c r="D21" s="5166"/>
      <c r="E21" s="5166"/>
      <c r="F21" s="5166"/>
      <c r="G21" s="5166"/>
      <c r="H21" s="5166"/>
      <c r="I21" s="5166"/>
      <c r="J21" s="5166"/>
      <c r="K21" s="5166"/>
      <c r="L21" s="39"/>
      <c r="M21" s="3753"/>
      <c r="N21" s="3754"/>
      <c r="O21" s="3755"/>
      <c r="P21" s="33"/>
      <c r="Q21" s="64"/>
      <c r="R21" s="382"/>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row>
    <row r="22" spans="1:76" ht="20.25" customHeight="1" x14ac:dyDescent="0.35">
      <c r="A22" s="5164"/>
      <c r="B22" s="5166"/>
      <c r="C22" s="5166"/>
      <c r="D22" s="5166"/>
      <c r="E22" s="5166"/>
      <c r="F22" s="5166"/>
      <c r="G22" s="5166"/>
      <c r="H22" s="5166"/>
      <c r="I22" s="5166"/>
      <c r="J22" s="5166"/>
      <c r="K22" s="5166"/>
      <c r="L22" s="39"/>
      <c r="M22" s="3753"/>
      <c r="N22" s="3754"/>
      <c r="O22" s="3755"/>
      <c r="P22" s="33"/>
      <c r="Q22" s="64"/>
      <c r="R22" s="382"/>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row>
    <row r="23" spans="1:76" ht="20.25" customHeight="1" thickBot="1" x14ac:dyDescent="0.4">
      <c r="A23" s="5167"/>
      <c r="B23" s="5168"/>
      <c r="C23" s="5168"/>
      <c r="D23" s="5168"/>
      <c r="E23" s="5168"/>
      <c r="F23" s="5168"/>
      <c r="G23" s="5168"/>
      <c r="H23" s="5168"/>
      <c r="I23" s="5168"/>
      <c r="J23" s="5168"/>
      <c r="K23" s="5168"/>
      <c r="L23" s="39"/>
      <c r="M23" s="3756"/>
      <c r="N23" s="3757"/>
      <c r="O23" s="3758"/>
      <c r="P23" s="33"/>
      <c r="Q23" s="64"/>
      <c r="R23" s="382"/>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row>
    <row r="24" spans="1:76" ht="15.5" thickTop="1" thickBot="1" x14ac:dyDescent="0.4">
      <c r="A24" s="64"/>
      <c r="B24" s="64"/>
      <c r="C24" s="64"/>
      <c r="D24" s="64"/>
      <c r="E24" s="64"/>
      <c r="F24" s="64"/>
      <c r="G24" s="64"/>
      <c r="H24" s="64"/>
      <c r="I24" s="64"/>
      <c r="J24" s="64"/>
      <c r="K24" s="64"/>
      <c r="L24" s="64"/>
      <c r="M24" s="31"/>
      <c r="N24" s="31"/>
      <c r="O24" s="31"/>
      <c r="P24" s="64"/>
      <c r="Q24" s="64"/>
      <c r="R24" s="382"/>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row>
    <row r="25" spans="1:76" ht="19.5" thickTop="1" thickBot="1" x14ac:dyDescent="0.4">
      <c r="A25" s="5169" t="s">
        <v>11</v>
      </c>
      <c r="B25" s="5170"/>
      <c r="C25" s="5170"/>
      <c r="D25" s="5170"/>
      <c r="E25" s="5170"/>
      <c r="F25" s="5170"/>
      <c r="G25" s="5170"/>
      <c r="H25" s="5170"/>
      <c r="I25" s="5170"/>
      <c r="J25" s="5170"/>
      <c r="K25" s="5170"/>
      <c r="L25" s="161"/>
      <c r="M25" s="3725" t="s">
        <v>748</v>
      </c>
      <c r="N25" s="3726"/>
      <c r="O25" s="3727"/>
      <c r="P25" s="31"/>
      <c r="Q25" s="64"/>
      <c r="R25" s="382"/>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row>
    <row r="26" spans="1:76" ht="20.25" customHeight="1" x14ac:dyDescent="0.35">
      <c r="A26" s="5164"/>
      <c r="B26" s="5165"/>
      <c r="C26" s="5165"/>
      <c r="D26" s="5165"/>
      <c r="E26" s="5165"/>
      <c r="F26" s="5165"/>
      <c r="G26" s="5165"/>
      <c r="H26" s="5165"/>
      <c r="I26" s="5165"/>
      <c r="J26" s="5165"/>
      <c r="K26" s="5166"/>
      <c r="L26" s="39"/>
      <c r="M26" s="3750"/>
      <c r="N26" s="3751"/>
      <c r="O26" s="3752"/>
      <c r="P26" s="33"/>
      <c r="Q26" s="64"/>
      <c r="R26" s="382"/>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row>
    <row r="27" spans="1:76" ht="20.25" customHeight="1" x14ac:dyDescent="0.35">
      <c r="A27" s="5164"/>
      <c r="B27" s="5165"/>
      <c r="C27" s="5165"/>
      <c r="D27" s="5165"/>
      <c r="E27" s="5165"/>
      <c r="F27" s="5165"/>
      <c r="G27" s="5165"/>
      <c r="H27" s="5165"/>
      <c r="I27" s="5165"/>
      <c r="J27" s="5165"/>
      <c r="K27" s="5166"/>
      <c r="L27" s="39"/>
      <c r="M27" s="3753"/>
      <c r="N27" s="3754"/>
      <c r="O27" s="3755"/>
      <c r="P27" s="33"/>
      <c r="Q27" s="64"/>
      <c r="R27" s="382"/>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row>
    <row r="28" spans="1:76" ht="20.25" customHeight="1" x14ac:dyDescent="0.35">
      <c r="A28" s="5164"/>
      <c r="B28" s="5165"/>
      <c r="C28" s="5165"/>
      <c r="D28" s="5165"/>
      <c r="E28" s="5165"/>
      <c r="F28" s="5165"/>
      <c r="G28" s="5165"/>
      <c r="H28" s="5165"/>
      <c r="I28" s="5165"/>
      <c r="J28" s="5165"/>
      <c r="K28" s="5166"/>
      <c r="L28" s="39"/>
      <c r="M28" s="3753"/>
      <c r="N28" s="3754"/>
      <c r="O28" s="3755"/>
      <c r="P28" s="33"/>
      <c r="Q28" s="64"/>
      <c r="R28" s="382"/>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row>
    <row r="29" spans="1:76" ht="20.25" customHeight="1" thickBot="1" x14ac:dyDescent="0.4">
      <c r="A29" s="5167"/>
      <c r="B29" s="5168"/>
      <c r="C29" s="5168"/>
      <c r="D29" s="5168"/>
      <c r="E29" s="5168"/>
      <c r="F29" s="5168"/>
      <c r="G29" s="5168"/>
      <c r="H29" s="5168"/>
      <c r="I29" s="5168"/>
      <c r="J29" s="5168"/>
      <c r="K29" s="5168"/>
      <c r="L29" s="39"/>
      <c r="M29" s="3756"/>
      <c r="N29" s="3757"/>
      <c r="O29" s="3758"/>
      <c r="P29" s="33"/>
      <c r="Q29" s="64"/>
      <c r="R29" s="382"/>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row>
    <row r="30" spans="1:76" ht="15" thickTop="1" x14ac:dyDescent="0.35">
      <c r="A30" s="64"/>
      <c r="B30" s="64"/>
      <c r="C30" s="64"/>
      <c r="D30" s="64"/>
      <c r="E30" s="64"/>
      <c r="F30" s="64"/>
      <c r="G30" s="64"/>
      <c r="H30" s="64"/>
      <c r="I30" s="64"/>
      <c r="J30" s="64"/>
      <c r="K30" s="64"/>
      <c r="L30" s="64"/>
      <c r="M30" s="64"/>
      <c r="N30" s="64"/>
      <c r="O30" s="64"/>
      <c r="P30" s="64"/>
      <c r="Q30" s="64"/>
      <c r="R30" s="382"/>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row>
    <row r="31" spans="1:76" ht="15" thickBot="1" x14ac:dyDescent="0.4">
      <c r="A31" s="64"/>
      <c r="B31" s="64"/>
      <c r="C31" s="64"/>
      <c r="D31" s="64"/>
      <c r="E31" s="64"/>
      <c r="F31" s="64"/>
      <c r="G31" s="64"/>
      <c r="H31" s="64"/>
      <c r="I31" s="64"/>
      <c r="J31" s="64"/>
      <c r="K31" s="64"/>
      <c r="L31" s="64"/>
      <c r="M31" s="64"/>
      <c r="N31" s="64"/>
      <c r="O31" s="64"/>
      <c r="P31" s="64"/>
      <c r="Q31" s="64"/>
      <c r="R31" s="64"/>
    </row>
    <row r="32" spans="1:76" s="47" customFormat="1" ht="15" thickTop="1" x14ac:dyDescent="0.35">
      <c r="A32" s="908"/>
      <c r="B32" s="6365" t="s">
        <v>771</v>
      </c>
      <c r="C32" s="6366"/>
      <c r="D32" s="6366"/>
      <c r="E32" s="6366"/>
      <c r="F32" s="6366"/>
      <c r="G32" s="920"/>
      <c r="H32" s="908"/>
      <c r="I32" s="908"/>
      <c r="J32" s="908"/>
      <c r="K32" s="908"/>
      <c r="L32" s="908"/>
      <c r="M32" s="908"/>
      <c r="N32" s="908"/>
      <c r="O32" s="908"/>
      <c r="P32" s="908"/>
      <c r="Q32" s="908"/>
      <c r="R32" s="908"/>
    </row>
    <row r="33" spans="1:18" s="47" customFormat="1" x14ac:dyDescent="0.35">
      <c r="A33" s="908"/>
      <c r="B33" s="6349" t="s">
        <v>907</v>
      </c>
      <c r="C33" s="6350"/>
      <c r="D33" s="6350"/>
      <c r="E33" s="6350"/>
      <c r="F33" s="6350"/>
      <c r="G33" s="904" t="s">
        <v>868</v>
      </c>
      <c r="H33" s="908"/>
      <c r="I33" s="908"/>
      <c r="J33" s="908"/>
      <c r="K33" s="908"/>
      <c r="L33" s="908"/>
      <c r="M33" s="908"/>
      <c r="N33" s="908"/>
      <c r="O33" s="908"/>
      <c r="P33" s="908"/>
      <c r="Q33" s="908"/>
      <c r="R33" s="908"/>
    </row>
    <row r="34" spans="1:18" s="47" customFormat="1" x14ac:dyDescent="0.35">
      <c r="A34" s="908"/>
      <c r="B34" s="6349" t="s">
        <v>908</v>
      </c>
      <c r="C34" s="6350"/>
      <c r="D34" s="6350"/>
      <c r="E34" s="6350"/>
      <c r="F34" s="6350"/>
      <c r="G34" s="905"/>
      <c r="H34" s="908"/>
      <c r="I34" s="908"/>
      <c r="J34" s="908"/>
      <c r="K34" s="908"/>
      <c r="L34" s="908"/>
      <c r="M34" s="908"/>
      <c r="N34" s="908"/>
      <c r="O34" s="908"/>
      <c r="P34" s="908"/>
      <c r="Q34" s="908"/>
      <c r="R34" s="908"/>
    </row>
    <row r="35" spans="1:18" s="47" customFormat="1" x14ac:dyDescent="0.35">
      <c r="A35" s="908"/>
      <c r="B35" s="6349" t="s">
        <v>909</v>
      </c>
      <c r="C35" s="6350"/>
      <c r="D35" s="6350"/>
      <c r="E35" s="6350"/>
      <c r="F35" s="6350"/>
      <c r="G35" s="905"/>
      <c r="H35" s="908"/>
      <c r="I35" s="908"/>
      <c r="J35" s="908"/>
      <c r="K35" s="908"/>
      <c r="L35" s="908"/>
      <c r="M35" s="908"/>
      <c r="N35" s="908"/>
      <c r="O35" s="908"/>
      <c r="P35" s="908"/>
      <c r="Q35" s="908"/>
      <c r="R35" s="908"/>
    </row>
    <row r="36" spans="1:18" s="47" customFormat="1" x14ac:dyDescent="0.35">
      <c r="A36" s="908"/>
      <c r="B36" s="6349" t="s">
        <v>910</v>
      </c>
      <c r="C36" s="6350"/>
      <c r="D36" s="6350"/>
      <c r="E36" s="6350"/>
      <c r="F36" s="6350"/>
      <c r="G36" s="905"/>
      <c r="H36" s="908"/>
      <c r="I36" s="908"/>
      <c r="J36" s="908"/>
      <c r="K36" s="908"/>
      <c r="L36" s="908"/>
      <c r="M36" s="908"/>
      <c r="N36" s="908"/>
      <c r="O36" s="908"/>
      <c r="P36" s="908"/>
      <c r="Q36" s="908"/>
      <c r="R36" s="908"/>
    </row>
    <row r="37" spans="1:18" s="47" customFormat="1" x14ac:dyDescent="0.35">
      <c r="A37" s="908"/>
      <c r="B37" s="6349" t="s">
        <v>911</v>
      </c>
      <c r="C37" s="6350"/>
      <c r="D37" s="6350"/>
      <c r="E37" s="6350"/>
      <c r="F37" s="6350"/>
      <c r="G37" s="904" t="s">
        <v>912</v>
      </c>
      <c r="H37" s="908"/>
      <c r="I37" s="908"/>
      <c r="J37" s="908"/>
      <c r="K37" s="908"/>
      <c r="L37" s="908"/>
      <c r="M37" s="908"/>
      <c r="N37" s="908"/>
      <c r="O37" s="908"/>
      <c r="P37" s="908"/>
      <c r="Q37" s="908"/>
      <c r="R37" s="908"/>
    </row>
    <row r="38" spans="1:18" s="47" customFormat="1" ht="15" thickBot="1" x14ac:dyDescent="0.4">
      <c r="A38" s="908"/>
      <c r="B38" s="6351"/>
      <c r="C38" s="6352"/>
      <c r="D38" s="6352"/>
      <c r="E38" s="6352"/>
      <c r="F38" s="6352"/>
      <c r="G38" s="6353"/>
      <c r="H38" s="908"/>
      <c r="I38" s="908"/>
      <c r="J38" s="908"/>
      <c r="K38" s="908"/>
      <c r="L38" s="908"/>
      <c r="M38" s="908"/>
      <c r="N38" s="908"/>
      <c r="O38" s="908"/>
      <c r="P38" s="908"/>
      <c r="Q38" s="908"/>
      <c r="R38" s="908"/>
    </row>
    <row r="39" spans="1:18" ht="15" thickTop="1" x14ac:dyDescent="0.35">
      <c r="A39" s="64"/>
      <c r="B39" s="64"/>
      <c r="C39" s="64"/>
      <c r="D39" s="64"/>
      <c r="E39" s="64"/>
      <c r="F39" s="64"/>
      <c r="G39" s="64"/>
      <c r="H39" s="64"/>
      <c r="I39" s="64"/>
      <c r="J39" s="64"/>
      <c r="K39" s="64"/>
      <c r="L39" s="64"/>
      <c r="M39" s="64"/>
      <c r="N39" s="64"/>
      <c r="O39" s="64"/>
      <c r="P39" s="64"/>
      <c r="Q39" s="64"/>
      <c r="R39" s="64"/>
    </row>
  </sheetData>
  <mergeCells count="45">
    <mergeCell ref="D3:G3"/>
    <mergeCell ref="D1:G1"/>
    <mergeCell ref="I1:J1"/>
    <mergeCell ref="L1:M1"/>
    <mergeCell ref="D2:G2"/>
    <mergeCell ref="I2:J2"/>
    <mergeCell ref="L2:M2"/>
    <mergeCell ref="A11:G11"/>
    <mergeCell ref="J11:M11"/>
    <mergeCell ref="B4:G4"/>
    <mergeCell ref="H4:Q4"/>
    <mergeCell ref="A5:B5"/>
    <mergeCell ref="C5:Q5"/>
    <mergeCell ref="H6:I6"/>
    <mergeCell ref="A7:G7"/>
    <mergeCell ref="J7:M7"/>
    <mergeCell ref="A8:M8"/>
    <mergeCell ref="A9:G9"/>
    <mergeCell ref="J9:M9"/>
    <mergeCell ref="A10:G10"/>
    <mergeCell ref="J10:M10"/>
    <mergeCell ref="A12:G12"/>
    <mergeCell ref="J12:M12"/>
    <mergeCell ref="A13:G13"/>
    <mergeCell ref="J13:M13"/>
    <mergeCell ref="A14:G14"/>
    <mergeCell ref="J14:M14"/>
    <mergeCell ref="B33:F33"/>
    <mergeCell ref="A15:G15"/>
    <mergeCell ref="J15:M15"/>
    <mergeCell ref="A16:M16"/>
    <mergeCell ref="A19:K19"/>
    <mergeCell ref="M19:O19"/>
    <mergeCell ref="A20:K23"/>
    <mergeCell ref="M20:O23"/>
    <mergeCell ref="A25:K25"/>
    <mergeCell ref="M25:O25"/>
    <mergeCell ref="A26:K29"/>
    <mergeCell ref="M26:O29"/>
    <mergeCell ref="B32:F32"/>
    <mergeCell ref="B34:F34"/>
    <mergeCell ref="B35:F35"/>
    <mergeCell ref="B36:F36"/>
    <mergeCell ref="B37:F37"/>
    <mergeCell ref="B38:G38"/>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300-000000000000}">
      <formula1>AvancementTheme</formula1>
    </dataValidation>
  </dataValidations>
  <hyperlinks>
    <hyperlink ref="O1" location="DPDV_10TL3" display="PdV" xr:uid="{00000000-0004-0000-5300-000000000000}"/>
    <hyperlink ref="P1" location="DKPI_10TL3" display="KPI's" xr:uid="{00000000-0004-0000-53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euil78">
    <tabColor theme="2" tint="-0.249977111117893"/>
    <pageSetUpPr fitToPage="1"/>
  </sheetPr>
  <dimension ref="A1:V123"/>
  <sheetViews>
    <sheetView showGridLines="0" showRowColHeaders="0" zoomScaleNormal="100" workbookViewId="0">
      <pane ySplit="7" topLeftCell="A36" activePane="bottomLeft" state="frozen"/>
      <selection activeCell="H7" sqref="H7"/>
      <selection pane="bottomLeft" activeCell="H7" sqref="H7:I7"/>
    </sheetView>
  </sheetViews>
  <sheetFormatPr baseColWidth="10" defaultColWidth="11.453125" defaultRowHeight="14.5" x14ac:dyDescent="0.35"/>
  <cols>
    <col min="1" max="3" width="11.453125" style="60"/>
    <col min="4" max="16" width="10.7265625" style="60" customWidth="1"/>
    <col min="17" max="16384" width="11.453125" style="60"/>
  </cols>
  <sheetData>
    <row r="1" spans="1:22" s="54" customFormat="1" ht="15" customHeight="1" x14ac:dyDescent="0.35">
      <c r="A1" s="390"/>
      <c r="B1" s="390"/>
      <c r="C1" s="390"/>
      <c r="D1" s="3341" t="s">
        <v>5</v>
      </c>
      <c r="E1" s="3341"/>
      <c r="F1" s="3341"/>
      <c r="G1" s="3341"/>
      <c r="H1" s="391"/>
      <c r="I1" s="3341" t="s">
        <v>6</v>
      </c>
      <c r="J1" s="3341"/>
      <c r="K1" s="390"/>
      <c r="L1" s="3341" t="s">
        <v>9</v>
      </c>
      <c r="M1" s="3341"/>
      <c r="N1" s="390"/>
      <c r="O1" s="479" t="s">
        <v>2</v>
      </c>
      <c r="P1" s="479" t="s">
        <v>3</v>
      </c>
      <c r="Q1" s="458"/>
    </row>
    <row r="2" spans="1:22" s="58" customFormat="1" ht="18" customHeight="1" x14ac:dyDescent="0.35">
      <c r="A2" s="393"/>
      <c r="B2" s="393"/>
      <c r="C2" s="393"/>
      <c r="D2" s="3342" t="str">
        <f>NomClient</f>
        <v xml:space="preserve">EQUINIX </v>
      </c>
      <c r="E2" s="3343"/>
      <c r="F2" s="3343"/>
      <c r="G2" s="3344"/>
      <c r="H2" s="393"/>
      <c r="I2" s="3345" t="s">
        <v>409</v>
      </c>
      <c r="J2" s="3346"/>
      <c r="K2" s="393"/>
      <c r="L2" s="3347">
        <v>42420.73133101852</v>
      </c>
      <c r="M2" s="3348"/>
      <c r="N2" s="394"/>
      <c r="O2" s="451">
        <f>IF(LEN(DPDV_08VA3)&gt;0,LEN(DPDV_08VA3),0-PDV_NBmini)</f>
        <v>72</v>
      </c>
      <c r="P2" s="451">
        <f>IF(LEN(DKPI_08VA3)&gt;0,LEN(DKPI_08VA3),0-KPI_NBmini)</f>
        <v>46</v>
      </c>
      <c r="Q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112" t="str">
        <f>Parametre!B30 &amp; "   : "</f>
        <v xml:space="preserve">Proposition de valeur   : </v>
      </c>
      <c r="B4" s="5112"/>
      <c r="C4" s="5112"/>
      <c r="D4" s="5112"/>
      <c r="E4" s="5112"/>
      <c r="F4" s="5112"/>
      <c r="G4" s="5112"/>
      <c r="H4" s="5144" t="str">
        <f>"Attractivité de l'offre pour " &amp; NomProd3</f>
        <v xml:space="preserve">Attractivité de l'offre pour </v>
      </c>
      <c r="I4" s="5144"/>
      <c r="J4" s="5144"/>
      <c r="K4" s="5144"/>
      <c r="L4" s="5144"/>
      <c r="M4" s="5144"/>
      <c r="N4" s="5144"/>
      <c r="O4" s="5144"/>
      <c r="P4" s="5145"/>
      <c r="Q4" s="444"/>
    </row>
    <row r="5" spans="1:22" s="25" customFormat="1" ht="38.25" customHeight="1" thickBot="1" x14ac:dyDescent="0.4">
      <c r="A5" s="3438" t="s">
        <v>14</v>
      </c>
      <c r="B5" s="3438"/>
      <c r="C5" s="3508" t="s">
        <v>618</v>
      </c>
      <c r="D5" s="3508"/>
      <c r="E5" s="3508"/>
      <c r="F5" s="3508"/>
      <c r="G5" s="3508"/>
      <c r="H5" s="3508"/>
      <c r="I5" s="3508"/>
      <c r="J5" s="3508"/>
      <c r="K5" s="3508"/>
      <c r="L5" s="3508"/>
      <c r="M5" s="3508"/>
      <c r="N5" s="3508"/>
      <c r="O5" s="3508"/>
      <c r="P5" s="3508"/>
      <c r="Q5" s="767"/>
    </row>
    <row r="6" spans="1:22" s="106" customFormat="1" ht="49.5" customHeight="1" thickTop="1" x14ac:dyDescent="0.35">
      <c r="A6" s="5625" t="s">
        <v>627</v>
      </c>
      <c r="B6" s="5626"/>
      <c r="C6" s="5626"/>
      <c r="D6" s="5626"/>
      <c r="E6" s="5627"/>
      <c r="F6" s="5631" t="s">
        <v>1165</v>
      </c>
      <c r="G6" s="5632"/>
      <c r="H6" s="6465" t="s">
        <v>1166</v>
      </c>
      <c r="I6" s="6465"/>
      <c r="J6" s="6465" t="s">
        <v>1167</v>
      </c>
      <c r="K6" s="6465"/>
      <c r="L6" s="5140" t="s">
        <v>18</v>
      </c>
      <c r="M6" s="5140"/>
      <c r="N6" s="5140"/>
      <c r="O6" s="5140"/>
      <c r="P6" s="5141"/>
      <c r="Q6" s="758"/>
    </row>
    <row r="7" spans="1:22" s="106" customFormat="1" ht="26.25" customHeight="1" x14ac:dyDescent="0.35">
      <c r="A7" s="5628"/>
      <c r="B7" s="5629"/>
      <c r="C7" s="5629"/>
      <c r="D7" s="5629"/>
      <c r="E7" s="5630"/>
      <c r="F7" s="5633" t="s">
        <v>16</v>
      </c>
      <c r="G7" s="5633"/>
      <c r="H7" s="5633" t="s">
        <v>16</v>
      </c>
      <c r="I7" s="5633"/>
      <c r="J7" s="5633" t="s">
        <v>16</v>
      </c>
      <c r="K7" s="5633"/>
      <c r="L7" s="5142"/>
      <c r="M7" s="5142"/>
      <c r="N7" s="5142"/>
      <c r="O7" s="5142"/>
      <c r="P7" s="5143"/>
      <c r="Q7" s="758"/>
    </row>
    <row r="8" spans="1:22" s="264" customFormat="1" ht="9" customHeight="1" x14ac:dyDescent="0.35">
      <c r="A8" s="5634"/>
      <c r="B8" s="5635"/>
      <c r="C8" s="5635"/>
      <c r="D8" s="5635"/>
      <c r="E8" s="5635"/>
      <c r="F8" s="5635"/>
      <c r="G8" s="5635"/>
      <c r="H8" s="5635"/>
      <c r="I8" s="5635"/>
      <c r="J8" s="5635"/>
      <c r="K8" s="5635"/>
      <c r="L8" s="5635"/>
      <c r="M8" s="5635"/>
      <c r="N8" s="5635"/>
      <c r="O8" s="5635"/>
      <c r="P8" s="5636"/>
      <c r="Q8" s="903"/>
    </row>
    <row r="9" spans="1:22" s="21" customFormat="1" ht="19.5" customHeight="1" x14ac:dyDescent="0.35">
      <c r="A9" s="5127" t="s">
        <v>619</v>
      </c>
      <c r="B9" s="5134"/>
      <c r="C9" s="5134"/>
      <c r="D9" s="5134"/>
      <c r="E9" s="5134"/>
      <c r="F9" s="5134"/>
      <c r="G9" s="5134"/>
      <c r="H9" s="5134"/>
      <c r="I9" s="5134"/>
      <c r="J9" s="5134"/>
      <c r="K9" s="5134"/>
      <c r="L9" s="5134"/>
      <c r="M9" s="5134"/>
      <c r="N9" s="5134"/>
      <c r="O9" s="5134"/>
      <c r="P9" s="5135"/>
      <c r="Q9" s="901"/>
    </row>
    <row r="10" spans="1:22" ht="15" customHeight="1" x14ac:dyDescent="0.35">
      <c r="A10" s="5637" t="s">
        <v>262</v>
      </c>
      <c r="B10" s="5638"/>
      <c r="C10" s="5638"/>
      <c r="D10" s="5638"/>
      <c r="E10" s="5638"/>
      <c r="F10" s="5639">
        <v>8</v>
      </c>
      <c r="G10" s="5639"/>
      <c r="H10" s="5639"/>
      <c r="I10" s="5639"/>
      <c r="J10" s="5639"/>
      <c r="K10" s="5639"/>
      <c r="L10" s="5640"/>
      <c r="M10" s="5640"/>
      <c r="N10" s="5640"/>
      <c r="O10" s="5640"/>
      <c r="P10" s="5641"/>
      <c r="Q10" s="64"/>
    </row>
    <row r="11" spans="1:22" ht="15" customHeight="1" x14ac:dyDescent="0.35">
      <c r="A11" s="5637" t="s">
        <v>263</v>
      </c>
      <c r="B11" s="5642"/>
      <c r="C11" s="5642"/>
      <c r="D11" s="5642"/>
      <c r="E11" s="5642"/>
      <c r="F11" s="5639">
        <v>7</v>
      </c>
      <c r="G11" s="5639"/>
      <c r="H11" s="5639"/>
      <c r="I11" s="5639"/>
      <c r="J11" s="5639"/>
      <c r="K11" s="5639"/>
      <c r="L11" s="5640"/>
      <c r="M11" s="5640"/>
      <c r="N11" s="5640"/>
      <c r="O11" s="5640"/>
      <c r="P11" s="5641"/>
      <c r="Q11" s="64"/>
    </row>
    <row r="12" spans="1:22" ht="15" customHeight="1" x14ac:dyDescent="0.35">
      <c r="A12" s="5637" t="s">
        <v>264</v>
      </c>
      <c r="B12" s="5642"/>
      <c r="C12" s="5642"/>
      <c r="D12" s="5642"/>
      <c r="E12" s="5642"/>
      <c r="F12" s="5639">
        <v>10</v>
      </c>
      <c r="G12" s="5639"/>
      <c r="H12" s="5639"/>
      <c r="I12" s="5639"/>
      <c r="J12" s="5639"/>
      <c r="K12" s="5639"/>
      <c r="L12" s="5640"/>
      <c r="M12" s="5640"/>
      <c r="N12" s="5640"/>
      <c r="O12" s="5640"/>
      <c r="P12" s="5641"/>
      <c r="Q12" s="64"/>
    </row>
    <row r="13" spans="1:22" ht="15" customHeight="1" x14ac:dyDescent="0.35">
      <c r="A13" s="5637" t="s">
        <v>265</v>
      </c>
      <c r="B13" s="5642"/>
      <c r="C13" s="5642"/>
      <c r="D13" s="5642"/>
      <c r="E13" s="5642"/>
      <c r="F13" s="5639">
        <v>10</v>
      </c>
      <c r="G13" s="5639"/>
      <c r="H13" s="5639"/>
      <c r="I13" s="5639"/>
      <c r="J13" s="5639"/>
      <c r="K13" s="5639"/>
      <c r="L13" s="5640"/>
      <c r="M13" s="5640"/>
      <c r="N13" s="5640"/>
      <c r="O13" s="5640"/>
      <c r="P13" s="5641"/>
      <c r="Q13" s="64"/>
    </row>
    <row r="14" spans="1:22" ht="15" customHeight="1" x14ac:dyDescent="0.35">
      <c r="A14" s="5637" t="s">
        <v>266</v>
      </c>
      <c r="B14" s="5642"/>
      <c r="C14" s="5642"/>
      <c r="D14" s="5642"/>
      <c r="E14" s="5642"/>
      <c r="F14" s="5639">
        <v>10</v>
      </c>
      <c r="G14" s="5639"/>
      <c r="H14" s="5639"/>
      <c r="I14" s="5639"/>
      <c r="J14" s="5639"/>
      <c r="K14" s="5639"/>
      <c r="L14" s="5640"/>
      <c r="M14" s="5640"/>
      <c r="N14" s="5640"/>
      <c r="O14" s="5640"/>
      <c r="P14" s="5641"/>
      <c r="Q14" s="64"/>
    </row>
    <row r="15" spans="1:22" ht="15" customHeight="1" x14ac:dyDescent="0.35">
      <c r="A15" s="5637" t="s">
        <v>267</v>
      </c>
      <c r="B15" s="5642"/>
      <c r="C15" s="5642"/>
      <c r="D15" s="5642"/>
      <c r="E15" s="5642"/>
      <c r="F15" s="5639">
        <v>8</v>
      </c>
      <c r="G15" s="5639"/>
      <c r="H15" s="5639"/>
      <c r="I15" s="5639"/>
      <c r="J15" s="5639"/>
      <c r="K15" s="5639"/>
      <c r="L15" s="5640"/>
      <c r="M15" s="5640"/>
      <c r="N15" s="5640"/>
      <c r="O15" s="5640"/>
      <c r="P15" s="5641"/>
      <c r="Q15" s="64"/>
    </row>
    <row r="16" spans="1:22" ht="15" customHeight="1" x14ac:dyDescent="0.35">
      <c r="A16" s="5637" t="s">
        <v>268</v>
      </c>
      <c r="B16" s="5642"/>
      <c r="C16" s="5642"/>
      <c r="D16" s="5642"/>
      <c r="E16" s="5642"/>
      <c r="F16" s="5639">
        <v>10</v>
      </c>
      <c r="G16" s="5639"/>
      <c r="H16" s="5639"/>
      <c r="I16" s="5639"/>
      <c r="J16" s="5639"/>
      <c r="K16" s="5639"/>
      <c r="L16" s="5640"/>
      <c r="M16" s="5640"/>
      <c r="N16" s="5640"/>
      <c r="O16" s="5640"/>
      <c r="P16" s="5641"/>
      <c r="Q16" s="64"/>
    </row>
    <row r="17" spans="1:17" ht="15" customHeight="1" x14ac:dyDescent="0.35">
      <c r="A17" s="5637" t="s">
        <v>269</v>
      </c>
      <c r="B17" s="5642"/>
      <c r="C17" s="5642"/>
      <c r="D17" s="5642"/>
      <c r="E17" s="5642"/>
      <c r="F17" s="5639">
        <v>8</v>
      </c>
      <c r="G17" s="5639"/>
      <c r="H17" s="5639"/>
      <c r="I17" s="5639"/>
      <c r="J17" s="5639"/>
      <c r="K17" s="5639"/>
      <c r="L17" s="5640"/>
      <c r="M17" s="5640"/>
      <c r="N17" s="5640"/>
      <c r="O17" s="5640"/>
      <c r="P17" s="5641"/>
      <c r="Q17" s="64"/>
    </row>
    <row r="18" spans="1:17" ht="6.75" customHeight="1" x14ac:dyDescent="0.35">
      <c r="A18" s="967"/>
      <c r="B18" s="968"/>
      <c r="C18" s="968"/>
      <c r="D18" s="968"/>
      <c r="E18" s="968"/>
      <c r="F18" s="5643">
        <v>0</v>
      </c>
      <c r="G18" s="5643"/>
      <c r="H18" s="5643">
        <v>0</v>
      </c>
      <c r="I18" s="5643"/>
      <c r="J18" s="5643">
        <v>0</v>
      </c>
      <c r="K18" s="5643"/>
      <c r="L18" s="5644"/>
      <c r="M18" s="5644"/>
      <c r="N18" s="5644"/>
      <c r="O18" s="5644"/>
      <c r="P18" s="5645"/>
      <c r="Q18" s="64"/>
    </row>
    <row r="19" spans="1:17" s="21" customFormat="1" ht="19.5" customHeight="1" x14ac:dyDescent="0.35">
      <c r="A19" s="5127" t="s">
        <v>282</v>
      </c>
      <c r="B19" s="5134"/>
      <c r="C19" s="5134"/>
      <c r="D19" s="5134"/>
      <c r="E19" s="5134"/>
      <c r="F19" s="5134"/>
      <c r="G19" s="5134"/>
      <c r="H19" s="5134"/>
      <c r="I19" s="5134"/>
      <c r="J19" s="5134"/>
      <c r="K19" s="5134"/>
      <c r="L19" s="5134"/>
      <c r="M19" s="5134"/>
      <c r="N19" s="5134"/>
      <c r="O19" s="5134"/>
      <c r="P19" s="5135"/>
      <c r="Q19" s="901"/>
    </row>
    <row r="20" spans="1:17" s="21" customFormat="1" ht="17.25" customHeight="1" x14ac:dyDescent="0.35">
      <c r="A20" s="5637" t="s">
        <v>270</v>
      </c>
      <c r="B20" s="5642"/>
      <c r="C20" s="5642"/>
      <c r="D20" s="5642"/>
      <c r="E20" s="5642"/>
      <c r="F20" s="5639">
        <v>7</v>
      </c>
      <c r="G20" s="5639"/>
      <c r="H20" s="5639"/>
      <c r="I20" s="5639"/>
      <c r="J20" s="5639"/>
      <c r="K20" s="5639"/>
      <c r="L20" s="5640"/>
      <c r="M20" s="5640"/>
      <c r="N20" s="5640"/>
      <c r="O20" s="5640"/>
      <c r="P20" s="5641"/>
      <c r="Q20" s="901"/>
    </row>
    <row r="21" spans="1:17" s="21" customFormat="1" ht="15" customHeight="1" x14ac:dyDescent="0.35">
      <c r="A21" s="5646" t="s">
        <v>620</v>
      </c>
      <c r="B21" s="5642"/>
      <c r="C21" s="5642"/>
      <c r="D21" s="5642"/>
      <c r="E21" s="5642"/>
      <c r="F21" s="5639">
        <v>8</v>
      </c>
      <c r="G21" s="5639"/>
      <c r="H21" s="5639"/>
      <c r="I21" s="5639"/>
      <c r="J21" s="5639"/>
      <c r="K21" s="5639"/>
      <c r="L21" s="5640"/>
      <c r="M21" s="5640"/>
      <c r="N21" s="5640"/>
      <c r="O21" s="5640"/>
      <c r="P21" s="5641"/>
      <c r="Q21" s="901"/>
    </row>
    <row r="22" spans="1:17" ht="15" customHeight="1" x14ac:dyDescent="0.35">
      <c r="A22" s="5646" t="s">
        <v>271</v>
      </c>
      <c r="B22" s="5642"/>
      <c r="C22" s="5642"/>
      <c r="D22" s="5642"/>
      <c r="E22" s="5642"/>
      <c r="F22" s="5639">
        <v>8</v>
      </c>
      <c r="G22" s="5639"/>
      <c r="H22" s="5639"/>
      <c r="I22" s="5639"/>
      <c r="J22" s="5639"/>
      <c r="K22" s="5639"/>
      <c r="L22" s="5640"/>
      <c r="M22" s="5640"/>
      <c r="N22" s="5640"/>
      <c r="O22" s="5640"/>
      <c r="P22" s="5641"/>
      <c r="Q22" s="64"/>
    </row>
    <row r="23" spans="1:17" ht="15" customHeight="1" x14ac:dyDescent="0.35">
      <c r="A23" s="5646" t="s">
        <v>272</v>
      </c>
      <c r="B23" s="5642"/>
      <c r="C23" s="5642"/>
      <c r="D23" s="5642"/>
      <c r="E23" s="5642"/>
      <c r="F23" s="5639">
        <v>10</v>
      </c>
      <c r="G23" s="5639"/>
      <c r="H23" s="5639"/>
      <c r="I23" s="5639"/>
      <c r="J23" s="5639"/>
      <c r="K23" s="5639"/>
      <c r="L23" s="5640"/>
      <c r="M23" s="5640"/>
      <c r="N23" s="5640"/>
      <c r="O23" s="5640"/>
      <c r="P23" s="5641"/>
      <c r="Q23" s="64"/>
    </row>
    <row r="24" spans="1:17" ht="15" customHeight="1" x14ac:dyDescent="0.35">
      <c r="A24" s="5637" t="s">
        <v>273</v>
      </c>
      <c r="B24" s="5642"/>
      <c r="C24" s="5642"/>
      <c r="D24" s="5642"/>
      <c r="E24" s="5642"/>
      <c r="F24" s="5639">
        <v>7</v>
      </c>
      <c r="G24" s="5639"/>
      <c r="H24" s="5639"/>
      <c r="I24" s="5639"/>
      <c r="J24" s="5639"/>
      <c r="K24" s="5639"/>
      <c r="L24" s="5640"/>
      <c r="M24" s="5640"/>
      <c r="N24" s="5640"/>
      <c r="O24" s="5640"/>
      <c r="P24" s="5641"/>
      <c r="Q24" s="64"/>
    </row>
    <row r="25" spans="1:17" ht="15" customHeight="1" x14ac:dyDescent="0.35">
      <c r="A25" s="5637" t="s">
        <v>274</v>
      </c>
      <c r="B25" s="5642"/>
      <c r="C25" s="5642"/>
      <c r="D25" s="5642"/>
      <c r="E25" s="5642"/>
      <c r="F25" s="5639">
        <v>4</v>
      </c>
      <c r="G25" s="5639"/>
      <c r="H25" s="5639"/>
      <c r="I25" s="5639"/>
      <c r="J25" s="5639"/>
      <c r="K25" s="5639"/>
      <c r="L25" s="5640"/>
      <c r="M25" s="5640"/>
      <c r="N25" s="5640"/>
      <c r="O25" s="5640"/>
      <c r="P25" s="5641"/>
      <c r="Q25" s="64"/>
    </row>
    <row r="26" spans="1:17" ht="15" customHeight="1" x14ac:dyDescent="0.35">
      <c r="A26" s="5637" t="s">
        <v>275</v>
      </c>
      <c r="B26" s="5642"/>
      <c r="C26" s="5642"/>
      <c r="D26" s="5642"/>
      <c r="E26" s="5642"/>
      <c r="F26" s="5639">
        <v>6</v>
      </c>
      <c r="G26" s="5639"/>
      <c r="H26" s="5639"/>
      <c r="I26" s="5639"/>
      <c r="J26" s="5639"/>
      <c r="K26" s="5639"/>
      <c r="L26" s="5640"/>
      <c r="M26" s="5640"/>
      <c r="N26" s="5640"/>
      <c r="O26" s="5640"/>
      <c r="P26" s="5641"/>
      <c r="Q26" s="64"/>
    </row>
    <row r="27" spans="1:17" ht="15" customHeight="1" x14ac:dyDescent="0.35">
      <c r="A27" s="5637" t="s">
        <v>276</v>
      </c>
      <c r="B27" s="5642"/>
      <c r="C27" s="5642"/>
      <c r="D27" s="5642"/>
      <c r="E27" s="5642"/>
      <c r="F27" s="5639">
        <v>2</v>
      </c>
      <c r="G27" s="5639"/>
      <c r="H27" s="5639"/>
      <c r="I27" s="5639"/>
      <c r="J27" s="5639"/>
      <c r="K27" s="5639"/>
      <c r="L27" s="5640"/>
      <c r="M27" s="5640"/>
      <c r="N27" s="5640"/>
      <c r="O27" s="5640"/>
      <c r="P27" s="5641"/>
      <c r="Q27" s="64"/>
    </row>
    <row r="28" spans="1:17" ht="15" customHeight="1" x14ac:dyDescent="0.35">
      <c r="A28" s="5637" t="s">
        <v>277</v>
      </c>
      <c r="B28" s="5642"/>
      <c r="C28" s="5642"/>
      <c r="D28" s="5642"/>
      <c r="E28" s="5642"/>
      <c r="F28" s="5639">
        <v>8</v>
      </c>
      <c r="G28" s="5639"/>
      <c r="H28" s="5639"/>
      <c r="I28" s="5639"/>
      <c r="J28" s="5639"/>
      <c r="K28" s="5639"/>
      <c r="L28" s="5640"/>
      <c r="M28" s="5640"/>
      <c r="N28" s="5640"/>
      <c r="O28" s="5640"/>
      <c r="P28" s="5641"/>
      <c r="Q28" s="64"/>
    </row>
    <row r="29" spans="1:17" ht="15" customHeight="1" x14ac:dyDescent="0.35">
      <c r="A29" s="5637" t="s">
        <v>278</v>
      </c>
      <c r="B29" s="5642"/>
      <c r="C29" s="5642"/>
      <c r="D29" s="5642"/>
      <c r="E29" s="5642"/>
      <c r="F29" s="5639">
        <v>8</v>
      </c>
      <c r="G29" s="5639"/>
      <c r="H29" s="5639"/>
      <c r="I29" s="5639"/>
      <c r="J29" s="5639"/>
      <c r="K29" s="5639"/>
      <c r="L29" s="5640"/>
      <c r="M29" s="5640"/>
      <c r="N29" s="5640"/>
      <c r="O29" s="5640"/>
      <c r="P29" s="5641"/>
      <c r="Q29" s="64"/>
    </row>
    <row r="30" spans="1:17" ht="15" customHeight="1" x14ac:dyDescent="0.35">
      <c r="A30" s="5637" t="s">
        <v>279</v>
      </c>
      <c r="B30" s="5642"/>
      <c r="C30" s="5642"/>
      <c r="D30" s="5642"/>
      <c r="E30" s="5642"/>
      <c r="F30" s="5639">
        <v>6</v>
      </c>
      <c r="G30" s="5639"/>
      <c r="H30" s="5639"/>
      <c r="I30" s="5639"/>
      <c r="J30" s="5639"/>
      <c r="K30" s="5639"/>
      <c r="L30" s="5640"/>
      <c r="M30" s="5640"/>
      <c r="N30" s="5640"/>
      <c r="O30" s="5640"/>
      <c r="P30" s="5641"/>
      <c r="Q30" s="64"/>
    </row>
    <row r="31" spans="1:17" ht="15" customHeight="1" x14ac:dyDescent="0.35">
      <c r="A31" s="5637" t="s">
        <v>280</v>
      </c>
      <c r="B31" s="5642"/>
      <c r="C31" s="5642"/>
      <c r="D31" s="5642"/>
      <c r="E31" s="5642"/>
      <c r="F31" s="5639">
        <v>10</v>
      </c>
      <c r="G31" s="5639"/>
      <c r="H31" s="5639"/>
      <c r="I31" s="5639"/>
      <c r="J31" s="5639"/>
      <c r="K31" s="5639"/>
      <c r="L31" s="5640"/>
      <c r="M31" s="5640"/>
      <c r="N31" s="5640"/>
      <c r="O31" s="5640"/>
      <c r="P31" s="5641"/>
      <c r="Q31" s="64"/>
    </row>
    <row r="32" spans="1:17" ht="15" customHeight="1" x14ac:dyDescent="0.35">
      <c r="A32" s="5637" t="s">
        <v>281</v>
      </c>
      <c r="B32" s="5642"/>
      <c r="C32" s="5642"/>
      <c r="D32" s="5642"/>
      <c r="E32" s="5642"/>
      <c r="F32" s="5639">
        <v>10</v>
      </c>
      <c r="G32" s="5639"/>
      <c r="H32" s="5639"/>
      <c r="I32" s="5639"/>
      <c r="J32" s="5639"/>
      <c r="K32" s="5639"/>
      <c r="L32" s="5640"/>
      <c r="M32" s="5640"/>
      <c r="N32" s="5640"/>
      <c r="O32" s="5640"/>
      <c r="P32" s="5641"/>
      <c r="Q32" s="64"/>
    </row>
    <row r="33" spans="1:17" ht="6.75" customHeight="1" x14ac:dyDescent="0.35">
      <c r="A33" s="5647"/>
      <c r="B33" s="5648"/>
      <c r="C33" s="5648"/>
      <c r="D33" s="5648"/>
      <c r="E33" s="5648"/>
      <c r="F33" s="5643">
        <v>0</v>
      </c>
      <c r="G33" s="5643"/>
      <c r="H33" s="5643">
        <v>0</v>
      </c>
      <c r="I33" s="5643"/>
      <c r="J33" s="5643">
        <v>0</v>
      </c>
      <c r="K33" s="5643"/>
      <c r="L33" s="5644"/>
      <c r="M33" s="5644"/>
      <c r="N33" s="5644"/>
      <c r="O33" s="5644"/>
      <c r="P33" s="5645"/>
      <c r="Q33" s="64"/>
    </row>
    <row r="34" spans="1:17" s="21" customFormat="1" ht="19.5" customHeight="1" x14ac:dyDescent="0.35">
      <c r="A34" s="5118" t="s">
        <v>621</v>
      </c>
      <c r="B34" s="5119"/>
      <c r="C34" s="5119"/>
      <c r="D34" s="5119"/>
      <c r="E34" s="5119"/>
      <c r="F34" s="5119"/>
      <c r="G34" s="5119"/>
      <c r="H34" s="5119"/>
      <c r="I34" s="5119"/>
      <c r="J34" s="5119"/>
      <c r="K34" s="5119"/>
      <c r="L34" s="5119"/>
      <c r="M34" s="5119"/>
      <c r="N34" s="5119"/>
      <c r="O34" s="5119"/>
      <c r="P34" s="5120"/>
      <c r="Q34" s="901"/>
    </row>
    <row r="35" spans="1:17" ht="15" customHeight="1" x14ac:dyDescent="0.35">
      <c r="A35" s="5637" t="s">
        <v>624</v>
      </c>
      <c r="B35" s="5642"/>
      <c r="C35" s="5642"/>
      <c r="D35" s="5642"/>
      <c r="E35" s="5642"/>
      <c r="F35" s="5639">
        <v>8</v>
      </c>
      <c r="G35" s="5639"/>
      <c r="H35" s="5639"/>
      <c r="I35" s="5639"/>
      <c r="J35" s="5639"/>
      <c r="K35" s="5639"/>
      <c r="L35" s="5640"/>
      <c r="M35" s="5640"/>
      <c r="N35" s="5640"/>
      <c r="O35" s="5640"/>
      <c r="P35" s="5641"/>
      <c r="Q35" s="64"/>
    </row>
    <row r="36" spans="1:17" ht="15" customHeight="1" x14ac:dyDescent="0.35">
      <c r="A36" s="5637" t="s">
        <v>622</v>
      </c>
      <c r="B36" s="5642"/>
      <c r="C36" s="5642"/>
      <c r="D36" s="5642"/>
      <c r="E36" s="5642"/>
      <c r="F36" s="5639">
        <v>7</v>
      </c>
      <c r="G36" s="5639"/>
      <c r="H36" s="5639"/>
      <c r="I36" s="5639"/>
      <c r="J36" s="5639"/>
      <c r="K36" s="5639"/>
      <c r="L36" s="5640"/>
      <c r="M36" s="5640"/>
      <c r="N36" s="5640"/>
      <c r="O36" s="5640"/>
      <c r="P36" s="5641"/>
      <c r="Q36" s="64"/>
    </row>
    <row r="37" spans="1:17" ht="15" customHeight="1" x14ac:dyDescent="0.35">
      <c r="A37" s="5637" t="s">
        <v>623</v>
      </c>
      <c r="B37" s="5642"/>
      <c r="C37" s="5642"/>
      <c r="D37" s="5642"/>
      <c r="E37" s="5642"/>
      <c r="F37" s="5639">
        <v>7</v>
      </c>
      <c r="G37" s="5639"/>
      <c r="H37" s="5639"/>
      <c r="I37" s="5639"/>
      <c r="J37" s="5639"/>
      <c r="K37" s="5639"/>
      <c r="L37" s="5640"/>
      <c r="M37" s="5640"/>
      <c r="N37" s="5640"/>
      <c r="O37" s="5640"/>
      <c r="P37" s="5641"/>
      <c r="Q37" s="64"/>
    </row>
    <row r="38" spans="1:17" ht="15" customHeight="1" x14ac:dyDescent="0.35">
      <c r="A38" s="5637" t="s">
        <v>626</v>
      </c>
      <c r="B38" s="5642"/>
      <c r="C38" s="5642"/>
      <c r="D38" s="5642"/>
      <c r="E38" s="5642"/>
      <c r="F38" s="5639">
        <v>6</v>
      </c>
      <c r="G38" s="5639"/>
      <c r="H38" s="5639"/>
      <c r="I38" s="5639"/>
      <c r="J38" s="5639"/>
      <c r="K38" s="5639"/>
      <c r="L38" s="5640"/>
      <c r="M38" s="5640"/>
      <c r="N38" s="5640"/>
      <c r="O38" s="5640"/>
      <c r="P38" s="5641"/>
      <c r="Q38" s="64"/>
    </row>
    <row r="39" spans="1:17" ht="15" customHeight="1" x14ac:dyDescent="0.35">
      <c r="A39" s="5649" t="s">
        <v>625</v>
      </c>
      <c r="B39" s="5642"/>
      <c r="C39" s="5642"/>
      <c r="D39" s="5642"/>
      <c r="E39" s="5642"/>
      <c r="F39" s="5639">
        <v>10</v>
      </c>
      <c r="G39" s="5639"/>
      <c r="H39" s="5639"/>
      <c r="I39" s="5639"/>
      <c r="J39" s="5639"/>
      <c r="K39" s="5639"/>
      <c r="L39" s="5640"/>
      <c r="M39" s="5640"/>
      <c r="N39" s="5640"/>
      <c r="O39" s="5640"/>
      <c r="P39" s="5641"/>
      <c r="Q39" s="64"/>
    </row>
    <row r="40" spans="1:17" ht="6.75" customHeight="1" thickBot="1" x14ac:dyDescent="0.4">
      <c r="A40" s="5650"/>
      <c r="B40" s="5651"/>
      <c r="C40" s="5651"/>
      <c r="D40" s="5651"/>
      <c r="E40" s="5651"/>
      <c r="F40" s="5652">
        <v>0</v>
      </c>
      <c r="G40" s="5652"/>
      <c r="H40" s="5652">
        <v>0</v>
      </c>
      <c r="I40" s="5652"/>
      <c r="J40" s="5652">
        <v>0</v>
      </c>
      <c r="K40" s="5652"/>
      <c r="L40" s="5653"/>
      <c r="M40" s="5653"/>
      <c r="N40" s="5653"/>
      <c r="O40" s="5653"/>
      <c r="P40" s="5654"/>
      <c r="Q40" s="64"/>
    </row>
    <row r="41" spans="1:17" s="66" customFormat="1" ht="15" customHeight="1" thickTop="1" x14ac:dyDescent="0.35">
      <c r="A41" s="963"/>
      <c r="B41" s="964"/>
      <c r="C41" s="964"/>
      <c r="D41" s="964"/>
      <c r="E41" s="964"/>
      <c r="F41" s="5666">
        <f>SUM(F10:G40)</f>
        <v>203</v>
      </c>
      <c r="G41" s="5667"/>
      <c r="H41" s="5667">
        <f>SUM(H10:I40)</f>
        <v>0</v>
      </c>
      <c r="I41" s="5667"/>
      <c r="J41" s="5667">
        <f>SUM(J10:K40)</f>
        <v>0</v>
      </c>
      <c r="K41" s="5668"/>
      <c r="L41" s="965"/>
      <c r="M41" s="965"/>
      <c r="N41" s="965"/>
      <c r="O41" s="965"/>
      <c r="P41" s="965"/>
      <c r="Q41" s="397"/>
    </row>
    <row r="42" spans="1:17" s="66" customFormat="1" ht="15" customHeight="1" thickBot="1" x14ac:dyDescent="0.4">
      <c r="A42" s="963"/>
      <c r="B42" s="964"/>
      <c r="C42" s="964"/>
      <c r="D42" s="964"/>
      <c r="E42" s="964"/>
      <c r="F42" s="5669">
        <f>SUM(F10:G40)/26</f>
        <v>7.8076923076923075</v>
      </c>
      <c r="G42" s="5670"/>
      <c r="H42" s="5670">
        <f>SUM(H10:I40)/26</f>
        <v>0</v>
      </c>
      <c r="I42" s="5670"/>
      <c r="J42" s="5670">
        <f>SUM(J10:K40)/26</f>
        <v>0</v>
      </c>
      <c r="K42" s="5671"/>
      <c r="L42" s="965"/>
      <c r="M42" s="965"/>
      <c r="N42" s="965"/>
      <c r="O42" s="965"/>
      <c r="P42" s="965"/>
      <c r="Q42" s="397"/>
    </row>
    <row r="43" spans="1:17" s="66" customFormat="1" ht="15" customHeight="1" thickTop="1" x14ac:dyDescent="0.35">
      <c r="A43" s="963"/>
      <c r="B43" s="964"/>
      <c r="C43" s="964"/>
      <c r="D43" s="964"/>
      <c r="E43" s="964"/>
      <c r="F43" s="966"/>
      <c r="G43" s="966"/>
      <c r="H43" s="966"/>
      <c r="I43" s="966"/>
      <c r="J43" s="966"/>
      <c r="K43" s="966"/>
      <c r="L43" s="965"/>
      <c r="M43" s="965"/>
      <c r="N43" s="965"/>
      <c r="O43" s="965"/>
      <c r="P43" s="965"/>
      <c r="Q43" s="397"/>
    </row>
    <row r="44" spans="1:17" s="66" customFormat="1" ht="15" customHeight="1" x14ac:dyDescent="0.35">
      <c r="A44" s="963"/>
      <c r="B44" s="964"/>
      <c r="C44" s="964"/>
      <c r="D44" s="964"/>
      <c r="E44" s="964"/>
      <c r="F44" s="966"/>
      <c r="G44" s="966"/>
      <c r="H44" s="966"/>
      <c r="I44" s="966"/>
      <c r="J44" s="966"/>
      <c r="K44" s="966"/>
      <c r="L44" s="965"/>
      <c r="M44" s="965"/>
      <c r="N44" s="965"/>
      <c r="O44" s="965"/>
      <c r="P44" s="965"/>
      <c r="Q44" s="397"/>
    </row>
    <row r="45" spans="1:17" s="66" customFormat="1" ht="15" customHeight="1" x14ac:dyDescent="0.35">
      <c r="A45" s="963"/>
      <c r="B45" s="964"/>
      <c r="C45" s="964"/>
      <c r="D45" s="964"/>
      <c r="E45" s="964"/>
      <c r="F45" s="966"/>
      <c r="G45" s="966"/>
      <c r="H45" s="966"/>
      <c r="I45" s="966"/>
      <c r="J45" s="966"/>
      <c r="K45" s="966"/>
      <c r="L45" s="965"/>
      <c r="M45" s="965"/>
      <c r="N45" s="965"/>
      <c r="O45" s="965"/>
      <c r="P45" s="965"/>
      <c r="Q45" s="397"/>
    </row>
    <row r="46" spans="1:17" ht="13.5" customHeight="1" x14ac:dyDescent="0.35">
      <c r="A46" s="902"/>
      <c r="B46" s="764"/>
      <c r="C46" s="764"/>
      <c r="D46" s="764"/>
      <c r="E46" s="764"/>
      <c r="F46" s="466"/>
      <c r="G46" s="466"/>
      <c r="H46" s="466"/>
      <c r="I46" s="466"/>
      <c r="J46" s="466"/>
      <c r="K46" s="466"/>
      <c r="L46" s="466"/>
      <c r="M46" s="466"/>
      <c r="N46" s="466"/>
      <c r="O46" s="466"/>
      <c r="P46" s="466"/>
      <c r="Q46" s="64"/>
    </row>
    <row r="47" spans="1:17" ht="15" thickBot="1" x14ac:dyDescent="0.4">
      <c r="A47" s="64"/>
      <c r="B47" s="64"/>
      <c r="C47" s="64"/>
      <c r="D47" s="64"/>
      <c r="E47" s="64"/>
      <c r="F47" s="64"/>
      <c r="G47" s="64"/>
      <c r="H47" s="64"/>
      <c r="I47" s="64"/>
      <c r="J47" s="64"/>
      <c r="K47" s="64"/>
      <c r="L47" s="64"/>
      <c r="M47" s="64"/>
      <c r="N47" s="64"/>
      <c r="O47" s="64"/>
      <c r="P47" s="64"/>
      <c r="Q47" s="64"/>
    </row>
    <row r="48" spans="1:17" ht="19" thickBot="1" x14ac:dyDescent="0.4">
      <c r="A48" s="5664" t="s">
        <v>10</v>
      </c>
      <c r="B48" s="5664"/>
      <c r="C48" s="5664"/>
      <c r="D48" s="5664"/>
      <c r="E48" s="5664"/>
      <c r="F48" s="5664"/>
      <c r="G48" s="5664"/>
      <c r="H48" s="5664"/>
      <c r="I48" s="5664"/>
      <c r="J48" s="5664"/>
      <c r="K48" s="5665"/>
      <c r="L48" s="157"/>
      <c r="M48" s="3725" t="s">
        <v>748</v>
      </c>
      <c r="N48" s="3726"/>
      <c r="O48" s="3727"/>
      <c r="P48" s="31"/>
      <c r="Q48" s="64"/>
    </row>
    <row r="49" spans="1:17" ht="20.25" customHeight="1" x14ac:dyDescent="0.35">
      <c r="A49" s="5655" t="s">
        <v>628</v>
      </c>
      <c r="B49" s="5656"/>
      <c r="C49" s="5656"/>
      <c r="D49" s="5656"/>
      <c r="E49" s="5656"/>
      <c r="F49" s="5656"/>
      <c r="G49" s="5656"/>
      <c r="H49" s="5656"/>
      <c r="I49" s="5656"/>
      <c r="J49" s="5656"/>
      <c r="K49" s="5657"/>
      <c r="L49" s="38"/>
      <c r="M49" s="4593" t="s">
        <v>829</v>
      </c>
      <c r="N49" s="4594"/>
      <c r="O49" s="4595"/>
      <c r="P49" s="33"/>
      <c r="Q49" s="64"/>
    </row>
    <row r="50" spans="1:17" ht="20.25" customHeight="1" x14ac:dyDescent="0.35">
      <c r="A50" s="5658"/>
      <c r="B50" s="5659"/>
      <c r="C50" s="5659"/>
      <c r="D50" s="5659"/>
      <c r="E50" s="5659"/>
      <c r="F50" s="5659"/>
      <c r="G50" s="5659"/>
      <c r="H50" s="5659"/>
      <c r="I50" s="5659"/>
      <c r="J50" s="5659"/>
      <c r="K50" s="5660"/>
      <c r="L50" s="38"/>
      <c r="M50" s="4596"/>
      <c r="N50" s="4597"/>
      <c r="O50" s="4598"/>
      <c r="P50" s="33"/>
      <c r="Q50" s="64"/>
    </row>
    <row r="51" spans="1:17" ht="20.25" customHeight="1" x14ac:dyDescent="0.35">
      <c r="A51" s="5658"/>
      <c r="B51" s="5659"/>
      <c r="C51" s="5659"/>
      <c r="D51" s="5659"/>
      <c r="E51" s="5659"/>
      <c r="F51" s="5659"/>
      <c r="G51" s="5659"/>
      <c r="H51" s="5659"/>
      <c r="I51" s="5659"/>
      <c r="J51" s="5659"/>
      <c r="K51" s="5660"/>
      <c r="L51" s="38"/>
      <c r="M51" s="4596"/>
      <c r="N51" s="4597"/>
      <c r="O51" s="4598"/>
      <c r="P51" s="33"/>
      <c r="Q51" s="64"/>
    </row>
    <row r="52" spans="1:17" ht="20.25" customHeight="1" thickBot="1" x14ac:dyDescent="0.4">
      <c r="A52" s="5661"/>
      <c r="B52" s="5662"/>
      <c r="C52" s="5662"/>
      <c r="D52" s="5662"/>
      <c r="E52" s="5662"/>
      <c r="F52" s="5662"/>
      <c r="G52" s="5662"/>
      <c r="H52" s="5662"/>
      <c r="I52" s="5662"/>
      <c r="J52" s="5662"/>
      <c r="K52" s="5663"/>
      <c r="L52" s="38"/>
      <c r="M52" s="4599"/>
      <c r="N52" s="4600"/>
      <c r="O52" s="4601"/>
      <c r="P52" s="33"/>
      <c r="Q52" s="64"/>
    </row>
    <row r="53" spans="1:17" ht="15" thickBot="1" x14ac:dyDescent="0.4">
      <c r="A53" s="64"/>
      <c r="B53" s="64"/>
      <c r="C53" s="64"/>
      <c r="D53" s="64"/>
      <c r="E53" s="64"/>
      <c r="F53" s="64"/>
      <c r="G53" s="64"/>
      <c r="H53" s="64"/>
      <c r="I53" s="64"/>
      <c r="J53" s="64"/>
      <c r="K53" s="64"/>
      <c r="L53" s="64"/>
      <c r="M53" s="31"/>
      <c r="N53" s="31"/>
      <c r="O53" s="31"/>
      <c r="P53" s="64"/>
      <c r="Q53" s="64"/>
    </row>
    <row r="54" spans="1:17" ht="19" thickBot="1" x14ac:dyDescent="0.4">
      <c r="A54" s="5664" t="s">
        <v>11</v>
      </c>
      <c r="B54" s="5664"/>
      <c r="C54" s="5664"/>
      <c r="D54" s="5664"/>
      <c r="E54" s="5664"/>
      <c r="F54" s="5664"/>
      <c r="G54" s="5664"/>
      <c r="H54" s="5664"/>
      <c r="I54" s="5664"/>
      <c r="J54" s="5664"/>
      <c r="K54" s="5665"/>
      <c r="L54" s="157"/>
      <c r="M54" s="3725" t="s">
        <v>748</v>
      </c>
      <c r="N54" s="3726"/>
      <c r="O54" s="3727"/>
      <c r="P54" s="31"/>
      <c r="Q54" s="64"/>
    </row>
    <row r="55" spans="1:17" ht="20.25" customHeight="1" x14ac:dyDescent="0.35">
      <c r="A55" s="5655" t="s">
        <v>831</v>
      </c>
      <c r="B55" s="5656"/>
      <c r="C55" s="5656"/>
      <c r="D55" s="5656"/>
      <c r="E55" s="5656"/>
      <c r="F55" s="5656"/>
      <c r="G55" s="5656"/>
      <c r="H55" s="5656"/>
      <c r="I55" s="5656"/>
      <c r="J55" s="5656"/>
      <c r="K55" s="5657"/>
      <c r="L55" s="38"/>
      <c r="M55" s="4593" t="s">
        <v>830</v>
      </c>
      <c r="N55" s="4594"/>
      <c r="O55" s="4595"/>
      <c r="P55" s="33"/>
      <c r="Q55" s="64"/>
    </row>
    <row r="56" spans="1:17" ht="20.25" customHeight="1" x14ac:dyDescent="0.35">
      <c r="A56" s="5658"/>
      <c r="B56" s="5659"/>
      <c r="C56" s="5659"/>
      <c r="D56" s="5659"/>
      <c r="E56" s="5659"/>
      <c r="F56" s="5659"/>
      <c r="G56" s="5659"/>
      <c r="H56" s="5659"/>
      <c r="I56" s="5659"/>
      <c r="J56" s="5659"/>
      <c r="K56" s="5660"/>
      <c r="L56" s="38"/>
      <c r="M56" s="4596"/>
      <c r="N56" s="4597"/>
      <c r="O56" s="4598"/>
      <c r="P56" s="33"/>
      <c r="Q56" s="64"/>
    </row>
    <row r="57" spans="1:17" ht="20.25" customHeight="1" x14ac:dyDescent="0.35">
      <c r="A57" s="5658"/>
      <c r="B57" s="5659"/>
      <c r="C57" s="5659"/>
      <c r="D57" s="5659"/>
      <c r="E57" s="5659"/>
      <c r="F57" s="5659"/>
      <c r="G57" s="5659"/>
      <c r="H57" s="5659"/>
      <c r="I57" s="5659"/>
      <c r="J57" s="5659"/>
      <c r="K57" s="5660"/>
      <c r="L57" s="38"/>
      <c r="M57" s="4596"/>
      <c r="N57" s="4597"/>
      <c r="O57" s="4598"/>
      <c r="P57" s="33"/>
      <c r="Q57" s="64"/>
    </row>
    <row r="58" spans="1:17" ht="20.25" customHeight="1" thickBot="1" x14ac:dyDescent="0.4">
      <c r="A58" s="5661"/>
      <c r="B58" s="5662"/>
      <c r="C58" s="5662"/>
      <c r="D58" s="5662"/>
      <c r="E58" s="5662"/>
      <c r="F58" s="5662"/>
      <c r="G58" s="5662"/>
      <c r="H58" s="5662"/>
      <c r="I58" s="5662"/>
      <c r="J58" s="5662"/>
      <c r="K58" s="5663"/>
      <c r="L58" s="38"/>
      <c r="M58" s="4599"/>
      <c r="N58" s="4600"/>
      <c r="O58" s="4601"/>
      <c r="P58" s="33"/>
      <c r="Q58" s="64"/>
    </row>
    <row r="59" spans="1:17" x14ac:dyDescent="0.35">
      <c r="A59" s="64"/>
      <c r="B59" s="64"/>
      <c r="C59" s="64"/>
      <c r="D59" s="64"/>
      <c r="E59" s="64"/>
      <c r="F59" s="64"/>
      <c r="G59" s="64"/>
      <c r="H59" s="64"/>
      <c r="I59" s="64"/>
      <c r="J59" s="64"/>
      <c r="K59" s="64"/>
      <c r="L59" s="64"/>
      <c r="M59" s="64"/>
      <c r="N59" s="64"/>
      <c r="O59" s="64"/>
      <c r="P59" s="64"/>
      <c r="Q59" s="64"/>
    </row>
    <row r="60" spans="1:17" x14ac:dyDescent="0.35">
      <c r="A60" s="64"/>
      <c r="B60" s="64"/>
      <c r="C60" s="64"/>
      <c r="D60" s="64"/>
      <c r="E60" s="64"/>
      <c r="F60" s="64"/>
      <c r="G60" s="64"/>
      <c r="H60" s="64"/>
      <c r="I60" s="64"/>
      <c r="J60" s="64"/>
      <c r="K60" s="64"/>
      <c r="L60" s="64"/>
      <c r="M60" s="64"/>
      <c r="N60" s="64"/>
      <c r="O60" s="64"/>
      <c r="P60" s="64"/>
      <c r="Q60" s="64"/>
    </row>
    <row r="61" spans="1:17" x14ac:dyDescent="0.35">
      <c r="A61" s="64"/>
      <c r="B61" s="64"/>
      <c r="C61" s="64"/>
      <c r="D61" s="64"/>
      <c r="E61" s="64"/>
      <c r="F61" s="64"/>
      <c r="G61" s="64"/>
      <c r="H61" s="64"/>
      <c r="I61" s="64"/>
      <c r="J61" s="64"/>
      <c r="K61" s="64"/>
      <c r="L61" s="64"/>
      <c r="M61" s="64"/>
      <c r="N61" s="64"/>
      <c r="O61" s="64"/>
      <c r="P61" s="64"/>
      <c r="Q61" s="64"/>
    </row>
    <row r="62" spans="1:17" x14ac:dyDescent="0.35">
      <c r="A62" s="64"/>
      <c r="B62" s="64"/>
      <c r="C62" s="64"/>
      <c r="D62" s="64"/>
      <c r="E62" s="64"/>
      <c r="F62" s="64"/>
      <c r="G62" s="64"/>
      <c r="H62" s="64"/>
      <c r="I62" s="64"/>
      <c r="J62" s="64"/>
      <c r="K62" s="64"/>
      <c r="L62" s="64"/>
      <c r="M62" s="64"/>
      <c r="N62" s="64"/>
      <c r="O62" s="64"/>
      <c r="P62" s="64"/>
      <c r="Q62" s="64"/>
    </row>
    <row r="63" spans="1:17" x14ac:dyDescent="0.35">
      <c r="A63" s="64"/>
      <c r="B63" s="64"/>
      <c r="C63" s="64"/>
      <c r="D63" s="64"/>
      <c r="E63" s="64"/>
      <c r="F63" s="64"/>
      <c r="G63" s="64"/>
      <c r="H63" s="64"/>
      <c r="I63" s="64"/>
      <c r="J63" s="64"/>
      <c r="K63" s="64"/>
      <c r="L63" s="64"/>
      <c r="M63" s="64"/>
      <c r="N63" s="64"/>
      <c r="O63" s="64"/>
      <c r="P63" s="64"/>
      <c r="Q63" s="64"/>
    </row>
    <row r="64" spans="1:17" x14ac:dyDescent="0.35">
      <c r="A64" s="64"/>
      <c r="B64" s="64"/>
      <c r="C64" s="64"/>
      <c r="D64" s="64"/>
      <c r="E64" s="64"/>
      <c r="F64" s="64"/>
      <c r="G64" s="64"/>
      <c r="H64" s="64"/>
      <c r="I64" s="64"/>
      <c r="J64" s="64"/>
      <c r="K64" s="64"/>
      <c r="L64" s="64"/>
      <c r="M64" s="64"/>
      <c r="N64" s="64"/>
      <c r="O64" s="64"/>
      <c r="P64" s="64"/>
      <c r="Q64" s="64"/>
    </row>
    <row r="65" spans="1:17" x14ac:dyDescent="0.35">
      <c r="A65" s="64"/>
      <c r="B65" s="64"/>
      <c r="C65" s="64"/>
      <c r="D65" s="64"/>
      <c r="E65" s="64"/>
      <c r="F65" s="64"/>
      <c r="G65" s="64"/>
      <c r="H65" s="64"/>
      <c r="I65" s="64"/>
      <c r="J65" s="64"/>
      <c r="K65" s="64"/>
      <c r="L65" s="64"/>
      <c r="M65" s="64"/>
      <c r="N65" s="64"/>
      <c r="O65" s="64"/>
      <c r="P65" s="64"/>
      <c r="Q65" s="64"/>
    </row>
    <row r="66" spans="1:17" x14ac:dyDescent="0.35">
      <c r="A66" s="64"/>
      <c r="B66" s="64"/>
      <c r="C66" s="64"/>
      <c r="D66" s="64"/>
      <c r="E66" s="64"/>
      <c r="F66" s="64"/>
      <c r="G66" s="64"/>
      <c r="H66" s="64"/>
      <c r="I66" s="64"/>
      <c r="J66" s="64"/>
      <c r="K66" s="64"/>
      <c r="L66" s="64"/>
      <c r="M66" s="64"/>
      <c r="N66" s="64"/>
      <c r="O66" s="64"/>
      <c r="P66" s="64"/>
      <c r="Q66" s="64"/>
    </row>
    <row r="67" spans="1:17" x14ac:dyDescent="0.35">
      <c r="A67" s="64"/>
      <c r="B67" s="64"/>
      <c r="C67" s="64"/>
      <c r="D67" s="64"/>
      <c r="E67" s="64"/>
      <c r="F67" s="64"/>
      <c r="G67" s="64"/>
      <c r="H67" s="64"/>
      <c r="I67" s="64"/>
      <c r="J67" s="64"/>
      <c r="K67" s="64"/>
      <c r="L67" s="64"/>
      <c r="M67" s="64"/>
      <c r="N67" s="64"/>
      <c r="O67" s="64"/>
      <c r="P67" s="64"/>
      <c r="Q67" s="64"/>
    </row>
    <row r="68" spans="1:17" x14ac:dyDescent="0.35">
      <c r="A68" s="64"/>
      <c r="B68" s="64"/>
      <c r="C68" s="64"/>
      <c r="D68" s="64"/>
      <c r="E68" s="64"/>
      <c r="F68" s="64"/>
      <c r="G68" s="64"/>
      <c r="H68" s="64"/>
      <c r="I68" s="64"/>
      <c r="J68" s="64"/>
      <c r="K68" s="64"/>
      <c r="L68" s="64"/>
      <c r="M68" s="64"/>
      <c r="N68" s="64"/>
      <c r="O68" s="64"/>
      <c r="P68" s="64"/>
      <c r="Q68" s="64"/>
    </row>
    <row r="69" spans="1:17" x14ac:dyDescent="0.35">
      <c r="A69" s="64"/>
      <c r="B69" s="64"/>
      <c r="C69" s="64"/>
      <c r="D69" s="64"/>
      <c r="E69" s="64"/>
      <c r="F69" s="64"/>
      <c r="G69" s="64"/>
      <c r="H69" s="64"/>
      <c r="I69" s="64"/>
      <c r="J69" s="64"/>
      <c r="K69" s="64"/>
      <c r="L69" s="64"/>
      <c r="M69" s="64"/>
      <c r="N69" s="64"/>
      <c r="O69" s="64"/>
      <c r="P69" s="64"/>
      <c r="Q69" s="64"/>
    </row>
    <row r="70" spans="1:17" x14ac:dyDescent="0.35">
      <c r="A70" s="64"/>
      <c r="B70" s="64"/>
      <c r="C70" s="64"/>
      <c r="D70" s="64"/>
      <c r="E70" s="64"/>
      <c r="F70" s="64"/>
      <c r="G70" s="64"/>
      <c r="H70" s="64"/>
      <c r="I70" s="64"/>
      <c r="J70" s="64"/>
      <c r="K70" s="64"/>
      <c r="L70" s="64"/>
      <c r="M70" s="64"/>
      <c r="N70" s="64"/>
      <c r="O70" s="64"/>
      <c r="P70" s="64"/>
      <c r="Q70" s="64"/>
    </row>
    <row r="71" spans="1:17" x14ac:dyDescent="0.35">
      <c r="A71" s="64"/>
      <c r="B71" s="64"/>
      <c r="C71" s="64"/>
      <c r="D71" s="64"/>
      <c r="E71" s="64"/>
      <c r="F71" s="64"/>
      <c r="G71" s="64"/>
      <c r="H71" s="64"/>
      <c r="I71" s="64"/>
      <c r="J71" s="64"/>
      <c r="K71" s="64"/>
      <c r="L71" s="64"/>
      <c r="M71" s="64"/>
      <c r="N71" s="64"/>
      <c r="O71" s="64"/>
      <c r="P71" s="64"/>
      <c r="Q71" s="64"/>
    </row>
    <row r="72" spans="1:17" x14ac:dyDescent="0.35">
      <c r="A72" s="64"/>
      <c r="B72" s="64"/>
      <c r="C72" s="64"/>
      <c r="D72" s="64"/>
      <c r="E72" s="64"/>
      <c r="F72" s="64"/>
      <c r="G72" s="64"/>
      <c r="H72" s="64"/>
      <c r="I72" s="64"/>
      <c r="J72" s="64"/>
      <c r="K72" s="64"/>
      <c r="L72" s="64"/>
      <c r="M72" s="64"/>
      <c r="N72" s="64"/>
      <c r="O72" s="64"/>
      <c r="P72" s="64"/>
      <c r="Q72" s="64"/>
    </row>
    <row r="73" spans="1:17" x14ac:dyDescent="0.35">
      <c r="A73" s="64"/>
      <c r="B73" s="64"/>
      <c r="C73" s="64"/>
      <c r="D73" s="64"/>
      <c r="E73" s="64"/>
      <c r="F73" s="64"/>
      <c r="G73" s="64"/>
      <c r="H73" s="64"/>
      <c r="I73" s="64"/>
      <c r="J73" s="64"/>
      <c r="K73" s="64"/>
      <c r="L73" s="64"/>
      <c r="M73" s="64"/>
      <c r="N73" s="64"/>
      <c r="O73" s="64"/>
      <c r="P73" s="64"/>
      <c r="Q73" s="64"/>
    </row>
    <row r="74" spans="1:17" x14ac:dyDescent="0.35">
      <c r="A74" s="64"/>
      <c r="B74" s="64"/>
      <c r="C74" s="64"/>
      <c r="D74" s="64"/>
      <c r="E74" s="64"/>
      <c r="F74" s="64"/>
      <c r="G74" s="64"/>
      <c r="H74" s="64"/>
      <c r="I74" s="64"/>
      <c r="J74" s="64"/>
      <c r="K74" s="64"/>
      <c r="L74" s="64"/>
      <c r="M74" s="64"/>
      <c r="N74" s="64"/>
      <c r="O74" s="64"/>
      <c r="P74" s="64"/>
      <c r="Q74" s="64"/>
    </row>
    <row r="75" spans="1:17" x14ac:dyDescent="0.35">
      <c r="A75" s="64"/>
      <c r="B75" s="64"/>
      <c r="C75" s="64"/>
      <c r="D75" s="64"/>
      <c r="E75" s="64"/>
      <c r="F75" s="64"/>
      <c r="G75" s="64"/>
      <c r="H75" s="64"/>
      <c r="I75" s="64"/>
      <c r="J75" s="64"/>
      <c r="K75" s="64"/>
      <c r="L75" s="64"/>
      <c r="M75" s="64"/>
      <c r="N75" s="64"/>
      <c r="O75" s="64"/>
      <c r="P75" s="64"/>
      <c r="Q75" s="64"/>
    </row>
    <row r="76" spans="1:17" x14ac:dyDescent="0.35">
      <c r="A76" s="64"/>
      <c r="B76" s="64"/>
      <c r="C76" s="64"/>
      <c r="D76" s="64"/>
      <c r="E76" s="64"/>
      <c r="F76" s="64"/>
      <c r="G76" s="64"/>
      <c r="H76" s="64"/>
      <c r="I76" s="64"/>
      <c r="J76" s="64"/>
      <c r="K76" s="64"/>
      <c r="L76" s="64"/>
      <c r="M76" s="64"/>
      <c r="N76" s="64"/>
      <c r="O76" s="64"/>
      <c r="P76" s="64"/>
      <c r="Q76" s="64"/>
    </row>
    <row r="77" spans="1:17" x14ac:dyDescent="0.35">
      <c r="A77" s="64"/>
      <c r="B77" s="64"/>
      <c r="C77" s="64"/>
      <c r="D77" s="64"/>
      <c r="E77" s="64"/>
      <c r="F77" s="64"/>
      <c r="G77" s="64"/>
      <c r="H77" s="64"/>
      <c r="I77" s="64"/>
      <c r="J77" s="64"/>
      <c r="K77" s="64"/>
      <c r="L77" s="64"/>
      <c r="M77" s="64"/>
      <c r="N77" s="64"/>
      <c r="O77" s="64"/>
      <c r="P77" s="64"/>
      <c r="Q77" s="64"/>
    </row>
    <row r="78" spans="1:17" x14ac:dyDescent="0.35">
      <c r="A78" s="64"/>
      <c r="B78" s="64"/>
      <c r="C78" s="64"/>
      <c r="D78" s="64"/>
      <c r="E78" s="64"/>
      <c r="F78" s="64"/>
      <c r="G78" s="64"/>
      <c r="H78" s="64"/>
      <c r="I78" s="64"/>
      <c r="J78" s="64"/>
      <c r="K78" s="64"/>
      <c r="L78" s="64"/>
      <c r="M78" s="64"/>
      <c r="N78" s="64"/>
      <c r="O78" s="64"/>
      <c r="P78" s="64"/>
      <c r="Q78" s="64"/>
    </row>
    <row r="79" spans="1:17" x14ac:dyDescent="0.35">
      <c r="A79" s="64"/>
      <c r="B79" s="64"/>
      <c r="C79" s="64"/>
      <c r="D79" s="64"/>
      <c r="E79" s="64"/>
      <c r="F79" s="64"/>
      <c r="G79" s="64"/>
      <c r="H79" s="64"/>
      <c r="I79" s="64"/>
      <c r="J79" s="64"/>
      <c r="K79" s="64"/>
      <c r="L79" s="64"/>
      <c r="M79" s="64"/>
      <c r="N79" s="64"/>
      <c r="O79" s="64"/>
      <c r="P79" s="64"/>
      <c r="Q79" s="64"/>
    </row>
    <row r="80" spans="1:17" x14ac:dyDescent="0.35">
      <c r="A80" s="64"/>
      <c r="B80" s="64"/>
      <c r="C80" s="64"/>
      <c r="D80" s="64"/>
      <c r="E80" s="64"/>
      <c r="F80" s="64"/>
      <c r="G80" s="64"/>
      <c r="H80" s="64"/>
      <c r="I80" s="64"/>
      <c r="J80" s="64"/>
      <c r="K80" s="64"/>
      <c r="L80" s="64"/>
      <c r="M80" s="64"/>
      <c r="N80" s="64"/>
      <c r="O80" s="64"/>
      <c r="P80" s="64"/>
      <c r="Q80" s="64"/>
    </row>
    <row r="81" spans="1:17" x14ac:dyDescent="0.35">
      <c r="A81" s="64"/>
      <c r="B81" s="64"/>
      <c r="C81" s="64"/>
      <c r="D81" s="64"/>
      <c r="E81" s="64"/>
      <c r="F81" s="64"/>
      <c r="G81" s="64"/>
      <c r="H81" s="64"/>
      <c r="I81" s="64"/>
      <c r="J81" s="64"/>
      <c r="K81" s="64"/>
      <c r="L81" s="64"/>
      <c r="M81" s="64"/>
      <c r="N81" s="64"/>
      <c r="O81" s="64"/>
      <c r="P81" s="64"/>
      <c r="Q81" s="64"/>
    </row>
    <row r="82" spans="1:17" x14ac:dyDescent="0.35">
      <c r="A82" s="64"/>
      <c r="B82" s="64"/>
      <c r="C82" s="64"/>
      <c r="D82" s="64"/>
      <c r="E82" s="64"/>
      <c r="F82" s="64"/>
      <c r="G82" s="64"/>
      <c r="H82" s="64"/>
      <c r="I82" s="64"/>
      <c r="J82" s="64"/>
      <c r="K82" s="64"/>
      <c r="L82" s="64"/>
      <c r="M82" s="64"/>
      <c r="N82" s="64"/>
      <c r="O82" s="64"/>
      <c r="P82" s="64"/>
      <c r="Q82" s="64"/>
    </row>
    <row r="83" spans="1:17" x14ac:dyDescent="0.35">
      <c r="A83" s="64"/>
      <c r="B83" s="64"/>
      <c r="C83" s="64"/>
      <c r="D83" s="64"/>
      <c r="E83" s="64"/>
      <c r="F83" s="64"/>
      <c r="G83" s="64"/>
      <c r="H83" s="64"/>
      <c r="I83" s="64"/>
      <c r="J83" s="64"/>
      <c r="K83" s="64"/>
      <c r="L83" s="64"/>
      <c r="M83" s="64"/>
      <c r="N83" s="64"/>
      <c r="O83" s="64"/>
      <c r="P83" s="64"/>
      <c r="Q83" s="64"/>
    </row>
    <row r="84" spans="1:17" x14ac:dyDescent="0.35">
      <c r="A84" s="64"/>
      <c r="B84" s="64"/>
      <c r="C84" s="64"/>
      <c r="D84" s="64"/>
      <c r="E84" s="64"/>
      <c r="F84" s="64"/>
      <c r="G84" s="64"/>
      <c r="H84" s="64"/>
      <c r="I84" s="64"/>
      <c r="J84" s="64"/>
      <c r="K84" s="64"/>
      <c r="L84" s="64"/>
      <c r="M84" s="64"/>
      <c r="N84" s="64"/>
      <c r="O84" s="64"/>
      <c r="P84" s="64"/>
      <c r="Q84" s="64"/>
    </row>
    <row r="85" spans="1:17" x14ac:dyDescent="0.35">
      <c r="A85" s="64"/>
      <c r="B85" s="64"/>
      <c r="C85" s="64"/>
      <c r="D85" s="64"/>
      <c r="E85" s="64"/>
      <c r="F85" s="64"/>
      <c r="G85" s="64"/>
      <c r="H85" s="64"/>
      <c r="I85" s="64"/>
      <c r="J85" s="64"/>
      <c r="K85" s="64"/>
      <c r="L85" s="64"/>
      <c r="M85" s="64"/>
      <c r="N85" s="64"/>
      <c r="O85" s="64"/>
      <c r="P85" s="64"/>
      <c r="Q85" s="64"/>
    </row>
    <row r="86" spans="1:17" x14ac:dyDescent="0.35">
      <c r="A86" s="64"/>
      <c r="B86" s="64"/>
      <c r="C86" s="64"/>
      <c r="D86" s="64"/>
      <c r="E86" s="64"/>
      <c r="F86" s="64"/>
      <c r="G86" s="64"/>
      <c r="H86" s="64"/>
      <c r="I86" s="64"/>
      <c r="J86" s="64"/>
      <c r="K86" s="64"/>
      <c r="L86" s="64"/>
      <c r="M86" s="64"/>
      <c r="N86" s="64"/>
      <c r="O86" s="64"/>
      <c r="P86" s="64"/>
      <c r="Q86" s="64"/>
    </row>
    <row r="87" spans="1:17" x14ac:dyDescent="0.35">
      <c r="A87" s="64"/>
      <c r="B87" s="64"/>
      <c r="C87" s="64"/>
      <c r="D87" s="64"/>
      <c r="E87" s="64"/>
      <c r="F87" s="64"/>
      <c r="G87" s="64"/>
      <c r="H87" s="64"/>
      <c r="I87" s="64"/>
      <c r="J87" s="64"/>
      <c r="K87" s="64"/>
      <c r="L87" s="64"/>
      <c r="M87" s="64"/>
      <c r="N87" s="64"/>
      <c r="O87" s="64"/>
      <c r="P87" s="64"/>
      <c r="Q87" s="64"/>
    </row>
    <row r="88" spans="1:17" x14ac:dyDescent="0.35">
      <c r="A88" s="64"/>
      <c r="B88" s="64"/>
      <c r="C88" s="64"/>
      <c r="D88" s="64"/>
      <c r="E88" s="64"/>
      <c r="F88" s="64"/>
      <c r="G88" s="64"/>
      <c r="H88" s="64"/>
      <c r="I88" s="64"/>
      <c r="J88" s="64"/>
      <c r="K88" s="64"/>
      <c r="L88" s="64"/>
      <c r="M88" s="64"/>
      <c r="N88" s="64"/>
      <c r="O88" s="64"/>
      <c r="P88" s="64"/>
      <c r="Q88" s="64"/>
    </row>
    <row r="89" spans="1:17" x14ac:dyDescent="0.35">
      <c r="A89" s="64"/>
      <c r="B89" s="64"/>
      <c r="C89" s="64"/>
      <c r="D89" s="64"/>
      <c r="E89" s="64"/>
      <c r="F89" s="64"/>
      <c r="G89" s="64"/>
      <c r="H89" s="64"/>
      <c r="I89" s="64"/>
      <c r="J89" s="64"/>
      <c r="K89" s="64"/>
      <c r="L89" s="64"/>
      <c r="M89" s="64"/>
      <c r="N89" s="64"/>
      <c r="O89" s="64"/>
      <c r="P89" s="64"/>
      <c r="Q89" s="64"/>
    </row>
    <row r="90" spans="1:17" x14ac:dyDescent="0.35">
      <c r="A90" s="64"/>
      <c r="B90" s="64"/>
      <c r="C90" s="64"/>
      <c r="D90" s="64"/>
      <c r="E90" s="64"/>
      <c r="F90" s="64"/>
      <c r="G90" s="64"/>
      <c r="H90" s="64"/>
      <c r="I90" s="64"/>
      <c r="J90" s="64"/>
      <c r="K90" s="64"/>
      <c r="L90" s="64"/>
      <c r="M90" s="64"/>
      <c r="N90" s="64"/>
      <c r="O90" s="64"/>
      <c r="P90" s="64"/>
      <c r="Q90" s="64"/>
    </row>
    <row r="91" spans="1:17" x14ac:dyDescent="0.35">
      <c r="A91" s="64"/>
      <c r="B91" s="64"/>
      <c r="C91" s="64"/>
      <c r="D91" s="64"/>
      <c r="E91" s="64"/>
      <c r="F91" s="64"/>
      <c r="G91" s="64"/>
      <c r="H91" s="64"/>
      <c r="I91" s="64"/>
      <c r="J91" s="64"/>
      <c r="K91" s="64"/>
      <c r="L91" s="64"/>
      <c r="M91" s="64"/>
      <c r="N91" s="64"/>
      <c r="O91" s="64"/>
      <c r="P91" s="64"/>
      <c r="Q91" s="64"/>
    </row>
    <row r="92" spans="1:17" x14ac:dyDescent="0.35">
      <c r="A92" s="64"/>
      <c r="B92" s="64"/>
      <c r="C92" s="64"/>
      <c r="D92" s="64"/>
      <c r="E92" s="64"/>
      <c r="F92" s="64"/>
      <c r="G92" s="64"/>
      <c r="H92" s="64"/>
      <c r="I92" s="64"/>
      <c r="J92" s="64"/>
      <c r="K92" s="64"/>
      <c r="L92" s="64"/>
      <c r="M92" s="64"/>
      <c r="N92" s="64"/>
      <c r="O92" s="64"/>
      <c r="P92" s="64"/>
      <c r="Q92" s="64"/>
    </row>
    <row r="93" spans="1:17" x14ac:dyDescent="0.35">
      <c r="A93" s="64"/>
      <c r="B93" s="64"/>
      <c r="C93" s="64"/>
      <c r="D93" s="64"/>
      <c r="E93" s="64"/>
      <c r="F93" s="64"/>
      <c r="G93" s="64"/>
      <c r="H93" s="64"/>
      <c r="I93" s="64"/>
      <c r="J93" s="64"/>
      <c r="K93" s="64"/>
      <c r="L93" s="64"/>
      <c r="M93" s="64"/>
      <c r="N93" s="64"/>
      <c r="O93" s="64"/>
      <c r="P93" s="64"/>
      <c r="Q93" s="64"/>
    </row>
    <row r="94" spans="1:17" x14ac:dyDescent="0.35">
      <c r="A94" s="64"/>
      <c r="B94" s="64"/>
      <c r="C94" s="64"/>
      <c r="D94" s="64"/>
      <c r="E94" s="64"/>
      <c r="F94" s="64"/>
      <c r="G94" s="64"/>
      <c r="H94" s="64"/>
      <c r="I94" s="64"/>
      <c r="J94" s="64"/>
      <c r="K94" s="64"/>
      <c r="L94" s="64"/>
      <c r="M94" s="64"/>
      <c r="N94" s="64"/>
      <c r="O94" s="64"/>
      <c r="P94" s="64"/>
      <c r="Q94" s="64"/>
    </row>
    <row r="95" spans="1:17" x14ac:dyDescent="0.35">
      <c r="A95" s="64"/>
      <c r="B95" s="64"/>
      <c r="C95" s="64"/>
      <c r="D95" s="64"/>
      <c r="E95" s="64"/>
      <c r="F95" s="64"/>
      <c r="G95" s="64"/>
      <c r="H95" s="64"/>
      <c r="I95" s="64"/>
      <c r="J95" s="64"/>
      <c r="K95" s="64"/>
      <c r="L95" s="64"/>
      <c r="M95" s="64"/>
      <c r="N95" s="64"/>
      <c r="O95" s="64"/>
      <c r="P95" s="64"/>
      <c r="Q95" s="64"/>
    </row>
    <row r="96" spans="1:17" x14ac:dyDescent="0.35">
      <c r="A96" s="64"/>
      <c r="B96" s="64"/>
      <c r="C96" s="64"/>
      <c r="D96" s="64"/>
      <c r="E96" s="64"/>
      <c r="F96" s="64"/>
      <c r="G96" s="64"/>
      <c r="H96" s="64"/>
      <c r="I96" s="64"/>
      <c r="J96" s="64"/>
      <c r="K96" s="64"/>
      <c r="L96" s="64"/>
      <c r="M96" s="64"/>
      <c r="N96" s="64"/>
      <c r="O96" s="64"/>
      <c r="P96" s="64"/>
      <c r="Q96" s="64"/>
    </row>
    <row r="97" spans="1:17" x14ac:dyDescent="0.35">
      <c r="A97" s="64"/>
      <c r="B97" s="64"/>
      <c r="C97" s="64"/>
      <c r="D97" s="64"/>
      <c r="E97" s="64"/>
      <c r="F97" s="64"/>
      <c r="G97" s="64"/>
      <c r="H97" s="64"/>
      <c r="I97" s="64"/>
      <c r="J97" s="64"/>
      <c r="K97" s="64"/>
      <c r="L97" s="64"/>
      <c r="M97" s="64"/>
      <c r="N97" s="64"/>
      <c r="O97" s="64"/>
      <c r="P97" s="64"/>
      <c r="Q97" s="64"/>
    </row>
    <row r="98" spans="1:17" x14ac:dyDescent="0.35">
      <c r="A98" s="64"/>
      <c r="B98" s="64"/>
      <c r="C98" s="64"/>
      <c r="D98" s="64"/>
      <c r="E98" s="64"/>
      <c r="F98" s="64"/>
      <c r="G98" s="64"/>
      <c r="H98" s="64"/>
      <c r="I98" s="64"/>
      <c r="J98" s="64"/>
      <c r="K98" s="64"/>
      <c r="L98" s="64"/>
      <c r="M98" s="64"/>
      <c r="N98" s="64"/>
      <c r="O98" s="64"/>
      <c r="P98" s="64"/>
      <c r="Q98" s="64"/>
    </row>
    <row r="99" spans="1:17" x14ac:dyDescent="0.35">
      <c r="A99" s="64"/>
      <c r="B99" s="64"/>
      <c r="C99" s="64"/>
      <c r="D99" s="64"/>
      <c r="E99" s="64"/>
      <c r="F99" s="64"/>
      <c r="G99" s="64"/>
      <c r="H99" s="64"/>
      <c r="I99" s="64"/>
      <c r="J99" s="64"/>
      <c r="K99" s="64"/>
      <c r="L99" s="64"/>
      <c r="M99" s="64"/>
      <c r="N99" s="64"/>
      <c r="O99" s="64"/>
      <c r="P99" s="64"/>
      <c r="Q99" s="64"/>
    </row>
    <row r="100" spans="1:17" x14ac:dyDescent="0.35">
      <c r="A100" s="64"/>
      <c r="B100" s="64"/>
      <c r="C100" s="64"/>
      <c r="D100" s="64"/>
      <c r="E100" s="64"/>
      <c r="F100" s="64"/>
      <c r="G100" s="64"/>
      <c r="H100" s="64"/>
      <c r="I100" s="64"/>
      <c r="J100" s="64"/>
      <c r="K100" s="64"/>
      <c r="L100" s="64"/>
      <c r="M100" s="64"/>
      <c r="N100" s="64"/>
      <c r="O100" s="64"/>
      <c r="P100" s="64"/>
      <c r="Q100" s="64"/>
    </row>
    <row r="114" spans="2:2" ht="18.5" x14ac:dyDescent="0.45">
      <c r="B114" s="329"/>
    </row>
    <row r="115" spans="2:2" ht="18.5" x14ac:dyDescent="0.45">
      <c r="B115" s="329"/>
    </row>
    <row r="116" spans="2:2" ht="18.5" x14ac:dyDescent="0.45">
      <c r="B116" s="329"/>
    </row>
    <row r="117" spans="2:2" ht="18.5" x14ac:dyDescent="0.45">
      <c r="B117" s="329"/>
    </row>
    <row r="118" spans="2:2" ht="18.5" x14ac:dyDescent="0.45">
      <c r="B118" s="329"/>
    </row>
    <row r="119" spans="2:2" ht="18.5" x14ac:dyDescent="0.45">
      <c r="B119" s="329"/>
    </row>
    <row r="120" spans="2:2" ht="18.5" x14ac:dyDescent="0.45">
      <c r="B120" s="329"/>
    </row>
    <row r="121" spans="2:2" ht="18.5" x14ac:dyDescent="0.45">
      <c r="B121" s="329"/>
    </row>
    <row r="122" spans="2:2" ht="18.5" x14ac:dyDescent="0.45">
      <c r="B122" s="329"/>
    </row>
    <row r="123" spans="2:2" ht="18.5" x14ac:dyDescent="0.45">
      <c r="B123" s="329"/>
    </row>
  </sheetData>
  <mergeCells count="181">
    <mergeCell ref="A55:K58"/>
    <mergeCell ref="M55:O58"/>
    <mergeCell ref="A48:K48"/>
    <mergeCell ref="M48:O48"/>
    <mergeCell ref="A49:K52"/>
    <mergeCell ref="M49:O52"/>
    <mergeCell ref="A54:K54"/>
    <mergeCell ref="M54:O54"/>
    <mergeCell ref="F41:G41"/>
    <mergeCell ref="H41:I41"/>
    <mergeCell ref="J41:K41"/>
    <mergeCell ref="F42:G42"/>
    <mergeCell ref="H42:I42"/>
    <mergeCell ref="J42:K42"/>
    <mergeCell ref="A39:E39"/>
    <mergeCell ref="F39:G39"/>
    <mergeCell ref="H39:I39"/>
    <mergeCell ref="J39:K39"/>
    <mergeCell ref="L39:P39"/>
    <mergeCell ref="A40:E40"/>
    <mergeCell ref="F40:G40"/>
    <mergeCell ref="H40:I40"/>
    <mergeCell ref="J40:K40"/>
    <mergeCell ref="L40:P40"/>
    <mergeCell ref="A37:E37"/>
    <mergeCell ref="F37:G37"/>
    <mergeCell ref="H37:I37"/>
    <mergeCell ref="J37:K37"/>
    <mergeCell ref="L37:P37"/>
    <mergeCell ref="A38:E38"/>
    <mergeCell ref="F38:G38"/>
    <mergeCell ref="H38:I38"/>
    <mergeCell ref="J38:K38"/>
    <mergeCell ref="L38:P38"/>
    <mergeCell ref="A35:E35"/>
    <mergeCell ref="F35:G35"/>
    <mergeCell ref="H35:I35"/>
    <mergeCell ref="J35:K35"/>
    <mergeCell ref="L35:P35"/>
    <mergeCell ref="A36:E36"/>
    <mergeCell ref="F36:G36"/>
    <mergeCell ref="H36:I36"/>
    <mergeCell ref="J36:K36"/>
    <mergeCell ref="L36:P36"/>
    <mergeCell ref="A33:E33"/>
    <mergeCell ref="F33:G33"/>
    <mergeCell ref="H33:I33"/>
    <mergeCell ref="J33:K33"/>
    <mergeCell ref="L33:P33"/>
    <mergeCell ref="A34:P34"/>
    <mergeCell ref="A31:E31"/>
    <mergeCell ref="F31:G31"/>
    <mergeCell ref="H31:I31"/>
    <mergeCell ref="J31:K31"/>
    <mergeCell ref="L31:P31"/>
    <mergeCell ref="A32:E32"/>
    <mergeCell ref="F32:G32"/>
    <mergeCell ref="H32:I32"/>
    <mergeCell ref="J32:K32"/>
    <mergeCell ref="L32:P32"/>
    <mergeCell ref="A29:E29"/>
    <mergeCell ref="F29:G29"/>
    <mergeCell ref="H29:I29"/>
    <mergeCell ref="J29:K29"/>
    <mergeCell ref="L29:P29"/>
    <mergeCell ref="A30:E30"/>
    <mergeCell ref="F30:G30"/>
    <mergeCell ref="H30:I30"/>
    <mergeCell ref="J30:K30"/>
    <mergeCell ref="L30:P30"/>
    <mergeCell ref="A27:E27"/>
    <mergeCell ref="F27:G27"/>
    <mergeCell ref="H27:I27"/>
    <mergeCell ref="J27:K27"/>
    <mergeCell ref="L27:P27"/>
    <mergeCell ref="A28:E28"/>
    <mergeCell ref="F28:G28"/>
    <mergeCell ref="H28:I28"/>
    <mergeCell ref="J28:K28"/>
    <mergeCell ref="L28:P28"/>
    <mergeCell ref="A25:E25"/>
    <mergeCell ref="F25:G25"/>
    <mergeCell ref="H25:I25"/>
    <mergeCell ref="J25:K25"/>
    <mergeCell ref="L25:P25"/>
    <mergeCell ref="A26:E26"/>
    <mergeCell ref="F26:G26"/>
    <mergeCell ref="H26:I26"/>
    <mergeCell ref="J26:K26"/>
    <mergeCell ref="L26:P26"/>
    <mergeCell ref="A23:E23"/>
    <mergeCell ref="F23:G23"/>
    <mergeCell ref="H23:I23"/>
    <mergeCell ref="J23:K23"/>
    <mergeCell ref="L23:P23"/>
    <mergeCell ref="A24:E24"/>
    <mergeCell ref="F24:G24"/>
    <mergeCell ref="H24:I24"/>
    <mergeCell ref="J24:K24"/>
    <mergeCell ref="L24:P24"/>
    <mergeCell ref="A21:E21"/>
    <mergeCell ref="F21:G21"/>
    <mergeCell ref="H21:I21"/>
    <mergeCell ref="J21:K21"/>
    <mergeCell ref="L21:P21"/>
    <mergeCell ref="A22:E22"/>
    <mergeCell ref="F22:G22"/>
    <mergeCell ref="H22:I22"/>
    <mergeCell ref="J22:K22"/>
    <mergeCell ref="L22:P22"/>
    <mergeCell ref="A16:E16"/>
    <mergeCell ref="F16:G16"/>
    <mergeCell ref="H16:I16"/>
    <mergeCell ref="J16:K16"/>
    <mergeCell ref="L16:P16"/>
    <mergeCell ref="A19:P19"/>
    <mergeCell ref="A20:E20"/>
    <mergeCell ref="F20:G20"/>
    <mergeCell ref="H20:I20"/>
    <mergeCell ref="J20:K20"/>
    <mergeCell ref="L20:P20"/>
    <mergeCell ref="A17:E17"/>
    <mergeCell ref="F17:G17"/>
    <mergeCell ref="H17:I17"/>
    <mergeCell ref="J17:K17"/>
    <mergeCell ref="L17:P17"/>
    <mergeCell ref="F18:G18"/>
    <mergeCell ref="H18:I18"/>
    <mergeCell ref="J18:K18"/>
    <mergeCell ref="L18:P18"/>
    <mergeCell ref="A14:E14"/>
    <mergeCell ref="F14:G14"/>
    <mergeCell ref="H14:I14"/>
    <mergeCell ref="J14:K14"/>
    <mergeCell ref="L14:P14"/>
    <mergeCell ref="A15:E15"/>
    <mergeCell ref="F15:G15"/>
    <mergeCell ref="H15:I15"/>
    <mergeCell ref="J15:K15"/>
    <mergeCell ref="L15:P15"/>
    <mergeCell ref="A12:E12"/>
    <mergeCell ref="F12:G12"/>
    <mergeCell ref="H12:I12"/>
    <mergeCell ref="J12:K12"/>
    <mergeCell ref="L12:P12"/>
    <mergeCell ref="A13:E13"/>
    <mergeCell ref="F13:G13"/>
    <mergeCell ref="H13:I13"/>
    <mergeCell ref="J13:K13"/>
    <mergeCell ref="L13:P13"/>
    <mergeCell ref="A9:P9"/>
    <mergeCell ref="A10:E10"/>
    <mergeCell ref="F10:G10"/>
    <mergeCell ref="H10:I10"/>
    <mergeCell ref="J10:K10"/>
    <mergeCell ref="L10:P10"/>
    <mergeCell ref="A11:E11"/>
    <mergeCell ref="F11:G11"/>
    <mergeCell ref="H11:I11"/>
    <mergeCell ref="J11:K11"/>
    <mergeCell ref="L11:P11"/>
    <mergeCell ref="A6:E7"/>
    <mergeCell ref="F6:G6"/>
    <mergeCell ref="H6:I6"/>
    <mergeCell ref="J6:K6"/>
    <mergeCell ref="L6:P7"/>
    <mergeCell ref="F7:G7"/>
    <mergeCell ref="H7:I7"/>
    <mergeCell ref="J7:K7"/>
    <mergeCell ref="A8:P8"/>
    <mergeCell ref="D1:G1"/>
    <mergeCell ref="I1:J1"/>
    <mergeCell ref="L1:M1"/>
    <mergeCell ref="D2:G2"/>
    <mergeCell ref="I2:J2"/>
    <mergeCell ref="L2:M2"/>
    <mergeCell ref="A4:G4"/>
    <mergeCell ref="H4:P4"/>
    <mergeCell ref="A5:B5"/>
    <mergeCell ref="C5:P5"/>
    <mergeCell ref="D3:G3"/>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400-000000000000}">
      <formula1>AvancementTheme</formula1>
    </dataValidation>
  </dataValidations>
  <hyperlinks>
    <hyperlink ref="O1" location="DPDV_08VA3" display="PdV" xr:uid="{00000000-0004-0000-5400-000000000000}"/>
    <hyperlink ref="P1" location="DKPI_08VA3" display="KPI's" xr:uid="{00000000-0004-0000-54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euil74">
    <tabColor rgb="FF92D050"/>
    <pageSetUpPr fitToPage="1"/>
  </sheetPr>
  <dimension ref="A1:V175"/>
  <sheetViews>
    <sheetView showGridLines="0" showRowColHeaders="0" showZeros="0" zoomScaleNormal="100" workbookViewId="0">
      <pane xSplit="19" ySplit="4" topLeftCell="T5" activePane="bottomRight" state="frozen"/>
      <selection activeCell="H7" sqref="H7"/>
      <selection pane="topRight" activeCell="H7" sqref="H7"/>
      <selection pane="bottomLeft" activeCell="H7" sqref="H7"/>
      <selection pane="bottomRight" activeCell="H7" sqref="H7"/>
    </sheetView>
  </sheetViews>
  <sheetFormatPr baseColWidth="10" defaultColWidth="9.1796875" defaultRowHeight="14.5" x14ac:dyDescent="0.35"/>
  <cols>
    <col min="1" max="2" width="9.1796875" style="166"/>
    <col min="3" max="3" width="14.453125" style="166" customWidth="1"/>
    <col min="4" max="5" width="9.1796875" style="166"/>
    <col min="6" max="6" width="10.1796875" style="166" customWidth="1"/>
    <col min="7" max="8" width="9.1796875" style="166"/>
    <col min="9" max="9" width="9.54296875" style="166" bestFit="1" customWidth="1"/>
    <col min="10" max="11" width="9.1796875" style="166"/>
    <col min="12" max="12" width="12.1796875" style="166" customWidth="1"/>
    <col min="13" max="14" width="9.1796875" style="166"/>
    <col min="15" max="15" width="10.54296875" style="166" customWidth="1"/>
    <col min="16" max="18" width="9.1796875" style="166"/>
    <col min="19" max="19" width="11.54296875" style="166" customWidth="1"/>
    <col min="20" max="16384" width="9.1796875" style="166"/>
  </cols>
  <sheetData>
    <row r="1" spans="1:22" s="54" customFormat="1" ht="15" customHeight="1" x14ac:dyDescent="0.35">
      <c r="A1" s="1570"/>
      <c r="B1" s="1570"/>
      <c r="C1" s="1570"/>
      <c r="D1" s="3341" t="s">
        <v>5</v>
      </c>
      <c r="E1" s="3341"/>
      <c r="F1" s="3341"/>
      <c r="G1" s="3341"/>
      <c r="H1" s="391"/>
      <c r="I1" s="3341" t="s">
        <v>6</v>
      </c>
      <c r="J1" s="3341"/>
      <c r="K1" s="1570"/>
      <c r="L1" s="3341" t="s">
        <v>9</v>
      </c>
      <c r="M1" s="3341"/>
      <c r="N1" s="1570"/>
      <c r="O1" s="479" t="s">
        <v>2</v>
      </c>
      <c r="P1" s="479" t="s">
        <v>3</v>
      </c>
      <c r="Q1" s="458"/>
      <c r="R1" s="458"/>
      <c r="S1" s="458"/>
      <c r="T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42419.915243055555</v>
      </c>
      <c r="M2" s="3348"/>
      <c r="N2" s="394"/>
      <c r="O2" s="451">
        <f>IF(LEN(DPDV_02MV3)&gt;0,LEN(DPDV_02MV3),0-PDV_NBmini)</f>
        <v>106</v>
      </c>
      <c r="P2" s="451">
        <f>IF(LEN(DKPI_02MV3)&gt;0,LEN(DKPI_02MV3),0-KPI_NBmini)</f>
        <v>45</v>
      </c>
      <c r="Q2" s="459"/>
      <c r="R2" s="459"/>
      <c r="S2" s="459"/>
      <c r="T2" s="459"/>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19.5" customHeight="1" thickBot="1" x14ac:dyDescent="0.4">
      <c r="A4" s="5806" t="str">
        <f>Parametre!B24  &amp; "  : "</f>
        <v xml:space="preserve">Vision, Attente &amp; Stratégie  : </v>
      </c>
      <c r="B4" s="5806"/>
      <c r="C4" s="5806"/>
      <c r="D4" s="5806"/>
      <c r="E4" s="5806"/>
      <c r="F4" s="5806"/>
      <c r="G4" s="5806"/>
      <c r="H4" s="5807" t="str">
        <f xml:space="preserve"> "Modèle de Vente à " &amp; NbAnVision &amp; " ans pour " &amp; NomProd3</f>
        <v xml:space="preserve">Modèle de Vente à 3 ans pour </v>
      </c>
      <c r="I4" s="5807"/>
      <c r="J4" s="5807"/>
      <c r="K4" s="5807"/>
      <c r="L4" s="5807"/>
      <c r="M4" s="5807"/>
      <c r="N4" s="5807"/>
      <c r="O4" s="5807"/>
      <c r="P4" s="5808"/>
      <c r="Q4" s="444"/>
      <c r="R4" s="444"/>
      <c r="S4" s="444"/>
      <c r="T4" s="444"/>
    </row>
    <row r="5" spans="1:22" s="193" customFormat="1" ht="18.75" customHeight="1" x14ac:dyDescent="0.35">
      <c r="A5" s="3438" t="s">
        <v>14</v>
      </c>
      <c r="B5" s="3438"/>
      <c r="C5" s="3508" t="s">
        <v>1004</v>
      </c>
      <c r="D5" s="3508"/>
      <c r="E5" s="3508"/>
      <c r="F5" s="3508"/>
      <c r="G5" s="3508"/>
      <c r="H5" s="3508"/>
      <c r="I5" s="3508"/>
      <c r="J5" s="3508"/>
      <c r="K5" s="3508"/>
      <c r="L5" s="3508"/>
      <c r="M5" s="3508"/>
      <c r="N5" s="3508"/>
      <c r="O5" s="3508"/>
      <c r="P5" s="3508"/>
      <c r="Q5" s="460"/>
      <c r="R5" s="460"/>
      <c r="S5" s="460"/>
      <c r="T5" s="460"/>
    </row>
    <row r="6" spans="1:22" s="193" customFormat="1" ht="18.75" customHeight="1" thickBot="1" x14ac:dyDescent="0.4">
      <c r="A6" s="1571"/>
      <c r="B6" s="1571"/>
      <c r="C6" s="1573"/>
      <c r="D6" s="1573"/>
      <c r="E6" s="1573"/>
      <c r="F6" s="1573"/>
      <c r="G6" s="1573"/>
      <c r="H6" s="1573"/>
      <c r="I6" s="481"/>
      <c r="J6" s="1573"/>
      <c r="K6" s="1573"/>
      <c r="L6" s="1573"/>
      <c r="M6" s="1573"/>
      <c r="N6" s="1573"/>
      <c r="O6" s="1573"/>
      <c r="P6" s="1573"/>
      <c r="Q6" s="460"/>
      <c r="R6" s="460"/>
      <c r="S6" s="460"/>
      <c r="T6" s="460"/>
    </row>
    <row r="7" spans="1:22" s="193" customFormat="1" ht="18.75" customHeight="1" thickTop="1" thickBot="1" x14ac:dyDescent="0.4">
      <c r="A7" s="5809" t="s">
        <v>1110</v>
      </c>
      <c r="B7" s="5810"/>
      <c r="C7" s="5810"/>
      <c r="D7" s="5810"/>
      <c r="E7" s="5810"/>
      <c r="F7" s="5810"/>
      <c r="G7" s="5811"/>
      <c r="H7" s="460"/>
      <c r="I7" s="482"/>
      <c r="J7" s="5809" t="s">
        <v>1111</v>
      </c>
      <c r="K7" s="5810"/>
      <c r="L7" s="5810"/>
      <c r="M7" s="5810"/>
      <c r="N7" s="5810"/>
      <c r="O7" s="5811"/>
      <c r="P7" s="1573"/>
      <c r="Q7" s="460"/>
      <c r="R7" s="460"/>
      <c r="S7" s="460"/>
      <c r="T7" s="460"/>
    </row>
    <row r="8" spans="1:22" s="193" customFormat="1" ht="18.75" customHeight="1" thickTop="1" x14ac:dyDescent="0.35">
      <c r="A8" s="483" t="s">
        <v>1417</v>
      </c>
      <c r="B8" s="1580"/>
      <c r="C8" s="1580"/>
      <c r="D8" s="5812" t="s">
        <v>868</v>
      </c>
      <c r="E8" s="5813"/>
      <c r="F8" s="5813"/>
      <c r="G8" s="5814"/>
      <c r="H8" s="460"/>
      <c r="I8" s="1580"/>
      <c r="J8" s="484" t="s">
        <v>1418</v>
      </c>
      <c r="K8" s="485"/>
      <c r="L8" s="486"/>
      <c r="M8" s="487" t="s">
        <v>1113</v>
      </c>
      <c r="N8" s="488"/>
      <c r="O8" s="489"/>
      <c r="P8" s="1573"/>
      <c r="Q8" s="460"/>
      <c r="R8" s="460"/>
      <c r="S8" s="460"/>
      <c r="T8" s="460"/>
    </row>
    <row r="9" spans="1:22" s="193" customFormat="1" ht="18.75" customHeight="1" x14ac:dyDescent="0.35">
      <c r="A9" s="483" t="s">
        <v>1115</v>
      </c>
      <c r="B9" s="1580"/>
      <c r="C9" s="1580"/>
      <c r="D9" s="5815" t="s">
        <v>1419</v>
      </c>
      <c r="E9" s="5816"/>
      <c r="F9" s="5816"/>
      <c r="G9" s="5817"/>
      <c r="H9" s="460"/>
      <c r="I9" s="1580"/>
      <c r="J9" s="490" t="s">
        <v>1017</v>
      </c>
      <c r="K9" s="491"/>
      <c r="L9" s="492"/>
      <c r="M9" s="493" t="s">
        <v>1114</v>
      </c>
      <c r="N9" s="494"/>
      <c r="O9" s="495"/>
      <c r="P9" s="1573"/>
      <c r="Q9" s="460"/>
      <c r="R9" s="460"/>
      <c r="S9" s="460"/>
      <c r="T9" s="460"/>
    </row>
    <row r="10" spans="1:22" s="193" customFormat="1" ht="21.75" customHeight="1" x14ac:dyDescent="0.35">
      <c r="A10" s="5818" t="s">
        <v>1420</v>
      </c>
      <c r="B10" s="5819"/>
      <c r="C10" s="5820"/>
      <c r="D10" s="5824" t="s">
        <v>1419</v>
      </c>
      <c r="E10" s="5825"/>
      <c r="F10" s="5825"/>
      <c r="G10" s="5826"/>
      <c r="H10" s="460"/>
      <c r="I10" s="496"/>
      <c r="J10" s="497" t="s">
        <v>1239</v>
      </c>
      <c r="K10" s="491"/>
      <c r="L10" s="498"/>
      <c r="M10" s="499" t="s">
        <v>1116</v>
      </c>
      <c r="N10" s="494"/>
      <c r="O10" s="495"/>
      <c r="P10" s="1573"/>
      <c r="Q10" s="460"/>
      <c r="R10" s="460"/>
      <c r="S10" s="460"/>
      <c r="T10" s="460"/>
    </row>
    <row r="11" spans="1:22" s="193" customFormat="1" ht="21" customHeight="1" thickBot="1" x14ac:dyDescent="0.4">
      <c r="A11" s="5821"/>
      <c r="B11" s="5822"/>
      <c r="C11" s="5823"/>
      <c r="D11" s="5827"/>
      <c r="E11" s="5828"/>
      <c r="F11" s="5828"/>
      <c r="G11" s="5829"/>
      <c r="H11" s="460"/>
      <c r="I11" s="496"/>
      <c r="J11" s="500" t="s">
        <v>1240</v>
      </c>
      <c r="K11" s="501"/>
      <c r="L11" s="502"/>
      <c r="M11" s="503" t="s">
        <v>1112</v>
      </c>
      <c r="N11" s="504"/>
      <c r="O11" s="505"/>
      <c r="P11" s="1573"/>
      <c r="Q11" s="460"/>
      <c r="R11" s="460"/>
      <c r="S11" s="460"/>
      <c r="T11" s="460"/>
    </row>
    <row r="12" spans="1:22" s="94" customFormat="1" ht="36.75" customHeight="1" thickTop="1" thickBot="1" x14ac:dyDescent="0.4">
      <c r="A12" s="531"/>
      <c r="B12" s="496"/>
      <c r="C12" s="496"/>
      <c r="D12" s="1400"/>
      <c r="E12" s="1400"/>
      <c r="F12" s="1400"/>
      <c r="G12" s="1400"/>
      <c r="H12" s="491"/>
      <c r="I12" s="496"/>
      <c r="J12" s="531"/>
      <c r="K12" s="491"/>
      <c r="L12" s="496"/>
      <c r="M12" s="533"/>
      <c r="N12" s="1401"/>
      <c r="O12" s="1401"/>
      <c r="P12" s="1401"/>
      <c r="Q12" s="491"/>
      <c r="R12" s="491"/>
      <c r="S12" s="491"/>
      <c r="T12" s="765"/>
    </row>
    <row r="13" spans="1:22" s="204" customFormat="1" ht="69.75" customHeight="1" thickTop="1" thickBot="1" x14ac:dyDescent="0.4">
      <c r="A13" s="5803" t="s">
        <v>1117</v>
      </c>
      <c r="B13" s="5804"/>
      <c r="C13" s="5804"/>
      <c r="D13" s="5804"/>
      <c r="E13" s="5804"/>
      <c r="F13" s="5805"/>
      <c r="G13" s="526">
        <f>AnReference-1</f>
        <v>2017</v>
      </c>
      <c r="H13" s="526">
        <f>AnReference</f>
        <v>2018</v>
      </c>
      <c r="I13" s="526">
        <f>IF(NbAnVision&gt;=1,AnReference+1,"NA")</f>
        <v>2019</v>
      </c>
      <c r="J13" s="526">
        <f>IF(NbAnVision&gt;=2,AnReference+2,"NA")</f>
        <v>2020</v>
      </c>
      <c r="K13" s="526">
        <f>IF(NbAnVision&gt;=3,AnReference+3,"NA")</f>
        <v>2021</v>
      </c>
      <c r="L13" s="1402" t="s">
        <v>127</v>
      </c>
      <c r="M13" s="507"/>
      <c r="N13" s="525">
        <f>AnReference-1</f>
        <v>2017</v>
      </c>
      <c r="O13" s="526">
        <f>AnReference</f>
        <v>2018</v>
      </c>
      <c r="P13" s="526">
        <f>I13</f>
        <v>2019</v>
      </c>
      <c r="Q13" s="526">
        <f>J13</f>
        <v>2020</v>
      </c>
      <c r="R13" s="526">
        <f>K13</f>
        <v>2021</v>
      </c>
      <c r="S13" s="1402" t="s">
        <v>127</v>
      </c>
      <c r="T13" s="508"/>
    </row>
    <row r="14" spans="1:22" s="204" customFormat="1" ht="51" customHeight="1" x14ac:dyDescent="0.35">
      <c r="A14" s="5793" t="s">
        <v>1421</v>
      </c>
      <c r="B14" s="5794"/>
      <c r="C14" s="5794"/>
      <c r="D14" s="5794"/>
      <c r="E14" s="5794"/>
      <c r="F14" s="5794"/>
      <c r="G14" s="5795" t="s">
        <v>1005</v>
      </c>
      <c r="H14" s="5795"/>
      <c r="I14" s="5795"/>
      <c r="J14" s="5795"/>
      <c r="K14" s="5795"/>
      <c r="L14" s="5796"/>
      <c r="M14" s="507"/>
      <c r="N14" s="5800" t="s">
        <v>1422</v>
      </c>
      <c r="O14" s="5801"/>
      <c r="P14" s="5801"/>
      <c r="Q14" s="5801"/>
      <c r="R14" s="5801"/>
      <c r="S14" s="5802"/>
      <c r="T14" s="508"/>
    </row>
    <row r="15" spans="1:22" s="204" customFormat="1" ht="21.75" customHeight="1" x14ac:dyDescent="0.35">
      <c r="A15" s="5797" t="s">
        <v>758</v>
      </c>
      <c r="B15" s="5798"/>
      <c r="C15" s="5798"/>
      <c r="D15" s="5798"/>
      <c r="E15" s="5798"/>
      <c r="F15" s="5798"/>
      <c r="G15" s="1164"/>
      <c r="H15" s="1403"/>
      <c r="I15" s="1404"/>
      <c r="J15" s="1404"/>
      <c r="K15" s="1405"/>
      <c r="L15" s="1406">
        <f>SUM(H15:K15)</f>
        <v>0</v>
      </c>
      <c r="M15" s="509"/>
      <c r="N15" s="1167" t="str">
        <f>IF(G15=0,"",G15/G24)</f>
        <v/>
      </c>
      <c r="O15" s="511" t="e">
        <f>H15/H24</f>
        <v>#DIV/0!</v>
      </c>
      <c r="P15" s="511" t="e">
        <f>I15/I24</f>
        <v>#DIV/0!</v>
      </c>
      <c r="Q15" s="511" t="e">
        <f t="shared" ref="Q15:Q22" si="0">J15/$J$24</f>
        <v>#DIV/0!</v>
      </c>
      <c r="R15" s="1098" t="e">
        <f t="shared" ref="R15:R22" si="1">K15/$K$24</f>
        <v>#DIV/0!</v>
      </c>
      <c r="S15" s="1068" t="e">
        <f t="shared" ref="S15:S22" si="2">L15/$L$24</f>
        <v>#DIV/0!</v>
      </c>
      <c r="T15" s="508"/>
    </row>
    <row r="16" spans="1:22" ht="15.5" x14ac:dyDescent="0.35">
      <c r="A16" s="5797" t="s">
        <v>1423</v>
      </c>
      <c r="B16" s="5798"/>
      <c r="C16" s="5798"/>
      <c r="D16" s="5798"/>
      <c r="E16" s="5798"/>
      <c r="F16" s="5798"/>
      <c r="G16" s="1164"/>
      <c r="H16" s="1407"/>
      <c r="I16" s="611"/>
      <c r="J16" s="611"/>
      <c r="K16" s="1092"/>
      <c r="L16" s="1063">
        <f t="shared" ref="L16:L22" si="3">SUM(H16:K16)</f>
        <v>0</v>
      </c>
      <c r="M16" s="509"/>
      <c r="N16" s="1167" t="str">
        <f>IF(G16=0,"",G16/G24)</f>
        <v/>
      </c>
      <c r="O16" s="511" t="e">
        <f t="shared" ref="O16:O22" si="4">H16/$H$24</f>
        <v>#DIV/0!</v>
      </c>
      <c r="P16" s="511" t="e">
        <f t="shared" ref="P16:P22" si="5">I16/$I$24</f>
        <v>#DIV/0!</v>
      </c>
      <c r="Q16" s="511" t="e">
        <f t="shared" si="0"/>
        <v>#DIV/0!</v>
      </c>
      <c r="R16" s="1098" t="e">
        <f t="shared" si="1"/>
        <v>#DIV/0!</v>
      </c>
      <c r="S16" s="1068" t="e">
        <f t="shared" si="2"/>
        <v>#DIV/0!</v>
      </c>
      <c r="T16" s="512"/>
    </row>
    <row r="17" spans="1:20" ht="15.5" x14ac:dyDescent="0.35">
      <c r="A17" s="5797" t="s">
        <v>1424</v>
      </c>
      <c r="B17" s="5798"/>
      <c r="C17" s="5798"/>
      <c r="D17" s="5798"/>
      <c r="E17" s="5798"/>
      <c r="F17" s="5798"/>
      <c r="G17" s="1164"/>
      <c r="H17" s="1407"/>
      <c r="I17" s="1408"/>
      <c r="J17" s="611"/>
      <c r="K17" s="1092"/>
      <c r="L17" s="1063">
        <f t="shared" si="3"/>
        <v>0</v>
      </c>
      <c r="M17" s="509"/>
      <c r="N17" s="1167" t="str">
        <f>IF(G17=0,"",G17/$G$24)</f>
        <v/>
      </c>
      <c r="O17" s="511" t="e">
        <f t="shared" si="4"/>
        <v>#DIV/0!</v>
      </c>
      <c r="P17" s="511" t="e">
        <f t="shared" si="5"/>
        <v>#DIV/0!</v>
      </c>
      <c r="Q17" s="511" t="e">
        <f t="shared" si="0"/>
        <v>#DIV/0!</v>
      </c>
      <c r="R17" s="1098" t="e">
        <f t="shared" si="1"/>
        <v>#DIV/0!</v>
      </c>
      <c r="S17" s="1068" t="e">
        <f t="shared" si="2"/>
        <v>#DIV/0!</v>
      </c>
      <c r="T17" s="512"/>
    </row>
    <row r="18" spans="1:20" ht="15.5" x14ac:dyDescent="0.35">
      <c r="A18" s="5797" t="s">
        <v>1526</v>
      </c>
      <c r="B18" s="5798"/>
      <c r="C18" s="5798"/>
      <c r="D18" s="5798"/>
      <c r="E18" s="5798"/>
      <c r="F18" s="5798"/>
      <c r="G18" s="1164"/>
      <c r="H18" s="1407"/>
      <c r="I18" s="611"/>
      <c r="J18" s="611"/>
      <c r="K18" s="1092"/>
      <c r="L18" s="1063">
        <f t="shared" si="3"/>
        <v>0</v>
      </c>
      <c r="M18" s="509"/>
      <c r="N18" s="1167" t="str">
        <f>IF(G18=0,"",G18/G24)</f>
        <v/>
      </c>
      <c r="O18" s="511" t="e">
        <f t="shared" si="4"/>
        <v>#DIV/0!</v>
      </c>
      <c r="P18" s="511" t="e">
        <f t="shared" si="5"/>
        <v>#DIV/0!</v>
      </c>
      <c r="Q18" s="511" t="e">
        <f t="shared" si="0"/>
        <v>#DIV/0!</v>
      </c>
      <c r="R18" s="1098" t="e">
        <f t="shared" si="1"/>
        <v>#DIV/0!</v>
      </c>
      <c r="S18" s="1068" t="e">
        <f t="shared" si="2"/>
        <v>#DIV/0!</v>
      </c>
      <c r="T18" s="512"/>
    </row>
    <row r="19" spans="1:20" ht="17.25" customHeight="1" x14ac:dyDescent="0.35">
      <c r="A19" s="5797" t="s">
        <v>1425</v>
      </c>
      <c r="B19" s="5798"/>
      <c r="C19" s="5798"/>
      <c r="D19" s="5798"/>
      <c r="E19" s="5798"/>
      <c r="F19" s="5798"/>
      <c r="G19" s="1164"/>
      <c r="H19" s="1407"/>
      <c r="I19" s="611"/>
      <c r="J19" s="611"/>
      <c r="K19" s="1092"/>
      <c r="L19" s="1063">
        <f t="shared" si="3"/>
        <v>0</v>
      </c>
      <c r="M19" s="513"/>
      <c r="N19" s="1167" t="str">
        <f>IF(G19=0,"",G19/G24)</f>
        <v/>
      </c>
      <c r="O19" s="511" t="e">
        <f t="shared" si="4"/>
        <v>#DIV/0!</v>
      </c>
      <c r="P19" s="511" t="e">
        <f t="shared" si="5"/>
        <v>#DIV/0!</v>
      </c>
      <c r="Q19" s="511" t="e">
        <f t="shared" si="0"/>
        <v>#DIV/0!</v>
      </c>
      <c r="R19" s="1098" t="e">
        <f t="shared" si="1"/>
        <v>#DIV/0!</v>
      </c>
      <c r="S19" s="1068" t="e">
        <f t="shared" si="2"/>
        <v>#DIV/0!</v>
      </c>
      <c r="T19" s="512"/>
    </row>
    <row r="20" spans="1:20" ht="15.5" x14ac:dyDescent="0.35">
      <c r="A20" s="5797" t="s">
        <v>512</v>
      </c>
      <c r="B20" s="5798"/>
      <c r="C20" s="5798"/>
      <c r="D20" s="5798"/>
      <c r="E20" s="5798"/>
      <c r="F20" s="5798"/>
      <c r="G20" s="1164"/>
      <c r="H20" s="1409"/>
      <c r="I20" s="611"/>
      <c r="J20" s="611"/>
      <c r="K20" s="1092"/>
      <c r="L20" s="1063">
        <f t="shared" si="3"/>
        <v>0</v>
      </c>
      <c r="M20" s="513"/>
      <c r="N20" s="1167" t="str">
        <f>IF(G20=0,"",G20/G24)</f>
        <v/>
      </c>
      <c r="O20" s="511" t="e">
        <f t="shared" si="4"/>
        <v>#DIV/0!</v>
      </c>
      <c r="P20" s="511" t="e">
        <f t="shared" si="5"/>
        <v>#DIV/0!</v>
      </c>
      <c r="Q20" s="511" t="e">
        <f t="shared" si="0"/>
        <v>#DIV/0!</v>
      </c>
      <c r="R20" s="1098" t="e">
        <f t="shared" si="1"/>
        <v>#DIV/0!</v>
      </c>
      <c r="S20" s="1068" t="e">
        <f t="shared" si="2"/>
        <v>#DIV/0!</v>
      </c>
      <c r="T20" s="512"/>
    </row>
    <row r="21" spans="1:20" ht="15.5" x14ac:dyDescent="0.35">
      <c r="A21" s="5797" t="s">
        <v>449</v>
      </c>
      <c r="B21" s="5798"/>
      <c r="C21" s="5798"/>
      <c r="D21" s="5798"/>
      <c r="E21" s="5798"/>
      <c r="F21" s="5798"/>
      <c r="G21" s="1164"/>
      <c r="H21" s="1409"/>
      <c r="I21" s="611"/>
      <c r="J21" s="611"/>
      <c r="K21" s="1092"/>
      <c r="L21" s="1063">
        <f>SUM(H21:K21)</f>
        <v>0</v>
      </c>
      <c r="M21" s="513"/>
      <c r="N21" s="1167" t="str">
        <f>IF(G21=0,"",G21/G25)</f>
        <v/>
      </c>
      <c r="O21" s="511" t="e">
        <f t="shared" si="4"/>
        <v>#DIV/0!</v>
      </c>
      <c r="P21" s="511" t="e">
        <f t="shared" si="5"/>
        <v>#DIV/0!</v>
      </c>
      <c r="Q21" s="511" t="e">
        <f t="shared" si="0"/>
        <v>#DIV/0!</v>
      </c>
      <c r="R21" s="1098" t="e">
        <f t="shared" si="1"/>
        <v>#DIV/0!</v>
      </c>
      <c r="S21" s="1068" t="e">
        <f t="shared" si="2"/>
        <v>#DIV/0!</v>
      </c>
      <c r="T21" s="512"/>
    </row>
    <row r="22" spans="1:20" ht="15.5" x14ac:dyDescent="0.35">
      <c r="A22" s="5797" t="s">
        <v>450</v>
      </c>
      <c r="B22" s="5798"/>
      <c r="C22" s="5798"/>
      <c r="D22" s="5798"/>
      <c r="E22" s="5798"/>
      <c r="F22" s="5798"/>
      <c r="G22" s="1164">
        <v>0</v>
      </c>
      <c r="H22" s="1409">
        <v>0</v>
      </c>
      <c r="I22" s="611">
        <v>0</v>
      </c>
      <c r="J22" s="611">
        <v>0</v>
      </c>
      <c r="K22" s="611">
        <v>0</v>
      </c>
      <c r="L22" s="1063">
        <f t="shared" si="3"/>
        <v>0</v>
      </c>
      <c r="M22" s="513"/>
      <c r="N22" s="1167" t="str">
        <f>IF(G22=0,"",G22/G26)</f>
        <v/>
      </c>
      <c r="O22" s="511" t="e">
        <f t="shared" si="4"/>
        <v>#DIV/0!</v>
      </c>
      <c r="P22" s="511" t="e">
        <f t="shared" si="5"/>
        <v>#DIV/0!</v>
      </c>
      <c r="Q22" s="511" t="e">
        <f t="shared" si="0"/>
        <v>#DIV/0!</v>
      </c>
      <c r="R22" s="1098" t="e">
        <f t="shared" si="1"/>
        <v>#DIV/0!</v>
      </c>
      <c r="S22" s="1068" t="e">
        <f t="shared" si="2"/>
        <v>#DIV/0!</v>
      </c>
      <c r="T22" s="512"/>
    </row>
    <row r="23" spans="1:20" x14ac:dyDescent="0.35">
      <c r="A23" s="5799">
        <f>SUM(H23:K23)</f>
        <v>0</v>
      </c>
      <c r="B23" s="4122"/>
      <c r="C23" s="4122"/>
      <c r="D23" s="4122"/>
      <c r="E23" s="4122"/>
      <c r="F23" s="4122"/>
      <c r="G23" s="4122"/>
      <c r="H23" s="4122"/>
      <c r="I23" s="4122"/>
      <c r="J23" s="4122"/>
      <c r="K23" s="4122"/>
      <c r="L23" s="4123"/>
      <c r="M23" s="513"/>
      <c r="N23" s="5779" t="e">
        <f>H23/$H$24</f>
        <v>#DIV/0!</v>
      </c>
      <c r="O23" s="5780"/>
      <c r="P23" s="5780"/>
      <c r="Q23" s="5780"/>
      <c r="R23" s="5780"/>
      <c r="S23" s="5781"/>
      <c r="T23" s="512"/>
    </row>
    <row r="24" spans="1:20" ht="16.5" customHeight="1" x14ac:dyDescent="0.35">
      <c r="A24" s="5782" t="s">
        <v>1426</v>
      </c>
      <c r="B24" s="5783"/>
      <c r="C24" s="5783"/>
      <c r="D24" s="5783"/>
      <c r="E24" s="5783"/>
      <c r="F24" s="5783"/>
      <c r="G24" s="514">
        <f t="shared" ref="G24:L24" si="6">SUM(G15:G23)</f>
        <v>0</v>
      </c>
      <c r="H24" s="1169">
        <f t="shared" si="6"/>
        <v>0</v>
      </c>
      <c r="I24" s="1169">
        <f t="shared" si="6"/>
        <v>0</v>
      </c>
      <c r="J24" s="1169">
        <f t="shared" si="6"/>
        <v>0</v>
      </c>
      <c r="K24" s="1170">
        <f t="shared" si="6"/>
        <v>0</v>
      </c>
      <c r="L24" s="1171">
        <f t="shared" si="6"/>
        <v>0</v>
      </c>
      <c r="M24" s="515"/>
      <c r="N24" s="1168" t="e">
        <f t="shared" ref="N24:S24" si="7">SUM(N15:N23)</f>
        <v>#DIV/0!</v>
      </c>
      <c r="O24" s="516" t="e">
        <f t="shared" si="7"/>
        <v>#DIV/0!</v>
      </c>
      <c r="P24" s="516" t="e">
        <f t="shared" si="7"/>
        <v>#DIV/0!</v>
      </c>
      <c r="Q24" s="516" t="e">
        <f t="shared" si="7"/>
        <v>#DIV/0!</v>
      </c>
      <c r="R24" s="1103" t="e">
        <f t="shared" si="7"/>
        <v>#DIV/0!</v>
      </c>
      <c r="S24" s="1106" t="e">
        <f t="shared" si="7"/>
        <v>#DIV/0!</v>
      </c>
      <c r="T24" s="512"/>
    </row>
    <row r="25" spans="1:20" ht="15" thickBot="1" x14ac:dyDescent="0.4">
      <c r="A25" s="5787" t="s">
        <v>761</v>
      </c>
      <c r="B25" s="5788"/>
      <c r="C25" s="5788"/>
      <c r="D25" s="5788"/>
      <c r="E25" s="5788"/>
      <c r="F25" s="5788"/>
      <c r="G25" s="517"/>
      <c r="H25" s="1172" t="e">
        <f>(H24-G24)/G24</f>
        <v>#DIV/0!</v>
      </c>
      <c r="I25" s="1172" t="e">
        <f>(I24-H24)/H24</f>
        <v>#DIV/0!</v>
      </c>
      <c r="J25" s="1172" t="e">
        <f>(J24-I24)/I24</f>
        <v>#DIV/0!</v>
      </c>
      <c r="K25" s="1172" t="e">
        <f>(K24-J24)/J24</f>
        <v>#DIV/0!</v>
      </c>
      <c r="L25" s="1173"/>
      <c r="M25" s="515"/>
      <c r="N25" s="518"/>
      <c r="O25" s="519"/>
      <c r="P25" s="519"/>
      <c r="Q25" s="519"/>
      <c r="R25" s="1104"/>
      <c r="S25" s="1107"/>
      <c r="T25" s="513"/>
    </row>
    <row r="26" spans="1:20" ht="15" thickTop="1" x14ac:dyDescent="0.35">
      <c r="A26" s="5789" t="s">
        <v>1427</v>
      </c>
      <c r="B26" s="5790"/>
      <c r="C26" s="5790"/>
      <c r="D26" s="5790"/>
      <c r="E26" s="5790"/>
      <c r="F26" s="5790"/>
      <c r="G26" s="1410">
        <f t="shared" ref="G26:L26" si="8">SUM(G16:G22)</f>
        <v>0</v>
      </c>
      <c r="H26" s="1411">
        <f t="shared" si="8"/>
        <v>0</v>
      </c>
      <c r="I26" s="1411">
        <f t="shared" si="8"/>
        <v>0</v>
      </c>
      <c r="J26" s="1411">
        <f t="shared" si="8"/>
        <v>0</v>
      </c>
      <c r="K26" s="1411">
        <f t="shared" si="8"/>
        <v>0</v>
      </c>
      <c r="L26" s="1412">
        <f t="shared" si="8"/>
        <v>0</v>
      </c>
      <c r="M26" s="530"/>
      <c r="N26" s="531"/>
      <c r="O26" s="496"/>
      <c r="P26" s="496"/>
      <c r="Q26" s="533"/>
      <c r="R26" s="496"/>
      <c r="S26" s="534"/>
      <c r="T26" s="520"/>
    </row>
    <row r="27" spans="1:20" ht="15" thickBot="1" x14ac:dyDescent="0.4">
      <c r="A27" s="1413"/>
      <c r="B27" s="1414"/>
      <c r="C27" s="1414"/>
      <c r="D27" s="1414"/>
      <c r="E27" s="1414"/>
      <c r="F27" s="1415" t="s">
        <v>1428</v>
      </c>
      <c r="G27" s="1416"/>
      <c r="H27" s="1417" t="e">
        <f>(H26-G26)/G26</f>
        <v>#DIV/0!</v>
      </c>
      <c r="I27" s="1417" t="e">
        <f>(I26-H26)/H26</f>
        <v>#DIV/0!</v>
      </c>
      <c r="J27" s="1417" t="e">
        <f>(J26-I26)/I26</f>
        <v>#DIV/0!</v>
      </c>
      <c r="K27" s="1417" t="e">
        <f>(K26-J26)/J26</f>
        <v>#DIV/0!</v>
      </c>
      <c r="L27" s="1418"/>
      <c r="M27" s="530"/>
      <c r="N27" s="496"/>
      <c r="O27" s="496"/>
      <c r="P27" s="496"/>
      <c r="Q27" s="513"/>
      <c r="R27" s="496"/>
      <c r="S27" s="536"/>
      <c r="T27" s="512"/>
    </row>
    <row r="28" spans="1:20" ht="15" thickTop="1" x14ac:dyDescent="0.35">
      <c r="A28" s="5771" t="s">
        <v>1429</v>
      </c>
      <c r="B28" s="5771"/>
      <c r="C28" s="5771"/>
      <c r="D28" s="5771"/>
      <c r="E28" s="5771"/>
      <c r="F28" s="5771"/>
      <c r="G28" s="521"/>
      <c r="H28" s="1419"/>
      <c r="I28" s="1419"/>
      <c r="J28" s="1419"/>
      <c r="K28" s="1419"/>
      <c r="L28" s="523"/>
      <c r="M28" s="515"/>
      <c r="N28" s="515"/>
      <c r="O28" s="524"/>
      <c r="P28" s="524"/>
      <c r="Q28" s="524"/>
      <c r="R28" s="524"/>
      <c r="S28" s="524"/>
      <c r="T28" s="512"/>
    </row>
    <row r="29" spans="1:20" s="167" customFormat="1" ht="20.25" customHeight="1" thickBot="1" x14ac:dyDescent="0.4">
      <c r="A29" s="1420"/>
      <c r="B29" s="1420"/>
      <c r="C29" s="1420"/>
      <c r="D29" s="1420"/>
      <c r="E29" s="1420"/>
      <c r="F29" s="1420"/>
      <c r="G29" s="521"/>
      <c r="H29" s="522"/>
      <c r="I29" s="522"/>
      <c r="J29" s="522"/>
      <c r="K29" s="522"/>
      <c r="L29" s="523"/>
      <c r="M29" s="515"/>
      <c r="N29" s="515"/>
      <c r="O29" s="524"/>
      <c r="P29" s="524"/>
      <c r="Q29" s="524"/>
      <c r="R29" s="524"/>
      <c r="S29" s="524"/>
      <c r="T29" s="520"/>
    </row>
    <row r="30" spans="1:20" s="167" customFormat="1" ht="18.75" customHeight="1" thickTop="1" thickBot="1" x14ac:dyDescent="0.4">
      <c r="A30" s="5791" t="s">
        <v>1117</v>
      </c>
      <c r="B30" s="5792"/>
      <c r="C30" s="5792"/>
      <c r="D30" s="5792"/>
      <c r="E30" s="5792"/>
      <c r="F30" s="5792"/>
      <c r="G30" s="506">
        <f>AnReference-1</f>
        <v>2017</v>
      </c>
      <c r="H30" s="506">
        <f>AnReference</f>
        <v>2018</v>
      </c>
      <c r="I30" s="506">
        <f>I13</f>
        <v>2019</v>
      </c>
      <c r="J30" s="506">
        <f>J13</f>
        <v>2020</v>
      </c>
      <c r="K30" s="1093">
        <f>K13</f>
        <v>2021</v>
      </c>
      <c r="L30" s="1094" t="s">
        <v>822</v>
      </c>
      <c r="M30" s="507"/>
      <c r="N30" s="525">
        <f t="shared" ref="N30:S30" si="9">G30</f>
        <v>2017</v>
      </c>
      <c r="O30" s="526">
        <f t="shared" si="9"/>
        <v>2018</v>
      </c>
      <c r="P30" s="526">
        <f t="shared" si="9"/>
        <v>2019</v>
      </c>
      <c r="Q30" s="526">
        <f t="shared" si="9"/>
        <v>2020</v>
      </c>
      <c r="R30" s="1102">
        <f t="shared" si="9"/>
        <v>2021</v>
      </c>
      <c r="S30" s="1105" t="str">
        <f t="shared" si="9"/>
        <v xml:space="preserve">Total </v>
      </c>
      <c r="T30" s="520"/>
    </row>
    <row r="31" spans="1:20" s="204" customFormat="1" ht="36" customHeight="1" x14ac:dyDescent="0.35">
      <c r="A31" s="5793" t="s">
        <v>1430</v>
      </c>
      <c r="B31" s="5794"/>
      <c r="C31" s="5794"/>
      <c r="D31" s="5794"/>
      <c r="E31" s="5794"/>
      <c r="F31" s="5794"/>
      <c r="G31" s="5795" t="s">
        <v>1431</v>
      </c>
      <c r="H31" s="5795"/>
      <c r="I31" s="5795"/>
      <c r="J31" s="5795"/>
      <c r="K31" s="5795"/>
      <c r="L31" s="5796"/>
      <c r="M31" s="513"/>
      <c r="N31" s="5784" t="s">
        <v>1432</v>
      </c>
      <c r="O31" s="5785"/>
      <c r="P31" s="5785"/>
      <c r="Q31" s="5785"/>
      <c r="R31" s="5785"/>
      <c r="S31" s="5786"/>
      <c r="T31" s="508"/>
    </row>
    <row r="32" spans="1:20" s="211" customFormat="1" ht="24" customHeight="1" x14ac:dyDescent="0.35">
      <c r="A32" s="5774" t="str">
        <f t="shared" ref="A32:A39" si="10">A15</f>
        <v>Ventes directes seules</v>
      </c>
      <c r="B32" s="5775"/>
      <c r="C32" s="5775"/>
      <c r="D32" s="5775"/>
      <c r="E32" s="5775"/>
      <c r="F32" s="5775"/>
      <c r="G32" s="1487"/>
      <c r="H32" s="1488"/>
      <c r="I32" s="1488"/>
      <c r="J32" s="1488"/>
      <c r="K32" s="1489"/>
      <c r="L32" s="1490">
        <f t="shared" ref="L32:L39" si="11">SUM(H32:K32)</f>
        <v>0</v>
      </c>
      <c r="M32" s="1491"/>
      <c r="N32" s="1492" t="str">
        <f>IF(G32=0,"",G32/G$41)</f>
        <v/>
      </c>
      <c r="O32" s="1493" t="e">
        <f t="shared" ref="O32:R39" si="12">H32/H$41</f>
        <v>#DIV/0!</v>
      </c>
      <c r="P32" s="1493" t="e">
        <f t="shared" si="12"/>
        <v>#DIV/0!</v>
      </c>
      <c r="Q32" s="1493" t="e">
        <f t="shared" si="12"/>
        <v>#DIV/0!</v>
      </c>
      <c r="R32" s="1494" t="e">
        <f t="shared" si="12"/>
        <v>#DIV/0!</v>
      </c>
      <c r="S32" s="1495" t="e">
        <f t="shared" ref="S32:S39" si="13">L32/$L$41</f>
        <v>#DIV/0!</v>
      </c>
      <c r="T32" s="1496"/>
    </row>
    <row r="33" spans="1:20" ht="15.5" x14ac:dyDescent="0.35">
      <c r="A33" s="5774" t="str">
        <f t="shared" si="10"/>
        <v>ESN</v>
      </c>
      <c r="B33" s="5775"/>
      <c r="C33" s="5775"/>
      <c r="D33" s="5775"/>
      <c r="E33" s="5775"/>
      <c r="F33" s="5775"/>
      <c r="G33" s="1164"/>
      <c r="H33" s="611"/>
      <c r="I33" s="611"/>
      <c r="J33" s="611"/>
      <c r="K33" s="1092"/>
      <c r="L33" s="1063">
        <f t="shared" si="11"/>
        <v>0</v>
      </c>
      <c r="M33" s="509"/>
      <c r="N33" s="1167" t="str">
        <f t="shared" ref="N33:N39" si="14">IF(G33=0,"",G33/G$41)</f>
        <v/>
      </c>
      <c r="O33" s="511" t="e">
        <f t="shared" si="12"/>
        <v>#DIV/0!</v>
      </c>
      <c r="P33" s="511" t="e">
        <f t="shared" si="12"/>
        <v>#DIV/0!</v>
      </c>
      <c r="Q33" s="511" t="e">
        <f t="shared" si="12"/>
        <v>#DIV/0!</v>
      </c>
      <c r="R33" s="1098" t="e">
        <f t="shared" si="12"/>
        <v>#DIV/0!</v>
      </c>
      <c r="S33" s="1068" t="e">
        <f t="shared" si="13"/>
        <v>#DIV/0!</v>
      </c>
      <c r="T33" s="513"/>
    </row>
    <row r="34" spans="1:20" ht="15.5" x14ac:dyDescent="0.35">
      <c r="A34" s="5774" t="str">
        <f t="shared" si="10"/>
        <v>Centres de contact</v>
      </c>
      <c r="B34" s="5775"/>
      <c r="C34" s="5775"/>
      <c r="D34" s="5775"/>
      <c r="E34" s="5775"/>
      <c r="F34" s="5775"/>
      <c r="G34" s="1164"/>
      <c r="H34" s="611"/>
      <c r="I34" s="611"/>
      <c r="J34" s="611"/>
      <c r="K34" s="1092"/>
      <c r="L34" s="1063">
        <f t="shared" si="11"/>
        <v>0</v>
      </c>
      <c r="M34" s="509"/>
      <c r="N34" s="1167" t="str">
        <f t="shared" si="14"/>
        <v/>
      </c>
      <c r="O34" s="511" t="e">
        <f t="shared" si="12"/>
        <v>#DIV/0!</v>
      </c>
      <c r="P34" s="511" t="e">
        <f t="shared" si="12"/>
        <v>#DIV/0!</v>
      </c>
      <c r="Q34" s="511" t="e">
        <f t="shared" si="12"/>
        <v>#DIV/0!</v>
      </c>
      <c r="R34" s="1098" t="e">
        <f t="shared" si="12"/>
        <v>#DIV/0!</v>
      </c>
      <c r="S34" s="1068" t="e">
        <f t="shared" si="13"/>
        <v>#DIV/0!</v>
      </c>
      <c r="T34" s="512"/>
    </row>
    <row r="35" spans="1:20" ht="15.5" x14ac:dyDescent="0.35">
      <c r="A35" s="5774" t="str">
        <f t="shared" si="10"/>
        <v>Vars Nationaux</v>
      </c>
      <c r="B35" s="5775"/>
      <c r="C35" s="5775"/>
      <c r="D35" s="5775"/>
      <c r="E35" s="5775"/>
      <c r="F35" s="5775"/>
      <c r="G35" s="1164"/>
      <c r="H35" s="611"/>
      <c r="I35" s="611"/>
      <c r="J35" s="611"/>
      <c r="K35" s="1092"/>
      <c r="L35" s="1063">
        <f t="shared" si="11"/>
        <v>0</v>
      </c>
      <c r="M35" s="509"/>
      <c r="N35" s="1167" t="str">
        <f t="shared" si="14"/>
        <v/>
      </c>
      <c r="O35" s="511" t="e">
        <f t="shared" si="12"/>
        <v>#DIV/0!</v>
      </c>
      <c r="P35" s="511" t="e">
        <f t="shared" si="12"/>
        <v>#DIV/0!</v>
      </c>
      <c r="Q35" s="511" t="e">
        <f t="shared" si="12"/>
        <v>#DIV/0!</v>
      </c>
      <c r="R35" s="1098" t="e">
        <f t="shared" si="12"/>
        <v>#DIV/0!</v>
      </c>
      <c r="S35" s="1068" t="e">
        <f t="shared" si="13"/>
        <v>#DIV/0!</v>
      </c>
      <c r="T35" s="512"/>
    </row>
    <row r="36" spans="1:20" ht="17.25" customHeight="1" x14ac:dyDescent="0.35">
      <c r="A36" s="5774" t="str">
        <f t="shared" si="10"/>
        <v>Editeurs</v>
      </c>
      <c r="B36" s="5775"/>
      <c r="C36" s="5775"/>
      <c r="D36" s="5775"/>
      <c r="E36" s="5775"/>
      <c r="F36" s="5775"/>
      <c r="G36" s="1164"/>
      <c r="H36" s="611"/>
      <c r="I36" s="611"/>
      <c r="J36" s="611"/>
      <c r="K36" s="1092"/>
      <c r="L36" s="1063">
        <f t="shared" si="11"/>
        <v>0</v>
      </c>
      <c r="M36" s="513"/>
      <c r="N36" s="1167" t="str">
        <f t="shared" si="14"/>
        <v/>
      </c>
      <c r="O36" s="511" t="e">
        <f t="shared" si="12"/>
        <v>#DIV/0!</v>
      </c>
      <c r="P36" s="511" t="e">
        <f t="shared" si="12"/>
        <v>#DIV/0!</v>
      </c>
      <c r="Q36" s="511" t="e">
        <f t="shared" si="12"/>
        <v>#DIV/0!</v>
      </c>
      <c r="R36" s="1098" t="e">
        <f t="shared" si="12"/>
        <v>#DIV/0!</v>
      </c>
      <c r="S36" s="1068" t="e">
        <f t="shared" si="13"/>
        <v>#DIV/0!</v>
      </c>
      <c r="T36" s="512"/>
    </row>
    <row r="37" spans="1:20" ht="15.5" x14ac:dyDescent="0.35">
      <c r="A37" s="5774" t="str">
        <f t="shared" si="10"/>
        <v>Web Agencies</v>
      </c>
      <c r="B37" s="5775"/>
      <c r="C37" s="5775"/>
      <c r="D37" s="5775"/>
      <c r="E37" s="5775"/>
      <c r="F37" s="5775"/>
      <c r="G37" s="1164"/>
      <c r="H37" s="611"/>
      <c r="I37" s="611"/>
      <c r="J37" s="611"/>
      <c r="K37" s="1092"/>
      <c r="L37" s="1063">
        <f t="shared" si="11"/>
        <v>0</v>
      </c>
      <c r="M37" s="513"/>
      <c r="N37" s="1167" t="str">
        <f t="shared" si="14"/>
        <v/>
      </c>
      <c r="O37" s="511" t="e">
        <f t="shared" si="12"/>
        <v>#DIV/0!</v>
      </c>
      <c r="P37" s="511" t="e">
        <f t="shared" si="12"/>
        <v>#DIV/0!</v>
      </c>
      <c r="Q37" s="511" t="e">
        <f t="shared" si="12"/>
        <v>#DIV/0!</v>
      </c>
      <c r="R37" s="1098" t="e">
        <f t="shared" si="12"/>
        <v>#DIV/0!</v>
      </c>
      <c r="S37" s="1068" t="e">
        <f t="shared" si="13"/>
        <v>#DIV/0!</v>
      </c>
      <c r="T37" s="512"/>
    </row>
    <row r="38" spans="1:20" ht="15.5" x14ac:dyDescent="0.35">
      <c r="A38" s="5774" t="str">
        <f t="shared" si="10"/>
        <v>Constructeurs</v>
      </c>
      <c r="B38" s="5775"/>
      <c r="C38" s="5775"/>
      <c r="D38" s="5775"/>
      <c r="E38" s="5775"/>
      <c r="F38" s="5775"/>
      <c r="G38" s="1164"/>
      <c r="H38" s="611"/>
      <c r="I38" s="611"/>
      <c r="J38" s="611"/>
      <c r="K38" s="1092"/>
      <c r="L38" s="1063">
        <f t="shared" si="11"/>
        <v>0</v>
      </c>
      <c r="M38" s="513"/>
      <c r="N38" s="1167" t="str">
        <f t="shared" si="14"/>
        <v/>
      </c>
      <c r="O38" s="511" t="e">
        <f t="shared" si="12"/>
        <v>#DIV/0!</v>
      </c>
      <c r="P38" s="511" t="e">
        <f t="shared" si="12"/>
        <v>#DIV/0!</v>
      </c>
      <c r="Q38" s="511" t="e">
        <f t="shared" si="12"/>
        <v>#DIV/0!</v>
      </c>
      <c r="R38" s="1098" t="e">
        <f t="shared" si="12"/>
        <v>#DIV/0!</v>
      </c>
      <c r="S38" s="1068" t="e">
        <f t="shared" si="13"/>
        <v>#DIV/0!</v>
      </c>
      <c r="T38" s="512"/>
    </row>
    <row r="39" spans="1:20" ht="15.5" x14ac:dyDescent="0.35">
      <c r="A39" s="5774" t="str">
        <f t="shared" si="10"/>
        <v>Hébergeurs</v>
      </c>
      <c r="B39" s="5775"/>
      <c r="C39" s="5775"/>
      <c r="D39" s="5775"/>
      <c r="E39" s="5775"/>
      <c r="F39" s="5775"/>
      <c r="G39" s="1164"/>
      <c r="H39" s="611"/>
      <c r="I39" s="611"/>
      <c r="J39" s="611"/>
      <c r="K39" s="1092"/>
      <c r="L39" s="1063">
        <f t="shared" si="11"/>
        <v>0</v>
      </c>
      <c r="M39" s="513"/>
      <c r="N39" s="1167" t="str">
        <f t="shared" si="14"/>
        <v/>
      </c>
      <c r="O39" s="511" t="e">
        <f t="shared" si="12"/>
        <v>#DIV/0!</v>
      </c>
      <c r="P39" s="511" t="e">
        <f t="shared" si="12"/>
        <v>#DIV/0!</v>
      </c>
      <c r="Q39" s="511" t="e">
        <f t="shared" si="12"/>
        <v>#DIV/0!</v>
      </c>
      <c r="R39" s="1098" t="e">
        <f t="shared" si="12"/>
        <v>#DIV/0!</v>
      </c>
      <c r="S39" s="1068" t="e">
        <f t="shared" si="13"/>
        <v>#DIV/0!</v>
      </c>
      <c r="T39" s="512"/>
    </row>
    <row r="40" spans="1:20" x14ac:dyDescent="0.35">
      <c r="A40" s="5776">
        <f>F23</f>
        <v>0</v>
      </c>
      <c r="B40" s="5777"/>
      <c r="C40" s="5777"/>
      <c r="D40" s="5777"/>
      <c r="E40" s="5777"/>
      <c r="F40" s="5777"/>
      <c r="G40" s="5777"/>
      <c r="H40" s="5777"/>
      <c r="I40" s="5777"/>
      <c r="J40" s="5777"/>
      <c r="K40" s="5777"/>
      <c r="L40" s="5778"/>
      <c r="M40" s="513"/>
      <c r="N40" s="5779"/>
      <c r="O40" s="5780"/>
      <c r="P40" s="5780"/>
      <c r="Q40" s="5780"/>
      <c r="R40" s="5780"/>
      <c r="S40" s="5781"/>
      <c r="T40" s="512"/>
    </row>
    <row r="41" spans="1:20" ht="17.25" customHeight="1" x14ac:dyDescent="0.35">
      <c r="A41" s="5782" t="s">
        <v>1433</v>
      </c>
      <c r="B41" s="5783"/>
      <c r="C41" s="5783"/>
      <c r="D41" s="5783"/>
      <c r="E41" s="5783"/>
      <c r="F41" s="5783"/>
      <c r="G41" s="514">
        <f t="shared" ref="G41:L41" si="15">SUM(G32:G40)</f>
        <v>0</v>
      </c>
      <c r="H41" s="1169">
        <f t="shared" si="15"/>
        <v>0</v>
      </c>
      <c r="I41" s="1169">
        <f t="shared" si="15"/>
        <v>0</v>
      </c>
      <c r="J41" s="1169">
        <f t="shared" si="15"/>
        <v>0</v>
      </c>
      <c r="K41" s="1170">
        <f t="shared" si="15"/>
        <v>0</v>
      </c>
      <c r="L41" s="1171">
        <f t="shared" si="15"/>
        <v>0</v>
      </c>
      <c r="M41" s="513"/>
      <c r="N41" s="1168">
        <f t="shared" ref="N41:S41" si="16">SUM(N32:N40)</f>
        <v>0</v>
      </c>
      <c r="O41" s="516" t="e">
        <f t="shared" si="16"/>
        <v>#DIV/0!</v>
      </c>
      <c r="P41" s="516" t="e">
        <f t="shared" si="16"/>
        <v>#DIV/0!</v>
      </c>
      <c r="Q41" s="516" t="e">
        <f t="shared" si="16"/>
        <v>#DIV/0!</v>
      </c>
      <c r="R41" s="1103" t="e">
        <f t="shared" si="16"/>
        <v>#DIV/0!</v>
      </c>
      <c r="S41" s="1106" t="e">
        <f t="shared" si="16"/>
        <v>#DIV/0!</v>
      </c>
      <c r="T41" s="512"/>
    </row>
    <row r="42" spans="1:20" ht="15" thickBot="1" x14ac:dyDescent="0.4">
      <c r="A42" s="5767" t="s">
        <v>763</v>
      </c>
      <c r="B42" s="5768"/>
      <c r="C42" s="5768"/>
      <c r="D42" s="5768"/>
      <c r="E42" s="5768"/>
      <c r="F42" s="5768"/>
      <c r="G42" s="1421"/>
      <c r="H42" s="1422" t="e">
        <f>(H41-G41)/G41</f>
        <v>#DIV/0!</v>
      </c>
      <c r="I42" s="1422" t="e">
        <f>(I41-H41)/H41</f>
        <v>#DIV/0!</v>
      </c>
      <c r="J42" s="1422" t="e">
        <f>(J41-I41)/I41</f>
        <v>#DIV/0!</v>
      </c>
      <c r="K42" s="1422" t="e">
        <f>(K41-J41)/J41</f>
        <v>#DIV/0!</v>
      </c>
      <c r="L42" s="1423"/>
      <c r="M42" s="515"/>
      <c r="N42" s="518"/>
      <c r="O42" s="519"/>
      <c r="P42" s="519"/>
      <c r="Q42" s="519"/>
      <c r="R42" s="1104"/>
      <c r="S42" s="1107"/>
      <c r="T42" s="512"/>
    </row>
    <row r="43" spans="1:20" ht="15" thickTop="1" x14ac:dyDescent="0.35">
      <c r="A43" s="5769" t="s">
        <v>1434</v>
      </c>
      <c r="B43" s="5770"/>
      <c r="C43" s="5770"/>
      <c r="D43" s="5770"/>
      <c r="E43" s="5770"/>
      <c r="F43" s="5770"/>
      <c r="G43" s="1424">
        <f t="shared" ref="G43:L43" si="17">SUM(G33:G39)</f>
        <v>0</v>
      </c>
      <c r="H43" s="1425">
        <f t="shared" si="17"/>
        <v>0</v>
      </c>
      <c r="I43" s="1425">
        <f t="shared" si="17"/>
        <v>0</v>
      </c>
      <c r="J43" s="1425">
        <f t="shared" si="17"/>
        <v>0</v>
      </c>
      <c r="K43" s="1425">
        <f t="shared" si="17"/>
        <v>0</v>
      </c>
      <c r="L43" s="1426">
        <f t="shared" si="17"/>
        <v>0</v>
      </c>
      <c r="M43" s="530"/>
      <c r="N43" s="531"/>
      <c r="O43" s="496"/>
      <c r="P43" s="496"/>
      <c r="Q43" s="533"/>
      <c r="R43" s="496"/>
      <c r="S43" s="534"/>
      <c r="T43" s="512"/>
    </row>
    <row r="44" spans="1:20" ht="15" thickBot="1" x14ac:dyDescent="0.4">
      <c r="A44" s="1427"/>
      <c r="B44" s="1428"/>
      <c r="C44" s="1428"/>
      <c r="D44" s="1428"/>
      <c r="E44" s="1428"/>
      <c r="F44" s="1429" t="s">
        <v>1428</v>
      </c>
      <c r="G44" s="1430"/>
      <c r="H44" s="1431" t="e">
        <f>(H43-G43)/G43</f>
        <v>#DIV/0!</v>
      </c>
      <c r="I44" s="1431" t="e">
        <f>(I43-H43)/H43</f>
        <v>#DIV/0!</v>
      </c>
      <c r="J44" s="1431" t="e">
        <f>(J43-I43)/I43</f>
        <v>#DIV/0!</v>
      </c>
      <c r="K44" s="1431" t="e">
        <f>(K43-J43)/J43</f>
        <v>#DIV/0!</v>
      </c>
      <c r="L44" s="1432"/>
      <c r="M44" s="530"/>
      <c r="N44" s="496"/>
      <c r="O44" s="496"/>
      <c r="P44" s="496"/>
      <c r="Q44" s="513"/>
      <c r="R44" s="496"/>
      <c r="S44" s="536"/>
      <c r="T44" s="512"/>
    </row>
    <row r="45" spans="1:20" ht="15" thickTop="1" x14ac:dyDescent="0.35">
      <c r="A45" s="5771" t="s">
        <v>1429</v>
      </c>
      <c r="B45" s="5771"/>
      <c r="C45" s="5771"/>
      <c r="D45" s="5771"/>
      <c r="E45" s="5771"/>
      <c r="F45" s="5771"/>
      <c r="G45" s="521"/>
      <c r="H45" s="1419"/>
      <c r="I45" s="1419"/>
      <c r="J45" s="1419"/>
      <c r="K45" s="1419"/>
      <c r="L45" s="513"/>
      <c r="M45" s="530"/>
      <c r="N45" s="496"/>
      <c r="O45" s="496"/>
      <c r="P45" s="496"/>
      <c r="Q45" s="513"/>
      <c r="R45" s="496"/>
      <c r="S45" s="536"/>
      <c r="T45" s="512"/>
    </row>
    <row r="46" spans="1:20" ht="15.75" customHeight="1" thickBot="1" x14ac:dyDescent="0.4">
      <c r="A46" s="512"/>
      <c r="B46" s="512"/>
      <c r="C46" s="512"/>
      <c r="D46" s="512"/>
      <c r="E46" s="512"/>
      <c r="F46" s="535"/>
      <c r="G46" s="512"/>
      <c r="H46" s="1433"/>
      <c r="I46" s="1433"/>
      <c r="J46" s="1433"/>
      <c r="K46" s="1433"/>
      <c r="L46" s="512"/>
      <c r="M46" s="530"/>
      <c r="N46" s="496"/>
      <c r="O46" s="496"/>
      <c r="P46" s="496"/>
      <c r="Q46" s="513"/>
      <c r="R46" s="496"/>
      <c r="S46" s="536"/>
      <c r="T46" s="512"/>
    </row>
    <row r="47" spans="1:20" ht="41.25" customHeight="1" thickTop="1" thickBot="1" x14ac:dyDescent="0.4">
      <c r="A47" s="5772" t="s">
        <v>1445</v>
      </c>
      <c r="B47" s="5773"/>
      <c r="C47" s="5773"/>
      <c r="D47" s="5773"/>
      <c r="E47" s="5773"/>
      <c r="F47" s="5773"/>
      <c r="G47" s="1434">
        <f>AnReference-1</f>
        <v>2017</v>
      </c>
      <c r="H47" s="1434">
        <f>AnReference</f>
        <v>2018</v>
      </c>
      <c r="I47" s="1434">
        <f>I30</f>
        <v>2019</v>
      </c>
      <c r="J47" s="1434">
        <f>J30</f>
        <v>2020</v>
      </c>
      <c r="K47" s="1434">
        <f>K30</f>
        <v>2021</v>
      </c>
      <c r="L47" s="1435" t="s">
        <v>127</v>
      </c>
      <c r="M47" s="530"/>
      <c r="N47" s="496"/>
      <c r="O47" s="496"/>
      <c r="P47" s="496"/>
      <c r="Q47" s="513"/>
      <c r="R47" s="496"/>
      <c r="S47" s="536"/>
      <c r="T47" s="512"/>
    </row>
    <row r="48" spans="1:20" ht="21" customHeight="1" x14ac:dyDescent="0.35">
      <c r="A48" s="5746" t="s">
        <v>1435</v>
      </c>
      <c r="B48" s="5747"/>
      <c r="C48" s="5747"/>
      <c r="D48" s="5747"/>
      <c r="E48" s="5747"/>
      <c r="F48" s="5747"/>
      <c r="G48" s="1436">
        <f t="shared" ref="G48:L48" si="18">G24</f>
        <v>0</v>
      </c>
      <c r="H48" s="1436">
        <f t="shared" si="18"/>
        <v>0</v>
      </c>
      <c r="I48" s="1436">
        <f t="shared" si="18"/>
        <v>0</v>
      </c>
      <c r="J48" s="1436">
        <f t="shared" si="18"/>
        <v>0</v>
      </c>
      <c r="K48" s="1436">
        <f t="shared" si="18"/>
        <v>0</v>
      </c>
      <c r="L48" s="1437">
        <f t="shared" si="18"/>
        <v>0</v>
      </c>
      <c r="M48" s="520"/>
      <c r="N48" s="1580"/>
      <c r="O48" s="1580"/>
      <c r="P48" s="1580"/>
      <c r="Q48" s="1580"/>
      <c r="R48" s="1580"/>
      <c r="S48" s="528"/>
      <c r="T48" s="512"/>
    </row>
    <row r="49" spans="1:20" ht="19.5" customHeight="1" thickBot="1" x14ac:dyDescent="0.4">
      <c r="A49" s="5748" t="s">
        <v>1436</v>
      </c>
      <c r="B49" s="5749"/>
      <c r="C49" s="5749"/>
      <c r="D49" s="5749"/>
      <c r="E49" s="5749"/>
      <c r="F49" s="5749"/>
      <c r="G49" s="1438">
        <f t="shared" ref="G49:L49" si="19">G41</f>
        <v>0</v>
      </c>
      <c r="H49" s="1438">
        <f t="shared" si="19"/>
        <v>0</v>
      </c>
      <c r="I49" s="1438">
        <f t="shared" si="19"/>
        <v>0</v>
      </c>
      <c r="J49" s="1438">
        <f t="shared" si="19"/>
        <v>0</v>
      </c>
      <c r="K49" s="1438">
        <f t="shared" si="19"/>
        <v>0</v>
      </c>
      <c r="L49" s="1439">
        <f t="shared" si="19"/>
        <v>0</v>
      </c>
      <c r="M49" s="530"/>
      <c r="N49" s="496"/>
      <c r="O49" s="496"/>
      <c r="P49" s="496"/>
      <c r="Q49" s="513"/>
      <c r="R49" s="496"/>
      <c r="S49" s="536"/>
      <c r="T49" s="512"/>
    </row>
    <row r="50" spans="1:20" ht="21" customHeight="1" x14ac:dyDescent="0.35">
      <c r="A50" s="5757" t="s">
        <v>764</v>
      </c>
      <c r="B50" s="5758"/>
      <c r="C50" s="5758"/>
      <c r="D50" s="5758"/>
      <c r="E50" s="5758"/>
      <c r="F50" s="5758"/>
      <c r="G50" s="1440">
        <f>G24+G41</f>
        <v>0</v>
      </c>
      <c r="H50" s="1440">
        <f>H41+H24</f>
        <v>0</v>
      </c>
      <c r="I50" s="1440">
        <f>I41+I24</f>
        <v>0</v>
      </c>
      <c r="J50" s="1440">
        <f>J41+J24</f>
        <v>0</v>
      </c>
      <c r="K50" s="1440">
        <f>K41+K24</f>
        <v>0</v>
      </c>
      <c r="L50" s="1441">
        <f>L41+L24</f>
        <v>0</v>
      </c>
      <c r="M50" s="520"/>
      <c r="N50" s="1580"/>
      <c r="O50" s="1580"/>
      <c r="P50" s="1580"/>
      <c r="Q50" s="1580"/>
      <c r="R50" s="1580"/>
      <c r="S50" s="528"/>
      <c r="T50" s="512"/>
    </row>
    <row r="51" spans="1:20" ht="15.75" customHeight="1" x14ac:dyDescent="0.35">
      <c r="A51" s="5759" t="s">
        <v>761</v>
      </c>
      <c r="B51" s="5760"/>
      <c r="C51" s="5760"/>
      <c r="D51" s="5760"/>
      <c r="E51" s="5760"/>
      <c r="F51" s="5760"/>
      <c r="G51" s="1442">
        <f>G25+G42</f>
        <v>0</v>
      </c>
      <c r="H51" s="1442" t="e">
        <f>(H50-G50)/G50</f>
        <v>#DIV/0!</v>
      </c>
      <c r="I51" s="1442" t="e">
        <f>(I50-H50)/H50</f>
        <v>#DIV/0!</v>
      </c>
      <c r="J51" s="1442" t="e">
        <f>(J50-I50)/I50</f>
        <v>#DIV/0!</v>
      </c>
      <c r="K51" s="1442" t="e">
        <f>(K50-J50)/J50</f>
        <v>#DIV/0!</v>
      </c>
      <c r="L51" s="1443"/>
      <c r="M51" s="530"/>
      <c r="N51" s="531"/>
      <c r="O51" s="1580"/>
      <c r="P51" s="1580"/>
      <c r="Q51" s="532"/>
      <c r="R51" s="1580"/>
      <c r="S51" s="527"/>
      <c r="T51" s="512"/>
    </row>
    <row r="52" spans="1:20" x14ac:dyDescent="0.35">
      <c r="A52" s="5761"/>
      <c r="B52" s="5762"/>
      <c r="C52" s="5762"/>
      <c r="D52" s="5762"/>
      <c r="E52" s="5762"/>
      <c r="F52" s="5763"/>
      <c r="G52" s="529"/>
      <c r="H52" s="529"/>
      <c r="I52" s="529"/>
      <c r="J52" s="529"/>
      <c r="K52" s="529"/>
      <c r="L52" s="1444"/>
      <c r="M52" s="530"/>
      <c r="N52" s="531"/>
      <c r="O52" s="1580"/>
      <c r="P52" s="1580"/>
      <c r="Q52" s="532"/>
      <c r="R52" s="1580"/>
      <c r="S52" s="527"/>
      <c r="T52" s="512"/>
    </row>
    <row r="53" spans="1:20" s="168" customFormat="1" ht="16.5" customHeight="1" x14ac:dyDescent="0.35">
      <c r="A53" s="5759" t="s">
        <v>1437</v>
      </c>
      <c r="B53" s="5760"/>
      <c r="C53" s="5760"/>
      <c r="D53" s="5760"/>
      <c r="E53" s="5760"/>
      <c r="F53" s="5760"/>
      <c r="G53" s="1445" t="e">
        <f>G24/G50</f>
        <v>#DIV/0!</v>
      </c>
      <c r="H53" s="1445" t="e">
        <f>H24/H50</f>
        <v>#DIV/0!</v>
      </c>
      <c r="I53" s="1445" t="e">
        <f>I24/I50</f>
        <v>#DIV/0!</v>
      </c>
      <c r="J53" s="1445" t="e">
        <f>J24/J50</f>
        <v>#DIV/0!</v>
      </c>
      <c r="K53" s="1445" t="e">
        <f>K24/K50</f>
        <v>#DIV/0!</v>
      </c>
      <c r="L53" s="1443"/>
      <c r="M53" s="530"/>
      <c r="N53" s="531"/>
      <c r="O53" s="1580"/>
      <c r="P53" s="1580"/>
      <c r="Q53" s="531"/>
      <c r="R53" s="1580"/>
      <c r="S53" s="527"/>
      <c r="T53" s="530"/>
    </row>
    <row r="54" spans="1:20" ht="15" thickBot="1" x14ac:dyDescent="0.4">
      <c r="A54" s="5764" t="s">
        <v>1438</v>
      </c>
      <c r="B54" s="5765"/>
      <c r="C54" s="5765"/>
      <c r="D54" s="5765"/>
      <c r="E54" s="5765"/>
      <c r="F54" s="5765"/>
      <c r="G54" s="1446" t="e">
        <f>G41/G50</f>
        <v>#DIV/0!</v>
      </c>
      <c r="H54" s="1446" t="e">
        <f>H41/H50</f>
        <v>#DIV/0!</v>
      </c>
      <c r="I54" s="1446" t="e">
        <f>I41/I50</f>
        <v>#DIV/0!</v>
      </c>
      <c r="J54" s="1446" t="e">
        <f>J41/J50</f>
        <v>#DIV/0!</v>
      </c>
      <c r="K54" s="1446" t="e">
        <f>K41/K50</f>
        <v>#DIV/0!</v>
      </c>
      <c r="L54" s="1447"/>
      <c r="M54" s="530"/>
      <c r="N54" s="531"/>
      <c r="O54" s="496"/>
      <c r="P54" s="496"/>
      <c r="Q54" s="533"/>
      <c r="R54" s="496"/>
      <c r="S54" s="534"/>
      <c r="T54" s="512"/>
    </row>
    <row r="55" spans="1:20" ht="56.25" customHeight="1" thickBot="1" x14ac:dyDescent="0.4">
      <c r="A55" s="5766"/>
      <c r="B55" s="5766"/>
      <c r="C55" s="5766"/>
      <c r="D55" s="5766"/>
      <c r="E55" s="5766"/>
      <c r="F55" s="5766"/>
      <c r="G55" s="5766"/>
      <c r="H55" s="5766"/>
      <c r="I55" s="5766"/>
      <c r="J55" s="5766"/>
      <c r="K55" s="5766"/>
      <c r="L55" s="5766"/>
      <c r="M55" s="5766"/>
      <c r="N55" s="531"/>
      <c r="O55" s="496"/>
      <c r="P55" s="496"/>
      <c r="Q55" s="533"/>
      <c r="R55" s="496"/>
      <c r="S55" s="534"/>
      <c r="T55" s="512"/>
    </row>
    <row r="56" spans="1:20" s="168" customFormat="1" ht="39.75" customHeight="1" thickTop="1" thickBot="1" x14ac:dyDescent="0.4">
      <c r="A56" s="5744" t="s">
        <v>1446</v>
      </c>
      <c r="B56" s="5745"/>
      <c r="C56" s="5745"/>
      <c r="D56" s="5745"/>
      <c r="E56" s="5745"/>
      <c r="F56" s="5745"/>
      <c r="G56" s="1448">
        <f>AnReference-1</f>
        <v>2017</v>
      </c>
      <c r="H56" s="1448">
        <f>AnReference</f>
        <v>2018</v>
      </c>
      <c r="I56" s="1448">
        <f>I47</f>
        <v>2019</v>
      </c>
      <c r="J56" s="1448">
        <f>J47</f>
        <v>2020</v>
      </c>
      <c r="K56" s="1448">
        <f>K47</f>
        <v>2021</v>
      </c>
      <c r="L56" s="1449" t="s">
        <v>127</v>
      </c>
      <c r="M56" s="530"/>
      <c r="N56" s="496"/>
      <c r="O56" s="496"/>
      <c r="P56" s="496"/>
      <c r="Q56" s="513"/>
      <c r="R56" s="496"/>
      <c r="S56" s="536"/>
      <c r="T56" s="530"/>
    </row>
    <row r="57" spans="1:20" s="168" customFormat="1" ht="24" customHeight="1" x14ac:dyDescent="0.35">
      <c r="A57" s="5746" t="s">
        <v>1439</v>
      </c>
      <c r="B57" s="5747"/>
      <c r="C57" s="5747"/>
      <c r="D57" s="5747"/>
      <c r="E57" s="5747"/>
      <c r="F57" s="5747" t="s">
        <v>1440</v>
      </c>
      <c r="G57" s="1436">
        <f t="shared" ref="G57:L57" si="20">G15+G32</f>
        <v>0</v>
      </c>
      <c r="H57" s="1436">
        <f t="shared" si="20"/>
        <v>0</v>
      </c>
      <c r="I57" s="1436">
        <f t="shared" si="20"/>
        <v>0</v>
      </c>
      <c r="J57" s="1436">
        <f t="shared" si="20"/>
        <v>0</v>
      </c>
      <c r="K57" s="1436">
        <f t="shared" si="20"/>
        <v>0</v>
      </c>
      <c r="L57" s="1437">
        <f t="shared" si="20"/>
        <v>0</v>
      </c>
      <c r="M57" s="530"/>
      <c r="N57" s="496"/>
      <c r="O57" s="496"/>
      <c r="P57" s="496"/>
      <c r="Q57" s="513"/>
      <c r="R57" s="496"/>
      <c r="S57" s="536"/>
      <c r="T57" s="530"/>
    </row>
    <row r="58" spans="1:20" s="211" customFormat="1" ht="22.5" customHeight="1" thickBot="1" x14ac:dyDescent="0.4">
      <c r="A58" s="5748" t="s">
        <v>1441</v>
      </c>
      <c r="B58" s="5749"/>
      <c r="C58" s="5749"/>
      <c r="D58" s="5749"/>
      <c r="E58" s="5749"/>
      <c r="F58" s="5749" t="s">
        <v>1427</v>
      </c>
      <c r="G58" s="1438">
        <f t="shared" ref="G58:L58" si="21">G26+G43</f>
        <v>0</v>
      </c>
      <c r="H58" s="1438">
        <f t="shared" si="21"/>
        <v>0</v>
      </c>
      <c r="I58" s="1438">
        <f t="shared" si="21"/>
        <v>0</v>
      </c>
      <c r="J58" s="1438">
        <f t="shared" si="21"/>
        <v>0</v>
      </c>
      <c r="K58" s="1438">
        <f t="shared" si="21"/>
        <v>0</v>
      </c>
      <c r="L58" s="1439">
        <f t="shared" si="21"/>
        <v>0</v>
      </c>
      <c r="M58" s="1450"/>
      <c r="N58" s="1451"/>
      <c r="O58" s="1452"/>
      <c r="P58" s="1452"/>
      <c r="Q58" s="1453"/>
      <c r="R58" s="1452"/>
      <c r="S58" s="1454"/>
      <c r="T58" s="538"/>
    </row>
    <row r="59" spans="1:20" s="204" customFormat="1" ht="22.5" customHeight="1" x14ac:dyDescent="0.35">
      <c r="A59" s="1455"/>
      <c r="B59" s="1456"/>
      <c r="C59" s="1456"/>
      <c r="D59" s="1456"/>
      <c r="E59" s="1456"/>
      <c r="F59" s="1456" t="s">
        <v>764</v>
      </c>
      <c r="G59" s="1457">
        <f t="shared" ref="G59:L59" si="22">G58+G57</f>
        <v>0</v>
      </c>
      <c r="H59" s="1457">
        <f t="shared" si="22"/>
        <v>0</v>
      </c>
      <c r="I59" s="1457">
        <f t="shared" si="22"/>
        <v>0</v>
      </c>
      <c r="J59" s="1457">
        <f t="shared" si="22"/>
        <v>0</v>
      </c>
      <c r="K59" s="1457">
        <f t="shared" si="22"/>
        <v>0</v>
      </c>
      <c r="L59" s="1458">
        <f t="shared" si="22"/>
        <v>0</v>
      </c>
      <c r="M59" s="1459"/>
      <c r="N59" s="1460"/>
      <c r="O59" s="1452"/>
      <c r="P59" s="1452"/>
      <c r="Q59" s="1461"/>
      <c r="R59" s="1452"/>
      <c r="S59" s="1454"/>
      <c r="T59" s="508"/>
    </row>
    <row r="60" spans="1:20" ht="15" thickBot="1" x14ac:dyDescent="0.4">
      <c r="A60" s="5750"/>
      <c r="B60" s="5751"/>
      <c r="C60" s="5751"/>
      <c r="D60" s="5751"/>
      <c r="E60" s="5751"/>
      <c r="F60" s="5752"/>
      <c r="G60" s="1462"/>
      <c r="H60" s="1462"/>
      <c r="I60" s="1462"/>
      <c r="J60" s="1462"/>
      <c r="K60" s="1462"/>
      <c r="L60" s="1463"/>
      <c r="M60" s="530"/>
      <c r="N60" s="531"/>
      <c r="O60" s="1580"/>
      <c r="P60" s="1580"/>
      <c r="Q60" s="532"/>
      <c r="R60" s="1580"/>
      <c r="S60" s="527"/>
      <c r="T60" s="512"/>
    </row>
    <row r="61" spans="1:20" ht="15" thickTop="1" x14ac:dyDescent="0.35">
      <c r="A61" s="5753" t="s">
        <v>1442</v>
      </c>
      <c r="B61" s="5754"/>
      <c r="C61" s="5754"/>
      <c r="D61" s="5754"/>
      <c r="E61" s="5754"/>
      <c r="F61" s="5754"/>
      <c r="G61" s="1464" t="e">
        <f t="shared" ref="G61:L61" si="23">G58/G59</f>
        <v>#DIV/0!</v>
      </c>
      <c r="H61" s="1464" t="e">
        <f t="shared" si="23"/>
        <v>#DIV/0!</v>
      </c>
      <c r="I61" s="1464" t="e">
        <f t="shared" si="23"/>
        <v>#DIV/0!</v>
      </c>
      <c r="J61" s="1464" t="e">
        <f t="shared" si="23"/>
        <v>#DIV/0!</v>
      </c>
      <c r="K61" s="1464" t="e">
        <f t="shared" si="23"/>
        <v>#DIV/0!</v>
      </c>
      <c r="L61" s="1465" t="e">
        <f t="shared" si="23"/>
        <v>#DIV/0!</v>
      </c>
      <c r="M61" s="530"/>
      <c r="N61" s="496"/>
      <c r="O61" s="496"/>
      <c r="P61" s="496"/>
      <c r="Q61" s="513"/>
      <c r="R61" s="496"/>
      <c r="S61" s="536"/>
      <c r="T61" s="512"/>
    </row>
    <row r="62" spans="1:20" x14ac:dyDescent="0.35">
      <c r="A62" s="1466"/>
      <c r="B62" s="1467"/>
      <c r="C62" s="1467"/>
      <c r="D62" s="1467"/>
      <c r="E62" s="1467"/>
      <c r="F62" s="1468" t="s">
        <v>1443</v>
      </c>
      <c r="G62" s="1469"/>
      <c r="H62" s="1470" t="e">
        <f>SUM(H58-G58)/G58</f>
        <v>#DIV/0!</v>
      </c>
      <c r="I62" s="1470" t="e">
        <f>SUM(I58-H58)/H58</f>
        <v>#DIV/0!</v>
      </c>
      <c r="J62" s="1470" t="e">
        <f>SUM(J58-I58)/I58</f>
        <v>#DIV/0!</v>
      </c>
      <c r="K62" s="1470" t="e">
        <f>SUM(K58-J58)/J58</f>
        <v>#DIV/0!</v>
      </c>
      <c r="L62" s="1471" t="e">
        <f>SUM(L58-K58)/K58</f>
        <v>#DIV/0!</v>
      </c>
      <c r="M62" s="530"/>
      <c r="N62" s="496"/>
      <c r="O62" s="496"/>
      <c r="P62" s="496"/>
      <c r="Q62" s="513"/>
      <c r="R62" s="496"/>
      <c r="S62" s="536"/>
      <c r="T62" s="512"/>
    </row>
    <row r="63" spans="1:20" ht="15" thickBot="1" x14ac:dyDescent="0.4">
      <c r="A63" s="5755" t="s">
        <v>1444</v>
      </c>
      <c r="B63" s="5756"/>
      <c r="C63" s="5756"/>
      <c r="D63" s="5756"/>
      <c r="E63" s="5756"/>
      <c r="F63" s="5756"/>
      <c r="G63" s="1472"/>
      <c r="H63" s="1473" t="e">
        <f>H57/H50</f>
        <v>#DIV/0!</v>
      </c>
      <c r="I63" s="1473" t="e">
        <f>I57/I50</f>
        <v>#DIV/0!</v>
      </c>
      <c r="J63" s="1473" t="e">
        <f>J57/J50</f>
        <v>#DIV/0!</v>
      </c>
      <c r="K63" s="1473" t="e">
        <f>K57/K50</f>
        <v>#DIV/0!</v>
      </c>
      <c r="L63" s="1474" t="e">
        <f>L57/L50</f>
        <v>#DIV/0!</v>
      </c>
      <c r="M63" s="530"/>
      <c r="N63" s="496"/>
      <c r="O63" s="496"/>
      <c r="P63" s="496"/>
      <c r="Q63" s="513"/>
      <c r="R63" s="496"/>
      <c r="S63" s="536"/>
      <c r="T63" s="512"/>
    </row>
    <row r="64" spans="1:20" ht="15" thickBot="1" x14ac:dyDescent="0.4">
      <c r="A64" s="512"/>
      <c r="B64" s="512"/>
      <c r="C64" s="512"/>
      <c r="D64" s="512"/>
      <c r="E64" s="512"/>
      <c r="F64" s="535"/>
      <c r="G64" s="512"/>
      <c r="H64" s="508"/>
      <c r="I64" s="508"/>
      <c r="J64" s="508"/>
      <c r="K64" s="508"/>
      <c r="L64" s="512"/>
      <c r="M64" s="530"/>
      <c r="N64" s="496"/>
      <c r="O64" s="496"/>
      <c r="P64" s="496"/>
      <c r="Q64" s="496"/>
      <c r="R64" s="496"/>
      <c r="S64" s="536"/>
      <c r="T64" s="512"/>
    </row>
    <row r="65" spans="1:20" ht="19" thickTop="1" x14ac:dyDescent="0.35">
      <c r="A65" s="5744" t="s">
        <v>1447</v>
      </c>
      <c r="B65" s="5745"/>
      <c r="C65" s="5745"/>
      <c r="D65" s="5745"/>
      <c r="E65" s="5745"/>
      <c r="F65" s="5745"/>
      <c r="G65" s="1448">
        <f>AnReference-1</f>
        <v>2017</v>
      </c>
      <c r="H65" s="1448">
        <f>AnReference</f>
        <v>2018</v>
      </c>
      <c r="I65" s="1448">
        <f>I56</f>
        <v>2019</v>
      </c>
      <c r="J65" s="1448">
        <f>J56</f>
        <v>2020</v>
      </c>
      <c r="K65" s="1475">
        <f>K56</f>
        <v>2021</v>
      </c>
      <c r="L65" s="1476" t="s">
        <v>127</v>
      </c>
      <c r="M65" s="538"/>
      <c r="N65" s="1108">
        <f>AnReference-1</f>
        <v>2017</v>
      </c>
      <c r="O65" s="537">
        <f>AnReference</f>
        <v>2018</v>
      </c>
      <c r="P65" s="537">
        <f>I65</f>
        <v>2019</v>
      </c>
      <c r="Q65" s="537">
        <f>J65</f>
        <v>2020</v>
      </c>
      <c r="R65" s="1095">
        <f>K65</f>
        <v>2021</v>
      </c>
      <c r="S65" s="1100" t="s">
        <v>127</v>
      </c>
      <c r="T65" s="512"/>
    </row>
    <row r="66" spans="1:20" s="211" customFormat="1" ht="18.75" customHeight="1" x14ac:dyDescent="0.35">
      <c r="A66" s="5734" t="str">
        <f t="shared" ref="A66:A73" si="24">A15</f>
        <v>Ventes directes seules</v>
      </c>
      <c r="B66" s="5735"/>
      <c r="C66" s="5735"/>
      <c r="D66" s="5735"/>
      <c r="E66" s="5735"/>
      <c r="F66" s="5735"/>
      <c r="G66" s="1477">
        <v>1.8</v>
      </c>
      <c r="H66" s="1478">
        <f t="shared" ref="H66:K73" si="25">H32+H15</f>
        <v>0</v>
      </c>
      <c r="I66" s="1478">
        <f t="shared" si="25"/>
        <v>0</v>
      </c>
      <c r="J66" s="1478">
        <f t="shared" si="25"/>
        <v>0</v>
      </c>
      <c r="K66" s="1479">
        <f t="shared" si="25"/>
        <v>0</v>
      </c>
      <c r="L66" s="1071">
        <f t="shared" ref="L66:L73" si="26">SUM(H66:K66)</f>
        <v>0</v>
      </c>
      <c r="M66" s="539"/>
      <c r="N66" s="510">
        <f>IF(G66=0,"",G66/G$75)</f>
        <v>1</v>
      </c>
      <c r="O66" s="511" t="e">
        <f t="shared" ref="O66:R73" si="27">H66/H$75</f>
        <v>#DIV/0!</v>
      </c>
      <c r="P66" s="511" t="e">
        <f t="shared" si="27"/>
        <v>#DIV/0!</v>
      </c>
      <c r="Q66" s="511" t="e">
        <f t="shared" si="27"/>
        <v>#DIV/0!</v>
      </c>
      <c r="R66" s="1098" t="e">
        <f t="shared" si="27"/>
        <v>#DIV/0!</v>
      </c>
      <c r="S66" s="1068" t="e">
        <f t="shared" ref="S66:S73" si="28">L66/$L$75</f>
        <v>#DIV/0!</v>
      </c>
      <c r="T66" s="538"/>
    </row>
    <row r="67" spans="1:20" x14ac:dyDescent="0.35">
      <c r="A67" s="5734" t="str">
        <f t="shared" si="24"/>
        <v>ESN</v>
      </c>
      <c r="B67" s="5735"/>
      <c r="C67" s="5735"/>
      <c r="D67" s="5735"/>
      <c r="E67" s="5735"/>
      <c r="F67" s="5735"/>
      <c r="G67" s="1478">
        <f>G33+G16</f>
        <v>0</v>
      </c>
      <c r="H67" s="1478">
        <f t="shared" si="25"/>
        <v>0</v>
      </c>
      <c r="I67" s="1478">
        <f t="shared" si="25"/>
        <v>0</v>
      </c>
      <c r="J67" s="1478">
        <f t="shared" si="25"/>
        <v>0</v>
      </c>
      <c r="K67" s="1479">
        <f t="shared" si="25"/>
        <v>0</v>
      </c>
      <c r="L67" s="1071">
        <f t="shared" si="26"/>
        <v>0</v>
      </c>
      <c r="M67" s="539"/>
      <c r="N67" s="510" t="str">
        <f t="shared" ref="N67:N73" si="29">IF(G67=0,"",G67/G$75)</f>
        <v/>
      </c>
      <c r="O67" s="511" t="e">
        <f t="shared" si="27"/>
        <v>#DIV/0!</v>
      </c>
      <c r="P67" s="511" t="e">
        <f t="shared" si="27"/>
        <v>#DIV/0!</v>
      </c>
      <c r="Q67" s="511" t="e">
        <f t="shared" si="27"/>
        <v>#DIV/0!</v>
      </c>
      <c r="R67" s="1098" t="e">
        <f t="shared" si="27"/>
        <v>#DIV/0!</v>
      </c>
      <c r="S67" s="1068" t="e">
        <f t="shared" si="28"/>
        <v>#DIV/0!</v>
      </c>
      <c r="T67" s="512"/>
    </row>
    <row r="68" spans="1:20" x14ac:dyDescent="0.35">
      <c r="A68" s="5734" t="str">
        <f t="shared" si="24"/>
        <v>Centres de contact</v>
      </c>
      <c r="B68" s="5735"/>
      <c r="C68" s="5735"/>
      <c r="D68" s="5735"/>
      <c r="E68" s="5735"/>
      <c r="F68" s="5735"/>
      <c r="G68" s="1478">
        <f>G34+G17</f>
        <v>0</v>
      </c>
      <c r="H68" s="1478">
        <f t="shared" si="25"/>
        <v>0</v>
      </c>
      <c r="I68" s="1478">
        <f t="shared" si="25"/>
        <v>0</v>
      </c>
      <c r="J68" s="1478">
        <f t="shared" si="25"/>
        <v>0</v>
      </c>
      <c r="K68" s="1479">
        <f t="shared" si="25"/>
        <v>0</v>
      </c>
      <c r="L68" s="1071">
        <f t="shared" si="26"/>
        <v>0</v>
      </c>
      <c r="M68" s="539"/>
      <c r="N68" s="510" t="str">
        <f t="shared" si="29"/>
        <v/>
      </c>
      <c r="O68" s="511" t="e">
        <f t="shared" si="27"/>
        <v>#DIV/0!</v>
      </c>
      <c r="P68" s="511" t="e">
        <f t="shared" si="27"/>
        <v>#DIV/0!</v>
      </c>
      <c r="Q68" s="511" t="e">
        <f t="shared" si="27"/>
        <v>#DIV/0!</v>
      </c>
      <c r="R68" s="1098" t="e">
        <f t="shared" si="27"/>
        <v>#DIV/0!</v>
      </c>
      <c r="S68" s="1068" t="e">
        <f t="shared" si="28"/>
        <v>#DIV/0!</v>
      </c>
      <c r="T68" s="512"/>
    </row>
    <row r="69" spans="1:20" x14ac:dyDescent="0.35">
      <c r="A69" s="5734" t="str">
        <f t="shared" si="24"/>
        <v>Vars Nationaux</v>
      </c>
      <c r="B69" s="5735"/>
      <c r="C69" s="5735"/>
      <c r="D69" s="5735"/>
      <c r="E69" s="5735"/>
      <c r="F69" s="5735"/>
      <c r="G69" s="1478"/>
      <c r="H69" s="1478">
        <f t="shared" si="25"/>
        <v>0</v>
      </c>
      <c r="I69" s="1478">
        <f t="shared" si="25"/>
        <v>0</v>
      </c>
      <c r="J69" s="1478">
        <f t="shared" si="25"/>
        <v>0</v>
      </c>
      <c r="K69" s="1479">
        <f t="shared" si="25"/>
        <v>0</v>
      </c>
      <c r="L69" s="1071">
        <f t="shared" si="26"/>
        <v>0</v>
      </c>
      <c r="M69" s="539"/>
      <c r="N69" s="510" t="str">
        <f t="shared" si="29"/>
        <v/>
      </c>
      <c r="O69" s="511" t="e">
        <f t="shared" si="27"/>
        <v>#DIV/0!</v>
      </c>
      <c r="P69" s="511" t="e">
        <f t="shared" si="27"/>
        <v>#DIV/0!</v>
      </c>
      <c r="Q69" s="511" t="e">
        <f t="shared" si="27"/>
        <v>#DIV/0!</v>
      </c>
      <c r="R69" s="1098" t="e">
        <f t="shared" si="27"/>
        <v>#DIV/0!</v>
      </c>
      <c r="S69" s="1068" t="e">
        <f t="shared" si="28"/>
        <v>#DIV/0!</v>
      </c>
      <c r="T69" s="512"/>
    </row>
    <row r="70" spans="1:20" ht="17.25" customHeight="1" x14ac:dyDescent="0.35">
      <c r="A70" s="5734" t="str">
        <f t="shared" si="24"/>
        <v>Editeurs</v>
      </c>
      <c r="B70" s="5735"/>
      <c r="C70" s="5735"/>
      <c r="D70" s="5735"/>
      <c r="E70" s="5735"/>
      <c r="F70" s="5735"/>
      <c r="G70" s="1478">
        <f>G36+G19</f>
        <v>0</v>
      </c>
      <c r="H70" s="1478">
        <f t="shared" si="25"/>
        <v>0</v>
      </c>
      <c r="I70" s="1478">
        <f t="shared" si="25"/>
        <v>0</v>
      </c>
      <c r="J70" s="1478">
        <f t="shared" si="25"/>
        <v>0</v>
      </c>
      <c r="K70" s="1479">
        <f t="shared" si="25"/>
        <v>0</v>
      </c>
      <c r="L70" s="1071">
        <f t="shared" si="26"/>
        <v>0</v>
      </c>
      <c r="M70" s="512"/>
      <c r="N70" s="510" t="str">
        <f t="shared" si="29"/>
        <v/>
      </c>
      <c r="O70" s="511" t="e">
        <f t="shared" si="27"/>
        <v>#DIV/0!</v>
      </c>
      <c r="P70" s="511" t="e">
        <f t="shared" si="27"/>
        <v>#DIV/0!</v>
      </c>
      <c r="Q70" s="511" t="e">
        <f t="shared" si="27"/>
        <v>#DIV/0!</v>
      </c>
      <c r="R70" s="1098" t="e">
        <f t="shared" si="27"/>
        <v>#DIV/0!</v>
      </c>
      <c r="S70" s="1068" t="e">
        <f t="shared" si="28"/>
        <v>#DIV/0!</v>
      </c>
      <c r="T70" s="512"/>
    </row>
    <row r="71" spans="1:20" x14ac:dyDescent="0.35">
      <c r="A71" s="5734" t="str">
        <f t="shared" si="24"/>
        <v>Web Agencies</v>
      </c>
      <c r="B71" s="5735"/>
      <c r="C71" s="5735"/>
      <c r="D71" s="5735"/>
      <c r="E71" s="5735"/>
      <c r="F71" s="5735"/>
      <c r="G71" s="1478">
        <f>G37+G20</f>
        <v>0</v>
      </c>
      <c r="H71" s="1478">
        <f t="shared" si="25"/>
        <v>0</v>
      </c>
      <c r="I71" s="1478">
        <f t="shared" si="25"/>
        <v>0</v>
      </c>
      <c r="J71" s="1478">
        <f t="shared" si="25"/>
        <v>0</v>
      </c>
      <c r="K71" s="1479">
        <f t="shared" si="25"/>
        <v>0</v>
      </c>
      <c r="L71" s="1071">
        <f t="shared" si="26"/>
        <v>0</v>
      </c>
      <c r="M71" s="512"/>
      <c r="N71" s="510" t="str">
        <f t="shared" si="29"/>
        <v/>
      </c>
      <c r="O71" s="511" t="e">
        <f t="shared" si="27"/>
        <v>#DIV/0!</v>
      </c>
      <c r="P71" s="511" t="e">
        <f t="shared" si="27"/>
        <v>#DIV/0!</v>
      </c>
      <c r="Q71" s="511" t="e">
        <f t="shared" si="27"/>
        <v>#DIV/0!</v>
      </c>
      <c r="R71" s="1098" t="e">
        <f t="shared" si="27"/>
        <v>#DIV/0!</v>
      </c>
      <c r="S71" s="1068" t="e">
        <f t="shared" si="28"/>
        <v>#DIV/0!</v>
      </c>
      <c r="T71" s="512"/>
    </row>
    <row r="72" spans="1:20" x14ac:dyDescent="0.35">
      <c r="A72" s="5734" t="str">
        <f t="shared" si="24"/>
        <v>Constructeurs</v>
      </c>
      <c r="B72" s="5735"/>
      <c r="C72" s="5735"/>
      <c r="D72" s="5735"/>
      <c r="E72" s="5735"/>
      <c r="F72" s="5735"/>
      <c r="G72" s="1478">
        <f>G38+G21</f>
        <v>0</v>
      </c>
      <c r="H72" s="1478">
        <f t="shared" si="25"/>
        <v>0</v>
      </c>
      <c r="I72" s="1478">
        <f t="shared" si="25"/>
        <v>0</v>
      </c>
      <c r="J72" s="1478">
        <f t="shared" si="25"/>
        <v>0</v>
      </c>
      <c r="K72" s="1479">
        <f t="shared" si="25"/>
        <v>0</v>
      </c>
      <c r="L72" s="1071">
        <f t="shared" si="26"/>
        <v>0</v>
      </c>
      <c r="M72" s="512"/>
      <c r="N72" s="510" t="str">
        <f t="shared" si="29"/>
        <v/>
      </c>
      <c r="O72" s="511" t="e">
        <f t="shared" si="27"/>
        <v>#DIV/0!</v>
      </c>
      <c r="P72" s="511" t="e">
        <f t="shared" si="27"/>
        <v>#DIV/0!</v>
      </c>
      <c r="Q72" s="511" t="e">
        <f t="shared" si="27"/>
        <v>#DIV/0!</v>
      </c>
      <c r="R72" s="1098" t="e">
        <f t="shared" si="27"/>
        <v>#DIV/0!</v>
      </c>
      <c r="S72" s="1068" t="e">
        <f t="shared" si="28"/>
        <v>#DIV/0!</v>
      </c>
      <c r="T72" s="512"/>
    </row>
    <row r="73" spans="1:20" x14ac:dyDescent="0.35">
      <c r="A73" s="5734" t="str">
        <f t="shared" si="24"/>
        <v>Hébergeurs</v>
      </c>
      <c r="B73" s="5735"/>
      <c r="C73" s="5735"/>
      <c r="D73" s="5735"/>
      <c r="E73" s="5735"/>
      <c r="F73" s="5735"/>
      <c r="G73" s="1478">
        <f>G39+G22</f>
        <v>0</v>
      </c>
      <c r="H73" s="1478">
        <f t="shared" si="25"/>
        <v>0</v>
      </c>
      <c r="I73" s="1478">
        <f t="shared" si="25"/>
        <v>0</v>
      </c>
      <c r="J73" s="1478">
        <f t="shared" si="25"/>
        <v>0</v>
      </c>
      <c r="K73" s="1479">
        <f t="shared" si="25"/>
        <v>0</v>
      </c>
      <c r="L73" s="1071">
        <f t="shared" si="26"/>
        <v>0</v>
      </c>
      <c r="M73" s="512"/>
      <c r="N73" s="510" t="str">
        <f t="shared" si="29"/>
        <v/>
      </c>
      <c r="O73" s="511" t="e">
        <f t="shared" si="27"/>
        <v>#DIV/0!</v>
      </c>
      <c r="P73" s="511" t="e">
        <f t="shared" si="27"/>
        <v>#DIV/0!</v>
      </c>
      <c r="Q73" s="511" t="e">
        <f t="shared" si="27"/>
        <v>#DIV/0!</v>
      </c>
      <c r="R73" s="1098" t="e">
        <f t="shared" si="27"/>
        <v>#DIV/0!</v>
      </c>
      <c r="S73" s="1068" t="e">
        <f t="shared" si="28"/>
        <v>#DIV/0!</v>
      </c>
      <c r="T73" s="512"/>
    </row>
    <row r="74" spans="1:20" x14ac:dyDescent="0.35">
      <c r="A74" s="5736"/>
      <c r="B74" s="5737"/>
      <c r="C74" s="5737"/>
      <c r="D74" s="5737"/>
      <c r="E74" s="5737"/>
      <c r="F74" s="5737"/>
      <c r="G74" s="5737"/>
      <c r="H74" s="5737"/>
      <c r="I74" s="5737"/>
      <c r="J74" s="5737"/>
      <c r="K74" s="5737"/>
      <c r="L74" s="5738"/>
      <c r="M74" s="512"/>
      <c r="N74" s="5739"/>
      <c r="O74" s="5740"/>
      <c r="P74" s="5740"/>
      <c r="Q74" s="5740"/>
      <c r="R74" s="5740"/>
      <c r="S74" s="5741"/>
      <c r="T74" s="512"/>
    </row>
    <row r="75" spans="1:20" ht="18" customHeight="1" thickBot="1" x14ac:dyDescent="0.4">
      <c r="A75" s="5742" t="s">
        <v>127</v>
      </c>
      <c r="B75" s="5743"/>
      <c r="C75" s="5743"/>
      <c r="D75" s="5743"/>
      <c r="E75" s="5743"/>
      <c r="F75" s="5743"/>
      <c r="G75" s="1166">
        <f>SUM(G66:G74)</f>
        <v>1.8</v>
      </c>
      <c r="H75" s="540">
        <f>SUM(H66:H74)</f>
        <v>0</v>
      </c>
      <c r="I75" s="540">
        <f>SUM(I66:I74)</f>
        <v>0</v>
      </c>
      <c r="J75" s="540">
        <f>SUM(J66:J74)</f>
        <v>0</v>
      </c>
      <c r="K75" s="1096">
        <f>SUM(K66:K74)</f>
        <v>0</v>
      </c>
      <c r="L75" s="1097">
        <f>SUM(H75:K75)</f>
        <v>0</v>
      </c>
      <c r="M75" s="541"/>
      <c r="N75" s="542" t="e">
        <f>SUM(O66:O74)</f>
        <v>#DIV/0!</v>
      </c>
      <c r="O75" s="543" t="e">
        <f>SUM(O66:O74)</f>
        <v>#DIV/0!</v>
      </c>
      <c r="P75" s="543" t="e">
        <f>SUM(P66:P74)</f>
        <v>#DIV/0!</v>
      </c>
      <c r="Q75" s="543" t="e">
        <f>SUM(Q66:Q74)</f>
        <v>#DIV/0!</v>
      </c>
      <c r="R75" s="1099" t="e">
        <f>SUM(R66:R74)</f>
        <v>#DIV/0!</v>
      </c>
      <c r="S75" s="1101" t="e">
        <f>SUM(S66:S74)</f>
        <v>#DIV/0!</v>
      </c>
      <c r="T75" s="512"/>
    </row>
    <row r="76" spans="1:20" s="213" customFormat="1" ht="16.5" thickTop="1" thickBot="1" x14ac:dyDescent="0.4">
      <c r="A76" s="5723" t="s">
        <v>761</v>
      </c>
      <c r="B76" s="5724"/>
      <c r="C76" s="5724"/>
      <c r="D76" s="5724"/>
      <c r="E76" s="5724"/>
      <c r="F76" s="5724"/>
      <c r="G76" s="545"/>
      <c r="H76" s="546">
        <f>(H75-G75)/G75</f>
        <v>-1</v>
      </c>
      <c r="I76" s="546" t="e">
        <f>(I75-H75)/H75</f>
        <v>#DIV/0!</v>
      </c>
      <c r="J76" s="546" t="e">
        <f>(J75-I75)/I75</f>
        <v>#DIV/0!</v>
      </c>
      <c r="K76" s="546" t="e">
        <f>(K75-J75)/J75</f>
        <v>#DIV/0!</v>
      </c>
      <c r="L76" s="1065"/>
      <c r="M76" s="520"/>
      <c r="N76" s="520"/>
      <c r="O76" s="513"/>
      <c r="P76" s="513"/>
      <c r="Q76" s="513"/>
      <c r="R76" s="513"/>
      <c r="S76" s="513"/>
      <c r="T76" s="544"/>
    </row>
    <row r="77" spans="1:20" s="205" customFormat="1" ht="15" thickTop="1" x14ac:dyDescent="0.35">
      <c r="A77" s="535"/>
      <c r="B77" s="535"/>
      <c r="C77" s="535"/>
      <c r="D77" s="535"/>
      <c r="E77" s="535"/>
      <c r="F77" s="535"/>
      <c r="G77" s="1480"/>
      <c r="H77" s="1480"/>
      <c r="I77" s="1480"/>
      <c r="J77" s="1480"/>
      <c r="K77" s="1480"/>
      <c r="L77" s="1480"/>
      <c r="M77" s="520"/>
      <c r="N77" s="520"/>
      <c r="O77" s="513"/>
      <c r="P77" s="513"/>
      <c r="Q77" s="513"/>
      <c r="R77" s="513"/>
      <c r="S77" s="513"/>
      <c r="T77" s="513"/>
    </row>
    <row r="78" spans="1:20" s="205" customFormat="1" x14ac:dyDescent="0.35">
      <c r="A78" s="535"/>
      <c r="B78" s="535"/>
      <c r="C78" s="535"/>
      <c r="D78" s="535"/>
      <c r="E78" s="535"/>
      <c r="F78" s="535"/>
      <c r="G78" s="512"/>
      <c r="H78" s="1433"/>
      <c r="I78" s="1433"/>
      <c r="J78" s="1433"/>
      <c r="K78" s="1433"/>
      <c r="L78" s="512"/>
      <c r="M78" s="520"/>
      <c r="N78" s="520"/>
      <c r="O78" s="513"/>
      <c r="P78" s="513"/>
      <c r="Q78" s="513"/>
      <c r="R78" s="513"/>
      <c r="S78" s="513"/>
      <c r="T78" s="513"/>
    </row>
    <row r="79" spans="1:20" s="205" customFormat="1" x14ac:dyDescent="0.35">
      <c r="A79" s="535"/>
      <c r="B79" s="535"/>
      <c r="C79" s="535"/>
      <c r="D79" s="535"/>
      <c r="E79" s="535"/>
      <c r="F79" s="535"/>
      <c r="G79" s="1575"/>
      <c r="H79" s="527"/>
      <c r="I79" s="527"/>
      <c r="J79" s="527"/>
      <c r="K79" s="527"/>
      <c r="L79" s="547"/>
      <c r="M79" s="520"/>
      <c r="N79" s="520"/>
      <c r="O79" s="513"/>
      <c r="P79" s="513"/>
      <c r="Q79" s="513"/>
      <c r="R79" s="513"/>
      <c r="S79" s="513"/>
      <c r="T79" s="513"/>
    </row>
    <row r="80" spans="1:20" s="60" customFormat="1" x14ac:dyDescent="0.35">
      <c r="A80" s="512"/>
      <c r="B80" s="512"/>
      <c r="C80" s="512"/>
      <c r="D80" s="512"/>
      <c r="E80" s="512"/>
      <c r="F80" s="512"/>
      <c r="G80" s="512"/>
      <c r="H80" s="512"/>
      <c r="I80" s="512"/>
      <c r="J80" s="512"/>
      <c r="K80" s="512"/>
      <c r="L80" s="512"/>
      <c r="M80" s="512"/>
      <c r="N80" s="530"/>
      <c r="O80" s="512"/>
      <c r="P80" s="512"/>
      <c r="Q80" s="512"/>
      <c r="R80" s="512"/>
      <c r="S80" s="512"/>
      <c r="T80" s="64"/>
    </row>
    <row r="81" spans="1:20" x14ac:dyDescent="0.35">
      <c r="A81" s="512"/>
      <c r="B81" s="512"/>
      <c r="C81" s="512"/>
      <c r="D81" s="512"/>
      <c r="E81" s="512"/>
      <c r="F81" s="512"/>
      <c r="G81" s="512"/>
      <c r="H81" s="512"/>
      <c r="I81" s="512"/>
      <c r="J81" s="512"/>
      <c r="K81" s="512"/>
      <c r="L81" s="512"/>
      <c r="M81" s="512"/>
      <c r="N81" s="512"/>
      <c r="O81" s="512"/>
      <c r="P81" s="512"/>
      <c r="Q81" s="512"/>
      <c r="R81" s="512"/>
      <c r="S81" s="512"/>
      <c r="T81" s="512"/>
    </row>
    <row r="82" spans="1:20" x14ac:dyDescent="0.35">
      <c r="A82" s="512"/>
      <c r="B82" s="512"/>
      <c r="C82" s="512"/>
      <c r="D82" s="512"/>
      <c r="E82" s="512"/>
      <c r="F82" s="512"/>
      <c r="G82" s="512"/>
      <c r="H82" s="512"/>
      <c r="I82" s="512"/>
      <c r="J82" s="512"/>
      <c r="K82" s="512"/>
      <c r="L82" s="512"/>
      <c r="M82" s="512"/>
      <c r="N82" s="586"/>
      <c r="O82" s="512"/>
      <c r="P82" s="512"/>
      <c r="Q82" s="512"/>
      <c r="R82" s="512"/>
      <c r="S82" s="512"/>
      <c r="T82" s="512"/>
    </row>
    <row r="83" spans="1:20" x14ac:dyDescent="0.35">
      <c r="A83" s="512"/>
      <c r="B83" s="512"/>
      <c r="C83" s="512"/>
      <c r="D83" s="512"/>
      <c r="E83" s="512"/>
      <c r="F83" s="512"/>
      <c r="G83" s="512"/>
      <c r="H83" s="512"/>
      <c r="I83" s="512"/>
      <c r="J83" s="512"/>
      <c r="K83" s="512"/>
      <c r="L83" s="512"/>
      <c r="M83" s="512"/>
      <c r="N83" s="587"/>
      <c r="O83" s="512"/>
      <c r="P83" s="512"/>
      <c r="Q83" s="512"/>
      <c r="R83" s="512"/>
      <c r="S83" s="512"/>
      <c r="T83" s="512"/>
    </row>
    <row r="84" spans="1:20" x14ac:dyDescent="0.35">
      <c r="A84" s="512"/>
      <c r="B84" s="512"/>
      <c r="C84" s="512"/>
      <c r="D84" s="512"/>
      <c r="E84" s="512"/>
      <c r="F84" s="512"/>
      <c r="G84" s="512"/>
      <c r="H84" s="512"/>
      <c r="I84" s="512"/>
      <c r="J84" s="512"/>
      <c r="K84" s="512"/>
      <c r="L84" s="512"/>
      <c r="M84" s="512"/>
      <c r="N84" s="587"/>
      <c r="O84" s="512"/>
      <c r="P84" s="512"/>
      <c r="Q84" s="512"/>
      <c r="R84" s="512"/>
      <c r="S84" s="512"/>
      <c r="T84" s="512"/>
    </row>
    <row r="85" spans="1:20" x14ac:dyDescent="0.35">
      <c r="A85" s="512"/>
      <c r="B85" s="512"/>
      <c r="C85" s="512"/>
      <c r="D85" s="512"/>
      <c r="E85" s="512"/>
      <c r="F85" s="512"/>
      <c r="G85" s="512"/>
      <c r="H85" s="512"/>
      <c r="I85" s="512"/>
      <c r="J85" s="512"/>
      <c r="K85" s="512"/>
      <c r="L85" s="512"/>
      <c r="M85" s="512"/>
      <c r="N85" s="587"/>
      <c r="O85" s="512"/>
      <c r="P85" s="512"/>
      <c r="Q85" s="512"/>
      <c r="R85" s="512"/>
      <c r="S85" s="512"/>
      <c r="T85" s="512"/>
    </row>
    <row r="86" spans="1:20" x14ac:dyDescent="0.35">
      <c r="A86" s="512"/>
      <c r="B86" s="512"/>
      <c r="C86" s="512"/>
      <c r="D86" s="512"/>
      <c r="E86" s="512"/>
      <c r="F86" s="512"/>
      <c r="G86" s="512"/>
      <c r="H86" s="512"/>
      <c r="I86" s="512"/>
      <c r="J86" s="512"/>
      <c r="K86" s="512"/>
      <c r="L86" s="512"/>
      <c r="M86" s="512"/>
      <c r="N86" s="587"/>
      <c r="O86" s="512"/>
      <c r="P86" s="512"/>
      <c r="Q86" s="512"/>
      <c r="R86" s="512"/>
      <c r="S86" s="512"/>
      <c r="T86" s="512"/>
    </row>
    <row r="87" spans="1:20" x14ac:dyDescent="0.35">
      <c r="A87" s="512"/>
      <c r="B87" s="512"/>
      <c r="C87" s="512"/>
      <c r="D87" s="512"/>
      <c r="E87" s="512"/>
      <c r="F87" s="512"/>
      <c r="G87" s="512"/>
      <c r="H87" s="512"/>
      <c r="I87" s="512"/>
      <c r="J87" s="512"/>
      <c r="K87" s="512"/>
      <c r="L87" s="512"/>
      <c r="M87" s="512"/>
      <c r="N87" s="587"/>
      <c r="O87" s="512"/>
      <c r="P87" s="512"/>
      <c r="Q87" s="512"/>
      <c r="R87" s="512"/>
      <c r="S87" s="512"/>
      <c r="T87" s="512"/>
    </row>
    <row r="88" spans="1:20" x14ac:dyDescent="0.35">
      <c r="A88" s="512"/>
      <c r="B88" s="512"/>
      <c r="C88" s="512"/>
      <c r="D88" s="512"/>
      <c r="E88" s="512"/>
      <c r="F88" s="512"/>
      <c r="G88" s="512"/>
      <c r="H88" s="512"/>
      <c r="I88" s="512"/>
      <c r="J88" s="512"/>
      <c r="K88" s="512"/>
      <c r="L88" s="512"/>
      <c r="M88" s="512"/>
      <c r="N88" s="587"/>
      <c r="O88" s="512"/>
      <c r="P88" s="512"/>
      <c r="Q88" s="512"/>
      <c r="R88" s="512"/>
      <c r="S88" s="512"/>
      <c r="T88" s="512"/>
    </row>
    <row r="89" spans="1:20" x14ac:dyDescent="0.35">
      <c r="A89" s="512"/>
      <c r="B89" s="512"/>
      <c r="C89" s="512"/>
      <c r="D89" s="512"/>
      <c r="E89" s="512"/>
      <c r="F89" s="588"/>
      <c r="G89" s="512"/>
      <c r="H89" s="512"/>
      <c r="I89" s="512"/>
      <c r="J89" s="512"/>
      <c r="K89" s="512"/>
      <c r="L89" s="512"/>
      <c r="M89" s="512"/>
      <c r="N89" s="512"/>
      <c r="O89" s="512"/>
      <c r="P89" s="512"/>
      <c r="Q89" s="512"/>
      <c r="R89" s="512"/>
      <c r="S89" s="512"/>
      <c r="T89" s="512"/>
    </row>
    <row r="90" spans="1:20" x14ac:dyDescent="0.35">
      <c r="A90" s="512"/>
      <c r="B90" s="512"/>
      <c r="C90" s="512"/>
      <c r="D90" s="512"/>
      <c r="E90" s="512"/>
      <c r="F90" s="588"/>
      <c r="G90" s="512"/>
      <c r="H90" s="512"/>
      <c r="I90" s="512"/>
      <c r="J90" s="512"/>
      <c r="K90" s="512"/>
      <c r="L90" s="512"/>
      <c r="M90" s="512"/>
      <c r="N90" s="512"/>
      <c r="O90" s="512"/>
      <c r="P90" s="512"/>
      <c r="Q90" s="512"/>
      <c r="R90" s="512"/>
      <c r="S90" s="512"/>
      <c r="T90" s="512"/>
    </row>
    <row r="91" spans="1:20" x14ac:dyDescent="0.35">
      <c r="A91" s="512"/>
      <c r="B91" s="512"/>
      <c r="C91" s="512"/>
      <c r="D91" s="512"/>
      <c r="E91" s="512"/>
      <c r="F91" s="588"/>
      <c r="G91" s="512"/>
      <c r="H91" s="512"/>
      <c r="I91" s="512"/>
      <c r="J91" s="512"/>
      <c r="K91" s="512"/>
      <c r="L91" s="512"/>
      <c r="M91" s="512"/>
      <c r="N91" s="586"/>
      <c r="O91" s="512"/>
      <c r="P91" s="512"/>
      <c r="Q91" s="512"/>
      <c r="R91" s="512"/>
      <c r="S91" s="512"/>
      <c r="T91" s="512"/>
    </row>
    <row r="92" spans="1:20" x14ac:dyDescent="0.35">
      <c r="A92" s="512"/>
      <c r="B92" s="512"/>
      <c r="C92" s="512"/>
      <c r="D92" s="512"/>
      <c r="E92" s="512"/>
      <c r="F92" s="512"/>
      <c r="G92" s="512"/>
      <c r="H92" s="512"/>
      <c r="I92" s="512"/>
      <c r="J92" s="512"/>
      <c r="K92" s="512"/>
      <c r="L92" s="512"/>
      <c r="M92" s="512"/>
      <c r="N92" s="587"/>
      <c r="O92" s="512"/>
      <c r="P92" s="512"/>
      <c r="Q92" s="512"/>
      <c r="R92" s="512"/>
      <c r="S92" s="512"/>
      <c r="T92" s="512"/>
    </row>
    <row r="93" spans="1:20" x14ac:dyDescent="0.35">
      <c r="A93" s="512"/>
      <c r="B93" s="512"/>
      <c r="C93" s="512"/>
      <c r="D93" s="512"/>
      <c r="E93" s="512"/>
      <c r="F93" s="588"/>
      <c r="G93" s="512"/>
      <c r="H93" s="512"/>
      <c r="I93" s="512"/>
      <c r="J93" s="512"/>
      <c r="K93" s="512"/>
      <c r="L93" s="512"/>
      <c r="M93" s="512"/>
      <c r="N93" s="512"/>
      <c r="O93" s="512"/>
      <c r="P93" s="512"/>
      <c r="Q93" s="512"/>
      <c r="R93" s="512"/>
      <c r="S93" s="512"/>
      <c r="T93" s="512"/>
    </row>
    <row r="94" spans="1:20" x14ac:dyDescent="0.35">
      <c r="A94" s="512"/>
      <c r="B94" s="512"/>
      <c r="C94" s="512"/>
      <c r="D94" s="512"/>
      <c r="E94" s="512"/>
      <c r="F94" s="588"/>
      <c r="G94" s="512"/>
      <c r="H94" s="512"/>
      <c r="I94" s="512"/>
      <c r="J94" s="512"/>
      <c r="K94" s="512"/>
      <c r="L94" s="512"/>
      <c r="M94" s="512"/>
      <c r="N94" s="512"/>
      <c r="O94" s="512"/>
      <c r="P94" s="512"/>
      <c r="Q94" s="512"/>
      <c r="R94" s="512"/>
      <c r="S94" s="512"/>
      <c r="T94" s="512"/>
    </row>
    <row r="95" spans="1:20" x14ac:dyDescent="0.35">
      <c r="A95" s="512"/>
      <c r="B95" s="512"/>
      <c r="C95" s="512"/>
      <c r="D95" s="512"/>
      <c r="E95" s="512"/>
      <c r="F95" s="588"/>
      <c r="G95" s="512"/>
      <c r="H95" s="512"/>
      <c r="I95" s="512"/>
      <c r="J95" s="512"/>
      <c r="K95" s="512"/>
      <c r="L95" s="512"/>
      <c r="M95" s="512"/>
      <c r="N95" s="512"/>
      <c r="O95" s="512"/>
      <c r="P95" s="512"/>
      <c r="Q95" s="512"/>
      <c r="R95" s="512"/>
      <c r="S95" s="512"/>
      <c r="T95" s="512"/>
    </row>
    <row r="96" spans="1:20" x14ac:dyDescent="0.35">
      <c r="A96" s="512"/>
      <c r="B96" s="512"/>
      <c r="C96" s="512"/>
      <c r="D96" s="512"/>
      <c r="E96" s="512"/>
      <c r="F96" s="512"/>
      <c r="G96" s="512"/>
      <c r="H96" s="512"/>
      <c r="I96" s="512"/>
      <c r="J96" s="512"/>
      <c r="K96" s="512"/>
      <c r="L96" s="512"/>
      <c r="M96" s="512"/>
      <c r="N96" s="512"/>
      <c r="O96" s="512"/>
      <c r="P96" s="512"/>
      <c r="Q96" s="512"/>
      <c r="R96" s="512"/>
      <c r="S96" s="512"/>
      <c r="T96" s="512"/>
    </row>
    <row r="97" spans="1:20" x14ac:dyDescent="0.35">
      <c r="A97" s="512"/>
      <c r="B97" s="512"/>
      <c r="C97" s="512"/>
      <c r="D97" s="512"/>
      <c r="E97" s="512"/>
      <c r="F97" s="512"/>
      <c r="G97" s="512"/>
      <c r="H97" s="512"/>
      <c r="I97" s="512"/>
      <c r="J97" s="512"/>
      <c r="K97" s="512"/>
      <c r="L97" s="512"/>
      <c r="M97" s="512"/>
      <c r="N97" s="512"/>
      <c r="O97" s="512"/>
      <c r="P97" s="512"/>
      <c r="Q97" s="512"/>
      <c r="R97" s="512"/>
      <c r="S97" s="512"/>
      <c r="T97" s="512"/>
    </row>
    <row r="98" spans="1:20" x14ac:dyDescent="0.35">
      <c r="A98" s="512"/>
      <c r="B98" s="512"/>
      <c r="C98" s="512"/>
      <c r="D98" s="512"/>
      <c r="E98" s="512"/>
      <c r="F98" s="512"/>
      <c r="G98" s="512"/>
      <c r="H98" s="512"/>
      <c r="I98" s="512"/>
      <c r="J98" s="512"/>
      <c r="K98" s="512"/>
      <c r="L98" s="512"/>
      <c r="M98" s="512"/>
      <c r="N98" s="512"/>
      <c r="O98" s="512"/>
      <c r="P98" s="512"/>
      <c r="Q98" s="512"/>
      <c r="R98" s="512"/>
      <c r="S98" s="512"/>
      <c r="T98" s="512"/>
    </row>
    <row r="99" spans="1:20" x14ac:dyDescent="0.35">
      <c r="A99" s="512"/>
      <c r="B99" s="512"/>
      <c r="C99" s="512"/>
      <c r="D99" s="512"/>
      <c r="E99" s="512"/>
      <c r="F99" s="512"/>
      <c r="G99" s="512"/>
      <c r="H99" s="512"/>
      <c r="I99" s="512"/>
      <c r="J99" s="512"/>
      <c r="K99" s="512"/>
      <c r="L99" s="512"/>
      <c r="M99" s="512"/>
      <c r="N99" s="512"/>
      <c r="O99" s="512"/>
      <c r="P99" s="512"/>
      <c r="Q99" s="512"/>
      <c r="R99" s="512"/>
      <c r="S99" s="512"/>
      <c r="T99" s="512"/>
    </row>
    <row r="100" spans="1:20" x14ac:dyDescent="0.35">
      <c r="A100" s="512"/>
      <c r="B100" s="512"/>
      <c r="C100" s="512"/>
      <c r="D100" s="512"/>
      <c r="E100" s="512"/>
      <c r="F100" s="512"/>
      <c r="G100" s="512"/>
      <c r="H100" s="512"/>
      <c r="I100" s="512"/>
      <c r="J100" s="512"/>
      <c r="K100" s="512"/>
      <c r="L100" s="512"/>
      <c r="M100" s="512"/>
      <c r="N100" s="512"/>
      <c r="O100" s="512"/>
      <c r="P100" s="512"/>
      <c r="Q100" s="512"/>
      <c r="R100" s="512"/>
      <c r="S100" s="512"/>
      <c r="T100" s="512"/>
    </row>
    <row r="101" spans="1:20" x14ac:dyDescent="0.35">
      <c r="A101" s="512"/>
      <c r="B101" s="512"/>
      <c r="C101" s="512"/>
      <c r="D101" s="512"/>
      <c r="E101" s="512"/>
      <c r="F101" s="512"/>
      <c r="G101" s="512"/>
      <c r="H101" s="512"/>
      <c r="I101" s="512"/>
      <c r="J101" s="512"/>
      <c r="K101" s="512"/>
      <c r="L101" s="512"/>
      <c r="M101" s="512"/>
      <c r="N101" s="512"/>
      <c r="O101" s="512"/>
      <c r="P101" s="512"/>
      <c r="Q101" s="512"/>
      <c r="R101" s="512"/>
      <c r="S101" s="512"/>
      <c r="T101" s="512"/>
    </row>
    <row r="102" spans="1:20" x14ac:dyDescent="0.35">
      <c r="A102" s="512"/>
      <c r="B102" s="512"/>
      <c r="C102" s="512"/>
      <c r="D102" s="512"/>
      <c r="E102" s="512"/>
      <c r="F102" s="512"/>
      <c r="G102" s="512"/>
      <c r="H102" s="512"/>
      <c r="I102" s="512"/>
      <c r="J102" s="512"/>
      <c r="K102" s="512"/>
      <c r="L102" s="512"/>
      <c r="M102" s="512"/>
      <c r="N102" s="512"/>
      <c r="O102" s="512"/>
      <c r="P102" s="512"/>
      <c r="Q102" s="512"/>
      <c r="R102" s="512"/>
      <c r="S102" s="512"/>
      <c r="T102" s="512"/>
    </row>
    <row r="103" spans="1:20" x14ac:dyDescent="0.35">
      <c r="A103" s="512"/>
      <c r="B103" s="512"/>
      <c r="C103" s="512"/>
      <c r="D103" s="512"/>
      <c r="E103" s="512"/>
      <c r="F103" s="512"/>
      <c r="G103" s="512"/>
      <c r="H103" s="512"/>
      <c r="I103" s="512"/>
      <c r="J103" s="512"/>
      <c r="K103" s="512"/>
      <c r="L103" s="512"/>
      <c r="M103" s="512"/>
      <c r="N103" s="512"/>
      <c r="O103" s="512"/>
      <c r="P103" s="512"/>
      <c r="Q103" s="512"/>
      <c r="R103" s="512"/>
      <c r="S103" s="512"/>
      <c r="T103" s="512"/>
    </row>
    <row r="104" spans="1:20" x14ac:dyDescent="0.35">
      <c r="A104" s="512"/>
      <c r="B104" s="512"/>
      <c r="C104" s="512"/>
      <c r="D104" s="512"/>
      <c r="E104" s="512"/>
      <c r="F104" s="512"/>
      <c r="G104" s="512"/>
      <c r="H104" s="512"/>
      <c r="I104" s="512"/>
      <c r="J104" s="512"/>
      <c r="K104" s="512"/>
      <c r="L104" s="512"/>
      <c r="M104" s="512"/>
      <c r="N104" s="512"/>
      <c r="O104" s="512"/>
      <c r="P104" s="512"/>
      <c r="Q104" s="512"/>
      <c r="R104" s="512"/>
      <c r="S104" s="512"/>
      <c r="T104" s="512"/>
    </row>
    <row r="105" spans="1:20" x14ac:dyDescent="0.35">
      <c r="A105" s="512"/>
      <c r="B105" s="512"/>
      <c r="C105" s="512"/>
      <c r="D105" s="512"/>
      <c r="E105" s="512"/>
      <c r="F105" s="512"/>
      <c r="G105" s="512"/>
      <c r="H105" s="512"/>
      <c r="I105" s="512"/>
      <c r="J105" s="512"/>
      <c r="K105" s="512"/>
      <c r="L105" s="512"/>
      <c r="M105" s="512"/>
      <c r="N105" s="512"/>
      <c r="O105" s="512"/>
      <c r="P105" s="512"/>
      <c r="Q105" s="512"/>
      <c r="R105" s="512"/>
      <c r="S105" s="512"/>
      <c r="T105" s="512"/>
    </row>
    <row r="106" spans="1:20" x14ac:dyDescent="0.35">
      <c r="A106" s="512"/>
      <c r="B106" s="512"/>
      <c r="C106" s="512"/>
      <c r="D106" s="512"/>
      <c r="E106" s="512"/>
      <c r="F106" s="512"/>
      <c r="G106" s="512"/>
      <c r="H106" s="512"/>
      <c r="I106" s="512"/>
      <c r="J106" s="512"/>
      <c r="K106" s="512"/>
      <c r="L106" s="512"/>
      <c r="M106" s="512"/>
      <c r="N106" s="512"/>
      <c r="O106" s="512"/>
      <c r="P106" s="512"/>
      <c r="Q106" s="512"/>
      <c r="R106" s="512"/>
      <c r="S106" s="512"/>
      <c r="T106" s="512"/>
    </row>
    <row r="107" spans="1:20" x14ac:dyDescent="0.35">
      <c r="A107" s="512"/>
      <c r="B107" s="512"/>
      <c r="C107" s="512"/>
      <c r="D107" s="512"/>
      <c r="E107" s="512"/>
      <c r="F107" s="512"/>
      <c r="G107" s="512"/>
      <c r="H107" s="512"/>
      <c r="I107" s="512"/>
      <c r="J107" s="512"/>
      <c r="K107" s="512"/>
      <c r="L107" s="512"/>
      <c r="M107" s="512"/>
      <c r="N107" s="512"/>
      <c r="O107" s="512"/>
      <c r="P107" s="512"/>
      <c r="Q107" s="512"/>
      <c r="R107" s="512"/>
      <c r="S107" s="512"/>
      <c r="T107" s="512"/>
    </row>
    <row r="108" spans="1:20" x14ac:dyDescent="0.35">
      <c r="A108" s="512"/>
      <c r="B108" s="512"/>
      <c r="C108" s="512"/>
      <c r="D108" s="512"/>
      <c r="E108" s="512"/>
      <c r="F108" s="512"/>
      <c r="G108" s="512"/>
      <c r="H108" s="512"/>
      <c r="I108" s="512"/>
      <c r="J108" s="512"/>
      <c r="K108" s="512"/>
      <c r="L108" s="512"/>
      <c r="M108" s="513"/>
      <c r="N108" s="512"/>
      <c r="O108" s="512"/>
      <c r="P108" s="512"/>
      <c r="Q108" s="512"/>
      <c r="R108" s="512"/>
      <c r="S108" s="512"/>
      <c r="T108" s="512"/>
    </row>
    <row r="109" spans="1:20" ht="15" thickBot="1" x14ac:dyDescent="0.4">
      <c r="A109" s="512"/>
      <c r="B109" s="512"/>
      <c r="C109" s="512"/>
      <c r="D109" s="512"/>
      <c r="E109" s="512"/>
      <c r="F109" s="512"/>
      <c r="G109" s="512"/>
      <c r="H109" s="512"/>
      <c r="I109" s="512"/>
      <c r="J109" s="512"/>
      <c r="K109" s="512"/>
      <c r="L109" s="512"/>
      <c r="M109" s="513"/>
      <c r="N109" s="512"/>
      <c r="O109" s="512"/>
      <c r="P109" s="512"/>
      <c r="Q109" s="512"/>
      <c r="R109" s="512"/>
      <c r="S109" s="512"/>
      <c r="T109" s="512"/>
    </row>
    <row r="110" spans="1:20" ht="19" thickTop="1" x14ac:dyDescent="0.45">
      <c r="A110" s="512"/>
      <c r="B110" s="512"/>
      <c r="C110" s="512"/>
      <c r="D110" s="5725" t="s">
        <v>793</v>
      </c>
      <c r="E110" s="5726"/>
      <c r="F110" s="5726"/>
      <c r="G110" s="5726"/>
      <c r="H110" s="5726"/>
      <c r="I110" s="5726"/>
      <c r="J110" s="5726"/>
      <c r="K110" s="5726"/>
      <c r="L110" s="5727"/>
      <c r="M110" s="589"/>
      <c r="N110" s="5728" t="s">
        <v>792</v>
      </c>
      <c r="O110" s="5729"/>
      <c r="P110" s="5729"/>
      <c r="Q110" s="5729"/>
      <c r="R110" s="5729"/>
      <c r="S110" s="5730"/>
      <c r="T110" s="512"/>
    </row>
    <row r="111" spans="1:20" ht="16.5" customHeight="1" x14ac:dyDescent="0.35">
      <c r="A111" s="512"/>
      <c r="B111" s="512"/>
      <c r="C111" s="512"/>
      <c r="D111" s="5731" t="str">
        <f t="shared" ref="D111:D119" si="30">A65</f>
        <v>Répartition de CA par canal de vente ( M€ )</v>
      </c>
      <c r="E111" s="5732"/>
      <c r="F111" s="5733"/>
      <c r="G111" s="590">
        <f>AnReference-1</f>
        <v>2017</v>
      </c>
      <c r="H111" s="590">
        <f>AnReference</f>
        <v>2018</v>
      </c>
      <c r="I111" s="590">
        <f>I65</f>
        <v>2019</v>
      </c>
      <c r="J111" s="590">
        <f>J65</f>
        <v>2020</v>
      </c>
      <c r="K111" s="590">
        <f>K65</f>
        <v>2021</v>
      </c>
      <c r="L111" s="591" t="str">
        <f>L65</f>
        <v>Total</v>
      </c>
      <c r="M111" s="507">
        <f>M65</f>
        <v>0</v>
      </c>
      <c r="N111" s="592">
        <f>AnReference-1</f>
        <v>2017</v>
      </c>
      <c r="O111" s="590">
        <f>AnReference</f>
        <v>2018</v>
      </c>
      <c r="P111" s="590">
        <f>I111</f>
        <v>2019</v>
      </c>
      <c r="Q111" s="590">
        <f>J111</f>
        <v>2020</v>
      </c>
      <c r="R111" s="590">
        <f>K111</f>
        <v>2021</v>
      </c>
      <c r="S111" s="591" t="str">
        <f>S65</f>
        <v>Total</v>
      </c>
      <c r="T111" s="512"/>
    </row>
    <row r="112" spans="1:20" ht="33" customHeight="1" x14ac:dyDescent="0.35">
      <c r="A112" s="512"/>
      <c r="B112" s="512"/>
      <c r="C112" s="512"/>
      <c r="D112" s="5721" t="str">
        <f t="shared" si="30"/>
        <v>Ventes directes seules</v>
      </c>
      <c r="E112" s="5722"/>
      <c r="F112" s="5722"/>
      <c r="G112" s="593">
        <f t="shared" ref="G112:S119" si="31">G66</f>
        <v>1.8</v>
      </c>
      <c r="H112" s="593">
        <f t="shared" si="31"/>
        <v>0</v>
      </c>
      <c r="I112" s="593">
        <f t="shared" si="31"/>
        <v>0</v>
      </c>
      <c r="J112" s="593">
        <f t="shared" si="31"/>
        <v>0</v>
      </c>
      <c r="K112" s="594">
        <f t="shared" si="31"/>
        <v>0</v>
      </c>
      <c r="L112" s="595">
        <f t="shared" si="31"/>
        <v>0</v>
      </c>
      <c r="M112" s="596">
        <f t="shared" si="31"/>
        <v>0</v>
      </c>
      <c r="N112" s="597">
        <f t="shared" si="31"/>
        <v>1</v>
      </c>
      <c r="O112" s="598" t="e">
        <f t="shared" si="31"/>
        <v>#DIV/0!</v>
      </c>
      <c r="P112" s="598" t="e">
        <f t="shared" si="31"/>
        <v>#DIV/0!</v>
      </c>
      <c r="Q112" s="598" t="e">
        <f t="shared" si="31"/>
        <v>#DIV/0!</v>
      </c>
      <c r="R112" s="599" t="e">
        <f t="shared" si="31"/>
        <v>#DIV/0!</v>
      </c>
      <c r="S112" s="600" t="e">
        <f t="shared" si="31"/>
        <v>#DIV/0!</v>
      </c>
      <c r="T112" s="512"/>
    </row>
    <row r="113" spans="1:20" x14ac:dyDescent="0.35">
      <c r="A113" s="512"/>
      <c r="B113" s="512"/>
      <c r="C113" s="512"/>
      <c r="D113" s="5721" t="str">
        <f t="shared" si="30"/>
        <v>ESN</v>
      </c>
      <c r="E113" s="5722"/>
      <c r="F113" s="5722"/>
      <c r="G113" s="593">
        <f t="shared" si="31"/>
        <v>0</v>
      </c>
      <c r="H113" s="593">
        <f t="shared" si="31"/>
        <v>0</v>
      </c>
      <c r="I113" s="593">
        <f t="shared" si="31"/>
        <v>0</v>
      </c>
      <c r="J113" s="593">
        <f t="shared" si="31"/>
        <v>0</v>
      </c>
      <c r="K113" s="594">
        <f t="shared" si="31"/>
        <v>0</v>
      </c>
      <c r="L113" s="595">
        <f t="shared" si="31"/>
        <v>0</v>
      </c>
      <c r="M113" s="596">
        <f t="shared" si="31"/>
        <v>0</v>
      </c>
      <c r="N113" s="597" t="str">
        <f t="shared" si="31"/>
        <v/>
      </c>
      <c r="O113" s="598" t="e">
        <f t="shared" si="31"/>
        <v>#DIV/0!</v>
      </c>
      <c r="P113" s="598" t="e">
        <f t="shared" si="31"/>
        <v>#DIV/0!</v>
      </c>
      <c r="Q113" s="598" t="e">
        <f t="shared" si="31"/>
        <v>#DIV/0!</v>
      </c>
      <c r="R113" s="599" t="e">
        <f t="shared" si="31"/>
        <v>#DIV/0!</v>
      </c>
      <c r="S113" s="600" t="e">
        <f t="shared" si="31"/>
        <v>#DIV/0!</v>
      </c>
      <c r="T113" s="512"/>
    </row>
    <row r="114" spans="1:20" x14ac:dyDescent="0.35">
      <c r="A114" s="512"/>
      <c r="B114" s="512"/>
      <c r="C114" s="512"/>
      <c r="D114" s="5721" t="str">
        <f t="shared" si="30"/>
        <v>Centres de contact</v>
      </c>
      <c r="E114" s="5722"/>
      <c r="F114" s="5722"/>
      <c r="G114" s="593">
        <f t="shared" si="31"/>
        <v>0</v>
      </c>
      <c r="H114" s="593">
        <f t="shared" si="31"/>
        <v>0</v>
      </c>
      <c r="I114" s="593">
        <f t="shared" si="31"/>
        <v>0</v>
      </c>
      <c r="J114" s="593">
        <f t="shared" si="31"/>
        <v>0</v>
      </c>
      <c r="K114" s="594">
        <f t="shared" si="31"/>
        <v>0</v>
      </c>
      <c r="L114" s="595">
        <f t="shared" si="31"/>
        <v>0</v>
      </c>
      <c r="M114" s="596">
        <f t="shared" si="31"/>
        <v>0</v>
      </c>
      <c r="N114" s="597" t="str">
        <f t="shared" si="31"/>
        <v/>
      </c>
      <c r="O114" s="598" t="e">
        <f t="shared" si="31"/>
        <v>#DIV/0!</v>
      </c>
      <c r="P114" s="598" t="e">
        <f t="shared" si="31"/>
        <v>#DIV/0!</v>
      </c>
      <c r="Q114" s="598" t="e">
        <f t="shared" si="31"/>
        <v>#DIV/0!</v>
      </c>
      <c r="R114" s="599" t="e">
        <f t="shared" si="31"/>
        <v>#DIV/0!</v>
      </c>
      <c r="S114" s="600" t="e">
        <f t="shared" si="31"/>
        <v>#DIV/0!</v>
      </c>
      <c r="T114" s="512"/>
    </row>
    <row r="115" spans="1:20" x14ac:dyDescent="0.35">
      <c r="A115" s="512"/>
      <c r="B115" s="512"/>
      <c r="C115" s="512"/>
      <c r="D115" s="5721" t="str">
        <f t="shared" si="30"/>
        <v>Vars Nationaux</v>
      </c>
      <c r="E115" s="5722"/>
      <c r="F115" s="5722"/>
      <c r="G115" s="593">
        <f t="shared" si="31"/>
        <v>0</v>
      </c>
      <c r="H115" s="593">
        <f t="shared" si="31"/>
        <v>0</v>
      </c>
      <c r="I115" s="593">
        <f t="shared" si="31"/>
        <v>0</v>
      </c>
      <c r="J115" s="593">
        <f t="shared" si="31"/>
        <v>0</v>
      </c>
      <c r="K115" s="594">
        <f t="shared" si="31"/>
        <v>0</v>
      </c>
      <c r="L115" s="595">
        <f t="shared" si="31"/>
        <v>0</v>
      </c>
      <c r="M115" s="596">
        <f t="shared" si="31"/>
        <v>0</v>
      </c>
      <c r="N115" s="597" t="str">
        <f t="shared" si="31"/>
        <v/>
      </c>
      <c r="O115" s="598" t="e">
        <f t="shared" si="31"/>
        <v>#DIV/0!</v>
      </c>
      <c r="P115" s="598" t="e">
        <f t="shared" si="31"/>
        <v>#DIV/0!</v>
      </c>
      <c r="Q115" s="598" t="e">
        <f t="shared" si="31"/>
        <v>#DIV/0!</v>
      </c>
      <c r="R115" s="599" t="e">
        <f t="shared" si="31"/>
        <v>#DIV/0!</v>
      </c>
      <c r="S115" s="600" t="e">
        <f t="shared" si="31"/>
        <v>#DIV/0!</v>
      </c>
      <c r="T115" s="512"/>
    </row>
    <row r="116" spans="1:20" x14ac:dyDescent="0.35">
      <c r="A116" s="512"/>
      <c r="B116" s="512"/>
      <c r="C116" s="512"/>
      <c r="D116" s="5721" t="str">
        <f t="shared" si="30"/>
        <v>Editeurs</v>
      </c>
      <c r="E116" s="5722"/>
      <c r="F116" s="5722"/>
      <c r="G116" s="593">
        <f t="shared" si="31"/>
        <v>0</v>
      </c>
      <c r="H116" s="593">
        <f t="shared" si="31"/>
        <v>0</v>
      </c>
      <c r="I116" s="593">
        <f t="shared" si="31"/>
        <v>0</v>
      </c>
      <c r="J116" s="593">
        <f t="shared" si="31"/>
        <v>0</v>
      </c>
      <c r="K116" s="594">
        <f t="shared" si="31"/>
        <v>0</v>
      </c>
      <c r="L116" s="595">
        <f t="shared" si="31"/>
        <v>0</v>
      </c>
      <c r="M116" s="596"/>
      <c r="N116" s="597" t="str">
        <f t="shared" si="31"/>
        <v/>
      </c>
      <c r="O116" s="598" t="e">
        <f t="shared" si="31"/>
        <v>#DIV/0!</v>
      </c>
      <c r="P116" s="598" t="e">
        <f t="shared" si="31"/>
        <v>#DIV/0!</v>
      </c>
      <c r="Q116" s="598" t="e">
        <f t="shared" si="31"/>
        <v>#DIV/0!</v>
      </c>
      <c r="R116" s="599" t="e">
        <f t="shared" si="31"/>
        <v>#DIV/0!</v>
      </c>
      <c r="S116" s="600" t="e">
        <f t="shared" si="31"/>
        <v>#DIV/0!</v>
      </c>
      <c r="T116" s="512"/>
    </row>
    <row r="117" spans="1:20" x14ac:dyDescent="0.35">
      <c r="A117" s="512"/>
      <c r="B117" s="512"/>
      <c r="C117" s="512"/>
      <c r="D117" s="5721" t="str">
        <f t="shared" si="30"/>
        <v>Web Agencies</v>
      </c>
      <c r="E117" s="5722"/>
      <c r="F117" s="5722"/>
      <c r="G117" s="593">
        <f t="shared" si="31"/>
        <v>0</v>
      </c>
      <c r="H117" s="593">
        <f t="shared" si="31"/>
        <v>0</v>
      </c>
      <c r="I117" s="593">
        <f t="shared" si="31"/>
        <v>0</v>
      </c>
      <c r="J117" s="593">
        <f t="shared" si="31"/>
        <v>0</v>
      </c>
      <c r="K117" s="594">
        <f t="shared" si="31"/>
        <v>0</v>
      </c>
      <c r="L117" s="595">
        <f t="shared" si="31"/>
        <v>0</v>
      </c>
      <c r="M117" s="596"/>
      <c r="N117" s="597" t="str">
        <f t="shared" si="31"/>
        <v/>
      </c>
      <c r="O117" s="598" t="e">
        <f t="shared" si="31"/>
        <v>#DIV/0!</v>
      </c>
      <c r="P117" s="598" t="e">
        <f t="shared" si="31"/>
        <v>#DIV/0!</v>
      </c>
      <c r="Q117" s="598" t="e">
        <f t="shared" si="31"/>
        <v>#DIV/0!</v>
      </c>
      <c r="R117" s="599" t="e">
        <f t="shared" si="31"/>
        <v>#DIV/0!</v>
      </c>
      <c r="S117" s="600" t="e">
        <f t="shared" si="31"/>
        <v>#DIV/0!</v>
      </c>
      <c r="T117" s="512"/>
    </row>
    <row r="118" spans="1:20" x14ac:dyDescent="0.35">
      <c r="A118" s="512"/>
      <c r="B118" s="512"/>
      <c r="C118" s="512"/>
      <c r="D118" s="5721" t="str">
        <f t="shared" si="30"/>
        <v>Constructeurs</v>
      </c>
      <c r="E118" s="5722"/>
      <c r="F118" s="5722"/>
      <c r="G118" s="593">
        <f t="shared" si="31"/>
        <v>0</v>
      </c>
      <c r="H118" s="593">
        <f t="shared" si="31"/>
        <v>0</v>
      </c>
      <c r="I118" s="593">
        <f t="shared" si="31"/>
        <v>0</v>
      </c>
      <c r="J118" s="593">
        <f t="shared" si="31"/>
        <v>0</v>
      </c>
      <c r="K118" s="594">
        <f t="shared" si="31"/>
        <v>0</v>
      </c>
      <c r="L118" s="595">
        <f t="shared" si="31"/>
        <v>0</v>
      </c>
      <c r="M118" s="596"/>
      <c r="N118" s="597" t="str">
        <f t="shared" si="31"/>
        <v/>
      </c>
      <c r="O118" s="598" t="e">
        <f t="shared" si="31"/>
        <v>#DIV/0!</v>
      </c>
      <c r="P118" s="598" t="e">
        <f t="shared" si="31"/>
        <v>#DIV/0!</v>
      </c>
      <c r="Q118" s="598" t="e">
        <f t="shared" si="31"/>
        <v>#DIV/0!</v>
      </c>
      <c r="R118" s="599" t="e">
        <f t="shared" si="31"/>
        <v>#DIV/0!</v>
      </c>
      <c r="S118" s="600" t="e">
        <f t="shared" si="31"/>
        <v>#DIV/0!</v>
      </c>
      <c r="T118" s="512"/>
    </row>
    <row r="119" spans="1:20" ht="15" thickBot="1" x14ac:dyDescent="0.4">
      <c r="A119" s="512"/>
      <c r="B119" s="512"/>
      <c r="C119" s="512"/>
      <c r="D119" s="5721" t="str">
        <f t="shared" si="30"/>
        <v>Hébergeurs</v>
      </c>
      <c r="E119" s="5722"/>
      <c r="F119" s="5722"/>
      <c r="G119" s="593">
        <f t="shared" si="31"/>
        <v>0</v>
      </c>
      <c r="H119" s="593">
        <f t="shared" si="31"/>
        <v>0</v>
      </c>
      <c r="I119" s="593">
        <f t="shared" si="31"/>
        <v>0</v>
      </c>
      <c r="J119" s="593">
        <f t="shared" si="31"/>
        <v>0</v>
      </c>
      <c r="K119" s="594">
        <f t="shared" si="31"/>
        <v>0</v>
      </c>
      <c r="L119" s="595">
        <f t="shared" si="31"/>
        <v>0</v>
      </c>
      <c r="M119" s="596"/>
      <c r="N119" s="597" t="str">
        <f t="shared" si="31"/>
        <v/>
      </c>
      <c r="O119" s="598" t="e">
        <f t="shared" si="31"/>
        <v>#DIV/0!</v>
      </c>
      <c r="P119" s="598" t="e">
        <f t="shared" si="31"/>
        <v>#DIV/0!</v>
      </c>
      <c r="Q119" s="598" t="e">
        <f t="shared" si="31"/>
        <v>#DIV/0!</v>
      </c>
      <c r="R119" s="599" t="e">
        <f t="shared" si="31"/>
        <v>#DIV/0!</v>
      </c>
      <c r="S119" s="600" t="e">
        <f t="shared" si="31"/>
        <v>#DIV/0!</v>
      </c>
      <c r="T119" s="512"/>
    </row>
    <row r="120" spans="1:20" ht="15" thickTop="1" x14ac:dyDescent="0.35">
      <c r="A120" s="512"/>
      <c r="B120" s="512"/>
      <c r="C120" s="512"/>
      <c r="D120" s="5715" t="str">
        <f>A75</f>
        <v>Total</v>
      </c>
      <c r="E120" s="5716"/>
      <c r="F120" s="5716"/>
      <c r="G120" s="1576">
        <f t="shared" ref="G120:S121" si="32">G75</f>
        <v>1.8</v>
      </c>
      <c r="H120" s="1576">
        <f t="shared" si="32"/>
        <v>0</v>
      </c>
      <c r="I120" s="1576">
        <f t="shared" si="32"/>
        <v>0</v>
      </c>
      <c r="J120" s="1576">
        <f t="shared" si="32"/>
        <v>0</v>
      </c>
      <c r="K120" s="601">
        <f t="shared" si="32"/>
        <v>0</v>
      </c>
      <c r="L120" s="602">
        <f t="shared" si="32"/>
        <v>0</v>
      </c>
      <c r="M120" s="596">
        <f t="shared" si="32"/>
        <v>0</v>
      </c>
      <c r="N120" s="603" t="e">
        <f t="shared" si="32"/>
        <v>#DIV/0!</v>
      </c>
      <c r="O120" s="604" t="e">
        <f t="shared" si="32"/>
        <v>#DIV/0!</v>
      </c>
      <c r="P120" s="604" t="e">
        <f t="shared" si="32"/>
        <v>#DIV/0!</v>
      </c>
      <c r="Q120" s="604" t="e">
        <f t="shared" si="32"/>
        <v>#DIV/0!</v>
      </c>
      <c r="R120" s="605" t="e">
        <f t="shared" si="32"/>
        <v>#DIV/0!</v>
      </c>
      <c r="S120" s="606" t="e">
        <f t="shared" si="32"/>
        <v>#DIV/0!</v>
      </c>
      <c r="T120" s="512"/>
    </row>
    <row r="121" spans="1:20" ht="15" thickBot="1" x14ac:dyDescent="0.4">
      <c r="A121" s="512"/>
      <c r="B121" s="512"/>
      <c r="C121" s="512"/>
      <c r="D121" s="5717" t="str">
        <f>A76</f>
        <v>Taux de croissance annuel</v>
      </c>
      <c r="E121" s="5718"/>
      <c r="F121" s="5718"/>
      <c r="G121" s="1578">
        <f t="shared" si="32"/>
        <v>0</v>
      </c>
      <c r="H121" s="607">
        <f t="shared" si="32"/>
        <v>-1</v>
      </c>
      <c r="I121" s="607" t="e">
        <f t="shared" si="32"/>
        <v>#DIV/0!</v>
      </c>
      <c r="J121" s="607" t="e">
        <f t="shared" si="32"/>
        <v>#DIV/0!</v>
      </c>
      <c r="K121" s="608" t="e">
        <f t="shared" si="32"/>
        <v>#DIV/0!</v>
      </c>
      <c r="L121" s="609">
        <f t="shared" si="32"/>
        <v>0</v>
      </c>
      <c r="M121" s="596">
        <f t="shared" si="32"/>
        <v>0</v>
      </c>
      <c r="N121" s="1577">
        <f t="shared" si="32"/>
        <v>0</v>
      </c>
      <c r="O121" s="1578">
        <f t="shared" si="32"/>
        <v>0</v>
      </c>
      <c r="P121" s="1578">
        <f t="shared" si="32"/>
        <v>0</v>
      </c>
      <c r="Q121" s="1578">
        <f t="shared" si="32"/>
        <v>0</v>
      </c>
      <c r="R121" s="610">
        <f t="shared" si="32"/>
        <v>0</v>
      </c>
      <c r="S121" s="609">
        <f t="shared" si="32"/>
        <v>0</v>
      </c>
      <c r="T121" s="512"/>
    </row>
    <row r="122" spans="1:20" ht="15" thickTop="1" x14ac:dyDescent="0.35">
      <c r="A122" s="512"/>
      <c r="B122" s="512"/>
      <c r="C122" s="512"/>
      <c r="D122" s="512"/>
      <c r="E122" s="512"/>
      <c r="F122" s="512"/>
      <c r="G122" s="512"/>
      <c r="H122" s="512"/>
      <c r="I122" s="512"/>
      <c r="J122" s="512"/>
      <c r="K122" s="512"/>
      <c r="L122" s="512"/>
      <c r="M122" s="513"/>
      <c r="N122" s="512"/>
      <c r="O122" s="512"/>
      <c r="P122" s="512"/>
      <c r="Q122" s="512"/>
      <c r="R122" s="512"/>
      <c r="S122" s="512"/>
      <c r="T122" s="512"/>
    </row>
    <row r="123" spans="1:20" x14ac:dyDescent="0.35">
      <c r="M123" s="205"/>
      <c r="T123" s="512"/>
    </row>
    <row r="124" spans="1:20" s="205" customFormat="1" ht="15" thickBot="1" x14ac:dyDescent="0.4">
      <c r="A124" s="513"/>
      <c r="B124" s="513"/>
      <c r="C124" s="513"/>
      <c r="D124" s="513"/>
      <c r="E124" s="513"/>
      <c r="F124" s="548"/>
      <c r="G124" s="1575"/>
      <c r="H124" s="549"/>
      <c r="I124" s="550"/>
      <c r="J124" s="550"/>
      <c r="K124" s="550"/>
      <c r="L124" s="550"/>
      <c r="M124" s="520"/>
      <c r="N124" s="520"/>
      <c r="O124" s="513"/>
      <c r="P124" s="513"/>
      <c r="Q124" s="513"/>
      <c r="R124" s="513"/>
      <c r="S124" s="513"/>
      <c r="T124" s="513"/>
    </row>
    <row r="125" spans="1:20" s="210" customFormat="1" ht="15" hidden="1" thickBot="1" x14ac:dyDescent="0.4">
      <c r="A125" s="551"/>
      <c r="B125" s="551"/>
      <c r="C125" s="551"/>
      <c r="D125" s="551"/>
      <c r="E125" s="551"/>
      <c r="F125" s="551"/>
      <c r="G125" s="551"/>
      <c r="H125" s="551"/>
      <c r="I125" s="551"/>
      <c r="J125" s="551"/>
      <c r="K125" s="551"/>
      <c r="L125" s="551"/>
      <c r="M125" s="551"/>
      <c r="N125" s="551"/>
      <c r="O125" s="551"/>
      <c r="P125" s="551"/>
      <c r="Q125" s="551"/>
      <c r="R125" s="512"/>
      <c r="S125" s="551"/>
      <c r="T125" s="551"/>
    </row>
    <row r="126" spans="1:20" s="211" customFormat="1" ht="37.5" hidden="1" customHeight="1" thickTop="1" thickBot="1" x14ac:dyDescent="0.4">
      <c r="A126" s="538"/>
      <c r="B126" s="538"/>
      <c r="C126" s="538"/>
      <c r="D126" s="538"/>
      <c r="E126" s="538"/>
      <c r="F126" s="552" t="s">
        <v>766</v>
      </c>
      <c r="G126" s="553">
        <v>2012</v>
      </c>
      <c r="H126" s="553">
        <v>2013</v>
      </c>
      <c r="I126" s="553">
        <v>2014</v>
      </c>
      <c r="J126" s="553">
        <v>2015</v>
      </c>
      <c r="K126" s="553">
        <v>2016</v>
      </c>
      <c r="L126" s="554" t="s">
        <v>765</v>
      </c>
      <c r="M126" s="538"/>
      <c r="N126" s="538"/>
      <c r="O126" s="538"/>
      <c r="P126" s="538"/>
      <c r="Q126" s="538"/>
      <c r="R126" s="512"/>
      <c r="S126" s="538"/>
      <c r="T126" s="538"/>
    </row>
    <row r="127" spans="1:20" ht="39.5" hidden="1" thickBot="1" x14ac:dyDescent="0.4">
      <c r="A127" s="512"/>
      <c r="B127" s="512"/>
      <c r="C127" s="512"/>
      <c r="D127" s="512"/>
      <c r="E127" s="512"/>
      <c r="F127" s="555" t="s">
        <v>767</v>
      </c>
      <c r="G127" s="556"/>
      <c r="H127" s="557" t="e">
        <f>#REF!/#REF!</f>
        <v>#REF!</v>
      </c>
      <c r="I127" s="557" t="e">
        <f>#REF!/#REF!</f>
        <v>#REF!</v>
      </c>
      <c r="J127" s="557" t="e">
        <f>#REF!/#REF!</f>
        <v>#REF!</v>
      </c>
      <c r="K127" s="557" t="e">
        <f>#REF!/#REF!</f>
        <v>#REF!</v>
      </c>
      <c r="L127" s="558" t="e">
        <f t="shared" ref="L127:L132" si="33">SUM(H127:K127)</f>
        <v>#REF!</v>
      </c>
      <c r="M127" s="559"/>
      <c r="N127" s="551"/>
      <c r="O127" s="551"/>
      <c r="P127" s="551"/>
      <c r="Q127" s="551"/>
      <c r="R127" s="551"/>
      <c r="S127" s="512"/>
      <c r="T127" s="512"/>
    </row>
    <row r="128" spans="1:20" ht="26.5" hidden="1" thickBot="1" x14ac:dyDescent="0.4">
      <c r="A128" s="512"/>
      <c r="B128" s="512"/>
      <c r="C128" s="512"/>
      <c r="D128" s="512"/>
      <c r="E128" s="512"/>
      <c r="F128" s="555" t="s">
        <v>768</v>
      </c>
      <c r="G128" s="556"/>
      <c r="H128" s="557" t="e">
        <f>#REF!/#REF!</f>
        <v>#REF!</v>
      </c>
      <c r="I128" s="557" t="e">
        <f>#REF!/#REF!</f>
        <v>#REF!</v>
      </c>
      <c r="J128" s="557" t="e">
        <f>#REF!/#REF!</f>
        <v>#REF!</v>
      </c>
      <c r="K128" s="557" t="e">
        <f>#REF!/#REF!</f>
        <v>#REF!</v>
      </c>
      <c r="L128" s="558" t="e">
        <f t="shared" si="33"/>
        <v>#REF!</v>
      </c>
      <c r="M128" s="559"/>
      <c r="N128" s="538"/>
      <c r="O128" s="538"/>
      <c r="P128" s="538"/>
      <c r="Q128" s="538"/>
      <c r="R128" s="538"/>
      <c r="S128" s="512"/>
      <c r="T128" s="512"/>
    </row>
    <row r="129" spans="1:20" s="212" customFormat="1" ht="12.75" hidden="1" customHeight="1" x14ac:dyDescent="0.35">
      <c r="A129" s="560"/>
      <c r="B129" s="560"/>
      <c r="C129" s="560"/>
      <c r="D129" s="560"/>
      <c r="E129" s="560"/>
      <c r="F129" s="555" t="s">
        <v>759</v>
      </c>
      <c r="G129" s="561"/>
      <c r="H129" s="557" t="e">
        <f>#REF!/#REF!</f>
        <v>#REF!</v>
      </c>
      <c r="I129" s="557" t="e">
        <f>#REF!/#REF!</f>
        <v>#REF!</v>
      </c>
      <c r="J129" s="557" t="e">
        <f>#REF!/#REF!</f>
        <v>#REF!</v>
      </c>
      <c r="K129" s="557" t="e">
        <f>#REF!/#REF!</f>
        <v>#REF!</v>
      </c>
      <c r="L129" s="562" t="e">
        <f t="shared" si="33"/>
        <v>#REF!</v>
      </c>
      <c r="M129" s="563"/>
      <c r="N129" s="564"/>
      <c r="O129" s="565"/>
      <c r="P129" s="565"/>
      <c r="Q129" s="512"/>
      <c r="R129" s="512"/>
      <c r="S129" s="560"/>
      <c r="T129" s="560"/>
    </row>
    <row r="130" spans="1:20" ht="17.25" hidden="1" customHeight="1" x14ac:dyDescent="0.35">
      <c r="A130" s="512"/>
      <c r="B130" s="512"/>
      <c r="C130" s="512"/>
      <c r="D130" s="512"/>
      <c r="E130" s="512"/>
      <c r="F130" s="555" t="s">
        <v>760</v>
      </c>
      <c r="G130" s="566"/>
      <c r="H130" s="557" t="e">
        <f>#REF!/#REF!</f>
        <v>#REF!</v>
      </c>
      <c r="I130" s="557" t="e">
        <f>#REF!/#REF!</f>
        <v>#REF!</v>
      </c>
      <c r="J130" s="557" t="e">
        <f>#REF!/#REF!</f>
        <v>#REF!</v>
      </c>
      <c r="K130" s="557" t="e">
        <f>#REF!/#REF!</f>
        <v>#REF!</v>
      </c>
      <c r="L130" s="567" t="e">
        <f t="shared" si="33"/>
        <v>#REF!</v>
      </c>
      <c r="M130" s="559"/>
      <c r="N130" s="564"/>
      <c r="O130" s="565"/>
      <c r="P130" s="565"/>
      <c r="Q130" s="512"/>
      <c r="R130" s="512"/>
      <c r="S130" s="512"/>
      <c r="T130" s="512"/>
    </row>
    <row r="131" spans="1:20" ht="15" hidden="1" thickBot="1" x14ac:dyDescent="0.4">
      <c r="A131" s="512"/>
      <c r="B131" s="512"/>
      <c r="C131" s="512"/>
      <c r="D131" s="512"/>
      <c r="E131" s="512"/>
      <c r="F131" s="568"/>
      <c r="G131" s="566"/>
      <c r="H131" s="557"/>
      <c r="I131" s="557"/>
      <c r="J131" s="557"/>
      <c r="K131" s="557"/>
      <c r="L131" s="567">
        <f t="shared" si="33"/>
        <v>0</v>
      </c>
      <c r="M131" s="569"/>
      <c r="N131" s="570"/>
      <c r="O131" s="571"/>
      <c r="P131" s="571"/>
      <c r="Q131" s="560"/>
      <c r="R131" s="560"/>
      <c r="S131" s="512"/>
      <c r="T131" s="512"/>
    </row>
    <row r="132" spans="1:20" ht="15" hidden="1" thickBot="1" x14ac:dyDescent="0.4">
      <c r="A132" s="512"/>
      <c r="B132" s="512"/>
      <c r="C132" s="512"/>
      <c r="D132" s="512"/>
      <c r="E132" s="512"/>
      <c r="F132" s="555"/>
      <c r="G132" s="566"/>
      <c r="H132" s="557"/>
      <c r="I132" s="557"/>
      <c r="J132" s="557"/>
      <c r="K132" s="557"/>
      <c r="L132" s="567">
        <f t="shared" si="33"/>
        <v>0</v>
      </c>
      <c r="M132" s="512"/>
      <c r="N132" s="564"/>
      <c r="O132" s="565"/>
      <c r="P132" s="565"/>
      <c r="Q132" s="512"/>
      <c r="R132" s="512"/>
      <c r="S132" s="512"/>
      <c r="T132" s="512"/>
    </row>
    <row r="133" spans="1:20" ht="15" hidden="1" customHeight="1" x14ac:dyDescent="0.35">
      <c r="A133" s="512"/>
      <c r="B133" s="512"/>
      <c r="C133" s="512"/>
      <c r="D133" s="512"/>
      <c r="E133" s="512"/>
      <c r="F133" s="572"/>
      <c r="G133" s="573"/>
      <c r="H133" s="574"/>
      <c r="I133" s="574"/>
      <c r="J133" s="574"/>
      <c r="K133" s="574"/>
      <c r="L133" s="575"/>
      <c r="M133" s="512"/>
      <c r="N133" s="564"/>
      <c r="O133" s="565"/>
      <c r="P133" s="565"/>
      <c r="Q133" s="512"/>
      <c r="R133" s="512"/>
      <c r="S133" s="512"/>
      <c r="T133" s="512"/>
    </row>
    <row r="134" spans="1:20" ht="15" hidden="1" thickBot="1" x14ac:dyDescent="0.4">
      <c r="A134" s="512"/>
      <c r="B134" s="512"/>
      <c r="C134" s="512"/>
      <c r="D134" s="512"/>
      <c r="E134" s="512"/>
      <c r="F134" s="576"/>
      <c r="G134" s="573"/>
      <c r="H134" s="577"/>
      <c r="I134" s="577"/>
      <c r="J134" s="577"/>
      <c r="K134" s="577"/>
      <c r="L134" s="578"/>
      <c r="M134" s="512"/>
      <c r="N134" s="565"/>
      <c r="O134" s="565"/>
      <c r="P134" s="565"/>
      <c r="Q134" s="512"/>
      <c r="R134" s="512"/>
      <c r="S134" s="512"/>
      <c r="T134" s="512"/>
    </row>
    <row r="135" spans="1:20" ht="15.5" hidden="1" thickTop="1" thickBot="1" x14ac:dyDescent="0.4">
      <c r="A135" s="512"/>
      <c r="B135" s="512"/>
      <c r="C135" s="512"/>
      <c r="D135" s="512"/>
      <c r="E135" s="512"/>
      <c r="F135" s="579" t="s">
        <v>127</v>
      </c>
      <c r="G135" s="580">
        <f>SUM(G127:G134)</f>
        <v>0</v>
      </c>
      <c r="H135" s="581" t="e">
        <f>SUM(H127:H134)</f>
        <v>#REF!</v>
      </c>
      <c r="I135" s="581" t="e">
        <f>SUM(I127:I134)</f>
        <v>#REF!</v>
      </c>
      <c r="J135" s="581" t="e">
        <f>SUM(J127:J134)</f>
        <v>#REF!</v>
      </c>
      <c r="K135" s="581" t="e">
        <f>SUM(K127:K134)</f>
        <v>#REF!</v>
      </c>
      <c r="L135" s="582" t="e">
        <f>SUM(H135:K135)</f>
        <v>#REF!</v>
      </c>
      <c r="M135" s="530"/>
      <c r="N135" s="512"/>
      <c r="O135" s="512"/>
      <c r="P135" s="512"/>
      <c r="Q135" s="512"/>
      <c r="R135" s="512"/>
      <c r="S135" s="512"/>
      <c r="T135" s="512"/>
    </row>
    <row r="136" spans="1:20" s="210" customFormat="1" ht="15" hidden="1" thickBot="1" x14ac:dyDescent="0.4">
      <c r="A136" s="551"/>
      <c r="B136" s="551"/>
      <c r="C136" s="551"/>
      <c r="D136" s="551"/>
      <c r="E136" s="551"/>
      <c r="F136" s="551"/>
      <c r="G136" s="551"/>
      <c r="H136" s="551"/>
      <c r="I136" s="551"/>
      <c r="J136" s="551"/>
      <c r="K136" s="551"/>
      <c r="L136" s="551"/>
      <c r="M136" s="551"/>
      <c r="N136" s="512"/>
      <c r="O136" s="512"/>
      <c r="P136" s="512"/>
      <c r="Q136" s="512"/>
      <c r="R136" s="512"/>
      <c r="S136" s="551"/>
      <c r="T136" s="551"/>
    </row>
    <row r="137" spans="1:20" s="210" customFormat="1" ht="15" hidden="1" thickBot="1" x14ac:dyDescent="0.4">
      <c r="A137" s="551"/>
      <c r="B137" s="551"/>
      <c r="C137" s="551"/>
      <c r="D137" s="551"/>
      <c r="E137" s="551"/>
      <c r="F137" s="551"/>
      <c r="G137" s="551"/>
      <c r="H137" s="551"/>
      <c r="I137" s="551"/>
      <c r="J137" s="551"/>
      <c r="K137" s="551"/>
      <c r="L137" s="551"/>
      <c r="M137" s="551"/>
      <c r="N137" s="530"/>
      <c r="O137" s="512"/>
      <c r="P137" s="512"/>
      <c r="Q137" s="512"/>
      <c r="R137" s="512"/>
      <c r="S137" s="551"/>
      <c r="T137" s="551"/>
    </row>
    <row r="138" spans="1:20" s="210" customFormat="1" ht="15" hidden="1" thickBot="1" x14ac:dyDescent="0.4">
      <c r="A138" s="551"/>
      <c r="B138" s="551"/>
      <c r="C138" s="551"/>
      <c r="D138" s="551"/>
      <c r="E138" s="551"/>
      <c r="F138" s="551"/>
      <c r="G138" s="551"/>
      <c r="H138" s="551"/>
      <c r="I138" s="551"/>
      <c r="J138" s="551"/>
      <c r="K138" s="551"/>
      <c r="L138" s="551"/>
      <c r="M138" s="551"/>
      <c r="N138" s="520"/>
      <c r="O138" s="513"/>
      <c r="P138" s="513"/>
      <c r="Q138" s="513"/>
      <c r="R138" s="513"/>
      <c r="S138" s="551"/>
      <c r="T138" s="551"/>
    </row>
    <row r="139" spans="1:20" s="211" customFormat="1" ht="37.5" hidden="1" customHeight="1" thickTop="1" thickBot="1" x14ac:dyDescent="0.4">
      <c r="A139" s="538"/>
      <c r="B139" s="538"/>
      <c r="C139" s="538"/>
      <c r="D139" s="538"/>
      <c r="E139" s="538"/>
      <c r="F139" s="552" t="s">
        <v>769</v>
      </c>
      <c r="G139" s="553">
        <v>2012</v>
      </c>
      <c r="H139" s="553">
        <v>2013</v>
      </c>
      <c r="I139" s="553">
        <v>2014</v>
      </c>
      <c r="J139" s="553">
        <v>2015</v>
      </c>
      <c r="K139" s="553">
        <v>2016</v>
      </c>
      <c r="L139" s="554" t="s">
        <v>765</v>
      </c>
      <c r="M139" s="538"/>
      <c r="N139" s="520"/>
      <c r="O139" s="513"/>
      <c r="P139" s="513"/>
      <c r="Q139" s="513"/>
      <c r="R139" s="513"/>
      <c r="S139" s="538"/>
      <c r="T139" s="538"/>
    </row>
    <row r="140" spans="1:20" ht="39.5" hidden="1" thickBot="1" x14ac:dyDescent="0.4">
      <c r="A140" s="512"/>
      <c r="B140" s="512"/>
      <c r="C140" s="512"/>
      <c r="D140" s="512"/>
      <c r="E140" s="512"/>
      <c r="F140" s="555" t="s">
        <v>767</v>
      </c>
      <c r="G140" s="556"/>
      <c r="H140" s="557" t="e">
        <f>H127/#REF!</f>
        <v>#REF!</v>
      </c>
      <c r="I140" s="557" t="e">
        <f>I127/#REF!</f>
        <v>#REF!</v>
      </c>
      <c r="J140" s="557" t="e">
        <f>J127/#REF!</f>
        <v>#REF!</v>
      </c>
      <c r="K140" s="557" t="e">
        <f>K127/#REF!</f>
        <v>#REF!</v>
      </c>
      <c r="L140" s="558" t="e">
        <f t="shared" ref="L140:L145" si="34">SUM(H140:K140)</f>
        <v>#REF!</v>
      </c>
      <c r="M140" s="559"/>
      <c r="N140" s="551"/>
      <c r="O140" s="551"/>
      <c r="P140" s="551"/>
      <c r="Q140" s="551"/>
      <c r="R140" s="551"/>
      <c r="S140" s="512"/>
      <c r="T140" s="512"/>
    </row>
    <row r="141" spans="1:20" ht="26.5" hidden="1" thickBot="1" x14ac:dyDescent="0.4">
      <c r="A141" s="512"/>
      <c r="B141" s="512"/>
      <c r="C141" s="512"/>
      <c r="D141" s="512"/>
      <c r="E141" s="512"/>
      <c r="F141" s="555" t="s">
        <v>768</v>
      </c>
      <c r="G141" s="556"/>
      <c r="H141" s="557" t="e">
        <f>H128/#REF!</f>
        <v>#REF!</v>
      </c>
      <c r="I141" s="557" t="e">
        <f>I128/#REF!</f>
        <v>#REF!</v>
      </c>
      <c r="J141" s="557" t="e">
        <f>J128/#REF!</f>
        <v>#REF!</v>
      </c>
      <c r="K141" s="557" t="e">
        <f>K128/#REF!</f>
        <v>#REF!</v>
      </c>
      <c r="L141" s="558" t="e">
        <f t="shared" si="34"/>
        <v>#REF!</v>
      </c>
      <c r="M141" s="559"/>
      <c r="N141" s="538"/>
      <c r="O141" s="538"/>
      <c r="P141" s="538"/>
      <c r="Q141" s="538"/>
      <c r="R141" s="538"/>
      <c r="S141" s="512"/>
      <c r="T141" s="512"/>
    </row>
    <row r="142" spans="1:20" s="212" customFormat="1" ht="12.75" hidden="1" customHeight="1" x14ac:dyDescent="0.35">
      <c r="A142" s="560"/>
      <c r="B142" s="560"/>
      <c r="C142" s="560"/>
      <c r="D142" s="560"/>
      <c r="E142" s="560"/>
      <c r="F142" s="555" t="s">
        <v>759</v>
      </c>
      <c r="G142" s="561"/>
      <c r="H142" s="557" t="e">
        <f>H129/#REF!</f>
        <v>#REF!</v>
      </c>
      <c r="I142" s="557" t="e">
        <f>I129/#REF!</f>
        <v>#REF!</v>
      </c>
      <c r="J142" s="557" t="e">
        <f>J129/#REF!</f>
        <v>#REF!</v>
      </c>
      <c r="K142" s="557" t="e">
        <f>K129/#REF!</f>
        <v>#REF!</v>
      </c>
      <c r="L142" s="562" t="e">
        <f t="shared" si="34"/>
        <v>#REF!</v>
      </c>
      <c r="M142" s="563"/>
      <c r="N142" s="564"/>
      <c r="O142" s="565"/>
      <c r="P142" s="565"/>
      <c r="Q142" s="512"/>
      <c r="R142" s="512"/>
      <c r="S142" s="560"/>
      <c r="T142" s="560"/>
    </row>
    <row r="143" spans="1:20" ht="17.25" hidden="1" customHeight="1" x14ac:dyDescent="0.35">
      <c r="A143" s="512"/>
      <c r="B143" s="512"/>
      <c r="C143" s="512"/>
      <c r="D143" s="512"/>
      <c r="E143" s="512"/>
      <c r="F143" s="555" t="s">
        <v>760</v>
      </c>
      <c r="G143" s="566"/>
      <c r="H143" s="557" t="e">
        <f>H130/#REF!</f>
        <v>#REF!</v>
      </c>
      <c r="I143" s="557" t="e">
        <f>I130/#REF!</f>
        <v>#REF!</v>
      </c>
      <c r="J143" s="557" t="e">
        <f>J130/#REF!</f>
        <v>#REF!</v>
      </c>
      <c r="K143" s="557" t="e">
        <f>K130/#REF!</f>
        <v>#REF!</v>
      </c>
      <c r="L143" s="567" t="e">
        <f t="shared" si="34"/>
        <v>#REF!</v>
      </c>
      <c r="M143" s="559"/>
      <c r="N143" s="564"/>
      <c r="O143" s="565"/>
      <c r="P143" s="565"/>
      <c r="Q143" s="512"/>
      <c r="R143" s="512"/>
      <c r="S143" s="512"/>
      <c r="T143" s="512"/>
    </row>
    <row r="144" spans="1:20" ht="15" hidden="1" thickBot="1" x14ac:dyDescent="0.4">
      <c r="A144" s="512"/>
      <c r="B144" s="512"/>
      <c r="C144" s="512"/>
      <c r="D144" s="512"/>
      <c r="E144" s="512"/>
      <c r="F144" s="568"/>
      <c r="G144" s="566"/>
      <c r="H144" s="583"/>
      <c r="I144" s="583"/>
      <c r="J144" s="583"/>
      <c r="K144" s="584"/>
      <c r="L144" s="567">
        <f t="shared" si="34"/>
        <v>0</v>
      </c>
      <c r="M144" s="569"/>
      <c r="N144" s="570"/>
      <c r="O144" s="571"/>
      <c r="P144" s="571"/>
      <c r="Q144" s="560"/>
      <c r="R144" s="560"/>
      <c r="S144" s="512"/>
      <c r="T144" s="512"/>
    </row>
    <row r="145" spans="1:21" ht="15" hidden="1" thickBot="1" x14ac:dyDescent="0.4">
      <c r="A145" s="512"/>
      <c r="B145" s="512"/>
      <c r="C145" s="512"/>
      <c r="D145" s="512"/>
      <c r="E145" s="512"/>
      <c r="F145" s="555"/>
      <c r="G145" s="566"/>
      <c r="H145" s="583"/>
      <c r="I145" s="583"/>
      <c r="J145" s="583"/>
      <c r="K145" s="584"/>
      <c r="L145" s="567">
        <f t="shared" si="34"/>
        <v>0</v>
      </c>
      <c r="M145" s="512"/>
      <c r="N145" s="564"/>
      <c r="O145" s="565"/>
      <c r="P145" s="565"/>
      <c r="Q145" s="512"/>
      <c r="R145" s="512"/>
      <c r="S145" s="512"/>
      <c r="T145" s="512"/>
    </row>
    <row r="146" spans="1:21" ht="15" hidden="1" customHeight="1" x14ac:dyDescent="0.35">
      <c r="A146" s="512"/>
      <c r="B146" s="512"/>
      <c r="C146" s="512"/>
      <c r="D146" s="512"/>
      <c r="E146" s="512"/>
      <c r="F146" s="572"/>
      <c r="G146" s="573"/>
      <c r="H146" s="574"/>
      <c r="I146" s="574"/>
      <c r="J146" s="574"/>
      <c r="K146" s="574"/>
      <c r="L146" s="575"/>
      <c r="M146" s="512"/>
      <c r="N146" s="564"/>
      <c r="O146" s="565"/>
      <c r="P146" s="565"/>
      <c r="Q146" s="512"/>
      <c r="R146" s="512"/>
      <c r="S146" s="512"/>
      <c r="T146" s="512"/>
    </row>
    <row r="147" spans="1:21" ht="15" hidden="1" thickBot="1" x14ac:dyDescent="0.4">
      <c r="A147" s="512"/>
      <c r="B147" s="512"/>
      <c r="C147" s="512"/>
      <c r="D147" s="512"/>
      <c r="E147" s="512"/>
      <c r="F147" s="576"/>
      <c r="G147" s="573"/>
      <c r="H147" s="577"/>
      <c r="I147" s="577"/>
      <c r="J147" s="577"/>
      <c r="K147" s="577"/>
      <c r="L147" s="578"/>
      <c r="M147" s="512"/>
      <c r="N147" s="565"/>
      <c r="O147" s="565"/>
      <c r="P147" s="565"/>
      <c r="Q147" s="512"/>
      <c r="R147" s="512"/>
      <c r="S147" s="512"/>
      <c r="T147" s="512"/>
    </row>
    <row r="148" spans="1:21" ht="15.5" hidden="1" thickTop="1" thickBot="1" x14ac:dyDescent="0.4">
      <c r="A148" s="512"/>
      <c r="B148" s="512"/>
      <c r="C148" s="512"/>
      <c r="D148" s="512"/>
      <c r="E148" s="512"/>
      <c r="F148" s="585" t="s">
        <v>770</v>
      </c>
      <c r="G148" s="580">
        <f>SUM(G140:G147)</f>
        <v>0</v>
      </c>
      <c r="H148" s="581" t="e">
        <f>SUM(H140:H147)</f>
        <v>#REF!</v>
      </c>
      <c r="I148" s="581" t="e">
        <f>SUM(I140:I147)</f>
        <v>#REF!</v>
      </c>
      <c r="J148" s="581" t="e">
        <f>SUM(J140:J147)</f>
        <v>#REF!</v>
      </c>
      <c r="K148" s="581" t="e">
        <f>SUM(K140:K147)</f>
        <v>#REF!</v>
      </c>
      <c r="L148" s="582" t="e">
        <f>SUM(H148:K148)</f>
        <v>#REF!</v>
      </c>
      <c r="M148" s="530"/>
      <c r="N148" s="512"/>
      <c r="O148" s="512"/>
      <c r="P148" s="512"/>
      <c r="Q148" s="512"/>
      <c r="R148" s="512"/>
      <c r="S148" s="512"/>
      <c r="T148" s="512"/>
    </row>
    <row r="149" spans="1:21" s="211" customFormat="1" ht="37.5" hidden="1" customHeight="1" thickTop="1" thickBot="1" x14ac:dyDescent="0.4">
      <c r="A149" s="538"/>
      <c r="B149" s="538"/>
      <c r="C149" s="538"/>
      <c r="D149" s="538"/>
      <c r="E149" s="538"/>
      <c r="F149" s="552" t="s">
        <v>766</v>
      </c>
      <c r="G149" s="553">
        <v>2012</v>
      </c>
      <c r="H149" s="553">
        <v>2013</v>
      </c>
      <c r="I149" s="553">
        <v>2014</v>
      </c>
      <c r="J149" s="553">
        <v>2015</v>
      </c>
      <c r="K149" s="553">
        <v>2016</v>
      </c>
      <c r="L149" s="554" t="s">
        <v>765</v>
      </c>
      <c r="M149" s="538"/>
      <c r="N149" s="512"/>
      <c r="O149" s="512"/>
      <c r="P149" s="512"/>
      <c r="Q149" s="512"/>
      <c r="R149" s="512"/>
      <c r="S149" s="538"/>
      <c r="T149" s="538"/>
    </row>
    <row r="150" spans="1:21" ht="39.5" hidden="1" thickBot="1" x14ac:dyDescent="0.4">
      <c r="A150" s="512"/>
      <c r="B150" s="512"/>
      <c r="C150" s="512"/>
      <c r="D150" s="512"/>
      <c r="E150" s="512"/>
      <c r="F150" s="555" t="s">
        <v>767</v>
      </c>
      <c r="G150" s="556"/>
      <c r="H150" s="557"/>
      <c r="I150" s="557" t="e">
        <f>#REF!/#REF!</f>
        <v>#REF!</v>
      </c>
      <c r="J150" s="557" t="e">
        <f>#REF!/#REF!</f>
        <v>#REF!</v>
      </c>
      <c r="K150" s="557" t="e">
        <f>#REF!/#REF!</f>
        <v>#REF!</v>
      </c>
      <c r="L150" s="558" t="e">
        <f t="shared" ref="L150:L155" si="35">SUM(H150:K150)</f>
        <v>#REF!</v>
      </c>
      <c r="M150" s="559"/>
      <c r="N150" s="530"/>
      <c r="O150" s="512"/>
      <c r="P150" s="512"/>
      <c r="Q150" s="512"/>
      <c r="R150" s="512"/>
      <c r="S150" s="512"/>
      <c r="T150" s="512"/>
    </row>
    <row r="151" spans="1:21" ht="26.5" hidden="1" thickBot="1" x14ac:dyDescent="0.4">
      <c r="A151" s="512"/>
      <c r="B151" s="512"/>
      <c r="C151" s="512"/>
      <c r="D151" s="512"/>
      <c r="E151" s="512"/>
      <c r="F151" s="555" t="s">
        <v>768</v>
      </c>
      <c r="G151" s="556"/>
      <c r="H151" s="557" t="e">
        <f>#REF!/#REF!</f>
        <v>#REF!</v>
      </c>
      <c r="I151" s="557" t="e">
        <f>#REF!/#REF!</f>
        <v>#REF!</v>
      </c>
      <c r="J151" s="557" t="e">
        <f>#REF!/#REF!</f>
        <v>#REF!</v>
      </c>
      <c r="K151" s="557" t="e">
        <f>#REF!/#REF!</f>
        <v>#REF!</v>
      </c>
      <c r="L151" s="558" t="e">
        <f t="shared" si="35"/>
        <v>#REF!</v>
      </c>
      <c r="M151" s="559"/>
      <c r="N151" s="538"/>
      <c r="O151" s="538"/>
      <c r="P151" s="538"/>
      <c r="Q151" s="538"/>
      <c r="R151" s="538"/>
      <c r="S151" s="512"/>
      <c r="T151" s="512"/>
    </row>
    <row r="152" spans="1:21" s="212" customFormat="1" ht="12.75" hidden="1" customHeight="1" x14ac:dyDescent="0.35">
      <c r="A152" s="560"/>
      <c r="B152" s="560"/>
      <c r="C152" s="560"/>
      <c r="D152" s="560"/>
      <c r="E152" s="560"/>
      <c r="F152" s="555" t="s">
        <v>759</v>
      </c>
      <c r="G152" s="561"/>
      <c r="H152" s="557" t="e">
        <f>#REF!/#REF!</f>
        <v>#REF!</v>
      </c>
      <c r="I152" s="557" t="e">
        <f>#REF!/#REF!</f>
        <v>#REF!</v>
      </c>
      <c r="J152" s="557" t="e">
        <f>#REF!/#REF!</f>
        <v>#REF!</v>
      </c>
      <c r="K152" s="557" t="e">
        <f>#REF!/#REF!</f>
        <v>#REF!</v>
      </c>
      <c r="L152" s="562" t="e">
        <f t="shared" si="35"/>
        <v>#REF!</v>
      </c>
      <c r="M152" s="563"/>
      <c r="N152" s="564"/>
      <c r="O152" s="565"/>
      <c r="P152" s="565"/>
      <c r="Q152" s="512"/>
      <c r="R152" s="512"/>
      <c r="S152" s="560"/>
      <c r="T152" s="560"/>
    </row>
    <row r="153" spans="1:21" ht="17.25" hidden="1" customHeight="1" x14ac:dyDescent="0.35">
      <c r="A153" s="512"/>
      <c r="B153" s="512"/>
      <c r="C153" s="512"/>
      <c r="D153" s="512"/>
      <c r="E153" s="512"/>
      <c r="F153" s="555" t="s">
        <v>760</v>
      </c>
      <c r="G153" s="566"/>
      <c r="H153" s="557" t="e">
        <f>#REF!/#REF!</f>
        <v>#REF!</v>
      </c>
      <c r="I153" s="557" t="e">
        <f>#REF!/#REF!</f>
        <v>#REF!</v>
      </c>
      <c r="J153" s="557" t="e">
        <f>#REF!/#REF!</f>
        <v>#REF!</v>
      </c>
      <c r="K153" s="557" t="e">
        <f>#REF!/#REF!</f>
        <v>#REF!</v>
      </c>
      <c r="L153" s="567" t="e">
        <f t="shared" si="35"/>
        <v>#REF!</v>
      </c>
      <c r="M153" s="559"/>
      <c r="N153" s="564"/>
      <c r="O153" s="565"/>
      <c r="P153" s="565"/>
      <c r="Q153" s="512"/>
      <c r="R153" s="512"/>
      <c r="S153" s="512"/>
      <c r="T153" s="512"/>
    </row>
    <row r="154" spans="1:21" ht="15" hidden="1" thickBot="1" x14ac:dyDescent="0.4">
      <c r="A154" s="512"/>
      <c r="B154" s="512"/>
      <c r="C154" s="512"/>
      <c r="D154" s="512"/>
      <c r="E154" s="512"/>
      <c r="F154" s="568"/>
      <c r="G154" s="566"/>
      <c r="H154" s="557"/>
      <c r="I154" s="557"/>
      <c r="J154" s="557"/>
      <c r="K154" s="557"/>
      <c r="L154" s="567">
        <f t="shared" si="35"/>
        <v>0</v>
      </c>
      <c r="M154" s="569"/>
      <c r="N154" s="570"/>
      <c r="O154" s="571"/>
      <c r="P154" s="571"/>
      <c r="Q154" s="560"/>
      <c r="R154" s="560"/>
      <c r="S154" s="512"/>
      <c r="T154" s="512"/>
    </row>
    <row r="155" spans="1:21" ht="15" hidden="1" thickBot="1" x14ac:dyDescent="0.4">
      <c r="A155" s="512"/>
      <c r="B155" s="512"/>
      <c r="C155" s="512"/>
      <c r="D155" s="512"/>
      <c r="E155" s="512"/>
      <c r="F155" s="555"/>
      <c r="G155" s="566"/>
      <c r="H155" s="557"/>
      <c r="I155" s="557"/>
      <c r="J155" s="557"/>
      <c r="K155" s="557"/>
      <c r="L155" s="567">
        <f t="shared" si="35"/>
        <v>0</v>
      </c>
      <c r="M155" s="512"/>
      <c r="N155" s="564"/>
      <c r="O155" s="565"/>
      <c r="P155" s="565"/>
      <c r="Q155" s="512"/>
      <c r="R155" s="512"/>
      <c r="S155" s="512"/>
      <c r="T155" s="512"/>
    </row>
    <row r="156" spans="1:21" ht="15" hidden="1" customHeight="1" x14ac:dyDescent="0.35">
      <c r="A156" s="512"/>
      <c r="B156" s="512"/>
      <c r="C156" s="512"/>
      <c r="D156" s="512"/>
      <c r="E156" s="512"/>
      <c r="F156" s="572"/>
      <c r="G156" s="573"/>
      <c r="H156" s="574"/>
      <c r="I156" s="574"/>
      <c r="J156" s="574"/>
      <c r="K156" s="574"/>
      <c r="L156" s="575"/>
      <c r="M156" s="512"/>
      <c r="N156" s="564"/>
      <c r="O156" s="565"/>
      <c r="P156" s="565"/>
      <c r="Q156" s="512"/>
      <c r="R156" s="512"/>
      <c r="S156" s="512"/>
      <c r="T156" s="512"/>
    </row>
    <row r="157" spans="1:21" ht="15" hidden="1" thickBot="1" x14ac:dyDescent="0.4">
      <c r="A157" s="512"/>
      <c r="B157" s="512"/>
      <c r="C157" s="512"/>
      <c r="D157" s="512"/>
      <c r="E157" s="512"/>
      <c r="F157" s="576"/>
      <c r="G157" s="573"/>
      <c r="H157" s="577"/>
      <c r="I157" s="577"/>
      <c r="J157" s="577"/>
      <c r="K157" s="577"/>
      <c r="L157" s="578"/>
      <c r="M157" s="512"/>
      <c r="N157" s="565"/>
      <c r="O157" s="565"/>
      <c r="P157" s="565"/>
      <c r="Q157" s="512"/>
      <c r="R157" s="512"/>
      <c r="S157" s="512"/>
      <c r="T157" s="512"/>
    </row>
    <row r="158" spans="1:21" ht="15.5" hidden="1" thickTop="1" thickBot="1" x14ac:dyDescent="0.4">
      <c r="A158" s="512"/>
      <c r="B158" s="512"/>
      <c r="C158" s="512"/>
      <c r="D158" s="512"/>
      <c r="E158" s="512"/>
      <c r="F158" s="579" t="s">
        <v>127</v>
      </c>
      <c r="G158" s="580">
        <f>SUM(G150:G157)</f>
        <v>0</v>
      </c>
      <c r="H158" s="581" t="e">
        <f>SUM(H150:H157)</f>
        <v>#REF!</v>
      </c>
      <c r="I158" s="581" t="e">
        <f>SUM(I150:I157)</f>
        <v>#REF!</v>
      </c>
      <c r="J158" s="581" t="e">
        <f>SUM(J150:J157)</f>
        <v>#REF!</v>
      </c>
      <c r="K158" s="581" t="e">
        <f>SUM(K150:K157)</f>
        <v>#REF!</v>
      </c>
      <c r="L158" s="582" t="e">
        <f>SUM(H158:K158)</f>
        <v>#REF!</v>
      </c>
      <c r="M158" s="530"/>
      <c r="N158" s="512"/>
      <c r="O158" s="512"/>
      <c r="P158" s="512"/>
      <c r="Q158" s="512"/>
      <c r="R158" s="512"/>
      <c r="S158" s="512"/>
      <c r="T158" s="512"/>
    </row>
    <row r="159" spans="1:21" ht="15" hidden="1" thickBot="1" x14ac:dyDescent="0.4">
      <c r="A159" s="512"/>
      <c r="B159" s="512"/>
      <c r="C159" s="512"/>
      <c r="D159" s="512"/>
      <c r="E159" s="512"/>
      <c r="F159" s="512"/>
      <c r="G159" s="512"/>
      <c r="H159" s="512"/>
      <c r="I159" s="512"/>
      <c r="J159" s="512"/>
      <c r="K159" s="512"/>
      <c r="L159" s="512"/>
      <c r="M159" s="512"/>
      <c r="N159" s="512"/>
      <c r="O159" s="512"/>
      <c r="P159" s="512"/>
      <c r="Q159" s="512"/>
      <c r="R159" s="512"/>
      <c r="S159" s="512"/>
      <c r="T159" s="512"/>
    </row>
    <row r="160" spans="1:21" s="60" customFormat="1" ht="20.25" customHeight="1" thickTop="1" thickBot="1" x14ac:dyDescent="0.4">
      <c r="A160" s="5712" t="s">
        <v>10</v>
      </c>
      <c r="B160" s="5719"/>
      <c r="C160" s="5719"/>
      <c r="D160" s="5719"/>
      <c r="E160" s="5719"/>
      <c r="F160" s="5719"/>
      <c r="G160" s="5719"/>
      <c r="H160" s="5719"/>
      <c r="I160" s="5719"/>
      <c r="J160" s="5719"/>
      <c r="K160" s="5720"/>
      <c r="L160" s="34"/>
      <c r="M160" s="3725" t="s">
        <v>748</v>
      </c>
      <c r="N160" s="3726"/>
      <c r="O160" s="3727"/>
      <c r="P160" s="34"/>
      <c r="Q160" s="64"/>
      <c r="R160" s="64"/>
      <c r="S160" s="64"/>
      <c r="T160" s="64"/>
      <c r="U160" s="64"/>
    </row>
    <row r="161" spans="1:21" s="60" customFormat="1" ht="20.25" customHeight="1" x14ac:dyDescent="0.35">
      <c r="A161" s="5060" t="s">
        <v>1448</v>
      </c>
      <c r="B161" s="5061"/>
      <c r="C161" s="5061"/>
      <c r="D161" s="5061"/>
      <c r="E161" s="5061"/>
      <c r="F161" s="5061"/>
      <c r="G161" s="5061"/>
      <c r="H161" s="5061"/>
      <c r="I161" s="5061"/>
      <c r="J161" s="5061"/>
      <c r="K161" s="5062"/>
      <c r="L161" s="35"/>
      <c r="M161" s="3750" t="s">
        <v>750</v>
      </c>
      <c r="N161" s="3751"/>
      <c r="O161" s="3752"/>
      <c r="P161" s="35"/>
      <c r="Q161" s="64"/>
      <c r="R161" s="64"/>
      <c r="S161" s="64"/>
      <c r="T161" s="64"/>
      <c r="U161" s="64"/>
    </row>
    <row r="162" spans="1:21" s="60" customFormat="1" ht="20.25" customHeight="1" x14ac:dyDescent="0.35">
      <c r="A162" s="5060"/>
      <c r="B162" s="5061"/>
      <c r="C162" s="5061"/>
      <c r="D162" s="5061"/>
      <c r="E162" s="5061"/>
      <c r="F162" s="5061"/>
      <c r="G162" s="5061"/>
      <c r="H162" s="5061"/>
      <c r="I162" s="5061"/>
      <c r="J162" s="5061"/>
      <c r="K162" s="5062"/>
      <c r="L162" s="35"/>
      <c r="M162" s="3753"/>
      <c r="N162" s="3754"/>
      <c r="O162" s="3755"/>
      <c r="P162" s="35"/>
      <c r="Q162" s="64"/>
      <c r="R162" s="64"/>
      <c r="S162" s="64"/>
      <c r="T162" s="64"/>
      <c r="U162" s="64"/>
    </row>
    <row r="163" spans="1:21" s="60" customFormat="1" ht="20.25" customHeight="1" x14ac:dyDescent="0.35">
      <c r="A163" s="5060"/>
      <c r="B163" s="5061"/>
      <c r="C163" s="5061"/>
      <c r="D163" s="5061"/>
      <c r="E163" s="5061"/>
      <c r="F163" s="5061"/>
      <c r="G163" s="5061"/>
      <c r="H163" s="5061"/>
      <c r="I163" s="5061"/>
      <c r="J163" s="5061"/>
      <c r="K163" s="5062"/>
      <c r="L163" s="35"/>
      <c r="M163" s="3753"/>
      <c r="N163" s="3754"/>
      <c r="O163" s="3755"/>
      <c r="P163" s="35"/>
      <c r="Q163" s="64"/>
      <c r="R163" s="64"/>
      <c r="S163" s="64"/>
      <c r="T163" s="64"/>
      <c r="U163" s="64"/>
    </row>
    <row r="164" spans="1:21" s="60" customFormat="1" ht="20.25" customHeight="1" x14ac:dyDescent="0.35">
      <c r="A164" s="5060"/>
      <c r="B164" s="5061"/>
      <c r="C164" s="5061"/>
      <c r="D164" s="5061"/>
      <c r="E164" s="5061"/>
      <c r="F164" s="5061"/>
      <c r="G164" s="5061"/>
      <c r="H164" s="5061"/>
      <c r="I164" s="5061"/>
      <c r="J164" s="5061"/>
      <c r="K164" s="5062"/>
      <c r="L164" s="35"/>
      <c r="M164" s="3753"/>
      <c r="N164" s="3754"/>
      <c r="O164" s="3755"/>
      <c r="P164" s="35"/>
      <c r="Q164" s="64"/>
      <c r="R164" s="64"/>
      <c r="S164" s="64"/>
      <c r="T164" s="64"/>
      <c r="U164" s="64"/>
    </row>
    <row r="165" spans="1:21" s="60" customFormat="1" ht="20.25" customHeight="1" thickBot="1" x14ac:dyDescent="0.4">
      <c r="A165" s="5063"/>
      <c r="B165" s="5064"/>
      <c r="C165" s="5064"/>
      <c r="D165" s="5064"/>
      <c r="E165" s="5064"/>
      <c r="F165" s="5064"/>
      <c r="G165" s="5064"/>
      <c r="H165" s="5064"/>
      <c r="I165" s="5064"/>
      <c r="J165" s="5064"/>
      <c r="K165" s="5065"/>
      <c r="L165" s="35"/>
      <c r="M165" s="5334"/>
      <c r="N165" s="5468"/>
      <c r="O165" s="5469"/>
      <c r="P165" s="35"/>
      <c r="Q165" s="64"/>
      <c r="R165" s="64"/>
      <c r="S165" s="64"/>
      <c r="T165" s="64"/>
      <c r="U165" s="64"/>
    </row>
    <row r="166" spans="1:21" s="60" customFormat="1" ht="20.25" customHeight="1" thickTop="1" thickBot="1" x14ac:dyDescent="0.4">
      <c r="A166" s="64"/>
      <c r="B166" s="64"/>
      <c r="C166" s="64"/>
      <c r="D166" s="64"/>
      <c r="E166" s="64"/>
      <c r="F166" s="64"/>
      <c r="G166" s="64"/>
      <c r="H166" s="64"/>
      <c r="I166" s="64"/>
      <c r="J166" s="64"/>
      <c r="K166" s="64"/>
      <c r="L166" s="64"/>
      <c r="M166" s="475"/>
      <c r="N166" s="475"/>
      <c r="O166" s="475"/>
      <c r="P166" s="64"/>
      <c r="Q166" s="64"/>
      <c r="R166" s="64"/>
      <c r="S166" s="64"/>
      <c r="T166" s="64"/>
      <c r="U166" s="64"/>
    </row>
    <row r="167" spans="1:21" s="60" customFormat="1" ht="20.25" customHeight="1" thickTop="1" thickBot="1" x14ac:dyDescent="0.4">
      <c r="A167" s="5712" t="s">
        <v>11</v>
      </c>
      <c r="B167" s="5713"/>
      <c r="C167" s="5713"/>
      <c r="D167" s="5713"/>
      <c r="E167" s="5713"/>
      <c r="F167" s="5713"/>
      <c r="G167" s="5713"/>
      <c r="H167" s="5713"/>
      <c r="I167" s="5713"/>
      <c r="J167" s="5713"/>
      <c r="K167" s="5714"/>
      <c r="L167" s="34"/>
      <c r="M167" s="476"/>
      <c r="N167" s="476"/>
      <c r="O167" s="476"/>
      <c r="P167" s="34"/>
      <c r="Q167" s="64"/>
      <c r="R167" s="64"/>
      <c r="S167" s="64"/>
      <c r="T167" s="64"/>
      <c r="U167" s="64"/>
    </row>
    <row r="168" spans="1:21" s="60" customFormat="1" ht="20.25" customHeight="1" thickBot="1" x14ac:dyDescent="0.4">
      <c r="A168" s="5060" t="s">
        <v>1449</v>
      </c>
      <c r="B168" s="5061"/>
      <c r="C168" s="5061"/>
      <c r="D168" s="5061"/>
      <c r="E168" s="5061"/>
      <c r="F168" s="5061"/>
      <c r="G168" s="5061"/>
      <c r="H168" s="5061"/>
      <c r="I168" s="5061"/>
      <c r="J168" s="5061"/>
      <c r="K168" s="5062"/>
      <c r="L168" s="35"/>
      <c r="M168" s="3725" t="s">
        <v>748</v>
      </c>
      <c r="N168" s="3726"/>
      <c r="O168" s="3727"/>
      <c r="P168" s="35"/>
      <c r="Q168" s="64"/>
      <c r="R168" s="64"/>
      <c r="S168" s="64"/>
      <c r="T168" s="64"/>
      <c r="U168" s="64"/>
    </row>
    <row r="169" spans="1:21" s="60" customFormat="1" ht="20.25" customHeight="1" x14ac:dyDescent="0.35">
      <c r="A169" s="5060"/>
      <c r="B169" s="5061"/>
      <c r="C169" s="5061"/>
      <c r="D169" s="5061"/>
      <c r="E169" s="5061"/>
      <c r="F169" s="5061"/>
      <c r="G169" s="5061"/>
      <c r="H169" s="5061"/>
      <c r="I169" s="5061"/>
      <c r="J169" s="5061"/>
      <c r="K169" s="5062"/>
      <c r="L169" s="35"/>
      <c r="M169" s="3750" t="s">
        <v>749</v>
      </c>
      <c r="N169" s="3751"/>
      <c r="O169" s="3752"/>
      <c r="P169" s="35"/>
      <c r="Q169" s="64"/>
      <c r="R169" s="64"/>
      <c r="S169" s="64"/>
      <c r="T169" s="64"/>
      <c r="U169" s="64"/>
    </row>
    <row r="170" spans="1:21" s="60" customFormat="1" ht="20.25" customHeight="1" x14ac:dyDescent="0.35">
      <c r="A170" s="5060"/>
      <c r="B170" s="5061"/>
      <c r="C170" s="5061"/>
      <c r="D170" s="5061"/>
      <c r="E170" s="5061"/>
      <c r="F170" s="5061"/>
      <c r="G170" s="5061"/>
      <c r="H170" s="5061"/>
      <c r="I170" s="5061"/>
      <c r="J170" s="5061"/>
      <c r="K170" s="5062"/>
      <c r="L170" s="35"/>
      <c r="M170" s="3753"/>
      <c r="N170" s="3754"/>
      <c r="O170" s="3755"/>
      <c r="P170" s="35"/>
      <c r="Q170" s="64"/>
      <c r="R170" s="64"/>
      <c r="S170" s="64"/>
      <c r="T170" s="64"/>
      <c r="U170" s="64"/>
    </row>
    <row r="171" spans="1:21" s="60" customFormat="1" ht="20.25" customHeight="1" x14ac:dyDescent="0.35">
      <c r="A171" s="5060"/>
      <c r="B171" s="5061"/>
      <c r="C171" s="5061"/>
      <c r="D171" s="5061"/>
      <c r="E171" s="5061"/>
      <c r="F171" s="5061"/>
      <c r="G171" s="5061"/>
      <c r="H171" s="5061"/>
      <c r="I171" s="5061"/>
      <c r="J171" s="5061"/>
      <c r="K171" s="5062"/>
      <c r="L171" s="35"/>
      <c r="M171" s="3753"/>
      <c r="N171" s="3754"/>
      <c r="O171" s="3755"/>
      <c r="P171" s="35"/>
      <c r="Q171" s="64"/>
      <c r="R171" s="64"/>
      <c r="S171" s="64"/>
      <c r="T171" s="64"/>
      <c r="U171" s="64"/>
    </row>
    <row r="172" spans="1:21" s="60" customFormat="1" x14ac:dyDescent="0.35">
      <c r="A172" s="5060"/>
      <c r="B172" s="5061"/>
      <c r="C172" s="5061"/>
      <c r="D172" s="5061"/>
      <c r="E172" s="5061"/>
      <c r="F172" s="5061"/>
      <c r="G172" s="5061"/>
      <c r="H172" s="5061"/>
      <c r="I172" s="5061"/>
      <c r="J172" s="5061"/>
      <c r="K172" s="5062"/>
      <c r="L172" s="35"/>
      <c r="M172" s="3753"/>
      <c r="N172" s="3754"/>
      <c r="O172" s="3755"/>
      <c r="P172" s="35"/>
      <c r="Q172" s="64"/>
      <c r="R172" s="64"/>
      <c r="S172" s="64"/>
      <c r="T172" s="64"/>
      <c r="U172" s="64"/>
    </row>
    <row r="173" spans="1:21" s="60" customFormat="1" ht="15" thickBot="1" x14ac:dyDescent="0.4">
      <c r="A173" s="5063"/>
      <c r="B173" s="5064"/>
      <c r="C173" s="5064"/>
      <c r="D173" s="5064"/>
      <c r="E173" s="5064"/>
      <c r="F173" s="5064"/>
      <c r="G173" s="5064"/>
      <c r="H173" s="5064"/>
      <c r="I173" s="5064"/>
      <c r="J173" s="5064"/>
      <c r="K173" s="5065"/>
      <c r="L173" s="64"/>
      <c r="M173" s="5334"/>
      <c r="N173" s="5468"/>
      <c r="O173" s="5469"/>
      <c r="P173" s="64"/>
      <c r="Q173" s="64"/>
      <c r="R173" s="64"/>
      <c r="S173" s="64"/>
      <c r="T173" s="64"/>
      <c r="U173" s="64"/>
    </row>
    <row r="174" spans="1:21" s="60" customFormat="1" ht="15" thickTop="1" x14ac:dyDescent="0.35">
      <c r="A174" s="64"/>
      <c r="B174" s="64"/>
      <c r="C174" s="64"/>
      <c r="D174" s="64"/>
      <c r="E174" s="64"/>
      <c r="F174" s="64"/>
      <c r="G174" s="64"/>
      <c r="H174" s="64"/>
      <c r="I174" s="64"/>
      <c r="J174" s="64"/>
      <c r="K174" s="64"/>
      <c r="L174" s="64"/>
      <c r="M174" s="64"/>
      <c r="N174" s="64"/>
      <c r="O174" s="64"/>
      <c r="P174" s="64"/>
      <c r="Q174" s="64"/>
      <c r="R174" s="64"/>
      <c r="S174" s="64"/>
      <c r="T174" s="64"/>
    </row>
    <row r="175" spans="1:21" x14ac:dyDescent="0.35">
      <c r="A175" s="512"/>
      <c r="B175" s="512"/>
      <c r="C175" s="512"/>
      <c r="D175" s="512"/>
      <c r="E175" s="512"/>
      <c r="F175" s="512"/>
      <c r="G175" s="512"/>
      <c r="H175" s="512"/>
      <c r="I175" s="512"/>
      <c r="J175" s="512"/>
      <c r="K175" s="512"/>
      <c r="L175" s="512"/>
      <c r="M175" s="512"/>
      <c r="N175" s="530"/>
      <c r="O175" s="512"/>
      <c r="P175" s="512"/>
      <c r="Q175" s="512"/>
      <c r="R175" s="512"/>
      <c r="S175" s="512"/>
      <c r="T175" s="512"/>
    </row>
  </sheetData>
  <mergeCells count="102">
    <mergeCell ref="D1:G1"/>
    <mergeCell ref="I1:J1"/>
    <mergeCell ref="L1:M1"/>
    <mergeCell ref="D2:G2"/>
    <mergeCell ref="I2:J2"/>
    <mergeCell ref="L2:M2"/>
    <mergeCell ref="D8:G8"/>
    <mergeCell ref="D9:G9"/>
    <mergeCell ref="A10:C11"/>
    <mergeCell ref="D10:G11"/>
    <mergeCell ref="D3:G3"/>
    <mergeCell ref="A13:F13"/>
    <mergeCell ref="A14:F14"/>
    <mergeCell ref="G14:L14"/>
    <mergeCell ref="A4:G4"/>
    <mergeCell ref="H4:P4"/>
    <mergeCell ref="A5:B5"/>
    <mergeCell ref="C5:P5"/>
    <mergeCell ref="A7:G7"/>
    <mergeCell ref="J7:O7"/>
    <mergeCell ref="A20:F20"/>
    <mergeCell ref="A21:F21"/>
    <mergeCell ref="A22:F22"/>
    <mergeCell ref="A23:L23"/>
    <mergeCell ref="N23:S23"/>
    <mergeCell ref="A24:F24"/>
    <mergeCell ref="N14:S14"/>
    <mergeCell ref="A15:F15"/>
    <mergeCell ref="A16:F16"/>
    <mergeCell ref="A17:F17"/>
    <mergeCell ref="A18:F18"/>
    <mergeCell ref="A19:F19"/>
    <mergeCell ref="N40:S40"/>
    <mergeCell ref="A41:F41"/>
    <mergeCell ref="N31:S31"/>
    <mergeCell ref="A32:F32"/>
    <mergeCell ref="A33:F33"/>
    <mergeCell ref="A34:F34"/>
    <mergeCell ref="A35:F35"/>
    <mergeCell ref="A36:F36"/>
    <mergeCell ref="A25:F25"/>
    <mergeCell ref="A26:F26"/>
    <mergeCell ref="A28:F28"/>
    <mergeCell ref="A30:F30"/>
    <mergeCell ref="A31:F31"/>
    <mergeCell ref="G31:L31"/>
    <mergeCell ref="A42:F42"/>
    <mergeCell ref="A43:F43"/>
    <mergeCell ref="A45:F45"/>
    <mergeCell ref="A47:F47"/>
    <mergeCell ref="A48:F48"/>
    <mergeCell ref="A49:F49"/>
    <mergeCell ref="A37:F37"/>
    <mergeCell ref="A38:F38"/>
    <mergeCell ref="A39:F39"/>
    <mergeCell ref="A40:L40"/>
    <mergeCell ref="A56:F56"/>
    <mergeCell ref="A57:F57"/>
    <mergeCell ref="A58:F58"/>
    <mergeCell ref="A60:F60"/>
    <mergeCell ref="A61:F61"/>
    <mergeCell ref="A63:F63"/>
    <mergeCell ref="A50:F50"/>
    <mergeCell ref="A51:F51"/>
    <mergeCell ref="A52:F52"/>
    <mergeCell ref="A53:F53"/>
    <mergeCell ref="A54:F54"/>
    <mergeCell ref="A55:M55"/>
    <mergeCell ref="A71:F71"/>
    <mergeCell ref="A72:F72"/>
    <mergeCell ref="A73:F73"/>
    <mergeCell ref="A74:L74"/>
    <mergeCell ref="N74:S74"/>
    <mergeCell ref="A75:F75"/>
    <mergeCell ref="A65:F65"/>
    <mergeCell ref="A66:F66"/>
    <mergeCell ref="A67:F67"/>
    <mergeCell ref="A68:F68"/>
    <mergeCell ref="A69:F69"/>
    <mergeCell ref="A70:F70"/>
    <mergeCell ref="D114:F114"/>
    <mergeCell ref="D115:F115"/>
    <mergeCell ref="D116:F116"/>
    <mergeCell ref="D117:F117"/>
    <mergeCell ref="D118:F118"/>
    <mergeCell ref="D119:F119"/>
    <mergeCell ref="A76:F76"/>
    <mergeCell ref="D110:L110"/>
    <mergeCell ref="N110:S110"/>
    <mergeCell ref="D111:F111"/>
    <mergeCell ref="D112:F112"/>
    <mergeCell ref="D113:F113"/>
    <mergeCell ref="A167:K167"/>
    <mergeCell ref="A168:K173"/>
    <mergeCell ref="M168:O168"/>
    <mergeCell ref="M169:O173"/>
    <mergeCell ref="D120:F120"/>
    <mergeCell ref="D121:F121"/>
    <mergeCell ref="A160:K160"/>
    <mergeCell ref="M160:O160"/>
    <mergeCell ref="A161:K165"/>
    <mergeCell ref="M161:O16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500-000000000000}">
      <formula1>AvancementTheme</formula1>
    </dataValidation>
  </dataValidations>
  <hyperlinks>
    <hyperlink ref="O1" location="DPDV_02MV3" display="PdV" xr:uid="{00000000-0004-0000-5500-000000000000}"/>
    <hyperlink ref="P1" location="DKPI_02MV3" display="KPI's" xr:uid="{00000000-0004-0000-5500-000001000000}"/>
  </hyperlinks>
  <pageMargins left="0.70866141732283472" right="0.70866141732283472" top="0.74803149606299213" bottom="0.74803149606299213" header="0.31496062992125984" footer="0.31496062992125984"/>
  <pageSetup paperSize="9" scale="38"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euil75">
    <tabColor rgb="FF92D050"/>
    <pageSetUpPr fitToPage="1"/>
  </sheetPr>
  <dimension ref="A1:V191"/>
  <sheetViews>
    <sheetView showGridLines="0" showRowColHeaders="0" showZeros="0" zoomScaleNormal="100" workbookViewId="0">
      <pane ySplit="5" topLeftCell="A6" activePane="bottomLeft" state="frozen"/>
      <selection activeCell="H7" sqref="H7"/>
      <selection pane="bottomLeft" activeCell="D7" sqref="D7:K7"/>
    </sheetView>
  </sheetViews>
  <sheetFormatPr baseColWidth="10" defaultColWidth="11.453125" defaultRowHeight="13" x14ac:dyDescent="0.3"/>
  <cols>
    <col min="1" max="2" width="9.1796875" style="116" customWidth="1"/>
    <col min="3" max="3" width="13" style="116" customWidth="1"/>
    <col min="4" max="5" width="10.26953125" style="116" customWidth="1"/>
    <col min="6" max="17" width="9.1796875" style="116" customWidth="1"/>
    <col min="18" max="16384" width="11.453125" style="116"/>
  </cols>
  <sheetData>
    <row r="1" spans="1:22" s="54" customFormat="1" ht="15" customHeight="1" x14ac:dyDescent="0.35">
      <c r="A1" s="1570"/>
      <c r="B1" s="1570"/>
      <c r="C1" s="1570"/>
      <c r="D1" s="3341" t="s">
        <v>5</v>
      </c>
      <c r="E1" s="3341"/>
      <c r="F1" s="3341"/>
      <c r="G1" s="3341"/>
      <c r="H1" s="391"/>
      <c r="I1" s="3341" t="s">
        <v>6</v>
      </c>
      <c r="J1" s="3341"/>
      <c r="K1" s="1570"/>
      <c r="L1" s="3341" t="s">
        <v>9</v>
      </c>
      <c r="M1" s="3341"/>
      <c r="N1" s="1570"/>
      <c r="O1" s="479" t="s">
        <v>2</v>
      </c>
      <c r="P1" s="479" t="s">
        <v>3</v>
      </c>
      <c r="Q1" s="458"/>
      <c r="R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42419.917893518519</v>
      </c>
      <c r="M2" s="3348"/>
      <c r="N2" s="394"/>
      <c r="O2" s="451">
        <f>IF(LEN(DPDV_02OP3)&gt;0,LEN(DPDV_02OP3),0-PDV_NBmini)</f>
        <v>141</v>
      </c>
      <c r="P2" s="451">
        <f>IF(LEN(DKPI_02OP1)&gt;0,LEN(DKPI_02OP1),0-KPI_NBmini)</f>
        <v>101</v>
      </c>
      <c r="Q2" s="459"/>
      <c r="R2" s="459"/>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806" t="str">
        <f>Parametre!B24  &amp; "  : "</f>
        <v xml:space="preserve">Vision, Attente &amp; Stratégie  : </v>
      </c>
      <c r="B4" s="5806"/>
      <c r="C4" s="5806"/>
      <c r="D4" s="5806"/>
      <c r="E4" s="5806"/>
      <c r="F4" s="5806"/>
      <c r="G4" s="5806"/>
      <c r="H4" s="5807" t="str">
        <f>"Opportunité de revenus pour les partenaires pour " &amp;NomProd3</f>
        <v xml:space="preserve">Opportunité de revenus pour les partenaires pour </v>
      </c>
      <c r="I4" s="5807"/>
      <c r="J4" s="5807"/>
      <c r="K4" s="5807"/>
      <c r="L4" s="5807"/>
      <c r="M4" s="5807"/>
      <c r="N4" s="5807"/>
      <c r="O4" s="5807"/>
      <c r="P4" s="5808"/>
      <c r="Q4" s="444"/>
      <c r="R4" s="444"/>
    </row>
    <row r="5" spans="1:22" s="193" customFormat="1" ht="25.5" customHeight="1" thickBot="1" x14ac:dyDescent="0.4">
      <c r="A5" s="3438" t="s">
        <v>14</v>
      </c>
      <c r="B5" s="3438"/>
      <c r="C5" s="3508" t="s">
        <v>1007</v>
      </c>
      <c r="D5" s="3508"/>
      <c r="E5" s="3508"/>
      <c r="F5" s="3508"/>
      <c r="G5" s="3508"/>
      <c r="H5" s="3508"/>
      <c r="I5" s="3508"/>
      <c r="J5" s="3508"/>
      <c r="K5" s="3508"/>
      <c r="L5" s="3508"/>
      <c r="M5" s="3508"/>
      <c r="N5" s="3508"/>
      <c r="O5" s="3508"/>
      <c r="P5" s="3508"/>
      <c r="Q5" s="460"/>
      <c r="R5" s="460"/>
    </row>
    <row r="6" spans="1:22" s="216" customFormat="1" ht="51.75" customHeight="1" thickTop="1" x14ac:dyDescent="0.35">
      <c r="A6" s="5891" t="s">
        <v>1118</v>
      </c>
      <c r="B6" s="5892"/>
      <c r="C6" s="5892"/>
      <c r="D6" s="5892" t="s">
        <v>777</v>
      </c>
      <c r="E6" s="5892"/>
      <c r="F6" s="506">
        <f>AnReference-1</f>
        <v>2017</v>
      </c>
      <c r="G6" s="506">
        <f>AnReference</f>
        <v>2018</v>
      </c>
      <c r="H6" s="506">
        <f>IF(NbAnVision&gt;=1,AnReference+1,"NA")</f>
        <v>2019</v>
      </c>
      <c r="I6" s="506">
        <f>IF(NbAnVision&gt;=2,AnReference+2,"NA")</f>
        <v>2020</v>
      </c>
      <c r="J6" s="1093">
        <f>IF(NbAnVision&gt;=3,AnReference+3,"NA")</f>
        <v>2021</v>
      </c>
      <c r="K6" s="1074" t="s">
        <v>822</v>
      </c>
      <c r="L6" s="612"/>
      <c r="M6" s="612"/>
      <c r="N6" s="612"/>
      <c r="O6" s="612"/>
      <c r="P6" s="612"/>
      <c r="Q6" s="612"/>
      <c r="R6" s="612"/>
    </row>
    <row r="7" spans="1:22" s="217" customFormat="1" ht="25.5" customHeight="1" x14ac:dyDescent="0.35">
      <c r="A7" s="5893" t="s">
        <v>1006</v>
      </c>
      <c r="B7" s="5894"/>
      <c r="C7" s="5894"/>
      <c r="D7" s="5895" t="s">
        <v>1450</v>
      </c>
      <c r="E7" s="5896"/>
      <c r="F7" s="5896"/>
      <c r="G7" s="5896"/>
      <c r="H7" s="5896"/>
      <c r="I7" s="5896"/>
      <c r="J7" s="5896"/>
      <c r="K7" s="5897"/>
      <c r="L7" s="613"/>
      <c r="M7" s="613"/>
      <c r="N7" s="613"/>
      <c r="O7" s="613"/>
      <c r="P7" s="613"/>
      <c r="Q7" s="613"/>
      <c r="R7" s="613"/>
    </row>
    <row r="8" spans="1:22" s="218" customFormat="1" ht="15" customHeight="1" x14ac:dyDescent="0.35">
      <c r="A8" s="5881" t="str">
        <f>'02-SALESPLAN-OFR3'!A15:F15</f>
        <v>Ventes directes seules</v>
      </c>
      <c r="B8" s="5882"/>
      <c r="C8" s="5882"/>
      <c r="D8" s="4623">
        <v>0</v>
      </c>
      <c r="E8" s="4623"/>
      <c r="F8" s="1174"/>
      <c r="G8" s="1174"/>
      <c r="H8" s="1174"/>
      <c r="I8" s="1174"/>
      <c r="J8" s="1175"/>
      <c r="K8" s="1176"/>
      <c r="L8" s="587"/>
      <c r="M8" s="587"/>
      <c r="N8" s="587"/>
      <c r="O8" s="587"/>
      <c r="P8" s="587"/>
      <c r="Q8" s="587"/>
      <c r="R8" s="587"/>
    </row>
    <row r="9" spans="1:22" s="218" customFormat="1" ht="15" customHeight="1" x14ac:dyDescent="0.35">
      <c r="A9" s="5881" t="str">
        <f>'SALESPLAN 3Y'!A11:F11</f>
        <v xml:space="preserve">VARs / SS2I locales </v>
      </c>
      <c r="B9" s="5882"/>
      <c r="C9" s="5882"/>
      <c r="D9" s="5883">
        <v>0.2</v>
      </c>
      <c r="E9" s="5883"/>
      <c r="F9" s="614">
        <f>'02-SALESPLAN-OFR3'!G16*$D9</f>
        <v>0</v>
      </c>
      <c r="G9" s="614">
        <f>'02-SALESPLAN-OFR3'!H16*$D9</f>
        <v>0</v>
      </c>
      <c r="H9" s="614">
        <f>'02-SALESPLAN-OFR3'!I16*$D9</f>
        <v>0</v>
      </c>
      <c r="I9" s="614">
        <f>'02-SALESPLAN-OFR3'!J16*$D9</f>
        <v>0</v>
      </c>
      <c r="J9" s="614">
        <f>'02-SALESPLAN-OFR3'!K16*$D9</f>
        <v>0</v>
      </c>
      <c r="K9" s="1075">
        <f t="shared" ref="K9:K15" si="0">SUM(G9:J9)</f>
        <v>0</v>
      </c>
      <c r="L9" s="587"/>
      <c r="M9" s="587"/>
      <c r="N9" s="587"/>
      <c r="O9" s="587"/>
      <c r="P9" s="587"/>
      <c r="Q9" s="587"/>
      <c r="R9" s="587"/>
    </row>
    <row r="10" spans="1:22" s="218" customFormat="1" ht="15" customHeight="1" x14ac:dyDescent="0.35">
      <c r="A10" s="5881" t="str">
        <f>'SALESPLAN 3Y'!A12:F12</f>
        <v>ESN ( SS2I )</v>
      </c>
      <c r="B10" s="5882"/>
      <c r="C10" s="5882"/>
      <c r="D10" s="5883">
        <v>0.2</v>
      </c>
      <c r="E10" s="5883"/>
      <c r="F10" s="614">
        <f>'02-SALESPLAN-OFR3'!G17*$D10</f>
        <v>0</v>
      </c>
      <c r="G10" s="614">
        <f>'02-SALESPLAN-OFR3'!H17*$D10</f>
        <v>0</v>
      </c>
      <c r="H10" s="614">
        <f>'02-SALESPLAN-OFR3'!I17*$D10</f>
        <v>0</v>
      </c>
      <c r="I10" s="614">
        <f>'02-SALESPLAN-OFR3'!J17*$D10</f>
        <v>0</v>
      </c>
      <c r="J10" s="614">
        <f>'02-SALESPLAN-OFR3'!K17*$D10</f>
        <v>0</v>
      </c>
      <c r="K10" s="1075">
        <f t="shared" si="0"/>
        <v>0</v>
      </c>
      <c r="L10" s="587"/>
      <c r="M10" s="587"/>
      <c r="N10" s="587"/>
      <c r="O10" s="587"/>
      <c r="P10" s="587"/>
      <c r="Q10" s="587"/>
      <c r="R10" s="587"/>
    </row>
    <row r="11" spans="1:22" s="218" customFormat="1" ht="15" customHeight="1" x14ac:dyDescent="0.35">
      <c r="A11" s="5881" t="str">
        <f>'SALESPLAN 3Y'!A13:F13</f>
        <v>Constructeurs Matériel</v>
      </c>
      <c r="B11" s="5882"/>
      <c r="C11" s="5882"/>
      <c r="D11" s="5883">
        <v>0.2</v>
      </c>
      <c r="E11" s="5883"/>
      <c r="F11" s="614">
        <f>'02-SALESPLAN-OFR3'!G18*$D11</f>
        <v>0</v>
      </c>
      <c r="G11" s="614">
        <f>'02-SALESPLAN-OFR3'!H18*$D11</f>
        <v>0</v>
      </c>
      <c r="H11" s="614">
        <f>'02-SALESPLAN-OFR3'!I18*$D11</f>
        <v>0</v>
      </c>
      <c r="I11" s="614">
        <f>'02-SALESPLAN-OFR3'!J18*$D11</f>
        <v>0</v>
      </c>
      <c r="J11" s="614">
        <f>'02-SALESPLAN-OFR3'!K18*$D11</f>
        <v>0</v>
      </c>
      <c r="K11" s="1075">
        <f t="shared" si="0"/>
        <v>0</v>
      </c>
      <c r="L11" s="587"/>
      <c r="M11" s="587"/>
      <c r="N11" s="587"/>
      <c r="O11" s="587"/>
      <c r="P11" s="587"/>
      <c r="Q11" s="587"/>
      <c r="R11" s="587"/>
    </row>
    <row r="12" spans="1:22" s="218" customFormat="1" ht="15" customHeight="1" x14ac:dyDescent="0.35">
      <c r="A12" s="5881" t="str">
        <f>'SALESPLAN 3Y'!A14:F14</f>
        <v>Editeurs de solutions complémentaires</v>
      </c>
      <c r="B12" s="5882"/>
      <c r="C12" s="5882"/>
      <c r="D12" s="5883">
        <v>0.2</v>
      </c>
      <c r="E12" s="5883"/>
      <c r="F12" s="614">
        <f>'02-SALESPLAN-OFR3'!G19*$D12</f>
        <v>0</v>
      </c>
      <c r="G12" s="614">
        <f>'02-SALESPLAN-OFR3'!H19*$D12</f>
        <v>0</v>
      </c>
      <c r="H12" s="614">
        <f>'02-SALESPLAN-OFR3'!I19*$D12</f>
        <v>0</v>
      </c>
      <c r="I12" s="614">
        <f>'02-SALESPLAN-OFR3'!J19*$D12</f>
        <v>0</v>
      </c>
      <c r="J12" s="614">
        <f>'02-SALESPLAN-OFR3'!K19*$D12</f>
        <v>0</v>
      </c>
      <c r="K12" s="1075">
        <f t="shared" si="0"/>
        <v>0</v>
      </c>
      <c r="L12" s="587"/>
      <c r="M12" s="587"/>
      <c r="N12" s="587"/>
      <c r="O12" s="587"/>
      <c r="P12" s="587"/>
      <c r="Q12" s="587"/>
      <c r="R12" s="587"/>
    </row>
    <row r="13" spans="1:22" s="218" customFormat="1" ht="15" customHeight="1" x14ac:dyDescent="0.35">
      <c r="A13" s="5881" t="str">
        <f>'SALESPLAN 3Y'!A15:F15</f>
        <v>Cabinets de conseil / Consultants</v>
      </c>
      <c r="B13" s="5882"/>
      <c r="C13" s="5882"/>
      <c r="D13" s="5883">
        <v>0.2</v>
      </c>
      <c r="E13" s="5883"/>
      <c r="F13" s="614">
        <f>'02-SALESPLAN-OFR3'!G20*$D13</f>
        <v>0</v>
      </c>
      <c r="G13" s="614">
        <f>'02-SALESPLAN-OFR3'!H20*$D13</f>
        <v>0</v>
      </c>
      <c r="H13" s="614">
        <f>'02-SALESPLAN-OFR3'!I20*$D13</f>
        <v>0</v>
      </c>
      <c r="I13" s="614">
        <f>'02-SALESPLAN-OFR3'!J20*$D13</f>
        <v>0</v>
      </c>
      <c r="J13" s="614">
        <f>'02-SALESPLAN-OFR3'!K20*$D13</f>
        <v>0</v>
      </c>
      <c r="K13" s="1075">
        <f t="shared" si="0"/>
        <v>0</v>
      </c>
      <c r="L13" s="587"/>
      <c r="M13" s="587"/>
      <c r="N13" s="587"/>
      <c r="O13" s="587"/>
      <c r="P13" s="587"/>
      <c r="Q13" s="587"/>
      <c r="R13" s="587"/>
    </row>
    <row r="14" spans="1:22" s="218" customFormat="1" ht="15" customHeight="1" x14ac:dyDescent="0.35">
      <c r="A14" s="5881" t="str">
        <f>'SALESPLAN 3Y'!A16:F16</f>
        <v xml:space="preserve">Hébergeurs </v>
      </c>
      <c r="B14" s="5882"/>
      <c r="C14" s="5882"/>
      <c r="D14" s="5883">
        <v>0.2</v>
      </c>
      <c r="E14" s="5883"/>
      <c r="F14" s="614">
        <f>'02-SALESPLAN-OFR3'!G21*$D14</f>
        <v>0</v>
      </c>
      <c r="G14" s="614">
        <f>'02-SALESPLAN-OFR3'!H21*$D14</f>
        <v>0</v>
      </c>
      <c r="H14" s="614">
        <f>'02-SALESPLAN-OFR3'!I21*$D14</f>
        <v>0</v>
      </c>
      <c r="I14" s="614">
        <f>'02-SALESPLAN-OFR3'!J21*$D14</f>
        <v>0</v>
      </c>
      <c r="J14" s="614">
        <f>'02-SALESPLAN-OFR3'!K21*$D14</f>
        <v>0</v>
      </c>
      <c r="K14" s="1075">
        <f t="shared" si="0"/>
        <v>0</v>
      </c>
      <c r="L14" s="587"/>
      <c r="M14" s="587"/>
      <c r="N14" s="587"/>
      <c r="O14" s="587"/>
      <c r="P14" s="587"/>
      <c r="Q14" s="587"/>
      <c r="R14" s="587"/>
    </row>
    <row r="15" spans="1:22" s="218" customFormat="1" ht="15" customHeight="1" x14ac:dyDescent="0.35">
      <c r="A15" s="5881" t="e">
        <f>'SALESPLAN 3Y'!#REF!</f>
        <v>#REF!</v>
      </c>
      <c r="B15" s="5882"/>
      <c r="C15" s="5882"/>
      <c r="D15" s="5884"/>
      <c r="E15" s="5885"/>
      <c r="F15" s="614">
        <f>'02-SALESPLAN-OFR3'!G22*$D15</f>
        <v>0</v>
      </c>
      <c r="G15" s="614">
        <f>'02-SALESPLAN-OFR3'!H22*$D15</f>
        <v>0</v>
      </c>
      <c r="H15" s="614">
        <f>'02-SALESPLAN-OFR3'!I22*$D15</f>
        <v>0</v>
      </c>
      <c r="I15" s="614">
        <f>'02-SALESPLAN-OFR3'!J22*$D15</f>
        <v>0</v>
      </c>
      <c r="J15" s="614">
        <f>'02-SALESPLAN-OFR3'!K22*$D15</f>
        <v>0</v>
      </c>
      <c r="K15" s="1075">
        <f t="shared" si="0"/>
        <v>0</v>
      </c>
      <c r="L15" s="587"/>
      <c r="M15" s="587"/>
      <c r="N15" s="587"/>
      <c r="O15" s="587"/>
      <c r="P15" s="587"/>
      <c r="Q15" s="587"/>
      <c r="R15" s="587"/>
    </row>
    <row r="16" spans="1:22" s="218" customFormat="1" ht="9" customHeight="1" x14ac:dyDescent="0.35">
      <c r="A16" s="5886"/>
      <c r="B16" s="5887"/>
      <c r="C16" s="5887"/>
      <c r="D16" s="5887"/>
      <c r="E16" s="5887"/>
      <c r="F16" s="5887"/>
      <c r="G16" s="5887"/>
      <c r="H16" s="5887"/>
      <c r="I16" s="5887"/>
      <c r="J16" s="5887"/>
      <c r="K16" s="5888"/>
      <c r="L16" s="587"/>
      <c r="M16" s="587"/>
      <c r="N16" s="587"/>
      <c r="O16" s="587"/>
      <c r="P16" s="587"/>
      <c r="Q16" s="587"/>
      <c r="R16" s="587"/>
    </row>
    <row r="17" spans="1:18" s="218" customFormat="1" ht="18" customHeight="1" thickBot="1" x14ac:dyDescent="0.4">
      <c r="A17" s="5889" t="s">
        <v>1158</v>
      </c>
      <c r="B17" s="5890"/>
      <c r="C17" s="5890"/>
      <c r="D17" s="5890"/>
      <c r="E17" s="5890"/>
      <c r="F17" s="615">
        <f>SUM(F8:F15)</f>
        <v>0</v>
      </c>
      <c r="G17" s="616">
        <f>SUM(G8:G16)</f>
        <v>0</v>
      </c>
      <c r="H17" s="616">
        <f>SUM(H8:H16)</f>
        <v>0</v>
      </c>
      <c r="I17" s="616">
        <f>SUM(I8:I16)</f>
        <v>0</v>
      </c>
      <c r="J17" s="617">
        <f>SUM(J8:J16)</f>
        <v>0</v>
      </c>
      <c r="K17" s="1082">
        <f>SUM(K8:K16)</f>
        <v>0</v>
      </c>
      <c r="L17" s="587"/>
      <c r="M17" s="587"/>
      <c r="N17" s="587"/>
      <c r="O17" s="587"/>
      <c r="P17" s="587"/>
      <c r="Q17" s="587"/>
      <c r="R17" s="587"/>
    </row>
    <row r="18" spans="1:18" s="218" customFormat="1" ht="18" customHeight="1" thickTop="1" x14ac:dyDescent="0.35">
      <c r="A18" s="587"/>
      <c r="B18" s="587"/>
      <c r="C18" s="587"/>
      <c r="D18" s="548"/>
      <c r="E18" s="548"/>
      <c r="F18" s="618"/>
      <c r="G18" s="619"/>
      <c r="H18" s="619"/>
      <c r="I18" s="619"/>
      <c r="J18" s="619"/>
      <c r="K18" s="620"/>
      <c r="L18" s="587"/>
      <c r="M18" s="587"/>
      <c r="N18" s="587"/>
      <c r="O18" s="587"/>
      <c r="P18" s="587"/>
      <c r="Q18" s="587"/>
      <c r="R18" s="587"/>
    </row>
    <row r="19" spans="1:18" s="218" customFormat="1" ht="18" hidden="1" customHeight="1" x14ac:dyDescent="0.35">
      <c r="A19" s="587"/>
      <c r="B19" s="587"/>
      <c r="C19" s="587"/>
      <c r="D19" s="548"/>
      <c r="E19" s="548"/>
      <c r="F19" s="618"/>
      <c r="G19" s="619"/>
      <c r="H19" s="619"/>
      <c r="I19" s="619"/>
      <c r="J19" s="619"/>
      <c r="K19" s="620"/>
      <c r="L19" s="587"/>
      <c r="M19" s="587"/>
      <c r="N19" s="587"/>
      <c r="O19" s="587"/>
      <c r="P19" s="587"/>
      <c r="Q19" s="587"/>
      <c r="R19" s="587"/>
    </row>
    <row r="20" spans="1:18" s="218" customFormat="1" ht="9.75" customHeight="1" thickBot="1" x14ac:dyDescent="0.4">
      <c r="A20" s="587"/>
      <c r="B20" s="587"/>
      <c r="C20" s="587"/>
      <c r="D20" s="548"/>
      <c r="E20" s="548"/>
      <c r="F20" s="618"/>
      <c r="G20" s="619"/>
      <c r="H20" s="619"/>
      <c r="I20" s="619"/>
      <c r="J20" s="619"/>
      <c r="K20" s="620"/>
      <c r="L20" s="587"/>
      <c r="M20" s="587"/>
      <c r="N20" s="587"/>
      <c r="O20" s="587"/>
      <c r="P20" s="587"/>
      <c r="Q20" s="587"/>
      <c r="R20" s="587"/>
    </row>
    <row r="21" spans="1:18" s="219" customFormat="1" ht="38.25" customHeight="1" thickTop="1" x14ac:dyDescent="0.35">
      <c r="A21" s="5891" t="s">
        <v>1118</v>
      </c>
      <c r="B21" s="5892"/>
      <c r="C21" s="5892"/>
      <c r="D21" s="5892" t="s">
        <v>776</v>
      </c>
      <c r="E21" s="5892"/>
      <c r="F21" s="1579">
        <f t="shared" ref="F21:K21" si="1">F6</f>
        <v>2017</v>
      </c>
      <c r="G21" s="1579">
        <f t="shared" si="1"/>
        <v>2018</v>
      </c>
      <c r="H21" s="1579">
        <f t="shared" si="1"/>
        <v>2019</v>
      </c>
      <c r="I21" s="1579">
        <f t="shared" si="1"/>
        <v>2020</v>
      </c>
      <c r="J21" s="621">
        <f t="shared" si="1"/>
        <v>2021</v>
      </c>
      <c r="K21" s="1077" t="str">
        <f t="shared" si="1"/>
        <v xml:space="preserve">Total </v>
      </c>
      <c r="L21" s="5855" t="s">
        <v>762</v>
      </c>
      <c r="M21" s="5855"/>
      <c r="N21" s="5855"/>
      <c r="O21" s="5855"/>
      <c r="P21" s="5855"/>
      <c r="Q21" s="5856"/>
      <c r="R21" s="622"/>
    </row>
    <row r="22" spans="1:18" s="218" customFormat="1" ht="28.5" customHeight="1" thickBot="1" x14ac:dyDescent="0.4">
      <c r="A22" s="5876" t="s">
        <v>774</v>
      </c>
      <c r="B22" s="5877"/>
      <c r="C22" s="5877"/>
      <c r="D22" s="623" t="s">
        <v>775</v>
      </c>
      <c r="E22" s="623" t="s">
        <v>842</v>
      </c>
      <c r="F22" s="5878" t="s">
        <v>1241</v>
      </c>
      <c r="G22" s="5879"/>
      <c r="H22" s="5879"/>
      <c r="I22" s="5879"/>
      <c r="J22" s="5880"/>
      <c r="K22" s="1083"/>
      <c r="L22" s="624"/>
      <c r="M22" s="624"/>
      <c r="N22" s="624"/>
      <c r="O22" s="624"/>
      <c r="P22" s="624"/>
      <c r="Q22" s="625"/>
      <c r="R22" s="531"/>
    </row>
    <row r="23" spans="1:18" s="218" customFormat="1" ht="22.5" customHeight="1" thickBot="1" x14ac:dyDescent="0.4">
      <c r="A23" s="5876"/>
      <c r="B23" s="5877"/>
      <c r="C23" s="5877"/>
      <c r="D23" s="659">
        <v>0.2</v>
      </c>
      <c r="E23" s="659">
        <v>0.2</v>
      </c>
      <c r="F23" s="626"/>
      <c r="G23" s="1481"/>
      <c r="H23" s="1481"/>
      <c r="I23" s="1481"/>
      <c r="J23" s="1482"/>
      <c r="K23" s="1084"/>
      <c r="L23" s="627"/>
      <c r="M23" s="628">
        <f>F21</f>
        <v>2017</v>
      </c>
      <c r="N23" s="629">
        <f>G21</f>
        <v>2018</v>
      </c>
      <c r="O23" s="629">
        <f>H21</f>
        <v>2019</v>
      </c>
      <c r="P23" s="629">
        <f>I21</f>
        <v>2020</v>
      </c>
      <c r="Q23" s="630">
        <f>J21</f>
        <v>2021</v>
      </c>
      <c r="R23" s="531"/>
    </row>
    <row r="24" spans="1:18" s="218" customFormat="1" ht="15" customHeight="1" x14ac:dyDescent="0.35">
      <c r="A24" s="5859" t="str">
        <f t="shared" ref="A24:A31" si="2">A8</f>
        <v>Ventes directes seules</v>
      </c>
      <c r="B24" s="5860"/>
      <c r="C24" s="5860"/>
      <c r="D24" s="4623">
        <v>0</v>
      </c>
      <c r="E24" s="4623"/>
      <c r="F24" s="1174">
        <v>0</v>
      </c>
      <c r="G24" s="1174">
        <v>0</v>
      </c>
      <c r="H24" s="1174">
        <v>0</v>
      </c>
      <c r="I24" s="1174">
        <v>0</v>
      </c>
      <c r="J24" s="1175">
        <v>0</v>
      </c>
      <c r="K24" s="1176">
        <v>0</v>
      </c>
      <c r="L24" s="5861"/>
      <c r="M24" s="632" t="str">
        <f t="shared" ref="M24:M31" si="3">IF($F$33=0,"",F24/$F$33)</f>
        <v/>
      </c>
      <c r="N24" s="633" t="str">
        <f t="shared" ref="N24:N31" si="4">IF($G$33=0,"",G24/$G$33)</f>
        <v/>
      </c>
      <c r="O24" s="633" t="str">
        <f t="shared" ref="O24:O31" si="5">IF($H$33=0,"",H24/$H$33)</f>
        <v/>
      </c>
      <c r="P24" s="633" t="str">
        <f t="shared" ref="P24:P31" si="6">IF($I$33=0,"",I24/$I$33)</f>
        <v/>
      </c>
      <c r="Q24" s="634" t="str">
        <f t="shared" ref="Q24:Q31" si="7">IF($J$33=0,"",J24/$J$33)</f>
        <v/>
      </c>
      <c r="R24" s="635"/>
    </row>
    <row r="25" spans="1:18" s="218" customFormat="1" ht="15" customHeight="1" x14ac:dyDescent="0.35">
      <c r="A25" s="5859" t="str">
        <f t="shared" si="2"/>
        <v xml:space="preserve">VARs / SS2I locales </v>
      </c>
      <c r="B25" s="5860"/>
      <c r="C25" s="5860"/>
      <c r="D25" s="1177">
        <f>'02-SALESPLAN-OFR3'!E33*$D$23</f>
        <v>0</v>
      </c>
      <c r="E25" s="1177">
        <f>'02-SALESPLAN-OFR3'!F33*$D$23</f>
        <v>0</v>
      </c>
      <c r="F25" s="1177">
        <f>'02-SALESPLAN-OFR3'!G33*$D$23</f>
        <v>0</v>
      </c>
      <c r="G25" s="1177">
        <f>'02-SALESPLAN-OFR3'!H33*$D$23</f>
        <v>0</v>
      </c>
      <c r="H25" s="1177">
        <f>'02-SALESPLAN-OFR3'!I33*$D$23</f>
        <v>0</v>
      </c>
      <c r="I25" s="1177">
        <f>'02-SALESPLAN-OFR3'!J33*$D$23</f>
        <v>0</v>
      </c>
      <c r="J25" s="1177">
        <f>'02-SALESPLAN-OFR3'!K33*$D$23</f>
        <v>0</v>
      </c>
      <c r="K25" s="1078">
        <f t="shared" ref="K25:K31" si="8">SUM(F25:J25)</f>
        <v>0</v>
      </c>
      <c r="L25" s="5861"/>
      <c r="M25" s="636" t="str">
        <f t="shared" si="3"/>
        <v/>
      </c>
      <c r="N25" s="511" t="str">
        <f t="shared" si="4"/>
        <v/>
      </c>
      <c r="O25" s="511" t="str">
        <f t="shared" si="5"/>
        <v/>
      </c>
      <c r="P25" s="511" t="str">
        <f t="shared" si="6"/>
        <v/>
      </c>
      <c r="Q25" s="637" t="str">
        <f t="shared" si="7"/>
        <v/>
      </c>
      <c r="R25" s="587"/>
    </row>
    <row r="26" spans="1:18" s="218" customFormat="1" ht="15" customHeight="1" x14ac:dyDescent="0.35">
      <c r="A26" s="5862" t="str">
        <f t="shared" si="2"/>
        <v>ESN ( SS2I )</v>
      </c>
      <c r="B26" s="5863"/>
      <c r="C26" s="5864"/>
      <c r="D26" s="1177">
        <f>'02-SALESPLAN-OFR3'!E34*$D$23</f>
        <v>0</v>
      </c>
      <c r="E26" s="1177">
        <f>'02-SALESPLAN-OFR3'!F34*$D$23</f>
        <v>0</v>
      </c>
      <c r="F26" s="1177">
        <f>'02-SALESPLAN-OFR3'!G34*$D$23</f>
        <v>0</v>
      </c>
      <c r="G26" s="1177">
        <f>'02-SALESPLAN-OFR3'!H34*$D$23</f>
        <v>0</v>
      </c>
      <c r="H26" s="1177">
        <f>'02-SALESPLAN-OFR3'!I34*$D$23</f>
        <v>0</v>
      </c>
      <c r="I26" s="1177">
        <f>'02-SALESPLAN-OFR3'!J34*$D$23</f>
        <v>0</v>
      </c>
      <c r="J26" s="1177">
        <f>'02-SALESPLAN-OFR3'!K34*$D$23</f>
        <v>0</v>
      </c>
      <c r="K26" s="1078">
        <f t="shared" si="8"/>
        <v>0</v>
      </c>
      <c r="L26" s="5861"/>
      <c r="M26" s="636" t="str">
        <f t="shared" si="3"/>
        <v/>
      </c>
      <c r="N26" s="511" t="str">
        <f t="shared" si="4"/>
        <v/>
      </c>
      <c r="O26" s="511" t="str">
        <f t="shared" si="5"/>
        <v/>
      </c>
      <c r="P26" s="511" t="str">
        <f t="shared" si="6"/>
        <v/>
      </c>
      <c r="Q26" s="637" t="str">
        <f t="shared" si="7"/>
        <v/>
      </c>
      <c r="R26" s="587"/>
    </row>
    <row r="27" spans="1:18" s="218" customFormat="1" ht="15" customHeight="1" x14ac:dyDescent="0.35">
      <c r="A27" s="5862" t="str">
        <f t="shared" si="2"/>
        <v>Constructeurs Matériel</v>
      </c>
      <c r="B27" s="5863"/>
      <c r="C27" s="5864"/>
      <c r="D27" s="1177">
        <f>'02-SALESPLAN-OFR3'!E35*$D$23</f>
        <v>0</v>
      </c>
      <c r="E27" s="1177">
        <f>'02-SALESPLAN-OFR3'!F35*$D$23</f>
        <v>0</v>
      </c>
      <c r="F27" s="1177">
        <f>'02-SALESPLAN-OFR3'!G35*$D$23</f>
        <v>0</v>
      </c>
      <c r="G27" s="1177">
        <f>'02-SALESPLAN-OFR3'!H35*$D$23</f>
        <v>0</v>
      </c>
      <c r="H27" s="1177">
        <f>'02-SALESPLAN-OFR3'!I35*$D$23</f>
        <v>0</v>
      </c>
      <c r="I27" s="1177">
        <f>'02-SALESPLAN-OFR3'!J35*$D$23</f>
        <v>0</v>
      </c>
      <c r="J27" s="1177">
        <f>'02-SALESPLAN-OFR3'!K35*$D$23</f>
        <v>0</v>
      </c>
      <c r="K27" s="1078">
        <f t="shared" si="8"/>
        <v>0</v>
      </c>
      <c r="L27" s="5861"/>
      <c r="M27" s="636" t="str">
        <f t="shared" si="3"/>
        <v/>
      </c>
      <c r="N27" s="511" t="str">
        <f t="shared" si="4"/>
        <v/>
      </c>
      <c r="O27" s="511" t="str">
        <f t="shared" si="5"/>
        <v/>
      </c>
      <c r="P27" s="511" t="str">
        <f t="shared" si="6"/>
        <v/>
      </c>
      <c r="Q27" s="637" t="str">
        <f t="shared" si="7"/>
        <v/>
      </c>
      <c r="R27" s="587"/>
    </row>
    <row r="28" spans="1:18" s="218" customFormat="1" ht="15" customHeight="1" x14ac:dyDescent="0.35">
      <c r="A28" s="5862" t="str">
        <f t="shared" si="2"/>
        <v>Editeurs de solutions complémentaires</v>
      </c>
      <c r="B28" s="5863"/>
      <c r="C28" s="5864"/>
      <c r="D28" s="1177">
        <f>'02-SALESPLAN-OFR3'!E36*$D$23</f>
        <v>0</v>
      </c>
      <c r="E28" s="1177">
        <f>'02-SALESPLAN-OFR3'!F36*$D$23</f>
        <v>0</v>
      </c>
      <c r="F28" s="1177">
        <f>'02-SALESPLAN-OFR3'!G36*$D$23</f>
        <v>0</v>
      </c>
      <c r="G28" s="1177">
        <f>'02-SALESPLAN-OFR3'!H36*$D$23</f>
        <v>0</v>
      </c>
      <c r="H28" s="1177">
        <f>'02-SALESPLAN-OFR3'!I36*$D$23</f>
        <v>0</v>
      </c>
      <c r="I28" s="1177">
        <f>'02-SALESPLAN-OFR3'!J36*$D$23</f>
        <v>0</v>
      </c>
      <c r="J28" s="1177">
        <f>'02-SALESPLAN-OFR3'!K36*$D$23</f>
        <v>0</v>
      </c>
      <c r="K28" s="1078">
        <f t="shared" si="8"/>
        <v>0</v>
      </c>
      <c r="L28" s="5861"/>
      <c r="M28" s="636" t="str">
        <f t="shared" si="3"/>
        <v/>
      </c>
      <c r="N28" s="511" t="str">
        <f t="shared" si="4"/>
        <v/>
      </c>
      <c r="O28" s="511" t="str">
        <f t="shared" si="5"/>
        <v/>
      </c>
      <c r="P28" s="511" t="str">
        <f t="shared" si="6"/>
        <v/>
      </c>
      <c r="Q28" s="637" t="str">
        <f t="shared" si="7"/>
        <v/>
      </c>
      <c r="R28" s="587"/>
    </row>
    <row r="29" spans="1:18" s="218" customFormat="1" ht="15" customHeight="1" x14ac:dyDescent="0.35">
      <c r="A29" s="5859" t="str">
        <f t="shared" si="2"/>
        <v>Cabinets de conseil / Consultants</v>
      </c>
      <c r="B29" s="5860"/>
      <c r="C29" s="5860"/>
      <c r="D29" s="1177">
        <f>'02-SALESPLAN-OFR3'!E37*$D$23</f>
        <v>0</v>
      </c>
      <c r="E29" s="1177">
        <f>'02-SALESPLAN-OFR3'!F37*$D$23</f>
        <v>0</v>
      </c>
      <c r="F29" s="1177">
        <f>'02-SALESPLAN-OFR3'!G37*$D$23</f>
        <v>0</v>
      </c>
      <c r="G29" s="1177">
        <f>'02-SALESPLAN-OFR3'!H37*$D$23</f>
        <v>0</v>
      </c>
      <c r="H29" s="1177">
        <f>'02-SALESPLAN-OFR3'!I37*$D$23</f>
        <v>0</v>
      </c>
      <c r="I29" s="1177">
        <f>'02-SALESPLAN-OFR3'!J37*$D$23</f>
        <v>0</v>
      </c>
      <c r="J29" s="1177">
        <f>'02-SALESPLAN-OFR3'!K37*$D$23</f>
        <v>0</v>
      </c>
      <c r="K29" s="1078">
        <f t="shared" si="8"/>
        <v>0</v>
      </c>
      <c r="L29" s="5861"/>
      <c r="M29" s="636" t="str">
        <f t="shared" si="3"/>
        <v/>
      </c>
      <c r="N29" s="511" t="str">
        <f t="shared" si="4"/>
        <v/>
      </c>
      <c r="O29" s="511" t="str">
        <f t="shared" si="5"/>
        <v/>
      </c>
      <c r="P29" s="511" t="str">
        <f t="shared" si="6"/>
        <v/>
      </c>
      <c r="Q29" s="637" t="str">
        <f t="shared" si="7"/>
        <v/>
      </c>
      <c r="R29" s="587"/>
    </row>
    <row r="30" spans="1:18" s="218" customFormat="1" ht="14.5" x14ac:dyDescent="0.35">
      <c r="A30" s="5859" t="str">
        <f t="shared" si="2"/>
        <v xml:space="preserve">Hébergeurs </v>
      </c>
      <c r="B30" s="5860"/>
      <c r="C30" s="5860"/>
      <c r="D30" s="1177">
        <f>'02-SALESPLAN-OFR3'!E38*$D$23</f>
        <v>0</v>
      </c>
      <c r="E30" s="1177">
        <f>'02-SALESPLAN-OFR3'!F38*$D$23</f>
        <v>0</v>
      </c>
      <c r="F30" s="1177">
        <f>'02-SALESPLAN-OFR3'!G38*$D$23</f>
        <v>0</v>
      </c>
      <c r="G30" s="1177">
        <f>'02-SALESPLAN-OFR3'!H38*$D$23</f>
        <v>0</v>
      </c>
      <c r="H30" s="1177">
        <f>'02-SALESPLAN-OFR3'!I38*$D$23</f>
        <v>0</v>
      </c>
      <c r="I30" s="1177">
        <f>'02-SALESPLAN-OFR3'!J38*$D$23</f>
        <v>0</v>
      </c>
      <c r="J30" s="1177">
        <f>'02-SALESPLAN-OFR3'!K38*$D$23</f>
        <v>0</v>
      </c>
      <c r="K30" s="1078">
        <f t="shared" si="8"/>
        <v>0</v>
      </c>
      <c r="L30" s="5861"/>
      <c r="M30" s="636" t="str">
        <f t="shared" si="3"/>
        <v/>
      </c>
      <c r="N30" s="511" t="str">
        <f t="shared" si="4"/>
        <v/>
      </c>
      <c r="O30" s="511" t="str">
        <f t="shared" si="5"/>
        <v/>
      </c>
      <c r="P30" s="511" t="str">
        <f t="shared" si="6"/>
        <v/>
      </c>
      <c r="Q30" s="637" t="str">
        <f t="shared" si="7"/>
        <v/>
      </c>
      <c r="R30" s="587"/>
    </row>
    <row r="31" spans="1:18" s="218" customFormat="1" ht="15" thickBot="1" x14ac:dyDescent="0.4">
      <c r="A31" s="6466" t="e">
        <f t="shared" si="2"/>
        <v>#REF!</v>
      </c>
      <c r="B31" s="6467"/>
      <c r="C31" s="6467"/>
      <c r="D31" s="1177">
        <f>'02-SALESPLAN-OFR3'!E39*$D$23</f>
        <v>0</v>
      </c>
      <c r="E31" s="1177">
        <f>'02-SALESPLAN-OFR3'!F39*$D$23</f>
        <v>0</v>
      </c>
      <c r="F31" s="1177">
        <f>'02-SALESPLAN-OFR3'!G39*$D$23</f>
        <v>0</v>
      </c>
      <c r="G31" s="1177">
        <f>'02-SALESPLAN-OFR3'!H39*$D$23</f>
        <v>0</v>
      </c>
      <c r="H31" s="1177">
        <f>'02-SALESPLAN-OFR3'!I39*$D$23</f>
        <v>0</v>
      </c>
      <c r="I31" s="1177">
        <f>'02-SALESPLAN-OFR3'!J39*$D$23</f>
        <v>0</v>
      </c>
      <c r="J31" s="1177">
        <f>'02-SALESPLAN-OFR3'!K39*$D$23</f>
        <v>0</v>
      </c>
      <c r="K31" s="1079">
        <f t="shared" si="8"/>
        <v>0</v>
      </c>
      <c r="L31" s="5861"/>
      <c r="M31" s="636" t="str">
        <f t="shared" si="3"/>
        <v/>
      </c>
      <c r="N31" s="511" t="str">
        <f t="shared" si="4"/>
        <v/>
      </c>
      <c r="O31" s="511" t="str">
        <f t="shared" si="5"/>
        <v/>
      </c>
      <c r="P31" s="511" t="str">
        <f t="shared" si="6"/>
        <v/>
      </c>
      <c r="Q31" s="637" t="str">
        <f t="shared" si="7"/>
        <v/>
      </c>
      <c r="R31" s="587"/>
    </row>
    <row r="32" spans="1:18" s="218" customFormat="1" ht="9" customHeight="1" thickTop="1" thickBot="1" x14ac:dyDescent="0.4">
      <c r="A32" s="5867">
        <v>0</v>
      </c>
      <c r="B32" s="5868"/>
      <c r="C32" s="5868"/>
      <c r="D32" s="5868"/>
      <c r="E32" s="5868"/>
      <c r="F32" s="5868"/>
      <c r="G32" s="5868"/>
      <c r="H32" s="5868"/>
      <c r="I32" s="5868"/>
      <c r="J32" s="5868"/>
      <c r="K32" s="5868"/>
      <c r="L32" s="5868"/>
      <c r="M32" s="5868"/>
      <c r="N32" s="5868"/>
      <c r="O32" s="5868"/>
      <c r="P32" s="5868"/>
      <c r="Q32" s="5869"/>
      <c r="R32" s="587"/>
    </row>
    <row r="33" spans="1:18" s="211" customFormat="1" ht="18" customHeight="1" thickTop="1" thickBot="1" x14ac:dyDescent="0.4">
      <c r="A33" s="5870" t="s">
        <v>773</v>
      </c>
      <c r="B33" s="5871"/>
      <c r="C33" s="5871"/>
      <c r="D33" s="5871"/>
      <c r="E33" s="5871"/>
      <c r="F33" s="638">
        <f t="shared" ref="F33:K33" si="9">SUM(F24:F32)</f>
        <v>0</v>
      </c>
      <c r="G33" s="639">
        <f t="shared" si="9"/>
        <v>0</v>
      </c>
      <c r="H33" s="639">
        <f t="shared" si="9"/>
        <v>0</v>
      </c>
      <c r="I33" s="639">
        <f t="shared" si="9"/>
        <v>0</v>
      </c>
      <c r="J33" s="1076">
        <f t="shared" si="9"/>
        <v>0</v>
      </c>
      <c r="K33" s="1080">
        <f t="shared" si="9"/>
        <v>0</v>
      </c>
      <c r="L33" s="538"/>
      <c r="M33" s="640"/>
      <c r="N33" s="641">
        <f>SUM(N24:N31)</f>
        <v>0</v>
      </c>
      <c r="O33" s="641">
        <f>SUM(O24:O31)</f>
        <v>0</v>
      </c>
      <c r="P33" s="641">
        <f>SUM(P24:P31)</f>
        <v>0</v>
      </c>
      <c r="Q33" s="642">
        <f>SUM(Q24:Q31)</f>
        <v>0</v>
      </c>
      <c r="R33" s="538"/>
    </row>
    <row r="34" spans="1:18" s="218" customFormat="1" ht="18" customHeight="1" thickTop="1" x14ac:dyDescent="0.35">
      <c r="A34" s="587"/>
      <c r="B34" s="587"/>
      <c r="C34" s="587"/>
      <c r="D34" s="548"/>
      <c r="E34" s="548"/>
      <c r="F34" s="618"/>
      <c r="G34" s="618"/>
      <c r="H34" s="618"/>
      <c r="I34" s="618"/>
      <c r="J34" s="618"/>
      <c r="K34" s="643"/>
      <c r="L34" s="587"/>
      <c r="M34" s="587"/>
      <c r="N34" s="587"/>
      <c r="O34" s="587"/>
      <c r="P34" s="587"/>
      <c r="Q34" s="587"/>
      <c r="R34" s="587"/>
    </row>
    <row r="35" spans="1:18" s="218" customFormat="1" ht="18" customHeight="1" thickBot="1" x14ac:dyDescent="0.4">
      <c r="A35" s="587"/>
      <c r="B35" s="587"/>
      <c r="C35" s="587"/>
      <c r="D35" s="548"/>
      <c r="E35" s="548"/>
      <c r="F35" s="618"/>
      <c r="G35" s="618"/>
      <c r="H35" s="618"/>
      <c r="I35" s="618"/>
      <c r="J35" s="618"/>
      <c r="K35" s="643"/>
      <c r="L35" s="587"/>
      <c r="M35" s="587"/>
      <c r="N35" s="587"/>
      <c r="O35" s="587"/>
      <c r="P35" s="587"/>
      <c r="Q35" s="587"/>
      <c r="R35" s="587"/>
    </row>
    <row r="36" spans="1:18" s="216" customFormat="1" ht="51.75" customHeight="1" thickTop="1" thickBot="1" x14ac:dyDescent="0.4">
      <c r="A36" s="612"/>
      <c r="B36" s="5872" t="s">
        <v>1242</v>
      </c>
      <c r="C36" s="5873"/>
      <c r="D36" s="5873"/>
      <c r="E36" s="5873"/>
      <c r="F36" s="1581">
        <f t="shared" ref="F36:K36" si="10">F6</f>
        <v>2017</v>
      </c>
      <c r="G36" s="1581">
        <f t="shared" si="10"/>
        <v>2018</v>
      </c>
      <c r="H36" s="1581">
        <f t="shared" si="10"/>
        <v>2019</v>
      </c>
      <c r="I36" s="1581">
        <f t="shared" si="10"/>
        <v>2020</v>
      </c>
      <c r="J36" s="644">
        <f t="shared" si="10"/>
        <v>2021</v>
      </c>
      <c r="K36" s="1085" t="str">
        <f t="shared" si="10"/>
        <v xml:space="preserve">Total </v>
      </c>
      <c r="L36" s="612"/>
      <c r="M36" s="612"/>
      <c r="N36" s="612"/>
      <c r="O36" s="612"/>
      <c r="P36" s="612"/>
      <c r="Q36" s="612"/>
      <c r="R36" s="612"/>
    </row>
    <row r="37" spans="1:18" s="217" customFormat="1" ht="21.75" customHeight="1" x14ac:dyDescent="0.35">
      <c r="A37" s="613"/>
      <c r="B37" s="5874" t="s">
        <v>757</v>
      </c>
      <c r="C37" s="5875"/>
      <c r="D37" s="5875"/>
      <c r="E37" s="5875"/>
      <c r="F37" s="645">
        <f t="shared" ref="F37:K37" si="11">F17</f>
        <v>0</v>
      </c>
      <c r="G37" s="645">
        <f t="shared" si="11"/>
        <v>0</v>
      </c>
      <c r="H37" s="645">
        <f t="shared" si="11"/>
        <v>0</v>
      </c>
      <c r="I37" s="645">
        <f t="shared" si="11"/>
        <v>0</v>
      </c>
      <c r="J37" s="646">
        <f t="shared" si="11"/>
        <v>0</v>
      </c>
      <c r="K37" s="1086">
        <f t="shared" si="11"/>
        <v>0</v>
      </c>
      <c r="L37" s="613"/>
      <c r="M37" s="613"/>
      <c r="N37" s="613"/>
      <c r="O37" s="613"/>
      <c r="P37" s="613"/>
      <c r="Q37" s="613"/>
      <c r="R37" s="613"/>
    </row>
    <row r="38" spans="1:18" s="218" customFormat="1" ht="18" customHeight="1" thickBot="1" x14ac:dyDescent="0.4">
      <c r="A38" s="587"/>
      <c r="B38" s="5848" t="s">
        <v>762</v>
      </c>
      <c r="C38" s="5849"/>
      <c r="D38" s="5849"/>
      <c r="E38" s="5849"/>
      <c r="F38" s="647">
        <f t="shared" ref="F38:K38" si="12">F33</f>
        <v>0</v>
      </c>
      <c r="G38" s="647">
        <f t="shared" si="12"/>
        <v>0</v>
      </c>
      <c r="H38" s="647">
        <f t="shared" si="12"/>
        <v>0</v>
      </c>
      <c r="I38" s="647">
        <f t="shared" si="12"/>
        <v>0</v>
      </c>
      <c r="J38" s="648">
        <f t="shared" si="12"/>
        <v>0</v>
      </c>
      <c r="K38" s="1087">
        <f t="shared" si="12"/>
        <v>0</v>
      </c>
      <c r="L38" s="643"/>
      <c r="M38" s="587"/>
      <c r="N38" s="587"/>
      <c r="O38" s="587"/>
      <c r="P38" s="587"/>
      <c r="Q38" s="587"/>
      <c r="R38" s="587"/>
    </row>
    <row r="39" spans="1:18" s="170" customFormat="1" ht="18" customHeight="1" thickBot="1" x14ac:dyDescent="0.4">
      <c r="A39" s="586"/>
      <c r="B39" s="5857" t="s">
        <v>772</v>
      </c>
      <c r="C39" s="5858"/>
      <c r="D39" s="5858"/>
      <c r="E39" s="5858"/>
      <c r="F39" s="649">
        <f t="shared" ref="F39:K39" si="13">SUM(F37:F38)</f>
        <v>0</v>
      </c>
      <c r="G39" s="649">
        <f t="shared" si="13"/>
        <v>0</v>
      </c>
      <c r="H39" s="649">
        <f t="shared" si="13"/>
        <v>0</v>
      </c>
      <c r="I39" s="649">
        <f t="shared" si="13"/>
        <v>0</v>
      </c>
      <c r="J39" s="650">
        <f t="shared" si="13"/>
        <v>0</v>
      </c>
      <c r="K39" s="1088">
        <f t="shared" si="13"/>
        <v>0</v>
      </c>
      <c r="L39" s="643"/>
      <c r="M39" s="586"/>
      <c r="N39" s="586"/>
      <c r="O39" s="586"/>
      <c r="P39" s="586"/>
      <c r="Q39" s="586"/>
      <c r="R39" s="586"/>
    </row>
    <row r="40" spans="1:18" ht="13.5" thickTop="1" x14ac:dyDescent="0.3">
      <c r="A40" s="651"/>
      <c r="B40" s="651"/>
      <c r="C40" s="651"/>
      <c r="D40" s="651"/>
      <c r="E40" s="651"/>
      <c r="F40" s="651"/>
      <c r="G40" s="651"/>
      <c r="H40" s="651"/>
      <c r="I40" s="651"/>
      <c r="J40" s="651"/>
      <c r="K40" s="651"/>
      <c r="L40" s="651"/>
      <c r="M40" s="651"/>
      <c r="N40" s="651"/>
      <c r="O40" s="651"/>
      <c r="P40" s="651"/>
      <c r="Q40" s="651"/>
      <c r="R40" s="651"/>
    </row>
    <row r="41" spans="1:18" s="218" customFormat="1" ht="18" customHeight="1" thickBot="1" x14ac:dyDescent="0.4">
      <c r="A41" s="587"/>
      <c r="B41" s="587"/>
      <c r="C41" s="587"/>
      <c r="D41" s="652"/>
      <c r="E41" s="548"/>
      <c r="F41" s="548"/>
      <c r="G41" s="548"/>
      <c r="H41" s="548"/>
      <c r="I41" s="548"/>
      <c r="J41" s="548"/>
      <c r="K41" s="587"/>
      <c r="L41" s="587"/>
      <c r="M41" s="587"/>
      <c r="N41" s="587"/>
      <c r="O41" s="587"/>
      <c r="P41" s="587"/>
      <c r="Q41" s="587"/>
      <c r="R41" s="587"/>
    </row>
    <row r="42" spans="1:18" s="220" customFormat="1" ht="34.5" customHeight="1" thickTop="1" thickBot="1" x14ac:dyDescent="0.4">
      <c r="A42" s="5850" t="s">
        <v>1243</v>
      </c>
      <c r="B42" s="5851"/>
      <c r="C42" s="5851"/>
      <c r="D42" s="5852" t="s">
        <v>129</v>
      </c>
      <c r="E42" s="5852"/>
      <c r="F42" s="1581">
        <f t="shared" ref="F42:K42" si="14">F6</f>
        <v>2017</v>
      </c>
      <c r="G42" s="1581">
        <f t="shared" si="14"/>
        <v>2018</v>
      </c>
      <c r="H42" s="1581">
        <f t="shared" si="14"/>
        <v>2019</v>
      </c>
      <c r="I42" s="1581">
        <f t="shared" si="14"/>
        <v>2020</v>
      </c>
      <c r="J42" s="644">
        <f t="shared" si="14"/>
        <v>2021</v>
      </c>
      <c r="K42" s="1085" t="str">
        <f t="shared" si="14"/>
        <v xml:space="preserve">Total </v>
      </c>
      <c r="L42" s="653"/>
      <c r="M42" s="653"/>
      <c r="N42" s="653"/>
      <c r="O42" s="653"/>
      <c r="P42" s="653"/>
      <c r="Q42" s="653"/>
      <c r="R42" s="653"/>
    </row>
    <row r="43" spans="1:18" s="221" customFormat="1" ht="18" customHeight="1" x14ac:dyDescent="0.35">
      <c r="A43" s="5853" t="str">
        <f t="shared" ref="A43:A50" si="15">A8</f>
        <v>Ventes directes seules</v>
      </c>
      <c r="B43" s="5854"/>
      <c r="C43" s="5854"/>
      <c r="D43" s="4623">
        <v>0</v>
      </c>
      <c r="E43" s="4623"/>
      <c r="F43" s="1174"/>
      <c r="G43" s="1174">
        <v>0</v>
      </c>
      <c r="H43" s="1174">
        <v>0</v>
      </c>
      <c r="I43" s="1174">
        <v>0</v>
      </c>
      <c r="J43" s="1175">
        <v>0</v>
      </c>
      <c r="K43" s="1176">
        <f t="shared" ref="K43:K50" si="16">SUM(F43:J43)</f>
        <v>0</v>
      </c>
      <c r="L43" s="654"/>
      <c r="M43" s="654"/>
      <c r="N43" s="654"/>
      <c r="O43" s="654"/>
      <c r="P43" s="654"/>
      <c r="Q43" s="654"/>
      <c r="R43" s="654"/>
    </row>
    <row r="44" spans="1:18" s="221" customFormat="1" ht="14.5" x14ac:dyDescent="0.35">
      <c r="A44" s="5844" t="str">
        <f t="shared" si="15"/>
        <v xml:space="preserve">VARs / SS2I locales </v>
      </c>
      <c r="B44" s="5845"/>
      <c r="C44" s="5845"/>
      <c r="D44" s="5832">
        <v>0.5</v>
      </c>
      <c r="E44" s="5832"/>
      <c r="F44" s="655" t="e">
        <f>('SALESPLAN 3Y'!G11+'SALESPLAN 3Y'!#REF!)*$D44</f>
        <v>#REF!</v>
      </c>
      <c r="G44" s="655" t="e">
        <f>('SALESPLAN 3Y'!H11+'SALESPLAN 3Y'!#REF!)*$D44</f>
        <v>#REF!</v>
      </c>
      <c r="H44" s="655" t="e">
        <f>('SALESPLAN 3Y'!I11+'SALESPLAN 3Y'!#REF!)*$D44</f>
        <v>#REF!</v>
      </c>
      <c r="I44" s="655" t="e">
        <f>('SALESPLAN 3Y'!J11+'SALESPLAN 3Y'!#REF!)*$D44</f>
        <v>#REF!</v>
      </c>
      <c r="J44" s="655" t="e">
        <f>('SALESPLAN 3Y'!K11+'SALESPLAN 3Y'!#REF!)*$D44</f>
        <v>#REF!</v>
      </c>
      <c r="K44" s="1089" t="e">
        <f t="shared" si="16"/>
        <v>#REF!</v>
      </c>
      <c r="L44" s="654"/>
      <c r="M44" s="654"/>
      <c r="N44" s="654"/>
      <c r="O44" s="654"/>
      <c r="P44" s="654"/>
      <c r="Q44" s="654"/>
      <c r="R44" s="654"/>
    </row>
    <row r="45" spans="1:18" s="221" customFormat="1" ht="14.5" x14ac:dyDescent="0.35">
      <c r="A45" s="5830" t="str">
        <f t="shared" si="15"/>
        <v>ESN ( SS2I )</v>
      </c>
      <c r="B45" s="5831"/>
      <c r="C45" s="5831"/>
      <c r="D45" s="5832">
        <v>3</v>
      </c>
      <c r="E45" s="5832"/>
      <c r="F45" s="655" t="e">
        <f>('SALESPLAN 3Y'!G12+'SALESPLAN 3Y'!#REF!)*$D45</f>
        <v>#REF!</v>
      </c>
      <c r="G45" s="655" t="e">
        <f>('SALESPLAN 3Y'!H12+'SALESPLAN 3Y'!#REF!)*$D45</f>
        <v>#REF!</v>
      </c>
      <c r="H45" s="655" t="e">
        <f>('SALESPLAN 3Y'!I12+'SALESPLAN 3Y'!#REF!)*$D45</f>
        <v>#REF!</v>
      </c>
      <c r="I45" s="655" t="e">
        <f>('SALESPLAN 3Y'!J12+'SALESPLAN 3Y'!#REF!)*$D45</f>
        <v>#REF!</v>
      </c>
      <c r="J45" s="655" t="e">
        <f>('SALESPLAN 3Y'!K12+'SALESPLAN 3Y'!#REF!)*$D45</f>
        <v>#REF!</v>
      </c>
      <c r="K45" s="1081" t="e">
        <f t="shared" si="16"/>
        <v>#REF!</v>
      </c>
      <c r="L45" s="654"/>
      <c r="M45" s="654"/>
      <c r="N45" s="654"/>
      <c r="O45" s="654"/>
      <c r="P45" s="654"/>
      <c r="Q45" s="654"/>
      <c r="R45" s="654"/>
    </row>
    <row r="46" spans="1:18" s="221" customFormat="1" ht="18" customHeight="1" x14ac:dyDescent="0.35">
      <c r="A46" s="5846" t="str">
        <f t="shared" si="15"/>
        <v>Constructeurs Matériel</v>
      </c>
      <c r="B46" s="5847"/>
      <c r="C46" s="5847"/>
      <c r="D46" s="5832">
        <v>0.5</v>
      </c>
      <c r="E46" s="5832"/>
      <c r="F46" s="655" t="e">
        <f>('SALESPLAN 3Y'!G13+'SALESPLAN 3Y'!#REF!)*$D46</f>
        <v>#REF!</v>
      </c>
      <c r="G46" s="655" t="e">
        <f>('SALESPLAN 3Y'!H13+'SALESPLAN 3Y'!#REF!)*$D46</f>
        <v>#REF!</v>
      </c>
      <c r="H46" s="655" t="e">
        <f>('SALESPLAN 3Y'!I13+'SALESPLAN 3Y'!#REF!)*$D46</f>
        <v>#REF!</v>
      </c>
      <c r="I46" s="655" t="e">
        <f>('SALESPLAN 3Y'!J13+'SALESPLAN 3Y'!#REF!)*$D46</f>
        <v>#REF!</v>
      </c>
      <c r="J46" s="655" t="e">
        <f>('SALESPLAN 3Y'!K13+'SALESPLAN 3Y'!#REF!)*$D46</f>
        <v>#REF!</v>
      </c>
      <c r="K46" s="1090" t="e">
        <f t="shared" si="16"/>
        <v>#REF!</v>
      </c>
      <c r="L46" s="654"/>
      <c r="M46" s="654"/>
      <c r="N46" s="654"/>
      <c r="O46" s="654"/>
      <c r="P46" s="654"/>
      <c r="Q46" s="654"/>
      <c r="R46" s="654"/>
    </row>
    <row r="47" spans="1:18" s="221" customFormat="1" ht="18" customHeight="1" x14ac:dyDescent="0.35">
      <c r="A47" s="5830" t="str">
        <f t="shared" si="15"/>
        <v>Editeurs de solutions complémentaires</v>
      </c>
      <c r="B47" s="5831"/>
      <c r="C47" s="5831"/>
      <c r="D47" s="5832">
        <v>0.5</v>
      </c>
      <c r="E47" s="5832"/>
      <c r="F47" s="655" t="e">
        <f>('SALESPLAN 3Y'!G14+'SALESPLAN 3Y'!#REF!)*$D47</f>
        <v>#REF!</v>
      </c>
      <c r="G47" s="655" t="e">
        <f>('SALESPLAN 3Y'!H14+'SALESPLAN 3Y'!#REF!)*$D47</f>
        <v>#REF!</v>
      </c>
      <c r="H47" s="655" t="e">
        <f>('SALESPLAN 3Y'!I14+'SALESPLAN 3Y'!#REF!)*$D47</f>
        <v>#REF!</v>
      </c>
      <c r="I47" s="655" t="e">
        <f>('SALESPLAN 3Y'!J14+'SALESPLAN 3Y'!#REF!)*$D47</f>
        <v>#REF!</v>
      </c>
      <c r="J47" s="655" t="e">
        <f>('SALESPLAN 3Y'!K14+'SALESPLAN 3Y'!#REF!)*$D47</f>
        <v>#REF!</v>
      </c>
      <c r="K47" s="1081" t="e">
        <f t="shared" si="16"/>
        <v>#REF!</v>
      </c>
      <c r="L47" s="654"/>
      <c r="M47" s="654"/>
      <c r="N47" s="654"/>
      <c r="O47" s="654"/>
      <c r="P47" s="654"/>
      <c r="Q47" s="654"/>
      <c r="R47" s="654"/>
    </row>
    <row r="48" spans="1:18" s="221" customFormat="1" ht="18" customHeight="1" x14ac:dyDescent="0.35">
      <c r="A48" s="5830" t="str">
        <f t="shared" si="15"/>
        <v>Cabinets de conseil / Consultants</v>
      </c>
      <c r="B48" s="5831"/>
      <c r="C48" s="5831"/>
      <c r="D48" s="5832">
        <v>0.3</v>
      </c>
      <c r="E48" s="5832"/>
      <c r="F48" s="655" t="e">
        <f>('SALESPLAN 3Y'!G15+'SALESPLAN 3Y'!#REF!)*$D48</f>
        <v>#REF!</v>
      </c>
      <c r="G48" s="655" t="e">
        <f>('SALESPLAN 3Y'!H15+'SALESPLAN 3Y'!#REF!)*$D48</f>
        <v>#REF!</v>
      </c>
      <c r="H48" s="655" t="e">
        <f>('SALESPLAN 3Y'!I15+'SALESPLAN 3Y'!#REF!)*$D48</f>
        <v>#REF!</v>
      </c>
      <c r="I48" s="655" t="e">
        <f>('SALESPLAN 3Y'!J15+'SALESPLAN 3Y'!#REF!)*$D48</f>
        <v>#REF!</v>
      </c>
      <c r="J48" s="655" t="e">
        <f>('SALESPLAN 3Y'!K15+'SALESPLAN 3Y'!#REF!)*$D48</f>
        <v>#REF!</v>
      </c>
      <c r="K48" s="1081" t="e">
        <f t="shared" si="16"/>
        <v>#REF!</v>
      </c>
      <c r="L48" s="654"/>
      <c r="M48" s="654"/>
      <c r="N48" s="654"/>
      <c r="O48" s="654"/>
      <c r="P48" s="654"/>
      <c r="Q48" s="654"/>
      <c r="R48" s="654"/>
    </row>
    <row r="49" spans="1:18" s="221" customFormat="1" ht="18" customHeight="1" x14ac:dyDescent="0.35">
      <c r="A49" s="5830" t="str">
        <f t="shared" si="15"/>
        <v xml:space="preserve">Hébergeurs </v>
      </c>
      <c r="B49" s="5831"/>
      <c r="C49" s="5831"/>
      <c r="D49" s="5832"/>
      <c r="E49" s="5832"/>
      <c r="F49" s="655" t="e">
        <f>('SALESPLAN 3Y'!G16+'SALESPLAN 3Y'!#REF!)*$D49</f>
        <v>#REF!</v>
      </c>
      <c r="G49" s="655" t="e">
        <f>('SALESPLAN 3Y'!H16+'SALESPLAN 3Y'!#REF!)*$D49</f>
        <v>#REF!</v>
      </c>
      <c r="H49" s="655" t="e">
        <f>('SALESPLAN 3Y'!I16+'SALESPLAN 3Y'!#REF!)*$D49</f>
        <v>#REF!</v>
      </c>
      <c r="I49" s="655" t="e">
        <f>('SALESPLAN 3Y'!J16+'SALESPLAN 3Y'!#REF!)*$D49</f>
        <v>#REF!</v>
      </c>
      <c r="J49" s="655" t="e">
        <f>('SALESPLAN 3Y'!K16+'SALESPLAN 3Y'!#REF!)*$D49</f>
        <v>#REF!</v>
      </c>
      <c r="K49" s="1081" t="e">
        <f t="shared" si="16"/>
        <v>#REF!</v>
      </c>
      <c r="L49" s="654"/>
      <c r="M49" s="654"/>
      <c r="N49" s="654"/>
      <c r="O49" s="654"/>
      <c r="P49" s="654"/>
      <c r="Q49" s="654"/>
      <c r="R49" s="654"/>
    </row>
    <row r="50" spans="1:18" s="221" customFormat="1" ht="18" customHeight="1" x14ac:dyDescent="0.35">
      <c r="A50" s="5830" t="e">
        <f t="shared" si="15"/>
        <v>#REF!</v>
      </c>
      <c r="B50" s="5831"/>
      <c r="C50" s="5831"/>
      <c r="D50" s="5832"/>
      <c r="E50" s="5832"/>
      <c r="F50" s="655" t="e">
        <f>('SALESPLAN 3Y'!#REF!+'SALESPLAN 3Y'!#REF!)*$D50</f>
        <v>#REF!</v>
      </c>
      <c r="G50" s="655" t="e">
        <f>('SALESPLAN 3Y'!#REF!+'SALESPLAN 3Y'!#REF!)*$D50</f>
        <v>#REF!</v>
      </c>
      <c r="H50" s="655" t="e">
        <f>('SALESPLAN 3Y'!#REF!+'SALESPLAN 3Y'!#REF!)*$D50</f>
        <v>#REF!</v>
      </c>
      <c r="I50" s="655" t="e">
        <f>('SALESPLAN 3Y'!#REF!+'SALESPLAN 3Y'!#REF!)*$D50</f>
        <v>#REF!</v>
      </c>
      <c r="J50" s="655" t="e">
        <f>('SALESPLAN 3Y'!#REF!+'SALESPLAN 3Y'!#REF!)*$D50</f>
        <v>#REF!</v>
      </c>
      <c r="K50" s="1081" t="e">
        <f t="shared" si="16"/>
        <v>#REF!</v>
      </c>
      <c r="L50" s="654"/>
      <c r="M50" s="654"/>
      <c r="N50" s="654"/>
      <c r="O50" s="654"/>
      <c r="P50" s="654"/>
      <c r="Q50" s="654"/>
      <c r="R50" s="654"/>
    </row>
    <row r="51" spans="1:18" s="221" customFormat="1" ht="9" customHeight="1" thickBot="1" x14ac:dyDescent="0.4">
      <c r="A51" s="5833"/>
      <c r="B51" s="5834"/>
      <c r="C51" s="5834"/>
      <c r="D51" s="5834"/>
      <c r="E51" s="5834"/>
      <c r="F51" s="5834"/>
      <c r="G51" s="5834"/>
      <c r="H51" s="5834"/>
      <c r="I51" s="5834"/>
      <c r="J51" s="5834"/>
      <c r="K51" s="5835"/>
      <c r="L51" s="654"/>
      <c r="M51" s="654"/>
      <c r="N51" s="654"/>
      <c r="O51" s="654"/>
      <c r="P51" s="654"/>
      <c r="Q51" s="654"/>
      <c r="R51" s="654"/>
    </row>
    <row r="52" spans="1:18" s="211" customFormat="1" ht="18" customHeight="1" thickBot="1" x14ac:dyDescent="0.4">
      <c r="A52" s="5836" t="s">
        <v>852</v>
      </c>
      <c r="B52" s="5837"/>
      <c r="C52" s="5837"/>
      <c r="D52" s="5837"/>
      <c r="E52" s="5837"/>
      <c r="F52" s="656" t="e">
        <f>SUM(F43:F51)</f>
        <v>#REF!</v>
      </c>
      <c r="G52" s="656" t="e">
        <f>SUM(G43:G51)</f>
        <v>#REF!</v>
      </c>
      <c r="H52" s="656" t="e">
        <f>SUM(H43:H51)</f>
        <v>#REF!</v>
      </c>
      <c r="I52" s="656" t="e">
        <f>SUM(I43:I51)</f>
        <v>#REF!</v>
      </c>
      <c r="J52" s="657" t="e">
        <f>SUM(J43:J51)</f>
        <v>#REF!</v>
      </c>
      <c r="K52" s="1091" t="e">
        <f>SUM(F52:J52)</f>
        <v>#REF!</v>
      </c>
      <c r="L52" s="538"/>
      <c r="M52" s="538"/>
      <c r="N52" s="538"/>
      <c r="O52" s="538"/>
      <c r="P52" s="538"/>
      <c r="Q52" s="538"/>
      <c r="R52" s="538"/>
    </row>
    <row r="53" spans="1:18" s="205" customFormat="1" ht="15" thickTop="1" x14ac:dyDescent="0.35">
      <c r="A53" s="513"/>
      <c r="B53" s="513"/>
      <c r="C53" s="513"/>
      <c r="D53" s="513"/>
      <c r="E53" s="513"/>
      <c r="F53" s="548"/>
      <c r="G53" s="1575"/>
      <c r="H53" s="549"/>
      <c r="I53" s="550"/>
      <c r="J53" s="550"/>
      <c r="K53" s="550"/>
      <c r="L53" s="550"/>
      <c r="M53" s="520"/>
      <c r="N53" s="520"/>
      <c r="O53" s="513"/>
      <c r="P53" s="513"/>
      <c r="Q53" s="513"/>
      <c r="R53" s="513"/>
    </row>
    <row r="54" spans="1:18" s="210" customFormat="1" ht="14.5" hidden="1" x14ac:dyDescent="0.35">
      <c r="A54" s="551"/>
      <c r="B54" s="551"/>
      <c r="C54" s="551"/>
      <c r="D54" s="551"/>
      <c r="E54" s="551"/>
      <c r="F54" s="551"/>
      <c r="G54" s="551"/>
      <c r="H54" s="551"/>
      <c r="I54" s="551"/>
      <c r="J54" s="551"/>
      <c r="K54" s="551"/>
      <c r="L54" s="551"/>
      <c r="M54" s="551"/>
      <c r="N54" s="551"/>
      <c r="O54" s="551"/>
      <c r="P54" s="551"/>
      <c r="Q54" s="551"/>
      <c r="R54" s="512"/>
    </row>
    <row r="55" spans="1:18" s="211" customFormat="1" ht="37.5" hidden="1" customHeight="1" x14ac:dyDescent="0.35">
      <c r="A55" s="538"/>
      <c r="B55" s="538"/>
      <c r="C55" s="538"/>
      <c r="D55" s="538"/>
      <c r="E55" s="538"/>
      <c r="F55" s="552" t="s">
        <v>766</v>
      </c>
      <c r="G55" s="553">
        <v>2012</v>
      </c>
      <c r="H55" s="553">
        <v>2013</v>
      </c>
      <c r="I55" s="553">
        <v>2014</v>
      </c>
      <c r="J55" s="553">
        <v>2015</v>
      </c>
      <c r="K55" s="553">
        <v>2016</v>
      </c>
      <c r="L55" s="554" t="s">
        <v>765</v>
      </c>
      <c r="M55" s="538"/>
      <c r="N55" s="538"/>
      <c r="O55" s="538"/>
      <c r="P55" s="538"/>
      <c r="Q55" s="538"/>
      <c r="R55" s="512"/>
    </row>
    <row r="56" spans="1:18" s="166" customFormat="1" ht="39" hidden="1" x14ac:dyDescent="0.35">
      <c r="A56" s="512"/>
      <c r="B56" s="512"/>
      <c r="C56" s="512"/>
      <c r="D56" s="512"/>
      <c r="E56" s="512"/>
      <c r="F56" s="555" t="s">
        <v>767</v>
      </c>
      <c r="G56" s="556"/>
      <c r="H56" s="557" t="e">
        <f>H40/#REF!</f>
        <v>#REF!</v>
      </c>
      <c r="I56" s="557" t="e">
        <f>I40/#REF!</f>
        <v>#REF!</v>
      </c>
      <c r="J56" s="557" t="e">
        <f>J40/#REF!</f>
        <v>#REF!</v>
      </c>
      <c r="K56" s="557" t="e">
        <f>K40/#REF!</f>
        <v>#REF!</v>
      </c>
      <c r="L56" s="558" t="e">
        <f t="shared" ref="L56:L61" si="17">SUM(H56:K56)</f>
        <v>#REF!</v>
      </c>
      <c r="M56" s="559"/>
      <c r="N56" s="551"/>
      <c r="O56" s="551"/>
      <c r="P56" s="551"/>
      <c r="Q56" s="551"/>
      <c r="R56" s="551"/>
    </row>
    <row r="57" spans="1:18" s="166" customFormat="1" ht="26" hidden="1" x14ac:dyDescent="0.35">
      <c r="A57" s="512"/>
      <c r="B57" s="512"/>
      <c r="C57" s="512"/>
      <c r="D57" s="512"/>
      <c r="E57" s="512"/>
      <c r="F57" s="555" t="s">
        <v>768</v>
      </c>
      <c r="G57" s="556"/>
      <c r="H57" s="557" t="e">
        <f>H41/#REF!</f>
        <v>#REF!</v>
      </c>
      <c r="I57" s="557" t="e">
        <f>I41/#REF!</f>
        <v>#REF!</v>
      </c>
      <c r="J57" s="557" t="e">
        <f>J41/#REF!</f>
        <v>#REF!</v>
      </c>
      <c r="K57" s="557" t="e">
        <f>K41/#REF!</f>
        <v>#REF!</v>
      </c>
      <c r="L57" s="558" t="e">
        <f t="shared" si="17"/>
        <v>#REF!</v>
      </c>
      <c r="M57" s="559"/>
      <c r="N57" s="538"/>
      <c r="O57" s="538"/>
      <c r="P57" s="538"/>
      <c r="Q57" s="538"/>
      <c r="R57" s="538"/>
    </row>
    <row r="58" spans="1:18" s="212" customFormat="1" ht="12.75" hidden="1" customHeight="1" x14ac:dyDescent="0.35">
      <c r="A58" s="560"/>
      <c r="B58" s="560"/>
      <c r="C58" s="560"/>
      <c r="D58" s="560"/>
      <c r="E58" s="560"/>
      <c r="F58" s="555" t="s">
        <v>759</v>
      </c>
      <c r="G58" s="561"/>
      <c r="H58" s="557" t="e">
        <f>H42/#REF!</f>
        <v>#REF!</v>
      </c>
      <c r="I58" s="557" t="e">
        <f>I42/#REF!</f>
        <v>#REF!</v>
      </c>
      <c r="J58" s="557" t="e">
        <f>J42/#REF!</f>
        <v>#REF!</v>
      </c>
      <c r="K58" s="557" t="e">
        <f>K42/#REF!</f>
        <v>#VALUE!</v>
      </c>
      <c r="L58" s="562" t="e">
        <f t="shared" si="17"/>
        <v>#REF!</v>
      </c>
      <c r="M58" s="563"/>
      <c r="N58" s="564"/>
      <c r="O58" s="565"/>
      <c r="P58" s="565"/>
      <c r="Q58" s="512"/>
      <c r="R58" s="512"/>
    </row>
    <row r="59" spans="1:18" s="166" customFormat="1" ht="17.25" hidden="1" customHeight="1" x14ac:dyDescent="0.35">
      <c r="A59" s="512"/>
      <c r="B59" s="512"/>
      <c r="C59" s="512"/>
      <c r="D59" s="512"/>
      <c r="E59" s="512"/>
      <c r="F59" s="555" t="s">
        <v>760</v>
      </c>
      <c r="G59" s="566"/>
      <c r="H59" s="557" t="e">
        <f>H43/#REF!</f>
        <v>#REF!</v>
      </c>
      <c r="I59" s="557" t="e">
        <f>I43/#REF!</f>
        <v>#REF!</v>
      </c>
      <c r="J59" s="557" t="e">
        <f>J43/#REF!</f>
        <v>#REF!</v>
      </c>
      <c r="K59" s="557" t="e">
        <f>K43/#REF!</f>
        <v>#REF!</v>
      </c>
      <c r="L59" s="567" t="e">
        <f t="shared" si="17"/>
        <v>#REF!</v>
      </c>
      <c r="M59" s="559"/>
      <c r="N59" s="564"/>
      <c r="O59" s="565"/>
      <c r="P59" s="565"/>
      <c r="Q59" s="512"/>
      <c r="R59" s="512"/>
    </row>
    <row r="60" spans="1:18" s="166" customFormat="1" ht="14.5" hidden="1" x14ac:dyDescent="0.35">
      <c r="A60" s="512"/>
      <c r="B60" s="512"/>
      <c r="C60" s="512"/>
      <c r="D60" s="512"/>
      <c r="E60" s="512"/>
      <c r="F60" s="568"/>
      <c r="G60" s="566"/>
      <c r="H60" s="557"/>
      <c r="I60" s="557"/>
      <c r="J60" s="557"/>
      <c r="K60" s="557"/>
      <c r="L60" s="567">
        <f t="shared" si="17"/>
        <v>0</v>
      </c>
      <c r="M60" s="569"/>
      <c r="N60" s="570"/>
      <c r="O60" s="571"/>
      <c r="P60" s="571"/>
      <c r="Q60" s="560"/>
      <c r="R60" s="560"/>
    </row>
    <row r="61" spans="1:18" s="166" customFormat="1" ht="14.5" hidden="1" x14ac:dyDescent="0.35">
      <c r="A61" s="512"/>
      <c r="B61" s="512"/>
      <c r="C61" s="512"/>
      <c r="D61" s="512"/>
      <c r="E61" s="512"/>
      <c r="F61" s="555"/>
      <c r="G61" s="566"/>
      <c r="H61" s="557"/>
      <c r="I61" s="557"/>
      <c r="J61" s="557"/>
      <c r="K61" s="557"/>
      <c r="L61" s="567">
        <f t="shared" si="17"/>
        <v>0</v>
      </c>
      <c r="M61" s="512"/>
      <c r="N61" s="564"/>
      <c r="O61" s="565"/>
      <c r="P61" s="565"/>
      <c r="Q61" s="512"/>
      <c r="R61" s="512"/>
    </row>
    <row r="62" spans="1:18" s="166" customFormat="1" ht="15" hidden="1" customHeight="1" x14ac:dyDescent="0.35">
      <c r="A62" s="512"/>
      <c r="B62" s="512"/>
      <c r="C62" s="512"/>
      <c r="D62" s="512"/>
      <c r="E62" s="512"/>
      <c r="F62" s="572"/>
      <c r="G62" s="573"/>
      <c r="H62" s="574"/>
      <c r="I62" s="574"/>
      <c r="J62" s="574"/>
      <c r="K62" s="574"/>
      <c r="L62" s="575"/>
      <c r="M62" s="512"/>
      <c r="N62" s="564"/>
      <c r="O62" s="565"/>
      <c r="P62" s="565"/>
      <c r="Q62" s="512"/>
      <c r="R62" s="512"/>
    </row>
    <row r="63" spans="1:18" s="166" customFormat="1" ht="15" hidden="1" thickBot="1" x14ac:dyDescent="0.4">
      <c r="A63" s="512"/>
      <c r="B63" s="512"/>
      <c r="C63" s="512"/>
      <c r="D63" s="512"/>
      <c r="E63" s="512"/>
      <c r="F63" s="576"/>
      <c r="G63" s="573"/>
      <c r="H63" s="577"/>
      <c r="I63" s="577"/>
      <c r="J63" s="577"/>
      <c r="K63" s="577"/>
      <c r="L63" s="578"/>
      <c r="M63" s="512"/>
      <c r="N63" s="565"/>
      <c r="O63" s="565"/>
      <c r="P63" s="565"/>
      <c r="Q63" s="512"/>
      <c r="R63" s="512"/>
    </row>
    <row r="64" spans="1:18" s="166" customFormat="1" ht="15.5" hidden="1" thickTop="1" thickBot="1" x14ac:dyDescent="0.4">
      <c r="A64" s="512"/>
      <c r="B64" s="512"/>
      <c r="C64" s="512"/>
      <c r="D64" s="512"/>
      <c r="E64" s="512"/>
      <c r="F64" s="579" t="s">
        <v>127</v>
      </c>
      <c r="G64" s="580">
        <f>SUM(G56:G63)</f>
        <v>0</v>
      </c>
      <c r="H64" s="581" t="e">
        <f>SUM(H56:H63)</f>
        <v>#REF!</v>
      </c>
      <c r="I64" s="581" t="e">
        <f>SUM(I56:I63)</f>
        <v>#REF!</v>
      </c>
      <c r="J64" s="581" t="e">
        <f>SUM(J56:J63)</f>
        <v>#REF!</v>
      </c>
      <c r="K64" s="581" t="e">
        <f>SUM(K56:K63)</f>
        <v>#REF!</v>
      </c>
      <c r="L64" s="582" t="e">
        <f>SUM(H64:K64)</f>
        <v>#REF!</v>
      </c>
      <c r="M64" s="530"/>
      <c r="N64" s="512"/>
      <c r="O64" s="512"/>
      <c r="P64" s="512"/>
      <c r="Q64" s="512"/>
      <c r="R64" s="512"/>
    </row>
    <row r="65" spans="1:18" s="210" customFormat="1" ht="14.5" hidden="1" x14ac:dyDescent="0.35">
      <c r="A65" s="551"/>
      <c r="B65" s="551"/>
      <c r="C65" s="551"/>
      <c r="D65" s="551"/>
      <c r="E65" s="551"/>
      <c r="F65" s="551"/>
      <c r="G65" s="551"/>
      <c r="H65" s="551"/>
      <c r="I65" s="551"/>
      <c r="J65" s="551"/>
      <c r="K65" s="551"/>
      <c r="L65" s="551"/>
      <c r="M65" s="551"/>
      <c r="N65" s="512"/>
      <c r="O65" s="512"/>
      <c r="P65" s="512"/>
      <c r="Q65" s="512"/>
      <c r="R65" s="512"/>
    </row>
    <row r="66" spans="1:18" s="210" customFormat="1" ht="14.5" hidden="1" x14ac:dyDescent="0.35">
      <c r="A66" s="551"/>
      <c r="B66" s="551"/>
      <c r="C66" s="551"/>
      <c r="D66" s="551"/>
      <c r="E66" s="551"/>
      <c r="F66" s="551"/>
      <c r="G66" s="551"/>
      <c r="H66" s="551"/>
      <c r="I66" s="551"/>
      <c r="J66" s="551"/>
      <c r="K66" s="551"/>
      <c r="L66" s="551"/>
      <c r="M66" s="551"/>
      <c r="N66" s="530"/>
      <c r="O66" s="512"/>
      <c r="P66" s="512"/>
      <c r="Q66" s="512"/>
      <c r="R66" s="512"/>
    </row>
    <row r="67" spans="1:18" s="210" customFormat="1" ht="14.5" hidden="1" x14ac:dyDescent="0.35">
      <c r="A67" s="551"/>
      <c r="B67" s="551"/>
      <c r="C67" s="551"/>
      <c r="D67" s="551"/>
      <c r="E67" s="551"/>
      <c r="F67" s="551"/>
      <c r="G67" s="551"/>
      <c r="H67" s="551"/>
      <c r="I67" s="551"/>
      <c r="J67" s="551"/>
      <c r="K67" s="551"/>
      <c r="L67" s="551"/>
      <c r="M67" s="551"/>
      <c r="N67" s="520"/>
      <c r="O67" s="513"/>
      <c r="P67" s="513"/>
      <c r="Q67" s="513"/>
      <c r="R67" s="513"/>
    </row>
    <row r="68" spans="1:18" s="211" customFormat="1" ht="37.5" hidden="1" customHeight="1" x14ac:dyDescent="0.35">
      <c r="A68" s="538"/>
      <c r="B68" s="538"/>
      <c r="C68" s="538"/>
      <c r="D68" s="538"/>
      <c r="E68" s="538"/>
      <c r="F68" s="552" t="s">
        <v>769</v>
      </c>
      <c r="G68" s="553">
        <v>2012</v>
      </c>
      <c r="H68" s="553">
        <v>2013</v>
      </c>
      <c r="I68" s="553">
        <v>2014</v>
      </c>
      <c r="J68" s="553">
        <v>2015</v>
      </c>
      <c r="K68" s="553">
        <v>2016</v>
      </c>
      <c r="L68" s="554" t="s">
        <v>765</v>
      </c>
      <c r="M68" s="538"/>
      <c r="N68" s="520"/>
      <c r="O68" s="513"/>
      <c r="P68" s="513"/>
      <c r="Q68" s="513"/>
      <c r="R68" s="513"/>
    </row>
    <row r="69" spans="1:18" s="166" customFormat="1" ht="39" hidden="1" x14ac:dyDescent="0.35">
      <c r="A69" s="512"/>
      <c r="B69" s="512"/>
      <c r="C69" s="512"/>
      <c r="D69" s="512"/>
      <c r="E69" s="512"/>
      <c r="F69" s="555" t="s">
        <v>767</v>
      </c>
      <c r="G69" s="556"/>
      <c r="H69" s="557" t="e">
        <f>H56/#REF!</f>
        <v>#REF!</v>
      </c>
      <c r="I69" s="557" t="e">
        <f>I56/#REF!</f>
        <v>#REF!</v>
      </c>
      <c r="J69" s="557" t="e">
        <f>J56/#REF!</f>
        <v>#REF!</v>
      </c>
      <c r="K69" s="557" t="e">
        <f>K56/#REF!</f>
        <v>#REF!</v>
      </c>
      <c r="L69" s="558" t="e">
        <f t="shared" ref="L69:L74" si="18">SUM(H69:K69)</f>
        <v>#REF!</v>
      </c>
      <c r="M69" s="559"/>
      <c r="N69" s="551"/>
      <c r="O69" s="551"/>
      <c r="P69" s="551"/>
      <c r="Q69" s="551"/>
      <c r="R69" s="551"/>
    </row>
    <row r="70" spans="1:18" s="166" customFormat="1" ht="26" hidden="1" x14ac:dyDescent="0.35">
      <c r="A70" s="512"/>
      <c r="B70" s="512"/>
      <c r="C70" s="512"/>
      <c r="D70" s="512"/>
      <c r="E70" s="512"/>
      <c r="F70" s="555" t="s">
        <v>768</v>
      </c>
      <c r="G70" s="556"/>
      <c r="H70" s="557" t="e">
        <f>H57/#REF!</f>
        <v>#REF!</v>
      </c>
      <c r="I70" s="557" t="e">
        <f>I57/#REF!</f>
        <v>#REF!</v>
      </c>
      <c r="J70" s="557" t="e">
        <f>J57/#REF!</f>
        <v>#REF!</v>
      </c>
      <c r="K70" s="557" t="e">
        <f>K57/#REF!</f>
        <v>#REF!</v>
      </c>
      <c r="L70" s="558" t="e">
        <f t="shared" si="18"/>
        <v>#REF!</v>
      </c>
      <c r="M70" s="559"/>
      <c r="N70" s="538"/>
      <c r="O70" s="538"/>
      <c r="P70" s="538"/>
      <c r="Q70" s="538"/>
      <c r="R70" s="538"/>
    </row>
    <row r="71" spans="1:18" s="212" customFormat="1" ht="12.75" hidden="1" customHeight="1" x14ac:dyDescent="0.35">
      <c r="A71" s="560"/>
      <c r="B71" s="560"/>
      <c r="C71" s="560"/>
      <c r="D71" s="560"/>
      <c r="E71" s="560"/>
      <c r="F71" s="555" t="s">
        <v>759</v>
      </c>
      <c r="G71" s="561"/>
      <c r="H71" s="557" t="e">
        <f>H58/#REF!</f>
        <v>#REF!</v>
      </c>
      <c r="I71" s="557" t="e">
        <f>I58/#REF!</f>
        <v>#REF!</v>
      </c>
      <c r="J71" s="557" t="e">
        <f>J58/#REF!</f>
        <v>#REF!</v>
      </c>
      <c r="K71" s="557" t="e">
        <f>K58/#REF!</f>
        <v>#VALUE!</v>
      </c>
      <c r="L71" s="562" t="e">
        <f t="shared" si="18"/>
        <v>#REF!</v>
      </c>
      <c r="M71" s="563"/>
      <c r="N71" s="564"/>
      <c r="O71" s="565"/>
      <c r="P71" s="565"/>
      <c r="Q71" s="512"/>
      <c r="R71" s="512"/>
    </row>
    <row r="72" spans="1:18" s="166" customFormat="1" ht="17.25" hidden="1" customHeight="1" x14ac:dyDescent="0.35">
      <c r="A72" s="512"/>
      <c r="B72" s="512"/>
      <c r="C72" s="512"/>
      <c r="D72" s="512"/>
      <c r="E72" s="512"/>
      <c r="F72" s="555" t="s">
        <v>760</v>
      </c>
      <c r="G72" s="566"/>
      <c r="H72" s="557" t="e">
        <f>H59/#REF!</f>
        <v>#REF!</v>
      </c>
      <c r="I72" s="557" t="e">
        <f>I59/#REF!</f>
        <v>#REF!</v>
      </c>
      <c r="J72" s="557" t="e">
        <f>J59/#REF!</f>
        <v>#REF!</v>
      </c>
      <c r="K72" s="557" t="e">
        <f>K59/#REF!</f>
        <v>#REF!</v>
      </c>
      <c r="L72" s="567" t="e">
        <f t="shared" si="18"/>
        <v>#REF!</v>
      </c>
      <c r="M72" s="559"/>
      <c r="N72" s="564"/>
      <c r="O72" s="565"/>
      <c r="P72" s="565"/>
      <c r="Q72" s="512"/>
      <c r="R72" s="512"/>
    </row>
    <row r="73" spans="1:18" s="166" customFormat="1" ht="14.5" hidden="1" x14ac:dyDescent="0.35">
      <c r="A73" s="512"/>
      <c r="B73" s="512"/>
      <c r="C73" s="512"/>
      <c r="D73" s="512"/>
      <c r="E73" s="512"/>
      <c r="F73" s="568"/>
      <c r="G73" s="566"/>
      <c r="H73" s="583"/>
      <c r="I73" s="583"/>
      <c r="J73" s="583"/>
      <c r="K73" s="584"/>
      <c r="L73" s="567">
        <f t="shared" si="18"/>
        <v>0</v>
      </c>
      <c r="M73" s="569"/>
      <c r="N73" s="570"/>
      <c r="O73" s="571"/>
      <c r="P73" s="571"/>
      <c r="Q73" s="560"/>
      <c r="R73" s="560"/>
    </row>
    <row r="74" spans="1:18" s="166" customFormat="1" ht="14.5" hidden="1" x14ac:dyDescent="0.35">
      <c r="A74" s="512"/>
      <c r="B74" s="512"/>
      <c r="C74" s="512"/>
      <c r="D74" s="512"/>
      <c r="E74" s="512"/>
      <c r="F74" s="555"/>
      <c r="G74" s="566"/>
      <c r="H74" s="583"/>
      <c r="I74" s="583"/>
      <c r="J74" s="583"/>
      <c r="K74" s="584"/>
      <c r="L74" s="567">
        <f t="shared" si="18"/>
        <v>0</v>
      </c>
      <c r="M74" s="512"/>
      <c r="N74" s="564"/>
      <c r="O74" s="565"/>
      <c r="P74" s="565"/>
      <c r="Q74" s="512"/>
      <c r="R74" s="512"/>
    </row>
    <row r="75" spans="1:18" s="166" customFormat="1" ht="15" hidden="1" customHeight="1" x14ac:dyDescent="0.35">
      <c r="A75" s="512"/>
      <c r="B75" s="512"/>
      <c r="C75" s="512"/>
      <c r="D75" s="512"/>
      <c r="E75" s="512"/>
      <c r="F75" s="572"/>
      <c r="G75" s="573"/>
      <c r="H75" s="574"/>
      <c r="I75" s="574"/>
      <c r="J75" s="574"/>
      <c r="K75" s="574"/>
      <c r="L75" s="575"/>
      <c r="M75" s="512"/>
      <c r="N75" s="564"/>
      <c r="O75" s="565"/>
      <c r="P75" s="565"/>
      <c r="Q75" s="512"/>
      <c r="R75" s="512"/>
    </row>
    <row r="76" spans="1:18" s="166" customFormat="1" ht="15" hidden="1" thickBot="1" x14ac:dyDescent="0.4">
      <c r="A76" s="512"/>
      <c r="B76" s="512"/>
      <c r="C76" s="512"/>
      <c r="D76" s="512"/>
      <c r="E76" s="512"/>
      <c r="F76" s="576"/>
      <c r="G76" s="573"/>
      <c r="H76" s="577"/>
      <c r="I76" s="577"/>
      <c r="J76" s="577"/>
      <c r="K76" s="577"/>
      <c r="L76" s="578"/>
      <c r="M76" s="512"/>
      <c r="N76" s="565"/>
      <c r="O76" s="565"/>
      <c r="P76" s="565"/>
      <c r="Q76" s="512"/>
      <c r="R76" s="512"/>
    </row>
    <row r="77" spans="1:18" s="166" customFormat="1" ht="15.5" hidden="1" thickTop="1" thickBot="1" x14ac:dyDescent="0.4">
      <c r="A77" s="512"/>
      <c r="B77" s="512"/>
      <c r="C77" s="512"/>
      <c r="D77" s="512"/>
      <c r="E77" s="512"/>
      <c r="F77" s="585" t="s">
        <v>770</v>
      </c>
      <c r="G77" s="580">
        <f>SUM(G69:G76)</f>
        <v>0</v>
      </c>
      <c r="H77" s="581" t="e">
        <f>SUM(H69:H76)</f>
        <v>#REF!</v>
      </c>
      <c r="I77" s="581" t="e">
        <f>SUM(I69:I76)</f>
        <v>#REF!</v>
      </c>
      <c r="J77" s="581" t="e">
        <f>SUM(J69:J76)</f>
        <v>#REF!</v>
      </c>
      <c r="K77" s="581" t="e">
        <f>SUM(K69:K76)</f>
        <v>#REF!</v>
      </c>
      <c r="L77" s="582" t="e">
        <f>SUM(H77:K77)</f>
        <v>#REF!</v>
      </c>
      <c r="M77" s="530"/>
      <c r="N77" s="512"/>
      <c r="O77" s="512"/>
      <c r="P77" s="512"/>
      <c r="Q77" s="512"/>
      <c r="R77" s="512"/>
    </row>
    <row r="78" spans="1:18" s="211" customFormat="1" ht="37.5" hidden="1" customHeight="1" x14ac:dyDescent="0.35">
      <c r="A78" s="538"/>
      <c r="B78" s="538"/>
      <c r="C78" s="538"/>
      <c r="D78" s="538"/>
      <c r="E78" s="538"/>
      <c r="F78" s="552" t="s">
        <v>766</v>
      </c>
      <c r="G78" s="553">
        <v>2012</v>
      </c>
      <c r="H78" s="553">
        <v>2013</v>
      </c>
      <c r="I78" s="553">
        <v>2014</v>
      </c>
      <c r="J78" s="553">
        <v>2015</v>
      </c>
      <c r="K78" s="553">
        <v>2016</v>
      </c>
      <c r="L78" s="554" t="s">
        <v>765</v>
      </c>
      <c r="M78" s="538"/>
      <c r="N78" s="512"/>
      <c r="O78" s="512"/>
      <c r="P78" s="512"/>
      <c r="Q78" s="512"/>
      <c r="R78" s="512"/>
    </row>
    <row r="79" spans="1:18" s="166" customFormat="1" ht="39" hidden="1" x14ac:dyDescent="0.35">
      <c r="A79" s="512"/>
      <c r="B79" s="512"/>
      <c r="C79" s="512"/>
      <c r="D79" s="512"/>
      <c r="E79" s="512"/>
      <c r="F79" s="555" t="s">
        <v>767</v>
      </c>
      <c r="G79" s="556"/>
      <c r="H79" s="557"/>
      <c r="I79" s="557" t="e">
        <f>#REF!/#REF!</f>
        <v>#REF!</v>
      </c>
      <c r="J79" s="557" t="e">
        <f>#REF!/#REF!</f>
        <v>#REF!</v>
      </c>
      <c r="K79" s="557" t="e">
        <f>#REF!/#REF!</f>
        <v>#REF!</v>
      </c>
      <c r="L79" s="558" t="e">
        <f t="shared" ref="L79:L84" si="19">SUM(H79:K79)</f>
        <v>#REF!</v>
      </c>
      <c r="M79" s="559"/>
      <c r="N79" s="530"/>
      <c r="O79" s="512"/>
      <c r="P79" s="512"/>
      <c r="Q79" s="512"/>
      <c r="R79" s="512"/>
    </row>
    <row r="80" spans="1:18" s="166" customFormat="1" ht="26" hidden="1" x14ac:dyDescent="0.35">
      <c r="A80" s="512"/>
      <c r="B80" s="512"/>
      <c r="C80" s="512"/>
      <c r="D80" s="512"/>
      <c r="E80" s="512"/>
      <c r="F80" s="555" t="s">
        <v>768</v>
      </c>
      <c r="G80" s="556"/>
      <c r="H80" s="557" t="e">
        <f>#REF!/#REF!</f>
        <v>#REF!</v>
      </c>
      <c r="I80" s="557" t="e">
        <f>#REF!/#REF!</f>
        <v>#REF!</v>
      </c>
      <c r="J80" s="557" t="e">
        <f>#REF!/#REF!</f>
        <v>#REF!</v>
      </c>
      <c r="K80" s="557" t="e">
        <f>#REF!/#REF!</f>
        <v>#REF!</v>
      </c>
      <c r="L80" s="558" t="e">
        <f t="shared" si="19"/>
        <v>#REF!</v>
      </c>
      <c r="M80" s="559"/>
      <c r="N80" s="538"/>
      <c r="O80" s="538"/>
      <c r="P80" s="538"/>
      <c r="Q80" s="538"/>
      <c r="R80" s="538"/>
    </row>
    <row r="81" spans="1:18" s="212" customFormat="1" ht="12.75" hidden="1" customHeight="1" x14ac:dyDescent="0.35">
      <c r="A81" s="560"/>
      <c r="B81" s="560"/>
      <c r="C81" s="560"/>
      <c r="D81" s="560"/>
      <c r="E81" s="560"/>
      <c r="F81" s="555" t="s">
        <v>759</v>
      </c>
      <c r="G81" s="561"/>
      <c r="H81" s="557" t="e">
        <f>#REF!/#REF!</f>
        <v>#REF!</v>
      </c>
      <c r="I81" s="557" t="e">
        <f>#REF!/#REF!</f>
        <v>#REF!</v>
      </c>
      <c r="J81" s="557" t="e">
        <f>#REF!/#REF!</f>
        <v>#REF!</v>
      </c>
      <c r="K81" s="557" t="e">
        <f>#REF!/#REF!</f>
        <v>#REF!</v>
      </c>
      <c r="L81" s="562" t="e">
        <f t="shared" si="19"/>
        <v>#REF!</v>
      </c>
      <c r="M81" s="563"/>
      <c r="N81" s="564"/>
      <c r="O81" s="565"/>
      <c r="P81" s="565"/>
      <c r="Q81" s="512"/>
      <c r="R81" s="512"/>
    </row>
    <row r="82" spans="1:18" s="166" customFormat="1" ht="17.25" hidden="1" customHeight="1" x14ac:dyDescent="0.35">
      <c r="A82" s="512"/>
      <c r="B82" s="512"/>
      <c r="C82" s="512"/>
      <c r="D82" s="512"/>
      <c r="E82" s="512"/>
      <c r="F82" s="555" t="s">
        <v>760</v>
      </c>
      <c r="G82" s="566"/>
      <c r="H82" s="557" t="e">
        <f>#REF!/#REF!</f>
        <v>#REF!</v>
      </c>
      <c r="I82" s="557" t="e">
        <f>#REF!/#REF!</f>
        <v>#REF!</v>
      </c>
      <c r="J82" s="557" t="e">
        <f>#REF!/#REF!</f>
        <v>#REF!</v>
      </c>
      <c r="K82" s="557" t="e">
        <f>#REF!/#REF!</f>
        <v>#REF!</v>
      </c>
      <c r="L82" s="567" t="e">
        <f t="shared" si="19"/>
        <v>#REF!</v>
      </c>
      <c r="M82" s="559"/>
      <c r="N82" s="564"/>
      <c r="O82" s="565"/>
      <c r="P82" s="565"/>
      <c r="Q82" s="512"/>
      <c r="R82" s="512"/>
    </row>
    <row r="83" spans="1:18" s="166" customFormat="1" ht="14.5" hidden="1" x14ac:dyDescent="0.35">
      <c r="A83" s="512"/>
      <c r="B83" s="512"/>
      <c r="C83" s="512"/>
      <c r="D83" s="512"/>
      <c r="E83" s="512"/>
      <c r="F83" s="568"/>
      <c r="G83" s="566"/>
      <c r="H83" s="557"/>
      <c r="I83" s="557"/>
      <c r="J83" s="557"/>
      <c r="K83" s="557"/>
      <c r="L83" s="567">
        <f t="shared" si="19"/>
        <v>0</v>
      </c>
      <c r="M83" s="569"/>
      <c r="N83" s="570"/>
      <c r="O83" s="571"/>
      <c r="P83" s="571"/>
      <c r="Q83" s="560"/>
      <c r="R83" s="560"/>
    </row>
    <row r="84" spans="1:18" s="166" customFormat="1" ht="14.5" hidden="1" x14ac:dyDescent="0.35">
      <c r="A84" s="512"/>
      <c r="B84" s="512"/>
      <c r="C84" s="512"/>
      <c r="D84" s="512"/>
      <c r="E84" s="512"/>
      <c r="F84" s="555"/>
      <c r="G84" s="566"/>
      <c r="H84" s="557"/>
      <c r="I84" s="557"/>
      <c r="J84" s="557"/>
      <c r="K84" s="557"/>
      <c r="L84" s="567">
        <f t="shared" si="19"/>
        <v>0</v>
      </c>
      <c r="M84" s="512"/>
      <c r="N84" s="564"/>
      <c r="O84" s="565"/>
      <c r="P84" s="565"/>
      <c r="Q84" s="512"/>
      <c r="R84" s="512"/>
    </row>
    <row r="85" spans="1:18" s="166" customFormat="1" ht="15" hidden="1" customHeight="1" x14ac:dyDescent="0.35">
      <c r="A85" s="512"/>
      <c r="B85" s="512"/>
      <c r="C85" s="512"/>
      <c r="D85" s="512"/>
      <c r="E85" s="512"/>
      <c r="F85" s="572"/>
      <c r="G85" s="573"/>
      <c r="H85" s="574"/>
      <c r="I85" s="574"/>
      <c r="J85" s="574"/>
      <c r="K85" s="574"/>
      <c r="L85" s="575"/>
      <c r="M85" s="512"/>
      <c r="N85" s="564"/>
      <c r="O85" s="565"/>
      <c r="P85" s="565"/>
      <c r="Q85" s="512"/>
      <c r="R85" s="512"/>
    </row>
    <row r="86" spans="1:18" s="166" customFormat="1" ht="15" hidden="1" thickBot="1" x14ac:dyDescent="0.4">
      <c r="A86" s="512"/>
      <c r="B86" s="512"/>
      <c r="C86" s="512"/>
      <c r="D86" s="512"/>
      <c r="E86" s="512"/>
      <c r="F86" s="576"/>
      <c r="G86" s="573"/>
      <c r="H86" s="577"/>
      <c r="I86" s="577"/>
      <c r="J86" s="577"/>
      <c r="K86" s="577"/>
      <c r="L86" s="578"/>
      <c r="M86" s="512"/>
      <c r="N86" s="565"/>
      <c r="O86" s="565"/>
      <c r="P86" s="565"/>
      <c r="Q86" s="512"/>
      <c r="R86" s="512"/>
    </row>
    <row r="87" spans="1:18" s="166" customFormat="1" ht="15.5" hidden="1" thickTop="1" thickBot="1" x14ac:dyDescent="0.4">
      <c r="A87" s="512"/>
      <c r="B87" s="512"/>
      <c r="C87" s="512"/>
      <c r="D87" s="512"/>
      <c r="E87" s="512"/>
      <c r="F87" s="579" t="s">
        <v>127</v>
      </c>
      <c r="G87" s="580">
        <f>SUM(G79:G86)</f>
        <v>0</v>
      </c>
      <c r="H87" s="581" t="e">
        <f>SUM(H79:H86)</f>
        <v>#REF!</v>
      </c>
      <c r="I87" s="581" t="e">
        <f>SUM(I79:I86)</f>
        <v>#REF!</v>
      </c>
      <c r="J87" s="581" t="e">
        <f>SUM(J79:J86)</f>
        <v>#REF!</v>
      </c>
      <c r="K87" s="581" t="e">
        <f>SUM(K79:K86)</f>
        <v>#REF!</v>
      </c>
      <c r="L87" s="582" t="e">
        <f>SUM(H87:K87)</f>
        <v>#REF!</v>
      </c>
      <c r="M87" s="530"/>
      <c r="N87" s="512"/>
      <c r="O87" s="512"/>
      <c r="P87" s="512"/>
      <c r="Q87" s="512"/>
      <c r="R87" s="512"/>
    </row>
    <row r="88" spans="1:18" s="166" customFormat="1" ht="14.5" hidden="1" x14ac:dyDescent="0.35">
      <c r="A88" s="512"/>
      <c r="B88" s="512"/>
      <c r="C88" s="512"/>
      <c r="D88" s="512"/>
      <c r="E88" s="512"/>
      <c r="F88" s="512"/>
      <c r="G88" s="512"/>
      <c r="H88" s="512"/>
      <c r="I88" s="512"/>
      <c r="J88" s="512"/>
      <c r="K88" s="512"/>
      <c r="L88" s="512"/>
      <c r="M88" s="512"/>
      <c r="N88" s="512"/>
      <c r="O88" s="512"/>
      <c r="P88" s="512"/>
      <c r="Q88" s="512"/>
      <c r="R88" s="512"/>
    </row>
    <row r="89" spans="1:18" s="218" customFormat="1" ht="18" customHeight="1" x14ac:dyDescent="0.35">
      <c r="A89" s="587"/>
      <c r="B89" s="587"/>
      <c r="C89" s="587"/>
      <c r="D89" s="587"/>
      <c r="E89" s="587"/>
      <c r="F89" s="587"/>
      <c r="G89" s="587"/>
      <c r="H89" s="587"/>
      <c r="I89" s="587"/>
      <c r="J89" s="587"/>
      <c r="K89" s="587"/>
      <c r="L89" s="587"/>
      <c r="M89" s="587"/>
      <c r="N89" s="587"/>
      <c r="O89" s="587"/>
      <c r="P89" s="587"/>
      <c r="Q89" s="587"/>
      <c r="R89" s="587"/>
    </row>
    <row r="90" spans="1:18" s="218" customFormat="1" ht="18" customHeight="1" x14ac:dyDescent="0.35">
      <c r="A90" s="587"/>
      <c r="B90" s="587"/>
      <c r="C90" s="587"/>
      <c r="D90" s="658"/>
      <c r="E90" s="651"/>
      <c r="F90" s="651"/>
      <c r="G90" s="651"/>
      <c r="H90" s="651"/>
      <c r="I90" s="651"/>
      <c r="J90" s="651"/>
      <c r="K90" s="651"/>
      <c r="L90" s="587"/>
      <c r="M90" s="587"/>
      <c r="N90" s="587"/>
      <c r="O90" s="587"/>
      <c r="P90" s="587"/>
      <c r="Q90" s="587"/>
      <c r="R90" s="587"/>
    </row>
    <row r="91" spans="1:18" s="218" customFormat="1" ht="18" customHeight="1" x14ac:dyDescent="0.35">
      <c r="A91" s="587"/>
      <c r="B91" s="587"/>
      <c r="C91" s="587"/>
      <c r="D91" s="658"/>
      <c r="E91" s="651"/>
      <c r="F91" s="651"/>
      <c r="G91" s="651"/>
      <c r="H91" s="651"/>
      <c r="I91" s="651"/>
      <c r="J91" s="651"/>
      <c r="K91" s="651"/>
      <c r="L91" s="587"/>
      <c r="M91" s="587"/>
      <c r="N91" s="587"/>
      <c r="O91" s="587"/>
      <c r="P91" s="587"/>
      <c r="Q91" s="587"/>
      <c r="R91" s="587"/>
    </row>
    <row r="92" spans="1:18" s="218" customFormat="1" ht="18" customHeight="1" x14ac:dyDescent="0.35">
      <c r="A92" s="587"/>
      <c r="B92" s="587"/>
      <c r="C92" s="587"/>
      <c r="D92" s="651"/>
      <c r="E92" s="651"/>
      <c r="F92" s="651"/>
      <c r="G92" s="651"/>
      <c r="H92" s="651"/>
      <c r="I92" s="651"/>
      <c r="J92" s="651"/>
      <c r="K92" s="651"/>
      <c r="L92" s="587"/>
      <c r="M92" s="587"/>
      <c r="N92" s="587"/>
      <c r="O92" s="587"/>
      <c r="P92" s="587"/>
      <c r="Q92" s="587"/>
      <c r="R92" s="587"/>
    </row>
    <row r="93" spans="1:18" s="218" customFormat="1" ht="14.5" x14ac:dyDescent="0.35">
      <c r="A93" s="587"/>
      <c r="B93" s="587"/>
      <c r="C93" s="587"/>
      <c r="D93" s="651"/>
      <c r="E93" s="651"/>
      <c r="F93" s="651"/>
      <c r="G93" s="651"/>
      <c r="H93" s="651"/>
      <c r="I93" s="651"/>
      <c r="J93" s="651"/>
      <c r="K93" s="651"/>
      <c r="L93" s="587"/>
      <c r="M93" s="587"/>
      <c r="N93" s="587"/>
      <c r="O93" s="587"/>
      <c r="P93" s="587"/>
      <c r="Q93" s="587"/>
      <c r="R93" s="587"/>
    </row>
    <row r="94" spans="1:18" x14ac:dyDescent="0.3">
      <c r="A94" s="651"/>
      <c r="B94" s="651"/>
      <c r="C94" s="651"/>
      <c r="D94" s="651"/>
      <c r="E94" s="651"/>
      <c r="F94" s="651"/>
      <c r="G94" s="651"/>
      <c r="H94" s="651"/>
      <c r="I94" s="651"/>
      <c r="J94" s="651"/>
      <c r="K94" s="651"/>
      <c r="L94" s="651"/>
      <c r="M94" s="651"/>
      <c r="N94" s="651"/>
      <c r="O94" s="651"/>
      <c r="P94" s="651"/>
      <c r="Q94" s="651"/>
      <c r="R94" s="651"/>
    </row>
    <row r="95" spans="1:18" x14ac:dyDescent="0.3">
      <c r="A95" s="651"/>
      <c r="B95" s="651"/>
      <c r="C95" s="651"/>
      <c r="D95" s="651"/>
      <c r="E95" s="651"/>
      <c r="F95" s="651"/>
      <c r="G95" s="651"/>
      <c r="H95" s="651"/>
      <c r="I95" s="651"/>
      <c r="J95" s="651"/>
      <c r="K95" s="651"/>
      <c r="L95" s="651"/>
      <c r="M95" s="651"/>
      <c r="N95" s="651"/>
      <c r="O95" s="651"/>
      <c r="P95" s="651"/>
      <c r="Q95" s="651"/>
      <c r="R95" s="651"/>
    </row>
    <row r="96" spans="1:18" x14ac:dyDescent="0.3">
      <c r="A96" s="651"/>
      <c r="B96" s="651"/>
      <c r="C96" s="651"/>
      <c r="D96" s="651"/>
      <c r="E96" s="651"/>
      <c r="F96" s="651"/>
      <c r="G96" s="651"/>
      <c r="H96" s="651"/>
      <c r="I96" s="651"/>
      <c r="J96" s="651"/>
      <c r="K96" s="651"/>
      <c r="L96" s="651"/>
      <c r="M96" s="651"/>
      <c r="N96" s="651"/>
      <c r="O96" s="651"/>
      <c r="P96" s="651"/>
      <c r="Q96" s="651"/>
      <c r="R96" s="651"/>
    </row>
    <row r="97" spans="1:18" x14ac:dyDescent="0.3">
      <c r="A97" s="651"/>
      <c r="B97" s="651"/>
      <c r="C97" s="651"/>
      <c r="D97" s="651"/>
      <c r="E97" s="651"/>
      <c r="F97" s="651"/>
      <c r="G97" s="651"/>
      <c r="H97" s="651"/>
      <c r="I97" s="651"/>
      <c r="J97" s="651"/>
      <c r="K97" s="651"/>
      <c r="L97" s="651"/>
      <c r="M97" s="651"/>
      <c r="N97" s="651"/>
      <c r="O97" s="651"/>
      <c r="P97" s="651"/>
      <c r="Q97" s="651"/>
      <c r="R97" s="651"/>
    </row>
    <row r="98" spans="1:18" x14ac:dyDescent="0.3">
      <c r="A98" s="651"/>
      <c r="B98" s="651"/>
      <c r="C98" s="651"/>
      <c r="D98" s="651"/>
      <c r="E98" s="651"/>
      <c r="F98" s="651"/>
      <c r="G98" s="651"/>
      <c r="H98" s="651"/>
      <c r="I98" s="651"/>
      <c r="J98" s="651"/>
      <c r="K98" s="651"/>
      <c r="L98" s="651"/>
      <c r="M98" s="651"/>
      <c r="N98" s="651"/>
      <c r="O98" s="651"/>
      <c r="P98" s="651"/>
      <c r="Q98" s="651"/>
      <c r="R98" s="651"/>
    </row>
    <row r="99" spans="1:18" x14ac:dyDescent="0.3">
      <c r="A99" s="651"/>
      <c r="B99" s="651"/>
      <c r="C99" s="651"/>
      <c r="D99" s="651"/>
      <c r="E99" s="651"/>
      <c r="F99" s="651"/>
      <c r="G99" s="651"/>
      <c r="H99" s="651"/>
      <c r="I99" s="651"/>
      <c r="J99" s="651"/>
      <c r="K99" s="651"/>
      <c r="L99" s="651"/>
      <c r="M99" s="651"/>
      <c r="N99" s="651"/>
      <c r="O99" s="651"/>
      <c r="P99" s="651"/>
      <c r="Q99" s="651"/>
      <c r="R99" s="651"/>
    </row>
    <row r="100" spans="1:18" x14ac:dyDescent="0.3">
      <c r="A100" s="651"/>
      <c r="B100" s="651"/>
      <c r="C100" s="651"/>
      <c r="D100" s="651"/>
      <c r="E100" s="651"/>
      <c r="F100" s="651"/>
      <c r="G100" s="651"/>
      <c r="H100" s="651"/>
      <c r="I100" s="651"/>
      <c r="J100" s="651"/>
      <c r="K100" s="651"/>
      <c r="L100" s="651"/>
      <c r="M100" s="651"/>
      <c r="N100" s="651"/>
      <c r="O100" s="651"/>
      <c r="P100" s="651"/>
      <c r="Q100" s="651"/>
      <c r="R100" s="651"/>
    </row>
    <row r="101" spans="1:18" x14ac:dyDescent="0.3">
      <c r="A101" s="651"/>
      <c r="B101" s="651"/>
      <c r="C101" s="651"/>
      <c r="D101" s="651"/>
      <c r="E101" s="651"/>
      <c r="F101" s="651"/>
      <c r="G101" s="651"/>
      <c r="H101" s="651"/>
      <c r="I101" s="651"/>
      <c r="J101" s="651"/>
      <c r="K101" s="651"/>
      <c r="L101" s="651"/>
      <c r="M101" s="651"/>
      <c r="N101" s="651"/>
      <c r="O101" s="651"/>
      <c r="P101" s="651"/>
      <c r="Q101" s="651"/>
      <c r="R101" s="651"/>
    </row>
    <row r="102" spans="1:18" x14ac:dyDescent="0.3">
      <c r="A102" s="651"/>
      <c r="B102" s="651"/>
      <c r="C102" s="651"/>
      <c r="D102" s="651"/>
      <c r="E102" s="651"/>
      <c r="F102" s="651"/>
      <c r="G102" s="651"/>
      <c r="H102" s="651"/>
      <c r="I102" s="651"/>
      <c r="J102" s="651"/>
      <c r="K102" s="651"/>
      <c r="L102" s="651"/>
      <c r="M102" s="651"/>
      <c r="N102" s="651"/>
      <c r="O102" s="651"/>
      <c r="P102" s="651"/>
      <c r="Q102" s="651"/>
      <c r="R102" s="651"/>
    </row>
    <row r="103" spans="1:18" x14ac:dyDescent="0.3">
      <c r="A103" s="651"/>
      <c r="B103" s="651"/>
      <c r="C103" s="651"/>
      <c r="D103" s="651"/>
      <c r="E103" s="651"/>
      <c r="F103" s="651"/>
      <c r="G103" s="651"/>
      <c r="H103" s="651"/>
      <c r="I103" s="651"/>
      <c r="J103" s="651"/>
      <c r="K103" s="651"/>
      <c r="L103" s="651"/>
      <c r="M103" s="651"/>
      <c r="N103" s="651"/>
      <c r="O103" s="651"/>
      <c r="P103" s="651"/>
      <c r="Q103" s="651"/>
      <c r="R103" s="651"/>
    </row>
    <row r="104" spans="1:18" x14ac:dyDescent="0.3">
      <c r="A104" s="651"/>
      <c r="B104" s="651"/>
      <c r="C104" s="651"/>
      <c r="D104" s="651"/>
      <c r="E104" s="651"/>
      <c r="F104" s="651"/>
      <c r="G104" s="651"/>
      <c r="H104" s="651"/>
      <c r="I104" s="651"/>
      <c r="J104" s="651"/>
      <c r="K104" s="651"/>
      <c r="L104" s="651"/>
      <c r="M104" s="651"/>
      <c r="N104" s="651"/>
      <c r="O104" s="651"/>
      <c r="P104" s="651"/>
      <c r="Q104" s="651"/>
      <c r="R104" s="651"/>
    </row>
    <row r="105" spans="1:18" x14ac:dyDescent="0.3">
      <c r="A105" s="651"/>
      <c r="B105" s="651"/>
      <c r="C105" s="651"/>
      <c r="D105" s="651"/>
      <c r="E105" s="651"/>
      <c r="F105" s="651"/>
      <c r="G105" s="651"/>
      <c r="H105" s="651"/>
      <c r="I105" s="651"/>
      <c r="J105" s="651"/>
      <c r="K105" s="651"/>
      <c r="L105" s="651"/>
      <c r="M105" s="651"/>
      <c r="N105" s="651"/>
      <c r="O105" s="651"/>
      <c r="P105" s="651"/>
      <c r="Q105" s="651"/>
      <c r="R105" s="651"/>
    </row>
    <row r="106" spans="1:18" x14ac:dyDescent="0.3">
      <c r="A106" s="651"/>
      <c r="B106" s="651"/>
      <c r="C106" s="651"/>
      <c r="D106" s="651"/>
      <c r="E106" s="651"/>
      <c r="F106" s="651"/>
      <c r="G106" s="651"/>
      <c r="H106" s="651"/>
      <c r="I106" s="651"/>
      <c r="J106" s="651"/>
      <c r="K106" s="651"/>
      <c r="L106" s="651"/>
      <c r="M106" s="651"/>
      <c r="N106" s="651"/>
      <c r="O106" s="651"/>
      <c r="P106" s="651"/>
      <c r="Q106" s="651"/>
      <c r="R106" s="651"/>
    </row>
    <row r="107" spans="1:18" x14ac:dyDescent="0.3">
      <c r="A107" s="651"/>
      <c r="B107" s="651"/>
      <c r="C107" s="651"/>
      <c r="D107" s="651"/>
      <c r="E107" s="651"/>
      <c r="F107" s="651"/>
      <c r="G107" s="651"/>
      <c r="H107" s="651"/>
      <c r="I107" s="651"/>
      <c r="J107" s="651"/>
      <c r="K107" s="651"/>
      <c r="L107" s="651"/>
      <c r="M107" s="651"/>
      <c r="N107" s="651"/>
      <c r="O107" s="651"/>
      <c r="P107" s="651"/>
      <c r="Q107" s="651"/>
      <c r="R107" s="651"/>
    </row>
    <row r="108" spans="1:18" x14ac:dyDescent="0.3">
      <c r="A108" s="651"/>
      <c r="B108" s="651"/>
      <c r="C108" s="651"/>
      <c r="D108" s="651"/>
      <c r="E108" s="651"/>
      <c r="F108" s="651"/>
      <c r="G108" s="651"/>
      <c r="H108" s="651"/>
      <c r="I108" s="651"/>
      <c r="J108" s="651"/>
      <c r="K108" s="651"/>
      <c r="L108" s="651"/>
      <c r="M108" s="651"/>
      <c r="N108" s="651"/>
      <c r="O108" s="651"/>
      <c r="P108" s="651"/>
      <c r="Q108" s="651"/>
      <c r="R108" s="651"/>
    </row>
    <row r="109" spans="1:18" x14ac:dyDescent="0.3">
      <c r="A109" s="651"/>
      <c r="B109" s="651"/>
      <c r="C109" s="651"/>
      <c r="D109" s="651"/>
      <c r="E109" s="651"/>
      <c r="F109" s="651"/>
      <c r="G109" s="651"/>
      <c r="H109" s="651"/>
      <c r="I109" s="651"/>
      <c r="J109" s="651"/>
      <c r="K109" s="651"/>
      <c r="L109" s="651"/>
      <c r="M109" s="651"/>
      <c r="N109" s="651"/>
      <c r="O109" s="651"/>
      <c r="P109" s="651"/>
      <c r="Q109" s="651"/>
      <c r="R109" s="651"/>
    </row>
    <row r="110" spans="1:18" x14ac:dyDescent="0.3">
      <c r="A110" s="651"/>
      <c r="B110" s="651"/>
      <c r="C110" s="651"/>
      <c r="D110" s="651"/>
      <c r="E110" s="651"/>
      <c r="F110" s="651"/>
      <c r="G110" s="651"/>
      <c r="H110" s="651"/>
      <c r="I110" s="651"/>
      <c r="J110" s="651"/>
      <c r="K110" s="651"/>
      <c r="L110" s="651"/>
      <c r="M110" s="651"/>
      <c r="N110" s="651"/>
      <c r="O110" s="651"/>
      <c r="P110" s="651"/>
      <c r="Q110" s="651"/>
      <c r="R110" s="651"/>
    </row>
    <row r="111" spans="1:18" x14ac:dyDescent="0.3">
      <c r="A111" s="651"/>
      <c r="B111" s="651"/>
      <c r="C111" s="651"/>
      <c r="D111" s="651"/>
      <c r="E111" s="651"/>
      <c r="F111" s="651"/>
      <c r="G111" s="651"/>
      <c r="H111" s="651"/>
      <c r="I111" s="651"/>
      <c r="J111" s="651"/>
      <c r="K111" s="651"/>
      <c r="L111" s="651"/>
      <c r="M111" s="651"/>
      <c r="N111" s="651"/>
      <c r="O111" s="651"/>
      <c r="P111" s="651"/>
      <c r="Q111" s="651"/>
      <c r="R111" s="651"/>
    </row>
    <row r="113" spans="1:18" s="210" customFormat="1" ht="15" thickBot="1" x14ac:dyDescent="0.4">
      <c r="D113" s="116"/>
      <c r="E113" s="116"/>
      <c r="F113" s="116"/>
      <c r="G113" s="116"/>
      <c r="H113" s="116"/>
      <c r="I113" s="116"/>
      <c r="J113" s="116"/>
      <c r="K113" s="116"/>
    </row>
    <row r="114" spans="1:18" s="210" customFormat="1" ht="15" hidden="1" thickBot="1" x14ac:dyDescent="0.4">
      <c r="A114" s="551"/>
      <c r="B114" s="551"/>
      <c r="C114" s="551"/>
      <c r="D114" s="551"/>
      <c r="E114" s="551"/>
      <c r="F114" s="551"/>
      <c r="G114" s="551"/>
      <c r="H114" s="551"/>
      <c r="I114" s="551"/>
      <c r="J114" s="551"/>
      <c r="K114" s="551"/>
      <c r="L114" s="551"/>
      <c r="M114" s="551"/>
      <c r="N114" s="551"/>
      <c r="O114" s="551"/>
      <c r="P114" s="551"/>
      <c r="Q114" s="551"/>
      <c r="R114" s="512"/>
    </row>
    <row r="115" spans="1:18" s="211" customFormat="1" ht="37.5" hidden="1" customHeight="1" x14ac:dyDescent="0.35">
      <c r="A115" s="538"/>
      <c r="B115" s="538"/>
      <c r="C115" s="538"/>
      <c r="D115" s="538"/>
      <c r="E115" s="538"/>
      <c r="F115" s="552" t="s">
        <v>766</v>
      </c>
      <c r="G115" s="553">
        <v>2012</v>
      </c>
      <c r="H115" s="553">
        <v>2013</v>
      </c>
      <c r="I115" s="553">
        <v>2014</v>
      </c>
      <c r="J115" s="553">
        <v>2015</v>
      </c>
      <c r="K115" s="553">
        <v>2016</v>
      </c>
      <c r="L115" s="554" t="s">
        <v>765</v>
      </c>
      <c r="M115" s="538"/>
      <c r="N115" s="538"/>
      <c r="O115" s="538"/>
      <c r="P115" s="538"/>
      <c r="Q115" s="538"/>
      <c r="R115" s="512"/>
    </row>
    <row r="116" spans="1:18" s="166" customFormat="1" ht="39.5" hidden="1" thickBot="1" x14ac:dyDescent="0.4">
      <c r="A116" s="512"/>
      <c r="B116" s="512"/>
      <c r="C116" s="512"/>
      <c r="D116" s="512"/>
      <c r="E116" s="512"/>
      <c r="F116" s="555" t="s">
        <v>767</v>
      </c>
      <c r="G116" s="556"/>
      <c r="H116" s="557" t="e">
        <f>#REF!/#REF!</f>
        <v>#REF!</v>
      </c>
      <c r="I116" s="557" t="e">
        <f>#REF!/#REF!</f>
        <v>#REF!</v>
      </c>
      <c r="J116" s="557" t="e">
        <f>#REF!/#REF!</f>
        <v>#REF!</v>
      </c>
      <c r="K116" s="557" t="e">
        <f>#REF!/#REF!</f>
        <v>#REF!</v>
      </c>
      <c r="L116" s="558" t="e">
        <f t="shared" ref="L116:L121" si="20">SUM(H116:K116)</f>
        <v>#REF!</v>
      </c>
      <c r="M116" s="559"/>
      <c r="N116" s="551"/>
      <c r="O116" s="551"/>
      <c r="P116" s="551"/>
      <c r="Q116" s="551"/>
      <c r="R116" s="551"/>
    </row>
    <row r="117" spans="1:18" s="166" customFormat="1" ht="26.5" hidden="1" thickBot="1" x14ac:dyDescent="0.4">
      <c r="A117" s="512"/>
      <c r="B117" s="512"/>
      <c r="C117" s="512"/>
      <c r="D117" s="512"/>
      <c r="E117" s="512"/>
      <c r="F117" s="555" t="s">
        <v>768</v>
      </c>
      <c r="G117" s="556"/>
      <c r="H117" s="557" t="e">
        <f>#REF!/#REF!</f>
        <v>#REF!</v>
      </c>
      <c r="I117" s="557" t="e">
        <f>#REF!/#REF!</f>
        <v>#REF!</v>
      </c>
      <c r="J117" s="557" t="e">
        <f>#REF!/#REF!</f>
        <v>#REF!</v>
      </c>
      <c r="K117" s="557" t="e">
        <f>#REF!/#REF!</f>
        <v>#REF!</v>
      </c>
      <c r="L117" s="558" t="e">
        <f t="shared" si="20"/>
        <v>#REF!</v>
      </c>
      <c r="M117" s="559"/>
      <c r="N117" s="538"/>
      <c r="O117" s="538"/>
      <c r="P117" s="538"/>
      <c r="Q117" s="538"/>
      <c r="R117" s="538"/>
    </row>
    <row r="118" spans="1:18" s="212" customFormat="1" ht="12.75" hidden="1" customHeight="1" x14ac:dyDescent="0.35">
      <c r="A118" s="560"/>
      <c r="B118" s="560"/>
      <c r="C118" s="560"/>
      <c r="D118" s="560"/>
      <c r="E118" s="560"/>
      <c r="F118" s="555" t="s">
        <v>759</v>
      </c>
      <c r="G118" s="561"/>
      <c r="H118" s="557" t="e">
        <f>#REF!/#REF!</f>
        <v>#REF!</v>
      </c>
      <c r="I118" s="557" t="e">
        <f>#REF!/#REF!</f>
        <v>#REF!</v>
      </c>
      <c r="J118" s="557" t="e">
        <f>#REF!/#REF!</f>
        <v>#REF!</v>
      </c>
      <c r="K118" s="557" t="e">
        <f>#REF!/#REF!</f>
        <v>#REF!</v>
      </c>
      <c r="L118" s="562" t="e">
        <f t="shared" si="20"/>
        <v>#REF!</v>
      </c>
      <c r="M118" s="563"/>
      <c r="N118" s="564"/>
      <c r="O118" s="565"/>
      <c r="P118" s="565"/>
      <c r="Q118" s="512"/>
      <c r="R118" s="512"/>
    </row>
    <row r="119" spans="1:18" s="166" customFormat="1" ht="17.25" hidden="1" customHeight="1" x14ac:dyDescent="0.35">
      <c r="A119" s="512"/>
      <c r="B119" s="512"/>
      <c r="C119" s="512"/>
      <c r="D119" s="512"/>
      <c r="E119" s="512"/>
      <c r="F119" s="555" t="s">
        <v>760</v>
      </c>
      <c r="G119" s="566"/>
      <c r="H119" s="557" t="e">
        <f>#REF!/#REF!</f>
        <v>#REF!</v>
      </c>
      <c r="I119" s="557" t="e">
        <f>#REF!/#REF!</f>
        <v>#REF!</v>
      </c>
      <c r="J119" s="557" t="e">
        <f>#REF!/#REF!</f>
        <v>#REF!</v>
      </c>
      <c r="K119" s="557" t="e">
        <f>#REF!/#REF!</f>
        <v>#REF!</v>
      </c>
      <c r="L119" s="567" t="e">
        <f t="shared" si="20"/>
        <v>#REF!</v>
      </c>
      <c r="M119" s="559"/>
      <c r="N119" s="564"/>
      <c r="O119" s="565"/>
      <c r="P119" s="565"/>
      <c r="Q119" s="512"/>
      <c r="R119" s="512"/>
    </row>
    <row r="120" spans="1:18" s="166" customFormat="1" ht="15" hidden="1" thickBot="1" x14ac:dyDescent="0.4">
      <c r="A120" s="512"/>
      <c r="B120" s="512"/>
      <c r="C120" s="512"/>
      <c r="D120" s="512"/>
      <c r="E120" s="512"/>
      <c r="F120" s="568"/>
      <c r="G120" s="566"/>
      <c r="H120" s="557"/>
      <c r="I120" s="557"/>
      <c r="J120" s="557"/>
      <c r="K120" s="557"/>
      <c r="L120" s="567">
        <f t="shared" si="20"/>
        <v>0</v>
      </c>
      <c r="M120" s="569"/>
      <c r="N120" s="570"/>
      <c r="O120" s="571"/>
      <c r="P120" s="571"/>
      <c r="Q120" s="560"/>
      <c r="R120" s="560"/>
    </row>
    <row r="121" spans="1:18" s="166" customFormat="1" ht="15" hidden="1" thickBot="1" x14ac:dyDescent="0.4">
      <c r="A121" s="512"/>
      <c r="B121" s="512"/>
      <c r="C121" s="512"/>
      <c r="D121" s="512"/>
      <c r="E121" s="512"/>
      <c r="F121" s="555"/>
      <c r="G121" s="566"/>
      <c r="H121" s="557"/>
      <c r="I121" s="557"/>
      <c r="J121" s="557"/>
      <c r="K121" s="557"/>
      <c r="L121" s="567">
        <f t="shared" si="20"/>
        <v>0</v>
      </c>
      <c r="M121" s="512"/>
      <c r="N121" s="564"/>
      <c r="O121" s="565"/>
      <c r="P121" s="565"/>
      <c r="Q121" s="512"/>
      <c r="R121" s="512"/>
    </row>
    <row r="122" spans="1:18" s="166" customFormat="1" ht="15" hidden="1" customHeight="1" x14ac:dyDescent="0.35">
      <c r="A122" s="512"/>
      <c r="B122" s="512"/>
      <c r="C122" s="512"/>
      <c r="D122" s="512"/>
      <c r="E122" s="512"/>
      <c r="F122" s="572"/>
      <c r="G122" s="573"/>
      <c r="H122" s="574"/>
      <c r="I122" s="574"/>
      <c r="J122" s="574"/>
      <c r="K122" s="574"/>
      <c r="L122" s="575"/>
      <c r="M122" s="512"/>
      <c r="N122" s="564"/>
      <c r="O122" s="565"/>
      <c r="P122" s="565"/>
      <c r="Q122" s="512"/>
      <c r="R122" s="512"/>
    </row>
    <row r="123" spans="1:18" s="166" customFormat="1" ht="15" hidden="1" thickBot="1" x14ac:dyDescent="0.4">
      <c r="A123" s="512"/>
      <c r="B123" s="512"/>
      <c r="C123" s="512"/>
      <c r="D123" s="512"/>
      <c r="E123" s="512"/>
      <c r="F123" s="576"/>
      <c r="G123" s="573"/>
      <c r="H123" s="577"/>
      <c r="I123" s="577"/>
      <c r="J123" s="577"/>
      <c r="K123" s="577"/>
      <c r="L123" s="578"/>
      <c r="M123" s="512"/>
      <c r="N123" s="565"/>
      <c r="O123" s="565"/>
      <c r="P123" s="565"/>
      <c r="Q123" s="512"/>
      <c r="R123" s="512"/>
    </row>
    <row r="124" spans="1:18" s="166" customFormat="1" ht="15.5" hidden="1" thickTop="1" thickBot="1" x14ac:dyDescent="0.4">
      <c r="A124" s="512"/>
      <c r="B124" s="512"/>
      <c r="C124" s="512"/>
      <c r="D124" s="512"/>
      <c r="E124" s="512"/>
      <c r="F124" s="579" t="s">
        <v>127</v>
      </c>
      <c r="G124" s="580">
        <f>SUM(G116:G123)</f>
        <v>0</v>
      </c>
      <c r="H124" s="581" t="e">
        <f>SUM(H116:H123)</f>
        <v>#REF!</v>
      </c>
      <c r="I124" s="581" t="e">
        <f>SUM(I116:I123)</f>
        <v>#REF!</v>
      </c>
      <c r="J124" s="581" t="e">
        <f>SUM(J116:J123)</f>
        <v>#REF!</v>
      </c>
      <c r="K124" s="581" t="e">
        <f>SUM(K116:K123)</f>
        <v>#REF!</v>
      </c>
      <c r="L124" s="582" t="e">
        <f>SUM(H124:K124)</f>
        <v>#REF!</v>
      </c>
      <c r="M124" s="530"/>
      <c r="N124" s="512"/>
      <c r="O124" s="512"/>
      <c r="P124" s="512"/>
      <c r="Q124" s="512"/>
      <c r="R124" s="512"/>
    </row>
    <row r="125" spans="1:18" s="210" customFormat="1" ht="15" hidden="1" thickBot="1" x14ac:dyDescent="0.4">
      <c r="A125" s="551"/>
      <c r="B125" s="551"/>
      <c r="C125" s="551"/>
      <c r="D125" s="551"/>
      <c r="E125" s="551"/>
      <c r="F125" s="551"/>
      <c r="G125" s="551"/>
      <c r="H125" s="551"/>
      <c r="I125" s="551"/>
      <c r="J125" s="551"/>
      <c r="K125" s="551"/>
      <c r="L125" s="551"/>
      <c r="M125" s="551"/>
      <c r="N125" s="512"/>
      <c r="O125" s="512"/>
      <c r="P125" s="512"/>
      <c r="Q125" s="512"/>
      <c r="R125" s="512"/>
    </row>
    <row r="126" spans="1:18" s="210" customFormat="1" ht="15" hidden="1" thickBot="1" x14ac:dyDescent="0.4">
      <c r="A126" s="551"/>
      <c r="B126" s="551"/>
      <c r="C126" s="551"/>
      <c r="D126" s="551"/>
      <c r="E126" s="551"/>
      <c r="F126" s="551"/>
      <c r="G126" s="551"/>
      <c r="H126" s="551"/>
      <c r="I126" s="551"/>
      <c r="J126" s="551"/>
      <c r="K126" s="551"/>
      <c r="L126" s="551"/>
      <c r="M126" s="551"/>
      <c r="N126" s="530"/>
      <c r="O126" s="512"/>
      <c r="P126" s="512"/>
      <c r="Q126" s="512"/>
      <c r="R126" s="512"/>
    </row>
    <row r="127" spans="1:18" s="210" customFormat="1" ht="15" hidden="1" thickBot="1" x14ac:dyDescent="0.4">
      <c r="A127" s="551"/>
      <c r="B127" s="551"/>
      <c r="C127" s="551"/>
      <c r="D127" s="551"/>
      <c r="E127" s="551"/>
      <c r="F127" s="551"/>
      <c r="G127" s="551"/>
      <c r="H127" s="551"/>
      <c r="I127" s="551"/>
      <c r="J127" s="551"/>
      <c r="K127" s="551"/>
      <c r="L127" s="551"/>
      <c r="M127" s="551"/>
      <c r="N127" s="520"/>
      <c r="O127" s="513"/>
      <c r="P127" s="513"/>
      <c r="Q127" s="513"/>
      <c r="R127" s="513"/>
    </row>
    <row r="128" spans="1:18" s="211" customFormat="1" ht="37.5" hidden="1" customHeight="1" x14ac:dyDescent="0.35">
      <c r="A128" s="538"/>
      <c r="B128" s="538"/>
      <c r="C128" s="538"/>
      <c r="D128" s="538"/>
      <c r="E128" s="538"/>
      <c r="F128" s="552" t="s">
        <v>769</v>
      </c>
      <c r="G128" s="553">
        <v>2012</v>
      </c>
      <c r="H128" s="553">
        <v>2013</v>
      </c>
      <c r="I128" s="553">
        <v>2014</v>
      </c>
      <c r="J128" s="553">
        <v>2015</v>
      </c>
      <c r="K128" s="553">
        <v>2016</v>
      </c>
      <c r="L128" s="554" t="s">
        <v>765</v>
      </c>
      <c r="M128" s="538"/>
      <c r="N128" s="520"/>
      <c r="O128" s="513"/>
      <c r="P128" s="513"/>
      <c r="Q128" s="513"/>
      <c r="R128" s="513"/>
    </row>
    <row r="129" spans="1:18" s="166" customFormat="1" ht="39.5" hidden="1" thickBot="1" x14ac:dyDescent="0.4">
      <c r="A129" s="512"/>
      <c r="B129" s="512"/>
      <c r="C129" s="512"/>
      <c r="D129" s="512"/>
      <c r="E129" s="512"/>
      <c r="F129" s="555" t="s">
        <v>767</v>
      </c>
      <c r="G129" s="556"/>
      <c r="H129" s="557" t="e">
        <f>H116/#REF!</f>
        <v>#REF!</v>
      </c>
      <c r="I129" s="557" t="e">
        <f>I116/#REF!</f>
        <v>#REF!</v>
      </c>
      <c r="J129" s="557" t="e">
        <f>J116/#REF!</f>
        <v>#REF!</v>
      </c>
      <c r="K129" s="557" t="e">
        <f>K116/#REF!</f>
        <v>#REF!</v>
      </c>
      <c r="L129" s="558" t="e">
        <f t="shared" ref="L129:L134" si="21">SUM(H129:K129)</f>
        <v>#REF!</v>
      </c>
      <c r="M129" s="559"/>
      <c r="N129" s="551"/>
      <c r="O129" s="551"/>
      <c r="P129" s="551"/>
      <c r="Q129" s="551"/>
      <c r="R129" s="551"/>
    </row>
    <row r="130" spans="1:18" s="166" customFormat="1" ht="26.5" hidden="1" thickBot="1" x14ac:dyDescent="0.4">
      <c r="A130" s="512"/>
      <c r="B130" s="512"/>
      <c r="C130" s="512"/>
      <c r="D130" s="512"/>
      <c r="E130" s="512"/>
      <c r="F130" s="555" t="s">
        <v>768</v>
      </c>
      <c r="G130" s="556"/>
      <c r="H130" s="557" t="e">
        <f>H117/#REF!</f>
        <v>#REF!</v>
      </c>
      <c r="I130" s="557" t="e">
        <f>I117/#REF!</f>
        <v>#REF!</v>
      </c>
      <c r="J130" s="557" t="e">
        <f>J117/#REF!</f>
        <v>#REF!</v>
      </c>
      <c r="K130" s="557" t="e">
        <f>K117/#REF!</f>
        <v>#REF!</v>
      </c>
      <c r="L130" s="558" t="e">
        <f t="shared" si="21"/>
        <v>#REF!</v>
      </c>
      <c r="M130" s="559"/>
      <c r="N130" s="538"/>
      <c r="O130" s="538"/>
      <c r="P130" s="538"/>
      <c r="Q130" s="538"/>
      <c r="R130" s="538"/>
    </row>
    <row r="131" spans="1:18" s="212" customFormat="1" ht="12.75" hidden="1" customHeight="1" x14ac:dyDescent="0.35">
      <c r="A131" s="560"/>
      <c r="B131" s="560"/>
      <c r="C131" s="560"/>
      <c r="D131" s="560"/>
      <c r="E131" s="560"/>
      <c r="F131" s="555" t="s">
        <v>759</v>
      </c>
      <c r="G131" s="561"/>
      <c r="H131" s="557" t="e">
        <f>H118/#REF!</f>
        <v>#REF!</v>
      </c>
      <c r="I131" s="557" t="e">
        <f>I118/#REF!</f>
        <v>#REF!</v>
      </c>
      <c r="J131" s="557" t="e">
        <f>J118/#REF!</f>
        <v>#REF!</v>
      </c>
      <c r="K131" s="557" t="e">
        <f>K118/#REF!</f>
        <v>#REF!</v>
      </c>
      <c r="L131" s="562" t="e">
        <f t="shared" si="21"/>
        <v>#REF!</v>
      </c>
      <c r="M131" s="563"/>
      <c r="N131" s="564"/>
      <c r="O131" s="565"/>
      <c r="P131" s="565"/>
      <c r="Q131" s="512"/>
      <c r="R131" s="512"/>
    </row>
    <row r="132" spans="1:18" s="166" customFormat="1" ht="17.25" hidden="1" customHeight="1" x14ac:dyDescent="0.35">
      <c r="A132" s="512"/>
      <c r="B132" s="512"/>
      <c r="C132" s="512"/>
      <c r="D132" s="512"/>
      <c r="E132" s="512"/>
      <c r="F132" s="555" t="s">
        <v>760</v>
      </c>
      <c r="G132" s="566"/>
      <c r="H132" s="557" t="e">
        <f>H119/#REF!</f>
        <v>#REF!</v>
      </c>
      <c r="I132" s="557" t="e">
        <f>I119/#REF!</f>
        <v>#REF!</v>
      </c>
      <c r="J132" s="557" t="e">
        <f>J119/#REF!</f>
        <v>#REF!</v>
      </c>
      <c r="K132" s="557" t="e">
        <f>K119/#REF!</f>
        <v>#REF!</v>
      </c>
      <c r="L132" s="567" t="e">
        <f t="shared" si="21"/>
        <v>#REF!</v>
      </c>
      <c r="M132" s="559"/>
      <c r="N132" s="564"/>
      <c r="O132" s="565"/>
      <c r="P132" s="565"/>
      <c r="Q132" s="512"/>
      <c r="R132" s="512"/>
    </row>
    <row r="133" spans="1:18" s="166" customFormat="1" ht="15" hidden="1" thickBot="1" x14ac:dyDescent="0.4">
      <c r="A133" s="512"/>
      <c r="B133" s="512"/>
      <c r="C133" s="512"/>
      <c r="D133" s="512"/>
      <c r="E133" s="512"/>
      <c r="F133" s="568"/>
      <c r="G133" s="566"/>
      <c r="H133" s="583"/>
      <c r="I133" s="583"/>
      <c r="J133" s="583"/>
      <c r="K133" s="584"/>
      <c r="L133" s="567">
        <f t="shared" si="21"/>
        <v>0</v>
      </c>
      <c r="M133" s="569"/>
      <c r="N133" s="570"/>
      <c r="O133" s="571"/>
      <c r="P133" s="571"/>
      <c r="Q133" s="560"/>
      <c r="R133" s="560"/>
    </row>
    <row r="134" spans="1:18" s="166" customFormat="1" ht="15" hidden="1" thickBot="1" x14ac:dyDescent="0.4">
      <c r="A134" s="512"/>
      <c r="B134" s="512"/>
      <c r="C134" s="512"/>
      <c r="D134" s="512"/>
      <c r="E134" s="512"/>
      <c r="F134" s="555"/>
      <c r="G134" s="566"/>
      <c r="H134" s="583"/>
      <c r="I134" s="583"/>
      <c r="J134" s="583"/>
      <c r="K134" s="584"/>
      <c r="L134" s="567">
        <f t="shared" si="21"/>
        <v>0</v>
      </c>
      <c r="M134" s="512"/>
      <c r="N134" s="564"/>
      <c r="O134" s="565"/>
      <c r="P134" s="565"/>
      <c r="Q134" s="512"/>
      <c r="R134" s="512"/>
    </row>
    <row r="135" spans="1:18" s="166" customFormat="1" ht="15" hidden="1" customHeight="1" x14ac:dyDescent="0.35">
      <c r="A135" s="512"/>
      <c r="B135" s="512"/>
      <c r="C135" s="512"/>
      <c r="D135" s="512"/>
      <c r="E135" s="512"/>
      <c r="F135" s="572"/>
      <c r="G135" s="573"/>
      <c r="H135" s="574"/>
      <c r="I135" s="574"/>
      <c r="J135" s="574"/>
      <c r="K135" s="574"/>
      <c r="L135" s="575"/>
      <c r="M135" s="512"/>
      <c r="N135" s="564"/>
      <c r="O135" s="565"/>
      <c r="P135" s="565"/>
      <c r="Q135" s="512"/>
      <c r="R135" s="512"/>
    </row>
    <row r="136" spans="1:18" s="166" customFormat="1" ht="15" hidden="1" thickBot="1" x14ac:dyDescent="0.4">
      <c r="A136" s="512"/>
      <c r="B136" s="512"/>
      <c r="C136" s="512"/>
      <c r="D136" s="512"/>
      <c r="E136" s="512"/>
      <c r="F136" s="576"/>
      <c r="G136" s="573"/>
      <c r="H136" s="577"/>
      <c r="I136" s="577"/>
      <c r="J136" s="577"/>
      <c r="K136" s="577"/>
      <c r="L136" s="578"/>
      <c r="M136" s="512"/>
      <c r="N136" s="565"/>
      <c r="O136" s="565"/>
      <c r="P136" s="565"/>
      <c r="Q136" s="512"/>
      <c r="R136" s="512"/>
    </row>
    <row r="137" spans="1:18" s="166" customFormat="1" ht="15.5" hidden="1" thickTop="1" thickBot="1" x14ac:dyDescent="0.4">
      <c r="A137" s="512"/>
      <c r="B137" s="512"/>
      <c r="C137" s="512"/>
      <c r="D137" s="512"/>
      <c r="E137" s="512"/>
      <c r="F137" s="585" t="s">
        <v>770</v>
      </c>
      <c r="G137" s="580">
        <f>SUM(G129:G136)</f>
        <v>0</v>
      </c>
      <c r="H137" s="581" t="e">
        <f>SUM(H129:H136)</f>
        <v>#REF!</v>
      </c>
      <c r="I137" s="581" t="e">
        <f>SUM(I129:I136)</f>
        <v>#REF!</v>
      </c>
      <c r="J137" s="581" t="e">
        <f>SUM(J129:J136)</f>
        <v>#REF!</v>
      </c>
      <c r="K137" s="581" t="e">
        <f>SUM(K129:K136)</f>
        <v>#REF!</v>
      </c>
      <c r="L137" s="582" t="e">
        <f>SUM(H137:K137)</f>
        <v>#REF!</v>
      </c>
      <c r="M137" s="530"/>
      <c r="N137" s="512"/>
      <c r="O137" s="512"/>
      <c r="P137" s="512"/>
      <c r="Q137" s="512"/>
      <c r="R137" s="512"/>
    </row>
    <row r="138" spans="1:18" s="211" customFormat="1" ht="37.5" hidden="1" customHeight="1" x14ac:dyDescent="0.35">
      <c r="A138" s="538"/>
      <c r="B138" s="538"/>
      <c r="C138" s="538"/>
      <c r="D138" s="538"/>
      <c r="E138" s="538"/>
      <c r="F138" s="552" t="s">
        <v>766</v>
      </c>
      <c r="G138" s="553">
        <v>2012</v>
      </c>
      <c r="H138" s="553">
        <v>2013</v>
      </c>
      <c r="I138" s="553">
        <v>2014</v>
      </c>
      <c r="J138" s="553">
        <v>2015</v>
      </c>
      <c r="K138" s="553">
        <v>2016</v>
      </c>
      <c r="L138" s="554" t="s">
        <v>765</v>
      </c>
      <c r="M138" s="538"/>
      <c r="N138" s="512"/>
      <c r="O138" s="512"/>
      <c r="P138" s="512"/>
      <c r="Q138" s="512"/>
      <c r="R138" s="512"/>
    </row>
    <row r="139" spans="1:18" s="166" customFormat="1" ht="39.5" hidden="1" thickBot="1" x14ac:dyDescent="0.4">
      <c r="A139" s="512"/>
      <c r="B139" s="512"/>
      <c r="C139" s="512"/>
      <c r="D139" s="512"/>
      <c r="E139" s="512"/>
      <c r="F139" s="555" t="s">
        <v>767</v>
      </c>
      <c r="G139" s="556"/>
      <c r="H139" s="557"/>
      <c r="I139" s="557" t="e">
        <f>#REF!/#REF!</f>
        <v>#REF!</v>
      </c>
      <c r="J139" s="557" t="e">
        <f>#REF!/#REF!</f>
        <v>#REF!</v>
      </c>
      <c r="K139" s="557" t="e">
        <f>#REF!/#REF!</f>
        <v>#REF!</v>
      </c>
      <c r="L139" s="558" t="e">
        <f t="shared" ref="L139:L144" si="22">SUM(H139:K139)</f>
        <v>#REF!</v>
      </c>
      <c r="M139" s="559"/>
      <c r="N139" s="530"/>
      <c r="O139" s="512"/>
      <c r="P139" s="512"/>
      <c r="Q139" s="512"/>
      <c r="R139" s="512"/>
    </row>
    <row r="140" spans="1:18" s="166" customFormat="1" ht="26.5" hidden="1" thickBot="1" x14ac:dyDescent="0.4">
      <c r="A140" s="512"/>
      <c r="B140" s="512"/>
      <c r="C140" s="512"/>
      <c r="D140" s="512"/>
      <c r="E140" s="512"/>
      <c r="F140" s="555" t="s">
        <v>768</v>
      </c>
      <c r="G140" s="556"/>
      <c r="H140" s="557" t="e">
        <f>#REF!/#REF!</f>
        <v>#REF!</v>
      </c>
      <c r="I140" s="557" t="e">
        <f>#REF!/#REF!</f>
        <v>#REF!</v>
      </c>
      <c r="J140" s="557" t="e">
        <f>#REF!/#REF!</f>
        <v>#REF!</v>
      </c>
      <c r="K140" s="557" t="e">
        <f>#REF!/#REF!</f>
        <v>#REF!</v>
      </c>
      <c r="L140" s="558" t="e">
        <f t="shared" si="22"/>
        <v>#REF!</v>
      </c>
      <c r="M140" s="559"/>
      <c r="N140" s="538"/>
      <c r="O140" s="538"/>
      <c r="P140" s="538"/>
      <c r="Q140" s="538"/>
      <c r="R140" s="538"/>
    </row>
    <row r="141" spans="1:18" s="212" customFormat="1" ht="12.75" hidden="1" customHeight="1" x14ac:dyDescent="0.35">
      <c r="A141" s="560"/>
      <c r="B141" s="560"/>
      <c r="C141" s="560"/>
      <c r="D141" s="560"/>
      <c r="E141" s="560"/>
      <c r="F141" s="555" t="s">
        <v>759</v>
      </c>
      <c r="G141" s="561"/>
      <c r="H141" s="557" t="e">
        <f>#REF!/#REF!</f>
        <v>#REF!</v>
      </c>
      <c r="I141" s="557" t="e">
        <f>#REF!/#REF!</f>
        <v>#REF!</v>
      </c>
      <c r="J141" s="557" t="e">
        <f>#REF!/#REF!</f>
        <v>#REF!</v>
      </c>
      <c r="K141" s="557" t="e">
        <f>#REF!/#REF!</f>
        <v>#REF!</v>
      </c>
      <c r="L141" s="562" t="e">
        <f t="shared" si="22"/>
        <v>#REF!</v>
      </c>
      <c r="M141" s="563"/>
      <c r="N141" s="564"/>
      <c r="O141" s="565"/>
      <c r="P141" s="565"/>
      <c r="Q141" s="512"/>
      <c r="R141" s="512"/>
    </row>
    <row r="142" spans="1:18" s="166" customFormat="1" ht="17.25" hidden="1" customHeight="1" x14ac:dyDescent="0.35">
      <c r="A142" s="512"/>
      <c r="B142" s="512"/>
      <c r="C142" s="512"/>
      <c r="D142" s="512"/>
      <c r="E142" s="512"/>
      <c r="F142" s="555" t="s">
        <v>760</v>
      </c>
      <c r="G142" s="566"/>
      <c r="H142" s="557" t="e">
        <f>#REF!/#REF!</f>
        <v>#REF!</v>
      </c>
      <c r="I142" s="557" t="e">
        <f>#REF!/#REF!</f>
        <v>#REF!</v>
      </c>
      <c r="J142" s="557" t="e">
        <f>#REF!/#REF!</f>
        <v>#REF!</v>
      </c>
      <c r="K142" s="557" t="e">
        <f>#REF!/#REF!</f>
        <v>#REF!</v>
      </c>
      <c r="L142" s="567" t="e">
        <f t="shared" si="22"/>
        <v>#REF!</v>
      </c>
      <c r="M142" s="559"/>
      <c r="N142" s="564"/>
      <c r="O142" s="565"/>
      <c r="P142" s="565"/>
      <c r="Q142" s="512"/>
      <c r="R142" s="512"/>
    </row>
    <row r="143" spans="1:18" s="166" customFormat="1" ht="15" hidden="1" thickBot="1" x14ac:dyDescent="0.4">
      <c r="A143" s="512"/>
      <c r="B143" s="512"/>
      <c r="C143" s="512"/>
      <c r="D143" s="512"/>
      <c r="E143" s="512"/>
      <c r="F143" s="568"/>
      <c r="G143" s="566"/>
      <c r="H143" s="557"/>
      <c r="I143" s="557"/>
      <c r="J143" s="557"/>
      <c r="K143" s="557"/>
      <c r="L143" s="567">
        <f t="shared" si="22"/>
        <v>0</v>
      </c>
      <c r="M143" s="569"/>
      <c r="N143" s="570"/>
      <c r="O143" s="571"/>
      <c r="P143" s="571"/>
      <c r="Q143" s="560"/>
      <c r="R143" s="560"/>
    </row>
    <row r="144" spans="1:18" s="166" customFormat="1" ht="15" hidden="1" thickBot="1" x14ac:dyDescent="0.4">
      <c r="A144" s="512"/>
      <c r="B144" s="512"/>
      <c r="C144" s="512"/>
      <c r="D144" s="512"/>
      <c r="E144" s="512"/>
      <c r="F144" s="555"/>
      <c r="G144" s="566"/>
      <c r="H144" s="557"/>
      <c r="I144" s="557"/>
      <c r="J144" s="557"/>
      <c r="K144" s="557"/>
      <c r="L144" s="567">
        <f t="shared" si="22"/>
        <v>0</v>
      </c>
      <c r="M144" s="512"/>
      <c r="N144" s="564"/>
      <c r="O144" s="565"/>
      <c r="P144" s="565"/>
      <c r="Q144" s="512"/>
      <c r="R144" s="512"/>
    </row>
    <row r="145" spans="1:21" s="166" customFormat="1" ht="15" hidden="1" customHeight="1" x14ac:dyDescent="0.35">
      <c r="A145" s="512"/>
      <c r="B145" s="512"/>
      <c r="C145" s="512"/>
      <c r="D145" s="512"/>
      <c r="E145" s="512"/>
      <c r="F145" s="572"/>
      <c r="G145" s="573"/>
      <c r="H145" s="574"/>
      <c r="I145" s="574"/>
      <c r="J145" s="574"/>
      <c r="K145" s="574"/>
      <c r="L145" s="575"/>
      <c r="M145" s="512"/>
      <c r="N145" s="564"/>
      <c r="O145" s="565"/>
      <c r="P145" s="565"/>
      <c r="Q145" s="512"/>
      <c r="R145" s="512"/>
    </row>
    <row r="146" spans="1:21" s="166" customFormat="1" ht="15" hidden="1" thickBot="1" x14ac:dyDescent="0.4">
      <c r="A146" s="512"/>
      <c r="B146" s="512"/>
      <c r="C146" s="512"/>
      <c r="D146" s="512"/>
      <c r="E146" s="512"/>
      <c r="F146" s="576"/>
      <c r="G146" s="573"/>
      <c r="H146" s="577"/>
      <c r="I146" s="577"/>
      <c r="J146" s="577"/>
      <c r="K146" s="577"/>
      <c r="L146" s="578"/>
      <c r="M146" s="512"/>
      <c r="N146" s="565"/>
      <c r="O146" s="565"/>
      <c r="P146" s="565"/>
      <c r="Q146" s="512"/>
      <c r="R146" s="512"/>
    </row>
    <row r="147" spans="1:21" s="166" customFormat="1" ht="15.5" hidden="1" thickTop="1" thickBot="1" x14ac:dyDescent="0.4">
      <c r="A147" s="512"/>
      <c r="B147" s="512"/>
      <c r="C147" s="512"/>
      <c r="D147" s="512"/>
      <c r="E147" s="512"/>
      <c r="F147" s="579" t="s">
        <v>127</v>
      </c>
      <c r="G147" s="580">
        <f>SUM(G139:G146)</f>
        <v>0</v>
      </c>
      <c r="H147" s="581" t="e">
        <f>SUM(H139:H146)</f>
        <v>#REF!</v>
      </c>
      <c r="I147" s="581" t="e">
        <f>SUM(I139:I146)</f>
        <v>#REF!</v>
      </c>
      <c r="J147" s="581" t="e">
        <f>SUM(J139:J146)</f>
        <v>#REF!</v>
      </c>
      <c r="K147" s="581" t="e">
        <f>SUM(K139:K146)</f>
        <v>#REF!</v>
      </c>
      <c r="L147" s="582" t="e">
        <f>SUM(H147:K147)</f>
        <v>#REF!</v>
      </c>
      <c r="M147" s="530"/>
      <c r="N147" s="512"/>
      <c r="O147" s="512"/>
      <c r="P147" s="512"/>
      <c r="Q147" s="512"/>
      <c r="R147" s="512"/>
    </row>
    <row r="148" spans="1:21" s="166" customFormat="1" ht="15" hidden="1" thickBot="1" x14ac:dyDescent="0.4">
      <c r="A148" s="512"/>
      <c r="B148" s="512"/>
      <c r="C148" s="512"/>
      <c r="D148" s="512"/>
      <c r="E148" s="512"/>
      <c r="F148" s="512"/>
      <c r="G148" s="512"/>
      <c r="H148" s="512"/>
      <c r="I148" s="512"/>
      <c r="J148" s="512"/>
      <c r="K148" s="512"/>
      <c r="L148" s="512"/>
      <c r="M148" s="512"/>
      <c r="N148" s="512"/>
      <c r="O148" s="512"/>
      <c r="P148" s="512"/>
      <c r="Q148" s="512"/>
      <c r="R148" s="512"/>
    </row>
    <row r="149" spans="1:21" s="60" customFormat="1" ht="20.25" customHeight="1" thickTop="1" thickBot="1" x14ac:dyDescent="0.4">
      <c r="A149" s="5712" t="s">
        <v>10</v>
      </c>
      <c r="B149" s="5719"/>
      <c r="C149" s="5719"/>
      <c r="D149" s="5719"/>
      <c r="E149" s="5719"/>
      <c r="F149" s="5719"/>
      <c r="G149" s="5719"/>
      <c r="H149" s="5719"/>
      <c r="I149" s="5719"/>
      <c r="J149" s="5719"/>
      <c r="K149" s="5720"/>
      <c r="L149" s="34"/>
      <c r="M149" s="3725" t="s">
        <v>748</v>
      </c>
      <c r="N149" s="3726"/>
      <c r="O149" s="3727"/>
      <c r="P149" s="34"/>
      <c r="Q149" s="64"/>
      <c r="R149" s="64"/>
      <c r="S149" s="64"/>
      <c r="T149" s="64"/>
      <c r="U149" s="64"/>
    </row>
    <row r="150" spans="1:21" s="60" customFormat="1" ht="20.25" customHeight="1" x14ac:dyDescent="0.35">
      <c r="A150" s="5060" t="s">
        <v>1453</v>
      </c>
      <c r="B150" s="5061"/>
      <c r="C150" s="5061"/>
      <c r="D150" s="5061"/>
      <c r="E150" s="5061"/>
      <c r="F150" s="5061"/>
      <c r="G150" s="5061"/>
      <c r="H150" s="5061"/>
      <c r="I150" s="5061"/>
      <c r="J150" s="5061"/>
      <c r="K150" s="5062"/>
      <c r="L150" s="35"/>
      <c r="M150" s="3750" t="s">
        <v>1452</v>
      </c>
      <c r="N150" s="3751"/>
      <c r="O150" s="3752"/>
      <c r="P150" s="35"/>
      <c r="Q150" s="64"/>
      <c r="R150" s="64"/>
      <c r="S150" s="64"/>
      <c r="T150" s="64"/>
      <c r="U150" s="64"/>
    </row>
    <row r="151" spans="1:21" s="60" customFormat="1" ht="20.25" customHeight="1" x14ac:dyDescent="0.35">
      <c r="A151" s="5060"/>
      <c r="B151" s="5061"/>
      <c r="C151" s="5061"/>
      <c r="D151" s="5061"/>
      <c r="E151" s="5061"/>
      <c r="F151" s="5061"/>
      <c r="G151" s="5061"/>
      <c r="H151" s="5061"/>
      <c r="I151" s="5061"/>
      <c r="J151" s="5061"/>
      <c r="K151" s="5062"/>
      <c r="L151" s="35"/>
      <c r="M151" s="3753"/>
      <c r="N151" s="3754"/>
      <c r="O151" s="3755"/>
      <c r="P151" s="35"/>
      <c r="Q151" s="64"/>
      <c r="R151" s="64"/>
      <c r="S151" s="64"/>
      <c r="T151" s="64"/>
      <c r="U151" s="64"/>
    </row>
    <row r="152" spans="1:21" s="60" customFormat="1" ht="20.25" customHeight="1" x14ac:dyDescent="0.35">
      <c r="A152" s="5060"/>
      <c r="B152" s="5061"/>
      <c r="C152" s="5061"/>
      <c r="D152" s="5061"/>
      <c r="E152" s="5061"/>
      <c r="F152" s="5061"/>
      <c r="G152" s="5061"/>
      <c r="H152" s="5061"/>
      <c r="I152" s="5061"/>
      <c r="J152" s="5061"/>
      <c r="K152" s="5062"/>
      <c r="L152" s="35"/>
      <c r="M152" s="3753"/>
      <c r="N152" s="3754"/>
      <c r="O152" s="3755"/>
      <c r="P152" s="35"/>
      <c r="Q152" s="64"/>
      <c r="R152" s="64"/>
      <c r="S152" s="64"/>
      <c r="T152" s="64"/>
      <c r="U152" s="64"/>
    </row>
    <row r="153" spans="1:21" s="60" customFormat="1" ht="20.25" customHeight="1" x14ac:dyDescent="0.35">
      <c r="A153" s="5060"/>
      <c r="B153" s="5061"/>
      <c r="C153" s="5061"/>
      <c r="D153" s="5061"/>
      <c r="E153" s="5061"/>
      <c r="F153" s="5061"/>
      <c r="G153" s="5061"/>
      <c r="H153" s="5061"/>
      <c r="I153" s="5061"/>
      <c r="J153" s="5061"/>
      <c r="K153" s="5062"/>
      <c r="L153" s="35"/>
      <c r="M153" s="3753"/>
      <c r="N153" s="3754"/>
      <c r="O153" s="3755"/>
      <c r="P153" s="35"/>
      <c r="Q153" s="64"/>
      <c r="R153" s="64"/>
      <c r="S153" s="64"/>
      <c r="T153" s="64"/>
      <c r="U153" s="64"/>
    </row>
    <row r="154" spans="1:21" s="60" customFormat="1" ht="20.25" customHeight="1" thickBot="1" x14ac:dyDescent="0.4">
      <c r="A154" s="5063"/>
      <c r="B154" s="5064"/>
      <c r="C154" s="5064"/>
      <c r="D154" s="5064"/>
      <c r="E154" s="5064"/>
      <c r="F154" s="5064"/>
      <c r="G154" s="5064"/>
      <c r="H154" s="5064"/>
      <c r="I154" s="5064"/>
      <c r="J154" s="5064"/>
      <c r="K154" s="5065"/>
      <c r="L154" s="35"/>
      <c r="M154" s="5334"/>
      <c r="N154" s="5468"/>
      <c r="O154" s="5469"/>
      <c r="P154" s="35"/>
      <c r="Q154" s="64"/>
      <c r="R154" s="64"/>
      <c r="S154" s="64"/>
      <c r="T154" s="64"/>
      <c r="U154" s="64"/>
    </row>
    <row r="155" spans="1:21" s="60" customFormat="1" ht="20.25" customHeight="1" thickTop="1" thickBot="1" x14ac:dyDescent="0.4">
      <c r="A155" s="64"/>
      <c r="B155" s="64"/>
      <c r="C155" s="64"/>
      <c r="D155" s="64"/>
      <c r="E155" s="64"/>
      <c r="F155" s="64"/>
      <c r="G155" s="64"/>
      <c r="H155" s="64"/>
      <c r="I155" s="64"/>
      <c r="J155" s="64"/>
      <c r="K155" s="64"/>
      <c r="L155" s="64"/>
      <c r="M155" s="475"/>
      <c r="N155" s="475"/>
      <c r="O155" s="475"/>
      <c r="P155" s="64"/>
      <c r="Q155" s="64"/>
      <c r="R155" s="64"/>
      <c r="S155" s="64"/>
      <c r="T155" s="64"/>
      <c r="U155" s="64"/>
    </row>
    <row r="156" spans="1:21" s="60" customFormat="1" ht="20.25" customHeight="1" thickTop="1" thickBot="1" x14ac:dyDescent="0.4">
      <c r="A156" s="5712" t="s">
        <v>11</v>
      </c>
      <c r="B156" s="5713"/>
      <c r="C156" s="5713"/>
      <c r="D156" s="5713"/>
      <c r="E156" s="5713"/>
      <c r="F156" s="5713"/>
      <c r="G156" s="5713"/>
      <c r="H156" s="5713"/>
      <c r="I156" s="5713"/>
      <c r="J156" s="5713"/>
      <c r="K156" s="5714"/>
      <c r="L156" s="34"/>
      <c r="M156" s="476"/>
      <c r="N156" s="476"/>
      <c r="O156" s="476"/>
      <c r="P156" s="34"/>
      <c r="Q156" s="64"/>
      <c r="R156" s="64"/>
      <c r="S156" s="64"/>
      <c r="T156" s="64"/>
      <c r="U156" s="64"/>
    </row>
    <row r="157" spans="1:21" s="60" customFormat="1" ht="20.25" customHeight="1" thickBot="1" x14ac:dyDescent="0.4">
      <c r="A157" s="5060" t="s">
        <v>1454</v>
      </c>
      <c r="B157" s="5061"/>
      <c r="C157" s="5061"/>
      <c r="D157" s="5061"/>
      <c r="E157" s="5061"/>
      <c r="F157" s="5061"/>
      <c r="G157" s="5061"/>
      <c r="H157" s="5061"/>
      <c r="I157" s="5061"/>
      <c r="J157" s="5061"/>
      <c r="K157" s="5062"/>
      <c r="L157" s="35"/>
      <c r="M157" s="3725" t="s">
        <v>748</v>
      </c>
      <c r="N157" s="3726"/>
      <c r="O157" s="3727"/>
      <c r="P157" s="35"/>
      <c r="Q157" s="64"/>
      <c r="R157" s="64"/>
      <c r="S157" s="64"/>
      <c r="T157" s="64"/>
      <c r="U157" s="64"/>
    </row>
    <row r="158" spans="1:21" s="60" customFormat="1" ht="20.25" customHeight="1" x14ac:dyDescent="0.35">
      <c r="A158" s="5060"/>
      <c r="B158" s="5061"/>
      <c r="C158" s="5061"/>
      <c r="D158" s="5061"/>
      <c r="E158" s="5061"/>
      <c r="F158" s="5061"/>
      <c r="G158" s="5061"/>
      <c r="H158" s="5061"/>
      <c r="I158" s="5061"/>
      <c r="J158" s="5061"/>
      <c r="K158" s="5062"/>
      <c r="L158" s="35"/>
      <c r="M158" s="3750" t="s">
        <v>1451</v>
      </c>
      <c r="N158" s="3751"/>
      <c r="O158" s="3752"/>
      <c r="P158" s="35"/>
      <c r="Q158" s="64"/>
      <c r="R158" s="64"/>
      <c r="S158" s="64"/>
      <c r="T158" s="64"/>
      <c r="U158" s="64"/>
    </row>
    <row r="159" spans="1:21" s="60" customFormat="1" ht="20.25" customHeight="1" x14ac:dyDescent="0.35">
      <c r="A159" s="5060"/>
      <c r="B159" s="5061"/>
      <c r="C159" s="5061"/>
      <c r="D159" s="5061"/>
      <c r="E159" s="5061"/>
      <c r="F159" s="5061"/>
      <c r="G159" s="5061"/>
      <c r="H159" s="5061"/>
      <c r="I159" s="5061"/>
      <c r="J159" s="5061"/>
      <c r="K159" s="5062"/>
      <c r="L159" s="35"/>
      <c r="M159" s="3753"/>
      <c r="N159" s="3754"/>
      <c r="O159" s="3755"/>
      <c r="P159" s="35"/>
      <c r="Q159" s="64"/>
      <c r="R159" s="64"/>
      <c r="S159" s="64"/>
      <c r="T159" s="64"/>
      <c r="U159" s="64"/>
    </row>
    <row r="160" spans="1:21" s="60" customFormat="1" ht="20.25" customHeight="1" x14ac:dyDescent="0.35">
      <c r="A160" s="5060"/>
      <c r="B160" s="5061"/>
      <c r="C160" s="5061"/>
      <c r="D160" s="5061"/>
      <c r="E160" s="5061"/>
      <c r="F160" s="5061"/>
      <c r="G160" s="5061"/>
      <c r="H160" s="5061"/>
      <c r="I160" s="5061"/>
      <c r="J160" s="5061"/>
      <c r="K160" s="5062"/>
      <c r="L160" s="35"/>
      <c r="M160" s="3753"/>
      <c r="N160" s="3754"/>
      <c r="O160" s="3755"/>
      <c r="P160" s="35"/>
      <c r="Q160" s="64"/>
      <c r="R160" s="64"/>
      <c r="S160" s="64"/>
      <c r="T160" s="64"/>
      <c r="U160" s="64"/>
    </row>
    <row r="161" spans="1:21" s="60" customFormat="1" ht="14.5" x14ac:dyDescent="0.35">
      <c r="A161" s="5060"/>
      <c r="B161" s="5061"/>
      <c r="C161" s="5061"/>
      <c r="D161" s="5061"/>
      <c r="E161" s="5061"/>
      <c r="F161" s="5061"/>
      <c r="G161" s="5061"/>
      <c r="H161" s="5061"/>
      <c r="I161" s="5061"/>
      <c r="J161" s="5061"/>
      <c r="K161" s="5062"/>
      <c r="L161" s="35"/>
      <c r="M161" s="3753"/>
      <c r="N161" s="3754"/>
      <c r="O161" s="3755"/>
      <c r="P161" s="35"/>
      <c r="Q161" s="64"/>
      <c r="R161" s="64"/>
      <c r="S161" s="64"/>
      <c r="T161" s="64"/>
      <c r="U161" s="64"/>
    </row>
    <row r="162" spans="1:21" s="60" customFormat="1" ht="15" thickBot="1" x14ac:dyDescent="0.4">
      <c r="A162" s="5063"/>
      <c r="B162" s="5064"/>
      <c r="C162" s="5064"/>
      <c r="D162" s="5064"/>
      <c r="E162" s="5064"/>
      <c r="F162" s="5064"/>
      <c r="G162" s="5064"/>
      <c r="H162" s="5064"/>
      <c r="I162" s="5064"/>
      <c r="J162" s="5064"/>
      <c r="K162" s="5065"/>
      <c r="L162" s="64"/>
      <c r="M162" s="5334"/>
      <c r="N162" s="5468"/>
      <c r="O162" s="5469"/>
      <c r="P162" s="64"/>
      <c r="Q162" s="64"/>
      <c r="R162" s="64"/>
      <c r="S162" s="64"/>
      <c r="T162" s="64"/>
      <c r="U162" s="64"/>
    </row>
    <row r="163" spans="1:21" s="60" customFormat="1" ht="15" thickTop="1" x14ac:dyDescent="0.35">
      <c r="A163" s="64"/>
      <c r="B163" s="64"/>
      <c r="C163" s="64"/>
      <c r="D163" s="64"/>
      <c r="E163" s="64"/>
      <c r="F163" s="64"/>
      <c r="G163" s="64"/>
      <c r="H163" s="64"/>
      <c r="I163" s="64"/>
      <c r="J163" s="64"/>
      <c r="K163" s="64"/>
      <c r="L163" s="64"/>
      <c r="M163" s="64"/>
      <c r="N163" s="64"/>
      <c r="O163" s="64"/>
      <c r="P163" s="64"/>
      <c r="Q163" s="64"/>
      <c r="R163" s="64"/>
    </row>
    <row r="164" spans="1:21" s="218" customFormat="1" ht="18" customHeight="1" x14ac:dyDescent="0.35">
      <c r="A164" s="587"/>
      <c r="B164" s="587"/>
      <c r="C164" s="587"/>
      <c r="D164" s="587"/>
      <c r="E164" s="587"/>
      <c r="F164" s="587"/>
      <c r="G164" s="587"/>
      <c r="H164" s="587"/>
      <c r="I164" s="587"/>
      <c r="J164" s="587"/>
      <c r="K164" s="587"/>
      <c r="L164" s="587"/>
      <c r="M164" s="587"/>
      <c r="N164" s="587"/>
      <c r="O164" s="587"/>
      <c r="P164" s="587"/>
      <c r="Q164" s="587"/>
      <c r="R164" s="587"/>
    </row>
    <row r="165" spans="1:21" s="218" customFormat="1" ht="18" customHeight="1" x14ac:dyDescent="0.35">
      <c r="A165" s="587"/>
      <c r="B165" s="587"/>
      <c r="C165" s="587"/>
      <c r="D165" s="658"/>
      <c r="E165" s="651"/>
      <c r="F165" s="651"/>
      <c r="G165" s="651"/>
      <c r="H165" s="651"/>
      <c r="I165" s="651"/>
      <c r="J165" s="651"/>
      <c r="K165" s="651"/>
      <c r="L165" s="587"/>
      <c r="M165" s="587"/>
      <c r="N165" s="587"/>
      <c r="O165" s="587"/>
      <c r="P165" s="587"/>
      <c r="Q165" s="587"/>
      <c r="R165" s="587"/>
    </row>
    <row r="166" spans="1:21" s="218" customFormat="1" ht="18" customHeight="1" x14ac:dyDescent="0.35">
      <c r="A166" s="587"/>
      <c r="B166" s="587"/>
      <c r="C166" s="587"/>
      <c r="D166" s="658"/>
      <c r="E166" s="651"/>
      <c r="F166" s="651"/>
      <c r="G166" s="651"/>
      <c r="H166" s="651"/>
      <c r="I166" s="651"/>
      <c r="J166" s="651"/>
      <c r="K166" s="651"/>
      <c r="L166" s="587"/>
      <c r="M166" s="587"/>
      <c r="N166" s="587"/>
      <c r="O166" s="587"/>
      <c r="P166" s="587"/>
      <c r="Q166" s="587"/>
      <c r="R166" s="587"/>
    </row>
    <row r="167" spans="1:21" s="218" customFormat="1" ht="18" customHeight="1" x14ac:dyDescent="0.35">
      <c r="A167" s="587"/>
      <c r="B167" s="587"/>
      <c r="C167" s="587"/>
      <c r="D167" s="651"/>
      <c r="E167" s="651"/>
      <c r="F167" s="651"/>
      <c r="G167" s="651"/>
      <c r="H167" s="651"/>
      <c r="I167" s="651"/>
      <c r="J167" s="651"/>
      <c r="K167" s="651"/>
      <c r="L167" s="587"/>
      <c r="M167" s="587"/>
      <c r="N167" s="587"/>
      <c r="O167" s="587"/>
      <c r="P167" s="587"/>
      <c r="Q167" s="587"/>
      <c r="R167" s="587"/>
    </row>
    <row r="168" spans="1:21" s="218" customFormat="1" ht="14.5" x14ac:dyDescent="0.35">
      <c r="A168" s="587"/>
      <c r="B168" s="587"/>
      <c r="C168" s="587"/>
      <c r="D168" s="651"/>
      <c r="E168" s="651"/>
      <c r="F168" s="651"/>
      <c r="G168" s="651"/>
      <c r="H168" s="651"/>
      <c r="I168" s="651"/>
      <c r="J168" s="651"/>
      <c r="K168" s="651"/>
      <c r="L168" s="587"/>
      <c r="M168" s="587"/>
      <c r="N168" s="587"/>
      <c r="O168" s="587"/>
      <c r="P168" s="587"/>
      <c r="Q168" s="587"/>
      <c r="R168" s="587"/>
    </row>
    <row r="169" spans="1:21" x14ac:dyDescent="0.3">
      <c r="A169" s="651"/>
      <c r="B169" s="651"/>
      <c r="C169" s="651"/>
      <c r="D169" s="651"/>
      <c r="E169" s="651"/>
      <c r="F169" s="651"/>
      <c r="G169" s="651"/>
      <c r="H169" s="651"/>
      <c r="I169" s="651"/>
      <c r="J169" s="651"/>
      <c r="K169" s="651"/>
      <c r="L169" s="651"/>
      <c r="M169" s="651"/>
      <c r="N169" s="651"/>
      <c r="O169" s="651"/>
      <c r="P169" s="651"/>
      <c r="Q169" s="651"/>
      <c r="R169" s="651"/>
    </row>
    <row r="170" spans="1:21" x14ac:dyDescent="0.3">
      <c r="A170" s="651"/>
      <c r="B170" s="651"/>
      <c r="C170" s="651"/>
      <c r="D170" s="651"/>
      <c r="E170" s="651"/>
      <c r="F170" s="651"/>
      <c r="G170" s="651"/>
      <c r="H170" s="651"/>
      <c r="I170" s="651"/>
      <c r="J170" s="651"/>
      <c r="K170" s="651"/>
      <c r="L170" s="651"/>
      <c r="M170" s="651"/>
      <c r="N170" s="651"/>
      <c r="O170" s="651"/>
      <c r="P170" s="651"/>
      <c r="Q170" s="651"/>
      <c r="R170" s="651"/>
    </row>
    <row r="171" spans="1:21" x14ac:dyDescent="0.3">
      <c r="A171" s="651"/>
      <c r="B171" s="651"/>
      <c r="C171" s="651"/>
      <c r="D171" s="651"/>
      <c r="E171" s="651"/>
      <c r="F171" s="651"/>
      <c r="G171" s="651"/>
      <c r="H171" s="651"/>
      <c r="I171" s="651"/>
      <c r="J171" s="651"/>
      <c r="K171" s="651"/>
      <c r="L171" s="651"/>
      <c r="M171" s="651"/>
      <c r="N171" s="651"/>
      <c r="O171" s="651"/>
      <c r="P171" s="651"/>
      <c r="Q171" s="651"/>
      <c r="R171" s="651"/>
    </row>
    <row r="172" spans="1:21" x14ac:dyDescent="0.3">
      <c r="A172" s="651"/>
      <c r="B172" s="651"/>
      <c r="C172" s="651"/>
      <c r="D172" s="651"/>
      <c r="E172" s="651"/>
      <c r="F172" s="651"/>
      <c r="G172" s="651"/>
      <c r="H172" s="651"/>
      <c r="I172" s="651"/>
      <c r="J172" s="651"/>
      <c r="K172" s="651"/>
      <c r="L172" s="651"/>
      <c r="M172" s="651"/>
      <c r="N172" s="651"/>
      <c r="O172" s="651"/>
      <c r="P172" s="651"/>
      <c r="Q172" s="651"/>
      <c r="R172" s="651"/>
    </row>
    <row r="173" spans="1:21" x14ac:dyDescent="0.3">
      <c r="A173" s="651"/>
      <c r="B173" s="651"/>
      <c r="C173" s="651"/>
      <c r="D173" s="651"/>
      <c r="E173" s="651"/>
      <c r="F173" s="651"/>
      <c r="G173" s="651"/>
      <c r="H173" s="651"/>
      <c r="I173" s="651"/>
      <c r="J173" s="651"/>
      <c r="K173" s="651"/>
      <c r="L173" s="651"/>
      <c r="M173" s="651"/>
      <c r="N173" s="651"/>
      <c r="O173" s="651"/>
      <c r="P173" s="651"/>
      <c r="Q173" s="651"/>
      <c r="R173" s="651"/>
    </row>
    <row r="174" spans="1:21" x14ac:dyDescent="0.3">
      <c r="A174" s="651"/>
      <c r="B174" s="651"/>
      <c r="C174" s="651"/>
      <c r="D174" s="651"/>
      <c r="E174" s="651"/>
      <c r="F174" s="651"/>
      <c r="G174" s="651"/>
      <c r="H174" s="651"/>
      <c r="I174" s="651"/>
      <c r="J174" s="651"/>
      <c r="K174" s="651"/>
      <c r="L174" s="651"/>
      <c r="M174" s="651"/>
      <c r="N174" s="651"/>
      <c r="O174" s="651"/>
      <c r="P174" s="651"/>
      <c r="Q174" s="651"/>
      <c r="R174" s="651"/>
    </row>
    <row r="175" spans="1:21" x14ac:dyDescent="0.3">
      <c r="A175" s="651"/>
      <c r="B175" s="651"/>
      <c r="C175" s="651"/>
      <c r="D175" s="651"/>
      <c r="E175" s="651"/>
      <c r="F175" s="651"/>
      <c r="G175" s="651"/>
      <c r="H175" s="651"/>
      <c r="I175" s="651"/>
      <c r="J175" s="651"/>
      <c r="K175" s="651"/>
      <c r="L175" s="651"/>
      <c r="M175" s="651"/>
      <c r="N175" s="651"/>
      <c r="O175" s="651"/>
      <c r="P175" s="651"/>
      <c r="Q175" s="651"/>
      <c r="R175" s="651"/>
    </row>
    <row r="176" spans="1:21" x14ac:dyDescent="0.3">
      <c r="A176" s="651"/>
      <c r="B176" s="651"/>
      <c r="C176" s="651"/>
      <c r="D176" s="651"/>
      <c r="E176" s="651"/>
      <c r="F176" s="651"/>
      <c r="G176" s="651"/>
      <c r="H176" s="651"/>
      <c r="I176" s="651"/>
      <c r="J176" s="651"/>
      <c r="K176" s="651"/>
      <c r="L176" s="651"/>
      <c r="M176" s="651"/>
      <c r="N176" s="651"/>
      <c r="O176" s="651"/>
      <c r="P176" s="651"/>
      <c r="Q176" s="651"/>
      <c r="R176" s="651"/>
    </row>
    <row r="177" spans="1:18" x14ac:dyDescent="0.3">
      <c r="A177" s="651"/>
      <c r="B177" s="651"/>
      <c r="C177" s="651"/>
      <c r="D177" s="651"/>
      <c r="E177" s="651"/>
      <c r="F177" s="651"/>
      <c r="G177" s="651"/>
      <c r="H177" s="651"/>
      <c r="I177" s="651"/>
      <c r="J177" s="651"/>
      <c r="K177" s="651"/>
      <c r="L177" s="651"/>
      <c r="M177" s="651"/>
      <c r="N177" s="651"/>
      <c r="O177" s="651"/>
      <c r="P177" s="651"/>
      <c r="Q177" s="651"/>
      <c r="R177" s="651"/>
    </row>
    <row r="178" spans="1:18" x14ac:dyDescent="0.3">
      <c r="A178" s="651"/>
      <c r="B178" s="651"/>
      <c r="C178" s="651"/>
      <c r="D178" s="651"/>
      <c r="E178" s="651"/>
      <c r="F178" s="651"/>
      <c r="G178" s="651"/>
      <c r="H178" s="651"/>
      <c r="I178" s="651"/>
      <c r="J178" s="651"/>
      <c r="K178" s="651"/>
      <c r="L178" s="651"/>
      <c r="M178" s="651"/>
      <c r="N178" s="651"/>
      <c r="O178" s="651"/>
      <c r="P178" s="651"/>
      <c r="Q178" s="651"/>
      <c r="R178" s="651"/>
    </row>
    <row r="179" spans="1:18" x14ac:dyDescent="0.3">
      <c r="A179" s="651"/>
      <c r="B179" s="651"/>
      <c r="C179" s="651"/>
      <c r="D179" s="651"/>
      <c r="E179" s="651"/>
      <c r="F179" s="651"/>
      <c r="G179" s="651"/>
      <c r="H179" s="651"/>
      <c r="I179" s="651"/>
      <c r="J179" s="651"/>
      <c r="K179" s="651"/>
      <c r="L179" s="651"/>
      <c r="M179" s="651"/>
      <c r="N179" s="651"/>
      <c r="O179" s="651"/>
      <c r="P179" s="651"/>
      <c r="Q179" s="651"/>
      <c r="R179" s="651"/>
    </row>
    <row r="180" spans="1:18" x14ac:dyDescent="0.3">
      <c r="A180" s="651"/>
      <c r="B180" s="651"/>
      <c r="C180" s="651"/>
      <c r="D180" s="651"/>
      <c r="E180" s="651"/>
      <c r="F180" s="651"/>
      <c r="G180" s="651"/>
      <c r="H180" s="651"/>
      <c r="I180" s="651"/>
      <c r="J180" s="651"/>
      <c r="K180" s="651"/>
      <c r="L180" s="651"/>
      <c r="M180" s="651"/>
      <c r="N180" s="651"/>
      <c r="O180" s="651"/>
      <c r="P180" s="651"/>
      <c r="Q180" s="651"/>
      <c r="R180" s="651"/>
    </row>
    <row r="181" spans="1:18" x14ac:dyDescent="0.3">
      <c r="A181" s="651"/>
      <c r="B181" s="651"/>
      <c r="C181" s="651"/>
      <c r="D181" s="651"/>
      <c r="E181" s="651"/>
      <c r="F181" s="651"/>
      <c r="G181" s="651"/>
      <c r="H181" s="651"/>
      <c r="I181" s="651"/>
      <c r="J181" s="651"/>
      <c r="K181" s="651"/>
      <c r="L181" s="651"/>
      <c r="M181" s="651"/>
      <c r="N181" s="651"/>
      <c r="O181" s="651"/>
      <c r="P181" s="651"/>
      <c r="Q181" s="651"/>
      <c r="R181" s="651"/>
    </row>
    <row r="182" spans="1:18" x14ac:dyDescent="0.3">
      <c r="A182" s="651"/>
      <c r="B182" s="651"/>
      <c r="C182" s="651"/>
      <c r="D182" s="651"/>
      <c r="E182" s="651"/>
      <c r="F182" s="651"/>
      <c r="G182" s="651"/>
      <c r="H182" s="651"/>
      <c r="I182" s="651"/>
      <c r="J182" s="651"/>
      <c r="K182" s="651"/>
      <c r="L182" s="651"/>
      <c r="M182" s="651"/>
      <c r="N182" s="651"/>
      <c r="O182" s="651"/>
      <c r="P182" s="651"/>
      <c r="Q182" s="651"/>
      <c r="R182" s="651"/>
    </row>
    <row r="183" spans="1:18" x14ac:dyDescent="0.3">
      <c r="A183" s="651"/>
      <c r="B183" s="651"/>
      <c r="C183" s="651"/>
      <c r="D183" s="651"/>
      <c r="E183" s="651"/>
      <c r="F183" s="651"/>
      <c r="G183" s="651"/>
      <c r="H183" s="651"/>
      <c r="I183" s="651"/>
      <c r="J183" s="651"/>
      <c r="K183" s="651"/>
      <c r="L183" s="651"/>
      <c r="M183" s="651"/>
      <c r="N183" s="651"/>
      <c r="O183" s="651"/>
      <c r="P183" s="651"/>
      <c r="Q183" s="651"/>
      <c r="R183" s="651"/>
    </row>
    <row r="184" spans="1:18" x14ac:dyDescent="0.3">
      <c r="A184" s="651"/>
      <c r="B184" s="651"/>
      <c r="C184" s="651"/>
      <c r="D184" s="651"/>
      <c r="E184" s="651"/>
      <c r="F184" s="651"/>
      <c r="G184" s="651"/>
      <c r="H184" s="651"/>
      <c r="I184" s="651"/>
      <c r="J184" s="651"/>
      <c r="K184" s="651"/>
      <c r="L184" s="651"/>
      <c r="M184" s="651"/>
      <c r="N184" s="651"/>
      <c r="O184" s="651"/>
      <c r="P184" s="651"/>
      <c r="Q184" s="651"/>
      <c r="R184" s="651"/>
    </row>
    <row r="185" spans="1:18" x14ac:dyDescent="0.3">
      <c r="A185" s="651"/>
      <c r="B185" s="651"/>
      <c r="C185" s="651"/>
      <c r="D185" s="651"/>
      <c r="E185" s="651"/>
      <c r="F185" s="651"/>
      <c r="G185" s="651"/>
      <c r="H185" s="651"/>
      <c r="I185" s="651"/>
      <c r="J185" s="651"/>
      <c r="K185" s="651"/>
      <c r="L185" s="651"/>
      <c r="M185" s="651"/>
      <c r="N185" s="651"/>
      <c r="O185" s="651"/>
      <c r="P185" s="651"/>
      <c r="Q185" s="651"/>
      <c r="R185" s="651"/>
    </row>
    <row r="186" spans="1:18" x14ac:dyDescent="0.3">
      <c r="A186" s="651"/>
      <c r="B186" s="651"/>
      <c r="C186" s="651"/>
      <c r="D186" s="651"/>
      <c r="E186" s="651"/>
      <c r="F186" s="651"/>
      <c r="G186" s="651"/>
      <c r="H186" s="651"/>
      <c r="I186" s="651"/>
      <c r="J186" s="651"/>
      <c r="K186" s="651"/>
      <c r="L186" s="651"/>
      <c r="M186" s="651"/>
      <c r="N186" s="651"/>
      <c r="O186" s="651"/>
      <c r="P186" s="651"/>
      <c r="Q186" s="651"/>
      <c r="R186" s="651"/>
    </row>
    <row r="188" spans="1:18" s="210" customFormat="1" ht="14.5" x14ac:dyDescent="0.35">
      <c r="D188" s="116"/>
      <c r="E188" s="116"/>
      <c r="F188" s="116"/>
      <c r="G188" s="116"/>
      <c r="H188" s="116"/>
      <c r="I188" s="116"/>
      <c r="J188" s="116"/>
      <c r="K188" s="116"/>
    </row>
    <row r="189" spans="1:18" s="210" customFormat="1" ht="14.5" x14ac:dyDescent="0.35">
      <c r="D189" s="116"/>
      <c r="E189" s="116"/>
      <c r="F189" s="116"/>
      <c r="G189" s="116"/>
      <c r="H189" s="116"/>
      <c r="I189" s="116"/>
      <c r="J189" s="116"/>
      <c r="K189" s="116"/>
    </row>
    <row r="190" spans="1:18" s="210" customFormat="1" ht="14.5" x14ac:dyDescent="0.35">
      <c r="D190" s="116"/>
      <c r="E190" s="116"/>
      <c r="F190" s="116"/>
      <c r="G190" s="116"/>
      <c r="H190" s="116"/>
      <c r="I190" s="116"/>
      <c r="J190" s="116"/>
      <c r="K190" s="116"/>
    </row>
    <row r="191" spans="1:18" s="210" customFormat="1" ht="14.5" x14ac:dyDescent="0.35">
      <c r="D191" s="116"/>
      <c r="E191" s="116"/>
      <c r="F191" s="116"/>
      <c r="G191" s="116"/>
      <c r="H191" s="116"/>
      <c r="I191" s="116"/>
      <c r="J191" s="116"/>
      <c r="K191" s="116"/>
    </row>
  </sheetData>
  <mergeCells count="82">
    <mergeCell ref="D3:G3"/>
    <mergeCell ref="D1:G1"/>
    <mergeCell ref="I1:J1"/>
    <mergeCell ref="L1:M1"/>
    <mergeCell ref="D2:G2"/>
    <mergeCell ref="I2:J2"/>
    <mergeCell ref="L2:M2"/>
    <mergeCell ref="A4:G4"/>
    <mergeCell ref="H4:P4"/>
    <mergeCell ref="A5:B5"/>
    <mergeCell ref="C5:P5"/>
    <mergeCell ref="A6:C6"/>
    <mergeCell ref="D6:E6"/>
    <mergeCell ref="A7:C7"/>
    <mergeCell ref="D7:K7"/>
    <mergeCell ref="A8:C8"/>
    <mergeCell ref="D8:E8"/>
    <mergeCell ref="A9:C9"/>
    <mergeCell ref="D9:E9"/>
    <mergeCell ref="A10:C10"/>
    <mergeCell ref="D10:E10"/>
    <mergeCell ref="A11:C11"/>
    <mergeCell ref="D11:E11"/>
    <mergeCell ref="A12:C12"/>
    <mergeCell ref="D12:E12"/>
    <mergeCell ref="A22:C23"/>
    <mergeCell ref="F22:J22"/>
    <mergeCell ref="A13:C13"/>
    <mergeCell ref="D13:E13"/>
    <mergeCell ref="A14:C14"/>
    <mergeCell ref="D14:E14"/>
    <mergeCell ref="A15:C15"/>
    <mergeCell ref="D15:E15"/>
    <mergeCell ref="A16:K16"/>
    <mergeCell ref="A17:E17"/>
    <mergeCell ref="A21:C21"/>
    <mergeCell ref="D21:E21"/>
    <mergeCell ref="L21:Q21"/>
    <mergeCell ref="B39:E39"/>
    <mergeCell ref="A24:C24"/>
    <mergeCell ref="D24:E24"/>
    <mergeCell ref="L24:L31"/>
    <mergeCell ref="A25:C25"/>
    <mergeCell ref="A26:C26"/>
    <mergeCell ref="A27:C27"/>
    <mergeCell ref="A28:C28"/>
    <mergeCell ref="A29:C29"/>
    <mergeCell ref="A30:C30"/>
    <mergeCell ref="A31:C31"/>
    <mergeCell ref="A32:Q32"/>
    <mergeCell ref="A33:E33"/>
    <mergeCell ref="B36:E36"/>
    <mergeCell ref="B37:E37"/>
    <mergeCell ref="B38:E38"/>
    <mergeCell ref="A42:C42"/>
    <mergeCell ref="D42:E42"/>
    <mergeCell ref="A43:C43"/>
    <mergeCell ref="D43:E43"/>
    <mergeCell ref="A44:C44"/>
    <mergeCell ref="D44:E44"/>
    <mergeCell ref="A45:C45"/>
    <mergeCell ref="D45:E45"/>
    <mergeCell ref="A46:C46"/>
    <mergeCell ref="D46:E46"/>
    <mergeCell ref="A47:C47"/>
    <mergeCell ref="D47:E47"/>
    <mergeCell ref="A48:C48"/>
    <mergeCell ref="D48:E48"/>
    <mergeCell ref="A49:C49"/>
    <mergeCell ref="D49:E49"/>
    <mergeCell ref="A50:C50"/>
    <mergeCell ref="D50:E50"/>
    <mergeCell ref="A156:K156"/>
    <mergeCell ref="A157:K162"/>
    <mergeCell ref="M157:O157"/>
    <mergeCell ref="M158:O162"/>
    <mergeCell ref="A51:K51"/>
    <mergeCell ref="A52:E52"/>
    <mergeCell ref="A149:K149"/>
    <mergeCell ref="M149:O149"/>
    <mergeCell ref="A150:K154"/>
    <mergeCell ref="M150:O154"/>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600-000000000000}">
      <formula1>AvancementTheme</formula1>
    </dataValidation>
  </dataValidations>
  <hyperlinks>
    <hyperlink ref="O1" location="DPDV_02OP1" display="PdV" xr:uid="{00000000-0004-0000-5600-000000000000}"/>
    <hyperlink ref="P1" location="DKPI_02OP3" display="KPI's" xr:uid="{00000000-0004-0000-5600-000001000000}"/>
  </hyperlinks>
  <pageMargins left="0.70866141732283472" right="0.70866141732283472" top="0.74803149606299213" bottom="0.74803149606299213" header="0.31496062992125984" footer="0.31496062992125984"/>
  <pageSetup paperSize="9" scale="43" orientation="portrait" r:id="rId1"/>
  <headerFooter>
    <oddHeader>&amp;LPAD Methodology (c) 2013-2014&amp;RStrategic Management Workshop</oddHeader>
    <oddFooter>&amp;L&amp;F&amp;C&amp;A&amp;RSituation au : &amp;D - page : &amp;P/&amp;N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0">
    <tabColor rgb="FFFFFF00"/>
    <pageSetUpPr fitToPage="1"/>
  </sheetPr>
  <dimension ref="A1:AE119"/>
  <sheetViews>
    <sheetView showGridLines="0" showZeros="0" zoomScale="90" zoomScaleNormal="90" workbookViewId="0">
      <pane ySplit="6" topLeftCell="A36" activePane="bottomLeft" state="frozen"/>
      <selection activeCell="C5" sqref="C5:P5"/>
      <selection pane="bottomLeft" activeCell="K22" sqref="K22:L22"/>
    </sheetView>
  </sheetViews>
  <sheetFormatPr baseColWidth="10" defaultColWidth="11.453125" defaultRowHeight="14.5" x14ac:dyDescent="0.35"/>
  <cols>
    <col min="1" max="1" width="6" style="60" customWidth="1"/>
    <col min="2" max="2" width="13.26953125" style="60" customWidth="1"/>
    <col min="3" max="7" width="11.453125" style="60"/>
    <col min="8" max="8" width="15.81640625" style="60" customWidth="1"/>
    <col min="9" max="11" width="11.453125" style="60"/>
    <col min="12" max="12" width="12.81640625" style="60" customWidth="1"/>
    <col min="13" max="14" width="11.453125" style="60"/>
    <col min="15" max="15" width="11.453125" style="60" customWidth="1"/>
    <col min="16" max="16384" width="11.453125" style="60"/>
  </cols>
  <sheetData>
    <row r="1" spans="1:31" s="54" customFormat="1" ht="15" customHeight="1" x14ac:dyDescent="0.35">
      <c r="A1" s="389"/>
      <c r="B1" s="389"/>
      <c r="C1" s="389"/>
      <c r="D1" s="3341" t="s">
        <v>5</v>
      </c>
      <c r="E1" s="3341"/>
      <c r="F1" s="3341"/>
      <c r="G1" s="3341"/>
      <c r="H1" s="391"/>
      <c r="I1" s="3341" t="s">
        <v>6</v>
      </c>
      <c r="J1" s="3341"/>
      <c r="K1" s="389"/>
      <c r="L1" s="3341" t="s">
        <v>9</v>
      </c>
      <c r="M1" s="3341"/>
      <c r="N1" s="389"/>
      <c r="O1" s="479"/>
      <c r="P1" s="479"/>
      <c r="Q1" s="458"/>
    </row>
    <row r="2" spans="1:31" s="58" customFormat="1" ht="18" customHeight="1" x14ac:dyDescent="0.35">
      <c r="A2" s="393"/>
      <c r="B2" s="393"/>
      <c r="C2" s="393"/>
      <c r="D2" s="3342" t="str">
        <f>NomClient</f>
        <v xml:space="preserve">EQUINIX </v>
      </c>
      <c r="E2" s="3343"/>
      <c r="F2" s="3343"/>
      <c r="G2" s="3344"/>
      <c r="H2" s="393"/>
      <c r="I2" s="3345" t="s">
        <v>410</v>
      </c>
      <c r="J2" s="3346"/>
      <c r="K2" s="393"/>
      <c r="L2" s="3347">
        <v>42971.838171296295</v>
      </c>
      <c r="M2" s="3348"/>
      <c r="N2" s="394"/>
      <c r="O2" s="451"/>
      <c r="P2" s="451"/>
      <c r="Q2" s="459"/>
    </row>
    <row r="3" spans="1:31" ht="10.5" customHeight="1" thickBot="1" x14ac:dyDescent="0.4">
      <c r="A3" s="396"/>
      <c r="B3" s="396"/>
      <c r="C3" s="396"/>
      <c r="D3" s="3696" t="s">
        <v>1792</v>
      </c>
      <c r="E3" s="3696"/>
      <c r="F3" s="3696"/>
      <c r="G3" s="3696"/>
      <c r="H3" s="396"/>
      <c r="I3" s="396"/>
      <c r="J3" s="396"/>
      <c r="K3" s="396"/>
      <c r="L3" s="396"/>
      <c r="M3" s="396"/>
      <c r="N3" s="396"/>
      <c r="O3" s="396"/>
      <c r="P3" s="396"/>
      <c r="Q3" s="64"/>
    </row>
    <row r="4" spans="1:31" s="1" customFormat="1" ht="24.75" customHeight="1" thickBot="1" x14ac:dyDescent="0.4">
      <c r="A4" s="3695" t="str">
        <f>Parametre!B25 &amp; "  : "</f>
        <v xml:space="preserve">Positionnement de l'offre  : </v>
      </c>
      <c r="B4" s="3695"/>
      <c r="C4" s="3695"/>
      <c r="D4" s="3695"/>
      <c r="E4" s="3695"/>
      <c r="F4" s="3695"/>
      <c r="G4" s="3695"/>
      <c r="H4" s="3693" t="s">
        <v>2326</v>
      </c>
      <c r="I4" s="3693"/>
      <c r="J4" s="3693"/>
      <c r="K4" s="3693"/>
      <c r="L4" s="3693"/>
      <c r="M4" s="3693"/>
      <c r="N4" s="3693"/>
      <c r="O4" s="3693"/>
      <c r="P4" s="3694"/>
      <c r="Q4" s="444"/>
    </row>
    <row r="5" spans="1:31" s="193" customFormat="1" ht="21.75" customHeight="1" x14ac:dyDescent="0.35">
      <c r="A5" s="3438" t="s">
        <v>14</v>
      </c>
      <c r="B5" s="3438"/>
      <c r="C5" s="3439" t="s">
        <v>2898</v>
      </c>
      <c r="D5" s="3439"/>
      <c r="E5" s="3439"/>
      <c r="F5" s="3439"/>
      <c r="G5" s="3439"/>
      <c r="H5" s="3439"/>
      <c r="I5" s="3439"/>
      <c r="J5" s="3439"/>
      <c r="K5" s="3439"/>
      <c r="L5" s="3439"/>
      <c r="M5" s="3439"/>
      <c r="N5" s="3439"/>
      <c r="O5" s="3439"/>
      <c r="P5" s="3439"/>
      <c r="Q5" s="460"/>
    </row>
    <row r="6" spans="1:31" ht="1.5" customHeight="1" thickBot="1" x14ac:dyDescent="0.4">
      <c r="A6" s="3697" t="s">
        <v>20</v>
      </c>
      <c r="B6" s="3697"/>
      <c r="C6" s="3508"/>
      <c r="D6" s="3508"/>
      <c r="E6" s="3508"/>
      <c r="F6" s="3508"/>
      <c r="G6" s="3508"/>
      <c r="H6" s="3508"/>
      <c r="I6" s="3508"/>
      <c r="J6" s="3508"/>
      <c r="K6" s="3508"/>
      <c r="L6" s="3508"/>
      <c r="M6" s="3508"/>
      <c r="N6" s="3508"/>
      <c r="O6" s="3508"/>
      <c r="P6" s="3508"/>
      <c r="Q6" s="64"/>
    </row>
    <row r="7" spans="1:31" s="25" customFormat="1" ht="50.25" customHeight="1" thickTop="1" x14ac:dyDescent="0.35">
      <c r="A7" s="704"/>
      <c r="B7" s="3704" t="s">
        <v>2325</v>
      </c>
      <c r="C7" s="3705"/>
      <c r="D7" s="3705"/>
      <c r="E7" s="3705"/>
      <c r="F7" s="3705"/>
      <c r="G7" s="3530" t="s">
        <v>870</v>
      </c>
      <c r="H7" s="3530"/>
      <c r="I7" s="3530" t="s">
        <v>2328</v>
      </c>
      <c r="J7" s="3530"/>
      <c r="K7" s="3530" t="s">
        <v>2327</v>
      </c>
      <c r="L7" s="3530"/>
      <c r="M7" s="3530" t="s">
        <v>18</v>
      </c>
      <c r="N7" s="3530"/>
      <c r="O7" s="3530"/>
      <c r="P7" s="3624"/>
      <c r="Q7" s="705"/>
      <c r="R7" s="74"/>
      <c r="U7" s="75"/>
      <c r="V7" s="75"/>
      <c r="W7" s="76"/>
      <c r="X7" s="77"/>
      <c r="Y7" s="78"/>
      <c r="Z7" s="75"/>
      <c r="AA7" s="75"/>
      <c r="AB7" s="75"/>
      <c r="AC7" s="75"/>
      <c r="AD7" s="75"/>
      <c r="AE7" s="75"/>
    </row>
    <row r="8" spans="1:31" s="66" customFormat="1" ht="9" customHeight="1" thickBot="1" x14ac:dyDescent="0.4">
      <c r="A8" s="1560"/>
      <c r="B8" s="3702"/>
      <c r="C8" s="3703"/>
      <c r="D8" s="3703"/>
      <c r="E8" s="3703"/>
      <c r="F8" s="3703"/>
      <c r="G8" s="3700"/>
      <c r="H8" s="3700"/>
      <c r="I8" s="3700"/>
      <c r="J8" s="3700"/>
      <c r="K8" s="3700"/>
      <c r="L8" s="3700"/>
      <c r="M8" s="3700"/>
      <c r="N8" s="3700"/>
      <c r="O8" s="3700"/>
      <c r="P8" s="3701"/>
      <c r="Q8" s="1565"/>
      <c r="R8" s="2590"/>
      <c r="W8" s="72"/>
      <c r="X8" s="79"/>
      <c r="Y8" s="73"/>
    </row>
    <row r="9" spans="1:31" s="65" customFormat="1" ht="39.75" customHeight="1" thickBot="1" x14ac:dyDescent="0.4">
      <c r="A9" s="706"/>
      <c r="B9" s="3698" t="s">
        <v>2846</v>
      </c>
      <c r="C9" s="3699"/>
      <c r="D9" s="3699"/>
      <c r="E9" s="3699"/>
      <c r="F9" s="3699"/>
      <c r="G9" s="3557" t="s">
        <v>775</v>
      </c>
      <c r="H9" s="3558"/>
      <c r="I9" s="707" t="s">
        <v>902</v>
      </c>
      <c r="J9" s="734">
        <v>0.06</v>
      </c>
      <c r="K9" s="708"/>
      <c r="L9" s="708"/>
      <c r="M9" s="3522"/>
      <c r="N9" s="3522"/>
      <c r="O9" s="3522"/>
      <c r="P9" s="3523"/>
      <c r="Q9" s="398"/>
      <c r="U9" s="80"/>
      <c r="V9" s="80"/>
      <c r="W9" s="81"/>
      <c r="X9" s="82"/>
      <c r="Y9" s="83"/>
      <c r="Z9" s="80"/>
      <c r="AA9" s="80"/>
      <c r="AB9" s="80"/>
      <c r="AC9" s="80"/>
      <c r="AD9" s="80"/>
      <c r="AE9" s="80"/>
    </row>
    <row r="10" spans="1:31" s="65" customFormat="1" ht="18" hidden="1" customHeight="1" x14ac:dyDescent="0.35">
      <c r="A10" s="452"/>
      <c r="B10" s="3688" t="s">
        <v>1970</v>
      </c>
      <c r="C10" s="3689"/>
      <c r="D10" s="3689"/>
      <c r="E10" s="3689"/>
      <c r="F10" s="3690"/>
      <c r="G10" s="3549">
        <f>SUM(G11:H17)</f>
        <v>0</v>
      </c>
      <c r="H10" s="3550"/>
      <c r="I10" s="3549">
        <f>SUM(I11:J17)</f>
        <v>0</v>
      </c>
      <c r="J10" s="3550"/>
      <c r="K10" s="3691">
        <f>SUM(K11:L17)</f>
        <v>0</v>
      </c>
      <c r="L10" s="3692"/>
      <c r="M10" s="3539"/>
      <c r="N10" s="3540"/>
      <c r="O10" s="3540"/>
      <c r="P10" s="3541"/>
      <c r="Q10" s="398"/>
      <c r="U10" s="80"/>
      <c r="V10" s="80"/>
      <c r="W10" s="81"/>
      <c r="X10" s="13"/>
      <c r="Y10" s="83"/>
      <c r="Z10" s="80"/>
      <c r="AA10" s="80"/>
      <c r="AB10" s="80"/>
      <c r="AC10" s="80"/>
      <c r="AD10" s="80"/>
      <c r="AE10" s="80"/>
    </row>
    <row r="11" spans="1:31" s="65" customFormat="1" ht="18" hidden="1" customHeight="1" x14ac:dyDescent="0.35">
      <c r="A11" s="452"/>
      <c r="B11" s="3681" t="s">
        <v>1807</v>
      </c>
      <c r="C11" s="3682"/>
      <c r="D11" s="3682"/>
      <c r="E11" s="3682"/>
      <c r="F11" s="3682"/>
      <c r="G11" s="3545"/>
      <c r="H11" s="3546"/>
      <c r="I11" s="3551">
        <f t="shared" ref="I11:I15" si="0">G11-K11</f>
        <v>0</v>
      </c>
      <c r="J11" s="3552"/>
      <c r="K11" s="3547">
        <f t="shared" ref="K11:K15" si="1">$J$9*G11</f>
        <v>0</v>
      </c>
      <c r="L11" s="3548"/>
      <c r="M11" s="3539"/>
      <c r="N11" s="3540"/>
      <c r="O11" s="3540"/>
      <c r="P11" s="3541"/>
      <c r="Q11" s="398"/>
      <c r="U11" s="80"/>
      <c r="V11" s="80"/>
      <c r="W11" s="81"/>
      <c r="X11" s="13"/>
      <c r="Y11" s="83"/>
      <c r="Z11" s="80"/>
      <c r="AA11" s="80"/>
      <c r="AB11" s="80"/>
      <c r="AC11" s="80"/>
      <c r="AD11" s="80"/>
      <c r="AE11" s="80"/>
    </row>
    <row r="12" spans="1:31" s="65" customFormat="1" ht="18" hidden="1" customHeight="1" x14ac:dyDescent="0.35">
      <c r="A12" s="452"/>
      <c r="B12" s="3681" t="s">
        <v>1969</v>
      </c>
      <c r="C12" s="3682"/>
      <c r="D12" s="3682"/>
      <c r="E12" s="3682"/>
      <c r="F12" s="3682"/>
      <c r="G12" s="3545"/>
      <c r="H12" s="3546"/>
      <c r="I12" s="3551">
        <f t="shared" si="0"/>
        <v>0</v>
      </c>
      <c r="J12" s="3552"/>
      <c r="K12" s="3547">
        <f t="shared" si="1"/>
        <v>0</v>
      </c>
      <c r="L12" s="3548"/>
      <c r="M12" s="3539"/>
      <c r="N12" s="3540"/>
      <c r="O12" s="3540"/>
      <c r="P12" s="3541"/>
      <c r="Q12" s="398"/>
      <c r="U12" s="80"/>
      <c r="V12" s="80"/>
      <c r="W12" s="81"/>
      <c r="X12" s="13"/>
      <c r="Y12" s="83"/>
      <c r="Z12" s="80"/>
      <c r="AA12" s="80"/>
      <c r="AB12" s="80"/>
      <c r="AC12" s="80"/>
      <c r="AD12" s="80"/>
      <c r="AE12" s="80"/>
    </row>
    <row r="13" spans="1:31" s="65" customFormat="1" ht="18" hidden="1" customHeight="1" x14ac:dyDescent="0.35">
      <c r="A13" s="452"/>
      <c r="B13" s="3681" t="s">
        <v>1802</v>
      </c>
      <c r="C13" s="3682"/>
      <c r="D13" s="3682"/>
      <c r="E13" s="3682"/>
      <c r="F13" s="3682"/>
      <c r="G13" s="3545"/>
      <c r="H13" s="3546"/>
      <c r="I13" s="3551">
        <f t="shared" si="0"/>
        <v>0</v>
      </c>
      <c r="J13" s="3552"/>
      <c r="K13" s="3547">
        <f t="shared" si="1"/>
        <v>0</v>
      </c>
      <c r="L13" s="3548"/>
      <c r="M13" s="3539"/>
      <c r="N13" s="3540"/>
      <c r="O13" s="3540"/>
      <c r="P13" s="3541"/>
      <c r="Q13" s="398"/>
      <c r="U13" s="80"/>
      <c r="V13" s="80"/>
      <c r="W13" s="81"/>
      <c r="X13" s="13"/>
      <c r="Y13" s="83"/>
      <c r="Z13" s="80"/>
      <c r="AA13" s="80"/>
      <c r="AB13" s="80"/>
      <c r="AC13" s="80"/>
      <c r="AD13" s="80"/>
      <c r="AE13" s="80"/>
    </row>
    <row r="14" spans="1:31" s="65" customFormat="1" ht="18" hidden="1" customHeight="1" x14ac:dyDescent="0.35">
      <c r="A14" s="452"/>
      <c r="B14" s="3681" t="s">
        <v>1844</v>
      </c>
      <c r="C14" s="3682"/>
      <c r="D14" s="3682"/>
      <c r="E14" s="3682"/>
      <c r="F14" s="3682"/>
      <c r="G14" s="3545"/>
      <c r="H14" s="3546"/>
      <c r="I14" s="3551">
        <f t="shared" si="0"/>
        <v>0</v>
      </c>
      <c r="J14" s="3552"/>
      <c r="K14" s="3547">
        <f t="shared" si="1"/>
        <v>0</v>
      </c>
      <c r="L14" s="3548"/>
      <c r="M14" s="3539"/>
      <c r="N14" s="3540"/>
      <c r="O14" s="3540"/>
      <c r="P14" s="3541"/>
      <c r="Q14" s="398"/>
      <c r="U14" s="80"/>
      <c r="V14" s="80"/>
      <c r="W14" s="81"/>
      <c r="X14" s="13"/>
      <c r="Y14" s="83"/>
      <c r="Z14" s="80"/>
      <c r="AA14" s="80"/>
      <c r="AB14" s="80"/>
      <c r="AC14" s="80"/>
      <c r="AD14" s="80"/>
      <c r="AE14" s="80"/>
    </row>
    <row r="15" spans="1:31" s="65" customFormat="1" ht="14.65" hidden="1" customHeight="1" x14ac:dyDescent="0.35">
      <c r="B15" s="3681" t="s">
        <v>1845</v>
      </c>
      <c r="C15" s="3682"/>
      <c r="D15" s="3682"/>
      <c r="E15" s="3682"/>
      <c r="F15" s="3682"/>
      <c r="G15" s="3545"/>
      <c r="H15" s="3546"/>
      <c r="I15" s="3551">
        <f t="shared" si="0"/>
        <v>0</v>
      </c>
      <c r="J15" s="3552"/>
      <c r="K15" s="3547">
        <f t="shared" si="1"/>
        <v>0</v>
      </c>
      <c r="L15" s="3548"/>
      <c r="M15" s="3539"/>
      <c r="N15" s="3540"/>
      <c r="O15" s="3540"/>
      <c r="P15" s="3541"/>
      <c r="Q15" s="398"/>
      <c r="U15" s="80"/>
      <c r="V15" s="80"/>
      <c r="W15" s="81"/>
      <c r="X15" s="13"/>
      <c r="Y15" s="83"/>
      <c r="Z15" s="80"/>
      <c r="AA15" s="80"/>
      <c r="AB15" s="80"/>
      <c r="AC15" s="80"/>
      <c r="AD15" s="80"/>
      <c r="AE15" s="80"/>
    </row>
    <row r="16" spans="1:31" s="65" customFormat="1" ht="18" hidden="1" customHeight="1" x14ac:dyDescent="0.35">
      <c r="A16" s="452"/>
      <c r="B16" s="3681" t="s">
        <v>2014</v>
      </c>
      <c r="C16" s="3682"/>
      <c r="D16" s="3682"/>
      <c r="E16" s="3682"/>
      <c r="F16" s="3682"/>
      <c r="G16" s="3545"/>
      <c r="H16" s="3546"/>
      <c r="I16" s="3551">
        <f>G16-K16</f>
        <v>0</v>
      </c>
      <c r="J16" s="3552"/>
      <c r="K16" s="3547">
        <f>$J$9*G16</f>
        <v>0</v>
      </c>
      <c r="L16" s="3548"/>
      <c r="M16" s="3539"/>
      <c r="N16" s="3540"/>
      <c r="O16" s="3540"/>
      <c r="P16" s="3541"/>
      <c r="Q16" s="398"/>
      <c r="U16" s="80"/>
      <c r="V16" s="80"/>
      <c r="W16" s="81"/>
      <c r="X16" s="13"/>
      <c r="Y16" s="83"/>
      <c r="Z16" s="80"/>
      <c r="AA16" s="80"/>
      <c r="AB16" s="80"/>
      <c r="AC16" s="80"/>
      <c r="AD16" s="80"/>
      <c r="AE16" s="80"/>
    </row>
    <row r="17" spans="1:31" s="65" customFormat="1" ht="18" hidden="1" customHeight="1" x14ac:dyDescent="0.35">
      <c r="A17" s="452"/>
      <c r="B17" s="3681"/>
      <c r="C17" s="3682"/>
      <c r="D17" s="3682"/>
      <c r="E17" s="3682"/>
      <c r="F17" s="3682"/>
      <c r="G17" s="3545"/>
      <c r="H17" s="3546"/>
      <c r="I17" s="3708"/>
      <c r="J17" s="3708"/>
      <c r="K17" s="3709">
        <f>G17*$J$9</f>
        <v>0</v>
      </c>
      <c r="L17" s="3709"/>
      <c r="M17" s="3539"/>
      <c r="N17" s="3540"/>
      <c r="O17" s="3540"/>
      <c r="P17" s="3541"/>
      <c r="Q17" s="398"/>
      <c r="U17" s="80"/>
      <c r="V17" s="80"/>
      <c r="W17" s="81"/>
      <c r="X17" s="13"/>
      <c r="Y17" s="83"/>
      <c r="Z17" s="80"/>
      <c r="AA17" s="80"/>
      <c r="AB17" s="80"/>
      <c r="AC17" s="80"/>
      <c r="AD17" s="80"/>
      <c r="AE17" s="80"/>
    </row>
    <row r="18" spans="1:31" s="65" customFormat="1" ht="14.65" customHeight="1" x14ac:dyDescent="0.35">
      <c r="A18" s="1366"/>
      <c r="B18" s="3710"/>
      <c r="C18" s="3711"/>
      <c r="D18" s="3711"/>
      <c r="E18" s="3711"/>
      <c r="F18" s="3711"/>
      <c r="G18" s="3711"/>
      <c r="H18" s="3711"/>
      <c r="I18" s="3711"/>
      <c r="J18" s="3711"/>
      <c r="K18" s="3711"/>
      <c r="L18" s="3712"/>
      <c r="M18" s="3539"/>
      <c r="N18" s="3540"/>
      <c r="O18" s="3540"/>
      <c r="P18" s="3541"/>
      <c r="Q18" s="398"/>
      <c r="U18" s="80"/>
      <c r="V18" s="80"/>
      <c r="W18" s="81"/>
      <c r="X18" s="13"/>
      <c r="Y18" s="83"/>
      <c r="Z18" s="80"/>
      <c r="AA18" s="80"/>
      <c r="AB18" s="80"/>
      <c r="AC18" s="80"/>
      <c r="AD18" s="80"/>
      <c r="AE18" s="80"/>
    </row>
    <row r="19" spans="1:31" s="65" customFormat="1" ht="18" customHeight="1" x14ac:dyDescent="0.35">
      <c r="B19" s="3688" t="s">
        <v>1971</v>
      </c>
      <c r="C19" s="3689"/>
      <c r="D19" s="3689"/>
      <c r="E19" s="3689"/>
      <c r="F19" s="3690"/>
      <c r="G19" s="3549">
        <f>SUM(G20:G23)*12</f>
        <v>92760</v>
      </c>
      <c r="H19" s="3550"/>
      <c r="I19" s="3549">
        <f>SUM(I20:I23)*12</f>
        <v>87194.4</v>
      </c>
      <c r="J19" s="3550"/>
      <c r="K19" s="3706">
        <f>SUM(K20:K23)*12</f>
        <v>5565.6</v>
      </c>
      <c r="L19" s="3707"/>
      <c r="M19" s="3539"/>
      <c r="N19" s="3540"/>
      <c r="O19" s="3540"/>
      <c r="P19" s="3541"/>
      <c r="Q19" s="398"/>
      <c r="U19" s="80"/>
      <c r="V19" s="80"/>
      <c r="W19" s="81"/>
      <c r="X19" s="13"/>
      <c r="Y19" s="83"/>
      <c r="Z19" s="80"/>
      <c r="AA19" s="80"/>
      <c r="AB19" s="80"/>
      <c r="AC19" s="80"/>
      <c r="AD19" s="80"/>
      <c r="AE19" s="80"/>
    </row>
    <row r="20" spans="1:31" s="65" customFormat="1" ht="18" customHeight="1" x14ac:dyDescent="0.35">
      <c r="B20" s="3542" t="s">
        <v>2770</v>
      </c>
      <c r="C20" s="3543"/>
      <c r="D20" s="3543"/>
      <c r="E20" s="3543"/>
      <c r="F20" s="3544"/>
      <c r="G20" s="3545">
        <v>7200</v>
      </c>
      <c r="H20" s="3546"/>
      <c r="I20" s="3551">
        <f>G20-K20</f>
        <v>6768</v>
      </c>
      <c r="J20" s="3552"/>
      <c r="K20" s="3547">
        <f t="shared" ref="K20:K23" si="2">$J$9*G20</f>
        <v>432</v>
      </c>
      <c r="L20" s="3548"/>
      <c r="M20" s="3539" t="s">
        <v>2773</v>
      </c>
      <c r="N20" s="3540"/>
      <c r="O20" s="3540"/>
      <c r="P20" s="3541"/>
      <c r="Q20" s="398"/>
      <c r="U20" s="80"/>
      <c r="V20" s="80"/>
      <c r="W20" s="81"/>
      <c r="X20" s="13"/>
      <c r="Y20" s="83"/>
      <c r="Z20" s="80"/>
      <c r="AA20" s="80"/>
      <c r="AB20" s="80"/>
      <c r="AC20" s="80"/>
      <c r="AD20" s="80"/>
      <c r="AE20" s="80"/>
    </row>
    <row r="21" spans="1:31" s="65" customFormat="1" ht="18" customHeight="1" x14ac:dyDescent="0.35">
      <c r="B21" s="3542" t="s">
        <v>2772</v>
      </c>
      <c r="C21" s="3543"/>
      <c r="D21" s="3543"/>
      <c r="E21" s="3543"/>
      <c r="F21" s="3544"/>
      <c r="G21" s="3545">
        <v>80</v>
      </c>
      <c r="H21" s="3546"/>
      <c r="I21" s="3551">
        <f t="shared" ref="I21:I23" si="3">G21-K21</f>
        <v>75.2</v>
      </c>
      <c r="J21" s="3552"/>
      <c r="K21" s="3547">
        <f t="shared" si="2"/>
        <v>4.8</v>
      </c>
      <c r="L21" s="3548"/>
      <c r="M21" s="3539"/>
      <c r="N21" s="3540"/>
      <c r="O21" s="3540"/>
      <c r="P21" s="3541"/>
      <c r="Q21" s="398"/>
      <c r="U21" s="80"/>
      <c r="V21" s="80"/>
      <c r="W21" s="81"/>
      <c r="X21" s="13"/>
      <c r="Y21" s="83"/>
      <c r="Z21" s="80"/>
      <c r="AA21" s="80"/>
      <c r="AB21" s="80"/>
      <c r="AC21" s="80"/>
      <c r="AD21" s="80"/>
      <c r="AE21" s="80"/>
    </row>
    <row r="22" spans="1:31" s="65" customFormat="1" ht="18" customHeight="1" x14ac:dyDescent="0.35">
      <c r="B22" s="3542" t="s">
        <v>2771</v>
      </c>
      <c r="C22" s="3543"/>
      <c r="D22" s="3543"/>
      <c r="E22" s="3543"/>
      <c r="F22" s="3544"/>
      <c r="G22" s="3545">
        <v>450</v>
      </c>
      <c r="H22" s="3546"/>
      <c r="I22" s="3551">
        <f t="shared" si="3"/>
        <v>423</v>
      </c>
      <c r="J22" s="3552"/>
      <c r="K22" s="3547">
        <f t="shared" si="2"/>
        <v>27</v>
      </c>
      <c r="L22" s="3548"/>
      <c r="M22" s="3539" t="s">
        <v>2774</v>
      </c>
      <c r="N22" s="3540"/>
      <c r="O22" s="3540"/>
      <c r="P22" s="3541"/>
      <c r="Q22" s="398"/>
      <c r="U22" s="80"/>
      <c r="V22" s="80"/>
      <c r="W22" s="81"/>
      <c r="X22" s="13"/>
      <c r="Y22" s="83"/>
      <c r="Z22" s="80"/>
      <c r="AA22" s="80"/>
      <c r="AB22" s="80"/>
      <c r="AC22" s="80"/>
      <c r="AD22" s="80"/>
      <c r="AE22" s="80"/>
    </row>
    <row r="23" spans="1:31" s="65" customFormat="1" ht="18" customHeight="1" x14ac:dyDescent="0.35">
      <c r="B23" s="3542"/>
      <c r="C23" s="3543"/>
      <c r="D23" s="3543"/>
      <c r="E23" s="3543"/>
      <c r="F23" s="3544"/>
      <c r="G23" s="3545"/>
      <c r="H23" s="3546"/>
      <c r="I23" s="3551">
        <f t="shared" si="3"/>
        <v>0</v>
      </c>
      <c r="J23" s="3552"/>
      <c r="K23" s="3547">
        <f t="shared" si="2"/>
        <v>0</v>
      </c>
      <c r="L23" s="3548"/>
      <c r="M23" s="3539"/>
      <c r="N23" s="3540"/>
      <c r="O23" s="3540"/>
      <c r="P23" s="3541"/>
      <c r="Q23" s="398"/>
      <c r="U23" s="80"/>
      <c r="V23" s="80"/>
      <c r="W23" s="81"/>
      <c r="X23" s="13"/>
      <c r="Y23" s="83"/>
      <c r="Z23" s="80"/>
      <c r="AA23" s="80"/>
      <c r="AB23" s="80"/>
      <c r="AC23" s="80"/>
      <c r="AD23" s="80"/>
      <c r="AE23" s="80"/>
    </row>
    <row r="24" spans="1:31" s="65" customFormat="1" ht="18" customHeight="1" x14ac:dyDescent="0.35">
      <c r="A24" s="706"/>
      <c r="B24" s="3716"/>
      <c r="C24" s="3717"/>
      <c r="D24" s="3717"/>
      <c r="E24" s="3717"/>
      <c r="F24" s="3717"/>
      <c r="G24" s="3718"/>
      <c r="H24" s="3719"/>
      <c r="I24" s="3708">
        <f>G24-K24</f>
        <v>0</v>
      </c>
      <c r="J24" s="3708"/>
      <c r="K24" s="3709">
        <f>G24*$J$9</f>
        <v>0</v>
      </c>
      <c r="L24" s="3709"/>
      <c r="M24" s="3657"/>
      <c r="N24" s="3657"/>
      <c r="O24" s="3657"/>
      <c r="P24" s="3658"/>
      <c r="Q24" s="398"/>
      <c r="U24" s="80"/>
      <c r="V24" s="80"/>
      <c r="W24" s="81"/>
      <c r="X24" s="13"/>
      <c r="Y24" s="83"/>
      <c r="Z24" s="80"/>
      <c r="AA24" s="80"/>
      <c r="AB24" s="80"/>
      <c r="AC24" s="80"/>
      <c r="AD24" s="80"/>
      <c r="AE24" s="80"/>
    </row>
    <row r="25" spans="1:31" s="65" customFormat="1" ht="18" customHeight="1" x14ac:dyDescent="0.35">
      <c r="A25" s="706"/>
      <c r="B25" s="3524" t="s">
        <v>535</v>
      </c>
      <c r="C25" s="3525"/>
      <c r="D25" s="3525"/>
      <c r="E25" s="3525"/>
      <c r="F25" s="3526"/>
      <c r="G25" s="3722">
        <f>G19+G10</f>
        <v>92760</v>
      </c>
      <c r="H25" s="3722"/>
      <c r="I25" s="3722">
        <f>I19+I10</f>
        <v>87194.4</v>
      </c>
      <c r="J25" s="3722"/>
      <c r="K25" s="3656">
        <f>K19+K10</f>
        <v>5565.6</v>
      </c>
      <c r="L25" s="3656"/>
      <c r="M25" s="3031">
        <f>K25/G46</f>
        <v>2.0037442396313367E-2</v>
      </c>
      <c r="N25" s="3029" t="s">
        <v>2889</v>
      </c>
      <c r="O25" s="3029"/>
      <c r="P25" s="3030"/>
      <c r="Q25" s="398"/>
      <c r="U25" s="80"/>
      <c r="V25" s="80"/>
      <c r="W25" s="81"/>
      <c r="X25" s="13"/>
      <c r="Y25" s="83"/>
      <c r="Z25" s="80"/>
      <c r="AA25" s="80"/>
      <c r="AB25" s="80"/>
      <c r="AC25" s="80"/>
      <c r="AD25" s="80"/>
      <c r="AE25" s="80"/>
    </row>
    <row r="26" spans="1:31" s="65" customFormat="1" ht="14.25" customHeight="1" x14ac:dyDescent="0.35">
      <c r="A26" s="706"/>
      <c r="B26" s="3683" t="s">
        <v>2111</v>
      </c>
      <c r="C26" s="3684"/>
      <c r="D26" s="3684"/>
      <c r="E26" s="3684"/>
      <c r="F26" s="3685"/>
      <c r="G26" s="3686">
        <f>G10/G25</f>
        <v>0</v>
      </c>
      <c r="H26" s="3687"/>
      <c r="I26" s="3686">
        <f>I10/I25</f>
        <v>0</v>
      </c>
      <c r="J26" s="3687"/>
      <c r="K26" s="3686"/>
      <c r="L26" s="3687"/>
      <c r="M26" s="3720"/>
      <c r="N26" s="3720"/>
      <c r="O26" s="3720"/>
      <c r="P26" s="3721"/>
      <c r="Q26" s="398"/>
      <c r="U26" s="80"/>
      <c r="V26" s="80"/>
      <c r="W26" s="81"/>
      <c r="X26" s="13"/>
      <c r="Y26" s="83"/>
      <c r="Z26" s="80"/>
      <c r="AA26" s="80"/>
      <c r="AB26" s="80"/>
      <c r="AC26" s="80"/>
      <c r="AD26" s="80"/>
      <c r="AE26" s="80"/>
    </row>
    <row r="27" spans="1:31" s="65" customFormat="1" ht="14.25" customHeight="1" x14ac:dyDescent="0.35">
      <c r="A27" s="706"/>
      <c r="B27" s="3683" t="s">
        <v>2112</v>
      </c>
      <c r="C27" s="3684"/>
      <c r="D27" s="3684"/>
      <c r="E27" s="3684"/>
      <c r="F27" s="3685"/>
      <c r="G27" s="3686">
        <f>G19/G25</f>
        <v>1</v>
      </c>
      <c r="H27" s="3687"/>
      <c r="I27" s="3686">
        <f>I19/I25</f>
        <v>1</v>
      </c>
      <c r="J27" s="3687"/>
      <c r="K27" s="3686"/>
      <c r="L27" s="3687"/>
      <c r="M27" s="3720"/>
      <c r="N27" s="3720"/>
      <c r="O27" s="3720"/>
      <c r="P27" s="3721"/>
      <c r="Q27" s="398"/>
      <c r="U27" s="80"/>
      <c r="V27" s="80"/>
      <c r="W27" s="81"/>
      <c r="X27" s="13"/>
      <c r="Y27" s="83"/>
      <c r="Z27" s="80"/>
      <c r="AA27" s="80"/>
      <c r="AB27" s="80"/>
      <c r="AC27" s="80"/>
      <c r="AD27" s="80"/>
      <c r="AE27" s="80"/>
    </row>
    <row r="28" spans="1:31" s="65" customFormat="1" ht="15.75" customHeight="1" x14ac:dyDescent="0.35">
      <c r="A28" s="706"/>
      <c r="B28" s="3713"/>
      <c r="C28" s="3714"/>
      <c r="D28" s="3714"/>
      <c r="E28" s="3714"/>
      <c r="F28" s="3714"/>
      <c r="G28" s="3714"/>
      <c r="H28" s="3714"/>
      <c r="I28" s="3714"/>
      <c r="J28" s="3714"/>
      <c r="K28" s="3714"/>
      <c r="L28" s="3714"/>
      <c r="M28" s="3714"/>
      <c r="N28" s="3714"/>
      <c r="O28" s="3714"/>
      <c r="P28" s="3715"/>
      <c r="Q28" s="398"/>
      <c r="U28" s="80"/>
      <c r="V28" s="80"/>
      <c r="W28" s="81"/>
      <c r="X28" s="13"/>
      <c r="Y28" s="83"/>
      <c r="Z28" s="80"/>
      <c r="AA28" s="80"/>
      <c r="AB28" s="80"/>
      <c r="AC28" s="80"/>
      <c r="AD28" s="80"/>
      <c r="AE28" s="80"/>
    </row>
    <row r="29" spans="1:31" s="65" customFormat="1" ht="30.75" customHeight="1" x14ac:dyDescent="0.35">
      <c r="A29" s="706"/>
      <c r="B29" s="3698" t="s">
        <v>2329</v>
      </c>
      <c r="C29" s="3699"/>
      <c r="D29" s="3699"/>
      <c r="E29" s="3699"/>
      <c r="F29" s="3699"/>
      <c r="M29" s="708"/>
      <c r="N29" s="708"/>
      <c r="O29" s="708"/>
      <c r="P29" s="709"/>
      <c r="Q29" s="398"/>
      <c r="U29" s="80"/>
      <c r="V29" s="80"/>
      <c r="W29" s="81"/>
      <c r="X29" s="13"/>
      <c r="Y29" s="83"/>
      <c r="Z29" s="80"/>
      <c r="AA29" s="80"/>
      <c r="AB29" s="80"/>
      <c r="AC29" s="80"/>
      <c r="AD29" s="80"/>
      <c r="AE29" s="80"/>
    </row>
    <row r="30" spans="1:31" s="65" customFormat="1" ht="14.65" customHeight="1" x14ac:dyDescent="0.35">
      <c r="A30" s="1366"/>
      <c r="B30" s="3710"/>
      <c r="C30" s="3711"/>
      <c r="D30" s="3711"/>
      <c r="E30" s="3711"/>
      <c r="F30" s="3711"/>
      <c r="G30" s="3711"/>
      <c r="H30" s="3711"/>
      <c r="I30" s="3711"/>
      <c r="J30" s="3711"/>
      <c r="K30" s="3711"/>
      <c r="L30" s="3712"/>
      <c r="M30" s="3539"/>
      <c r="N30" s="3540"/>
      <c r="O30" s="3540"/>
      <c r="P30" s="3541"/>
      <c r="Q30" s="398"/>
      <c r="U30" s="80"/>
      <c r="V30" s="80"/>
      <c r="W30" s="81"/>
      <c r="X30" s="13"/>
      <c r="Y30" s="83"/>
      <c r="Z30" s="80"/>
      <c r="AA30" s="80"/>
      <c r="AB30" s="80"/>
      <c r="AC30" s="80"/>
      <c r="AD30" s="80"/>
      <c r="AE30" s="80"/>
    </row>
    <row r="31" spans="1:31" s="65" customFormat="1" ht="34.5" customHeight="1" x14ac:dyDescent="0.35">
      <c r="B31" s="3688" t="s">
        <v>2330</v>
      </c>
      <c r="C31" s="3689"/>
      <c r="D31" s="3689"/>
      <c r="E31" s="3689"/>
      <c r="F31" s="3690"/>
      <c r="G31" s="3560" t="s">
        <v>1318</v>
      </c>
      <c r="H31" s="3560"/>
      <c r="I31" s="3560" t="s">
        <v>867</v>
      </c>
      <c r="J31" s="3560"/>
      <c r="K31" s="3560" t="s">
        <v>1246</v>
      </c>
      <c r="L31" s="3560"/>
      <c r="M31" s="3539"/>
      <c r="N31" s="3540"/>
      <c r="O31" s="3540"/>
      <c r="P31" s="3541"/>
      <c r="Q31" s="398"/>
      <c r="U31" s="80"/>
      <c r="V31" s="80"/>
      <c r="W31" s="81"/>
      <c r="X31" s="13"/>
      <c r="Y31" s="83"/>
      <c r="Z31" s="80"/>
      <c r="AA31" s="80"/>
      <c r="AB31" s="80"/>
      <c r="AC31" s="80"/>
      <c r="AD31" s="80"/>
      <c r="AE31" s="80"/>
    </row>
    <row r="32" spans="1:31" s="65" customFormat="1" ht="18" customHeight="1" x14ac:dyDescent="0.35">
      <c r="A32" s="706"/>
      <c r="B32" s="3542" t="s">
        <v>2775</v>
      </c>
      <c r="C32" s="3543"/>
      <c r="D32" s="3543"/>
      <c r="E32" s="3543"/>
      <c r="F32" s="3544"/>
      <c r="G32" s="3670"/>
      <c r="H32" s="3671"/>
      <c r="I32" s="3672"/>
      <c r="J32" s="3672"/>
      <c r="K32" s="3638">
        <v>100000</v>
      </c>
      <c r="L32" s="3639"/>
      <c r="M32" s="3657" t="s">
        <v>2776</v>
      </c>
      <c r="N32" s="3657"/>
      <c r="O32" s="3657"/>
      <c r="P32" s="3658"/>
      <c r="Q32" s="398"/>
      <c r="U32" s="80"/>
      <c r="V32" s="80"/>
      <c r="W32" s="81"/>
      <c r="X32" s="13"/>
      <c r="Y32" s="83"/>
      <c r="Z32" s="80"/>
      <c r="AA32" s="80"/>
      <c r="AB32" s="80"/>
      <c r="AC32" s="80"/>
      <c r="AD32" s="80"/>
      <c r="AE32" s="80"/>
    </row>
    <row r="33" spans="1:31" s="65" customFormat="1" ht="18" customHeight="1" x14ac:dyDescent="0.35">
      <c r="A33" s="706"/>
      <c r="B33" s="3542" t="s">
        <v>2777</v>
      </c>
      <c r="C33" s="3543"/>
      <c r="D33" s="3543"/>
      <c r="E33" s="3543"/>
      <c r="F33" s="3544"/>
      <c r="G33" s="3670"/>
      <c r="H33" s="3671"/>
      <c r="I33" s="3672"/>
      <c r="J33" s="3672"/>
      <c r="K33" s="3673">
        <v>25000</v>
      </c>
      <c r="L33" s="3674"/>
      <c r="M33" s="3657"/>
      <c r="N33" s="3657"/>
      <c r="O33" s="3657"/>
      <c r="P33" s="3658"/>
      <c r="Q33" s="398"/>
      <c r="U33" s="80"/>
      <c r="V33" s="80"/>
      <c r="W33" s="81"/>
      <c r="X33" s="13"/>
      <c r="Y33" s="83"/>
      <c r="Z33" s="80"/>
      <c r="AA33" s="80"/>
      <c r="AB33" s="80"/>
      <c r="AC33" s="80"/>
      <c r="AD33" s="80"/>
      <c r="AE33" s="80"/>
    </row>
    <row r="34" spans="1:31" s="65" customFormat="1" ht="18" customHeight="1" x14ac:dyDescent="0.35">
      <c r="A34" s="706"/>
      <c r="B34" s="3542" t="s">
        <v>2778</v>
      </c>
      <c r="C34" s="3543"/>
      <c r="D34" s="3543"/>
      <c r="E34" s="3543"/>
      <c r="F34" s="3544"/>
      <c r="G34" s="3670"/>
      <c r="H34" s="3671"/>
      <c r="I34" s="3672"/>
      <c r="J34" s="3672"/>
      <c r="K34" s="3673">
        <v>50000</v>
      </c>
      <c r="L34" s="3674"/>
      <c r="M34" s="3675"/>
      <c r="N34" s="3676"/>
      <c r="O34" s="3676"/>
      <c r="P34" s="3677"/>
      <c r="Q34" s="398"/>
      <c r="U34" s="80"/>
      <c r="V34" s="80"/>
      <c r="W34" s="81"/>
      <c r="X34" s="13"/>
      <c r="Y34" s="83"/>
      <c r="Z34" s="80"/>
      <c r="AA34" s="80"/>
      <c r="AB34" s="80"/>
      <c r="AC34" s="80"/>
      <c r="AD34" s="80"/>
      <c r="AE34" s="80"/>
    </row>
    <row r="35" spans="1:31" s="65" customFormat="1" ht="18" customHeight="1" x14ac:dyDescent="0.35">
      <c r="A35" s="706"/>
      <c r="B35" s="3542" t="s">
        <v>2786</v>
      </c>
      <c r="C35" s="3543"/>
      <c r="D35" s="3543"/>
      <c r="E35" s="3543"/>
      <c r="F35" s="3544"/>
      <c r="G35" s="3670">
        <v>1000</v>
      </c>
      <c r="H35" s="3671"/>
      <c r="I35" s="3672">
        <v>10</v>
      </c>
      <c r="J35" s="3672"/>
      <c r="K35" s="3673">
        <f t="shared" ref="K35:K38" si="4">I35*G35</f>
        <v>10000</v>
      </c>
      <c r="L35" s="3674"/>
      <c r="M35" s="3675"/>
      <c r="N35" s="3676"/>
      <c r="O35" s="3676"/>
      <c r="P35" s="3677"/>
      <c r="Q35" s="398"/>
      <c r="U35" s="80"/>
      <c r="V35" s="80"/>
      <c r="W35" s="81"/>
      <c r="X35" s="13"/>
      <c r="Y35" s="83"/>
      <c r="Z35" s="80"/>
      <c r="AA35" s="80"/>
      <c r="AB35" s="80"/>
      <c r="AC35" s="80"/>
      <c r="AD35" s="80"/>
      <c r="AE35" s="80"/>
    </row>
    <row r="36" spans="1:31" s="65" customFormat="1" ht="18" customHeight="1" x14ac:dyDescent="0.35">
      <c r="A36" s="706"/>
      <c r="B36" s="3542" t="s">
        <v>2847</v>
      </c>
      <c r="C36" s="3543"/>
      <c r="D36" s="3543"/>
      <c r="E36" s="3543"/>
      <c r="F36" s="3544"/>
      <c r="G36" s="3670"/>
      <c r="H36" s="3671"/>
      <c r="I36" s="3672"/>
      <c r="J36" s="3672"/>
      <c r="K36" s="3673">
        <f t="shared" si="4"/>
        <v>0</v>
      </c>
      <c r="L36" s="3674"/>
      <c r="M36" s="3675"/>
      <c r="N36" s="3676"/>
      <c r="O36" s="3676"/>
      <c r="P36" s="3677"/>
      <c r="Q36" s="398"/>
      <c r="U36" s="80"/>
      <c r="V36" s="80"/>
      <c r="W36" s="81"/>
      <c r="X36" s="13"/>
      <c r="Y36" s="83"/>
      <c r="Z36" s="80"/>
      <c r="AA36" s="80"/>
      <c r="AB36" s="80"/>
      <c r="AC36" s="80"/>
      <c r="AD36" s="80"/>
      <c r="AE36" s="80"/>
    </row>
    <row r="37" spans="1:31" s="65" customFormat="1" ht="15.75" customHeight="1" x14ac:dyDescent="0.35">
      <c r="A37" s="706"/>
      <c r="B37" s="3542" t="s">
        <v>2848</v>
      </c>
      <c r="C37" s="3543"/>
      <c r="D37" s="3543"/>
      <c r="E37" s="3543"/>
      <c r="F37" s="3544"/>
      <c r="G37" s="3670"/>
      <c r="H37" s="3671"/>
      <c r="I37" s="3672"/>
      <c r="J37" s="3672"/>
      <c r="K37" s="3673">
        <f t="shared" si="4"/>
        <v>0</v>
      </c>
      <c r="L37" s="3674"/>
      <c r="M37" s="3657"/>
      <c r="N37" s="3657"/>
      <c r="O37" s="3657"/>
      <c r="P37" s="3658"/>
      <c r="Q37" s="398"/>
      <c r="U37" s="80"/>
      <c r="V37" s="80"/>
      <c r="W37" s="81"/>
      <c r="X37" s="13"/>
      <c r="Y37" s="83"/>
      <c r="Z37" s="80"/>
      <c r="AA37" s="80"/>
      <c r="AB37" s="80"/>
      <c r="AC37" s="80"/>
      <c r="AD37" s="80"/>
      <c r="AE37" s="80"/>
    </row>
    <row r="38" spans="1:31" s="65" customFormat="1" ht="18" customHeight="1" x14ac:dyDescent="0.35">
      <c r="A38" s="706"/>
      <c r="B38" s="3678" t="s">
        <v>2020</v>
      </c>
      <c r="C38" s="3679"/>
      <c r="D38" s="3679"/>
      <c r="E38" s="3679"/>
      <c r="F38" s="3680"/>
      <c r="G38" s="3659"/>
      <c r="H38" s="3660"/>
      <c r="I38" s="3661"/>
      <c r="J38" s="3661"/>
      <c r="K38" s="3662">
        <f t="shared" si="4"/>
        <v>0</v>
      </c>
      <c r="L38" s="3663"/>
      <c r="M38" s="3675"/>
      <c r="N38" s="3676"/>
      <c r="O38" s="3676"/>
      <c r="P38" s="3677"/>
      <c r="Q38" s="398"/>
      <c r="U38" s="80"/>
      <c r="V38" s="80"/>
      <c r="W38" s="81"/>
      <c r="X38" s="13"/>
      <c r="Y38" s="83"/>
      <c r="Z38" s="80"/>
      <c r="AA38" s="80"/>
      <c r="AB38" s="80"/>
      <c r="AC38" s="80"/>
      <c r="AD38" s="80"/>
      <c r="AE38" s="80"/>
    </row>
    <row r="39" spans="1:31" s="65" customFormat="1" ht="18" customHeight="1" x14ac:dyDescent="0.35">
      <c r="A39" s="706"/>
      <c r="B39" s="3542" t="s">
        <v>1972</v>
      </c>
      <c r="C39" s="3543"/>
      <c r="D39" s="3543"/>
      <c r="E39" s="3543"/>
      <c r="F39" s="3544"/>
      <c r="G39" s="3659"/>
      <c r="H39" s="3660"/>
      <c r="I39" s="3661"/>
      <c r="J39" s="3661"/>
      <c r="K39" s="3662"/>
      <c r="L39" s="3663"/>
      <c r="M39" s="3657"/>
      <c r="N39" s="3657"/>
      <c r="O39" s="3657"/>
      <c r="P39" s="3658"/>
      <c r="Q39" s="398"/>
      <c r="U39" s="80"/>
      <c r="V39" s="80"/>
      <c r="W39" s="81"/>
      <c r="X39" s="13"/>
      <c r="Y39" s="83"/>
      <c r="Z39" s="80"/>
      <c r="AA39" s="80"/>
      <c r="AB39" s="80"/>
      <c r="AC39" s="80"/>
      <c r="AD39" s="80"/>
      <c r="AE39" s="80"/>
    </row>
    <row r="40" spans="1:31" s="65" customFormat="1" ht="18" customHeight="1" x14ac:dyDescent="0.35">
      <c r="A40" s="706"/>
      <c r="B40" s="2430" t="s">
        <v>1973</v>
      </c>
      <c r="C40" s="2431"/>
      <c r="D40" s="2431"/>
      <c r="E40" s="2431"/>
      <c r="F40" s="2432"/>
      <c r="G40" s="3659"/>
      <c r="H40" s="3660"/>
      <c r="I40" s="3661"/>
      <c r="J40" s="3661"/>
      <c r="K40" s="3662">
        <f t="shared" ref="K40:K42" si="5">I40*G40</f>
        <v>0</v>
      </c>
      <c r="L40" s="3663"/>
      <c r="M40" s="3657"/>
      <c r="N40" s="3657"/>
      <c r="O40" s="3657"/>
      <c r="P40" s="3658"/>
      <c r="Q40" s="398"/>
      <c r="U40" s="80"/>
      <c r="V40" s="80"/>
      <c r="W40" s="81"/>
      <c r="X40" s="13"/>
      <c r="Y40" s="83"/>
      <c r="Z40" s="80"/>
      <c r="AA40" s="80"/>
      <c r="AB40" s="80"/>
      <c r="AC40" s="80"/>
      <c r="AD40" s="80"/>
      <c r="AE40" s="80"/>
    </row>
    <row r="41" spans="1:31" s="65" customFormat="1" ht="18" customHeight="1" x14ac:dyDescent="0.35">
      <c r="A41" s="706"/>
      <c r="B41" s="2430" t="s">
        <v>1974</v>
      </c>
      <c r="C41" s="2431"/>
      <c r="D41" s="2431"/>
      <c r="E41" s="2431"/>
      <c r="F41" s="2432"/>
      <c r="G41" s="3659"/>
      <c r="H41" s="3660"/>
      <c r="I41" s="3661"/>
      <c r="J41" s="3661"/>
      <c r="K41" s="3662">
        <f t="shared" si="5"/>
        <v>0</v>
      </c>
      <c r="L41" s="3663"/>
      <c r="M41" s="3657"/>
      <c r="N41" s="3657"/>
      <c r="O41" s="3657"/>
      <c r="P41" s="3658"/>
      <c r="Q41" s="398"/>
      <c r="U41" s="80"/>
      <c r="V41" s="80"/>
      <c r="W41" s="81"/>
      <c r="X41" s="13"/>
      <c r="Y41" s="83"/>
      <c r="Z41" s="80"/>
      <c r="AA41" s="80"/>
      <c r="AB41" s="80"/>
      <c r="AC41" s="80"/>
      <c r="AD41" s="80"/>
      <c r="AE41" s="80"/>
    </row>
    <row r="42" spans="1:31" s="65" customFormat="1" ht="18" customHeight="1" x14ac:dyDescent="0.35">
      <c r="A42" s="706"/>
      <c r="B42" s="3542" t="s">
        <v>128</v>
      </c>
      <c r="C42" s="3543"/>
      <c r="D42" s="3543"/>
      <c r="E42" s="3543"/>
      <c r="F42" s="3544"/>
      <c r="G42" s="3659"/>
      <c r="H42" s="3660"/>
      <c r="I42" s="3661"/>
      <c r="J42" s="3661"/>
      <c r="K42" s="3662">
        <f t="shared" si="5"/>
        <v>0</v>
      </c>
      <c r="L42" s="3663"/>
      <c r="M42" s="3657"/>
      <c r="N42" s="3657"/>
      <c r="O42" s="3657"/>
      <c r="P42" s="3658"/>
      <c r="Q42" s="398"/>
      <c r="U42" s="80"/>
      <c r="V42" s="80"/>
      <c r="W42" s="81"/>
      <c r="X42" s="13"/>
      <c r="Y42" s="83"/>
      <c r="Z42" s="80"/>
      <c r="AA42" s="80"/>
      <c r="AB42" s="80"/>
      <c r="AC42" s="80"/>
      <c r="AD42" s="80"/>
      <c r="AE42" s="80"/>
    </row>
    <row r="43" spans="1:31" s="65" customFormat="1" ht="18" customHeight="1" x14ac:dyDescent="0.35">
      <c r="A43" s="706"/>
      <c r="B43" s="3524" t="s">
        <v>536</v>
      </c>
      <c r="C43" s="3525"/>
      <c r="D43" s="3525"/>
      <c r="E43" s="3525"/>
      <c r="F43" s="3526"/>
      <c r="G43" s="3655"/>
      <c r="H43" s="3655"/>
      <c r="I43" s="3655">
        <f>SUM(I32:J42)</f>
        <v>10</v>
      </c>
      <c r="J43" s="3655"/>
      <c r="K43" s="3656">
        <f>SUM(K32:L42)</f>
        <v>185000</v>
      </c>
      <c r="L43" s="3656"/>
      <c r="M43" s="3031">
        <f>K43/G46</f>
        <v>0.66604262672811065</v>
      </c>
      <c r="N43" s="3029" t="s">
        <v>2888</v>
      </c>
      <c r="O43" s="3029"/>
      <c r="P43" s="3030"/>
      <c r="Q43" s="398"/>
      <c r="U43" s="80"/>
      <c r="V43" s="80"/>
      <c r="W43" s="81"/>
      <c r="X43" s="13"/>
      <c r="Y43" s="83"/>
      <c r="Z43" s="80"/>
      <c r="AA43" s="80"/>
      <c r="AB43" s="80"/>
      <c r="AC43" s="80"/>
      <c r="AD43" s="80"/>
      <c r="AE43" s="80"/>
    </row>
    <row r="44" spans="1:31" s="65" customFormat="1" ht="9" customHeight="1" thickBot="1" x14ac:dyDescent="0.4">
      <c r="A44" s="706"/>
      <c r="B44" s="3527"/>
      <c r="C44" s="3528"/>
      <c r="D44" s="3528"/>
      <c r="E44" s="3528"/>
      <c r="F44" s="3528"/>
      <c r="G44" s="3528"/>
      <c r="H44" s="3528"/>
      <c r="I44" s="3528"/>
      <c r="J44" s="3528"/>
      <c r="K44" s="3528"/>
      <c r="L44" s="3528"/>
      <c r="M44" s="3528"/>
      <c r="N44" s="3528"/>
      <c r="O44" s="3528"/>
      <c r="P44" s="3529"/>
      <c r="Q44" s="398"/>
      <c r="U44" s="80"/>
      <c r="V44" s="80"/>
      <c r="W44" s="81"/>
      <c r="X44" s="84"/>
      <c r="Y44" s="83"/>
      <c r="Z44" s="80"/>
      <c r="AA44" s="80"/>
      <c r="AB44" s="80"/>
      <c r="AC44" s="80"/>
      <c r="AD44" s="80"/>
      <c r="AE44" s="80"/>
    </row>
    <row r="45" spans="1:31" s="65" customFormat="1" ht="36" customHeight="1" thickTop="1" thickBot="1" x14ac:dyDescent="0.4">
      <c r="A45" s="706"/>
      <c r="B45" s="1274"/>
      <c r="C45" s="1275"/>
      <c r="D45" s="1275"/>
      <c r="E45" s="1275"/>
      <c r="F45" s="1275"/>
      <c r="G45" s="3530" t="s">
        <v>870</v>
      </c>
      <c r="H45" s="3530"/>
      <c r="I45" s="3530" t="str">
        <f>I7</f>
        <v>CA pour EQUINIX</v>
      </c>
      <c r="J45" s="3530"/>
      <c r="K45" s="3531" t="s">
        <v>871</v>
      </c>
      <c r="L45" s="3531"/>
      <c r="M45" s="3532"/>
      <c r="N45" s="3533"/>
      <c r="O45" s="3533"/>
      <c r="P45" s="3534"/>
      <c r="Q45" s="398"/>
      <c r="U45" s="80"/>
      <c r="V45" s="80"/>
      <c r="W45" s="81"/>
      <c r="X45" s="84"/>
      <c r="Y45" s="83"/>
      <c r="Z45" s="80"/>
      <c r="AA45" s="80"/>
      <c r="AB45" s="80"/>
      <c r="AC45" s="80"/>
      <c r="AD45" s="80"/>
      <c r="AE45" s="80"/>
    </row>
    <row r="46" spans="1:31" s="11" customFormat="1" ht="20.25" customHeight="1" thickTop="1" thickBot="1" x14ac:dyDescent="0.4">
      <c r="A46" s="710"/>
      <c r="B46" s="3535" t="s">
        <v>436</v>
      </c>
      <c r="C46" s="3536"/>
      <c r="D46" s="3536"/>
      <c r="E46" s="3536"/>
      <c r="F46" s="3537"/>
      <c r="G46" s="3538">
        <f>G25+K43</f>
        <v>277760</v>
      </c>
      <c r="H46" s="3538"/>
      <c r="I46" s="3538">
        <f>G25-K25</f>
        <v>87194.4</v>
      </c>
      <c r="J46" s="3538"/>
      <c r="K46" s="3538">
        <f>K25+K43</f>
        <v>190565.6</v>
      </c>
      <c r="L46" s="3538"/>
      <c r="M46" s="2555">
        <f>K46/I46</f>
        <v>2.1855256759608417</v>
      </c>
      <c r="N46" s="3562" t="s">
        <v>2218</v>
      </c>
      <c r="O46" s="3563"/>
      <c r="P46" s="3564"/>
      <c r="Q46" s="711"/>
      <c r="U46" s="12"/>
      <c r="V46" s="12"/>
      <c r="W46" s="14"/>
      <c r="X46" s="15"/>
      <c r="Y46" s="16"/>
      <c r="Z46" s="12"/>
      <c r="AA46" s="12"/>
      <c r="AB46" s="12"/>
      <c r="AC46" s="12"/>
      <c r="AD46" s="12"/>
      <c r="AE46" s="12"/>
    </row>
    <row r="47" spans="1:31" s="345" customFormat="1" ht="24" customHeight="1" thickTop="1" thickBot="1" x14ac:dyDescent="0.4">
      <c r="A47" s="712"/>
      <c r="B47" s="713"/>
      <c r="C47" s="714"/>
      <c r="D47" s="714"/>
      <c r="E47" s="714"/>
      <c r="F47" s="714"/>
      <c r="G47" s="3567"/>
      <c r="H47" s="3568"/>
      <c r="I47" s="3569">
        <f>I46/G46</f>
        <v>0.31391993087557601</v>
      </c>
      <c r="J47" s="3569"/>
      <c r="K47" s="3569">
        <f>K46/G46</f>
        <v>0.68608006912442399</v>
      </c>
      <c r="L47" s="3569"/>
      <c r="M47" s="2556">
        <f>K46/G46</f>
        <v>0.68608006912442399</v>
      </c>
      <c r="N47" s="3565" t="s">
        <v>2219</v>
      </c>
      <c r="O47" s="3565"/>
      <c r="P47" s="3566"/>
      <c r="Q47" s="717"/>
      <c r="U47" s="346"/>
      <c r="V47" s="346"/>
      <c r="W47" s="347"/>
      <c r="X47" s="348"/>
      <c r="Y47" s="349"/>
      <c r="Z47" s="346"/>
      <c r="AA47" s="346"/>
      <c r="AB47" s="346"/>
      <c r="AC47" s="346"/>
      <c r="AD47" s="346"/>
      <c r="AE47" s="346"/>
    </row>
    <row r="48" spans="1:31" ht="24" customHeight="1" thickTop="1" thickBot="1" x14ac:dyDescent="0.6">
      <c r="A48" s="1325"/>
      <c r="B48" s="718"/>
      <c r="C48" s="64"/>
      <c r="D48" s="64"/>
      <c r="E48" s="64"/>
      <c r="F48" s="64"/>
      <c r="G48" s="1326"/>
      <c r="H48" s="1326"/>
      <c r="I48" s="719"/>
      <c r="J48" s="1325"/>
      <c r="K48" s="720" t="s">
        <v>2475</v>
      </c>
      <c r="L48" s="720" t="s">
        <v>2476</v>
      </c>
      <c r="M48" s="721"/>
      <c r="N48" s="722"/>
      <c r="O48" s="722"/>
      <c r="P48" s="722"/>
      <c r="Q48" s="463"/>
      <c r="R48" s="63"/>
      <c r="U48" s="66"/>
      <c r="V48" s="66"/>
      <c r="W48" s="72"/>
      <c r="X48" s="17"/>
      <c r="Y48" s="73"/>
      <c r="Z48" s="66"/>
      <c r="AA48" s="66"/>
      <c r="AB48" s="66"/>
      <c r="AC48" s="66"/>
      <c r="AD48" s="66"/>
      <c r="AE48" s="66"/>
    </row>
    <row r="49" spans="1:31" ht="15.75" customHeight="1" thickTop="1" thickBot="1" x14ac:dyDescent="0.4">
      <c r="A49" s="1325"/>
      <c r="B49" s="723"/>
      <c r="C49" s="724"/>
      <c r="D49" s="724"/>
      <c r="E49" s="724"/>
      <c r="F49" s="724"/>
      <c r="G49" s="3553" t="s">
        <v>1057</v>
      </c>
      <c r="H49" s="3554"/>
      <c r="I49" s="3553" t="s">
        <v>2331</v>
      </c>
      <c r="J49" s="3554"/>
      <c r="K49" s="3553" t="s">
        <v>1058</v>
      </c>
      <c r="L49" s="3554"/>
      <c r="M49" s="725"/>
      <c r="N49" s="725"/>
      <c r="O49" s="725"/>
      <c r="P49" s="726"/>
      <c r="Q49" s="463"/>
      <c r="R49" s="63"/>
      <c r="U49" s="66"/>
      <c r="V49" s="66"/>
      <c r="W49" s="72"/>
      <c r="X49" s="85"/>
      <c r="Y49" s="73"/>
      <c r="Z49" s="66"/>
      <c r="AA49" s="66"/>
      <c r="AB49" s="66"/>
      <c r="AC49" s="66"/>
      <c r="AD49" s="66"/>
      <c r="AE49" s="66"/>
    </row>
    <row r="50" spans="1:31" s="65" customFormat="1" ht="39.75" customHeight="1" thickBot="1" x14ac:dyDescent="0.4">
      <c r="A50" s="706"/>
      <c r="B50" s="3555" t="s">
        <v>2208</v>
      </c>
      <c r="C50" s="3556"/>
      <c r="D50" s="3556"/>
      <c r="E50" s="3556"/>
      <c r="F50" s="3556"/>
      <c r="G50" s="3557" t="s">
        <v>2332</v>
      </c>
      <c r="H50" s="3558"/>
      <c r="I50" s="707" t="s">
        <v>903</v>
      </c>
      <c r="J50" s="734">
        <v>0</v>
      </c>
      <c r="K50" s="3557">
        <f>K11</f>
        <v>0</v>
      </c>
      <c r="L50" s="3558"/>
      <c r="M50" s="3559" t="s">
        <v>18</v>
      </c>
      <c r="N50" s="3560"/>
      <c r="O50" s="3560"/>
      <c r="P50" s="3561"/>
      <c r="Q50" s="398"/>
      <c r="U50" s="80"/>
      <c r="V50" s="80"/>
      <c r="W50" s="81"/>
      <c r="X50" s="13"/>
      <c r="Y50" s="83"/>
      <c r="Z50" s="80"/>
      <c r="AA50" s="80"/>
      <c r="AB50" s="80"/>
      <c r="AC50" s="80"/>
      <c r="AD50" s="80"/>
      <c r="AE50" s="80"/>
    </row>
    <row r="51" spans="1:31" s="65" customFormat="1" ht="33" customHeight="1" x14ac:dyDescent="0.35">
      <c r="A51" s="706"/>
      <c r="B51" s="3628" t="s">
        <v>2333</v>
      </c>
      <c r="C51" s="3629"/>
      <c r="D51" s="3629"/>
      <c r="E51" s="3629"/>
      <c r="F51" s="3629"/>
      <c r="G51" s="3630">
        <v>184000</v>
      </c>
      <c r="H51" s="3630"/>
      <c r="I51" s="3631">
        <v>184000</v>
      </c>
      <c r="J51" s="3632"/>
      <c r="K51" s="3633">
        <f>G51*J50</f>
        <v>0</v>
      </c>
      <c r="L51" s="3634"/>
      <c r="M51" s="3667"/>
      <c r="N51" s="3668"/>
      <c r="O51" s="3668"/>
      <c r="P51" s="3669"/>
      <c r="Q51" s="398"/>
      <c r="U51" s="80"/>
      <c r="V51" s="80"/>
      <c r="W51" s="81"/>
      <c r="X51" s="13"/>
      <c r="Y51" s="83"/>
      <c r="Z51" s="80"/>
      <c r="AA51" s="80"/>
      <c r="AB51" s="80"/>
      <c r="AC51" s="80"/>
      <c r="AD51" s="80"/>
      <c r="AE51" s="80"/>
    </row>
    <row r="52" spans="1:31" s="65" customFormat="1" ht="35.25" customHeight="1" x14ac:dyDescent="0.35">
      <c r="A52" s="706"/>
      <c r="B52" s="3628" t="s">
        <v>2334</v>
      </c>
      <c r="C52" s="3629"/>
      <c r="D52" s="3629"/>
      <c r="E52" s="3629"/>
      <c r="F52" s="3629"/>
      <c r="G52" s="3630"/>
      <c r="H52" s="3630"/>
      <c r="I52" s="3631">
        <f t="shared" ref="I52:I54" si="6">G52-K52</f>
        <v>0</v>
      </c>
      <c r="J52" s="3632"/>
      <c r="K52" s="3633">
        <f>G52*$J$50</f>
        <v>0</v>
      </c>
      <c r="L52" s="3634"/>
      <c r="M52" s="3635"/>
      <c r="N52" s="3636"/>
      <c r="O52" s="3636"/>
      <c r="P52" s="3637"/>
      <c r="Q52" s="398"/>
      <c r="U52" s="80"/>
      <c r="V52" s="80"/>
      <c r="W52" s="81"/>
      <c r="X52" s="13"/>
      <c r="Y52" s="83"/>
      <c r="Z52" s="80"/>
      <c r="AA52" s="80"/>
      <c r="AB52" s="80"/>
      <c r="AC52" s="80"/>
      <c r="AD52" s="80"/>
      <c r="AE52" s="80"/>
    </row>
    <row r="53" spans="1:31" s="65" customFormat="1" ht="36.75" customHeight="1" x14ac:dyDescent="0.35">
      <c r="A53" s="706"/>
      <c r="B53" s="3628" t="s">
        <v>2335</v>
      </c>
      <c r="C53" s="3629"/>
      <c r="D53" s="3629"/>
      <c r="E53" s="3629"/>
      <c r="F53" s="3629"/>
      <c r="G53" s="3630"/>
      <c r="H53" s="3630"/>
      <c r="I53" s="3631"/>
      <c r="J53" s="3632"/>
      <c r="K53" s="3633">
        <v>20000</v>
      </c>
      <c r="L53" s="3634"/>
      <c r="M53" s="3664" t="s">
        <v>2780</v>
      </c>
      <c r="N53" s="3665"/>
      <c r="O53" s="3665"/>
      <c r="P53" s="3666"/>
      <c r="Q53" s="398"/>
      <c r="U53" s="80"/>
      <c r="V53" s="80"/>
      <c r="W53" s="81"/>
      <c r="X53" s="13"/>
      <c r="Y53" s="83"/>
      <c r="Z53" s="80"/>
      <c r="AA53" s="80"/>
      <c r="AB53" s="80"/>
      <c r="AC53" s="80"/>
      <c r="AD53" s="80"/>
      <c r="AE53" s="80"/>
    </row>
    <row r="54" spans="1:31" s="65" customFormat="1" ht="35.25" customHeight="1" x14ac:dyDescent="0.35">
      <c r="A54" s="706"/>
      <c r="B54" s="3628" t="s">
        <v>2207</v>
      </c>
      <c r="C54" s="3629"/>
      <c r="D54" s="3629"/>
      <c r="E54" s="3629"/>
      <c r="F54" s="3629"/>
      <c r="G54" s="3630"/>
      <c r="H54" s="3630"/>
      <c r="I54" s="3631">
        <f t="shared" si="6"/>
        <v>0</v>
      </c>
      <c r="J54" s="3632"/>
      <c r="K54" s="3633">
        <f t="shared" ref="K54" si="7">G54*$J$50</f>
        <v>0</v>
      </c>
      <c r="L54" s="3634"/>
      <c r="M54" s="3635"/>
      <c r="N54" s="3636"/>
      <c r="O54" s="3636"/>
      <c r="P54" s="3637"/>
      <c r="Q54" s="398"/>
      <c r="U54" s="80"/>
      <c r="V54" s="80"/>
      <c r="W54" s="81"/>
      <c r="X54" s="13"/>
      <c r="Y54" s="83"/>
      <c r="Z54" s="80"/>
      <c r="AA54" s="80"/>
      <c r="AB54" s="80"/>
      <c r="AC54" s="80"/>
      <c r="AD54" s="80"/>
      <c r="AE54" s="80"/>
    </row>
    <row r="55" spans="1:31" s="65" customFormat="1" ht="18" customHeight="1" x14ac:dyDescent="0.35">
      <c r="A55" s="706"/>
      <c r="B55" s="3628" t="s">
        <v>2779</v>
      </c>
      <c r="C55" s="3629"/>
      <c r="D55" s="3629"/>
      <c r="E55" s="3629"/>
      <c r="F55" s="3629"/>
      <c r="G55" s="3630">
        <v>0</v>
      </c>
      <c r="H55" s="3630"/>
      <c r="I55" s="3638">
        <v>0</v>
      </c>
      <c r="J55" s="3639"/>
      <c r="K55" s="3633">
        <v>300000</v>
      </c>
      <c r="L55" s="3634"/>
      <c r="M55" s="3640"/>
      <c r="N55" s="3640"/>
      <c r="O55" s="3640"/>
      <c r="P55" s="3641"/>
      <c r="Q55" s="398"/>
      <c r="U55" s="80"/>
      <c r="V55" s="80"/>
      <c r="W55" s="81"/>
      <c r="X55" s="13"/>
      <c r="Y55" s="83"/>
      <c r="Z55" s="80"/>
      <c r="AA55" s="80"/>
      <c r="AB55" s="80"/>
      <c r="AC55" s="80"/>
      <c r="AD55" s="80"/>
      <c r="AE55" s="80"/>
    </row>
    <row r="56" spans="1:31" s="65" customFormat="1" ht="9" customHeight="1" thickBot="1" x14ac:dyDescent="0.4">
      <c r="A56" s="706"/>
      <c r="B56" s="3527"/>
      <c r="C56" s="3528"/>
      <c r="D56" s="3528"/>
      <c r="E56" s="3528"/>
      <c r="F56" s="3528"/>
      <c r="G56" s="3528"/>
      <c r="H56" s="3528"/>
      <c r="I56" s="3528"/>
      <c r="J56" s="3528"/>
      <c r="K56" s="3528"/>
      <c r="L56" s="3528"/>
      <c r="M56" s="3528"/>
      <c r="N56" s="3528"/>
      <c r="O56" s="3528"/>
      <c r="P56" s="3529"/>
      <c r="Q56" s="398"/>
      <c r="U56" s="80"/>
      <c r="V56" s="80"/>
      <c r="W56" s="81"/>
      <c r="X56" s="84"/>
      <c r="Y56" s="83"/>
      <c r="Z56" s="80"/>
      <c r="AA56" s="80"/>
      <c r="AB56" s="80"/>
      <c r="AC56" s="80"/>
      <c r="AD56" s="80"/>
      <c r="AE56" s="80"/>
    </row>
    <row r="57" spans="1:31" s="11" customFormat="1" ht="19.5" thickTop="1" thickBot="1" x14ac:dyDescent="0.4">
      <c r="A57" s="710"/>
      <c r="B57" s="3570" t="s">
        <v>1383</v>
      </c>
      <c r="C57" s="3571"/>
      <c r="D57" s="3571"/>
      <c r="E57" s="3571"/>
      <c r="F57" s="3572"/>
      <c r="G57" s="3573">
        <f>SUM(G51:H55)</f>
        <v>184000</v>
      </c>
      <c r="H57" s="3574"/>
      <c r="I57" s="3538">
        <f>SUM(I51:J55)</f>
        <v>184000</v>
      </c>
      <c r="J57" s="3538"/>
      <c r="K57" s="3538">
        <f>SUM(K51:L55)</f>
        <v>320000</v>
      </c>
      <c r="L57" s="3538"/>
      <c r="M57" s="3642">
        <f>SUM(M51:P53)</f>
        <v>0</v>
      </c>
      <c r="N57" s="3643"/>
      <c r="O57" s="3643"/>
      <c r="P57" s="3644"/>
      <c r="Q57" s="711"/>
      <c r="U57" s="12"/>
      <c r="V57" s="12"/>
      <c r="W57" s="14"/>
      <c r="X57" s="15"/>
      <c r="Y57" s="16"/>
      <c r="Z57" s="12"/>
      <c r="AA57" s="12"/>
      <c r="AB57" s="12"/>
      <c r="AC57" s="12"/>
      <c r="AD57" s="12"/>
      <c r="AE57" s="12"/>
    </row>
    <row r="58" spans="1:31" ht="24" customHeight="1" thickTop="1" x14ac:dyDescent="0.55000000000000004">
      <c r="A58" s="1325"/>
      <c r="B58" s="727"/>
      <c r="C58" s="64"/>
      <c r="D58" s="64"/>
      <c r="E58" s="64"/>
      <c r="F58" s="64"/>
      <c r="G58" s="3649"/>
      <c r="H58" s="3649"/>
      <c r="I58" s="719"/>
      <c r="J58" s="1325"/>
      <c r="K58" s="3650">
        <f>K57/G57</f>
        <v>1.7391304347826086</v>
      </c>
      <c r="L58" s="3650"/>
      <c r="M58" s="3651" t="s">
        <v>869</v>
      </c>
      <c r="N58" s="3652"/>
      <c r="O58" s="3652"/>
      <c r="P58" s="3652"/>
      <c r="Q58" s="463"/>
      <c r="R58" s="63"/>
      <c r="U58" s="66"/>
      <c r="V58" s="66"/>
      <c r="W58" s="72"/>
      <c r="X58" s="17"/>
      <c r="Y58" s="73"/>
      <c r="Z58" s="66"/>
      <c r="AA58" s="66"/>
      <c r="AB58" s="66"/>
      <c r="AC58" s="66"/>
      <c r="AD58" s="66"/>
      <c r="AE58" s="66"/>
    </row>
    <row r="59" spans="1:31" ht="21.75" customHeight="1" x14ac:dyDescent="0.55000000000000004">
      <c r="A59" s="1325"/>
      <c r="B59" s="718"/>
      <c r="C59" s="64"/>
      <c r="D59" s="64"/>
      <c r="E59" s="64"/>
      <c r="F59" s="64"/>
      <c r="G59" s="1326"/>
      <c r="H59" s="1326"/>
      <c r="I59" s="719"/>
      <c r="J59" s="1325"/>
      <c r="K59" s="720"/>
      <c r="L59" s="720"/>
      <c r="M59" s="721"/>
      <c r="N59" s="722"/>
      <c r="O59" s="722"/>
      <c r="P59" s="722"/>
      <c r="Q59" s="463"/>
      <c r="R59" s="63"/>
      <c r="U59" s="66"/>
      <c r="V59" s="66"/>
      <c r="W59" s="72"/>
      <c r="X59" s="17"/>
      <c r="Y59" s="73"/>
      <c r="Z59" s="66"/>
      <c r="AA59" s="66"/>
      <c r="AB59" s="66"/>
      <c r="AC59" s="66"/>
      <c r="AD59" s="66"/>
      <c r="AE59" s="66"/>
    </row>
    <row r="60" spans="1:31" ht="24" customHeight="1" thickBot="1" x14ac:dyDescent="0.6">
      <c r="A60" s="1325"/>
      <c r="B60" s="718"/>
      <c r="C60" s="64"/>
      <c r="D60" s="64"/>
      <c r="E60" s="64"/>
      <c r="F60" s="64"/>
      <c r="G60" s="1326"/>
      <c r="H60" s="1326"/>
      <c r="I60" s="719"/>
      <c r="J60" s="1325"/>
      <c r="K60" s="720"/>
      <c r="L60" s="720"/>
      <c r="M60" s="721"/>
      <c r="N60" s="722"/>
      <c r="O60" s="722"/>
      <c r="P60" s="722"/>
      <c r="Q60" s="463"/>
      <c r="R60" s="63"/>
      <c r="U60" s="66"/>
      <c r="V60" s="66"/>
      <c r="W60" s="72"/>
      <c r="X60" s="17"/>
      <c r="Y60" s="73"/>
      <c r="Z60" s="66"/>
      <c r="AA60" s="66"/>
      <c r="AB60" s="66"/>
      <c r="AC60" s="66"/>
      <c r="AD60" s="66"/>
      <c r="AE60" s="66"/>
    </row>
    <row r="61" spans="1:31" s="87" customFormat="1" ht="40.5" customHeight="1" thickTop="1" x14ac:dyDescent="0.35">
      <c r="A61" s="728"/>
      <c r="B61" s="3653" t="s">
        <v>108</v>
      </c>
      <c r="C61" s="3654"/>
      <c r="D61" s="3654"/>
      <c r="E61" s="3654"/>
      <c r="F61" s="3654"/>
      <c r="G61" s="3623" t="s">
        <v>2781</v>
      </c>
      <c r="H61" s="3623"/>
      <c r="I61" s="3623"/>
      <c r="J61" s="3623"/>
      <c r="K61" s="3623"/>
      <c r="L61" s="3623"/>
      <c r="M61" s="3530" t="s">
        <v>18</v>
      </c>
      <c r="N61" s="3530"/>
      <c r="O61" s="3530"/>
      <c r="P61" s="3624"/>
      <c r="Q61" s="729"/>
      <c r="R61" s="86"/>
      <c r="U61" s="88"/>
      <c r="V61" s="88"/>
      <c r="W61" s="89"/>
      <c r="X61" s="90"/>
      <c r="Y61" s="91"/>
      <c r="Z61" s="88"/>
      <c r="AA61" s="88"/>
      <c r="AB61" s="88"/>
      <c r="AC61" s="88"/>
      <c r="AD61" s="88"/>
      <c r="AE61" s="88"/>
    </row>
    <row r="62" spans="1:31" ht="18" customHeight="1" x14ac:dyDescent="0.35">
      <c r="A62" s="2324"/>
      <c r="B62" s="3625" t="s">
        <v>1975</v>
      </c>
      <c r="C62" s="3626"/>
      <c r="D62" s="3626"/>
      <c r="E62" s="3626"/>
      <c r="F62" s="3626"/>
      <c r="G62" s="3627" t="s">
        <v>2782</v>
      </c>
      <c r="H62" s="3627"/>
      <c r="I62" s="3627"/>
      <c r="J62" s="3627"/>
      <c r="K62" s="3581"/>
      <c r="L62" s="3581"/>
      <c r="M62" s="3576"/>
      <c r="N62" s="3576"/>
      <c r="O62" s="3576"/>
      <c r="P62" s="3577"/>
      <c r="Q62" s="463"/>
      <c r="R62" s="63"/>
      <c r="U62" s="66"/>
      <c r="V62" s="66"/>
      <c r="W62" s="72"/>
      <c r="X62" s="92"/>
      <c r="Y62" s="73"/>
      <c r="Z62" s="66"/>
      <c r="AA62" s="66"/>
      <c r="AB62" s="66"/>
      <c r="AC62" s="66"/>
      <c r="AD62" s="66"/>
      <c r="AE62" s="66"/>
    </row>
    <row r="63" spans="1:31" ht="18" customHeight="1" x14ac:dyDescent="0.35">
      <c r="A63" s="2324"/>
      <c r="B63" s="3578" t="s">
        <v>113</v>
      </c>
      <c r="C63" s="3579"/>
      <c r="D63" s="3579"/>
      <c r="E63" s="3579"/>
      <c r="F63" s="3579"/>
      <c r="G63" s="3645" t="s">
        <v>2783</v>
      </c>
      <c r="H63" s="3645"/>
      <c r="I63" s="3645"/>
      <c r="J63" s="3645"/>
      <c r="K63" s="3645"/>
      <c r="L63" s="3645"/>
      <c r="M63" s="3646" t="s">
        <v>2784</v>
      </c>
      <c r="N63" s="3647"/>
      <c r="O63" s="3647"/>
      <c r="P63" s="3648"/>
      <c r="Q63" s="463"/>
      <c r="R63" s="63"/>
      <c r="U63" s="66"/>
      <c r="V63" s="66"/>
      <c r="W63" s="72"/>
      <c r="X63" s="85"/>
      <c r="Y63" s="73"/>
      <c r="Z63" s="66"/>
      <c r="AA63" s="66"/>
      <c r="AB63" s="66"/>
      <c r="AC63" s="66"/>
      <c r="AD63" s="66"/>
      <c r="AE63" s="66"/>
    </row>
    <row r="64" spans="1:31" ht="21" customHeight="1" x14ac:dyDescent="0.55000000000000004">
      <c r="A64" s="2324"/>
      <c r="B64" s="3578" t="s">
        <v>1184</v>
      </c>
      <c r="C64" s="3579"/>
      <c r="D64" s="3579"/>
      <c r="E64" s="3579"/>
      <c r="F64" s="3579"/>
      <c r="G64" s="3582" t="s">
        <v>2785</v>
      </c>
      <c r="H64" s="3582"/>
      <c r="I64" s="3582"/>
      <c r="J64" s="3582"/>
      <c r="K64" s="3582"/>
      <c r="L64" s="3582"/>
      <c r="M64" s="3576"/>
      <c r="N64" s="3576"/>
      <c r="O64" s="3576"/>
      <c r="P64" s="3577"/>
      <c r="Q64" s="463"/>
      <c r="R64" s="63"/>
      <c r="U64" s="66"/>
      <c r="V64" s="66"/>
      <c r="W64" s="72"/>
      <c r="X64" s="17"/>
      <c r="Y64" s="73"/>
      <c r="Z64" s="66"/>
      <c r="AA64" s="66"/>
      <c r="AB64" s="66"/>
      <c r="AC64" s="66"/>
      <c r="AD64" s="66"/>
      <c r="AE64" s="66"/>
    </row>
    <row r="65" spans="1:31" ht="18" customHeight="1" x14ac:dyDescent="0.55000000000000004">
      <c r="A65" s="2324"/>
      <c r="B65" s="3578" t="s">
        <v>537</v>
      </c>
      <c r="C65" s="3579"/>
      <c r="D65" s="3579"/>
      <c r="E65" s="3579"/>
      <c r="F65" s="3579"/>
      <c r="G65" s="3582">
        <v>30</v>
      </c>
      <c r="H65" s="3582"/>
      <c r="I65" s="3582"/>
      <c r="J65" s="3582"/>
      <c r="K65" s="3582"/>
      <c r="L65" s="3582"/>
      <c r="M65" s="3576"/>
      <c r="N65" s="3576"/>
      <c r="O65" s="3576"/>
      <c r="P65" s="3577"/>
      <c r="Q65" s="463"/>
      <c r="R65" s="63"/>
      <c r="U65" s="66"/>
      <c r="V65" s="66"/>
      <c r="W65" s="72"/>
      <c r="X65" s="17"/>
      <c r="Y65" s="73"/>
      <c r="Z65" s="66"/>
      <c r="AA65" s="66"/>
      <c r="AB65" s="66"/>
      <c r="AC65" s="66"/>
      <c r="AD65" s="66"/>
      <c r="AE65" s="66"/>
    </row>
    <row r="66" spans="1:31" ht="18" customHeight="1" x14ac:dyDescent="0.35">
      <c r="A66" s="2324"/>
      <c r="B66" s="3578" t="s">
        <v>114</v>
      </c>
      <c r="C66" s="3579"/>
      <c r="D66" s="3579"/>
      <c r="E66" s="3579"/>
      <c r="F66" s="3579"/>
      <c r="G66" s="3575">
        <v>0.5</v>
      </c>
      <c r="H66" s="3575"/>
      <c r="I66" s="3580"/>
      <c r="J66" s="3580"/>
      <c r="K66" s="3575"/>
      <c r="L66" s="3575"/>
      <c r="M66" s="3576"/>
      <c r="N66" s="3576"/>
      <c r="O66" s="3576"/>
      <c r="P66" s="3577"/>
      <c r="Q66" s="463"/>
      <c r="R66" s="63"/>
      <c r="U66" s="66"/>
      <c r="V66" s="66"/>
      <c r="W66" s="72"/>
      <c r="X66" s="85"/>
      <c r="Y66" s="73"/>
      <c r="Z66" s="66"/>
      <c r="AA66" s="66"/>
      <c r="AB66" s="66"/>
      <c r="AC66" s="66"/>
      <c r="AD66" s="66"/>
      <c r="AE66" s="66"/>
    </row>
    <row r="67" spans="1:31" ht="18" customHeight="1" x14ac:dyDescent="0.35">
      <c r="A67" s="2324"/>
      <c r="B67" s="3578" t="s">
        <v>2209</v>
      </c>
      <c r="C67" s="3579"/>
      <c r="D67" s="3579"/>
      <c r="E67" s="3579"/>
      <c r="F67" s="3579"/>
      <c r="G67" s="3575" t="s">
        <v>1636</v>
      </c>
      <c r="H67" s="3575"/>
      <c r="I67" s="3575"/>
      <c r="J67" s="3575"/>
      <c r="K67" s="3575"/>
      <c r="L67" s="3575"/>
      <c r="M67" s="3576"/>
      <c r="N67" s="3576"/>
      <c r="O67" s="3576"/>
      <c r="P67" s="3577"/>
      <c r="Q67" s="463"/>
      <c r="R67" s="63"/>
      <c r="U67" s="66"/>
      <c r="V67" s="66"/>
      <c r="W67" s="72"/>
      <c r="X67" s="85"/>
      <c r="Y67" s="73"/>
      <c r="Z67" s="66"/>
      <c r="AA67" s="66"/>
      <c r="AB67" s="66"/>
      <c r="AC67" s="66"/>
      <c r="AD67" s="66"/>
      <c r="AE67" s="66"/>
    </row>
    <row r="68" spans="1:31" ht="18" customHeight="1" x14ac:dyDescent="0.5">
      <c r="A68" s="2524"/>
      <c r="B68" s="3578" t="s">
        <v>115</v>
      </c>
      <c r="C68" s="3579"/>
      <c r="D68" s="3579"/>
      <c r="E68" s="3579"/>
      <c r="F68" s="3579"/>
      <c r="G68" s="3575" t="s">
        <v>1636</v>
      </c>
      <c r="H68" s="3575"/>
      <c r="I68" s="3575"/>
      <c r="J68" s="3575"/>
      <c r="K68" s="3575"/>
      <c r="L68" s="3575"/>
      <c r="M68" s="3576"/>
      <c r="N68" s="3576"/>
      <c r="O68" s="3576"/>
      <c r="P68" s="3577"/>
      <c r="Q68" s="463"/>
      <c r="R68" s="63"/>
      <c r="U68" s="66"/>
      <c r="V68" s="66"/>
      <c r="W68" s="72"/>
      <c r="X68" s="18"/>
      <c r="Y68" s="73"/>
      <c r="Z68" s="66"/>
      <c r="AA68" s="66"/>
      <c r="AB68" s="66"/>
      <c r="AC68" s="66"/>
      <c r="AD68" s="66"/>
      <c r="AE68" s="66"/>
    </row>
    <row r="69" spans="1:31" ht="18" customHeight="1" x14ac:dyDescent="0.5">
      <c r="A69" s="2324"/>
      <c r="B69" s="3578" t="s">
        <v>2210</v>
      </c>
      <c r="C69" s="3579"/>
      <c r="D69" s="3579"/>
      <c r="E69" s="3579"/>
      <c r="F69" s="3579"/>
      <c r="G69" s="3575"/>
      <c r="H69" s="3575"/>
      <c r="I69" s="3575"/>
      <c r="J69" s="3575"/>
      <c r="K69" s="3575"/>
      <c r="L69" s="3575"/>
      <c r="M69" s="3576"/>
      <c r="N69" s="3576"/>
      <c r="O69" s="3576"/>
      <c r="P69" s="3577"/>
      <c r="Q69" s="463"/>
      <c r="R69" s="63"/>
      <c r="U69" s="66"/>
      <c r="V69" s="66"/>
      <c r="W69" s="72"/>
      <c r="X69" s="18"/>
      <c r="Y69" s="73"/>
      <c r="Z69" s="66"/>
      <c r="AA69" s="66"/>
      <c r="AB69" s="66"/>
      <c r="AC69" s="66"/>
      <c r="AD69" s="66"/>
      <c r="AE69" s="66"/>
    </row>
    <row r="70" spans="1:31" ht="18" customHeight="1" x14ac:dyDescent="0.35">
      <c r="A70" s="2324"/>
      <c r="B70" s="3578" t="s">
        <v>117</v>
      </c>
      <c r="C70" s="3579"/>
      <c r="D70" s="3579"/>
      <c r="E70" s="3579"/>
      <c r="F70" s="3579"/>
      <c r="G70" s="3582"/>
      <c r="H70" s="3582"/>
      <c r="I70" s="3582"/>
      <c r="J70" s="3582"/>
      <c r="K70" s="3582"/>
      <c r="L70" s="3582"/>
      <c r="M70" s="3576"/>
      <c r="N70" s="3576"/>
      <c r="O70" s="3576"/>
      <c r="P70" s="3577"/>
      <c r="Q70" s="463"/>
      <c r="R70" s="63"/>
      <c r="U70" s="66"/>
      <c r="V70" s="66"/>
      <c r="W70" s="72"/>
      <c r="X70" s="85"/>
      <c r="Y70" s="73"/>
      <c r="Z70" s="66"/>
      <c r="AA70" s="66"/>
      <c r="AB70" s="66"/>
      <c r="AC70" s="66"/>
      <c r="AD70" s="66"/>
      <c r="AE70" s="66"/>
    </row>
    <row r="71" spans="1:31" ht="18" customHeight="1" x14ac:dyDescent="0.35">
      <c r="A71" s="2324"/>
      <c r="B71" s="3578" t="s">
        <v>118</v>
      </c>
      <c r="C71" s="3579"/>
      <c r="D71" s="3579"/>
      <c r="E71" s="3579"/>
      <c r="F71" s="3579"/>
      <c r="G71" s="3575">
        <v>1</v>
      </c>
      <c r="H71" s="3575"/>
      <c r="I71" s="3575"/>
      <c r="J71" s="3575"/>
      <c r="K71" s="3575"/>
      <c r="L71" s="3575"/>
      <c r="M71" s="3576"/>
      <c r="N71" s="3576"/>
      <c r="O71" s="3576"/>
      <c r="P71" s="3577"/>
      <c r="Q71" s="463"/>
      <c r="R71" s="63"/>
      <c r="U71" s="66"/>
      <c r="V71" s="66"/>
      <c r="W71" s="72"/>
      <c r="X71" s="85"/>
      <c r="Y71" s="73"/>
      <c r="Z71" s="66"/>
      <c r="AA71" s="66"/>
      <c r="AB71" s="66"/>
      <c r="AC71" s="66"/>
      <c r="AD71" s="66"/>
      <c r="AE71" s="66"/>
    </row>
    <row r="72" spans="1:31" ht="16.5" customHeight="1" x14ac:dyDescent="0.55000000000000004">
      <c r="A72" s="2324"/>
      <c r="B72" s="3619" t="s">
        <v>2211</v>
      </c>
      <c r="C72" s="3620"/>
      <c r="D72" s="3620"/>
      <c r="E72" s="3620"/>
      <c r="F72" s="3621"/>
      <c r="G72" s="3575">
        <v>0.2</v>
      </c>
      <c r="H72" s="3575"/>
      <c r="I72" s="3575"/>
      <c r="J72" s="3575"/>
      <c r="K72" s="3575"/>
      <c r="L72" s="3575"/>
      <c r="M72" s="3612" t="s">
        <v>2787</v>
      </c>
      <c r="N72" s="3613"/>
      <c r="O72" s="3613"/>
      <c r="P72" s="3614"/>
      <c r="Q72" s="463"/>
      <c r="R72" s="63"/>
      <c r="U72" s="66"/>
      <c r="V72" s="66"/>
      <c r="W72" s="72"/>
      <c r="X72" s="17"/>
      <c r="Y72" s="73"/>
      <c r="Z72" s="66"/>
      <c r="AA72" s="66"/>
      <c r="AB72" s="66"/>
      <c r="AC72" s="66"/>
      <c r="AD72" s="66"/>
      <c r="AE72" s="66"/>
    </row>
    <row r="73" spans="1:31" ht="36" customHeight="1" x14ac:dyDescent="0.35">
      <c r="A73" s="2324"/>
      <c r="B73" s="3615" t="s">
        <v>120</v>
      </c>
      <c r="C73" s="3616"/>
      <c r="D73" s="3616"/>
      <c r="E73" s="3616"/>
      <c r="F73" s="3617"/>
      <c r="G73" s="3618"/>
      <c r="H73" s="3618"/>
      <c r="I73" s="3618"/>
      <c r="J73" s="3618"/>
      <c r="K73" s="3618"/>
      <c r="L73" s="3618"/>
      <c r="M73" s="3576"/>
      <c r="N73" s="3576"/>
      <c r="O73" s="3576"/>
      <c r="P73" s="3577"/>
      <c r="Q73" s="463"/>
      <c r="R73" s="63"/>
      <c r="U73" s="66"/>
      <c r="V73" s="66"/>
      <c r="W73" s="72"/>
      <c r="X73" s="13"/>
      <c r="Y73" s="73"/>
      <c r="Z73" s="66"/>
      <c r="AA73" s="66"/>
      <c r="AB73" s="66"/>
      <c r="AC73" s="66"/>
      <c r="AD73" s="66"/>
      <c r="AE73" s="66"/>
    </row>
    <row r="74" spans="1:31" ht="18" customHeight="1" x14ac:dyDescent="0.35">
      <c r="A74" s="2324"/>
      <c r="B74" s="3578" t="s">
        <v>123</v>
      </c>
      <c r="C74" s="3579"/>
      <c r="D74" s="3579"/>
      <c r="E74" s="3579"/>
      <c r="F74" s="3579"/>
      <c r="G74" s="3575">
        <v>0.3</v>
      </c>
      <c r="H74" s="3575"/>
      <c r="I74" s="3575" t="s">
        <v>2789</v>
      </c>
      <c r="J74" s="3575"/>
      <c r="K74" s="3575"/>
      <c r="L74" s="3575"/>
      <c r="M74" s="3576"/>
      <c r="N74" s="3576"/>
      <c r="O74" s="3576"/>
      <c r="P74" s="3577"/>
      <c r="Q74" s="463"/>
      <c r="R74" s="63"/>
      <c r="U74" s="66"/>
      <c r="V74" s="66"/>
      <c r="W74" s="72"/>
      <c r="X74" s="85"/>
      <c r="Y74" s="73"/>
      <c r="Z74" s="66"/>
      <c r="AA74" s="66"/>
      <c r="AB74" s="66"/>
      <c r="AC74" s="66"/>
      <c r="AD74" s="66"/>
      <c r="AE74" s="66"/>
    </row>
    <row r="75" spans="1:31" ht="18" customHeight="1" x14ac:dyDescent="0.35">
      <c r="A75" s="2324"/>
      <c r="B75" s="3578" t="s">
        <v>1976</v>
      </c>
      <c r="C75" s="3579"/>
      <c r="D75" s="3579"/>
      <c r="E75" s="3579"/>
      <c r="F75" s="3579"/>
      <c r="G75" s="3575"/>
      <c r="H75" s="3575"/>
      <c r="I75" s="3575"/>
      <c r="J75" s="3575"/>
      <c r="K75" s="3575"/>
      <c r="L75" s="3575"/>
      <c r="M75" s="3576"/>
      <c r="N75" s="3576"/>
      <c r="O75" s="3576"/>
      <c r="P75" s="3577"/>
      <c r="Q75" s="463"/>
      <c r="R75" s="63"/>
      <c r="U75" s="66"/>
      <c r="V75" s="66"/>
      <c r="W75" s="72"/>
      <c r="X75" s="85"/>
      <c r="Y75" s="73"/>
      <c r="Z75" s="66"/>
      <c r="AA75" s="66"/>
      <c r="AB75" s="66"/>
      <c r="AC75" s="66"/>
      <c r="AD75" s="66"/>
      <c r="AE75" s="66"/>
    </row>
    <row r="76" spans="1:31" ht="18" customHeight="1" x14ac:dyDescent="0.35">
      <c r="A76" s="2324"/>
      <c r="B76" s="3615" t="s">
        <v>2212</v>
      </c>
      <c r="C76" s="3616"/>
      <c r="D76" s="3616"/>
      <c r="E76" s="3616"/>
      <c r="F76" s="3617"/>
      <c r="G76" s="3622" t="s">
        <v>2788</v>
      </c>
      <c r="H76" s="3622"/>
      <c r="I76" s="3622"/>
      <c r="J76" s="3622"/>
      <c r="K76" s="3622"/>
      <c r="L76" s="3622"/>
      <c r="M76" s="3576"/>
      <c r="N76" s="3576"/>
      <c r="O76" s="3576"/>
      <c r="P76" s="3577"/>
      <c r="Q76" s="463"/>
      <c r="R76" s="63"/>
      <c r="U76" s="66"/>
      <c r="V76" s="66"/>
      <c r="W76" s="72"/>
      <c r="X76" s="85"/>
      <c r="Y76" s="73"/>
      <c r="Z76" s="66"/>
      <c r="AA76" s="66"/>
      <c r="AB76" s="66"/>
      <c r="AC76" s="66"/>
      <c r="AD76" s="66"/>
      <c r="AE76" s="66"/>
    </row>
    <row r="77" spans="1:31" ht="18" customHeight="1" thickBot="1" x14ac:dyDescent="0.4">
      <c r="A77" s="2324"/>
      <c r="B77" s="3605"/>
      <c r="C77" s="3606"/>
      <c r="D77" s="3606"/>
      <c r="E77" s="3606"/>
      <c r="F77" s="3607"/>
      <c r="G77" s="3608"/>
      <c r="H77" s="3608"/>
      <c r="I77" s="3609"/>
      <c r="J77" s="3609"/>
      <c r="K77" s="3609"/>
      <c r="L77" s="3609"/>
      <c r="M77" s="3610"/>
      <c r="N77" s="3610"/>
      <c r="O77" s="3610"/>
      <c r="P77" s="3611"/>
      <c r="Q77" s="463"/>
      <c r="R77" s="63"/>
      <c r="U77" s="66"/>
      <c r="V77" s="66"/>
      <c r="W77" s="72"/>
      <c r="X77" s="82"/>
      <c r="Y77" s="73"/>
      <c r="Z77" s="66"/>
      <c r="AA77" s="66"/>
      <c r="AB77" s="66"/>
      <c r="AC77" s="66"/>
      <c r="AD77" s="66"/>
      <c r="AE77" s="66"/>
    </row>
    <row r="78" spans="1:31" s="25" customFormat="1" ht="10.5" hidden="1" customHeight="1" thickTop="1" x14ac:dyDescent="0.35">
      <c r="A78" s="704"/>
      <c r="B78" s="3602"/>
      <c r="C78" s="3603"/>
      <c r="D78" s="3603"/>
      <c r="E78" s="3603"/>
      <c r="F78" s="3603"/>
      <c r="G78" s="3603"/>
      <c r="H78" s="3603"/>
      <c r="I78" s="3603"/>
      <c r="J78" s="3603"/>
      <c r="K78" s="3603"/>
      <c r="L78" s="3603"/>
      <c r="M78" s="3603"/>
      <c r="N78" s="3603"/>
      <c r="O78" s="3603"/>
      <c r="P78" s="3604"/>
      <c r="Q78" s="705"/>
      <c r="R78" s="1334"/>
      <c r="U78" s="75"/>
      <c r="V78" s="75"/>
      <c r="W78" s="76"/>
      <c r="X78" s="77"/>
      <c r="Y78" s="78"/>
      <c r="Z78" s="75"/>
      <c r="AA78" s="75"/>
      <c r="AB78" s="75"/>
      <c r="AC78" s="75"/>
      <c r="AD78" s="75"/>
      <c r="AE78" s="75"/>
    </row>
    <row r="79" spans="1:31" ht="18" hidden="1" customHeight="1" x14ac:dyDescent="0.35">
      <c r="A79" s="1325"/>
      <c r="B79" s="3596" t="s">
        <v>1977</v>
      </c>
      <c r="C79" s="3597"/>
      <c r="D79" s="3597"/>
      <c r="E79" s="3597"/>
      <c r="F79" s="3597"/>
      <c r="G79" s="3597"/>
      <c r="H79" s="3597"/>
      <c r="I79" s="3597"/>
      <c r="J79" s="3597"/>
      <c r="K79" s="3597"/>
      <c r="L79" s="3597"/>
      <c r="M79" s="3597"/>
      <c r="N79" s="3597"/>
      <c r="O79" s="3597"/>
      <c r="P79" s="3598"/>
      <c r="Q79" s="463"/>
      <c r="R79" s="63"/>
      <c r="U79" s="66"/>
      <c r="V79" s="66"/>
      <c r="W79" s="72"/>
      <c r="X79" s="85"/>
      <c r="Y79" s="73"/>
      <c r="Z79" s="66"/>
      <c r="AA79" s="66"/>
      <c r="AB79" s="66"/>
      <c r="AC79" s="66"/>
      <c r="AD79" s="66"/>
      <c r="AE79" s="66"/>
    </row>
    <row r="80" spans="1:31" ht="24.75" hidden="1" customHeight="1" x14ac:dyDescent="0.35">
      <c r="A80" s="1325"/>
      <c r="B80" s="3588"/>
      <c r="C80" s="3589"/>
      <c r="D80" s="3589"/>
      <c r="E80" s="3589"/>
      <c r="F80" s="3589"/>
      <c r="G80" s="3599"/>
      <c r="H80" s="3599"/>
      <c r="I80" s="3600"/>
      <c r="J80" s="3600"/>
      <c r="K80" s="3599"/>
      <c r="L80" s="3599"/>
      <c r="M80" s="3583"/>
      <c r="N80" s="3583"/>
      <c r="O80" s="3583"/>
      <c r="P80" s="3584"/>
      <c r="Q80" s="463"/>
      <c r="R80" s="63"/>
      <c r="U80" s="66"/>
      <c r="V80" s="66"/>
      <c r="W80" s="72"/>
      <c r="X80" s="85"/>
      <c r="Y80" s="73"/>
      <c r="Z80" s="66"/>
      <c r="AA80" s="66"/>
      <c r="AB80" s="66"/>
      <c r="AC80" s="66"/>
      <c r="AD80" s="66"/>
      <c r="AE80" s="66"/>
    </row>
    <row r="81" spans="1:31" ht="15.75" hidden="1" customHeight="1" x14ac:dyDescent="0.35">
      <c r="A81" s="1325"/>
      <c r="B81" s="3588"/>
      <c r="C81" s="3589"/>
      <c r="D81" s="3589"/>
      <c r="E81" s="3589"/>
      <c r="F81" s="3589"/>
      <c r="G81" s="3599"/>
      <c r="H81" s="3599"/>
      <c r="I81" s="3592"/>
      <c r="J81" s="3592"/>
      <c r="K81" s="3592"/>
      <c r="L81" s="3592"/>
      <c r="M81" s="3583"/>
      <c r="N81" s="3583"/>
      <c r="O81" s="3583"/>
      <c r="P81" s="3584"/>
      <c r="Q81" s="463"/>
      <c r="R81" s="63"/>
      <c r="U81" s="66"/>
      <c r="V81" s="66"/>
      <c r="W81" s="72"/>
      <c r="X81" s="85"/>
      <c r="Y81" s="73"/>
      <c r="Z81" s="66"/>
      <c r="AA81" s="66"/>
      <c r="AB81" s="66"/>
      <c r="AC81" s="66"/>
      <c r="AD81" s="66"/>
      <c r="AE81" s="66"/>
    </row>
    <row r="82" spans="1:31" ht="18" hidden="1" customHeight="1" x14ac:dyDescent="0.35">
      <c r="A82" s="1325"/>
      <c r="B82" s="3588"/>
      <c r="C82" s="3589"/>
      <c r="D82" s="3589"/>
      <c r="E82" s="3589"/>
      <c r="F82" s="3589"/>
      <c r="G82" s="3599"/>
      <c r="H82" s="3599"/>
      <c r="I82" s="3592"/>
      <c r="J82" s="3592"/>
      <c r="K82" s="3592"/>
      <c r="L82" s="3592"/>
      <c r="M82" s="3583"/>
      <c r="N82" s="3583"/>
      <c r="O82" s="3583"/>
      <c r="P82" s="3584"/>
      <c r="Q82" s="463"/>
      <c r="R82" s="63"/>
      <c r="U82" s="66"/>
      <c r="V82" s="66"/>
      <c r="W82" s="72"/>
      <c r="X82" s="85"/>
      <c r="Y82" s="73"/>
      <c r="Z82" s="66"/>
      <c r="AA82" s="66"/>
      <c r="AB82" s="66"/>
      <c r="AC82" s="66"/>
      <c r="AD82" s="66"/>
      <c r="AE82" s="66"/>
    </row>
    <row r="83" spans="1:31" ht="18" hidden="1" customHeight="1" x14ac:dyDescent="0.35">
      <c r="A83" s="1325"/>
      <c r="B83" s="3588"/>
      <c r="C83" s="3589"/>
      <c r="D83" s="3589"/>
      <c r="E83" s="3589"/>
      <c r="F83" s="3589"/>
      <c r="G83" s="3599"/>
      <c r="H83" s="3599"/>
      <c r="I83" s="3592"/>
      <c r="J83" s="3592"/>
      <c r="K83" s="3592"/>
      <c r="L83" s="3592"/>
      <c r="M83" s="3583"/>
      <c r="N83" s="3583"/>
      <c r="O83" s="3583"/>
      <c r="P83" s="3584"/>
      <c r="Q83" s="463"/>
      <c r="R83" s="63"/>
      <c r="U83" s="66"/>
      <c r="V83" s="66"/>
      <c r="W83" s="72"/>
      <c r="X83" s="85"/>
      <c r="Y83" s="73"/>
      <c r="Z83" s="66"/>
      <c r="AA83" s="66"/>
      <c r="AB83" s="66"/>
      <c r="AC83" s="66"/>
      <c r="AD83" s="66"/>
      <c r="AE83" s="66"/>
    </row>
    <row r="84" spans="1:31" ht="18" hidden="1" customHeight="1" x14ac:dyDescent="0.35">
      <c r="A84" s="1325"/>
      <c r="B84" s="3588"/>
      <c r="C84" s="3589"/>
      <c r="D84" s="3589"/>
      <c r="E84" s="3589"/>
      <c r="F84" s="3589"/>
      <c r="G84" s="3599"/>
      <c r="H84" s="3599"/>
      <c r="I84" s="3592"/>
      <c r="J84" s="3592"/>
      <c r="K84" s="3592"/>
      <c r="L84" s="3592"/>
      <c r="M84" s="3583"/>
      <c r="N84" s="3583"/>
      <c r="O84" s="3583"/>
      <c r="P84" s="3584"/>
      <c r="Q84" s="463"/>
      <c r="R84" s="63"/>
      <c r="U84" s="66"/>
      <c r="V84" s="66"/>
      <c r="W84" s="72"/>
      <c r="X84" s="85"/>
      <c r="Y84" s="73"/>
      <c r="Z84" s="66"/>
      <c r="AA84" s="66"/>
      <c r="AB84" s="66"/>
      <c r="AC84" s="66"/>
      <c r="AD84" s="66"/>
      <c r="AE84" s="66"/>
    </row>
    <row r="85" spans="1:31" ht="18" hidden="1" customHeight="1" x14ac:dyDescent="0.35">
      <c r="A85" s="2069"/>
      <c r="B85" s="3588"/>
      <c r="C85" s="3589"/>
      <c r="D85" s="3589"/>
      <c r="E85" s="3589"/>
      <c r="F85" s="3589"/>
      <c r="G85" s="3599"/>
      <c r="H85" s="3599"/>
      <c r="I85" s="3592"/>
      <c r="J85" s="3592"/>
      <c r="K85" s="3592"/>
      <c r="L85" s="3592"/>
      <c r="M85" s="3583"/>
      <c r="N85" s="3583"/>
      <c r="O85" s="3583"/>
      <c r="P85" s="3584"/>
      <c r="Q85" s="463"/>
      <c r="R85" s="63"/>
      <c r="U85" s="66"/>
      <c r="V85" s="66"/>
      <c r="W85" s="72"/>
      <c r="X85" s="85"/>
      <c r="Y85" s="73"/>
      <c r="Z85" s="66"/>
      <c r="AA85" s="66"/>
      <c r="AB85" s="66"/>
      <c r="AC85" s="66"/>
      <c r="AD85" s="66"/>
      <c r="AE85" s="66"/>
    </row>
    <row r="86" spans="1:31" ht="18" hidden="1" customHeight="1" x14ac:dyDescent="0.35">
      <c r="A86" s="2069"/>
      <c r="B86" s="3588"/>
      <c r="C86" s="3589"/>
      <c r="D86" s="3589"/>
      <c r="E86" s="3589"/>
      <c r="F86" s="3589"/>
      <c r="G86" s="3599"/>
      <c r="H86" s="3599"/>
      <c r="I86" s="3592"/>
      <c r="J86" s="3592"/>
      <c r="K86" s="3592"/>
      <c r="L86" s="3592"/>
      <c r="M86" s="3583"/>
      <c r="N86" s="3583"/>
      <c r="O86" s="3583"/>
      <c r="P86" s="3584"/>
      <c r="Q86" s="463"/>
      <c r="R86" s="63"/>
      <c r="U86" s="66"/>
      <c r="V86" s="66"/>
      <c r="W86" s="72"/>
      <c r="X86" s="85"/>
      <c r="Y86" s="73"/>
      <c r="Z86" s="66"/>
      <c r="AA86" s="66"/>
      <c r="AB86" s="66"/>
      <c r="AC86" s="66"/>
      <c r="AD86" s="66"/>
      <c r="AE86" s="66"/>
    </row>
    <row r="87" spans="1:31" ht="18" hidden="1" customHeight="1" x14ac:dyDescent="0.35">
      <c r="A87" s="1325"/>
      <c r="B87" s="3588"/>
      <c r="C87" s="3589"/>
      <c r="D87" s="3589"/>
      <c r="E87" s="3589"/>
      <c r="F87" s="3589"/>
      <c r="G87" s="3599"/>
      <c r="H87" s="3599"/>
      <c r="I87" s="3600"/>
      <c r="J87" s="3600"/>
      <c r="K87" s="3601"/>
      <c r="L87" s="3601"/>
      <c r="M87" s="3583"/>
      <c r="N87" s="3583"/>
      <c r="O87" s="3583"/>
      <c r="P87" s="3584"/>
      <c r="Q87" s="463"/>
      <c r="R87" s="63"/>
      <c r="U87" s="66"/>
      <c r="V87" s="66"/>
      <c r="W87" s="72"/>
      <c r="X87" s="85"/>
      <c r="Y87" s="73"/>
      <c r="Z87" s="66"/>
      <c r="AA87" s="66"/>
      <c r="AB87" s="66"/>
      <c r="AC87" s="66"/>
      <c r="AD87" s="66"/>
      <c r="AE87" s="66"/>
    </row>
    <row r="88" spans="1:31" ht="11.25" hidden="1" customHeight="1" x14ac:dyDescent="0.35">
      <c r="A88" s="1325"/>
      <c r="B88" s="3593"/>
      <c r="C88" s="3594"/>
      <c r="D88" s="3594"/>
      <c r="E88" s="3594"/>
      <c r="F88" s="3594"/>
      <c r="G88" s="3594"/>
      <c r="H88" s="3594"/>
      <c r="I88" s="3594"/>
      <c r="J88" s="3594"/>
      <c r="K88" s="3594"/>
      <c r="L88" s="3594"/>
      <c r="M88" s="3594"/>
      <c r="N88" s="3594"/>
      <c r="O88" s="3594"/>
      <c r="P88" s="3595"/>
      <c r="Q88" s="463"/>
      <c r="R88" s="63"/>
      <c r="U88" s="66"/>
      <c r="V88" s="66"/>
      <c r="W88" s="72"/>
      <c r="X88" s="85"/>
      <c r="Y88" s="73"/>
      <c r="Z88" s="66"/>
      <c r="AA88" s="66"/>
      <c r="AB88" s="66"/>
      <c r="AC88" s="66"/>
      <c r="AD88" s="66"/>
      <c r="AE88" s="66"/>
    </row>
    <row r="89" spans="1:31" ht="18" hidden="1" customHeight="1" x14ac:dyDescent="0.35">
      <c r="A89" s="1325"/>
      <c r="B89" s="3596" t="s">
        <v>1978</v>
      </c>
      <c r="C89" s="3597"/>
      <c r="D89" s="3597"/>
      <c r="E89" s="3597"/>
      <c r="F89" s="3597"/>
      <c r="G89" s="3597"/>
      <c r="H89" s="3597"/>
      <c r="I89" s="3597"/>
      <c r="J89" s="3597"/>
      <c r="K89" s="3597"/>
      <c r="L89" s="3597"/>
      <c r="M89" s="3597"/>
      <c r="N89" s="3597"/>
      <c r="O89" s="3597"/>
      <c r="P89" s="3598"/>
      <c r="Q89" s="463"/>
      <c r="R89" s="63"/>
      <c r="U89" s="66"/>
      <c r="V89" s="66"/>
      <c r="W89" s="72"/>
      <c r="X89" s="85"/>
      <c r="Y89" s="73"/>
      <c r="Z89" s="66"/>
      <c r="AA89" s="66"/>
      <c r="AB89" s="66"/>
      <c r="AC89" s="66"/>
      <c r="AD89" s="66"/>
      <c r="AE89" s="66"/>
    </row>
    <row r="90" spans="1:31" ht="27" hidden="1" customHeight="1" x14ac:dyDescent="0.35">
      <c r="A90" s="1325"/>
      <c r="B90" s="3588"/>
      <c r="C90" s="3589"/>
      <c r="D90" s="3589"/>
      <c r="E90" s="3589"/>
      <c r="F90" s="3589"/>
      <c r="G90" s="3590"/>
      <c r="H90" s="3590"/>
      <c r="I90" s="3591"/>
      <c r="J90" s="3591"/>
      <c r="K90" s="3591"/>
      <c r="L90" s="3591"/>
      <c r="M90" s="3583"/>
      <c r="N90" s="3583"/>
      <c r="O90" s="3583"/>
      <c r="P90" s="3584"/>
      <c r="Q90" s="463"/>
      <c r="R90" s="63"/>
      <c r="U90" s="66"/>
      <c r="V90" s="66"/>
      <c r="W90" s="72"/>
      <c r="X90" s="85"/>
      <c r="Y90" s="73"/>
      <c r="Z90" s="66"/>
      <c r="AA90" s="66"/>
      <c r="AB90" s="66"/>
      <c r="AC90" s="66"/>
      <c r="AD90" s="66"/>
      <c r="AE90" s="66"/>
    </row>
    <row r="91" spans="1:31" ht="18" hidden="1" customHeight="1" x14ac:dyDescent="0.35">
      <c r="A91" s="1325"/>
      <c r="B91" s="3588"/>
      <c r="C91" s="3589"/>
      <c r="D91" s="3589"/>
      <c r="E91" s="3589"/>
      <c r="F91" s="3589"/>
      <c r="G91" s="3590"/>
      <c r="H91" s="3590"/>
      <c r="I91" s="3591"/>
      <c r="J91" s="3591"/>
      <c r="K91" s="3592"/>
      <c r="L91" s="3592"/>
      <c r="M91" s="3583"/>
      <c r="N91" s="3583"/>
      <c r="O91" s="3583"/>
      <c r="P91" s="3584"/>
      <c r="Q91" s="463"/>
      <c r="R91" s="63"/>
      <c r="U91" s="66"/>
      <c r="V91" s="66"/>
      <c r="W91" s="72"/>
      <c r="X91" s="85"/>
      <c r="Y91" s="73"/>
      <c r="Z91" s="66"/>
      <c r="AA91" s="66"/>
      <c r="AB91" s="66"/>
      <c r="AC91" s="66"/>
      <c r="AD91" s="66"/>
      <c r="AE91" s="66"/>
    </row>
    <row r="92" spans="1:31" ht="15.75" hidden="1" customHeight="1" x14ac:dyDescent="0.35">
      <c r="A92" s="1325"/>
      <c r="B92" s="3588"/>
      <c r="C92" s="3589"/>
      <c r="D92" s="3589"/>
      <c r="E92" s="3589"/>
      <c r="F92" s="3589"/>
      <c r="G92" s="3590"/>
      <c r="H92" s="3590"/>
      <c r="I92" s="3591"/>
      <c r="J92" s="3591"/>
      <c r="K92" s="3592"/>
      <c r="L92" s="3592"/>
      <c r="M92" s="3583"/>
      <c r="N92" s="3583"/>
      <c r="O92" s="3583"/>
      <c r="P92" s="3584"/>
      <c r="Q92" s="463"/>
      <c r="R92" s="63"/>
      <c r="U92" s="66"/>
      <c r="V92" s="66"/>
      <c r="W92" s="72"/>
      <c r="X92" s="85"/>
      <c r="Y92" s="73"/>
      <c r="Z92" s="66"/>
      <c r="AA92" s="66"/>
      <c r="AB92" s="66"/>
      <c r="AC92" s="66"/>
      <c r="AD92" s="66"/>
      <c r="AE92" s="66"/>
    </row>
    <row r="93" spans="1:31" ht="18" hidden="1" customHeight="1" x14ac:dyDescent="0.35">
      <c r="A93" s="1325"/>
      <c r="B93" s="3588"/>
      <c r="C93" s="3589"/>
      <c r="D93" s="3589"/>
      <c r="E93" s="3589"/>
      <c r="F93" s="3589"/>
      <c r="G93" s="3590"/>
      <c r="H93" s="3590"/>
      <c r="I93" s="3591"/>
      <c r="J93" s="3591"/>
      <c r="K93" s="3592"/>
      <c r="L93" s="3592"/>
      <c r="M93" s="3583"/>
      <c r="N93" s="3583"/>
      <c r="O93" s="3583"/>
      <c r="P93" s="3584"/>
      <c r="Q93" s="463"/>
      <c r="R93" s="63"/>
      <c r="U93" s="66"/>
      <c r="V93" s="66"/>
      <c r="W93" s="72"/>
      <c r="X93" s="85"/>
      <c r="Y93" s="73"/>
      <c r="Z93" s="66"/>
      <c r="AA93" s="66"/>
      <c r="AB93" s="66"/>
      <c r="AC93" s="66"/>
      <c r="AD93" s="66"/>
      <c r="AE93" s="66"/>
    </row>
    <row r="94" spans="1:31" ht="18" hidden="1" customHeight="1" x14ac:dyDescent="0.65">
      <c r="A94" s="1325"/>
      <c r="B94" s="3588"/>
      <c r="C94" s="3589"/>
      <c r="D94" s="3589"/>
      <c r="E94" s="3589"/>
      <c r="F94" s="3589"/>
      <c r="G94" s="3590"/>
      <c r="H94" s="3590"/>
      <c r="I94" s="3591"/>
      <c r="J94" s="3591"/>
      <c r="K94" s="3592"/>
      <c r="L94" s="3592"/>
      <c r="M94" s="3583"/>
      <c r="N94" s="3583"/>
      <c r="O94" s="3583"/>
      <c r="P94" s="3584"/>
      <c r="Q94" s="463"/>
      <c r="R94" s="63"/>
      <c r="U94" s="66"/>
      <c r="V94" s="66"/>
      <c r="W94" s="72"/>
      <c r="X94" s="19"/>
      <c r="Y94" s="73"/>
      <c r="Z94" s="66"/>
      <c r="AA94" s="66"/>
      <c r="AB94" s="66"/>
      <c r="AC94" s="66"/>
      <c r="AD94" s="66"/>
      <c r="AE94" s="66"/>
    </row>
    <row r="95" spans="1:31" ht="18" hidden="1" customHeight="1" x14ac:dyDescent="0.35">
      <c r="A95" s="1325"/>
      <c r="B95" s="3588"/>
      <c r="C95" s="3589"/>
      <c r="D95" s="3589"/>
      <c r="E95" s="3589"/>
      <c r="F95" s="3589"/>
      <c r="G95" s="3590"/>
      <c r="H95" s="3590"/>
      <c r="I95" s="3591"/>
      <c r="J95" s="3591"/>
      <c r="K95" s="3592"/>
      <c r="L95" s="3592"/>
      <c r="M95" s="3583"/>
      <c r="N95" s="3583"/>
      <c r="O95" s="3583"/>
      <c r="P95" s="3584"/>
      <c r="Q95" s="463"/>
      <c r="R95" s="63"/>
      <c r="U95" s="66"/>
      <c r="V95" s="66"/>
      <c r="W95" s="72"/>
      <c r="X95" s="85"/>
      <c r="Y95" s="73"/>
      <c r="Z95" s="66"/>
      <c r="AA95" s="66"/>
      <c r="AB95" s="66"/>
      <c r="AC95" s="66"/>
      <c r="AD95" s="66"/>
      <c r="AE95" s="66"/>
    </row>
    <row r="96" spans="1:31" ht="18" hidden="1" customHeight="1" x14ac:dyDescent="0.35">
      <c r="A96" s="1325"/>
      <c r="B96" s="3588"/>
      <c r="C96" s="3589"/>
      <c r="D96" s="3589"/>
      <c r="E96" s="3589"/>
      <c r="F96" s="3589"/>
      <c r="G96" s="3590"/>
      <c r="H96" s="3590"/>
      <c r="I96" s="3591"/>
      <c r="J96" s="3591"/>
      <c r="K96" s="3592"/>
      <c r="L96" s="3592"/>
      <c r="M96" s="3583"/>
      <c r="N96" s="3583"/>
      <c r="O96" s="3583"/>
      <c r="P96" s="3584"/>
      <c r="Q96" s="463"/>
      <c r="R96" s="63"/>
      <c r="U96" s="66"/>
      <c r="V96" s="66"/>
      <c r="W96" s="72"/>
      <c r="X96" s="85"/>
      <c r="Y96" s="73"/>
      <c r="Z96" s="66"/>
      <c r="AA96" s="66"/>
      <c r="AB96" s="66"/>
      <c r="AC96" s="66"/>
      <c r="AD96" s="66"/>
      <c r="AE96" s="66"/>
    </row>
    <row r="97" spans="1:31" ht="11.25" hidden="1" customHeight="1" thickBot="1" x14ac:dyDescent="0.4">
      <c r="A97" s="1325"/>
      <c r="B97" s="3585"/>
      <c r="C97" s="3586"/>
      <c r="D97" s="3586"/>
      <c r="E97" s="3586"/>
      <c r="F97" s="3586"/>
      <c r="G97" s="3586"/>
      <c r="H97" s="3586"/>
      <c r="I97" s="3586"/>
      <c r="J97" s="3586"/>
      <c r="K97" s="3586"/>
      <c r="L97" s="3586"/>
      <c r="M97" s="3586"/>
      <c r="N97" s="3586"/>
      <c r="O97" s="3586"/>
      <c r="P97" s="3587"/>
      <c r="Q97" s="463"/>
      <c r="R97" s="63"/>
      <c r="U97" s="66"/>
      <c r="V97" s="66"/>
      <c r="W97" s="72"/>
      <c r="X97" s="85"/>
      <c r="Y97" s="73"/>
      <c r="Z97" s="66"/>
      <c r="AA97" s="66"/>
      <c r="AB97" s="66"/>
      <c r="AC97" s="66"/>
      <c r="AD97" s="66"/>
      <c r="AE97" s="66"/>
    </row>
    <row r="98" spans="1:31" ht="15" hidden="1" thickTop="1" x14ac:dyDescent="0.35">
      <c r="A98" s="1325"/>
      <c r="B98" s="1325"/>
      <c r="C98" s="64"/>
      <c r="D98" s="64"/>
      <c r="E98" s="64"/>
      <c r="F98" s="64"/>
      <c r="G98" s="64"/>
      <c r="H98" s="1325"/>
      <c r="I98" s="1325"/>
      <c r="J98" s="1325"/>
      <c r="K98" s="1325"/>
      <c r="L98" s="1325"/>
      <c r="M98" s="1325"/>
      <c r="N98" s="1325"/>
      <c r="O98" s="1325"/>
      <c r="P98" s="1325"/>
      <c r="Q98" s="463"/>
      <c r="R98" s="63"/>
      <c r="U98" s="93"/>
      <c r="V98" s="93"/>
      <c r="W98" s="73"/>
      <c r="X98" s="73"/>
      <c r="Y98" s="73"/>
      <c r="Z98" s="66"/>
      <c r="AA98" s="66"/>
      <c r="AB98" s="66"/>
      <c r="AC98" s="66"/>
      <c r="AD98" s="66"/>
      <c r="AE98" s="66"/>
    </row>
    <row r="99" spans="1:31" hidden="1" x14ac:dyDescent="0.35">
      <c r="A99" s="64"/>
      <c r="B99" s="64"/>
      <c r="C99" s="64"/>
      <c r="D99" s="64"/>
      <c r="E99" s="64"/>
      <c r="F99" s="64"/>
      <c r="G99" s="64"/>
      <c r="H99" s="64"/>
      <c r="I99" s="64"/>
      <c r="J99" s="64"/>
      <c r="K99" s="64"/>
      <c r="L99" s="64"/>
      <c r="M99" s="64"/>
      <c r="N99" s="64"/>
      <c r="O99" s="64"/>
      <c r="P99" s="64"/>
      <c r="Q99" s="64"/>
    </row>
    <row r="100" spans="1:31" hidden="1" x14ac:dyDescent="0.35">
      <c r="A100" s="64"/>
      <c r="B100" s="64"/>
      <c r="C100" s="64"/>
      <c r="D100" s="64"/>
      <c r="E100" s="64"/>
      <c r="F100" s="64"/>
      <c r="G100" s="64"/>
      <c r="H100" s="64"/>
      <c r="I100" s="64"/>
      <c r="J100" s="64"/>
      <c r="K100" s="64"/>
      <c r="L100" s="64"/>
      <c r="M100" s="64"/>
      <c r="N100" s="64"/>
      <c r="O100" s="64"/>
      <c r="P100" s="64"/>
      <c r="Q100" s="64"/>
    </row>
    <row r="101" spans="1:31" ht="15" thickTop="1" x14ac:dyDescent="0.35">
      <c r="A101" s="64"/>
      <c r="B101" s="64"/>
      <c r="C101" s="64"/>
      <c r="D101" s="64"/>
      <c r="E101" s="64"/>
      <c r="F101" s="64"/>
      <c r="G101" s="64"/>
      <c r="H101" s="64"/>
      <c r="I101" s="64"/>
      <c r="J101" s="64"/>
      <c r="K101" s="64"/>
      <c r="L101" s="64"/>
      <c r="M101" s="64"/>
      <c r="N101" s="64"/>
      <c r="O101" s="64"/>
      <c r="P101" s="64"/>
      <c r="Q101" s="64"/>
    </row>
    <row r="102" spans="1:31" x14ac:dyDescent="0.35">
      <c r="A102" s="64"/>
      <c r="B102" s="64"/>
      <c r="C102" s="64"/>
      <c r="D102" s="64"/>
      <c r="E102" s="64"/>
      <c r="F102" s="64"/>
      <c r="G102" s="64"/>
      <c r="H102" s="64"/>
      <c r="I102" s="64"/>
      <c r="J102" s="64"/>
      <c r="K102" s="64"/>
      <c r="L102" s="64"/>
      <c r="M102" s="64"/>
      <c r="N102" s="64"/>
      <c r="O102" s="64"/>
      <c r="P102" s="64"/>
      <c r="Q102" s="64"/>
    </row>
    <row r="103" spans="1:31" x14ac:dyDescent="0.35">
      <c r="A103" s="64"/>
      <c r="B103" s="64"/>
      <c r="C103" s="64"/>
      <c r="D103" s="64"/>
      <c r="E103" s="64"/>
      <c r="F103" s="64"/>
      <c r="G103" s="64"/>
      <c r="H103" s="64"/>
      <c r="I103" s="64"/>
      <c r="J103" s="64"/>
      <c r="K103" s="64"/>
      <c r="L103" s="64"/>
      <c r="M103" s="64"/>
      <c r="N103" s="64"/>
      <c r="O103" s="64"/>
      <c r="P103" s="64"/>
      <c r="Q103" s="64"/>
    </row>
    <row r="104" spans="1:31" x14ac:dyDescent="0.35">
      <c r="A104" s="64"/>
      <c r="B104" s="64"/>
      <c r="C104" s="64"/>
      <c r="D104" s="64"/>
      <c r="E104" s="64"/>
      <c r="F104" s="64"/>
      <c r="G104" s="64"/>
      <c r="H104" s="64"/>
      <c r="I104" s="64"/>
      <c r="J104" s="64"/>
      <c r="K104" s="64"/>
      <c r="L104" s="64"/>
      <c r="M104" s="64"/>
      <c r="N104" s="64"/>
      <c r="O104" s="64"/>
      <c r="P104" s="64"/>
      <c r="Q104" s="64"/>
    </row>
    <row r="105" spans="1:31" x14ac:dyDescent="0.35">
      <c r="A105" s="64"/>
      <c r="B105" s="64"/>
      <c r="C105" s="64"/>
      <c r="D105" s="64"/>
      <c r="E105" s="64"/>
      <c r="F105" s="64"/>
      <c r="G105" s="64"/>
      <c r="H105" s="64"/>
      <c r="I105" s="64"/>
      <c r="J105" s="64"/>
      <c r="K105" s="64"/>
      <c r="L105" s="64"/>
      <c r="M105" s="64"/>
      <c r="N105" s="64"/>
      <c r="O105" s="64"/>
      <c r="P105" s="64"/>
      <c r="Q105" s="64"/>
    </row>
    <row r="106" spans="1:31" x14ac:dyDescent="0.35">
      <c r="A106" s="64"/>
      <c r="B106" s="64"/>
      <c r="C106" s="64"/>
      <c r="D106" s="64"/>
      <c r="E106" s="64"/>
      <c r="F106" s="64"/>
      <c r="G106" s="64"/>
      <c r="H106" s="64"/>
      <c r="I106" s="64"/>
      <c r="J106" s="64"/>
      <c r="K106" s="64"/>
      <c r="L106" s="64"/>
      <c r="M106" s="64"/>
      <c r="N106" s="64"/>
      <c r="O106" s="64"/>
      <c r="P106" s="64"/>
      <c r="Q106" s="64"/>
    </row>
    <row r="107" spans="1:31" x14ac:dyDescent="0.35">
      <c r="A107" s="64"/>
      <c r="B107" s="64"/>
      <c r="C107" s="64"/>
      <c r="D107" s="64"/>
      <c r="E107" s="64"/>
      <c r="F107" s="64"/>
      <c r="G107" s="64"/>
      <c r="H107" s="64"/>
      <c r="I107" s="64"/>
      <c r="J107" s="64"/>
      <c r="K107" s="64"/>
      <c r="L107" s="64"/>
      <c r="M107" s="64"/>
      <c r="N107" s="64"/>
      <c r="O107" s="64"/>
      <c r="P107" s="64"/>
      <c r="Q107" s="64"/>
    </row>
    <row r="108" spans="1:31" x14ac:dyDescent="0.35">
      <c r="A108" s="64"/>
      <c r="B108" s="64"/>
      <c r="C108" s="64"/>
      <c r="D108" s="64"/>
      <c r="E108" s="64"/>
      <c r="F108" s="64"/>
      <c r="G108" s="64"/>
      <c r="H108" s="64"/>
      <c r="I108" s="64"/>
      <c r="J108" s="64"/>
      <c r="K108" s="64"/>
      <c r="L108" s="64"/>
      <c r="M108" s="64"/>
      <c r="N108" s="64"/>
      <c r="O108" s="64"/>
      <c r="P108" s="64"/>
      <c r="Q108" s="64"/>
    </row>
    <row r="109" spans="1:31" x14ac:dyDescent="0.35">
      <c r="A109" s="64"/>
      <c r="B109" s="64"/>
      <c r="C109" s="64"/>
      <c r="D109" s="64"/>
      <c r="E109" s="64"/>
      <c r="F109" s="64"/>
      <c r="G109" s="64"/>
      <c r="H109" s="64"/>
      <c r="I109" s="64"/>
      <c r="J109" s="64"/>
      <c r="K109" s="64"/>
      <c r="L109" s="64"/>
      <c r="M109" s="64"/>
      <c r="N109" s="64"/>
      <c r="O109" s="64"/>
      <c r="P109" s="64"/>
      <c r="Q109" s="64"/>
    </row>
    <row r="110" spans="1:31" x14ac:dyDescent="0.35">
      <c r="A110" s="64"/>
      <c r="B110" s="64"/>
      <c r="C110" s="64"/>
      <c r="D110" s="64"/>
      <c r="E110" s="64"/>
      <c r="F110" s="64"/>
      <c r="G110" s="64"/>
      <c r="H110" s="64"/>
      <c r="I110" s="64"/>
      <c r="J110" s="64"/>
      <c r="K110" s="64"/>
      <c r="L110" s="64"/>
      <c r="M110" s="64"/>
      <c r="N110" s="64"/>
      <c r="O110" s="64"/>
      <c r="P110" s="64"/>
      <c r="Q110" s="64"/>
    </row>
    <row r="111" spans="1:31" x14ac:dyDescent="0.35">
      <c r="A111" s="64"/>
      <c r="B111" s="64"/>
      <c r="C111" s="64"/>
      <c r="D111" s="64"/>
      <c r="E111" s="64"/>
      <c r="F111" s="64"/>
      <c r="G111" s="64"/>
      <c r="H111" s="64"/>
      <c r="I111" s="64"/>
      <c r="J111" s="64"/>
      <c r="K111" s="64"/>
      <c r="L111" s="64"/>
      <c r="M111" s="64"/>
      <c r="N111" s="64"/>
      <c r="O111" s="64"/>
      <c r="P111" s="64"/>
      <c r="Q111" s="64"/>
    </row>
    <row r="112" spans="1:31" x14ac:dyDescent="0.35">
      <c r="A112" s="64"/>
      <c r="B112" s="64"/>
      <c r="C112" s="64"/>
      <c r="D112" s="64"/>
      <c r="E112" s="64"/>
      <c r="F112" s="64"/>
      <c r="G112" s="64"/>
      <c r="H112" s="64"/>
      <c r="I112" s="64"/>
      <c r="J112" s="64"/>
      <c r="K112" s="64"/>
      <c r="L112" s="64"/>
      <c r="M112" s="64"/>
      <c r="N112" s="64"/>
      <c r="O112" s="64"/>
      <c r="P112" s="64"/>
      <c r="Q112" s="64"/>
    </row>
    <row r="113" spans="1:17" x14ac:dyDescent="0.35">
      <c r="A113" s="64"/>
      <c r="B113" s="64"/>
      <c r="C113" s="64"/>
      <c r="D113" s="64"/>
      <c r="E113" s="64"/>
      <c r="F113" s="64"/>
      <c r="G113" s="64"/>
      <c r="H113" s="64"/>
      <c r="I113" s="64"/>
      <c r="J113" s="64"/>
      <c r="K113" s="64"/>
      <c r="L113" s="64"/>
      <c r="M113" s="64"/>
      <c r="N113" s="64"/>
      <c r="O113" s="64"/>
      <c r="P113" s="64"/>
      <c r="Q113" s="64"/>
    </row>
    <row r="114" spans="1:17" x14ac:dyDescent="0.35">
      <c r="A114" s="64"/>
      <c r="B114" s="64"/>
      <c r="C114" s="64"/>
      <c r="D114" s="64"/>
      <c r="E114" s="64"/>
      <c r="F114" s="64"/>
      <c r="G114" s="64"/>
      <c r="H114" s="64"/>
      <c r="I114" s="64"/>
      <c r="J114" s="64"/>
      <c r="K114" s="64"/>
      <c r="L114" s="64"/>
      <c r="M114" s="64"/>
      <c r="N114" s="64"/>
      <c r="O114" s="64"/>
      <c r="P114" s="64"/>
      <c r="Q114" s="64"/>
    </row>
    <row r="115" spans="1:17" x14ac:dyDescent="0.35">
      <c r="A115" s="64"/>
      <c r="B115" s="64"/>
      <c r="C115" s="64"/>
      <c r="D115" s="64"/>
      <c r="E115" s="64"/>
      <c r="F115" s="64"/>
      <c r="G115" s="64"/>
      <c r="H115" s="64"/>
      <c r="I115" s="64"/>
      <c r="J115" s="64"/>
      <c r="K115" s="64"/>
      <c r="L115" s="64"/>
      <c r="M115" s="64"/>
      <c r="N115" s="64"/>
      <c r="O115" s="64"/>
      <c r="P115" s="64"/>
      <c r="Q115" s="64"/>
    </row>
    <row r="116" spans="1:17" x14ac:dyDescent="0.35">
      <c r="A116" s="64"/>
      <c r="B116" s="64"/>
      <c r="C116" s="64"/>
      <c r="D116" s="64"/>
      <c r="E116" s="64"/>
      <c r="F116" s="64"/>
      <c r="G116" s="64"/>
      <c r="H116" s="64"/>
      <c r="I116" s="64"/>
      <c r="J116" s="64"/>
      <c r="K116" s="64"/>
      <c r="L116" s="64"/>
      <c r="M116" s="64"/>
      <c r="N116" s="64"/>
      <c r="O116" s="64"/>
      <c r="P116" s="64"/>
      <c r="Q116" s="64"/>
    </row>
    <row r="117" spans="1:17" x14ac:dyDescent="0.35">
      <c r="A117" s="64"/>
      <c r="B117" s="64"/>
      <c r="C117" s="64"/>
      <c r="D117" s="64"/>
      <c r="E117" s="64"/>
      <c r="F117" s="64"/>
      <c r="G117" s="64"/>
      <c r="H117" s="64"/>
      <c r="I117" s="64"/>
      <c r="J117" s="64"/>
      <c r="K117" s="64"/>
      <c r="L117" s="64"/>
      <c r="M117" s="64"/>
      <c r="N117" s="64"/>
      <c r="O117" s="64"/>
      <c r="P117" s="64"/>
      <c r="Q117" s="64"/>
    </row>
    <row r="118" spans="1:17" x14ac:dyDescent="0.35">
      <c r="A118" s="64"/>
      <c r="B118" s="64"/>
      <c r="C118" s="64"/>
      <c r="D118" s="64"/>
      <c r="E118" s="64"/>
      <c r="F118" s="64"/>
      <c r="G118" s="64"/>
      <c r="H118" s="64"/>
      <c r="I118" s="64"/>
      <c r="J118" s="64"/>
      <c r="K118" s="64"/>
      <c r="L118" s="64"/>
      <c r="M118" s="64"/>
      <c r="N118" s="64"/>
      <c r="O118" s="64"/>
      <c r="P118" s="64"/>
      <c r="Q118" s="64"/>
    </row>
    <row r="119" spans="1:17" x14ac:dyDescent="0.35">
      <c r="A119" s="64"/>
      <c r="B119" s="64"/>
      <c r="C119" s="64"/>
      <c r="D119" s="64"/>
      <c r="E119" s="64"/>
      <c r="F119" s="64"/>
      <c r="G119" s="64"/>
      <c r="H119" s="64"/>
      <c r="I119" s="64"/>
      <c r="J119" s="64"/>
      <c r="K119" s="64"/>
      <c r="L119" s="64"/>
      <c r="M119" s="64"/>
      <c r="N119" s="64"/>
      <c r="O119" s="64"/>
      <c r="P119" s="64"/>
      <c r="Q119" s="64"/>
    </row>
  </sheetData>
  <mergeCells count="395">
    <mergeCell ref="B32:F32"/>
    <mergeCell ref="G32:H32"/>
    <mergeCell ref="B33:F33"/>
    <mergeCell ref="G33:H33"/>
    <mergeCell ref="I33:J33"/>
    <mergeCell ref="K33:L33"/>
    <mergeCell ref="B25:F25"/>
    <mergeCell ref="G25:H25"/>
    <mergeCell ref="I25:J25"/>
    <mergeCell ref="K25:L25"/>
    <mergeCell ref="B29:F29"/>
    <mergeCell ref="G31:H31"/>
    <mergeCell ref="I31:J31"/>
    <mergeCell ref="K31:L31"/>
    <mergeCell ref="B31:F31"/>
    <mergeCell ref="M31:P31"/>
    <mergeCell ref="B30:L30"/>
    <mergeCell ref="M21:P21"/>
    <mergeCell ref="I20:J20"/>
    <mergeCell ref="I21:J21"/>
    <mergeCell ref="G22:H22"/>
    <mergeCell ref="I22:J22"/>
    <mergeCell ref="M22:P22"/>
    <mergeCell ref="I23:J23"/>
    <mergeCell ref="B28:P28"/>
    <mergeCell ref="B24:F24"/>
    <mergeCell ref="G24:H24"/>
    <mergeCell ref="I24:J24"/>
    <mergeCell ref="K24:L24"/>
    <mergeCell ref="M24:P24"/>
    <mergeCell ref="I27:J27"/>
    <mergeCell ref="K27:L27"/>
    <mergeCell ref="M30:P30"/>
    <mergeCell ref="K26:L26"/>
    <mergeCell ref="M26:P26"/>
    <mergeCell ref="M27:P27"/>
    <mergeCell ref="G27:H27"/>
    <mergeCell ref="B7:F7"/>
    <mergeCell ref="G7:H7"/>
    <mergeCell ref="I7:J7"/>
    <mergeCell ref="B16:F16"/>
    <mergeCell ref="G16:H16"/>
    <mergeCell ref="I16:J16"/>
    <mergeCell ref="K16:L16"/>
    <mergeCell ref="M16:P16"/>
    <mergeCell ref="B19:F19"/>
    <mergeCell ref="G19:H19"/>
    <mergeCell ref="M12:P12"/>
    <mergeCell ref="M13:P13"/>
    <mergeCell ref="B13:F13"/>
    <mergeCell ref="G13:H13"/>
    <mergeCell ref="K19:L19"/>
    <mergeCell ref="M19:P19"/>
    <mergeCell ref="B17:F17"/>
    <mergeCell ref="I17:J17"/>
    <mergeCell ref="K17:L17"/>
    <mergeCell ref="G17:H17"/>
    <mergeCell ref="B18:L18"/>
    <mergeCell ref="M17:P17"/>
    <mergeCell ref="M18:P18"/>
    <mergeCell ref="B11:F11"/>
    <mergeCell ref="D1:G1"/>
    <mergeCell ref="I1:J1"/>
    <mergeCell ref="L1:M1"/>
    <mergeCell ref="D2:G2"/>
    <mergeCell ref="I2:J2"/>
    <mergeCell ref="L2:M2"/>
    <mergeCell ref="B10:F10"/>
    <mergeCell ref="G10:H10"/>
    <mergeCell ref="I10:J10"/>
    <mergeCell ref="K10:L10"/>
    <mergeCell ref="M10:P10"/>
    <mergeCell ref="H4:P4"/>
    <mergeCell ref="A4:G4"/>
    <mergeCell ref="D3:G3"/>
    <mergeCell ref="A5:B5"/>
    <mergeCell ref="C5:P5"/>
    <mergeCell ref="A6:B6"/>
    <mergeCell ref="C6:P6"/>
    <mergeCell ref="B9:F9"/>
    <mergeCell ref="G9:H9"/>
    <mergeCell ref="M7:P7"/>
    <mergeCell ref="K7:L7"/>
    <mergeCell ref="G8:P8"/>
    <mergeCell ref="B8:F8"/>
    <mergeCell ref="G11:H11"/>
    <mergeCell ref="I11:J11"/>
    <mergeCell ref="K11:L11"/>
    <mergeCell ref="M11:P11"/>
    <mergeCell ref="B12:F12"/>
    <mergeCell ref="G12:H12"/>
    <mergeCell ref="I12:J12"/>
    <mergeCell ref="K12:L12"/>
    <mergeCell ref="I32:J32"/>
    <mergeCell ref="K32:L32"/>
    <mergeCell ref="M32:P32"/>
    <mergeCell ref="B14:F14"/>
    <mergeCell ref="G14:H14"/>
    <mergeCell ref="I14:J14"/>
    <mergeCell ref="K14:L14"/>
    <mergeCell ref="B15:F15"/>
    <mergeCell ref="G15:H15"/>
    <mergeCell ref="I15:J15"/>
    <mergeCell ref="K15:L15"/>
    <mergeCell ref="K22:L22"/>
    <mergeCell ref="B26:F26"/>
    <mergeCell ref="I26:J26"/>
    <mergeCell ref="B27:F27"/>
    <mergeCell ref="G26:H26"/>
    <mergeCell ref="B36:F36"/>
    <mergeCell ref="G36:H36"/>
    <mergeCell ref="I36:J36"/>
    <mergeCell ref="K36:L36"/>
    <mergeCell ref="M36:P36"/>
    <mergeCell ref="M33:P33"/>
    <mergeCell ref="B34:F34"/>
    <mergeCell ref="G34:H34"/>
    <mergeCell ref="I34:J34"/>
    <mergeCell ref="K34:L34"/>
    <mergeCell ref="M34:P34"/>
    <mergeCell ref="B35:F35"/>
    <mergeCell ref="G35:H35"/>
    <mergeCell ref="I35:J35"/>
    <mergeCell ref="K35:L35"/>
    <mergeCell ref="M35:P35"/>
    <mergeCell ref="B42:F42"/>
    <mergeCell ref="G42:H42"/>
    <mergeCell ref="I42:J42"/>
    <mergeCell ref="K42:L42"/>
    <mergeCell ref="M42:P42"/>
    <mergeCell ref="B37:F37"/>
    <mergeCell ref="G37:H37"/>
    <mergeCell ref="I37:J37"/>
    <mergeCell ref="K37:L37"/>
    <mergeCell ref="M37:P37"/>
    <mergeCell ref="B39:F39"/>
    <mergeCell ref="G38:H38"/>
    <mergeCell ref="I38:J38"/>
    <mergeCell ref="K38:L38"/>
    <mergeCell ref="M38:P38"/>
    <mergeCell ref="B38:F38"/>
    <mergeCell ref="G39:H39"/>
    <mergeCell ref="I39:J39"/>
    <mergeCell ref="K39:L39"/>
    <mergeCell ref="M39:P39"/>
    <mergeCell ref="G40:H40"/>
    <mergeCell ref="I40:J40"/>
    <mergeCell ref="K40:L40"/>
    <mergeCell ref="G43:H43"/>
    <mergeCell ref="I43:J43"/>
    <mergeCell ref="K43:L43"/>
    <mergeCell ref="M40:P40"/>
    <mergeCell ref="G41:H41"/>
    <mergeCell ref="I41:J41"/>
    <mergeCell ref="K41:L41"/>
    <mergeCell ref="M41:P41"/>
    <mergeCell ref="B53:F53"/>
    <mergeCell ref="G53:H53"/>
    <mergeCell ref="I53:J53"/>
    <mergeCell ref="K53:L53"/>
    <mergeCell ref="M53:P53"/>
    <mergeCell ref="I47:J47"/>
    <mergeCell ref="B52:F52"/>
    <mergeCell ref="G52:H52"/>
    <mergeCell ref="I52:J52"/>
    <mergeCell ref="K52:L52"/>
    <mergeCell ref="M52:P52"/>
    <mergeCell ref="B51:F51"/>
    <mergeCell ref="G51:H51"/>
    <mergeCell ref="I51:J51"/>
    <mergeCell ref="K51:L51"/>
    <mergeCell ref="M51:P51"/>
    <mergeCell ref="M57:P57"/>
    <mergeCell ref="B55:F55"/>
    <mergeCell ref="B63:F63"/>
    <mergeCell ref="G63:H63"/>
    <mergeCell ref="I63:J63"/>
    <mergeCell ref="K63:L63"/>
    <mergeCell ref="M63:P63"/>
    <mergeCell ref="G58:H58"/>
    <mergeCell ref="K58:L58"/>
    <mergeCell ref="M58:P58"/>
    <mergeCell ref="B61:F61"/>
    <mergeCell ref="B54:F54"/>
    <mergeCell ref="G54:H54"/>
    <mergeCell ref="I54:J54"/>
    <mergeCell ref="K54:L54"/>
    <mergeCell ref="M54:P54"/>
    <mergeCell ref="G55:H55"/>
    <mergeCell ref="I55:J55"/>
    <mergeCell ref="K55:L55"/>
    <mergeCell ref="M55:P55"/>
    <mergeCell ref="G61:H61"/>
    <mergeCell ref="I61:J61"/>
    <mergeCell ref="K61:L61"/>
    <mergeCell ref="M61:P61"/>
    <mergeCell ref="B62:F62"/>
    <mergeCell ref="G62:H62"/>
    <mergeCell ref="I62:J62"/>
    <mergeCell ref="M62:P62"/>
    <mergeCell ref="G65:H65"/>
    <mergeCell ref="I65:J65"/>
    <mergeCell ref="K65:L65"/>
    <mergeCell ref="M65:P65"/>
    <mergeCell ref="G64:H64"/>
    <mergeCell ref="I64:J64"/>
    <mergeCell ref="K64:L64"/>
    <mergeCell ref="M64:P64"/>
    <mergeCell ref="M76:P76"/>
    <mergeCell ref="B77:F77"/>
    <mergeCell ref="G77:H77"/>
    <mergeCell ref="I77:J77"/>
    <mergeCell ref="K77:L77"/>
    <mergeCell ref="M77:P77"/>
    <mergeCell ref="M72:P72"/>
    <mergeCell ref="B73:F73"/>
    <mergeCell ref="G73:H73"/>
    <mergeCell ref="I73:J73"/>
    <mergeCell ref="K73:L73"/>
    <mergeCell ref="M73:P73"/>
    <mergeCell ref="B72:F72"/>
    <mergeCell ref="G72:H72"/>
    <mergeCell ref="B76:F76"/>
    <mergeCell ref="G76:H76"/>
    <mergeCell ref="I76:J76"/>
    <mergeCell ref="K76:L76"/>
    <mergeCell ref="M75:P75"/>
    <mergeCell ref="B74:F74"/>
    <mergeCell ref="G74:H74"/>
    <mergeCell ref="I74:J74"/>
    <mergeCell ref="K74:L74"/>
    <mergeCell ref="M74:P74"/>
    <mergeCell ref="M66:P66"/>
    <mergeCell ref="B75:F75"/>
    <mergeCell ref="G75:H75"/>
    <mergeCell ref="I75:J75"/>
    <mergeCell ref="K75:L75"/>
    <mergeCell ref="M82:P82"/>
    <mergeCell ref="B83:F83"/>
    <mergeCell ref="G83:H83"/>
    <mergeCell ref="I83:J83"/>
    <mergeCell ref="K83:L83"/>
    <mergeCell ref="M83:P83"/>
    <mergeCell ref="B78:P78"/>
    <mergeCell ref="B79:P79"/>
    <mergeCell ref="B80:F80"/>
    <mergeCell ref="G80:H80"/>
    <mergeCell ref="I80:J80"/>
    <mergeCell ref="K80:L80"/>
    <mergeCell ref="M80:P80"/>
    <mergeCell ref="B81:F81"/>
    <mergeCell ref="G81:H81"/>
    <mergeCell ref="I81:J81"/>
    <mergeCell ref="K81:L81"/>
    <mergeCell ref="M81:P81"/>
    <mergeCell ref="B82:F82"/>
    <mergeCell ref="G82:H82"/>
    <mergeCell ref="I82:J82"/>
    <mergeCell ref="K82:L82"/>
    <mergeCell ref="M84:P84"/>
    <mergeCell ref="B87:F87"/>
    <mergeCell ref="G87:H87"/>
    <mergeCell ref="I87:J87"/>
    <mergeCell ref="K87:L87"/>
    <mergeCell ref="M87:P87"/>
    <mergeCell ref="B85:F85"/>
    <mergeCell ref="B86:F86"/>
    <mergeCell ref="G85:H85"/>
    <mergeCell ref="I85:J85"/>
    <mergeCell ref="K85:L85"/>
    <mergeCell ref="M85:P85"/>
    <mergeCell ref="G86:H86"/>
    <mergeCell ref="I86:J86"/>
    <mergeCell ref="K86:L86"/>
    <mergeCell ref="M86:P86"/>
    <mergeCell ref="B84:F84"/>
    <mergeCell ref="G84:H84"/>
    <mergeCell ref="I84:J84"/>
    <mergeCell ref="K84:L84"/>
    <mergeCell ref="M92:P92"/>
    <mergeCell ref="B93:F93"/>
    <mergeCell ref="G93:H93"/>
    <mergeCell ref="I93:J93"/>
    <mergeCell ref="K93:L93"/>
    <mergeCell ref="M93:P93"/>
    <mergeCell ref="B88:P88"/>
    <mergeCell ref="B89:P89"/>
    <mergeCell ref="B90:F90"/>
    <mergeCell ref="G90:H90"/>
    <mergeCell ref="I90:J90"/>
    <mergeCell ref="K90:L90"/>
    <mergeCell ref="M90:P90"/>
    <mergeCell ref="B91:F91"/>
    <mergeCell ref="G91:H91"/>
    <mergeCell ref="I91:J91"/>
    <mergeCell ref="K91:L91"/>
    <mergeCell ref="M91:P91"/>
    <mergeCell ref="B92:F92"/>
    <mergeCell ref="G92:H92"/>
    <mergeCell ref="I92:J92"/>
    <mergeCell ref="K92:L92"/>
    <mergeCell ref="M96:P96"/>
    <mergeCell ref="B97:P97"/>
    <mergeCell ref="B94:F94"/>
    <mergeCell ref="G94:H94"/>
    <mergeCell ref="I94:J94"/>
    <mergeCell ref="K94:L94"/>
    <mergeCell ref="M94:P94"/>
    <mergeCell ref="B95:F95"/>
    <mergeCell ref="G95:H95"/>
    <mergeCell ref="I95:J95"/>
    <mergeCell ref="K95:L95"/>
    <mergeCell ref="M95:P95"/>
    <mergeCell ref="B96:F96"/>
    <mergeCell ref="G96:H96"/>
    <mergeCell ref="I96:J96"/>
    <mergeCell ref="K96:L96"/>
    <mergeCell ref="I72:J72"/>
    <mergeCell ref="K72:L72"/>
    <mergeCell ref="B68:F68"/>
    <mergeCell ref="G68:H68"/>
    <mergeCell ref="I68:J68"/>
    <mergeCell ref="K68:L68"/>
    <mergeCell ref="M68:P68"/>
    <mergeCell ref="B69:F69"/>
    <mergeCell ref="G69:H69"/>
    <mergeCell ref="B71:F71"/>
    <mergeCell ref="G71:H71"/>
    <mergeCell ref="I71:J71"/>
    <mergeCell ref="K71:L71"/>
    <mergeCell ref="M71:P71"/>
    <mergeCell ref="B70:F70"/>
    <mergeCell ref="G70:H70"/>
    <mergeCell ref="I70:J70"/>
    <mergeCell ref="K70:L70"/>
    <mergeCell ref="M70:P70"/>
    <mergeCell ref="K13:L13"/>
    <mergeCell ref="B20:F20"/>
    <mergeCell ref="M23:P23"/>
    <mergeCell ref="B22:F22"/>
    <mergeCell ref="B56:P56"/>
    <mergeCell ref="B57:F57"/>
    <mergeCell ref="G57:H57"/>
    <mergeCell ref="I69:J69"/>
    <mergeCell ref="K69:L69"/>
    <mergeCell ref="M69:P69"/>
    <mergeCell ref="I57:J57"/>
    <mergeCell ref="K57:L57"/>
    <mergeCell ref="I67:J67"/>
    <mergeCell ref="K67:L67"/>
    <mergeCell ref="B67:F67"/>
    <mergeCell ref="B66:F66"/>
    <mergeCell ref="G66:H66"/>
    <mergeCell ref="I66:J66"/>
    <mergeCell ref="K66:L66"/>
    <mergeCell ref="G67:H67"/>
    <mergeCell ref="K62:L62"/>
    <mergeCell ref="M67:P67"/>
    <mergeCell ref="B64:F64"/>
    <mergeCell ref="B65:F65"/>
    <mergeCell ref="G49:H49"/>
    <mergeCell ref="I49:J49"/>
    <mergeCell ref="K49:L49"/>
    <mergeCell ref="B50:F50"/>
    <mergeCell ref="G50:H50"/>
    <mergeCell ref="K50:L50"/>
    <mergeCell ref="M50:P50"/>
    <mergeCell ref="N46:P46"/>
    <mergeCell ref="N47:P47"/>
    <mergeCell ref="G47:H47"/>
    <mergeCell ref="K47:L47"/>
    <mergeCell ref="M9:P9"/>
    <mergeCell ref="B43:F43"/>
    <mergeCell ref="B44:P44"/>
    <mergeCell ref="G45:H45"/>
    <mergeCell ref="I45:J45"/>
    <mergeCell ref="K45:L45"/>
    <mergeCell ref="M45:P45"/>
    <mergeCell ref="B46:F46"/>
    <mergeCell ref="G46:H46"/>
    <mergeCell ref="I46:J46"/>
    <mergeCell ref="K46:L46"/>
    <mergeCell ref="M14:P14"/>
    <mergeCell ref="M15:P15"/>
    <mergeCell ref="B21:F21"/>
    <mergeCell ref="G20:H20"/>
    <mergeCell ref="G21:H21"/>
    <mergeCell ref="K20:L20"/>
    <mergeCell ref="K21:L21"/>
    <mergeCell ref="G23:H23"/>
    <mergeCell ref="K23:L23"/>
    <mergeCell ref="B23:F23"/>
    <mergeCell ref="M20:P20"/>
    <mergeCell ref="I19:J19"/>
    <mergeCell ref="I13:J13"/>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0700-000000000000}">
      <formula1>AvancementTheme</formula1>
    </dataValidation>
  </dataValidations>
  <pageMargins left="0.70866141732283472" right="0.70866141732283472" top="0.74803149606299213" bottom="0.74803149606299213" header="0.31496062992125984" footer="0.31496062992125984"/>
  <pageSetup paperSize="9" scale="30"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euil63">
    <tabColor rgb="FF92D050"/>
    <pageSetUpPr fitToPage="1"/>
  </sheetPr>
  <dimension ref="A1:V98"/>
  <sheetViews>
    <sheetView showGridLines="0" showRowColHeaders="0" showZeros="0" zoomScaleNormal="100" workbookViewId="0">
      <pane ySplit="5" topLeftCell="A6" activePane="bottomLeft" state="frozen"/>
      <selection pane="bottomLeft" activeCell="H7" sqref="H7"/>
    </sheetView>
  </sheetViews>
  <sheetFormatPr baseColWidth="10" defaultColWidth="11.453125" defaultRowHeight="13" x14ac:dyDescent="0.3"/>
  <cols>
    <col min="1" max="2" width="11.453125" style="116"/>
    <col min="3" max="3" width="13.1796875" style="116" customWidth="1"/>
    <col min="4" max="4" width="12.54296875" style="116" customWidth="1"/>
    <col min="5" max="5" width="9.453125" style="116" customWidth="1"/>
    <col min="6" max="8" width="11.453125" style="116"/>
    <col min="9" max="9" width="11.81640625" style="116" customWidth="1"/>
    <col min="10" max="16384" width="11.453125" style="116"/>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458"/>
      <c r="R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42419.922754629632</v>
      </c>
      <c r="M2" s="3348"/>
      <c r="N2" s="394"/>
      <c r="O2" s="451">
        <f>IF(LEN(DPDV_02DS3)&gt;0,LEN(DPDV_02DS3),0-PDV_NBmini)</f>
        <v>-10</v>
      </c>
      <c r="P2" s="451">
        <f>IF(LEN(DKPI_02DS3)&gt;0,LEN(DKPI_02DS3),0-KPI_NBmini)</f>
        <v>24</v>
      </c>
      <c r="Q2" s="459"/>
      <c r="R2" s="459"/>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806" t="str">
        <f>Parametre!B24  &amp; "  : "</f>
        <v xml:space="preserve">Vision, Attente &amp; Stratégie  : </v>
      </c>
      <c r="B4" s="5806"/>
      <c r="C4" s="5806"/>
      <c r="D4" s="5806"/>
      <c r="E4" s="5806"/>
      <c r="F4" s="5806"/>
      <c r="G4" s="5806"/>
      <c r="H4" s="5807" t="str">
        <f>"SaaS Estimation du nombre de clients et de partenaires pour " &amp; NomProd3</f>
        <v xml:space="preserve">SaaS Estimation du nombre de clients et de partenaires pour </v>
      </c>
      <c r="I4" s="5807"/>
      <c r="J4" s="5807"/>
      <c r="K4" s="5807"/>
      <c r="L4" s="5807"/>
      <c r="M4" s="5807"/>
      <c r="N4" s="5807"/>
      <c r="O4" s="5807"/>
      <c r="P4" s="5808"/>
      <c r="Q4" s="444"/>
      <c r="R4" s="444"/>
    </row>
    <row r="5" spans="1:22" s="193" customFormat="1" ht="27" customHeight="1" thickBot="1" x14ac:dyDescent="0.4">
      <c r="A5" s="3438" t="s">
        <v>14</v>
      </c>
      <c r="B5" s="3438"/>
      <c r="C5" s="3508" t="s">
        <v>1244</v>
      </c>
      <c r="D5" s="3508"/>
      <c r="E5" s="3508"/>
      <c r="F5" s="3508"/>
      <c r="G5" s="3508"/>
      <c r="H5" s="3508"/>
      <c r="I5" s="3508"/>
      <c r="J5" s="3508"/>
      <c r="K5" s="3508"/>
      <c r="L5" s="3508"/>
      <c r="M5" s="3508"/>
      <c r="N5" s="3508"/>
      <c r="O5" s="3508"/>
      <c r="P5" s="3508"/>
      <c r="Q5" s="460"/>
      <c r="R5" s="460"/>
    </row>
    <row r="6" spans="1:22" s="159" customFormat="1" ht="45" customHeight="1" thickTop="1" x14ac:dyDescent="0.35">
      <c r="A6" s="5891" t="s">
        <v>1459</v>
      </c>
      <c r="B6" s="5933"/>
      <c r="C6" s="5933"/>
      <c r="D6" s="5950"/>
      <c r="E6" s="5950"/>
      <c r="F6" s="506">
        <f>AnReference-1</f>
        <v>2017</v>
      </c>
      <c r="G6" s="506">
        <f>AnReference</f>
        <v>2018</v>
      </c>
      <c r="H6" s="506">
        <f>IF(NbAnVision&gt;=1,AnReference+1,"NA")</f>
        <v>2019</v>
      </c>
      <c r="I6" s="506">
        <f>IF(NbAnVision&gt;=2,AnReference+2,"NA")</f>
        <v>2020</v>
      </c>
      <c r="J6" s="1093">
        <f>IF(NbAnVision&gt;=3,AnReference+3,"NA")</f>
        <v>2021</v>
      </c>
      <c r="K6" s="1062" t="s">
        <v>127</v>
      </c>
      <c r="L6" s="538"/>
      <c r="M6" s="662">
        <f t="shared" ref="M6:R6" si="0">F6</f>
        <v>2017</v>
      </c>
      <c r="N6" s="660">
        <f t="shared" si="0"/>
        <v>2018</v>
      </c>
      <c r="O6" s="660">
        <f t="shared" si="0"/>
        <v>2019</v>
      </c>
      <c r="P6" s="660">
        <f t="shared" si="0"/>
        <v>2020</v>
      </c>
      <c r="Q6" s="1060">
        <f t="shared" si="0"/>
        <v>2021</v>
      </c>
      <c r="R6" s="1062" t="str">
        <f t="shared" si="0"/>
        <v>Total</v>
      </c>
    </row>
    <row r="7" spans="1:22" ht="15.5" x14ac:dyDescent="0.35">
      <c r="A7" s="5923" t="str">
        <f>'02-SALESPLAN-OFR3'!A15:F15</f>
        <v>Ventes directes seules</v>
      </c>
      <c r="B7" s="5924"/>
      <c r="C7" s="5924"/>
      <c r="D7" s="5948"/>
      <c r="E7" s="5949"/>
      <c r="F7" s="1165">
        <f>'02-SALESPLAN-OFR3'!G32</f>
        <v>0</v>
      </c>
      <c r="G7" s="1165">
        <f>'02-SALESPLAN-OFR3'!H32-'02-SALESPLAN-OFR3'!G32</f>
        <v>0</v>
      </c>
      <c r="H7" s="1165">
        <f>'02-SALESPLAN-OFR3'!I32-'02-SALESPLAN-OFR3'!H32</f>
        <v>0</v>
      </c>
      <c r="I7" s="1165">
        <f>'02-SALESPLAN-OFR3'!J32-'02-SALESPLAN-OFR3'!I32</f>
        <v>0</v>
      </c>
      <c r="J7" s="1165">
        <f>'02-SALESPLAN-OFR3'!K32-'02-SALESPLAN-OFR3'!J32</f>
        <v>0</v>
      </c>
      <c r="K7" s="1063">
        <f>SUM(F7:J7)</f>
        <v>0</v>
      </c>
      <c r="L7" s="539"/>
      <c r="M7" s="663" t="e">
        <f t="shared" ref="M7:N14" si="1">F7/$G$16</f>
        <v>#DIV/0!</v>
      </c>
      <c r="N7" s="664" t="e">
        <f t="shared" si="1"/>
        <v>#DIV/0!</v>
      </c>
      <c r="O7" s="664" t="e">
        <f t="shared" ref="O7:R14" si="2">H7/H$16</f>
        <v>#DIV/0!</v>
      </c>
      <c r="P7" s="664" t="e">
        <f t="shared" si="2"/>
        <v>#DIV/0!</v>
      </c>
      <c r="Q7" s="1066" t="e">
        <f t="shared" si="2"/>
        <v>#DIV/0!</v>
      </c>
      <c r="R7" s="1068" t="e">
        <f t="shared" si="2"/>
        <v>#DIV/0!</v>
      </c>
    </row>
    <row r="8" spans="1:22" ht="15.5" x14ac:dyDescent="0.35">
      <c r="A8" s="5923" t="str">
        <f>'02-SALESPLAN-OFR3'!A16:F16</f>
        <v>ESN</v>
      </c>
      <c r="B8" s="5924"/>
      <c r="C8" s="5924"/>
      <c r="D8" s="5944"/>
      <c r="E8" s="5944"/>
      <c r="F8" s="1165">
        <f>'02-SALESPLAN-OFR3'!G33</f>
        <v>0</v>
      </c>
      <c r="G8" s="1165">
        <f>'02-SALESPLAN-OFR3'!H33-'02-SALESPLAN-OFR3'!G33</f>
        <v>0</v>
      </c>
      <c r="H8" s="1165">
        <f>'02-SALESPLAN-OFR3'!I33-'02-SALESPLAN-OFR3'!H33</f>
        <v>0</v>
      </c>
      <c r="I8" s="1165">
        <f>'02-SALESPLAN-OFR3'!J33-'02-SALESPLAN-OFR3'!I33</f>
        <v>0</v>
      </c>
      <c r="J8" s="1165">
        <f>'02-SALESPLAN-OFR3'!K33-'02-SALESPLAN-OFR3'!J33</f>
        <v>0</v>
      </c>
      <c r="K8" s="1063">
        <f t="shared" ref="K8:K16" si="3">SUM(F8:J8)</f>
        <v>0</v>
      </c>
      <c r="L8" s="539"/>
      <c r="M8" s="663" t="e">
        <f t="shared" si="1"/>
        <v>#DIV/0!</v>
      </c>
      <c r="N8" s="664" t="e">
        <f t="shared" si="1"/>
        <v>#DIV/0!</v>
      </c>
      <c r="O8" s="664" t="e">
        <f t="shared" si="2"/>
        <v>#DIV/0!</v>
      </c>
      <c r="P8" s="664" t="e">
        <f t="shared" si="2"/>
        <v>#DIV/0!</v>
      </c>
      <c r="Q8" s="1066" t="e">
        <f t="shared" si="2"/>
        <v>#DIV/0!</v>
      </c>
      <c r="R8" s="1068" t="e">
        <f t="shared" si="2"/>
        <v>#DIV/0!</v>
      </c>
    </row>
    <row r="9" spans="1:22" ht="15.5" x14ac:dyDescent="0.35">
      <c r="A9" s="5923" t="str">
        <f>'02-SALESPLAN-OFR3'!A17:F17</f>
        <v>Centres de contact</v>
      </c>
      <c r="B9" s="5924"/>
      <c r="C9" s="5924"/>
      <c r="D9" s="5944"/>
      <c r="E9" s="5944"/>
      <c r="F9" s="1165">
        <f>'02-SALESPLAN-OFR3'!G34</f>
        <v>0</v>
      </c>
      <c r="G9" s="1165">
        <f>'02-SALESPLAN-OFR3'!H34-'02-SALESPLAN-OFR3'!G34</f>
        <v>0</v>
      </c>
      <c r="H9" s="1165">
        <f>'02-SALESPLAN-OFR3'!I34-'02-SALESPLAN-OFR3'!H34</f>
        <v>0</v>
      </c>
      <c r="I9" s="1165">
        <f>'02-SALESPLAN-OFR3'!J34-'02-SALESPLAN-OFR3'!I34</f>
        <v>0</v>
      </c>
      <c r="J9" s="1165">
        <f>'02-SALESPLAN-OFR3'!K34-'02-SALESPLAN-OFR3'!J34</f>
        <v>0</v>
      </c>
      <c r="K9" s="1063">
        <f t="shared" si="3"/>
        <v>0</v>
      </c>
      <c r="L9" s="539"/>
      <c r="M9" s="663" t="e">
        <f t="shared" si="1"/>
        <v>#DIV/0!</v>
      </c>
      <c r="N9" s="664" t="e">
        <f t="shared" si="1"/>
        <v>#DIV/0!</v>
      </c>
      <c r="O9" s="664" t="e">
        <f t="shared" si="2"/>
        <v>#DIV/0!</v>
      </c>
      <c r="P9" s="664" t="e">
        <f t="shared" si="2"/>
        <v>#DIV/0!</v>
      </c>
      <c r="Q9" s="1066" t="e">
        <f t="shared" si="2"/>
        <v>#DIV/0!</v>
      </c>
      <c r="R9" s="1068" t="e">
        <f t="shared" si="2"/>
        <v>#DIV/0!</v>
      </c>
    </row>
    <row r="10" spans="1:22" ht="15.5" x14ac:dyDescent="0.35">
      <c r="A10" s="5923" t="str">
        <f>'02-SALESPLAN-OFR3'!A18:F18</f>
        <v>Vars Nationaux</v>
      </c>
      <c r="B10" s="5924"/>
      <c r="C10" s="5924"/>
      <c r="D10" s="5944"/>
      <c r="E10" s="5944"/>
      <c r="F10" s="1165">
        <f>'02-SALESPLAN-OFR3'!G35</f>
        <v>0</v>
      </c>
      <c r="G10" s="1165">
        <f>'02-SALESPLAN-OFR3'!H35-'02-SALESPLAN-OFR3'!G35</f>
        <v>0</v>
      </c>
      <c r="H10" s="1165">
        <f>'02-SALESPLAN-OFR3'!I35-'02-SALESPLAN-OFR3'!H35</f>
        <v>0</v>
      </c>
      <c r="I10" s="1165">
        <f>'02-SALESPLAN-OFR3'!J35-'02-SALESPLAN-OFR3'!I35</f>
        <v>0</v>
      </c>
      <c r="J10" s="1165">
        <f>'02-SALESPLAN-OFR3'!K35-'02-SALESPLAN-OFR3'!J35</f>
        <v>0</v>
      </c>
      <c r="K10" s="1063">
        <f t="shared" si="3"/>
        <v>0</v>
      </c>
      <c r="L10" s="539"/>
      <c r="M10" s="663" t="e">
        <f t="shared" si="1"/>
        <v>#DIV/0!</v>
      </c>
      <c r="N10" s="664" t="e">
        <f t="shared" si="1"/>
        <v>#DIV/0!</v>
      </c>
      <c r="O10" s="664" t="e">
        <f t="shared" si="2"/>
        <v>#DIV/0!</v>
      </c>
      <c r="P10" s="664" t="e">
        <f t="shared" si="2"/>
        <v>#DIV/0!</v>
      </c>
      <c r="Q10" s="1066" t="e">
        <f t="shared" si="2"/>
        <v>#DIV/0!</v>
      </c>
      <c r="R10" s="1068" t="e">
        <f t="shared" si="2"/>
        <v>#DIV/0!</v>
      </c>
    </row>
    <row r="11" spans="1:22" ht="15.5" x14ac:dyDescent="0.35">
      <c r="A11" s="5923" t="str">
        <f>'02-SALESPLAN-OFR3'!A19:F19</f>
        <v>Editeurs</v>
      </c>
      <c r="B11" s="5924"/>
      <c r="C11" s="5924"/>
      <c r="D11" s="5944"/>
      <c r="E11" s="5944"/>
      <c r="F11" s="1165">
        <f>'02-SALESPLAN-OFR3'!G36</f>
        <v>0</v>
      </c>
      <c r="G11" s="1165">
        <f>'02-SALESPLAN-OFR3'!H36-'02-SALESPLAN-OFR3'!G36</f>
        <v>0</v>
      </c>
      <c r="H11" s="1165">
        <f>'02-SALESPLAN-OFR3'!I36-'02-SALESPLAN-OFR3'!H36</f>
        <v>0</v>
      </c>
      <c r="I11" s="1165">
        <f>'02-SALESPLAN-OFR3'!J36-'02-SALESPLAN-OFR3'!I36</f>
        <v>0</v>
      </c>
      <c r="J11" s="1165">
        <f>'02-SALESPLAN-OFR3'!K36-'02-SALESPLAN-OFR3'!J36</f>
        <v>0</v>
      </c>
      <c r="K11" s="1063">
        <f>SUM(F11:J11)</f>
        <v>0</v>
      </c>
      <c r="L11" s="512"/>
      <c r="M11" s="663" t="e">
        <f t="shared" si="1"/>
        <v>#DIV/0!</v>
      </c>
      <c r="N11" s="664" t="e">
        <f t="shared" si="1"/>
        <v>#DIV/0!</v>
      </c>
      <c r="O11" s="664" t="e">
        <f t="shared" si="2"/>
        <v>#DIV/0!</v>
      </c>
      <c r="P11" s="664" t="e">
        <f t="shared" si="2"/>
        <v>#DIV/0!</v>
      </c>
      <c r="Q11" s="1066" t="e">
        <f t="shared" si="2"/>
        <v>#DIV/0!</v>
      </c>
      <c r="R11" s="1068" t="e">
        <f t="shared" si="2"/>
        <v>#DIV/0!</v>
      </c>
    </row>
    <row r="12" spans="1:22" ht="15.5" x14ac:dyDescent="0.35">
      <c r="A12" s="5923" t="str">
        <f>'02-SALESPLAN-OFR3'!A20:F20</f>
        <v>Web Agencies</v>
      </c>
      <c r="B12" s="5924"/>
      <c r="C12" s="5924"/>
      <c r="D12" s="5944"/>
      <c r="E12" s="5944"/>
      <c r="F12" s="1165">
        <f>'02-SALESPLAN-OFR3'!G37</f>
        <v>0</v>
      </c>
      <c r="G12" s="1165">
        <f>'02-SALESPLAN-OFR3'!H37-'02-SALESPLAN-OFR3'!G37</f>
        <v>0</v>
      </c>
      <c r="H12" s="1165">
        <f>'02-SALESPLAN-OFR3'!I37-'02-SALESPLAN-OFR3'!H37</f>
        <v>0</v>
      </c>
      <c r="I12" s="1165">
        <f>'02-SALESPLAN-OFR3'!J37-'02-SALESPLAN-OFR3'!I37</f>
        <v>0</v>
      </c>
      <c r="J12" s="1165">
        <f>'02-SALESPLAN-OFR3'!K37-'02-SALESPLAN-OFR3'!J37</f>
        <v>0</v>
      </c>
      <c r="K12" s="1063">
        <f t="shared" si="3"/>
        <v>0</v>
      </c>
      <c r="L12" s="512"/>
      <c r="M12" s="663" t="e">
        <f t="shared" si="1"/>
        <v>#DIV/0!</v>
      </c>
      <c r="N12" s="664" t="e">
        <f t="shared" si="1"/>
        <v>#DIV/0!</v>
      </c>
      <c r="O12" s="664" t="e">
        <f t="shared" si="2"/>
        <v>#DIV/0!</v>
      </c>
      <c r="P12" s="664" t="e">
        <f t="shared" si="2"/>
        <v>#DIV/0!</v>
      </c>
      <c r="Q12" s="1066" t="e">
        <f t="shared" si="2"/>
        <v>#DIV/0!</v>
      </c>
      <c r="R12" s="1068" t="e">
        <f t="shared" si="2"/>
        <v>#DIV/0!</v>
      </c>
    </row>
    <row r="13" spans="1:22" ht="15.5" x14ac:dyDescent="0.35">
      <c r="A13" s="5923" t="str">
        <f>'02-SALESPLAN-OFR3'!A21:F21</f>
        <v>Constructeurs</v>
      </c>
      <c r="B13" s="5924"/>
      <c r="C13" s="5924"/>
      <c r="D13" s="5944"/>
      <c r="E13" s="5944"/>
      <c r="F13" s="1165">
        <f>'02-SALESPLAN-OFR3'!G38</f>
        <v>0</v>
      </c>
      <c r="G13" s="1165">
        <f>'02-SALESPLAN-OFR3'!H38-'02-SALESPLAN-OFR3'!G38</f>
        <v>0</v>
      </c>
      <c r="H13" s="1165">
        <f>'02-SALESPLAN-OFR3'!I38-'02-SALESPLAN-OFR3'!H38</f>
        <v>0</v>
      </c>
      <c r="I13" s="1165">
        <f>'02-SALESPLAN-OFR3'!J38-'02-SALESPLAN-OFR3'!I38</f>
        <v>0</v>
      </c>
      <c r="J13" s="1165">
        <f>'02-SALESPLAN-OFR3'!K38-'02-SALESPLAN-OFR3'!J38</f>
        <v>0</v>
      </c>
      <c r="K13" s="1063">
        <f>SUM(F13:J13)</f>
        <v>0</v>
      </c>
      <c r="L13" s="512"/>
      <c r="M13" s="663" t="e">
        <f t="shared" si="1"/>
        <v>#DIV/0!</v>
      </c>
      <c r="N13" s="664" t="e">
        <f t="shared" si="1"/>
        <v>#DIV/0!</v>
      </c>
      <c r="O13" s="664" t="e">
        <f t="shared" si="2"/>
        <v>#DIV/0!</v>
      </c>
      <c r="P13" s="664" t="e">
        <f t="shared" si="2"/>
        <v>#DIV/0!</v>
      </c>
      <c r="Q13" s="1066" t="e">
        <f t="shared" si="2"/>
        <v>#DIV/0!</v>
      </c>
      <c r="R13" s="1068" t="e">
        <f t="shared" si="2"/>
        <v>#DIV/0!</v>
      </c>
    </row>
    <row r="14" spans="1:22" ht="15.5" x14ac:dyDescent="0.35">
      <c r="A14" s="5923" t="str">
        <f>'02-SALESPLAN-OFR3'!A22:F22</f>
        <v>Hébergeurs</v>
      </c>
      <c r="B14" s="5924"/>
      <c r="C14" s="5924"/>
      <c r="D14" s="5944"/>
      <c r="E14" s="5944"/>
      <c r="F14" s="1165">
        <f>'02-SALESPLAN-OFR3'!G39</f>
        <v>0</v>
      </c>
      <c r="G14" s="1165">
        <f>'02-SALESPLAN-OFR3'!H39-'02-SALESPLAN-OFR3'!G39</f>
        <v>0</v>
      </c>
      <c r="H14" s="1165">
        <f>'02-SALESPLAN-OFR3'!I39-'02-SALESPLAN-OFR3'!H39</f>
        <v>0</v>
      </c>
      <c r="I14" s="1165">
        <f>'02-SALESPLAN-OFR3'!J39-'02-SALESPLAN-OFR3'!I39</f>
        <v>0</v>
      </c>
      <c r="J14" s="1165">
        <f>'02-SALESPLAN-OFR3'!K39-'02-SALESPLAN-OFR3'!J39</f>
        <v>0</v>
      </c>
      <c r="K14" s="1063">
        <f t="shared" si="3"/>
        <v>0</v>
      </c>
      <c r="L14" s="512"/>
      <c r="M14" s="663" t="e">
        <f t="shared" si="1"/>
        <v>#DIV/0!</v>
      </c>
      <c r="N14" s="664" t="e">
        <f t="shared" si="1"/>
        <v>#DIV/0!</v>
      </c>
      <c r="O14" s="664" t="e">
        <f t="shared" si="2"/>
        <v>#DIV/0!</v>
      </c>
      <c r="P14" s="664" t="e">
        <f t="shared" si="2"/>
        <v>#DIV/0!</v>
      </c>
      <c r="Q14" s="1066" t="e">
        <f t="shared" si="2"/>
        <v>#DIV/0!</v>
      </c>
      <c r="R14" s="1068" t="e">
        <f t="shared" si="2"/>
        <v>#DIV/0!</v>
      </c>
    </row>
    <row r="15" spans="1:22" ht="15" thickBot="1" x14ac:dyDescent="0.4">
      <c r="A15" s="5945"/>
      <c r="B15" s="5946"/>
      <c r="C15" s="5946"/>
      <c r="D15" s="5946"/>
      <c r="E15" s="5946"/>
      <c r="F15" s="5946"/>
      <c r="G15" s="5946"/>
      <c r="H15" s="5946"/>
      <c r="I15" s="5946"/>
      <c r="J15" s="5946"/>
      <c r="K15" s="5947"/>
      <c r="L15" s="512"/>
      <c r="M15" s="5941"/>
      <c r="N15" s="5942"/>
      <c r="O15" s="5942"/>
      <c r="P15" s="5942"/>
      <c r="Q15" s="5942"/>
      <c r="R15" s="5943"/>
    </row>
    <row r="16" spans="1:22" ht="15.5" thickTop="1" thickBot="1" x14ac:dyDescent="0.4">
      <c r="A16" s="651"/>
      <c r="B16" s="651"/>
      <c r="C16" s="5789" t="s">
        <v>436</v>
      </c>
      <c r="D16" s="5790"/>
      <c r="E16" s="5934"/>
      <c r="F16" s="1178">
        <f>SUM(F7:F15)</f>
        <v>0</v>
      </c>
      <c r="G16" s="665">
        <f>SUM(G7:G15)</f>
        <v>0</v>
      </c>
      <c r="H16" s="665">
        <f>SUM(H7:H15)</f>
        <v>0</v>
      </c>
      <c r="I16" s="665">
        <f>SUM(I7:I15)</f>
        <v>0</v>
      </c>
      <c r="J16" s="1061">
        <f>SUM(J7:J15)</f>
        <v>0</v>
      </c>
      <c r="K16" s="1064">
        <f t="shared" si="3"/>
        <v>0</v>
      </c>
      <c r="L16" s="530"/>
      <c r="M16" s="666" t="e">
        <f t="shared" ref="M16:R16" si="4">SUM(M7:M15)</f>
        <v>#DIV/0!</v>
      </c>
      <c r="N16" s="667" t="e">
        <f t="shared" si="4"/>
        <v>#DIV/0!</v>
      </c>
      <c r="O16" s="667" t="e">
        <f t="shared" si="4"/>
        <v>#DIV/0!</v>
      </c>
      <c r="P16" s="667" t="e">
        <f t="shared" si="4"/>
        <v>#DIV/0!</v>
      </c>
      <c r="Q16" s="1067" t="e">
        <f t="shared" si="4"/>
        <v>#DIV/0!</v>
      </c>
      <c r="R16" s="1069" t="e">
        <f t="shared" si="4"/>
        <v>#DIV/0!</v>
      </c>
    </row>
    <row r="17" spans="1:18" ht="15" thickTop="1" x14ac:dyDescent="0.35">
      <c r="A17" s="651"/>
      <c r="B17" s="651"/>
      <c r="C17" s="1611"/>
      <c r="D17" s="535"/>
      <c r="E17" s="1612" t="s">
        <v>1528</v>
      </c>
      <c r="F17" s="1613">
        <f t="shared" ref="F17:K17" si="5">SUM(F8:F14)</f>
        <v>0</v>
      </c>
      <c r="G17" s="1613">
        <f t="shared" si="5"/>
        <v>0</v>
      </c>
      <c r="H17" s="1613">
        <f t="shared" si="5"/>
        <v>0</v>
      </c>
      <c r="I17" s="1613">
        <f t="shared" si="5"/>
        <v>0</v>
      </c>
      <c r="J17" s="1613">
        <f t="shared" si="5"/>
        <v>0</v>
      </c>
      <c r="K17" s="1613">
        <f t="shared" si="5"/>
        <v>0</v>
      </c>
      <c r="L17" s="530"/>
      <c r="M17" s="528"/>
      <c r="N17" s="528"/>
      <c r="O17" s="528"/>
      <c r="P17" s="528"/>
      <c r="Q17" s="528"/>
      <c r="R17" s="528"/>
    </row>
    <row r="18" spans="1:18" ht="15" thickBot="1" x14ac:dyDescent="0.4">
      <c r="A18" s="651"/>
      <c r="B18" s="651"/>
      <c r="C18" s="5935" t="s">
        <v>1529</v>
      </c>
      <c r="D18" s="5936"/>
      <c r="E18" s="5937"/>
      <c r="F18" s="668"/>
      <c r="G18" s="546" t="e">
        <f>SUM(G17-F17)/F16</f>
        <v>#DIV/0!</v>
      </c>
      <c r="H18" s="546" t="e">
        <f>SUM(H17-G17)/G16</f>
        <v>#DIV/0!</v>
      </c>
      <c r="I18" s="546" t="e">
        <f>SUM(I17-H17)/H16</f>
        <v>#DIV/0!</v>
      </c>
      <c r="J18" s="546" t="e">
        <f>SUM(J17-I17)/I16</f>
        <v>#DIV/0!</v>
      </c>
      <c r="K18" s="1065"/>
      <c r="L18" s="520"/>
      <c r="M18" s="512"/>
      <c r="N18" s="512"/>
      <c r="O18" s="512"/>
      <c r="P18" s="512"/>
      <c r="Q18" s="512"/>
      <c r="R18" s="513"/>
    </row>
    <row r="19" spans="1:18" ht="13.5" thickTop="1" x14ac:dyDescent="0.3">
      <c r="A19" s="651"/>
      <c r="B19" s="651"/>
      <c r="C19" s="651"/>
      <c r="D19" s="651"/>
      <c r="E19" s="651" t="s">
        <v>1527</v>
      </c>
      <c r="F19" s="651"/>
      <c r="G19" s="651"/>
      <c r="H19" s="651"/>
      <c r="I19" s="651"/>
      <c r="J19" s="651"/>
      <c r="K19" s="651"/>
      <c r="L19" s="651"/>
      <c r="M19" s="651"/>
      <c r="N19" s="651"/>
      <c r="O19" s="651"/>
      <c r="P19" s="651"/>
      <c r="Q19" s="651"/>
      <c r="R19" s="651"/>
    </row>
    <row r="20" spans="1:18" x14ac:dyDescent="0.3">
      <c r="A20" s="651"/>
      <c r="B20" s="651"/>
      <c r="C20" s="651"/>
      <c r="D20" s="651"/>
      <c r="E20" s="651"/>
      <c r="F20" s="651"/>
      <c r="G20" s="651"/>
      <c r="H20" s="651"/>
      <c r="I20" s="651"/>
      <c r="J20" s="651"/>
      <c r="K20" s="651"/>
      <c r="L20" s="651"/>
      <c r="M20" s="651"/>
      <c r="N20" s="651"/>
      <c r="O20" s="651"/>
      <c r="P20" s="651"/>
      <c r="Q20" s="651"/>
      <c r="R20" s="651"/>
    </row>
    <row r="21" spans="1:18" ht="13.5" thickBot="1" x14ac:dyDescent="0.35">
      <c r="A21" s="651"/>
      <c r="B21" s="651"/>
      <c r="C21" s="651"/>
      <c r="D21" s="651"/>
      <c r="E21" s="651"/>
      <c r="F21" s="651"/>
      <c r="G21" s="651"/>
      <c r="H21" s="651"/>
      <c r="I21" s="651"/>
      <c r="J21" s="651"/>
      <c r="K21" s="651"/>
      <c r="L21" s="651"/>
      <c r="M21" s="651"/>
      <c r="N21" s="651"/>
      <c r="O21" s="651"/>
      <c r="P21" s="651"/>
      <c r="Q21" s="651"/>
      <c r="R21" s="651"/>
    </row>
    <row r="22" spans="1:18" s="210" customFormat="1" ht="39.75" customHeight="1" thickTop="1" x14ac:dyDescent="0.45">
      <c r="A22" s="5938" t="s">
        <v>1458</v>
      </c>
      <c r="B22" s="5939"/>
      <c r="C22" s="5940"/>
      <c r="D22" s="5933" t="s">
        <v>1460</v>
      </c>
      <c r="E22" s="5933"/>
      <c r="F22" s="660">
        <f t="shared" ref="F22:K22" si="6">F6</f>
        <v>2017</v>
      </c>
      <c r="G22" s="660">
        <f t="shared" si="6"/>
        <v>2018</v>
      </c>
      <c r="H22" s="660">
        <f t="shared" si="6"/>
        <v>2019</v>
      </c>
      <c r="I22" s="660">
        <f t="shared" si="6"/>
        <v>2020</v>
      </c>
      <c r="J22" s="1060">
        <f t="shared" si="6"/>
        <v>2021</v>
      </c>
      <c r="K22" s="1062" t="str">
        <f t="shared" si="6"/>
        <v>Total</v>
      </c>
      <c r="L22" s="551"/>
      <c r="M22" s="551"/>
      <c r="N22" s="551"/>
      <c r="O22" s="551"/>
      <c r="P22" s="551"/>
      <c r="Q22" s="551"/>
      <c r="R22" s="551"/>
    </row>
    <row r="23" spans="1:18" ht="15.5" x14ac:dyDescent="0.35">
      <c r="A23" s="5923" t="str">
        <f t="shared" ref="A23:A30" si="7">A7</f>
        <v>Ventes directes seules</v>
      </c>
      <c r="B23" s="5924"/>
      <c r="C23" s="5924"/>
      <c r="D23" s="6468">
        <v>0.03</v>
      </c>
      <c r="E23" s="6468"/>
      <c r="F23" s="1609">
        <f t="shared" ref="F23:J30" si="8">IF($D23=0,0,F7/$D23)</f>
        <v>0</v>
      </c>
      <c r="G23" s="1609">
        <f t="shared" si="8"/>
        <v>0</v>
      </c>
      <c r="H23" s="1609">
        <f t="shared" si="8"/>
        <v>0</v>
      </c>
      <c r="I23" s="1609">
        <f t="shared" si="8"/>
        <v>0</v>
      </c>
      <c r="J23" s="1610">
        <f t="shared" si="8"/>
        <v>0</v>
      </c>
      <c r="K23" s="1608">
        <f t="shared" ref="K23:K30" si="9">SUM(G23:J23)</f>
        <v>0</v>
      </c>
      <c r="L23" s="651"/>
      <c r="M23" s="651"/>
      <c r="N23" s="1483"/>
      <c r="O23" s="651"/>
      <c r="P23" s="651"/>
      <c r="Q23" s="651"/>
      <c r="R23" s="651"/>
    </row>
    <row r="24" spans="1:18" ht="15.5" x14ac:dyDescent="0.35">
      <c r="A24" s="5923" t="str">
        <f t="shared" si="7"/>
        <v>ESN</v>
      </c>
      <c r="B24" s="5924"/>
      <c r="C24" s="5924"/>
      <c r="D24" s="6468">
        <v>1.7000000000000001E-2</v>
      </c>
      <c r="E24" s="6468"/>
      <c r="F24" s="1179">
        <f t="shared" si="8"/>
        <v>0</v>
      </c>
      <c r="G24" s="669">
        <f t="shared" si="8"/>
        <v>0</v>
      </c>
      <c r="H24" s="669">
        <f t="shared" si="8"/>
        <v>0</v>
      </c>
      <c r="I24" s="669">
        <f t="shared" si="8"/>
        <v>0</v>
      </c>
      <c r="J24" s="1070">
        <f t="shared" si="8"/>
        <v>0</v>
      </c>
      <c r="K24" s="1072">
        <f t="shared" si="9"/>
        <v>0</v>
      </c>
      <c r="L24" s="651"/>
      <c r="M24" s="651"/>
      <c r="N24" s="651"/>
      <c r="O24" s="651"/>
      <c r="P24" s="651"/>
      <c r="Q24" s="651"/>
      <c r="R24" s="651"/>
    </row>
    <row r="25" spans="1:18" ht="15.5" x14ac:dyDescent="0.35">
      <c r="A25" s="5923" t="str">
        <f t="shared" si="7"/>
        <v>Centres de contact</v>
      </c>
      <c r="B25" s="5924"/>
      <c r="C25" s="5924"/>
      <c r="D25" s="6468">
        <v>0.01</v>
      </c>
      <c r="E25" s="6468"/>
      <c r="F25" s="1179">
        <f t="shared" si="8"/>
        <v>0</v>
      </c>
      <c r="G25" s="669">
        <f t="shared" si="8"/>
        <v>0</v>
      </c>
      <c r="H25" s="669">
        <f t="shared" si="8"/>
        <v>0</v>
      </c>
      <c r="I25" s="669">
        <f t="shared" si="8"/>
        <v>0</v>
      </c>
      <c r="J25" s="1070">
        <f t="shared" si="8"/>
        <v>0</v>
      </c>
      <c r="K25" s="1073">
        <f t="shared" si="9"/>
        <v>0</v>
      </c>
      <c r="L25" s="651"/>
      <c r="M25" s="651"/>
      <c r="N25" s="651"/>
      <c r="O25" s="651"/>
      <c r="P25" s="651"/>
      <c r="Q25" s="651"/>
      <c r="R25" s="651"/>
    </row>
    <row r="26" spans="1:18" ht="15.5" x14ac:dyDescent="0.35">
      <c r="A26" s="5923" t="str">
        <f t="shared" si="7"/>
        <v>Vars Nationaux</v>
      </c>
      <c r="B26" s="5924"/>
      <c r="C26" s="5924"/>
      <c r="D26" s="6468">
        <v>5.0000000000000001E-3</v>
      </c>
      <c r="E26" s="6468"/>
      <c r="F26" s="1179">
        <f t="shared" si="8"/>
        <v>0</v>
      </c>
      <c r="G26" s="669">
        <f t="shared" si="8"/>
        <v>0</v>
      </c>
      <c r="H26" s="669">
        <f t="shared" si="8"/>
        <v>0</v>
      </c>
      <c r="I26" s="669">
        <f t="shared" si="8"/>
        <v>0</v>
      </c>
      <c r="J26" s="1070">
        <f t="shared" si="8"/>
        <v>0</v>
      </c>
      <c r="K26" s="1072">
        <f t="shared" si="9"/>
        <v>0</v>
      </c>
      <c r="L26" s="651"/>
      <c r="M26" s="651"/>
      <c r="N26" s="651"/>
      <c r="O26" s="651"/>
      <c r="P26" s="651"/>
      <c r="Q26" s="651"/>
      <c r="R26" s="651"/>
    </row>
    <row r="27" spans="1:18" ht="15.5" x14ac:dyDescent="0.35">
      <c r="A27" s="5923" t="str">
        <f t="shared" si="7"/>
        <v>Editeurs</v>
      </c>
      <c r="B27" s="5924"/>
      <c r="C27" s="5924"/>
      <c r="D27" s="6468">
        <v>1.4999999999999999E-2</v>
      </c>
      <c r="E27" s="6468"/>
      <c r="F27" s="1179">
        <f t="shared" si="8"/>
        <v>0</v>
      </c>
      <c r="G27" s="669">
        <f t="shared" si="8"/>
        <v>0</v>
      </c>
      <c r="H27" s="669">
        <f t="shared" si="8"/>
        <v>0</v>
      </c>
      <c r="I27" s="669">
        <f t="shared" si="8"/>
        <v>0</v>
      </c>
      <c r="J27" s="1070">
        <f t="shared" si="8"/>
        <v>0</v>
      </c>
      <c r="K27" s="1072">
        <f t="shared" si="9"/>
        <v>0</v>
      </c>
      <c r="L27" s="651"/>
      <c r="M27" s="651"/>
      <c r="N27" s="651"/>
      <c r="O27" s="651"/>
      <c r="P27" s="651"/>
      <c r="Q27" s="651"/>
      <c r="R27" s="651"/>
    </row>
    <row r="28" spans="1:18" ht="15.5" x14ac:dyDescent="0.35">
      <c r="A28" s="5923" t="str">
        <f t="shared" si="7"/>
        <v>Web Agencies</v>
      </c>
      <c r="B28" s="5924"/>
      <c r="C28" s="5924"/>
      <c r="D28" s="6468">
        <v>1.5E-3</v>
      </c>
      <c r="E28" s="6468"/>
      <c r="F28" s="1179">
        <f t="shared" si="8"/>
        <v>0</v>
      </c>
      <c r="G28" s="669">
        <f t="shared" si="8"/>
        <v>0</v>
      </c>
      <c r="H28" s="669">
        <f t="shared" si="8"/>
        <v>0</v>
      </c>
      <c r="I28" s="669">
        <f t="shared" si="8"/>
        <v>0</v>
      </c>
      <c r="J28" s="1070">
        <f t="shared" si="8"/>
        <v>0</v>
      </c>
      <c r="K28" s="1071">
        <f t="shared" si="9"/>
        <v>0</v>
      </c>
      <c r="L28" s="651"/>
      <c r="M28" s="651"/>
      <c r="N28" s="651"/>
      <c r="O28" s="651"/>
      <c r="P28" s="651"/>
      <c r="Q28" s="651"/>
      <c r="R28" s="651"/>
    </row>
    <row r="29" spans="1:18" ht="15.5" x14ac:dyDescent="0.35">
      <c r="A29" s="5923" t="str">
        <f t="shared" si="7"/>
        <v>Constructeurs</v>
      </c>
      <c r="B29" s="5924"/>
      <c r="C29" s="5924"/>
      <c r="D29" s="6468"/>
      <c r="E29" s="6468"/>
      <c r="F29" s="1179">
        <f t="shared" si="8"/>
        <v>0</v>
      </c>
      <c r="G29" s="669">
        <f t="shared" si="8"/>
        <v>0</v>
      </c>
      <c r="H29" s="669">
        <f t="shared" si="8"/>
        <v>0</v>
      </c>
      <c r="I29" s="669">
        <f t="shared" si="8"/>
        <v>0</v>
      </c>
      <c r="J29" s="1070">
        <f t="shared" si="8"/>
        <v>0</v>
      </c>
      <c r="K29" s="1071">
        <f t="shared" si="9"/>
        <v>0</v>
      </c>
      <c r="L29" s="651"/>
      <c r="M29" s="651"/>
      <c r="N29" s="651"/>
      <c r="O29" s="651"/>
      <c r="P29" s="651"/>
      <c r="Q29" s="651"/>
      <c r="R29" s="651"/>
    </row>
    <row r="30" spans="1:18" ht="15.5" x14ac:dyDescent="0.35">
      <c r="A30" s="5923" t="str">
        <f t="shared" si="7"/>
        <v>Hébergeurs</v>
      </c>
      <c r="B30" s="5924"/>
      <c r="C30" s="5924"/>
      <c r="D30" s="6468"/>
      <c r="E30" s="6468"/>
      <c r="F30" s="1179">
        <f t="shared" si="8"/>
        <v>0</v>
      </c>
      <c r="G30" s="669">
        <f t="shared" si="8"/>
        <v>0</v>
      </c>
      <c r="H30" s="669">
        <f t="shared" si="8"/>
        <v>0</v>
      </c>
      <c r="I30" s="669">
        <f t="shared" si="8"/>
        <v>0</v>
      </c>
      <c r="J30" s="1070">
        <f t="shared" si="8"/>
        <v>0</v>
      </c>
      <c r="K30" s="1071">
        <f t="shared" si="9"/>
        <v>0</v>
      </c>
      <c r="L30" s="651"/>
      <c r="M30" s="651"/>
      <c r="N30" s="651"/>
      <c r="O30" s="651"/>
      <c r="P30" s="651"/>
      <c r="Q30" s="651"/>
      <c r="R30" s="651"/>
    </row>
    <row r="31" spans="1:18" ht="15.75" customHeight="1" thickBot="1" x14ac:dyDescent="0.35">
      <c r="A31" s="5926"/>
      <c r="B31" s="5927"/>
      <c r="C31" s="5927"/>
      <c r="D31" s="5927"/>
      <c r="E31" s="5927"/>
      <c r="F31" s="5927"/>
      <c r="G31" s="5927"/>
      <c r="H31" s="5927"/>
      <c r="I31" s="5927"/>
      <c r="J31" s="5927"/>
      <c r="K31" s="5928"/>
      <c r="L31" s="651"/>
      <c r="M31" s="651"/>
      <c r="N31" s="651"/>
      <c r="O31" s="651"/>
      <c r="P31" s="651"/>
      <c r="Q31" s="651"/>
      <c r="R31" s="651"/>
    </row>
    <row r="32" spans="1:18" ht="19" thickTop="1" x14ac:dyDescent="0.3">
      <c r="A32" s="651"/>
      <c r="B32" s="651"/>
      <c r="C32" s="651"/>
      <c r="D32" s="5929" t="s">
        <v>127</v>
      </c>
      <c r="E32" s="5930"/>
      <c r="F32" s="1614">
        <f>SUM(F23:F31)</f>
        <v>0</v>
      </c>
      <c r="G32" s="1615">
        <f>SUM(G23:G31)</f>
        <v>0</v>
      </c>
      <c r="H32" s="1615">
        <f>SUM(H23:H31)</f>
        <v>0</v>
      </c>
      <c r="I32" s="1615">
        <f>SUM(I23:I31)</f>
        <v>0</v>
      </c>
      <c r="J32" s="1616">
        <f>SUM(J23:J31)</f>
        <v>0</v>
      </c>
      <c r="K32" s="1617">
        <f>SUM(G32:J32)</f>
        <v>0</v>
      </c>
      <c r="L32" s="651"/>
      <c r="M32" s="651"/>
      <c r="N32" s="651"/>
      <c r="O32" s="651"/>
      <c r="P32" s="651"/>
      <c r="Q32" s="651"/>
      <c r="R32" s="651"/>
    </row>
    <row r="33" spans="1:18" ht="15" thickBot="1" x14ac:dyDescent="0.35">
      <c r="A33" s="651"/>
      <c r="B33" s="651"/>
      <c r="C33" s="651"/>
      <c r="D33" s="1618"/>
      <c r="E33" s="1619" t="s">
        <v>1528</v>
      </c>
      <c r="F33" s="1620">
        <f t="shared" ref="F33:K33" si="10">SUM(F24:F30)</f>
        <v>0</v>
      </c>
      <c r="G33" s="1620">
        <f t="shared" si="10"/>
        <v>0</v>
      </c>
      <c r="H33" s="1620">
        <f t="shared" si="10"/>
        <v>0</v>
      </c>
      <c r="I33" s="1620">
        <f t="shared" si="10"/>
        <v>0</v>
      </c>
      <c r="J33" s="1620">
        <f t="shared" si="10"/>
        <v>0</v>
      </c>
      <c r="K33" s="1621">
        <f t="shared" si="10"/>
        <v>0</v>
      </c>
      <c r="L33" s="651"/>
      <c r="M33" s="651"/>
      <c r="N33" s="651"/>
      <c r="O33" s="651"/>
      <c r="P33" s="651"/>
      <c r="Q33" s="651"/>
      <c r="R33" s="651"/>
    </row>
    <row r="34" spans="1:18" ht="13.5" thickTop="1" x14ac:dyDescent="0.3">
      <c r="A34" s="651"/>
      <c r="B34" s="651"/>
      <c r="C34" s="651"/>
      <c r="D34" s="651"/>
      <c r="E34" s="651"/>
      <c r="F34" s="651"/>
      <c r="G34" s="651"/>
      <c r="H34" s="651"/>
      <c r="I34" s="651"/>
      <c r="J34" s="651"/>
      <c r="K34" s="651"/>
      <c r="L34" s="651"/>
      <c r="M34" s="651"/>
      <c r="N34" s="651"/>
      <c r="O34" s="651"/>
      <c r="P34" s="651"/>
      <c r="Q34" s="651"/>
      <c r="R34" s="651"/>
    </row>
    <row r="35" spans="1:18" ht="13.5" thickBot="1" x14ac:dyDescent="0.35">
      <c r="A35" s="651"/>
      <c r="B35" s="651"/>
      <c r="C35" s="651"/>
      <c r="D35" s="651"/>
      <c r="E35" s="651"/>
      <c r="F35" s="651"/>
      <c r="G35" s="651"/>
      <c r="H35" s="651"/>
      <c r="I35" s="651"/>
      <c r="J35" s="651"/>
      <c r="K35" s="651"/>
      <c r="L35" s="651"/>
      <c r="M35" s="651"/>
      <c r="N35" s="651"/>
      <c r="O35" s="651"/>
      <c r="P35" s="651"/>
      <c r="Q35" s="651"/>
      <c r="R35" s="651"/>
    </row>
    <row r="36" spans="1:18" s="210" customFormat="1" ht="47.25" customHeight="1" thickTop="1" x14ac:dyDescent="0.35">
      <c r="A36" s="5931" t="s">
        <v>1461</v>
      </c>
      <c r="B36" s="5932"/>
      <c r="C36" s="5932"/>
      <c r="D36" s="5933" t="s">
        <v>1455</v>
      </c>
      <c r="E36" s="5933"/>
      <c r="F36" s="660">
        <f>F6</f>
        <v>2017</v>
      </c>
      <c r="G36" s="660">
        <f>G6</f>
        <v>2018</v>
      </c>
      <c r="H36" s="660">
        <f>H6</f>
        <v>2019</v>
      </c>
      <c r="I36" s="660">
        <f>I6</f>
        <v>2020</v>
      </c>
      <c r="J36" s="661">
        <f>J6</f>
        <v>2021</v>
      </c>
      <c r="K36" s="551"/>
      <c r="L36" s="551"/>
      <c r="M36" s="551"/>
      <c r="N36" s="551"/>
      <c r="O36" s="551"/>
      <c r="P36" s="551"/>
      <c r="Q36" s="551"/>
      <c r="R36" s="551"/>
    </row>
    <row r="37" spans="1:18" ht="15.75" customHeight="1" x14ac:dyDescent="0.35">
      <c r="A37" s="5917" t="str">
        <f t="shared" ref="A37:A44" si="11">A7</f>
        <v>Ventes directes seules</v>
      </c>
      <c r="B37" s="5918"/>
      <c r="C37" s="5918"/>
      <c r="D37" s="4623"/>
      <c r="E37" s="4623"/>
      <c r="F37" s="1174">
        <f t="shared" ref="F37:J44" si="12">IF($D37=0,0,F23/$D37)</f>
        <v>0</v>
      </c>
      <c r="G37" s="1174">
        <f t="shared" si="12"/>
        <v>0</v>
      </c>
      <c r="H37" s="1174">
        <f t="shared" si="12"/>
        <v>0</v>
      </c>
      <c r="I37" s="1174">
        <f t="shared" si="12"/>
        <v>0</v>
      </c>
      <c r="J37" s="1175">
        <f t="shared" si="12"/>
        <v>0</v>
      </c>
      <c r="K37" s="651"/>
      <c r="L37" s="651"/>
      <c r="M37" s="651"/>
      <c r="N37" s="651"/>
      <c r="O37" s="651"/>
      <c r="P37" s="651"/>
      <c r="Q37" s="651"/>
      <c r="R37" s="651"/>
    </row>
    <row r="38" spans="1:18" ht="15" customHeight="1" x14ac:dyDescent="0.35">
      <c r="A38" s="5917" t="str">
        <f t="shared" si="11"/>
        <v>ESN</v>
      </c>
      <c r="B38" s="5918"/>
      <c r="C38" s="5918"/>
      <c r="D38" s="5919">
        <v>3</v>
      </c>
      <c r="E38" s="5919"/>
      <c r="F38" s="669">
        <f t="shared" si="12"/>
        <v>0</v>
      </c>
      <c r="G38" s="669">
        <f t="shared" si="12"/>
        <v>0</v>
      </c>
      <c r="H38" s="669">
        <f t="shared" si="12"/>
        <v>0</v>
      </c>
      <c r="I38" s="669">
        <f t="shared" si="12"/>
        <v>0</v>
      </c>
      <c r="J38" s="670">
        <f t="shared" si="12"/>
        <v>0</v>
      </c>
      <c r="K38" s="651"/>
      <c r="L38" s="651"/>
      <c r="M38" s="651"/>
      <c r="N38" s="651"/>
      <c r="O38" s="651"/>
      <c r="P38" s="651"/>
      <c r="Q38" s="651"/>
      <c r="R38" s="651"/>
    </row>
    <row r="39" spans="1:18" ht="15" customHeight="1" x14ac:dyDescent="0.35">
      <c r="A39" s="5917" t="str">
        <f t="shared" si="11"/>
        <v>Centres de contact</v>
      </c>
      <c r="B39" s="5918"/>
      <c r="C39" s="5918"/>
      <c r="D39" s="5919">
        <v>2</v>
      </c>
      <c r="E39" s="5919"/>
      <c r="F39" s="669">
        <f t="shared" si="12"/>
        <v>0</v>
      </c>
      <c r="G39" s="669">
        <f t="shared" si="12"/>
        <v>0</v>
      </c>
      <c r="H39" s="669">
        <f t="shared" si="12"/>
        <v>0</v>
      </c>
      <c r="I39" s="669">
        <f t="shared" si="12"/>
        <v>0</v>
      </c>
      <c r="J39" s="670">
        <f t="shared" si="12"/>
        <v>0</v>
      </c>
      <c r="K39" s="651"/>
      <c r="L39" s="651"/>
      <c r="M39" s="651"/>
      <c r="N39" s="651"/>
      <c r="O39" s="651"/>
      <c r="P39" s="651"/>
      <c r="Q39" s="651"/>
      <c r="R39" s="651"/>
    </row>
    <row r="40" spans="1:18" ht="15" customHeight="1" x14ac:dyDescent="0.35">
      <c r="A40" s="5917" t="str">
        <f t="shared" si="11"/>
        <v>Vars Nationaux</v>
      </c>
      <c r="B40" s="5918"/>
      <c r="C40" s="5918"/>
      <c r="D40" s="5919">
        <v>3</v>
      </c>
      <c r="E40" s="5919"/>
      <c r="F40" s="669">
        <f t="shared" si="12"/>
        <v>0</v>
      </c>
      <c r="G40" s="669">
        <f t="shared" si="12"/>
        <v>0</v>
      </c>
      <c r="H40" s="669">
        <f t="shared" si="12"/>
        <v>0</v>
      </c>
      <c r="I40" s="669">
        <f t="shared" si="12"/>
        <v>0</v>
      </c>
      <c r="J40" s="670">
        <f t="shared" si="12"/>
        <v>0</v>
      </c>
      <c r="K40" s="651"/>
      <c r="L40" s="651"/>
      <c r="M40" s="651"/>
      <c r="N40" s="651"/>
      <c r="O40" s="651"/>
      <c r="P40" s="651"/>
      <c r="Q40" s="651"/>
      <c r="R40" s="651"/>
    </row>
    <row r="41" spans="1:18" ht="15" customHeight="1" x14ac:dyDescent="0.35">
      <c r="A41" s="5917" t="str">
        <f t="shared" si="11"/>
        <v>Editeurs</v>
      </c>
      <c r="B41" s="5918"/>
      <c r="C41" s="5918"/>
      <c r="D41" s="5919">
        <v>3</v>
      </c>
      <c r="E41" s="5919"/>
      <c r="F41" s="669">
        <f t="shared" si="12"/>
        <v>0</v>
      </c>
      <c r="G41" s="669">
        <f t="shared" si="12"/>
        <v>0</v>
      </c>
      <c r="H41" s="669">
        <f t="shared" si="12"/>
        <v>0</v>
      </c>
      <c r="I41" s="669">
        <f t="shared" si="12"/>
        <v>0</v>
      </c>
      <c r="J41" s="670">
        <f t="shared" si="12"/>
        <v>0</v>
      </c>
      <c r="K41" s="651"/>
      <c r="L41" s="651"/>
      <c r="M41" s="651"/>
      <c r="N41" s="651"/>
      <c r="O41" s="651"/>
      <c r="P41" s="651"/>
      <c r="Q41" s="651"/>
      <c r="R41" s="651"/>
    </row>
    <row r="42" spans="1:18" ht="15" customHeight="1" x14ac:dyDescent="0.35">
      <c r="A42" s="5917" t="str">
        <f t="shared" si="11"/>
        <v>Web Agencies</v>
      </c>
      <c r="B42" s="5918"/>
      <c r="C42" s="5918"/>
      <c r="D42" s="5919">
        <v>1</v>
      </c>
      <c r="E42" s="5919"/>
      <c r="F42" s="669">
        <f t="shared" si="12"/>
        <v>0</v>
      </c>
      <c r="G42" s="669">
        <f t="shared" si="12"/>
        <v>0</v>
      </c>
      <c r="H42" s="669">
        <f t="shared" si="12"/>
        <v>0</v>
      </c>
      <c r="I42" s="669">
        <f t="shared" si="12"/>
        <v>0</v>
      </c>
      <c r="J42" s="670">
        <f t="shared" si="12"/>
        <v>0</v>
      </c>
      <c r="K42" s="651"/>
      <c r="L42" s="651"/>
      <c r="M42" s="651"/>
      <c r="N42" s="651"/>
      <c r="O42" s="651"/>
      <c r="P42" s="651"/>
      <c r="Q42" s="651"/>
      <c r="R42" s="651"/>
    </row>
    <row r="43" spans="1:18" ht="15" customHeight="1" x14ac:dyDescent="0.35">
      <c r="A43" s="5917" t="str">
        <f t="shared" si="11"/>
        <v>Constructeurs</v>
      </c>
      <c r="B43" s="5918"/>
      <c r="C43" s="5918"/>
      <c r="D43" s="5919">
        <v>1</v>
      </c>
      <c r="E43" s="5919"/>
      <c r="F43" s="669">
        <f t="shared" si="12"/>
        <v>0</v>
      </c>
      <c r="G43" s="669">
        <f t="shared" si="12"/>
        <v>0</v>
      </c>
      <c r="H43" s="669">
        <f t="shared" si="12"/>
        <v>0</v>
      </c>
      <c r="I43" s="669">
        <f t="shared" si="12"/>
        <v>0</v>
      </c>
      <c r="J43" s="670">
        <f t="shared" si="12"/>
        <v>0</v>
      </c>
      <c r="K43" s="651"/>
      <c r="L43" s="651"/>
      <c r="M43" s="651"/>
      <c r="N43" s="651"/>
      <c r="O43" s="651"/>
      <c r="P43" s="651"/>
      <c r="Q43" s="651"/>
      <c r="R43" s="651"/>
    </row>
    <row r="44" spans="1:18" ht="15" customHeight="1" x14ac:dyDescent="0.35">
      <c r="A44" s="5917" t="str">
        <f t="shared" si="11"/>
        <v>Hébergeurs</v>
      </c>
      <c r="B44" s="5918"/>
      <c r="C44" s="5918"/>
      <c r="D44" s="5919">
        <v>1</v>
      </c>
      <c r="E44" s="5919"/>
      <c r="F44" s="669">
        <f t="shared" si="12"/>
        <v>0</v>
      </c>
      <c r="G44" s="669">
        <f t="shared" si="12"/>
        <v>0</v>
      </c>
      <c r="H44" s="669">
        <f t="shared" si="12"/>
        <v>0</v>
      </c>
      <c r="I44" s="669">
        <f t="shared" si="12"/>
        <v>0</v>
      </c>
      <c r="J44" s="670">
        <f t="shared" si="12"/>
        <v>0</v>
      </c>
      <c r="K44" s="651"/>
      <c r="L44" s="651"/>
      <c r="M44" s="651"/>
      <c r="N44" s="651"/>
      <c r="O44" s="651"/>
      <c r="P44" s="651"/>
      <c r="Q44" s="651"/>
      <c r="R44" s="651"/>
    </row>
    <row r="45" spans="1:18" ht="15.75" customHeight="1" thickBot="1" x14ac:dyDescent="0.35">
      <c r="A45" s="5920"/>
      <c r="B45" s="5921"/>
      <c r="C45" s="5921"/>
      <c r="D45" s="5921"/>
      <c r="E45" s="5921"/>
      <c r="F45" s="5921"/>
      <c r="G45" s="5921"/>
      <c r="H45" s="5921"/>
      <c r="I45" s="5921"/>
      <c r="J45" s="5922"/>
      <c r="K45" s="651"/>
      <c r="L45" s="651"/>
      <c r="M45" s="651"/>
      <c r="N45" s="651"/>
      <c r="O45" s="651"/>
      <c r="P45" s="651"/>
      <c r="Q45" s="651"/>
      <c r="R45" s="651"/>
    </row>
    <row r="46" spans="1:18" ht="15.5" thickTop="1" thickBot="1" x14ac:dyDescent="0.4">
      <c r="A46" s="651"/>
      <c r="B46" s="5914" t="s">
        <v>1456</v>
      </c>
      <c r="C46" s="5915"/>
      <c r="D46" s="5915"/>
      <c r="E46" s="5916"/>
      <c r="F46" s="671">
        <f>SUM(F37:F45)</f>
        <v>0</v>
      </c>
      <c r="G46" s="671">
        <f>SUM(G37:G45)</f>
        <v>0</v>
      </c>
      <c r="H46" s="671">
        <f>SUM(H37:H45)</f>
        <v>0</v>
      </c>
      <c r="I46" s="671">
        <f>SUM(I37:I45)</f>
        <v>0</v>
      </c>
      <c r="J46" s="672">
        <f>SUM(J37:J45)</f>
        <v>0</v>
      </c>
      <c r="K46" s="651"/>
      <c r="L46" s="651"/>
      <c r="M46" s="651"/>
      <c r="N46" s="651"/>
      <c r="O46" s="651"/>
      <c r="P46" s="651"/>
      <c r="Q46" s="651"/>
      <c r="R46" s="651"/>
    </row>
    <row r="47" spans="1:18" ht="13.5" thickTop="1" x14ac:dyDescent="0.3">
      <c r="A47" s="651"/>
      <c r="B47" s="651"/>
      <c r="C47" s="651"/>
      <c r="D47" s="651"/>
      <c r="E47" s="651"/>
      <c r="F47" s="651"/>
      <c r="G47" s="651"/>
      <c r="H47" s="651"/>
      <c r="I47" s="651"/>
      <c r="J47" s="651"/>
      <c r="K47" s="651"/>
      <c r="L47" s="651"/>
      <c r="M47" s="651"/>
      <c r="N47" s="651"/>
      <c r="O47" s="651"/>
      <c r="P47" s="651"/>
      <c r="Q47" s="651"/>
      <c r="R47" s="651"/>
    </row>
    <row r="48" spans="1:18" s="166" customFormat="1" ht="15" thickBot="1" x14ac:dyDescent="0.4">
      <c r="A48" s="512"/>
      <c r="B48" s="512"/>
      <c r="C48" s="512"/>
      <c r="D48" s="512"/>
      <c r="E48" s="512"/>
      <c r="F48" s="512"/>
      <c r="G48" s="512"/>
      <c r="H48" s="512"/>
      <c r="I48" s="512"/>
      <c r="J48" s="512"/>
      <c r="K48" s="512"/>
      <c r="L48" s="512"/>
      <c r="M48" s="512"/>
      <c r="N48" s="512"/>
      <c r="O48" s="512"/>
      <c r="P48" s="512"/>
      <c r="Q48" s="512"/>
      <c r="R48" s="512"/>
    </row>
    <row r="49" spans="1:21" s="60" customFormat="1" ht="20.25" customHeight="1" thickTop="1" thickBot="1" x14ac:dyDescent="0.4">
      <c r="A49" s="5712" t="s">
        <v>10</v>
      </c>
      <c r="B49" s="5719"/>
      <c r="C49" s="5719"/>
      <c r="D49" s="5719"/>
      <c r="E49" s="5719"/>
      <c r="F49" s="5719"/>
      <c r="G49" s="5719"/>
      <c r="H49" s="5719"/>
      <c r="I49" s="5719"/>
      <c r="J49" s="5719"/>
      <c r="K49" s="5720"/>
      <c r="L49" s="34"/>
      <c r="M49" s="3725" t="s">
        <v>748</v>
      </c>
      <c r="N49" s="3726"/>
      <c r="O49" s="3727"/>
      <c r="P49" s="34"/>
      <c r="Q49" s="64"/>
      <c r="R49" s="64"/>
      <c r="S49" s="64"/>
      <c r="T49" s="64"/>
      <c r="U49" s="64"/>
    </row>
    <row r="50" spans="1:21" s="60" customFormat="1" ht="20.25" customHeight="1" x14ac:dyDescent="0.35">
      <c r="A50" s="5060"/>
      <c r="B50" s="5061"/>
      <c r="C50" s="5061"/>
      <c r="D50" s="5061"/>
      <c r="E50" s="5061"/>
      <c r="F50" s="5061"/>
      <c r="G50" s="5061"/>
      <c r="H50" s="5061"/>
      <c r="I50" s="5061"/>
      <c r="J50" s="5061"/>
      <c r="K50" s="5062"/>
      <c r="L50" s="35"/>
      <c r="M50" s="3750" t="s">
        <v>1457</v>
      </c>
      <c r="N50" s="5066"/>
      <c r="O50" s="3752"/>
      <c r="P50" s="35"/>
      <c r="Q50" s="64"/>
      <c r="R50" s="64"/>
      <c r="S50" s="64"/>
      <c r="T50" s="64"/>
      <c r="U50" s="64"/>
    </row>
    <row r="51" spans="1:21" s="60" customFormat="1" ht="20.25" customHeight="1" x14ac:dyDescent="0.35">
      <c r="A51" s="5060"/>
      <c r="B51" s="5061"/>
      <c r="C51" s="5061"/>
      <c r="D51" s="5061"/>
      <c r="E51" s="5061"/>
      <c r="F51" s="5061"/>
      <c r="G51" s="5061"/>
      <c r="H51" s="5061"/>
      <c r="I51" s="5061"/>
      <c r="J51" s="5061"/>
      <c r="K51" s="5062"/>
      <c r="L51" s="35"/>
      <c r="M51" s="3753"/>
      <c r="N51" s="3754"/>
      <c r="O51" s="5067"/>
      <c r="P51" s="35"/>
      <c r="Q51" s="64"/>
      <c r="R51" s="64"/>
      <c r="S51" s="64"/>
      <c r="T51" s="64"/>
      <c r="U51" s="64"/>
    </row>
    <row r="52" spans="1:21" s="60" customFormat="1" ht="20.25" customHeight="1" x14ac:dyDescent="0.35">
      <c r="A52" s="5060"/>
      <c r="B52" s="5061"/>
      <c r="C52" s="5061"/>
      <c r="D52" s="5061"/>
      <c r="E52" s="5061"/>
      <c r="F52" s="5061"/>
      <c r="G52" s="5061"/>
      <c r="H52" s="5061"/>
      <c r="I52" s="5061"/>
      <c r="J52" s="5061"/>
      <c r="K52" s="5062"/>
      <c r="L52" s="35"/>
      <c r="M52" s="3753"/>
      <c r="N52" s="3754"/>
      <c r="O52" s="5067"/>
      <c r="P52" s="35"/>
      <c r="Q52" s="64"/>
      <c r="R52" s="64"/>
      <c r="S52" s="64"/>
      <c r="T52" s="64"/>
      <c r="U52" s="64"/>
    </row>
    <row r="53" spans="1:21" s="60" customFormat="1" ht="20.25" customHeight="1" x14ac:dyDescent="0.35">
      <c r="A53" s="5060"/>
      <c r="B53" s="5061"/>
      <c r="C53" s="5061"/>
      <c r="D53" s="5061"/>
      <c r="E53" s="5061"/>
      <c r="F53" s="5061"/>
      <c r="G53" s="5061"/>
      <c r="H53" s="5061"/>
      <c r="I53" s="5061"/>
      <c r="J53" s="5061"/>
      <c r="K53" s="5062"/>
      <c r="L53" s="35"/>
      <c r="M53" s="3753"/>
      <c r="N53" s="3754"/>
      <c r="O53" s="5067"/>
      <c r="P53" s="35"/>
      <c r="Q53" s="64"/>
      <c r="R53" s="64"/>
      <c r="S53" s="64"/>
      <c r="T53" s="64"/>
      <c r="U53" s="64"/>
    </row>
    <row r="54" spans="1:21" s="60" customFormat="1" ht="20.25" customHeight="1" thickBot="1" x14ac:dyDescent="0.4">
      <c r="A54" s="5063"/>
      <c r="B54" s="5064"/>
      <c r="C54" s="5064"/>
      <c r="D54" s="5064"/>
      <c r="E54" s="5064"/>
      <c r="F54" s="5064"/>
      <c r="G54" s="5064"/>
      <c r="H54" s="5064"/>
      <c r="I54" s="5064"/>
      <c r="J54" s="5064"/>
      <c r="K54" s="5065"/>
      <c r="L54" s="35"/>
      <c r="M54" s="3756"/>
      <c r="N54" s="3757"/>
      <c r="O54" s="3758"/>
      <c r="P54" s="35"/>
      <c r="Q54" s="64"/>
      <c r="R54" s="64"/>
      <c r="S54" s="64"/>
      <c r="T54" s="64"/>
      <c r="U54" s="64"/>
    </row>
    <row r="55" spans="1:21" s="60" customFormat="1" ht="20.25" customHeight="1" thickTop="1" thickBot="1" x14ac:dyDescent="0.4">
      <c r="A55" s="64"/>
      <c r="B55" s="64"/>
      <c r="C55" s="64"/>
      <c r="D55" s="64"/>
      <c r="E55" s="64"/>
      <c r="F55" s="64"/>
      <c r="G55" s="64"/>
      <c r="H55" s="64"/>
      <c r="I55" s="64"/>
      <c r="J55" s="64"/>
      <c r="K55" s="64"/>
      <c r="L55" s="64"/>
      <c r="M55" s="475"/>
      <c r="N55" s="475"/>
      <c r="O55" s="475"/>
      <c r="P55" s="64"/>
      <c r="Q55" s="64"/>
      <c r="R55" s="64"/>
      <c r="S55" s="64"/>
      <c r="T55" s="64"/>
      <c r="U55" s="64"/>
    </row>
    <row r="56" spans="1:21" s="60" customFormat="1" ht="20.25" customHeight="1" thickTop="1" thickBot="1" x14ac:dyDescent="0.4">
      <c r="A56" s="5712" t="s">
        <v>11</v>
      </c>
      <c r="B56" s="5713"/>
      <c r="C56" s="5713"/>
      <c r="D56" s="5713"/>
      <c r="E56" s="5713"/>
      <c r="F56" s="5713"/>
      <c r="G56" s="5713"/>
      <c r="H56" s="5713"/>
      <c r="I56" s="5713"/>
      <c r="J56" s="5713"/>
      <c r="K56" s="5714"/>
      <c r="L56" s="34"/>
      <c r="M56" s="476"/>
      <c r="N56" s="476"/>
      <c r="O56" s="476"/>
      <c r="P56" s="34"/>
      <c r="Q56" s="64"/>
      <c r="R56" s="64"/>
      <c r="S56" s="64"/>
      <c r="T56" s="64"/>
      <c r="U56" s="64"/>
    </row>
    <row r="57" spans="1:21" s="60" customFormat="1" ht="20.25" customHeight="1" thickBot="1" x14ac:dyDescent="0.4">
      <c r="A57" s="5060" t="s">
        <v>1462</v>
      </c>
      <c r="B57" s="5061"/>
      <c r="C57" s="5061"/>
      <c r="D57" s="5061"/>
      <c r="E57" s="5061"/>
      <c r="F57" s="5061"/>
      <c r="G57" s="5061"/>
      <c r="H57" s="5061"/>
      <c r="I57" s="5061"/>
      <c r="J57" s="5061"/>
      <c r="K57" s="5062"/>
      <c r="L57" s="35"/>
      <c r="M57" s="3725" t="s">
        <v>748</v>
      </c>
      <c r="N57" s="3726"/>
      <c r="O57" s="3727"/>
      <c r="P57" s="35"/>
      <c r="Q57" s="64"/>
      <c r="R57" s="64"/>
      <c r="S57" s="64"/>
      <c r="T57" s="64"/>
      <c r="U57" s="64"/>
    </row>
    <row r="58" spans="1:21" s="60" customFormat="1" ht="20.25" customHeight="1" x14ac:dyDescent="0.35">
      <c r="A58" s="5060"/>
      <c r="B58" s="5061"/>
      <c r="C58" s="5061"/>
      <c r="D58" s="5061"/>
      <c r="E58" s="5061"/>
      <c r="F58" s="5061"/>
      <c r="G58" s="5061"/>
      <c r="H58" s="5061"/>
      <c r="I58" s="5061"/>
      <c r="J58" s="5061"/>
      <c r="K58" s="5062"/>
      <c r="L58" s="35"/>
      <c r="M58" s="3750" t="s">
        <v>1260</v>
      </c>
      <c r="N58" s="5066"/>
      <c r="O58" s="3752"/>
      <c r="P58" s="35"/>
      <c r="Q58" s="64"/>
      <c r="R58" s="64"/>
      <c r="S58" s="64"/>
      <c r="T58" s="64"/>
      <c r="U58" s="64"/>
    </row>
    <row r="59" spans="1:21" s="60" customFormat="1" ht="20.25" customHeight="1" x14ac:dyDescent="0.35">
      <c r="A59" s="5060"/>
      <c r="B59" s="5061"/>
      <c r="C59" s="5061"/>
      <c r="D59" s="5061"/>
      <c r="E59" s="5061"/>
      <c r="F59" s="5061"/>
      <c r="G59" s="5061"/>
      <c r="H59" s="5061"/>
      <c r="I59" s="5061"/>
      <c r="J59" s="5061"/>
      <c r="K59" s="5062"/>
      <c r="L59" s="35"/>
      <c r="M59" s="3753"/>
      <c r="N59" s="3754"/>
      <c r="O59" s="5067"/>
      <c r="P59" s="35"/>
      <c r="Q59" s="64"/>
      <c r="R59" s="64"/>
      <c r="S59" s="64"/>
      <c r="T59" s="64"/>
      <c r="U59" s="64"/>
    </row>
    <row r="60" spans="1:21" s="60" customFormat="1" ht="20.25" customHeight="1" x14ac:dyDescent="0.35">
      <c r="A60" s="5060"/>
      <c r="B60" s="5061"/>
      <c r="C60" s="5061"/>
      <c r="D60" s="5061"/>
      <c r="E60" s="5061"/>
      <c r="F60" s="5061"/>
      <c r="G60" s="5061"/>
      <c r="H60" s="5061"/>
      <c r="I60" s="5061"/>
      <c r="J60" s="5061"/>
      <c r="K60" s="5062"/>
      <c r="L60" s="35"/>
      <c r="M60" s="3753"/>
      <c r="N60" s="3754"/>
      <c r="O60" s="5067"/>
      <c r="P60" s="35"/>
      <c r="Q60" s="64"/>
      <c r="R60" s="64"/>
      <c r="S60" s="64"/>
      <c r="T60" s="64"/>
      <c r="U60" s="64"/>
    </row>
    <row r="61" spans="1:21" s="60" customFormat="1" ht="14.5" x14ac:dyDescent="0.35">
      <c r="A61" s="5060"/>
      <c r="B61" s="5061"/>
      <c r="C61" s="5061"/>
      <c r="D61" s="5061"/>
      <c r="E61" s="5061"/>
      <c r="F61" s="5061"/>
      <c r="G61" s="5061"/>
      <c r="H61" s="5061"/>
      <c r="I61" s="5061"/>
      <c r="J61" s="5061"/>
      <c r="K61" s="5062"/>
      <c r="L61" s="35"/>
      <c r="M61" s="3753"/>
      <c r="N61" s="3754"/>
      <c r="O61" s="5067"/>
      <c r="P61" s="35"/>
      <c r="Q61" s="64"/>
      <c r="R61" s="64"/>
      <c r="S61" s="64"/>
      <c r="T61" s="64"/>
      <c r="U61" s="64"/>
    </row>
    <row r="62" spans="1:21" s="60" customFormat="1" ht="15" thickBot="1" x14ac:dyDescent="0.4">
      <c r="A62" s="5063"/>
      <c r="B62" s="5064"/>
      <c r="C62" s="5064"/>
      <c r="D62" s="5064"/>
      <c r="E62" s="5064"/>
      <c r="F62" s="5064"/>
      <c r="G62" s="5064"/>
      <c r="H62" s="5064"/>
      <c r="I62" s="5064"/>
      <c r="J62" s="5064"/>
      <c r="K62" s="5065"/>
      <c r="L62" s="64"/>
      <c r="M62" s="3756"/>
      <c r="N62" s="3757"/>
      <c r="O62" s="3758"/>
      <c r="P62" s="64"/>
      <c r="Q62" s="64"/>
      <c r="R62" s="64"/>
      <c r="S62" s="64"/>
      <c r="T62" s="64"/>
      <c r="U62" s="64"/>
    </row>
    <row r="63" spans="1:21" s="60" customFormat="1" ht="15" thickTop="1" x14ac:dyDescent="0.35">
      <c r="A63" s="64"/>
      <c r="B63" s="64"/>
      <c r="C63" s="64"/>
      <c r="D63" s="64"/>
      <c r="E63" s="64"/>
      <c r="F63" s="64"/>
      <c r="G63" s="64"/>
      <c r="H63" s="64"/>
      <c r="I63" s="64"/>
      <c r="J63" s="64"/>
      <c r="K63" s="64"/>
      <c r="L63" s="64"/>
      <c r="M63" s="64"/>
      <c r="N63" s="64"/>
      <c r="O63" s="64"/>
      <c r="P63" s="64"/>
      <c r="Q63" s="64"/>
      <c r="R63" s="64"/>
    </row>
    <row r="64" spans="1:21" x14ac:dyDescent="0.3">
      <c r="A64" s="651"/>
      <c r="B64" s="651"/>
      <c r="C64" s="651"/>
      <c r="D64" s="651"/>
      <c r="E64" s="651"/>
      <c r="F64" s="651"/>
      <c r="G64" s="651"/>
      <c r="H64" s="651"/>
      <c r="I64" s="651"/>
      <c r="J64" s="651"/>
      <c r="K64" s="651"/>
      <c r="L64" s="651"/>
      <c r="M64" s="651"/>
      <c r="N64" s="651"/>
      <c r="O64" s="651"/>
      <c r="P64" s="651"/>
      <c r="Q64" s="651"/>
      <c r="R64" s="651"/>
    </row>
    <row r="65" spans="1:18" x14ac:dyDescent="0.3">
      <c r="A65" s="651"/>
      <c r="B65" s="651"/>
      <c r="C65" s="651"/>
      <c r="D65" s="651"/>
      <c r="E65" s="651"/>
      <c r="F65" s="651"/>
      <c r="G65" s="651"/>
      <c r="H65" s="651"/>
      <c r="I65" s="651"/>
      <c r="J65" s="651"/>
      <c r="K65" s="651"/>
      <c r="L65" s="651"/>
      <c r="M65" s="651"/>
      <c r="N65" s="651"/>
      <c r="O65" s="651"/>
      <c r="P65" s="651"/>
      <c r="Q65" s="651"/>
      <c r="R65" s="651"/>
    </row>
    <row r="66" spans="1:18" x14ac:dyDescent="0.3">
      <c r="A66" s="651"/>
      <c r="B66" s="651"/>
      <c r="C66" s="651"/>
      <c r="D66" s="651"/>
      <c r="E66" s="651"/>
      <c r="F66" s="651"/>
      <c r="G66" s="651"/>
      <c r="H66" s="651"/>
      <c r="I66" s="651"/>
      <c r="J66" s="651"/>
      <c r="K66" s="651"/>
      <c r="L66" s="651"/>
      <c r="M66" s="651"/>
      <c r="N66" s="651"/>
      <c r="O66" s="651"/>
      <c r="P66" s="651"/>
      <c r="Q66" s="651"/>
      <c r="R66" s="651"/>
    </row>
    <row r="67" spans="1:18" ht="13.5" thickBot="1" x14ac:dyDescent="0.35">
      <c r="A67" s="651"/>
      <c r="B67" s="651"/>
      <c r="C67" s="651"/>
      <c r="D67" s="651"/>
      <c r="E67" s="651"/>
      <c r="F67" s="651"/>
      <c r="G67" s="651"/>
      <c r="H67" s="651"/>
      <c r="I67" s="651"/>
      <c r="J67" s="651"/>
      <c r="K67" s="651"/>
      <c r="L67" s="651"/>
      <c r="M67" s="651"/>
      <c r="N67" s="651"/>
      <c r="O67" s="651"/>
      <c r="P67" s="651"/>
      <c r="Q67" s="651"/>
      <c r="R67" s="651"/>
    </row>
    <row r="68" spans="1:18" ht="19" thickBot="1" x14ac:dyDescent="0.5">
      <c r="A68" s="651"/>
      <c r="B68" s="651"/>
      <c r="C68" s="651"/>
      <c r="D68" s="651"/>
      <c r="E68" s="651"/>
      <c r="F68" s="651"/>
      <c r="G68" s="651"/>
      <c r="H68" s="6469" t="s">
        <v>771</v>
      </c>
      <c r="I68" s="6470"/>
      <c r="J68" s="6471"/>
      <c r="K68" s="651"/>
      <c r="L68" s="651"/>
      <c r="M68" s="651"/>
      <c r="N68" s="651"/>
      <c r="O68" s="651"/>
      <c r="P68" s="651"/>
      <c r="Q68" s="651"/>
      <c r="R68" s="651"/>
    </row>
    <row r="69" spans="1:18" ht="13.5" thickBot="1" x14ac:dyDescent="0.35">
      <c r="A69" s="651"/>
      <c r="B69" s="651"/>
      <c r="C69" s="651"/>
      <c r="D69" s="651"/>
      <c r="E69" s="673"/>
      <c r="F69" s="1484"/>
      <c r="G69" s="1484"/>
      <c r="H69" s="1484"/>
      <c r="I69" s="1484"/>
      <c r="J69" s="1484"/>
      <c r="K69" s="1484"/>
      <c r="L69" s="674"/>
      <c r="M69" s="651"/>
      <c r="N69" s="651"/>
      <c r="O69" s="651"/>
      <c r="P69" s="651"/>
      <c r="Q69" s="651"/>
      <c r="R69" s="651"/>
    </row>
    <row r="70" spans="1:18" ht="13.5" thickBot="1" x14ac:dyDescent="0.35">
      <c r="A70" s="675"/>
      <c r="B70" s="651"/>
      <c r="C70" s="651"/>
      <c r="D70" s="651"/>
      <c r="E70" s="676" t="s">
        <v>779</v>
      </c>
      <c r="F70" s="677"/>
      <c r="G70" s="678"/>
      <c r="H70" s="678"/>
      <c r="I70" s="679">
        <f>F36</f>
        <v>2017</v>
      </c>
      <c r="J70" s="679">
        <f>G36</f>
        <v>2018</v>
      </c>
      <c r="K70" s="679">
        <f>H36</f>
        <v>2019</v>
      </c>
      <c r="L70" s="679">
        <f>I36</f>
        <v>2020</v>
      </c>
      <c r="M70" s="651"/>
      <c r="N70" s="651"/>
      <c r="O70" s="651"/>
      <c r="P70" s="651"/>
      <c r="Q70" s="651"/>
      <c r="R70" s="651"/>
    </row>
    <row r="71" spans="1:18" ht="15" thickBot="1" x14ac:dyDescent="0.4">
      <c r="A71" s="651"/>
      <c r="B71" s="651"/>
      <c r="C71" s="651"/>
      <c r="D71" s="651"/>
      <c r="E71" s="680"/>
      <c r="F71" s="678"/>
      <c r="G71" s="678"/>
      <c r="H71" s="678"/>
      <c r="I71" s="681">
        <f>G16</f>
        <v>0</v>
      </c>
      <c r="J71" s="681">
        <f>H16</f>
        <v>0</v>
      </c>
      <c r="K71" s="681">
        <f>I16</f>
        <v>0</v>
      </c>
      <c r="L71" s="681">
        <f>J16</f>
        <v>0</v>
      </c>
      <c r="M71" s="651"/>
      <c r="N71" s="651"/>
      <c r="O71" s="651"/>
      <c r="P71" s="651"/>
      <c r="Q71" s="651"/>
      <c r="R71" s="651"/>
    </row>
    <row r="72" spans="1:18" x14ac:dyDescent="0.3">
      <c r="A72" s="651"/>
      <c r="B72" s="651"/>
      <c r="C72" s="651"/>
      <c r="D72" s="651"/>
      <c r="E72" s="680"/>
      <c r="F72" s="678"/>
      <c r="G72" s="678"/>
      <c r="H72" s="678"/>
      <c r="I72" s="682"/>
      <c r="J72" s="682"/>
      <c r="K72" s="682"/>
      <c r="L72" s="1485"/>
      <c r="M72" s="651"/>
      <c r="N72" s="651"/>
      <c r="O72" s="651"/>
      <c r="P72" s="651"/>
      <c r="Q72" s="651"/>
      <c r="R72" s="651"/>
    </row>
    <row r="73" spans="1:18" x14ac:dyDescent="0.3">
      <c r="A73" s="683"/>
      <c r="B73" s="651"/>
      <c r="C73" s="651"/>
      <c r="D73" s="651"/>
      <c r="E73" s="680"/>
      <c r="F73" s="678"/>
      <c r="G73" s="678"/>
      <c r="H73" s="678"/>
      <c r="I73" s="678"/>
      <c r="J73" s="678"/>
      <c r="K73" s="678"/>
      <c r="L73" s="1486"/>
      <c r="M73" s="651"/>
      <c r="N73" s="651"/>
      <c r="O73" s="651"/>
      <c r="P73" s="651"/>
      <c r="Q73" s="651"/>
      <c r="R73" s="651"/>
    </row>
    <row r="74" spans="1:18" x14ac:dyDescent="0.3">
      <c r="A74" s="651"/>
      <c r="B74" s="651"/>
      <c r="C74" s="651"/>
      <c r="D74" s="651"/>
      <c r="E74" s="676" t="s">
        <v>857</v>
      </c>
      <c r="F74" s="677"/>
      <c r="G74" s="678"/>
      <c r="H74" s="678"/>
      <c r="I74" s="678"/>
      <c r="J74" s="678"/>
      <c r="K74" s="678"/>
      <c r="L74" s="1486"/>
      <c r="M74" s="651"/>
      <c r="N74" s="651"/>
      <c r="O74" s="651"/>
      <c r="P74" s="651"/>
      <c r="Q74" s="651"/>
      <c r="R74" s="651"/>
    </row>
    <row r="75" spans="1:18" x14ac:dyDescent="0.3">
      <c r="A75" s="651"/>
      <c r="B75" s="651"/>
      <c r="C75" s="651"/>
      <c r="D75" s="651"/>
      <c r="E75" s="5909" t="str">
        <f t="shared" ref="E75:E80" si="13">A37</f>
        <v>Ventes directes seules</v>
      </c>
      <c r="F75" s="5910"/>
      <c r="G75" s="678">
        <f>C37</f>
        <v>0</v>
      </c>
      <c r="H75" s="684">
        <f t="shared" ref="H75:I80" si="14">D23</f>
        <v>0.03</v>
      </c>
      <c r="I75" s="685">
        <f t="shared" si="14"/>
        <v>0</v>
      </c>
      <c r="J75" s="678"/>
      <c r="K75" s="678"/>
      <c r="L75" s="1486"/>
      <c r="M75" s="651"/>
      <c r="N75" s="651"/>
      <c r="O75" s="651"/>
      <c r="P75" s="651"/>
      <c r="Q75" s="651"/>
      <c r="R75" s="651"/>
    </row>
    <row r="76" spans="1:18" x14ac:dyDescent="0.3">
      <c r="A76" s="651"/>
      <c r="B76" s="651"/>
      <c r="C76" s="651"/>
      <c r="D76" s="651"/>
      <c r="E76" s="5909" t="str">
        <f t="shared" si="13"/>
        <v>ESN</v>
      </c>
      <c r="F76" s="5910">
        <f>B38</f>
        <v>0</v>
      </c>
      <c r="G76" s="678">
        <f>C38</f>
        <v>0</v>
      </c>
      <c r="H76" s="684">
        <f t="shared" si="14"/>
        <v>1.7000000000000001E-2</v>
      </c>
      <c r="I76" s="685">
        <f t="shared" si="14"/>
        <v>0</v>
      </c>
      <c r="J76" s="678"/>
      <c r="K76" s="678"/>
      <c r="L76" s="1486"/>
      <c r="M76" s="651"/>
      <c r="N76" s="651"/>
      <c r="O76" s="651"/>
      <c r="P76" s="651"/>
      <c r="Q76" s="651"/>
      <c r="R76" s="651"/>
    </row>
    <row r="77" spans="1:18" x14ac:dyDescent="0.3">
      <c r="A77" s="651"/>
      <c r="B77" s="651"/>
      <c r="C77" s="651"/>
      <c r="D77" s="651"/>
      <c r="E77" s="5909" t="str">
        <f t="shared" si="13"/>
        <v>Centres de contact</v>
      </c>
      <c r="F77" s="5910">
        <f>B39</f>
        <v>0</v>
      </c>
      <c r="G77" s="678">
        <f>C39</f>
        <v>0</v>
      </c>
      <c r="H77" s="686">
        <f t="shared" si="14"/>
        <v>0.01</v>
      </c>
      <c r="I77" s="687">
        <f t="shared" si="14"/>
        <v>0</v>
      </c>
      <c r="J77" s="678"/>
      <c r="K77" s="678"/>
      <c r="L77" s="1486"/>
      <c r="M77" s="651"/>
      <c r="N77" s="651"/>
      <c r="O77" s="651"/>
      <c r="P77" s="651"/>
      <c r="Q77" s="651"/>
      <c r="R77" s="651"/>
    </row>
    <row r="78" spans="1:18" x14ac:dyDescent="0.3">
      <c r="A78" s="651"/>
      <c r="B78" s="651"/>
      <c r="C78" s="651"/>
      <c r="D78" s="651"/>
      <c r="E78" s="5909" t="str">
        <f t="shared" si="13"/>
        <v>Vars Nationaux</v>
      </c>
      <c r="F78" s="5910">
        <f>B40</f>
        <v>0</v>
      </c>
      <c r="G78" s="678">
        <f>C40</f>
        <v>0</v>
      </c>
      <c r="H78" s="686">
        <f t="shared" si="14"/>
        <v>5.0000000000000001E-3</v>
      </c>
      <c r="I78" s="687">
        <f t="shared" si="14"/>
        <v>0</v>
      </c>
      <c r="J78" s="678"/>
      <c r="K78" s="678"/>
      <c r="L78" s="1486"/>
      <c r="M78" s="651"/>
      <c r="N78" s="651"/>
      <c r="O78" s="651"/>
      <c r="P78" s="651"/>
      <c r="Q78" s="651"/>
      <c r="R78" s="651"/>
    </row>
    <row r="79" spans="1:18" x14ac:dyDescent="0.3">
      <c r="A79" s="651"/>
      <c r="B79" s="651"/>
      <c r="C79" s="651"/>
      <c r="D79" s="651"/>
      <c r="E79" s="5909" t="str">
        <f t="shared" si="13"/>
        <v>Editeurs</v>
      </c>
      <c r="F79" s="5910">
        <f>B41</f>
        <v>0</v>
      </c>
      <c r="G79" s="678">
        <f>C41</f>
        <v>0</v>
      </c>
      <c r="H79" s="686">
        <f t="shared" si="14"/>
        <v>1.4999999999999999E-2</v>
      </c>
      <c r="I79" s="687">
        <f t="shared" si="14"/>
        <v>0</v>
      </c>
      <c r="J79" s="678"/>
      <c r="K79" s="678"/>
      <c r="L79" s="1486"/>
      <c r="M79" s="651"/>
      <c r="N79" s="651"/>
      <c r="O79" s="651"/>
      <c r="P79" s="651"/>
      <c r="Q79" s="651"/>
      <c r="R79" s="651"/>
    </row>
    <row r="80" spans="1:18" x14ac:dyDescent="0.3">
      <c r="A80" s="651"/>
      <c r="B80" s="651"/>
      <c r="C80" s="651"/>
      <c r="D80" s="651"/>
      <c r="E80" s="5909" t="str">
        <f t="shared" si="13"/>
        <v>Web Agencies</v>
      </c>
      <c r="F80" s="5910">
        <f>B42</f>
        <v>0</v>
      </c>
      <c r="G80" s="678"/>
      <c r="H80" s="686">
        <f t="shared" si="14"/>
        <v>1.5E-3</v>
      </c>
      <c r="I80" s="687">
        <f t="shared" si="14"/>
        <v>0</v>
      </c>
      <c r="J80" s="678"/>
      <c r="K80" s="678"/>
      <c r="L80" s="1486"/>
      <c r="M80" s="651"/>
      <c r="N80" s="651"/>
      <c r="O80" s="651"/>
      <c r="P80" s="651"/>
      <c r="Q80" s="651"/>
      <c r="R80" s="651"/>
    </row>
    <row r="81" spans="1:18" x14ac:dyDescent="0.3">
      <c r="A81" s="651"/>
      <c r="B81" s="651"/>
      <c r="C81" s="651"/>
      <c r="D81" s="651"/>
      <c r="E81" s="1359"/>
      <c r="F81" s="678"/>
      <c r="G81" s="678"/>
      <c r="H81" s="651"/>
      <c r="I81" s="687"/>
      <c r="J81" s="678"/>
      <c r="K81" s="678"/>
      <c r="L81" s="1486"/>
      <c r="M81" s="651"/>
      <c r="N81" s="651"/>
      <c r="O81" s="651"/>
      <c r="P81" s="651"/>
      <c r="Q81" s="651"/>
      <c r="R81" s="651"/>
    </row>
    <row r="82" spans="1:18" x14ac:dyDescent="0.3">
      <c r="A82" s="651"/>
      <c r="B82" s="651"/>
      <c r="C82" s="651"/>
      <c r="D82" s="651"/>
      <c r="E82" s="676" t="s">
        <v>778</v>
      </c>
      <c r="F82" s="677"/>
      <c r="G82" s="678"/>
      <c r="H82" s="678"/>
      <c r="I82" s="678"/>
      <c r="J82" s="678"/>
      <c r="K82" s="678"/>
      <c r="L82" s="1486"/>
      <c r="M82" s="651"/>
      <c r="N82" s="651"/>
      <c r="O82" s="651"/>
      <c r="P82" s="651"/>
      <c r="Q82" s="651"/>
      <c r="R82" s="651"/>
    </row>
    <row r="83" spans="1:18" x14ac:dyDescent="0.3">
      <c r="A83" s="651"/>
      <c r="B83" s="651"/>
      <c r="C83" s="651"/>
      <c r="D83" s="651"/>
      <c r="E83" s="5909" t="str">
        <f t="shared" ref="E83:F88" si="15">E75</f>
        <v>Ventes directes seules</v>
      </c>
      <c r="F83" s="5910">
        <f t="shared" si="15"/>
        <v>0</v>
      </c>
      <c r="G83" s="678"/>
      <c r="H83" s="688">
        <f t="shared" ref="H83:I88" si="16">D37</f>
        <v>0</v>
      </c>
      <c r="I83" s="678">
        <f t="shared" si="16"/>
        <v>0</v>
      </c>
      <c r="J83" s="678"/>
      <c r="K83" s="678"/>
      <c r="L83" s="1486"/>
      <c r="M83" s="651"/>
      <c r="N83" s="651"/>
      <c r="O83" s="651"/>
      <c r="P83" s="651"/>
      <c r="Q83" s="651"/>
      <c r="R83" s="651"/>
    </row>
    <row r="84" spans="1:18" x14ac:dyDescent="0.3">
      <c r="A84" s="651"/>
      <c r="B84" s="651"/>
      <c r="C84" s="651"/>
      <c r="D84" s="651"/>
      <c r="E84" s="5909" t="str">
        <f t="shared" si="15"/>
        <v>ESN</v>
      </c>
      <c r="F84" s="5910">
        <f t="shared" si="15"/>
        <v>0</v>
      </c>
      <c r="G84" s="678"/>
      <c r="H84" s="688">
        <f t="shared" si="16"/>
        <v>3</v>
      </c>
      <c r="I84" s="678">
        <f t="shared" si="16"/>
        <v>0</v>
      </c>
      <c r="J84" s="678"/>
      <c r="K84" s="678"/>
      <c r="L84" s="1486"/>
      <c r="M84" s="651"/>
      <c r="N84" s="651"/>
      <c r="O84" s="651"/>
      <c r="P84" s="651"/>
      <c r="Q84" s="651"/>
      <c r="R84" s="651"/>
    </row>
    <row r="85" spans="1:18" x14ac:dyDescent="0.3">
      <c r="A85" s="651"/>
      <c r="B85" s="651"/>
      <c r="C85" s="651"/>
      <c r="D85" s="651"/>
      <c r="E85" s="5909" t="str">
        <f t="shared" si="15"/>
        <v>Centres de contact</v>
      </c>
      <c r="F85" s="5910">
        <f t="shared" si="15"/>
        <v>0</v>
      </c>
      <c r="G85" s="678"/>
      <c r="H85" s="688">
        <f t="shared" si="16"/>
        <v>2</v>
      </c>
      <c r="I85" s="687">
        <f t="shared" si="16"/>
        <v>0</v>
      </c>
      <c r="J85" s="678"/>
      <c r="K85" s="678"/>
      <c r="L85" s="1486"/>
      <c r="M85" s="651"/>
      <c r="N85" s="651"/>
      <c r="O85" s="651"/>
      <c r="P85" s="651"/>
      <c r="Q85" s="651"/>
      <c r="R85" s="651"/>
    </row>
    <row r="86" spans="1:18" x14ac:dyDescent="0.3">
      <c r="A86" s="651"/>
      <c r="B86" s="651"/>
      <c r="C86" s="651"/>
      <c r="D86" s="651"/>
      <c r="E86" s="5909" t="str">
        <f t="shared" si="15"/>
        <v>Vars Nationaux</v>
      </c>
      <c r="F86" s="5910">
        <f t="shared" si="15"/>
        <v>0</v>
      </c>
      <c r="G86" s="678"/>
      <c r="H86" s="688">
        <f t="shared" si="16"/>
        <v>3</v>
      </c>
      <c r="I86" s="687">
        <f t="shared" si="16"/>
        <v>0</v>
      </c>
      <c r="J86" s="678"/>
      <c r="K86" s="678"/>
      <c r="L86" s="1486"/>
      <c r="M86" s="651"/>
      <c r="N86" s="651"/>
      <c r="O86" s="651"/>
      <c r="P86" s="651"/>
      <c r="Q86" s="651"/>
      <c r="R86" s="651"/>
    </row>
    <row r="87" spans="1:18" x14ac:dyDescent="0.3">
      <c r="A87" s="651"/>
      <c r="B87" s="651"/>
      <c r="C87" s="651"/>
      <c r="D87" s="651"/>
      <c r="E87" s="5909" t="str">
        <f t="shared" si="15"/>
        <v>Editeurs</v>
      </c>
      <c r="F87" s="5910">
        <f t="shared" si="15"/>
        <v>0</v>
      </c>
      <c r="G87" s="678"/>
      <c r="H87" s="689">
        <f t="shared" si="16"/>
        <v>3</v>
      </c>
      <c r="I87" s="678">
        <f t="shared" si="16"/>
        <v>0</v>
      </c>
      <c r="J87" s="678"/>
      <c r="K87" s="678"/>
      <c r="L87" s="1486"/>
      <c r="M87" s="651"/>
      <c r="N87" s="651"/>
      <c r="O87" s="651"/>
      <c r="P87" s="651"/>
      <c r="Q87" s="651"/>
      <c r="R87" s="651"/>
    </row>
    <row r="88" spans="1:18" x14ac:dyDescent="0.3">
      <c r="A88" s="651"/>
      <c r="B88" s="651"/>
      <c r="C88" s="651"/>
      <c r="D88" s="651"/>
      <c r="E88" s="5909" t="str">
        <f t="shared" si="15"/>
        <v>Web Agencies</v>
      </c>
      <c r="F88" s="5910">
        <f t="shared" si="15"/>
        <v>0</v>
      </c>
      <c r="G88" s="678"/>
      <c r="H88" s="688">
        <f t="shared" si="16"/>
        <v>1</v>
      </c>
      <c r="I88" s="678">
        <f t="shared" si="16"/>
        <v>0</v>
      </c>
      <c r="J88" s="678"/>
      <c r="K88" s="678"/>
      <c r="L88" s="1486"/>
      <c r="M88" s="651"/>
      <c r="N88" s="651"/>
      <c r="O88" s="651"/>
      <c r="P88" s="651"/>
      <c r="Q88" s="651"/>
      <c r="R88" s="651"/>
    </row>
    <row r="89" spans="1:18" ht="13.5" thickBot="1" x14ac:dyDescent="0.35">
      <c r="A89" s="651"/>
      <c r="B89" s="651"/>
      <c r="C89" s="651"/>
      <c r="D89" s="651"/>
      <c r="E89" s="676" t="s">
        <v>781</v>
      </c>
      <c r="F89" s="677"/>
      <c r="G89" s="678"/>
      <c r="H89" s="678"/>
      <c r="I89" s="678"/>
      <c r="J89" s="678"/>
      <c r="K89" s="678"/>
      <c r="L89" s="1486"/>
      <c r="M89" s="651"/>
      <c r="N89" s="651"/>
      <c r="O89" s="651"/>
      <c r="P89" s="651"/>
      <c r="Q89" s="651"/>
      <c r="R89" s="651"/>
    </row>
    <row r="90" spans="1:18" ht="13.5" thickBot="1" x14ac:dyDescent="0.35">
      <c r="A90" s="651"/>
      <c r="B90" s="651"/>
      <c r="C90" s="651"/>
      <c r="D90" s="651"/>
      <c r="E90" s="680"/>
      <c r="F90" s="678"/>
      <c r="G90" s="678"/>
      <c r="H90" s="678"/>
      <c r="I90" s="690">
        <f>I70</f>
        <v>2017</v>
      </c>
      <c r="J90" s="690">
        <f>J70</f>
        <v>2018</v>
      </c>
      <c r="K90" s="690">
        <f>K70</f>
        <v>2019</v>
      </c>
      <c r="L90" s="690">
        <f>L70</f>
        <v>2020</v>
      </c>
      <c r="M90" s="651"/>
      <c r="N90" s="651"/>
      <c r="O90" s="651"/>
      <c r="P90" s="651"/>
      <c r="Q90" s="651"/>
      <c r="R90" s="651"/>
    </row>
    <row r="91" spans="1:18" x14ac:dyDescent="0.3">
      <c r="A91" s="651"/>
      <c r="B91" s="651"/>
      <c r="C91" s="651"/>
      <c r="D91" s="651"/>
      <c r="E91" s="691" t="s">
        <v>782</v>
      </c>
      <c r="F91" s="678"/>
      <c r="G91" s="678"/>
      <c r="H91" s="678"/>
      <c r="I91" s="692">
        <f>G46</f>
        <v>0</v>
      </c>
      <c r="J91" s="692">
        <f>H46</f>
        <v>0</v>
      </c>
      <c r="K91" s="692">
        <f>I46</f>
        <v>0</v>
      </c>
      <c r="L91" s="692">
        <f>J46</f>
        <v>0</v>
      </c>
      <c r="M91" s="651"/>
      <c r="N91" s="651"/>
      <c r="O91" s="651"/>
      <c r="P91" s="651"/>
      <c r="Q91" s="651"/>
      <c r="R91" s="651"/>
    </row>
    <row r="92" spans="1:18" x14ac:dyDescent="0.3">
      <c r="A92" s="651"/>
      <c r="B92" s="651"/>
      <c r="C92" s="651"/>
      <c r="D92" s="651"/>
      <c r="E92" s="693" t="s">
        <v>858</v>
      </c>
      <c r="F92" s="651"/>
      <c r="G92" s="651"/>
      <c r="H92" s="651"/>
      <c r="I92" s="694">
        <v>0.5</v>
      </c>
      <c r="J92" s="694">
        <v>0.4</v>
      </c>
      <c r="K92" s="694">
        <v>0.3</v>
      </c>
      <c r="L92" s="694">
        <v>0.2</v>
      </c>
      <c r="M92" s="651"/>
      <c r="N92" s="651"/>
      <c r="O92" s="651"/>
      <c r="P92" s="651"/>
      <c r="Q92" s="651"/>
      <c r="R92" s="651"/>
    </row>
    <row r="93" spans="1:18" ht="15.5" x14ac:dyDescent="0.35">
      <c r="A93" s="651"/>
      <c r="B93" s="651"/>
      <c r="C93" s="651"/>
      <c r="D93" s="651"/>
      <c r="E93" s="1641" t="s">
        <v>859</v>
      </c>
      <c r="F93" s="1642"/>
      <c r="G93" s="1642"/>
      <c r="H93" s="1642"/>
      <c r="I93" s="1643">
        <f>I91/(100%-I92)</f>
        <v>0</v>
      </c>
      <c r="J93" s="1643">
        <f>J91/(100%-J92)</f>
        <v>0</v>
      </c>
      <c r="K93" s="1643">
        <f>K91/(100%-K92)</f>
        <v>0</v>
      </c>
      <c r="L93" s="1643">
        <f>L91/(100%-L92)</f>
        <v>0</v>
      </c>
      <c r="M93" s="651"/>
      <c r="N93" s="651"/>
      <c r="O93" s="651"/>
      <c r="P93" s="651"/>
      <c r="Q93" s="651"/>
      <c r="R93" s="651"/>
    </row>
    <row r="94" spans="1:18" ht="13.5" thickBot="1" x14ac:dyDescent="0.35">
      <c r="A94" s="651"/>
      <c r="B94" s="651"/>
      <c r="C94" s="651"/>
      <c r="D94" s="651"/>
      <c r="E94" s="680"/>
      <c r="F94" s="678"/>
      <c r="G94" s="678"/>
      <c r="H94" s="678"/>
      <c r="I94" s="695"/>
      <c r="J94" s="695"/>
      <c r="K94" s="695"/>
      <c r="L94" s="695"/>
      <c r="M94" s="651"/>
      <c r="N94" s="651"/>
      <c r="O94" s="651"/>
      <c r="P94" s="651"/>
      <c r="Q94" s="651"/>
      <c r="R94" s="651"/>
    </row>
    <row r="95" spans="1:18" x14ac:dyDescent="0.3">
      <c r="A95" s="651"/>
      <c r="B95" s="651"/>
      <c r="C95" s="651"/>
      <c r="D95" s="651"/>
      <c r="E95" s="680"/>
      <c r="F95" s="678"/>
      <c r="G95" s="678"/>
      <c r="H95" s="678"/>
      <c r="I95" s="678"/>
      <c r="J95" s="678"/>
      <c r="K95" s="678"/>
      <c r="L95" s="1486"/>
      <c r="M95" s="651"/>
      <c r="N95" s="651"/>
      <c r="O95" s="651"/>
      <c r="P95" s="651"/>
      <c r="Q95" s="651"/>
      <c r="R95" s="651"/>
    </row>
    <row r="96" spans="1:18" x14ac:dyDescent="0.3">
      <c r="A96" s="651"/>
      <c r="B96" s="651"/>
      <c r="C96" s="651"/>
      <c r="D96" s="651"/>
      <c r="E96" s="680"/>
      <c r="F96" s="678"/>
      <c r="G96" s="678"/>
      <c r="H96" s="678"/>
      <c r="I96" s="678"/>
      <c r="J96" s="678"/>
      <c r="K96" s="678"/>
      <c r="L96" s="1486"/>
      <c r="M96" s="651"/>
      <c r="N96" s="651"/>
      <c r="O96" s="651"/>
      <c r="P96" s="651"/>
      <c r="Q96" s="651"/>
      <c r="R96" s="651"/>
    </row>
    <row r="97" spans="1:18" ht="13.5" thickBot="1" x14ac:dyDescent="0.35">
      <c r="A97" s="651"/>
      <c r="B97" s="651"/>
      <c r="C97" s="651"/>
      <c r="D97" s="651"/>
      <c r="E97" s="696"/>
      <c r="F97" s="697"/>
      <c r="G97" s="697"/>
      <c r="H97" s="697"/>
      <c r="I97" s="697"/>
      <c r="J97" s="697"/>
      <c r="K97" s="697"/>
      <c r="L97" s="698"/>
      <c r="M97" s="651"/>
      <c r="N97" s="651"/>
      <c r="O97" s="651"/>
      <c r="P97" s="651"/>
      <c r="Q97" s="651"/>
      <c r="R97" s="651"/>
    </row>
    <row r="98" spans="1:18" x14ac:dyDescent="0.3">
      <c r="A98" s="651"/>
      <c r="B98" s="651"/>
      <c r="C98" s="651"/>
      <c r="D98" s="651"/>
      <c r="E98" s="651"/>
      <c r="F98" s="651"/>
      <c r="G98" s="651"/>
      <c r="H98" s="651"/>
      <c r="I98" s="651"/>
      <c r="J98" s="651"/>
      <c r="K98" s="651"/>
      <c r="L98" s="651"/>
      <c r="M98" s="651"/>
      <c r="N98" s="651"/>
      <c r="O98" s="651"/>
      <c r="P98" s="651"/>
      <c r="Q98" s="651"/>
      <c r="R98" s="651"/>
    </row>
  </sheetData>
  <mergeCells count="94">
    <mergeCell ref="D3:G3"/>
    <mergeCell ref="E75:F75"/>
    <mergeCell ref="E76:F76"/>
    <mergeCell ref="E77:F77"/>
    <mergeCell ref="E78:F78"/>
    <mergeCell ref="D6:E6"/>
    <mergeCell ref="D7:E7"/>
    <mergeCell ref="D8:E8"/>
    <mergeCell ref="D9:E9"/>
    <mergeCell ref="D10:E10"/>
    <mergeCell ref="D28:E28"/>
    <mergeCell ref="E79:F79"/>
    <mergeCell ref="E88:F88"/>
    <mergeCell ref="E80:F80"/>
    <mergeCell ref="E83:F83"/>
    <mergeCell ref="E84:F84"/>
    <mergeCell ref="E85:F85"/>
    <mergeCell ref="E86:F86"/>
    <mergeCell ref="E87:F87"/>
    <mergeCell ref="M15:R15"/>
    <mergeCell ref="A57:K62"/>
    <mergeCell ref="M57:O57"/>
    <mergeCell ref="M58:O62"/>
    <mergeCell ref="A49:K49"/>
    <mergeCell ref="M49:O49"/>
    <mergeCell ref="A50:K54"/>
    <mergeCell ref="M50:O54"/>
    <mergeCell ref="A56:K56"/>
    <mergeCell ref="A31:K31"/>
    <mergeCell ref="A42:C42"/>
    <mergeCell ref="D42:E42"/>
    <mergeCell ref="A41:C41"/>
    <mergeCell ref="B46:E46"/>
    <mergeCell ref="A36:C36"/>
    <mergeCell ref="D32:E32"/>
    <mergeCell ref="L1:M1"/>
    <mergeCell ref="D2:G2"/>
    <mergeCell ref="I2:J2"/>
    <mergeCell ref="L2:M2"/>
    <mergeCell ref="D40:E40"/>
    <mergeCell ref="A4:G4"/>
    <mergeCell ref="H4:P4"/>
    <mergeCell ref="A5:B5"/>
    <mergeCell ref="C5:P5"/>
    <mergeCell ref="A14:C14"/>
    <mergeCell ref="D14:E14"/>
    <mergeCell ref="A13:C13"/>
    <mergeCell ref="D13:E13"/>
    <mergeCell ref="A12:C12"/>
    <mergeCell ref="D12:E12"/>
    <mergeCell ref="A11:C11"/>
    <mergeCell ref="D1:G1"/>
    <mergeCell ref="I1:J1"/>
    <mergeCell ref="D36:E36"/>
    <mergeCell ref="D23:E23"/>
    <mergeCell ref="D24:E24"/>
    <mergeCell ref="D25:E25"/>
    <mergeCell ref="C16:E16"/>
    <mergeCell ref="C18:E18"/>
    <mergeCell ref="A30:C30"/>
    <mergeCell ref="D30:E30"/>
    <mergeCell ref="A29:C29"/>
    <mergeCell ref="D29:E29"/>
    <mergeCell ref="A28:C28"/>
    <mergeCell ref="D22:E22"/>
    <mergeCell ref="D11:E11"/>
    <mergeCell ref="A6:C6"/>
    <mergeCell ref="H68:J68"/>
    <mergeCell ref="A37:C37"/>
    <mergeCell ref="A38:C38"/>
    <mergeCell ref="A39:C39"/>
    <mergeCell ref="A40:C40"/>
    <mergeCell ref="D43:E43"/>
    <mergeCell ref="D38:E38"/>
    <mergeCell ref="D39:E39"/>
    <mergeCell ref="D41:E41"/>
    <mergeCell ref="A44:C44"/>
    <mergeCell ref="D44:E44"/>
    <mergeCell ref="A45:J45"/>
    <mergeCell ref="A43:C43"/>
    <mergeCell ref="D37:E37"/>
    <mergeCell ref="A7:C7"/>
    <mergeCell ref="A8:C8"/>
    <mergeCell ref="A9:C9"/>
    <mergeCell ref="A10:C10"/>
    <mergeCell ref="A23:C23"/>
    <mergeCell ref="A15:K15"/>
    <mergeCell ref="A22:C22"/>
    <mergeCell ref="A27:C27"/>
    <mergeCell ref="D27:E27"/>
    <mergeCell ref="D26:E26"/>
    <mergeCell ref="A24:C24"/>
    <mergeCell ref="A25:C25"/>
    <mergeCell ref="A26:C26"/>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700-000000000000}">
      <formula1>AvancementTheme</formula1>
    </dataValidation>
  </dataValidations>
  <hyperlinks>
    <hyperlink ref="O1" location="DPDV_02DS3" display="PdV" xr:uid="{00000000-0004-0000-5700-000000000000}"/>
    <hyperlink ref="P1" location="DKPI_02DS3" display="KPI's" xr:uid="{00000000-0004-0000-5700-000001000000}"/>
  </hyperlinks>
  <pageMargins left="0.70866141732283472" right="0.70866141732283472" top="0.74803149606299213" bottom="0.74803149606299213" header="0.31496062992125984" footer="0.31496062992125984"/>
  <pageSetup paperSize="9" scale="42" orientation="portrait" horizontalDpi="4294967293" verticalDpi="360" r:id="rId1"/>
  <headerFooter>
    <oddHeader>&amp;LPAD Methodology (c) 2013-2014&amp;RStrategic Management Workshop</oddHeader>
    <oddFooter>&amp;L&amp;F&amp;C&amp;A&amp;RSituation au : &amp;D - page : &amp;P/&amp;N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euil88">
    <tabColor rgb="FF92D050"/>
    <pageSetUpPr fitToPage="1"/>
  </sheetPr>
  <dimension ref="A1:V104"/>
  <sheetViews>
    <sheetView showGridLines="0" showRowColHeaders="0" showZeros="0" zoomScaleNormal="100" workbookViewId="0">
      <pane ySplit="5" topLeftCell="A6" activePane="bottomLeft" state="frozen"/>
      <selection activeCell="H7" sqref="H7"/>
      <selection pane="bottomLeft" activeCell="E73" sqref="E73"/>
    </sheetView>
  </sheetViews>
  <sheetFormatPr baseColWidth="10" defaultColWidth="11.453125" defaultRowHeight="13" x14ac:dyDescent="0.3"/>
  <cols>
    <col min="1" max="2" width="11.453125" style="116"/>
    <col min="3" max="3" width="13.453125" style="116" customWidth="1"/>
    <col min="4" max="4" width="12.54296875" style="116" customWidth="1"/>
    <col min="5" max="5" width="9.453125" style="116" customWidth="1"/>
    <col min="6" max="16384" width="11.453125" style="116"/>
  </cols>
  <sheetData>
    <row r="1" spans="1:22" s="54" customFormat="1" ht="15" customHeight="1" x14ac:dyDescent="0.35">
      <c r="A1" s="1569"/>
      <c r="B1" s="1569"/>
      <c r="C1" s="1569"/>
      <c r="D1" s="3262" t="s">
        <v>5</v>
      </c>
      <c r="E1" s="3262"/>
      <c r="F1" s="3262"/>
      <c r="G1" s="3262"/>
      <c r="H1" s="53"/>
      <c r="I1" s="3262" t="s">
        <v>6</v>
      </c>
      <c r="J1" s="3262"/>
      <c r="K1" s="1569"/>
      <c r="L1" s="3262" t="s">
        <v>9</v>
      </c>
      <c r="M1" s="3262"/>
      <c r="N1" s="1569"/>
      <c r="O1" s="10" t="s">
        <v>2</v>
      </c>
      <c r="P1" s="10" t="s">
        <v>3</v>
      </c>
    </row>
    <row r="2" spans="1:22" s="58" customFormat="1" ht="18" customHeight="1" x14ac:dyDescent="0.35">
      <c r="A2" s="55"/>
      <c r="B2" s="55"/>
      <c r="C2" s="55"/>
      <c r="D2" s="3263" t="str">
        <f>NomClient</f>
        <v xml:space="preserve">EQUINIX </v>
      </c>
      <c r="E2" s="3264"/>
      <c r="F2" s="3264"/>
      <c r="G2" s="3265"/>
      <c r="H2" s="55"/>
      <c r="I2" s="3345" t="s">
        <v>406</v>
      </c>
      <c r="J2" s="3346"/>
      <c r="K2" s="55"/>
      <c r="L2" s="4859">
        <v>42419.925127314818</v>
      </c>
      <c r="M2" s="4861"/>
      <c r="N2" s="56"/>
      <c r="O2" s="57">
        <f>IF(LEN(DPDV_02DL3)&gt;0,LEN(DPDV_02DL3),0-PDV_NBmini)</f>
        <v>10</v>
      </c>
      <c r="P2" s="57">
        <f>IF(LEN(DKPI_02DL3)&gt;0,LEN(DKPI_02DL3),0-KPI_NBmini)</f>
        <v>21</v>
      </c>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101" t="str">
        <f>Parametre!B24  &amp; "  : "</f>
        <v xml:space="preserve">Vision, Attente &amp; Stratégie  : </v>
      </c>
      <c r="B4" s="5101"/>
      <c r="C4" s="5101"/>
      <c r="D4" s="5101"/>
      <c r="E4" s="5101"/>
      <c r="F4" s="5101"/>
      <c r="G4" s="5101"/>
      <c r="H4" s="5102" t="str">
        <f xml:space="preserve"> "Licences -  Estimation du nombre de clients et de partenaires pour " &amp; NomProd3</f>
        <v xml:space="preserve">Licences -  Estimation du nombre de clients et de partenaires pour </v>
      </c>
      <c r="I4" s="5102"/>
      <c r="J4" s="5102"/>
      <c r="K4" s="5102"/>
      <c r="L4" s="5102"/>
      <c r="M4" s="5102"/>
      <c r="N4" s="5102"/>
      <c r="O4" s="5102"/>
      <c r="P4" s="5103"/>
    </row>
    <row r="5" spans="1:22" s="193" customFormat="1" ht="19.5" customHeight="1" thickBot="1" x14ac:dyDescent="0.4">
      <c r="A5" s="4865" t="s">
        <v>14</v>
      </c>
      <c r="B5" s="4865"/>
      <c r="C5" s="4875" t="s">
        <v>1008</v>
      </c>
      <c r="D5" s="4875"/>
      <c r="E5" s="4875"/>
      <c r="F5" s="4875"/>
      <c r="G5" s="4875"/>
      <c r="H5" s="4875"/>
      <c r="I5" s="4875"/>
      <c r="J5" s="4875"/>
      <c r="K5" s="4875"/>
      <c r="L5" s="4875"/>
      <c r="M5" s="4875"/>
      <c r="N5" s="4875"/>
      <c r="O5" s="4875"/>
      <c r="P5" s="4875"/>
    </row>
    <row r="6" spans="1:22" s="159" customFormat="1" ht="30" customHeight="1" thickTop="1" x14ac:dyDescent="0.35">
      <c r="A6" s="5085" t="s">
        <v>843</v>
      </c>
      <c r="B6" s="5086"/>
      <c r="C6" s="5086"/>
      <c r="D6" s="5104" t="s">
        <v>18</v>
      </c>
      <c r="E6" s="5104"/>
      <c r="F6" s="506">
        <f>AnReference-1</f>
        <v>2017</v>
      </c>
      <c r="G6" s="506">
        <f>AnReference</f>
        <v>2018</v>
      </c>
      <c r="H6" s="506">
        <f>IF(NbAnVision&gt;=1,AnReference+1,"NA")</f>
        <v>2019</v>
      </c>
      <c r="I6" s="506">
        <f>IF(NbAnVision&gt;=2,AnReference+2,"NA")</f>
        <v>2020</v>
      </c>
      <c r="J6" s="1093">
        <f>IF(NbAnVision&gt;=3,AnReference+3,"NA")</f>
        <v>2021</v>
      </c>
      <c r="K6" s="1045" t="s">
        <v>822</v>
      </c>
      <c r="L6" s="211"/>
      <c r="M6" s="1043">
        <f t="shared" ref="M6:R6" si="0">F6</f>
        <v>2017</v>
      </c>
      <c r="N6" s="256">
        <f t="shared" si="0"/>
        <v>2018</v>
      </c>
      <c r="O6" s="256">
        <f t="shared" si="0"/>
        <v>2019</v>
      </c>
      <c r="P6" s="257">
        <f t="shared" si="0"/>
        <v>2020</v>
      </c>
      <c r="Q6" s="257">
        <f t="shared" si="0"/>
        <v>2021</v>
      </c>
      <c r="R6" s="1051" t="str">
        <f t="shared" si="0"/>
        <v xml:space="preserve">Total </v>
      </c>
    </row>
    <row r="7" spans="1:22" ht="15.5" x14ac:dyDescent="0.35">
      <c r="A7" s="5076" t="str">
        <f>'02-SALESPLAN-OFR3'!A15:F15</f>
        <v>Ventes directes seules</v>
      </c>
      <c r="B7" s="5077"/>
      <c r="C7" s="5077"/>
      <c r="D7" s="5097"/>
      <c r="E7" s="5097"/>
      <c r="F7" s="1180">
        <f>'02-SALESPLAN-OFR3'!G15</f>
        <v>0</v>
      </c>
      <c r="G7" s="1180">
        <f>'02-SALESPLAN-OFR3'!H15</f>
        <v>0</v>
      </c>
      <c r="H7" s="1180">
        <f>'02-SALESPLAN-OFR3'!I15</f>
        <v>0</v>
      </c>
      <c r="I7" s="1180">
        <f>'02-SALESPLAN-OFR3'!J15</f>
        <v>0</v>
      </c>
      <c r="J7" s="1180">
        <f>'02-SALESPLAN-OFR3'!K15</f>
        <v>0</v>
      </c>
      <c r="K7" s="1050">
        <f>SUM(F7:J7)</f>
        <v>0</v>
      </c>
      <c r="L7" s="169"/>
      <c r="M7" s="239">
        <f t="shared" ref="M7:M14" si="1">IF($F$16=0,0,F7/$F$16)</f>
        <v>0</v>
      </c>
      <c r="N7" s="242">
        <f t="shared" ref="N7:N14" si="2">IF($G$16=0,0,G7/$G$16)</f>
        <v>0</v>
      </c>
      <c r="O7" s="242">
        <f t="shared" ref="O7:O14" si="3">IF($H$16=0,0,H7/$H$16)</f>
        <v>0</v>
      </c>
      <c r="P7" s="242">
        <f t="shared" ref="P7:P14" si="4">IF($I$16=0,0,I7/$I$16)</f>
        <v>0</v>
      </c>
      <c r="Q7" s="243">
        <f t="shared" ref="Q7:Q14" si="5">IF($J$16=0,0,J7/$J$16)</f>
        <v>0</v>
      </c>
      <c r="R7" s="1052" t="e">
        <f t="shared" ref="R7:R14" si="6">K7/K$16</f>
        <v>#DIV/0!</v>
      </c>
    </row>
    <row r="8" spans="1:22" ht="15.5" x14ac:dyDescent="0.35">
      <c r="A8" s="5076" t="str">
        <f>'02-SALESPLAN-OFR3'!A16:F16</f>
        <v>ESN</v>
      </c>
      <c r="B8" s="5077"/>
      <c r="C8" s="5077"/>
      <c r="D8" s="5097"/>
      <c r="E8" s="5097"/>
      <c r="F8" s="1180">
        <f>'02-SALESPLAN-OFR3'!G16</f>
        <v>0</v>
      </c>
      <c r="G8" s="1180">
        <f>'02-SALESPLAN-OFR3'!H16</f>
        <v>0</v>
      </c>
      <c r="H8" s="1180">
        <f>'02-SALESPLAN-OFR3'!I16</f>
        <v>0</v>
      </c>
      <c r="I8" s="1180">
        <f>'02-SALESPLAN-OFR3'!J16</f>
        <v>0</v>
      </c>
      <c r="J8" s="1180">
        <f>'02-SALESPLAN-OFR3'!K16</f>
        <v>0</v>
      </c>
      <c r="K8" s="1050">
        <f t="shared" ref="K8:K14" si="7">SUM(F8:J8)</f>
        <v>0</v>
      </c>
      <c r="L8" s="169"/>
      <c r="M8" s="239">
        <f t="shared" si="1"/>
        <v>0</v>
      </c>
      <c r="N8" s="242">
        <f t="shared" si="2"/>
        <v>0</v>
      </c>
      <c r="O8" s="242">
        <f t="shared" si="3"/>
        <v>0</v>
      </c>
      <c r="P8" s="242">
        <f t="shared" si="4"/>
        <v>0</v>
      </c>
      <c r="Q8" s="243">
        <f t="shared" si="5"/>
        <v>0</v>
      </c>
      <c r="R8" s="1052" t="e">
        <f t="shared" si="6"/>
        <v>#DIV/0!</v>
      </c>
    </row>
    <row r="9" spans="1:22" ht="15.5" x14ac:dyDescent="0.35">
      <c r="A9" s="5076" t="str">
        <f>'02-SALESPLAN-OFR3'!A17:F17</f>
        <v>Centres de contact</v>
      </c>
      <c r="B9" s="5077"/>
      <c r="C9" s="5077"/>
      <c r="D9" s="5097"/>
      <c r="E9" s="5097"/>
      <c r="F9" s="1180">
        <f>'02-SALESPLAN-OFR3'!G17</f>
        <v>0</v>
      </c>
      <c r="G9" s="1180">
        <f>'02-SALESPLAN-OFR3'!H17</f>
        <v>0</v>
      </c>
      <c r="H9" s="1180">
        <f>'02-SALESPLAN-OFR3'!I17</f>
        <v>0</v>
      </c>
      <c r="I9" s="1180">
        <f>'02-SALESPLAN-OFR3'!J17</f>
        <v>0</v>
      </c>
      <c r="J9" s="1180">
        <f>'02-SALESPLAN-OFR3'!K17</f>
        <v>0</v>
      </c>
      <c r="K9" s="1050">
        <f t="shared" si="7"/>
        <v>0</v>
      </c>
      <c r="L9" s="169"/>
      <c r="M9" s="239">
        <f t="shared" si="1"/>
        <v>0</v>
      </c>
      <c r="N9" s="242">
        <f t="shared" si="2"/>
        <v>0</v>
      </c>
      <c r="O9" s="242">
        <f t="shared" si="3"/>
        <v>0</v>
      </c>
      <c r="P9" s="242">
        <f t="shared" si="4"/>
        <v>0</v>
      </c>
      <c r="Q9" s="243">
        <f t="shared" si="5"/>
        <v>0</v>
      </c>
      <c r="R9" s="1052" t="e">
        <f t="shared" si="6"/>
        <v>#DIV/0!</v>
      </c>
    </row>
    <row r="10" spans="1:22" ht="15.5" x14ac:dyDescent="0.35">
      <c r="A10" s="5076" t="str">
        <f>'02-SALESPLAN-OFR3'!A18:F18</f>
        <v>Vars Nationaux</v>
      </c>
      <c r="B10" s="5077"/>
      <c r="C10" s="5077"/>
      <c r="D10" s="5097"/>
      <c r="E10" s="5097"/>
      <c r="F10" s="1180">
        <f>'02-SALESPLAN-OFR3'!G18</f>
        <v>0</v>
      </c>
      <c r="G10" s="1180">
        <f>'02-SALESPLAN-OFR3'!H18</f>
        <v>0</v>
      </c>
      <c r="H10" s="1180">
        <f>'02-SALESPLAN-OFR3'!I18</f>
        <v>0</v>
      </c>
      <c r="I10" s="1180">
        <f>'02-SALESPLAN-OFR3'!J18</f>
        <v>0</v>
      </c>
      <c r="J10" s="1180">
        <f>'02-SALESPLAN-OFR3'!K18</f>
        <v>0</v>
      </c>
      <c r="K10" s="1050">
        <f t="shared" si="7"/>
        <v>0</v>
      </c>
      <c r="L10" s="169"/>
      <c r="M10" s="239">
        <f t="shared" si="1"/>
        <v>0</v>
      </c>
      <c r="N10" s="242">
        <f t="shared" si="2"/>
        <v>0</v>
      </c>
      <c r="O10" s="242">
        <f t="shared" si="3"/>
        <v>0</v>
      </c>
      <c r="P10" s="242">
        <f t="shared" si="4"/>
        <v>0</v>
      </c>
      <c r="Q10" s="243">
        <f t="shared" si="5"/>
        <v>0</v>
      </c>
      <c r="R10" s="1052" t="e">
        <f t="shared" si="6"/>
        <v>#DIV/0!</v>
      </c>
    </row>
    <row r="11" spans="1:22" ht="15.5" x14ac:dyDescent="0.35">
      <c r="A11" s="5076" t="str">
        <f>'02-SALESPLAN-OFR3'!A19:F19</f>
        <v>Editeurs</v>
      </c>
      <c r="B11" s="5077"/>
      <c r="C11" s="5077"/>
      <c r="D11" s="5097"/>
      <c r="E11" s="5097"/>
      <c r="F11" s="1180">
        <f>'02-SALESPLAN-OFR3'!G19</f>
        <v>0</v>
      </c>
      <c r="G11" s="1180">
        <f>'02-SALESPLAN-OFR3'!H19</f>
        <v>0</v>
      </c>
      <c r="H11" s="1180">
        <f>'02-SALESPLAN-OFR3'!I19</f>
        <v>0</v>
      </c>
      <c r="I11" s="1180">
        <f>'02-SALESPLAN-OFR3'!J19</f>
        <v>0</v>
      </c>
      <c r="J11" s="1180">
        <f>'02-SALESPLAN-OFR3'!K19</f>
        <v>0</v>
      </c>
      <c r="K11" s="1050">
        <f t="shared" si="7"/>
        <v>0</v>
      </c>
      <c r="L11" s="166"/>
      <c r="M11" s="239">
        <f t="shared" si="1"/>
        <v>0</v>
      </c>
      <c r="N11" s="242">
        <f t="shared" si="2"/>
        <v>0</v>
      </c>
      <c r="O11" s="242">
        <f t="shared" si="3"/>
        <v>0</v>
      </c>
      <c r="P11" s="242">
        <f t="shared" si="4"/>
        <v>0</v>
      </c>
      <c r="Q11" s="243">
        <f t="shared" si="5"/>
        <v>0</v>
      </c>
      <c r="R11" s="1052" t="e">
        <f t="shared" si="6"/>
        <v>#DIV/0!</v>
      </c>
    </row>
    <row r="12" spans="1:22" ht="15.5" x14ac:dyDescent="0.35">
      <c r="A12" s="5076" t="str">
        <f>'02-SALESPLAN-OFR3'!A20:F20</f>
        <v>Web Agencies</v>
      </c>
      <c r="B12" s="5077"/>
      <c r="C12" s="5077"/>
      <c r="D12" s="5097"/>
      <c r="E12" s="5097"/>
      <c r="F12" s="1180">
        <f>'02-SALESPLAN-OFR3'!G20</f>
        <v>0</v>
      </c>
      <c r="G12" s="1180">
        <f>'02-SALESPLAN-OFR3'!H20</f>
        <v>0</v>
      </c>
      <c r="H12" s="1180">
        <f>'02-SALESPLAN-OFR3'!I20</f>
        <v>0</v>
      </c>
      <c r="I12" s="1180">
        <f>'02-SALESPLAN-OFR3'!J20</f>
        <v>0</v>
      </c>
      <c r="J12" s="1180">
        <f>'02-SALESPLAN-OFR3'!K20</f>
        <v>0</v>
      </c>
      <c r="K12" s="1050">
        <f t="shared" si="7"/>
        <v>0</v>
      </c>
      <c r="L12" s="166"/>
      <c r="M12" s="239">
        <f t="shared" si="1"/>
        <v>0</v>
      </c>
      <c r="N12" s="242">
        <f t="shared" si="2"/>
        <v>0</v>
      </c>
      <c r="O12" s="242">
        <f t="shared" si="3"/>
        <v>0</v>
      </c>
      <c r="P12" s="242">
        <f t="shared" si="4"/>
        <v>0</v>
      </c>
      <c r="Q12" s="243">
        <f t="shared" si="5"/>
        <v>0</v>
      </c>
      <c r="R12" s="1052" t="e">
        <f t="shared" si="6"/>
        <v>#DIV/0!</v>
      </c>
    </row>
    <row r="13" spans="1:22" ht="15.5" x14ac:dyDescent="0.35">
      <c r="A13" s="5076" t="str">
        <f>'02-SALESPLAN-OFR3'!A21:F21</f>
        <v>Constructeurs</v>
      </c>
      <c r="B13" s="5077"/>
      <c r="C13" s="5077"/>
      <c r="D13" s="5097"/>
      <c r="E13" s="5097"/>
      <c r="F13" s="1180">
        <f>'02-SALESPLAN-OFR3'!G21</f>
        <v>0</v>
      </c>
      <c r="G13" s="1180">
        <f>'02-SALESPLAN-OFR3'!H21</f>
        <v>0</v>
      </c>
      <c r="H13" s="1180">
        <f>'02-SALESPLAN-OFR3'!I21</f>
        <v>0</v>
      </c>
      <c r="I13" s="1180">
        <f>'02-SALESPLAN-OFR3'!J21</f>
        <v>0</v>
      </c>
      <c r="J13" s="1180">
        <f>'02-SALESPLAN-OFR3'!K21</f>
        <v>0</v>
      </c>
      <c r="K13" s="1050">
        <f t="shared" si="7"/>
        <v>0</v>
      </c>
      <c r="L13" s="166"/>
      <c r="M13" s="239">
        <f t="shared" si="1"/>
        <v>0</v>
      </c>
      <c r="N13" s="242">
        <f t="shared" si="2"/>
        <v>0</v>
      </c>
      <c r="O13" s="242">
        <f t="shared" si="3"/>
        <v>0</v>
      </c>
      <c r="P13" s="242">
        <f t="shared" si="4"/>
        <v>0</v>
      </c>
      <c r="Q13" s="243">
        <f t="shared" si="5"/>
        <v>0</v>
      </c>
      <c r="R13" s="1052" t="e">
        <f t="shared" si="6"/>
        <v>#DIV/0!</v>
      </c>
    </row>
    <row r="14" spans="1:22" ht="15.5" x14ac:dyDescent="0.35">
      <c r="A14" s="5076" t="str">
        <f>'02-SALESPLAN-OFR3'!A22:F22</f>
        <v>Hébergeurs</v>
      </c>
      <c r="B14" s="5077"/>
      <c r="C14" s="5077"/>
      <c r="D14" s="5097"/>
      <c r="E14" s="5097"/>
      <c r="F14" s="1180">
        <f>'02-SALESPLAN-OFR3'!G22</f>
        <v>0</v>
      </c>
      <c r="G14" s="1180">
        <f>'02-SALESPLAN-OFR3'!H22</f>
        <v>0</v>
      </c>
      <c r="H14" s="1180">
        <f>'02-SALESPLAN-OFR3'!I22</f>
        <v>0</v>
      </c>
      <c r="I14" s="1180">
        <f>'02-SALESPLAN-OFR3'!J22</f>
        <v>0</v>
      </c>
      <c r="J14" s="1180">
        <f>'02-SALESPLAN-OFR3'!K22</f>
        <v>0</v>
      </c>
      <c r="K14" s="1050">
        <f t="shared" si="7"/>
        <v>0</v>
      </c>
      <c r="L14" s="166"/>
      <c r="M14" s="239">
        <f t="shared" si="1"/>
        <v>0</v>
      </c>
      <c r="N14" s="242">
        <f t="shared" si="2"/>
        <v>0</v>
      </c>
      <c r="O14" s="242">
        <f t="shared" si="3"/>
        <v>0</v>
      </c>
      <c r="P14" s="242">
        <f t="shared" si="4"/>
        <v>0</v>
      </c>
      <c r="Q14" s="243">
        <f t="shared" si="5"/>
        <v>0</v>
      </c>
      <c r="R14" s="1052" t="e">
        <f t="shared" si="6"/>
        <v>#DIV/0!</v>
      </c>
    </row>
    <row r="15" spans="1:22" ht="7.5" customHeight="1" thickBot="1" x14ac:dyDescent="0.4">
      <c r="A15" s="5098"/>
      <c r="B15" s="5099"/>
      <c r="C15" s="5099"/>
      <c r="D15" s="5099"/>
      <c r="E15" s="5099"/>
      <c r="F15" s="5099"/>
      <c r="G15" s="5099"/>
      <c r="H15" s="5099"/>
      <c r="I15" s="5099"/>
      <c r="J15" s="5099"/>
      <c r="K15" s="5100"/>
      <c r="L15" s="166"/>
      <c r="M15" s="5094"/>
      <c r="N15" s="5095"/>
      <c r="O15" s="5095"/>
      <c r="P15" s="5095"/>
      <c r="Q15" s="5095"/>
      <c r="R15" s="5096"/>
    </row>
    <row r="16" spans="1:22" ht="15.5" thickTop="1" thickBot="1" x14ac:dyDescent="0.4">
      <c r="C16" s="5088" t="s">
        <v>436</v>
      </c>
      <c r="D16" s="5089"/>
      <c r="E16" s="5090"/>
      <c r="F16" s="1181">
        <f>SUM(F7:F15)</f>
        <v>0</v>
      </c>
      <c r="G16" s="241">
        <f>SUM(G7:G15)</f>
        <v>0</v>
      </c>
      <c r="H16" s="241">
        <f>SUM(H7:H15)</f>
        <v>0</v>
      </c>
      <c r="I16" s="241">
        <f>SUM(I7:I15)</f>
        <v>0</v>
      </c>
      <c r="J16" s="245">
        <f>SUM(J7:J15)</f>
        <v>0</v>
      </c>
      <c r="K16" s="1058">
        <f>SUM(F16:J16)</f>
        <v>0</v>
      </c>
      <c r="L16" s="168"/>
      <c r="M16" s="253">
        <f t="shared" ref="M16:R16" si="8">SUM(M7:M15)</f>
        <v>0</v>
      </c>
      <c r="N16" s="254">
        <f t="shared" si="8"/>
        <v>0</v>
      </c>
      <c r="O16" s="254">
        <f t="shared" si="8"/>
        <v>0</v>
      </c>
      <c r="P16" s="254">
        <f t="shared" si="8"/>
        <v>0</v>
      </c>
      <c r="Q16" s="255">
        <f t="shared" si="8"/>
        <v>0</v>
      </c>
      <c r="R16" s="1053" t="e">
        <f t="shared" si="8"/>
        <v>#DIV/0!</v>
      </c>
    </row>
    <row r="17" spans="1:18" ht="15.5" thickTop="1" thickBot="1" x14ac:dyDescent="0.4">
      <c r="C17" s="5091" t="s">
        <v>761</v>
      </c>
      <c r="D17" s="5092"/>
      <c r="E17" s="5093"/>
      <c r="F17" s="224"/>
      <c r="G17" s="215" t="str">
        <f>IF(F16=0,"",G16/F16)</f>
        <v/>
      </c>
      <c r="H17" s="215" t="e">
        <f>H16/G16</f>
        <v>#DIV/0!</v>
      </c>
      <c r="I17" s="215" t="e">
        <f>I16/H16</f>
        <v>#DIV/0!</v>
      </c>
      <c r="J17" s="246" t="e">
        <f>J16/I16</f>
        <v>#DIV/0!</v>
      </c>
      <c r="K17" s="1059"/>
      <c r="L17" s="167"/>
      <c r="M17" s="166"/>
      <c r="N17" s="166"/>
      <c r="O17" s="166"/>
      <c r="P17" s="166"/>
      <c r="Q17" s="166"/>
      <c r="R17" s="205"/>
    </row>
    <row r="18" spans="1:18" ht="13.5" thickTop="1" x14ac:dyDescent="0.3"/>
    <row r="20" spans="1:18" ht="13.5" thickBot="1" x14ac:dyDescent="0.35"/>
    <row r="21" spans="1:18" s="210" customFormat="1" ht="30.75" customHeight="1" thickTop="1" x14ac:dyDescent="0.35">
      <c r="A21" s="5085" t="s">
        <v>853</v>
      </c>
      <c r="B21" s="5086"/>
      <c r="C21" s="5086"/>
      <c r="D21" s="5086" t="s">
        <v>1200</v>
      </c>
      <c r="E21" s="5086"/>
      <c r="F21" s="225">
        <f t="shared" ref="F21:K21" si="9">F6</f>
        <v>2017</v>
      </c>
      <c r="G21" s="225">
        <f t="shared" si="9"/>
        <v>2018</v>
      </c>
      <c r="H21" s="225">
        <f t="shared" si="9"/>
        <v>2019</v>
      </c>
      <c r="I21" s="225">
        <f t="shared" si="9"/>
        <v>2020</v>
      </c>
      <c r="J21" s="244">
        <f t="shared" si="9"/>
        <v>2021</v>
      </c>
      <c r="K21" s="1045" t="str">
        <f t="shared" si="9"/>
        <v xml:space="preserve">Total </v>
      </c>
    </row>
    <row r="22" spans="1:18" ht="15.5" x14ac:dyDescent="0.35">
      <c r="A22" s="5076" t="str">
        <f t="shared" ref="A22:A29" si="10">A7</f>
        <v>Ventes directes seules</v>
      </c>
      <c r="B22" s="5077"/>
      <c r="C22" s="5077"/>
      <c r="D22" s="4623"/>
      <c r="E22" s="4623"/>
      <c r="F22" s="1174">
        <f t="shared" ref="F22:J29" si="11">IF($D22=0,0,F7/$D22)</f>
        <v>0</v>
      </c>
      <c r="G22" s="1174">
        <f t="shared" si="11"/>
        <v>0</v>
      </c>
      <c r="H22" s="1174">
        <f t="shared" si="11"/>
        <v>0</v>
      </c>
      <c r="I22" s="1174">
        <f t="shared" si="11"/>
        <v>0</v>
      </c>
      <c r="J22" s="1175">
        <f t="shared" si="11"/>
        <v>0</v>
      </c>
      <c r="K22" s="1574">
        <f t="shared" ref="K22:K29" si="12">SUM(G22:J22)</f>
        <v>0</v>
      </c>
    </row>
    <row r="23" spans="1:18" ht="15.5" x14ac:dyDescent="0.35">
      <c r="A23" s="5076" t="str">
        <f t="shared" si="10"/>
        <v>ESN</v>
      </c>
      <c r="B23" s="5077"/>
      <c r="C23" s="5077"/>
      <c r="D23" s="5082">
        <v>0.05</v>
      </c>
      <c r="E23" s="5082"/>
      <c r="F23" s="1182">
        <f t="shared" si="11"/>
        <v>0</v>
      </c>
      <c r="G23" s="295">
        <f t="shared" si="11"/>
        <v>0</v>
      </c>
      <c r="H23" s="295">
        <f t="shared" si="11"/>
        <v>0</v>
      </c>
      <c r="I23" s="295">
        <f t="shared" si="11"/>
        <v>0</v>
      </c>
      <c r="J23" s="1044">
        <f t="shared" si="11"/>
        <v>0</v>
      </c>
      <c r="K23" s="1046">
        <f t="shared" si="12"/>
        <v>0</v>
      </c>
    </row>
    <row r="24" spans="1:18" ht="15.5" x14ac:dyDescent="0.35">
      <c r="A24" s="5076" t="str">
        <f t="shared" si="10"/>
        <v>Centres de contact</v>
      </c>
      <c r="B24" s="5077"/>
      <c r="C24" s="5077"/>
      <c r="D24" s="5082">
        <v>0.04</v>
      </c>
      <c r="E24" s="5082"/>
      <c r="F24" s="1182">
        <f t="shared" si="11"/>
        <v>0</v>
      </c>
      <c r="G24" s="295">
        <f t="shared" si="11"/>
        <v>0</v>
      </c>
      <c r="H24" s="295">
        <f t="shared" si="11"/>
        <v>0</v>
      </c>
      <c r="I24" s="295">
        <f t="shared" si="11"/>
        <v>0</v>
      </c>
      <c r="J24" s="1044">
        <f t="shared" si="11"/>
        <v>0</v>
      </c>
      <c r="K24" s="1047">
        <f t="shared" si="12"/>
        <v>0</v>
      </c>
    </row>
    <row r="25" spans="1:18" ht="15.5" x14ac:dyDescent="0.35">
      <c r="A25" s="5076" t="str">
        <f t="shared" si="10"/>
        <v>Vars Nationaux</v>
      </c>
      <c r="B25" s="5077"/>
      <c r="C25" s="5077"/>
      <c r="D25" s="5082">
        <v>0.03</v>
      </c>
      <c r="E25" s="5082"/>
      <c r="F25" s="1182">
        <f t="shared" si="11"/>
        <v>0</v>
      </c>
      <c r="G25" s="295">
        <f t="shared" si="11"/>
        <v>0</v>
      </c>
      <c r="H25" s="295">
        <f t="shared" si="11"/>
        <v>0</v>
      </c>
      <c r="I25" s="295">
        <f t="shared" si="11"/>
        <v>0</v>
      </c>
      <c r="J25" s="1044">
        <f t="shared" si="11"/>
        <v>0</v>
      </c>
      <c r="K25" s="1046">
        <f t="shared" si="12"/>
        <v>0</v>
      </c>
    </row>
    <row r="26" spans="1:18" ht="15.5" x14ac:dyDescent="0.35">
      <c r="A26" s="5076" t="str">
        <f t="shared" si="10"/>
        <v>Editeurs</v>
      </c>
      <c r="B26" s="5077"/>
      <c r="C26" s="5077"/>
      <c r="D26" s="5082">
        <v>0.02</v>
      </c>
      <c r="E26" s="5082"/>
      <c r="F26" s="1182">
        <f t="shared" si="11"/>
        <v>0</v>
      </c>
      <c r="G26" s="295">
        <f t="shared" si="11"/>
        <v>0</v>
      </c>
      <c r="H26" s="295">
        <f t="shared" si="11"/>
        <v>0</v>
      </c>
      <c r="I26" s="295">
        <f t="shared" si="11"/>
        <v>0</v>
      </c>
      <c r="J26" s="1044">
        <f t="shared" si="11"/>
        <v>0</v>
      </c>
      <c r="K26" s="1046">
        <f t="shared" si="12"/>
        <v>0</v>
      </c>
    </row>
    <row r="27" spans="1:18" ht="15.5" x14ac:dyDescent="0.35">
      <c r="A27" s="5076" t="str">
        <f t="shared" si="10"/>
        <v>Web Agencies</v>
      </c>
      <c r="B27" s="5077"/>
      <c r="C27" s="5077"/>
      <c r="D27" s="5082">
        <v>0.01</v>
      </c>
      <c r="E27" s="5082"/>
      <c r="F27" s="1182">
        <f t="shared" si="11"/>
        <v>0</v>
      </c>
      <c r="G27" s="295">
        <f t="shared" si="11"/>
        <v>0</v>
      </c>
      <c r="H27" s="295">
        <f t="shared" si="11"/>
        <v>0</v>
      </c>
      <c r="I27" s="295">
        <f t="shared" si="11"/>
        <v>0</v>
      </c>
      <c r="J27" s="1044">
        <f t="shared" si="11"/>
        <v>0</v>
      </c>
      <c r="K27" s="1046">
        <f t="shared" si="12"/>
        <v>0</v>
      </c>
    </row>
    <row r="28" spans="1:18" ht="15.5" x14ac:dyDescent="0.35">
      <c r="A28" s="5076" t="str">
        <f t="shared" si="10"/>
        <v>Constructeurs</v>
      </c>
      <c r="B28" s="5077"/>
      <c r="C28" s="5077"/>
      <c r="D28" s="5082"/>
      <c r="E28" s="5082"/>
      <c r="F28" s="1182">
        <f t="shared" si="11"/>
        <v>0</v>
      </c>
      <c r="G28" s="295">
        <f t="shared" si="11"/>
        <v>0</v>
      </c>
      <c r="H28" s="295">
        <f t="shared" si="11"/>
        <v>0</v>
      </c>
      <c r="I28" s="295">
        <f t="shared" si="11"/>
        <v>0</v>
      </c>
      <c r="J28" s="1044">
        <f t="shared" si="11"/>
        <v>0</v>
      </c>
      <c r="K28" s="1046">
        <f t="shared" si="12"/>
        <v>0</v>
      </c>
    </row>
    <row r="29" spans="1:18" ht="15.5" x14ac:dyDescent="0.35">
      <c r="A29" s="5076" t="str">
        <f t="shared" si="10"/>
        <v>Hébergeurs</v>
      </c>
      <c r="B29" s="5077"/>
      <c r="C29" s="5077"/>
      <c r="D29" s="5082"/>
      <c r="E29" s="5082"/>
      <c r="F29" s="1182">
        <f t="shared" si="11"/>
        <v>0</v>
      </c>
      <c r="G29" s="295">
        <f t="shared" si="11"/>
        <v>0</v>
      </c>
      <c r="H29" s="295">
        <f t="shared" si="11"/>
        <v>0</v>
      </c>
      <c r="I29" s="295">
        <f t="shared" si="11"/>
        <v>0</v>
      </c>
      <c r="J29" s="1044">
        <f t="shared" si="11"/>
        <v>0</v>
      </c>
      <c r="K29" s="1046">
        <f t="shared" si="12"/>
        <v>0</v>
      </c>
    </row>
    <row r="30" spans="1:18" ht="7.5" customHeight="1" thickBot="1" x14ac:dyDescent="0.35">
      <c r="A30" s="5079"/>
      <c r="B30" s="5080"/>
      <c r="C30" s="5080"/>
      <c r="D30" s="5080"/>
      <c r="E30" s="5080"/>
      <c r="F30" s="5080"/>
      <c r="G30" s="5080"/>
      <c r="H30" s="5080"/>
      <c r="I30" s="5080"/>
      <c r="J30" s="5080"/>
      <c r="K30" s="5081"/>
    </row>
    <row r="31" spans="1:18" ht="16.5" thickTop="1" thickBot="1" x14ac:dyDescent="0.4">
      <c r="D31" s="5083" t="s">
        <v>127</v>
      </c>
      <c r="E31" s="5084"/>
      <c r="F31" s="1183">
        <f>SUM(F22:F30)</f>
        <v>0</v>
      </c>
      <c r="G31" s="223">
        <f>SUM(G22:G30)</f>
        <v>0</v>
      </c>
      <c r="H31" s="223">
        <f>SUM(H22:H30)</f>
        <v>0</v>
      </c>
      <c r="I31" s="223">
        <f>SUM(I22:I30)</f>
        <v>0</v>
      </c>
      <c r="J31" s="1054">
        <f>SUM(J22:J30)</f>
        <v>0</v>
      </c>
      <c r="K31" s="1055">
        <f>SUM(G31:J31)</f>
        <v>0</v>
      </c>
    </row>
    <row r="32" spans="1:18" ht="13.5" thickTop="1" x14ac:dyDescent="0.3"/>
    <row r="33" spans="1:18" ht="13.5" thickBot="1" x14ac:dyDescent="0.35"/>
    <row r="34" spans="1:18" s="210" customFormat="1" ht="46.5" customHeight="1" thickTop="1" x14ac:dyDescent="0.35">
      <c r="A34" s="5085" t="s">
        <v>854</v>
      </c>
      <c r="B34" s="5086"/>
      <c r="C34" s="5086"/>
      <c r="D34" s="5086" t="s">
        <v>1523</v>
      </c>
      <c r="E34" s="5086"/>
      <c r="F34" s="225">
        <f t="shared" ref="F34:K34" si="13">F6</f>
        <v>2017</v>
      </c>
      <c r="G34" s="225">
        <f t="shared" si="13"/>
        <v>2018</v>
      </c>
      <c r="H34" s="225">
        <f t="shared" si="13"/>
        <v>2019</v>
      </c>
      <c r="I34" s="244">
        <f t="shared" si="13"/>
        <v>2020</v>
      </c>
      <c r="J34" s="244">
        <f t="shared" si="13"/>
        <v>2021</v>
      </c>
      <c r="K34" s="1045" t="str">
        <f t="shared" si="13"/>
        <v xml:space="preserve">Total </v>
      </c>
    </row>
    <row r="35" spans="1:18" ht="15.75" customHeight="1" x14ac:dyDescent="0.35">
      <c r="A35" s="5076" t="str">
        <f t="shared" ref="A35:A42" si="14">A7</f>
        <v>Ventes directes seules</v>
      </c>
      <c r="B35" s="5077"/>
      <c r="C35" s="5077"/>
      <c r="D35" s="4623"/>
      <c r="E35" s="4623"/>
      <c r="F35" s="1174">
        <f>IF($D35=0,0,F20/$D35)</f>
        <v>0</v>
      </c>
      <c r="G35" s="1174">
        <f>IF($D35=0,0,G20/$D35)</f>
        <v>0</v>
      </c>
      <c r="H35" s="1174">
        <f>IF($D35=0,0,H20/$D35)</f>
        <v>0</v>
      </c>
      <c r="I35" s="1174">
        <f>IF($D35=0,0,I20/$D35)</f>
        <v>0</v>
      </c>
      <c r="J35" s="1175">
        <f>IF($D35=0,0,J20/$D35)</f>
        <v>0</v>
      </c>
      <c r="K35" s="1574">
        <f>SUM(G35:J35)</f>
        <v>0</v>
      </c>
    </row>
    <row r="36" spans="1:18" ht="15" customHeight="1" x14ac:dyDescent="0.35">
      <c r="A36" s="5076" t="str">
        <f t="shared" si="14"/>
        <v>ESN</v>
      </c>
      <c r="B36" s="5077"/>
      <c r="C36" s="5077"/>
      <c r="D36" s="5078">
        <v>2</v>
      </c>
      <c r="E36" s="5078"/>
      <c r="F36" s="1184">
        <f t="shared" ref="F36:J42" si="15">IF($D36=0,0,F23/$D36)</f>
        <v>0</v>
      </c>
      <c r="G36" s="214">
        <f t="shared" si="15"/>
        <v>0</v>
      </c>
      <c r="H36" s="214">
        <f t="shared" si="15"/>
        <v>0</v>
      </c>
      <c r="I36" s="214">
        <f t="shared" si="15"/>
        <v>0</v>
      </c>
      <c r="J36" s="247">
        <f t="shared" si="15"/>
        <v>0</v>
      </c>
      <c r="K36" s="1048">
        <f>SUM(G36:J36)</f>
        <v>0</v>
      </c>
    </row>
    <row r="37" spans="1:18" ht="15" customHeight="1" x14ac:dyDescent="0.35">
      <c r="A37" s="5076" t="str">
        <f t="shared" si="14"/>
        <v>Centres de contact</v>
      </c>
      <c r="B37" s="5077"/>
      <c r="C37" s="5077"/>
      <c r="D37" s="5078">
        <v>4</v>
      </c>
      <c r="E37" s="5078"/>
      <c r="F37" s="1184">
        <f t="shared" si="15"/>
        <v>0</v>
      </c>
      <c r="G37" s="214">
        <f t="shared" si="15"/>
        <v>0</v>
      </c>
      <c r="H37" s="214">
        <f t="shared" si="15"/>
        <v>0</v>
      </c>
      <c r="I37" s="214">
        <f t="shared" si="15"/>
        <v>0</v>
      </c>
      <c r="J37" s="247">
        <f t="shared" si="15"/>
        <v>0</v>
      </c>
      <c r="K37" s="1049">
        <f>SUM(G37:J37)</f>
        <v>0</v>
      </c>
    </row>
    <row r="38" spans="1:18" ht="15" customHeight="1" x14ac:dyDescent="0.35">
      <c r="A38" s="5076" t="str">
        <f t="shared" si="14"/>
        <v>Vars Nationaux</v>
      </c>
      <c r="B38" s="5077"/>
      <c r="C38" s="5077"/>
      <c r="D38" s="5078">
        <v>3</v>
      </c>
      <c r="E38" s="5078"/>
      <c r="F38" s="1184">
        <f t="shared" si="15"/>
        <v>0</v>
      </c>
      <c r="G38" s="214">
        <f t="shared" si="15"/>
        <v>0</v>
      </c>
      <c r="H38" s="214">
        <f t="shared" si="15"/>
        <v>0</v>
      </c>
      <c r="I38" s="214">
        <f t="shared" si="15"/>
        <v>0</v>
      </c>
      <c r="J38" s="247">
        <f t="shared" si="15"/>
        <v>0</v>
      </c>
      <c r="K38" s="1048">
        <f>SUM(G38:J38)</f>
        <v>0</v>
      </c>
    </row>
    <row r="39" spans="1:18" ht="15" customHeight="1" x14ac:dyDescent="0.35">
      <c r="A39" s="5076" t="str">
        <f t="shared" si="14"/>
        <v>Editeurs</v>
      </c>
      <c r="B39" s="5077"/>
      <c r="C39" s="5077"/>
      <c r="D39" s="5078">
        <v>2</v>
      </c>
      <c r="E39" s="5078"/>
      <c r="F39" s="1184">
        <f t="shared" si="15"/>
        <v>0</v>
      </c>
      <c r="G39" s="214">
        <f t="shared" si="15"/>
        <v>0</v>
      </c>
      <c r="H39" s="214">
        <f t="shared" si="15"/>
        <v>0</v>
      </c>
      <c r="I39" s="214">
        <f t="shared" si="15"/>
        <v>0</v>
      </c>
      <c r="J39" s="247">
        <f t="shared" si="15"/>
        <v>0</v>
      </c>
      <c r="K39" s="1048"/>
    </row>
    <row r="40" spans="1:18" ht="15" customHeight="1" x14ac:dyDescent="0.35">
      <c r="A40" s="5076" t="str">
        <f t="shared" si="14"/>
        <v>Web Agencies</v>
      </c>
      <c r="B40" s="5077"/>
      <c r="C40" s="5077"/>
      <c r="D40" s="5078">
        <v>1</v>
      </c>
      <c r="E40" s="5078"/>
      <c r="F40" s="1184">
        <f t="shared" si="15"/>
        <v>0</v>
      </c>
      <c r="G40" s="214">
        <f t="shared" si="15"/>
        <v>0</v>
      </c>
      <c r="H40" s="214">
        <f t="shared" si="15"/>
        <v>0</v>
      </c>
      <c r="I40" s="214">
        <f t="shared" si="15"/>
        <v>0</v>
      </c>
      <c r="J40" s="247">
        <f t="shared" si="15"/>
        <v>0</v>
      </c>
      <c r="K40" s="1048"/>
    </row>
    <row r="41" spans="1:18" ht="15" customHeight="1" x14ac:dyDescent="0.35">
      <c r="A41" s="5076" t="str">
        <f t="shared" si="14"/>
        <v>Constructeurs</v>
      </c>
      <c r="B41" s="5077"/>
      <c r="C41" s="5077"/>
      <c r="D41" s="5078"/>
      <c r="E41" s="5078"/>
      <c r="F41" s="1184">
        <f t="shared" si="15"/>
        <v>0</v>
      </c>
      <c r="G41" s="214">
        <f t="shared" si="15"/>
        <v>0</v>
      </c>
      <c r="H41" s="214">
        <f t="shared" si="15"/>
        <v>0</v>
      </c>
      <c r="I41" s="214">
        <f t="shared" si="15"/>
        <v>0</v>
      </c>
      <c r="J41" s="247">
        <f t="shared" si="15"/>
        <v>0</v>
      </c>
      <c r="K41" s="1048"/>
    </row>
    <row r="42" spans="1:18" ht="15" customHeight="1" x14ac:dyDescent="0.35">
      <c r="A42" s="5076" t="str">
        <f t="shared" si="14"/>
        <v>Hébergeurs</v>
      </c>
      <c r="B42" s="5077"/>
      <c r="C42" s="5077"/>
      <c r="D42" s="5078"/>
      <c r="E42" s="5078"/>
      <c r="F42" s="1184">
        <f t="shared" si="15"/>
        <v>0</v>
      </c>
      <c r="G42" s="214">
        <f t="shared" si="15"/>
        <v>0</v>
      </c>
      <c r="H42" s="214">
        <f t="shared" si="15"/>
        <v>0</v>
      </c>
      <c r="I42" s="214">
        <f t="shared" si="15"/>
        <v>0</v>
      </c>
      <c r="J42" s="247">
        <f t="shared" si="15"/>
        <v>0</v>
      </c>
      <c r="K42" s="1048"/>
    </row>
    <row r="43" spans="1:18" ht="15.75" customHeight="1" thickBot="1" x14ac:dyDescent="0.35">
      <c r="A43" s="5079"/>
      <c r="B43" s="5080"/>
      <c r="C43" s="5080"/>
      <c r="D43" s="5080"/>
      <c r="E43" s="5080"/>
      <c r="F43" s="5080"/>
      <c r="G43" s="5080"/>
      <c r="H43" s="5080"/>
      <c r="I43" s="5080"/>
      <c r="J43" s="5080"/>
      <c r="K43" s="5081"/>
    </row>
    <row r="44" spans="1:18" ht="15.5" thickTop="1" thickBot="1" x14ac:dyDescent="0.4">
      <c r="B44" s="5073" t="s">
        <v>1456</v>
      </c>
      <c r="C44" s="5074"/>
      <c r="D44" s="5074"/>
      <c r="E44" s="5075"/>
      <c r="F44" s="1185">
        <f t="shared" ref="F44:K44" si="16">SUM(F35:F43)</f>
        <v>0</v>
      </c>
      <c r="G44" s="222">
        <f t="shared" si="16"/>
        <v>0</v>
      </c>
      <c r="H44" s="222">
        <f t="shared" si="16"/>
        <v>0</v>
      </c>
      <c r="I44" s="222">
        <f t="shared" si="16"/>
        <v>0</v>
      </c>
      <c r="J44" s="248">
        <f t="shared" si="16"/>
        <v>0</v>
      </c>
      <c r="K44" s="1056">
        <f t="shared" si="16"/>
        <v>0</v>
      </c>
    </row>
    <row r="45" spans="1:18" ht="13.5" thickTop="1" x14ac:dyDescent="0.3">
      <c r="K45" s="1057"/>
    </row>
    <row r="47" spans="1:18" s="205" customFormat="1" ht="14.5" x14ac:dyDescent="0.35">
      <c r="F47" s="207"/>
      <c r="G47" s="206"/>
      <c r="H47" s="208"/>
      <c r="I47" s="209"/>
      <c r="J47" s="209"/>
      <c r="K47" s="209"/>
      <c r="L47" s="209"/>
      <c r="M47" s="167"/>
      <c r="N47" s="167"/>
    </row>
    <row r="48" spans="1:18" s="210" customFormat="1" ht="14.5" x14ac:dyDescent="0.35">
      <c r="R48" s="166"/>
    </row>
    <row r="49" spans="1:21" s="166" customFormat="1" ht="15" thickBot="1" x14ac:dyDescent="0.4"/>
    <row r="50" spans="1:21" s="60" customFormat="1" ht="20.25" customHeight="1" thickTop="1" thickBot="1" x14ac:dyDescent="0.4">
      <c r="A50" s="5057" t="s">
        <v>10</v>
      </c>
      <c r="B50" s="5058"/>
      <c r="C50" s="5058"/>
      <c r="D50" s="5058"/>
      <c r="E50" s="5058"/>
      <c r="F50" s="5058"/>
      <c r="G50" s="5058"/>
      <c r="H50" s="5058"/>
      <c r="I50" s="5058"/>
      <c r="J50" s="5058"/>
      <c r="K50" s="5059"/>
      <c r="L50" s="34"/>
      <c r="M50" s="4823" t="s">
        <v>748</v>
      </c>
      <c r="N50" s="4824"/>
      <c r="O50" s="4825"/>
      <c r="P50" s="34"/>
      <c r="Q50" s="64"/>
      <c r="R50" s="64"/>
      <c r="S50" s="64"/>
      <c r="T50" s="64"/>
      <c r="U50" s="64"/>
    </row>
    <row r="51" spans="1:21" s="60" customFormat="1" ht="20.25" customHeight="1" x14ac:dyDescent="0.35">
      <c r="A51" s="5060" t="s">
        <v>1463</v>
      </c>
      <c r="B51" s="5061"/>
      <c r="C51" s="5061"/>
      <c r="D51" s="5061"/>
      <c r="E51" s="5061"/>
      <c r="F51" s="5061"/>
      <c r="G51" s="5061"/>
      <c r="H51" s="5061"/>
      <c r="I51" s="5061"/>
      <c r="J51" s="5061"/>
      <c r="K51" s="5062"/>
      <c r="L51" s="35"/>
      <c r="M51" s="3750" t="s">
        <v>1457</v>
      </c>
      <c r="N51" s="5066"/>
      <c r="O51" s="3752"/>
      <c r="P51" s="35"/>
      <c r="Q51" s="64"/>
      <c r="R51" s="64"/>
      <c r="S51" s="64"/>
      <c r="T51" s="64"/>
      <c r="U51" s="64"/>
    </row>
    <row r="52" spans="1:21" s="60" customFormat="1" ht="20.25" customHeight="1" x14ac:dyDescent="0.35">
      <c r="A52" s="5060"/>
      <c r="B52" s="5061"/>
      <c r="C52" s="5061"/>
      <c r="D52" s="5061"/>
      <c r="E52" s="5061"/>
      <c r="F52" s="5061"/>
      <c r="G52" s="5061"/>
      <c r="H52" s="5061"/>
      <c r="I52" s="5061"/>
      <c r="J52" s="5061"/>
      <c r="K52" s="5062"/>
      <c r="L52" s="35"/>
      <c r="M52" s="3753"/>
      <c r="N52" s="3754"/>
      <c r="O52" s="5067"/>
      <c r="P52" s="35"/>
      <c r="Q52" s="64"/>
      <c r="R52" s="64"/>
      <c r="S52" s="64"/>
      <c r="T52" s="64"/>
      <c r="U52" s="64"/>
    </row>
    <row r="53" spans="1:21" s="60" customFormat="1" ht="20.25" customHeight="1" x14ac:dyDescent="0.35">
      <c r="A53" s="5060"/>
      <c r="B53" s="5061"/>
      <c r="C53" s="5061"/>
      <c r="D53" s="5061"/>
      <c r="E53" s="5061"/>
      <c r="F53" s="5061"/>
      <c r="G53" s="5061"/>
      <c r="H53" s="5061"/>
      <c r="I53" s="5061"/>
      <c r="J53" s="5061"/>
      <c r="K53" s="5062"/>
      <c r="L53" s="35"/>
      <c r="M53" s="3753"/>
      <c r="N53" s="3754"/>
      <c r="O53" s="5067"/>
      <c r="P53" s="35"/>
      <c r="Q53" s="64"/>
      <c r="R53" s="64"/>
      <c r="S53" s="64"/>
      <c r="T53" s="64"/>
      <c r="U53" s="64"/>
    </row>
    <row r="54" spans="1:21" s="60" customFormat="1" ht="20.25" customHeight="1" x14ac:dyDescent="0.35">
      <c r="A54" s="5060"/>
      <c r="B54" s="5061"/>
      <c r="C54" s="5061"/>
      <c r="D54" s="5061"/>
      <c r="E54" s="5061"/>
      <c r="F54" s="5061"/>
      <c r="G54" s="5061"/>
      <c r="H54" s="5061"/>
      <c r="I54" s="5061"/>
      <c r="J54" s="5061"/>
      <c r="K54" s="5062"/>
      <c r="L54" s="35"/>
      <c r="M54" s="3753"/>
      <c r="N54" s="3754"/>
      <c r="O54" s="5067"/>
      <c r="P54" s="35"/>
      <c r="Q54" s="64"/>
      <c r="R54" s="64"/>
      <c r="S54" s="64"/>
      <c r="T54" s="64"/>
      <c r="U54" s="64"/>
    </row>
    <row r="55" spans="1:21" s="60" customFormat="1" ht="20.25" customHeight="1" thickBot="1" x14ac:dyDescent="0.4">
      <c r="A55" s="5063"/>
      <c r="B55" s="5064"/>
      <c r="C55" s="5064"/>
      <c r="D55" s="5064"/>
      <c r="E55" s="5064"/>
      <c r="F55" s="5064"/>
      <c r="G55" s="5064"/>
      <c r="H55" s="5064"/>
      <c r="I55" s="5064"/>
      <c r="J55" s="5064"/>
      <c r="K55" s="5065"/>
      <c r="L55" s="35"/>
      <c r="M55" s="3756"/>
      <c r="N55" s="3757"/>
      <c r="O55" s="3758"/>
      <c r="P55" s="35"/>
      <c r="Q55" s="64"/>
      <c r="R55" s="64"/>
      <c r="S55" s="64"/>
      <c r="T55" s="64"/>
      <c r="U55" s="64"/>
    </row>
    <row r="56" spans="1:21" s="60" customFormat="1" ht="20.25" customHeight="1" thickTop="1" thickBot="1" x14ac:dyDescent="0.4">
      <c r="L56" s="64"/>
      <c r="M56" s="162"/>
      <c r="N56" s="162"/>
      <c r="O56" s="162"/>
      <c r="P56" s="64"/>
      <c r="Q56" s="64"/>
      <c r="R56" s="64"/>
      <c r="S56" s="64"/>
      <c r="T56" s="64"/>
      <c r="U56" s="64"/>
    </row>
    <row r="57" spans="1:21" s="60" customFormat="1" ht="20.25" customHeight="1" thickTop="1" thickBot="1" x14ac:dyDescent="0.4">
      <c r="A57" s="5057" t="s">
        <v>11</v>
      </c>
      <c r="B57" s="5068"/>
      <c r="C57" s="5068"/>
      <c r="D57" s="5068"/>
      <c r="E57" s="5068"/>
      <c r="F57" s="5068"/>
      <c r="G57" s="5068"/>
      <c r="H57" s="5068"/>
      <c r="I57" s="5068"/>
      <c r="J57" s="5068"/>
      <c r="K57" s="5069"/>
      <c r="L57" s="34"/>
      <c r="M57" s="163"/>
      <c r="N57" s="163"/>
      <c r="O57" s="163"/>
      <c r="P57" s="34"/>
      <c r="Q57" s="64"/>
      <c r="R57" s="64"/>
      <c r="S57" s="64"/>
      <c r="T57" s="64"/>
      <c r="U57" s="64"/>
    </row>
    <row r="58" spans="1:21" s="60" customFormat="1" ht="20.25" customHeight="1" thickBot="1" x14ac:dyDescent="0.4">
      <c r="A58" s="5060" t="s">
        <v>1258</v>
      </c>
      <c r="B58" s="5061"/>
      <c r="C58" s="5061"/>
      <c r="D58" s="5061"/>
      <c r="E58" s="5061"/>
      <c r="F58" s="5061"/>
      <c r="G58" s="5061"/>
      <c r="H58" s="5061"/>
      <c r="I58" s="5061"/>
      <c r="J58" s="5061"/>
      <c r="K58" s="5062"/>
      <c r="L58" s="35"/>
      <c r="M58" s="4823" t="s">
        <v>748</v>
      </c>
      <c r="N58" s="4824"/>
      <c r="O58" s="4825"/>
      <c r="P58" s="35"/>
      <c r="Q58" s="64"/>
      <c r="R58" s="64"/>
      <c r="S58" s="64"/>
      <c r="T58" s="64"/>
      <c r="U58" s="64"/>
    </row>
    <row r="59" spans="1:21" s="60" customFormat="1" ht="20.25" customHeight="1" x14ac:dyDescent="0.35">
      <c r="A59" s="5060"/>
      <c r="B59" s="5061"/>
      <c r="C59" s="5061"/>
      <c r="D59" s="5061"/>
      <c r="E59" s="5061"/>
      <c r="F59" s="5061"/>
      <c r="G59" s="5061"/>
      <c r="H59" s="5061"/>
      <c r="I59" s="5061"/>
      <c r="J59" s="5061"/>
      <c r="K59" s="5062"/>
      <c r="L59" s="35"/>
      <c r="M59" s="3750" t="s">
        <v>1260</v>
      </c>
      <c r="N59" s="5066"/>
      <c r="O59" s="3752"/>
      <c r="P59" s="35"/>
      <c r="Q59" s="64"/>
      <c r="R59" s="64"/>
      <c r="S59" s="64"/>
      <c r="T59" s="64"/>
      <c r="U59" s="64"/>
    </row>
    <row r="60" spans="1:21" s="60" customFormat="1" ht="20.25" customHeight="1" x14ac:dyDescent="0.35">
      <c r="A60" s="5060"/>
      <c r="B60" s="5061"/>
      <c r="C60" s="5061"/>
      <c r="D60" s="5061"/>
      <c r="E60" s="5061"/>
      <c r="F60" s="5061"/>
      <c r="G60" s="5061"/>
      <c r="H60" s="5061"/>
      <c r="I60" s="5061"/>
      <c r="J60" s="5061"/>
      <c r="K60" s="5062"/>
      <c r="L60" s="35"/>
      <c r="M60" s="3753"/>
      <c r="N60" s="3754"/>
      <c r="O60" s="5067"/>
      <c r="P60" s="35"/>
      <c r="Q60" s="64"/>
      <c r="R60" s="64"/>
      <c r="S60" s="64"/>
      <c r="T60" s="64"/>
      <c r="U60" s="64"/>
    </row>
    <row r="61" spans="1:21" s="60" customFormat="1" ht="20.25" customHeight="1" x14ac:dyDescent="0.35">
      <c r="A61" s="5060"/>
      <c r="B61" s="5061"/>
      <c r="C61" s="5061"/>
      <c r="D61" s="5061"/>
      <c r="E61" s="5061"/>
      <c r="F61" s="5061"/>
      <c r="G61" s="5061"/>
      <c r="H61" s="5061"/>
      <c r="I61" s="5061"/>
      <c r="J61" s="5061"/>
      <c r="K61" s="5062"/>
      <c r="L61" s="35"/>
      <c r="M61" s="3753"/>
      <c r="N61" s="3754"/>
      <c r="O61" s="5067"/>
      <c r="P61" s="35"/>
      <c r="Q61" s="64"/>
      <c r="R61" s="64"/>
      <c r="S61" s="64"/>
      <c r="T61" s="64"/>
      <c r="U61" s="64"/>
    </row>
    <row r="62" spans="1:21" s="60" customFormat="1" ht="14.5" x14ac:dyDescent="0.35">
      <c r="A62" s="5060"/>
      <c r="B62" s="5061"/>
      <c r="C62" s="5061"/>
      <c r="D62" s="5061"/>
      <c r="E62" s="5061"/>
      <c r="F62" s="5061"/>
      <c r="G62" s="5061"/>
      <c r="H62" s="5061"/>
      <c r="I62" s="5061"/>
      <c r="J62" s="5061"/>
      <c r="K62" s="5062"/>
      <c r="L62" s="35"/>
      <c r="M62" s="3753"/>
      <c r="N62" s="3754"/>
      <c r="O62" s="5067"/>
      <c r="P62" s="35"/>
      <c r="Q62" s="64"/>
      <c r="R62" s="64"/>
      <c r="S62" s="64"/>
      <c r="T62" s="64"/>
      <c r="U62" s="64"/>
    </row>
    <row r="63" spans="1:21" s="60" customFormat="1" ht="15" thickBot="1" x14ac:dyDescent="0.4">
      <c r="A63" s="5063"/>
      <c r="B63" s="5064"/>
      <c r="C63" s="5064"/>
      <c r="D63" s="5064"/>
      <c r="E63" s="5064"/>
      <c r="F63" s="5064"/>
      <c r="G63" s="5064"/>
      <c r="H63" s="5064"/>
      <c r="I63" s="5064"/>
      <c r="J63" s="5064"/>
      <c r="K63" s="5065"/>
      <c r="L63" s="64"/>
      <c r="M63" s="3756"/>
      <c r="N63" s="3757"/>
      <c r="O63" s="3758"/>
      <c r="P63" s="64"/>
      <c r="Q63" s="64"/>
      <c r="R63" s="64"/>
      <c r="S63" s="64"/>
      <c r="T63" s="64"/>
      <c r="U63" s="64"/>
    </row>
    <row r="64" spans="1:21" s="60" customFormat="1" ht="15" thickTop="1" x14ac:dyDescent="0.35"/>
    <row r="71" spans="1:14" x14ac:dyDescent="0.3">
      <c r="A71" s="45"/>
    </row>
    <row r="72" spans="1:14" ht="13.5" thickBot="1" x14ac:dyDescent="0.35">
      <c r="A72" s="50"/>
    </row>
    <row r="73" spans="1:14" ht="18.5" thickBot="1" x14ac:dyDescent="0.45">
      <c r="A73" s="50"/>
      <c r="G73" s="40"/>
      <c r="H73" s="40"/>
      <c r="I73" s="40"/>
      <c r="J73" s="5070" t="s">
        <v>771</v>
      </c>
      <c r="K73" s="5071"/>
      <c r="L73" s="5072"/>
      <c r="M73" s="40"/>
      <c r="N73" s="40"/>
    </row>
    <row r="74" spans="1:14" ht="13.5" thickBot="1" x14ac:dyDescent="0.35">
      <c r="A74" s="176"/>
      <c r="G74" s="184"/>
      <c r="H74" s="185"/>
      <c r="I74" s="185"/>
      <c r="J74" s="185"/>
      <c r="K74" s="185"/>
      <c r="L74" s="185"/>
      <c r="M74" s="185"/>
      <c r="N74" s="186"/>
    </row>
    <row r="75" spans="1:14" ht="13.5" thickBot="1" x14ac:dyDescent="0.35">
      <c r="G75" s="171" t="s">
        <v>779</v>
      </c>
      <c r="H75" s="172"/>
      <c r="I75" s="43"/>
      <c r="J75" s="43"/>
      <c r="K75" s="173">
        <f>F6</f>
        <v>2017</v>
      </c>
      <c r="L75" s="173">
        <f>G6</f>
        <v>2018</v>
      </c>
      <c r="M75" s="173">
        <f>H6</f>
        <v>2019</v>
      </c>
      <c r="N75" s="173">
        <f>I6</f>
        <v>2020</v>
      </c>
    </row>
    <row r="76" spans="1:14" ht="15" thickBot="1" x14ac:dyDescent="0.4">
      <c r="G76" s="44"/>
      <c r="H76" s="43"/>
      <c r="I76" s="43"/>
      <c r="J76" s="43"/>
      <c r="K76" s="249">
        <f>G16</f>
        <v>0</v>
      </c>
      <c r="L76" s="249">
        <f>H16</f>
        <v>0</v>
      </c>
      <c r="M76" s="249">
        <f>I16</f>
        <v>0</v>
      </c>
      <c r="N76" s="249">
        <f>J16</f>
        <v>0</v>
      </c>
    </row>
    <row r="77" spans="1:14" x14ac:dyDescent="0.3">
      <c r="G77" s="44"/>
      <c r="H77" s="43"/>
      <c r="I77" s="43"/>
      <c r="J77" s="43"/>
      <c r="K77" s="174"/>
      <c r="L77" s="174"/>
      <c r="M77" s="174"/>
      <c r="N77" s="175"/>
    </row>
    <row r="78" spans="1:14" x14ac:dyDescent="0.3">
      <c r="G78" s="171" t="s">
        <v>780</v>
      </c>
      <c r="H78" s="172"/>
      <c r="I78" s="43"/>
      <c r="J78" s="43"/>
      <c r="K78" s="43"/>
      <c r="L78" s="43"/>
      <c r="M78" s="43"/>
      <c r="N78" s="46"/>
    </row>
    <row r="79" spans="1:14" x14ac:dyDescent="0.3">
      <c r="G79" s="5055" t="str">
        <f t="shared" ref="G79:G84" si="17">A35</f>
        <v>Ventes directes seules</v>
      </c>
      <c r="H79" s="5056"/>
      <c r="I79" s="43">
        <f t="shared" ref="I79:I84" si="18">C35</f>
        <v>0</v>
      </c>
      <c r="J79" s="250">
        <f t="shared" ref="J79:J84" si="19">D22</f>
        <v>0</v>
      </c>
      <c r="K79" s="43"/>
      <c r="L79" s="43"/>
      <c r="M79" s="43"/>
      <c r="N79" s="46"/>
    </row>
    <row r="80" spans="1:14" x14ac:dyDescent="0.3">
      <c r="G80" s="5055" t="str">
        <f t="shared" si="17"/>
        <v>ESN</v>
      </c>
      <c r="H80" s="5056">
        <f>B36</f>
        <v>0</v>
      </c>
      <c r="I80" s="43">
        <f t="shared" si="18"/>
        <v>0</v>
      </c>
      <c r="J80" s="250">
        <f t="shared" si="19"/>
        <v>0.05</v>
      </c>
      <c r="K80" s="43"/>
      <c r="L80" s="43"/>
      <c r="M80" s="43"/>
      <c r="N80" s="46"/>
    </row>
    <row r="81" spans="7:14" x14ac:dyDescent="0.3">
      <c r="G81" s="5055" t="str">
        <f t="shared" si="17"/>
        <v>Centres de contact</v>
      </c>
      <c r="H81" s="5056">
        <f>B37</f>
        <v>0</v>
      </c>
      <c r="I81" s="43">
        <f t="shared" si="18"/>
        <v>0</v>
      </c>
      <c r="J81" s="250">
        <f t="shared" si="19"/>
        <v>0.04</v>
      </c>
      <c r="K81" s="43"/>
      <c r="L81" s="43"/>
      <c r="M81" s="43"/>
      <c r="N81" s="46"/>
    </row>
    <row r="82" spans="7:14" x14ac:dyDescent="0.3">
      <c r="G82" s="5055" t="str">
        <f t="shared" si="17"/>
        <v>Vars Nationaux</v>
      </c>
      <c r="H82" s="5056">
        <f>B38</f>
        <v>0</v>
      </c>
      <c r="I82" s="43">
        <f t="shared" si="18"/>
        <v>0</v>
      </c>
      <c r="J82" s="250">
        <f t="shared" si="19"/>
        <v>0.03</v>
      </c>
      <c r="K82" s="178"/>
      <c r="L82" s="43"/>
      <c r="M82" s="43"/>
      <c r="N82" s="46"/>
    </row>
    <row r="83" spans="7:14" x14ac:dyDescent="0.3">
      <c r="G83" s="5055" t="str">
        <f t="shared" si="17"/>
        <v>Editeurs</v>
      </c>
      <c r="H83" s="5056">
        <f>B39</f>
        <v>0</v>
      </c>
      <c r="I83" s="43">
        <f t="shared" si="18"/>
        <v>0</v>
      </c>
      <c r="J83" s="250">
        <f t="shared" si="19"/>
        <v>0.02</v>
      </c>
      <c r="K83" s="178"/>
      <c r="L83" s="43"/>
      <c r="M83" s="43"/>
      <c r="N83" s="46"/>
    </row>
    <row r="84" spans="7:14" x14ac:dyDescent="0.3">
      <c r="G84" s="5055" t="str">
        <f t="shared" si="17"/>
        <v>Web Agencies</v>
      </c>
      <c r="H84" s="5056">
        <f>B40</f>
        <v>0</v>
      </c>
      <c r="I84" s="43">
        <f t="shared" si="18"/>
        <v>0</v>
      </c>
      <c r="J84" s="250">
        <f t="shared" si="19"/>
        <v>0.01</v>
      </c>
      <c r="K84" s="43"/>
      <c r="L84" s="43"/>
      <c r="M84" s="43"/>
      <c r="N84" s="46"/>
    </row>
    <row r="85" spans="7:14" x14ac:dyDescent="0.3">
      <c r="G85" s="44"/>
      <c r="H85" s="43"/>
      <c r="I85" s="43"/>
      <c r="J85" s="43"/>
      <c r="K85" s="174"/>
      <c r="L85" s="174"/>
      <c r="M85" s="174"/>
      <c r="N85" s="175"/>
    </row>
    <row r="86" spans="7:14" x14ac:dyDescent="0.3">
      <c r="G86" s="171" t="s">
        <v>855</v>
      </c>
      <c r="H86" s="172"/>
      <c r="I86" s="43"/>
      <c r="J86" s="43"/>
      <c r="K86" s="43"/>
      <c r="L86" s="43"/>
      <c r="M86" s="43"/>
      <c r="N86" s="46"/>
    </row>
    <row r="87" spans="7:14" x14ac:dyDescent="0.3">
      <c r="G87" s="5055" t="str">
        <f t="shared" ref="G87:G92" si="20">A35</f>
        <v>Ventes directes seules</v>
      </c>
      <c r="H87" s="5056" t="e">
        <f>#REF!</f>
        <v>#REF!</v>
      </c>
      <c r="I87" s="43"/>
      <c r="J87" s="251">
        <f t="shared" ref="J87:K91" si="21">D35</f>
        <v>0</v>
      </c>
      <c r="K87" s="43">
        <f t="shared" si="21"/>
        <v>0</v>
      </c>
      <c r="L87" s="43"/>
      <c r="M87" s="43"/>
      <c r="N87" s="46"/>
    </row>
    <row r="88" spans="7:14" x14ac:dyDescent="0.3">
      <c r="G88" s="5055" t="str">
        <f t="shared" si="20"/>
        <v>ESN</v>
      </c>
      <c r="H88" s="5056" t="e">
        <f>#REF!</f>
        <v>#REF!</v>
      </c>
      <c r="I88" s="43"/>
      <c r="J88" s="251">
        <f t="shared" si="21"/>
        <v>2</v>
      </c>
      <c r="K88" s="43">
        <f t="shared" si="21"/>
        <v>0</v>
      </c>
      <c r="L88" s="43"/>
      <c r="M88" s="43"/>
      <c r="N88" s="46"/>
    </row>
    <row r="89" spans="7:14" x14ac:dyDescent="0.3">
      <c r="G89" s="5055" t="str">
        <f t="shared" si="20"/>
        <v>Centres de contact</v>
      </c>
      <c r="H89" s="5056">
        <f>B43</f>
        <v>0</v>
      </c>
      <c r="I89" s="43">
        <f>C43</f>
        <v>0</v>
      </c>
      <c r="J89" s="251">
        <f t="shared" si="21"/>
        <v>4</v>
      </c>
      <c r="K89" s="43">
        <f t="shared" si="21"/>
        <v>0</v>
      </c>
      <c r="L89" s="43"/>
      <c r="M89" s="43"/>
      <c r="N89" s="46"/>
    </row>
    <row r="90" spans="7:14" x14ac:dyDescent="0.3">
      <c r="G90" s="5055" t="str">
        <f t="shared" si="20"/>
        <v>Vars Nationaux</v>
      </c>
      <c r="H90" s="5056"/>
      <c r="I90" s="43">
        <f>C44</f>
        <v>0</v>
      </c>
      <c r="J90" s="251">
        <f t="shared" si="21"/>
        <v>3</v>
      </c>
      <c r="K90" s="178">
        <f t="shared" si="21"/>
        <v>0</v>
      </c>
      <c r="L90" s="43"/>
      <c r="M90" s="43"/>
      <c r="N90" s="46"/>
    </row>
    <row r="91" spans="7:14" x14ac:dyDescent="0.3">
      <c r="G91" s="5055" t="str">
        <f t="shared" si="20"/>
        <v>Editeurs</v>
      </c>
      <c r="H91" s="5056">
        <f>B45</f>
        <v>0</v>
      </c>
      <c r="I91" s="43">
        <f>C45</f>
        <v>0</v>
      </c>
      <c r="J91" s="251">
        <f t="shared" si="21"/>
        <v>2</v>
      </c>
      <c r="K91" s="178">
        <f t="shared" si="21"/>
        <v>0</v>
      </c>
      <c r="L91" s="43"/>
      <c r="M91" s="43"/>
      <c r="N91" s="46"/>
    </row>
    <row r="92" spans="7:14" x14ac:dyDescent="0.3">
      <c r="G92" s="5055" t="str">
        <f t="shared" si="20"/>
        <v>Web Agencies</v>
      </c>
      <c r="H92" s="5056">
        <f>B46</f>
        <v>0</v>
      </c>
      <c r="I92" s="43">
        <f>C46</f>
        <v>0</v>
      </c>
      <c r="J92" s="251">
        <f>D40</f>
        <v>1</v>
      </c>
      <c r="K92" s="178"/>
      <c r="L92" s="43"/>
      <c r="M92" s="43"/>
      <c r="N92" s="46"/>
    </row>
    <row r="93" spans="7:14" x14ac:dyDescent="0.3">
      <c r="G93" s="1583"/>
      <c r="H93" s="1584"/>
      <c r="I93" s="43"/>
      <c r="J93" s="251"/>
      <c r="K93" s="178"/>
      <c r="L93" s="43"/>
      <c r="M93" s="43"/>
      <c r="N93" s="46"/>
    </row>
    <row r="94" spans="7:14" ht="13.5" thickBot="1" x14ac:dyDescent="0.35">
      <c r="G94" s="171" t="s">
        <v>781</v>
      </c>
      <c r="H94" s="172"/>
      <c r="I94" s="43"/>
      <c r="J94" s="43"/>
      <c r="K94" s="43"/>
      <c r="L94" s="43"/>
      <c r="M94" s="43"/>
      <c r="N94" s="46"/>
    </row>
    <row r="95" spans="7:14" ht="13.5" thickBot="1" x14ac:dyDescent="0.35">
      <c r="G95" s="44"/>
      <c r="H95" s="43"/>
      <c r="I95" s="43"/>
      <c r="J95" s="43"/>
      <c r="K95" s="173">
        <f>K75</f>
        <v>2017</v>
      </c>
      <c r="L95" s="173">
        <f>L75</f>
        <v>2018</v>
      </c>
      <c r="M95" s="173">
        <f>M75</f>
        <v>2019</v>
      </c>
      <c r="N95" s="173">
        <f>N75</f>
        <v>2020</v>
      </c>
    </row>
    <row r="96" spans="7:14" ht="15" thickTop="1" x14ac:dyDescent="0.35">
      <c r="G96" s="177" t="s">
        <v>782</v>
      </c>
      <c r="H96" s="43"/>
      <c r="I96" s="43"/>
      <c r="J96" s="43"/>
      <c r="K96" s="187">
        <f>G44</f>
        <v>0</v>
      </c>
      <c r="L96" s="187">
        <f>H44</f>
        <v>0</v>
      </c>
      <c r="M96" s="187">
        <f>I44</f>
        <v>0</v>
      </c>
      <c r="N96" s="187">
        <f>J44</f>
        <v>0</v>
      </c>
    </row>
    <row r="97" spans="7:14" x14ac:dyDescent="0.3">
      <c r="G97" s="179" t="s">
        <v>856</v>
      </c>
      <c r="H97" s="43"/>
      <c r="I97" s="43"/>
      <c r="J97" s="43"/>
      <c r="K97" s="252">
        <v>0.5</v>
      </c>
      <c r="L97" s="252">
        <v>0.4</v>
      </c>
      <c r="M97" s="252">
        <v>0.3</v>
      </c>
      <c r="N97" s="252">
        <v>0.2</v>
      </c>
    </row>
    <row r="98" spans="7:14" x14ac:dyDescent="0.3">
      <c r="G98" s="177" t="s">
        <v>1524</v>
      </c>
      <c r="H98" s="43"/>
      <c r="I98" s="43"/>
      <c r="J98" s="43"/>
      <c r="K98" s="1186">
        <f>K96/(100%-K97)</f>
        <v>0</v>
      </c>
      <c r="L98" s="1186">
        <f>L96/(100%-L97)</f>
        <v>0</v>
      </c>
      <c r="M98" s="1186">
        <f>M96/(100%-M97)</f>
        <v>0</v>
      </c>
      <c r="N98" s="1186">
        <f>N96/(100%-N97)</f>
        <v>0</v>
      </c>
    </row>
    <row r="99" spans="7:14" ht="13.5" thickBot="1" x14ac:dyDescent="0.35">
      <c r="G99" s="44"/>
      <c r="H99" s="43"/>
      <c r="I99" s="43"/>
      <c r="J99" s="43"/>
      <c r="K99" s="180"/>
      <c r="L99" s="180"/>
      <c r="M99" s="180"/>
      <c r="N99" s="188"/>
    </row>
    <row r="100" spans="7:14" x14ac:dyDescent="0.3">
      <c r="G100" s="44"/>
      <c r="H100" s="43"/>
      <c r="I100" s="43"/>
      <c r="J100" s="43"/>
      <c r="K100" s="43"/>
      <c r="L100" s="43"/>
      <c r="M100" s="43"/>
      <c r="N100" s="46"/>
    </row>
    <row r="101" spans="7:14" x14ac:dyDescent="0.3">
      <c r="G101" s="44"/>
      <c r="H101" s="43"/>
      <c r="I101" s="43"/>
      <c r="J101" s="43"/>
      <c r="K101" s="43"/>
      <c r="L101" s="43"/>
      <c r="M101" s="43"/>
      <c r="N101" s="46"/>
    </row>
    <row r="102" spans="7:14" x14ac:dyDescent="0.3">
      <c r="G102" s="44"/>
      <c r="H102" s="43"/>
      <c r="I102" s="43"/>
      <c r="J102" s="43"/>
      <c r="K102" s="43"/>
      <c r="L102" s="43"/>
      <c r="M102" s="43"/>
      <c r="N102" s="46"/>
    </row>
    <row r="103" spans="7:14" ht="13.5" thickBot="1" x14ac:dyDescent="0.35">
      <c r="G103" s="181"/>
      <c r="H103" s="182"/>
      <c r="I103" s="182"/>
      <c r="J103" s="182"/>
      <c r="K103" s="182"/>
      <c r="L103" s="182"/>
      <c r="M103" s="182"/>
      <c r="N103" s="183"/>
    </row>
    <row r="104" spans="7:14" x14ac:dyDescent="0.3">
      <c r="G104" s="40"/>
      <c r="H104" s="40"/>
      <c r="I104" s="40"/>
      <c r="J104" s="40"/>
      <c r="K104" s="40"/>
      <c r="L104" s="40"/>
      <c r="M104" s="40"/>
      <c r="N104" s="40"/>
    </row>
  </sheetData>
  <mergeCells count="94">
    <mergeCell ref="D3:G3"/>
    <mergeCell ref="D1:G1"/>
    <mergeCell ref="I1:J1"/>
    <mergeCell ref="L1:M1"/>
    <mergeCell ref="D2:G2"/>
    <mergeCell ref="I2:J2"/>
    <mergeCell ref="L2:M2"/>
    <mergeCell ref="A4:G4"/>
    <mergeCell ref="H4:P4"/>
    <mergeCell ref="A5:B5"/>
    <mergeCell ref="C5:P5"/>
    <mergeCell ref="A6:C6"/>
    <mergeCell ref="D6:E6"/>
    <mergeCell ref="A7:C7"/>
    <mergeCell ref="D7:E7"/>
    <mergeCell ref="A8:C8"/>
    <mergeCell ref="D8:E8"/>
    <mergeCell ref="A9:C9"/>
    <mergeCell ref="D9:E9"/>
    <mergeCell ref="M15:R15"/>
    <mergeCell ref="A10:C10"/>
    <mergeCell ref="D10:E10"/>
    <mergeCell ref="A11:C11"/>
    <mergeCell ref="D11:E11"/>
    <mergeCell ref="A12:C12"/>
    <mergeCell ref="D12:E12"/>
    <mergeCell ref="A13:C13"/>
    <mergeCell ref="D13:E13"/>
    <mergeCell ref="A14:C14"/>
    <mergeCell ref="D14:E14"/>
    <mergeCell ref="A15:K15"/>
    <mergeCell ref="C16:E16"/>
    <mergeCell ref="C17:E17"/>
    <mergeCell ref="A21:C21"/>
    <mergeCell ref="D21:E21"/>
    <mergeCell ref="A22:C22"/>
    <mergeCell ref="D22:E22"/>
    <mergeCell ref="A23:C23"/>
    <mergeCell ref="D23:E23"/>
    <mergeCell ref="A24:C24"/>
    <mergeCell ref="D24:E24"/>
    <mergeCell ref="A25:C25"/>
    <mergeCell ref="D25:E25"/>
    <mergeCell ref="A26:C26"/>
    <mergeCell ref="D26:E26"/>
    <mergeCell ref="A27:C27"/>
    <mergeCell ref="D27:E27"/>
    <mergeCell ref="A28:C28"/>
    <mergeCell ref="D28:E28"/>
    <mergeCell ref="A29:C29"/>
    <mergeCell ref="D29:E29"/>
    <mergeCell ref="A30:K30"/>
    <mergeCell ref="D31:E31"/>
    <mergeCell ref="A34:C34"/>
    <mergeCell ref="D34:E34"/>
    <mergeCell ref="A35:C35"/>
    <mergeCell ref="D35:E35"/>
    <mergeCell ref="A36:C36"/>
    <mergeCell ref="D36:E36"/>
    <mergeCell ref="A37:C37"/>
    <mergeCell ref="D37:E37"/>
    <mergeCell ref="B44:E44"/>
    <mergeCell ref="A38:C38"/>
    <mergeCell ref="D38:E38"/>
    <mergeCell ref="A39:C39"/>
    <mergeCell ref="D39:E39"/>
    <mergeCell ref="A40:C40"/>
    <mergeCell ref="D40:E40"/>
    <mergeCell ref="A41:C41"/>
    <mergeCell ref="D41:E41"/>
    <mergeCell ref="A42:C42"/>
    <mergeCell ref="D42:E42"/>
    <mergeCell ref="A43:K43"/>
    <mergeCell ref="G83:H83"/>
    <mergeCell ref="A50:K50"/>
    <mergeCell ref="M50:O50"/>
    <mergeCell ref="A51:K55"/>
    <mergeCell ref="M51:O55"/>
    <mergeCell ref="A57:K57"/>
    <mergeCell ref="A58:K63"/>
    <mergeCell ref="M58:O58"/>
    <mergeCell ref="M59:O63"/>
    <mergeCell ref="J73:L73"/>
    <mergeCell ref="G79:H79"/>
    <mergeCell ref="G80:H80"/>
    <mergeCell ref="G81:H81"/>
    <mergeCell ref="G82:H82"/>
    <mergeCell ref="G92:H92"/>
    <mergeCell ref="G84:H84"/>
    <mergeCell ref="G87:H87"/>
    <mergeCell ref="G88:H88"/>
    <mergeCell ref="G89:H89"/>
    <mergeCell ref="G90:H90"/>
    <mergeCell ref="G91:H9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J2" xr:uid="{00000000-0002-0000-5800-000000000000}">
      <formula1>AvancementTheme</formula1>
    </dataValidation>
  </dataValidations>
  <hyperlinks>
    <hyperlink ref="O1" location="DPDV_02DL3" display="PdV" xr:uid="{00000000-0004-0000-5800-000000000000}"/>
    <hyperlink ref="P1" location="DKPI_02DL3" display="KPI's" xr:uid="{00000000-0004-0000-5800-000001000000}"/>
  </hyperlinks>
  <pageMargins left="0.70866141732283472" right="0.70866141732283472" top="0.74803149606299213" bottom="0.74803149606299213" header="0.31496062992125984" footer="0.31496062992125984"/>
  <pageSetup paperSize="9" scale="42" orientation="portrait" r:id="rId1"/>
  <headerFooter>
    <oddHeader>&amp;LPAD Methodology (c) 2013-2014&amp;RStrategic Management Workshop</oddHeader>
    <oddFooter>&amp;L&amp;F&amp;C&amp;A&amp;RSituation au : &amp;D - page : &amp;P/&amp;N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euil8">
    <tabColor rgb="FF92D050"/>
    <pageSetUpPr fitToPage="1"/>
  </sheetPr>
  <dimension ref="A1:Q120"/>
  <sheetViews>
    <sheetView showGridLines="0" showRowColHeaders="0" zoomScale="120" zoomScaleNormal="120" workbookViewId="0">
      <pane ySplit="8" topLeftCell="A21" activePane="bottomLeft" state="frozen"/>
      <selection activeCell="C5" sqref="C5:P5"/>
      <selection pane="bottomLeft" activeCell="C5" sqref="C5:P5"/>
    </sheetView>
  </sheetViews>
  <sheetFormatPr baseColWidth="10" defaultColWidth="11.453125" defaultRowHeight="14.5" x14ac:dyDescent="0.35"/>
  <cols>
    <col min="1" max="3" width="11.453125" style="60"/>
    <col min="4" max="4" width="29.54296875" style="60" customWidth="1"/>
    <col min="5" max="11" width="11.453125" style="60"/>
    <col min="12" max="12" width="12.81640625" style="60" customWidth="1"/>
    <col min="13" max="14" width="11.453125" style="60"/>
    <col min="15" max="15" width="11.453125" style="60" customWidth="1"/>
    <col min="16" max="16384" width="11.453125" style="60"/>
  </cols>
  <sheetData>
    <row r="1" spans="1:17"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458"/>
    </row>
    <row r="2" spans="1:17" s="58" customFormat="1" ht="18" customHeight="1" x14ac:dyDescent="0.35">
      <c r="A2" s="393"/>
      <c r="B2" s="393"/>
      <c r="C2" s="393"/>
      <c r="D2" s="3342" t="str">
        <f>NomClient</f>
        <v xml:space="preserve">EQUINIX </v>
      </c>
      <c r="E2" s="3343"/>
      <c r="F2" s="3343"/>
      <c r="G2" s="3344"/>
      <c r="H2" s="393"/>
      <c r="I2" s="3345" t="s">
        <v>407</v>
      </c>
      <c r="J2" s="3346"/>
      <c r="K2" s="393"/>
      <c r="L2" s="3347">
        <v>42534.904039351852</v>
      </c>
      <c r="M2" s="3348"/>
      <c r="N2" s="394"/>
      <c r="O2" s="451">
        <f>IF(LEN(DPDV_02ST)&gt;0,LEN(DPDV_02ST),0-PDV_NBmini)</f>
        <v>105</v>
      </c>
      <c r="P2" s="451">
        <f>IF(LEN(DKPI_02ST)&gt;0,LEN(DKPI_02ST),0-KPI_NBmini)</f>
        <v>37</v>
      </c>
      <c r="Q2" s="459"/>
    </row>
    <row r="3" spans="1:17" ht="12.75" customHeight="1" thickBot="1" x14ac:dyDescent="0.4">
      <c r="A3" s="396"/>
      <c r="B3" s="396"/>
      <c r="C3" s="396"/>
      <c r="D3" s="3696" t="s">
        <v>1792</v>
      </c>
      <c r="E3" s="3696"/>
      <c r="F3" s="3696"/>
      <c r="G3" s="3696"/>
      <c r="H3" s="396"/>
      <c r="I3" s="396"/>
      <c r="J3" s="396"/>
      <c r="K3" s="396"/>
      <c r="L3" s="396"/>
      <c r="M3" s="396"/>
      <c r="N3" s="396"/>
      <c r="O3" s="396"/>
      <c r="P3" s="396"/>
      <c r="Q3" s="64"/>
    </row>
    <row r="4" spans="1:17" s="1" customFormat="1" ht="24.75" customHeight="1" thickBot="1" x14ac:dyDescent="0.4">
      <c r="A4" s="6486"/>
      <c r="B4" s="6486"/>
      <c r="C4" s="4040" t="str">
        <f>Parametre!B24 &amp; "  : "</f>
        <v xml:space="preserve">Vision, Attente &amp; Stratégie  : </v>
      </c>
      <c r="D4" s="4040"/>
      <c r="E4" s="4040"/>
      <c r="F4" s="4040"/>
      <c r="G4" s="4040"/>
      <c r="H4" s="4038" t="s">
        <v>849</v>
      </c>
      <c r="I4" s="4038"/>
      <c r="J4" s="4038"/>
      <c r="K4" s="4038"/>
      <c r="L4" s="4038"/>
      <c r="M4" s="4038"/>
      <c r="N4" s="4038"/>
      <c r="O4" s="4038"/>
      <c r="P4" s="4039"/>
      <c r="Q4" s="444"/>
    </row>
    <row r="5" spans="1:17" s="193" customFormat="1" ht="22.5" customHeight="1" thickBot="1" x14ac:dyDescent="0.4">
      <c r="A5" s="3438" t="s">
        <v>14</v>
      </c>
      <c r="B5" s="3438"/>
      <c r="C5" s="3439" t="s">
        <v>1982</v>
      </c>
      <c r="D5" s="3439"/>
      <c r="E5" s="3439"/>
      <c r="F5" s="3439"/>
      <c r="G5" s="3439"/>
      <c r="H5" s="3439"/>
      <c r="I5" s="3439"/>
      <c r="J5" s="3439"/>
      <c r="K5" s="3439"/>
      <c r="L5" s="3439"/>
      <c r="M5" s="3439"/>
      <c r="N5" s="3439"/>
      <c r="O5" s="3439"/>
      <c r="P5" s="3439"/>
      <c r="Q5" s="460"/>
    </row>
    <row r="6" spans="1:17" s="61" customFormat="1" ht="28.5" customHeight="1" thickTop="1" thickBot="1" x14ac:dyDescent="0.4">
      <c r="A6" s="465"/>
      <c r="B6" s="6568" t="s">
        <v>17</v>
      </c>
      <c r="C6" s="6569"/>
      <c r="D6" s="6570"/>
      <c r="E6" s="6566" t="str">
        <f>NomProd1</f>
        <v>EQUINIX</v>
      </c>
      <c r="F6" s="6567"/>
      <c r="G6" s="6566" t="str">
        <f>NomProd2</f>
        <v>ASEMA</v>
      </c>
      <c r="H6" s="6567"/>
      <c r="I6" s="6573">
        <f>NomProd3</f>
        <v>0</v>
      </c>
      <c r="J6" s="6574"/>
      <c r="K6" s="6565"/>
      <c r="L6" s="6346"/>
      <c r="M6" s="6346"/>
      <c r="N6" s="6346"/>
      <c r="O6" s="6346"/>
      <c r="P6" s="6346"/>
      <c r="Q6" s="461"/>
    </row>
    <row r="7" spans="1:17" s="61" customFormat="1" ht="20.25" customHeight="1" thickTop="1" x14ac:dyDescent="0.35">
      <c r="A7" s="6501" t="s">
        <v>534</v>
      </c>
      <c r="B7" s="6502"/>
      <c r="C7" s="6502"/>
      <c r="D7" s="6502"/>
      <c r="E7" s="6494" t="s">
        <v>16</v>
      </c>
      <c r="F7" s="6495"/>
      <c r="G7" s="6494" t="s">
        <v>16</v>
      </c>
      <c r="H7" s="6495"/>
      <c r="I7" s="6571" t="s">
        <v>16</v>
      </c>
      <c r="J7" s="6571"/>
      <c r="K7" s="6506" t="s">
        <v>18</v>
      </c>
      <c r="L7" s="6507"/>
      <c r="M7" s="6507"/>
      <c r="N7" s="6507"/>
      <c r="O7" s="6507"/>
      <c r="P7" s="6508"/>
      <c r="Q7" s="461"/>
    </row>
    <row r="8" spans="1:17" s="61" customFormat="1" ht="27" customHeight="1" x14ac:dyDescent="0.35">
      <c r="A8" s="6503"/>
      <c r="B8" s="6504"/>
      <c r="C8" s="6504"/>
      <c r="D8" s="6504"/>
      <c r="E8" s="6496"/>
      <c r="F8" s="6497"/>
      <c r="G8" s="6496"/>
      <c r="H8" s="6497"/>
      <c r="I8" s="6572"/>
      <c r="J8" s="6572"/>
      <c r="K8" s="6496"/>
      <c r="L8" s="6509"/>
      <c r="M8" s="6509"/>
      <c r="N8" s="6509"/>
      <c r="O8" s="6509"/>
      <c r="P8" s="6510"/>
      <c r="Q8" s="461"/>
    </row>
    <row r="9" spans="1:17" s="66" customFormat="1" ht="5.25" customHeight="1" x14ac:dyDescent="0.35">
      <c r="A9" s="6483"/>
      <c r="B9" s="6484"/>
      <c r="C9" s="6484"/>
      <c r="D9" s="6484"/>
      <c r="E9" s="6484"/>
      <c r="F9" s="6484"/>
      <c r="G9" s="6484"/>
      <c r="H9" s="6484"/>
      <c r="I9" s="6484"/>
      <c r="J9" s="6484"/>
      <c r="K9" s="6484"/>
      <c r="L9" s="6484"/>
      <c r="M9" s="6484"/>
      <c r="N9" s="6484"/>
      <c r="O9" s="6484"/>
      <c r="P9" s="6485"/>
      <c r="Q9" s="397"/>
    </row>
    <row r="10" spans="1:17" ht="19.5" customHeight="1" x14ac:dyDescent="0.35">
      <c r="A10" s="6551" t="s">
        <v>21</v>
      </c>
      <c r="B10" s="6552"/>
      <c r="C10" s="6552"/>
      <c r="D10" s="6552"/>
      <c r="E10" s="6552"/>
      <c r="F10" s="6552"/>
      <c r="G10" s="6552"/>
      <c r="H10" s="6552"/>
      <c r="I10" s="6552"/>
      <c r="J10" s="6552"/>
      <c r="K10" s="6552"/>
      <c r="L10" s="6552"/>
      <c r="M10" s="6552"/>
      <c r="N10" s="6552"/>
      <c r="O10" s="6552"/>
      <c r="P10" s="6553"/>
      <c r="Q10" s="64"/>
    </row>
    <row r="11" spans="1:17" s="66" customFormat="1" ht="5.25" customHeight="1" x14ac:dyDescent="0.35">
      <c r="A11" s="6483"/>
      <c r="B11" s="6484"/>
      <c r="C11" s="6484"/>
      <c r="D11" s="6484"/>
      <c r="E11" s="6484"/>
      <c r="F11" s="6484"/>
      <c r="G11" s="6484"/>
      <c r="H11" s="6484"/>
      <c r="I11" s="6484"/>
      <c r="J11" s="6484"/>
      <c r="K11" s="6484"/>
      <c r="L11" s="6484"/>
      <c r="M11" s="6484"/>
      <c r="N11" s="6484"/>
      <c r="O11" s="6484"/>
      <c r="P11" s="6485"/>
      <c r="Q11" s="397"/>
    </row>
    <row r="12" spans="1:17" ht="69" customHeight="1" x14ac:dyDescent="0.35">
      <c r="A12" s="6490" t="s">
        <v>703</v>
      </c>
      <c r="B12" s="6491"/>
      <c r="C12" s="6491"/>
      <c r="D12" s="6492"/>
      <c r="E12" s="6493"/>
      <c r="F12" s="6493"/>
      <c r="G12" s="6493"/>
      <c r="H12" s="6493"/>
      <c r="I12" s="6493"/>
      <c r="J12" s="6493"/>
      <c r="K12" s="6487"/>
      <c r="L12" s="6488"/>
      <c r="M12" s="6488"/>
      <c r="N12" s="6488"/>
      <c r="O12" s="6488"/>
      <c r="P12" s="6489"/>
      <c r="Q12" s="64"/>
    </row>
    <row r="13" spans="1:17" s="464" customFormat="1" ht="3.75" customHeight="1" x14ac:dyDescent="0.35">
      <c r="A13" s="6472"/>
      <c r="B13" s="6473"/>
      <c r="C13" s="6473"/>
      <c r="D13" s="6473"/>
      <c r="E13" s="6473"/>
      <c r="F13" s="6473"/>
      <c r="G13" s="6473"/>
      <c r="H13" s="6473"/>
      <c r="I13" s="6473"/>
      <c r="J13" s="6473"/>
      <c r="K13" s="6473"/>
      <c r="L13" s="6473"/>
      <c r="M13" s="6473"/>
      <c r="N13" s="6473"/>
      <c r="O13" s="6473"/>
      <c r="P13" s="6474"/>
      <c r="Q13" s="467"/>
    </row>
    <row r="14" spans="1:17" ht="68.25" customHeight="1" x14ac:dyDescent="0.35">
      <c r="A14" s="6498" t="s">
        <v>704</v>
      </c>
      <c r="B14" s="6499"/>
      <c r="C14" s="6499"/>
      <c r="D14" s="6499"/>
      <c r="E14" s="6500"/>
      <c r="F14" s="6500"/>
      <c r="G14" s="6500"/>
      <c r="H14" s="6500"/>
      <c r="I14" s="6500"/>
      <c r="J14" s="6500"/>
      <c r="K14" s="6562"/>
      <c r="L14" s="6563"/>
      <c r="M14" s="6563"/>
      <c r="N14" s="6563"/>
      <c r="O14" s="6563"/>
      <c r="P14" s="6564"/>
      <c r="Q14" s="64"/>
    </row>
    <row r="15" spans="1:17" s="66" customFormat="1" ht="3.75" customHeight="1" x14ac:dyDescent="0.35">
      <c r="A15" s="6472"/>
      <c r="B15" s="6473"/>
      <c r="C15" s="6473"/>
      <c r="D15" s="6473"/>
      <c r="E15" s="6473"/>
      <c r="F15" s="6473"/>
      <c r="G15" s="6473"/>
      <c r="H15" s="6473"/>
      <c r="I15" s="6473"/>
      <c r="J15" s="6473"/>
      <c r="K15" s="6473"/>
      <c r="L15" s="6473"/>
      <c r="M15" s="6473"/>
      <c r="N15" s="6473"/>
      <c r="O15" s="6473"/>
      <c r="P15" s="6474"/>
      <c r="Q15" s="397"/>
    </row>
    <row r="16" spans="1:17" ht="68.25" customHeight="1" x14ac:dyDescent="0.35">
      <c r="A16" s="6477"/>
      <c r="B16" s="6478"/>
      <c r="C16" s="6478"/>
      <c r="D16" s="6478"/>
      <c r="E16" s="6505"/>
      <c r="F16" s="6505"/>
      <c r="G16" s="6505"/>
      <c r="H16" s="6505"/>
      <c r="I16" s="6505"/>
      <c r="J16" s="6505"/>
      <c r="K16" s="6480"/>
      <c r="L16" s="6481"/>
      <c r="M16" s="6481"/>
      <c r="N16" s="6481"/>
      <c r="O16" s="6481"/>
      <c r="P16" s="6482"/>
      <c r="Q16" s="64"/>
    </row>
    <row r="17" spans="1:17" s="66" customFormat="1" ht="5.25" customHeight="1" x14ac:dyDescent="0.35">
      <c r="A17" s="6472"/>
      <c r="B17" s="6473"/>
      <c r="C17" s="6473"/>
      <c r="D17" s="6473"/>
      <c r="E17" s="6473"/>
      <c r="F17" s="6473"/>
      <c r="G17" s="6473"/>
      <c r="H17" s="6473"/>
      <c r="I17" s="6473"/>
      <c r="J17" s="6473"/>
      <c r="K17" s="6473"/>
      <c r="L17" s="6473"/>
      <c r="M17" s="6473"/>
      <c r="N17" s="6473"/>
      <c r="O17" s="6473"/>
      <c r="P17" s="6474"/>
      <c r="Q17" s="397"/>
    </row>
    <row r="18" spans="1:17" ht="19.5" customHeight="1" x14ac:dyDescent="0.35">
      <c r="A18" s="6551" t="s">
        <v>22</v>
      </c>
      <c r="B18" s="6552"/>
      <c r="C18" s="6552"/>
      <c r="D18" s="6552"/>
      <c r="E18" s="6552"/>
      <c r="F18" s="6552"/>
      <c r="G18" s="6552"/>
      <c r="H18" s="6552"/>
      <c r="I18" s="6552"/>
      <c r="J18" s="6552"/>
      <c r="K18" s="6552"/>
      <c r="L18" s="6552"/>
      <c r="M18" s="6552"/>
      <c r="N18" s="6552"/>
      <c r="O18" s="6552"/>
      <c r="P18" s="6553"/>
      <c r="Q18" s="64"/>
    </row>
    <row r="19" spans="1:17" s="66" customFormat="1" ht="5.25" customHeight="1" x14ac:dyDescent="0.35">
      <c r="A19" s="6472"/>
      <c r="B19" s="6473"/>
      <c r="C19" s="6473"/>
      <c r="D19" s="6473"/>
      <c r="E19" s="6473"/>
      <c r="F19" s="6473"/>
      <c r="G19" s="6473"/>
      <c r="H19" s="6473"/>
      <c r="I19" s="6473"/>
      <c r="J19" s="6473"/>
      <c r="K19" s="6473"/>
      <c r="L19" s="6473"/>
      <c r="M19" s="6473"/>
      <c r="N19" s="6473"/>
      <c r="O19" s="6473"/>
      <c r="P19" s="6474"/>
      <c r="Q19" s="397"/>
    </row>
    <row r="20" spans="1:17" ht="45" customHeight="1" x14ac:dyDescent="0.35">
      <c r="A20" s="6490" t="s">
        <v>705</v>
      </c>
      <c r="B20" s="6491"/>
      <c r="C20" s="6491"/>
      <c r="D20" s="6492"/>
      <c r="E20" s="6493"/>
      <c r="F20" s="6493"/>
      <c r="G20" s="6493"/>
      <c r="H20" s="6493"/>
      <c r="I20" s="6493"/>
      <c r="J20" s="6493"/>
      <c r="K20" s="6487"/>
      <c r="L20" s="6488"/>
      <c r="M20" s="6488"/>
      <c r="N20" s="6488"/>
      <c r="O20" s="6488"/>
      <c r="P20" s="6489"/>
      <c r="Q20" s="64"/>
    </row>
    <row r="21" spans="1:17" s="296" customFormat="1" ht="3.75" customHeight="1" x14ac:dyDescent="0.35">
      <c r="A21" s="6472"/>
      <c r="B21" s="6473"/>
      <c r="C21" s="6473"/>
      <c r="D21" s="6473"/>
      <c r="E21" s="6473"/>
      <c r="F21" s="6473"/>
      <c r="G21" s="6473"/>
      <c r="H21" s="6473"/>
      <c r="I21" s="6473"/>
      <c r="J21" s="6473"/>
      <c r="K21" s="6473"/>
      <c r="L21" s="6473"/>
      <c r="M21" s="6473"/>
      <c r="N21" s="6473"/>
      <c r="O21" s="6473"/>
      <c r="P21" s="6474"/>
      <c r="Q21" s="468"/>
    </row>
    <row r="22" spans="1:17" s="67" customFormat="1" ht="69" customHeight="1" x14ac:dyDescent="0.35">
      <c r="A22" s="6575" t="s">
        <v>706</v>
      </c>
      <c r="B22" s="6576"/>
      <c r="C22" s="6576"/>
      <c r="D22" s="6576"/>
      <c r="E22" s="6560"/>
      <c r="F22" s="6561"/>
      <c r="G22" s="6556"/>
      <c r="H22" s="6556"/>
      <c r="I22" s="6556"/>
      <c r="J22" s="6556"/>
      <c r="K22" s="6557"/>
      <c r="L22" s="6558"/>
      <c r="M22" s="6558"/>
      <c r="N22" s="6558"/>
      <c r="O22" s="6558"/>
      <c r="P22" s="6559"/>
      <c r="Q22" s="469"/>
    </row>
    <row r="23" spans="1:17" s="464" customFormat="1" ht="3.75" customHeight="1" x14ac:dyDescent="0.35">
      <c r="A23" s="6472"/>
      <c r="B23" s="6473"/>
      <c r="C23" s="6473"/>
      <c r="D23" s="6473"/>
      <c r="E23" s="6473"/>
      <c r="F23" s="6473"/>
      <c r="G23" s="6473"/>
      <c r="H23" s="6473"/>
      <c r="I23" s="6473"/>
      <c r="J23" s="6473"/>
      <c r="K23" s="6473"/>
      <c r="L23" s="6473"/>
      <c r="M23" s="6473"/>
      <c r="N23" s="6473"/>
      <c r="O23" s="6473"/>
      <c r="P23" s="6474"/>
      <c r="Q23" s="467"/>
    </row>
    <row r="24" spans="1:17" ht="79.5" customHeight="1" x14ac:dyDescent="0.35">
      <c r="A24" s="6554" t="s">
        <v>708</v>
      </c>
      <c r="B24" s="6555"/>
      <c r="C24" s="6555"/>
      <c r="D24" s="6555"/>
      <c r="E24" s="6556"/>
      <c r="F24" s="6556"/>
      <c r="G24" s="6556"/>
      <c r="H24" s="6556"/>
      <c r="I24" s="6556"/>
      <c r="J24" s="6556"/>
      <c r="K24" s="6557"/>
      <c r="L24" s="6558"/>
      <c r="M24" s="6558"/>
      <c r="N24" s="6558"/>
      <c r="O24" s="6558"/>
      <c r="P24" s="6559"/>
      <c r="Q24" s="64"/>
    </row>
    <row r="25" spans="1:17" s="464" customFormat="1" ht="3.75" customHeight="1" x14ac:dyDescent="0.35">
      <c r="A25" s="6472"/>
      <c r="B25" s="6473"/>
      <c r="C25" s="6473"/>
      <c r="D25" s="6473"/>
      <c r="E25" s="6473"/>
      <c r="F25" s="6473"/>
      <c r="G25" s="6473"/>
      <c r="H25" s="6473"/>
      <c r="I25" s="6473"/>
      <c r="J25" s="6473"/>
      <c r="K25" s="6473"/>
      <c r="L25" s="6473"/>
      <c r="M25" s="6473"/>
      <c r="N25" s="6473"/>
      <c r="O25" s="6473"/>
      <c r="P25" s="6474"/>
      <c r="Q25" s="467"/>
    </row>
    <row r="26" spans="1:17" ht="69" customHeight="1" x14ac:dyDescent="0.35">
      <c r="A26" s="6554" t="s">
        <v>709</v>
      </c>
      <c r="B26" s="6555"/>
      <c r="C26" s="6555"/>
      <c r="D26" s="6555"/>
      <c r="E26" s="6560"/>
      <c r="F26" s="6561"/>
      <c r="G26" s="6560"/>
      <c r="H26" s="6561"/>
      <c r="I26" s="6560"/>
      <c r="J26" s="6561"/>
      <c r="K26" s="6557"/>
      <c r="L26" s="6558"/>
      <c r="M26" s="6558"/>
      <c r="N26" s="6558"/>
      <c r="O26" s="6558"/>
      <c r="P26" s="6559"/>
      <c r="Q26" s="64"/>
    </row>
    <row r="27" spans="1:17" s="464" customFormat="1" ht="3.75" customHeight="1" x14ac:dyDescent="0.35">
      <c r="A27" s="6472"/>
      <c r="B27" s="6473"/>
      <c r="C27" s="6473"/>
      <c r="D27" s="6473"/>
      <c r="E27" s="6473"/>
      <c r="F27" s="6473"/>
      <c r="G27" s="6473"/>
      <c r="H27" s="6473"/>
      <c r="I27" s="6473"/>
      <c r="J27" s="6473"/>
      <c r="K27" s="6473"/>
      <c r="L27" s="6473"/>
      <c r="M27" s="6473"/>
      <c r="N27" s="6473"/>
      <c r="O27" s="6473"/>
      <c r="P27" s="6474"/>
      <c r="Q27" s="467"/>
    </row>
    <row r="28" spans="1:17" ht="69" customHeight="1" x14ac:dyDescent="0.35">
      <c r="A28" s="6498" t="s">
        <v>1635</v>
      </c>
      <c r="B28" s="6499"/>
      <c r="C28" s="6499"/>
      <c r="D28" s="6499"/>
      <c r="E28" s="6500"/>
      <c r="F28" s="6500"/>
      <c r="G28" s="6500"/>
      <c r="H28" s="6500"/>
      <c r="I28" s="6500"/>
      <c r="J28" s="6500"/>
      <c r="K28" s="6562"/>
      <c r="L28" s="6563"/>
      <c r="M28" s="6563"/>
      <c r="N28" s="6563"/>
      <c r="O28" s="6563"/>
      <c r="P28" s="6564"/>
      <c r="Q28" s="64"/>
    </row>
    <row r="29" spans="1:17" s="66" customFormat="1" ht="3.75" customHeight="1" x14ac:dyDescent="0.35">
      <c r="A29" s="6472"/>
      <c r="B29" s="6473"/>
      <c r="C29" s="6473"/>
      <c r="D29" s="6473"/>
      <c r="E29" s="6473"/>
      <c r="F29" s="6473"/>
      <c r="G29" s="6473"/>
      <c r="H29" s="6473"/>
      <c r="I29" s="6473"/>
      <c r="J29" s="6473"/>
      <c r="K29" s="6473"/>
      <c r="L29" s="6473"/>
      <c r="M29" s="6473"/>
      <c r="N29" s="6473"/>
      <c r="O29" s="6473"/>
      <c r="P29" s="6474"/>
      <c r="Q29" s="397"/>
    </row>
    <row r="30" spans="1:17" ht="54" customHeight="1" x14ac:dyDescent="0.35">
      <c r="A30" s="6477"/>
      <c r="B30" s="6478"/>
      <c r="C30" s="6478"/>
      <c r="D30" s="6478"/>
      <c r="E30" s="6475"/>
      <c r="F30" s="6476"/>
      <c r="G30" s="6475"/>
      <c r="H30" s="6476"/>
      <c r="I30" s="6479"/>
      <c r="J30" s="6479"/>
      <c r="K30" s="6480"/>
      <c r="L30" s="6481"/>
      <c r="M30" s="6481"/>
      <c r="N30" s="6481"/>
      <c r="O30" s="6481"/>
      <c r="P30" s="6482"/>
      <c r="Q30" s="64"/>
    </row>
    <row r="31" spans="1:17" s="66" customFormat="1" ht="4.5" customHeight="1" x14ac:dyDescent="0.35">
      <c r="A31" s="6472"/>
      <c r="B31" s="6473"/>
      <c r="C31" s="6473"/>
      <c r="D31" s="6473"/>
      <c r="E31" s="6473"/>
      <c r="F31" s="6473"/>
      <c r="G31" s="6473"/>
      <c r="H31" s="6473"/>
      <c r="I31" s="6473"/>
      <c r="J31" s="6473"/>
      <c r="K31" s="6473"/>
      <c r="L31" s="6473"/>
      <c r="M31" s="6473"/>
      <c r="N31" s="6473"/>
      <c r="O31" s="6473"/>
      <c r="P31" s="6474"/>
      <c r="Q31" s="397"/>
    </row>
    <row r="32" spans="1:17" ht="19.5" customHeight="1" x14ac:dyDescent="0.35">
      <c r="A32" s="6551" t="s">
        <v>23</v>
      </c>
      <c r="B32" s="6552"/>
      <c r="C32" s="6552"/>
      <c r="D32" s="6552"/>
      <c r="E32" s="6552"/>
      <c r="F32" s="6552"/>
      <c r="G32" s="6552"/>
      <c r="H32" s="6552"/>
      <c r="I32" s="6552"/>
      <c r="J32" s="6552"/>
      <c r="K32" s="6552"/>
      <c r="L32" s="6552"/>
      <c r="M32" s="6552"/>
      <c r="N32" s="6552"/>
      <c r="O32" s="6552"/>
      <c r="P32" s="6553"/>
      <c r="Q32" s="64"/>
    </row>
    <row r="33" spans="1:17" s="66" customFormat="1" ht="5.25" customHeight="1" x14ac:dyDescent="0.35">
      <c r="A33" s="6472"/>
      <c r="B33" s="6473"/>
      <c r="C33" s="6473"/>
      <c r="D33" s="6473"/>
      <c r="E33" s="6473"/>
      <c r="F33" s="6473"/>
      <c r="G33" s="6473"/>
      <c r="H33" s="6473"/>
      <c r="I33" s="6473"/>
      <c r="J33" s="6473"/>
      <c r="K33" s="6473"/>
      <c r="L33" s="6473"/>
      <c r="M33" s="6473"/>
      <c r="N33" s="6473"/>
      <c r="O33" s="6473"/>
      <c r="P33" s="6474"/>
      <c r="Q33" s="397"/>
    </row>
    <row r="34" spans="1:17" ht="60.75" customHeight="1" x14ac:dyDescent="0.35">
      <c r="A34" s="6477" t="s">
        <v>710</v>
      </c>
      <c r="B34" s="6478"/>
      <c r="C34" s="6478"/>
      <c r="D34" s="6478"/>
      <c r="E34" s="6479"/>
      <c r="F34" s="6479"/>
      <c r="G34" s="6479"/>
      <c r="H34" s="6479"/>
      <c r="I34" s="6479"/>
      <c r="J34" s="6479"/>
      <c r="K34" s="6480"/>
      <c r="L34" s="6481"/>
      <c r="M34" s="6481"/>
      <c r="N34" s="6481"/>
      <c r="O34" s="6481"/>
      <c r="P34" s="6482"/>
      <c r="Q34" s="64"/>
    </row>
    <row r="35" spans="1:17" s="66" customFormat="1" ht="3.75" customHeight="1" x14ac:dyDescent="0.35">
      <c r="A35" s="6472"/>
      <c r="B35" s="6473"/>
      <c r="C35" s="6473"/>
      <c r="D35" s="6473"/>
      <c r="E35" s="6473"/>
      <c r="F35" s="6473"/>
      <c r="G35" s="6473"/>
      <c r="H35" s="6473"/>
      <c r="I35" s="6473"/>
      <c r="J35" s="6473"/>
      <c r="K35" s="6473"/>
      <c r="L35" s="6473"/>
      <c r="M35" s="6473"/>
      <c r="N35" s="6473"/>
      <c r="O35" s="6473"/>
      <c r="P35" s="6474"/>
      <c r="Q35" s="397"/>
    </row>
    <row r="36" spans="1:17" ht="59.25" customHeight="1" x14ac:dyDescent="0.35">
      <c r="A36" s="6477" t="s">
        <v>711</v>
      </c>
      <c r="B36" s="6478"/>
      <c r="C36" s="6478"/>
      <c r="D36" s="6478"/>
      <c r="E36" s="6479"/>
      <c r="F36" s="6479"/>
      <c r="G36" s="6479"/>
      <c r="H36" s="6479"/>
      <c r="I36" s="6479"/>
      <c r="J36" s="6479"/>
      <c r="K36" s="6480"/>
      <c r="L36" s="6481"/>
      <c r="M36" s="6481"/>
      <c r="N36" s="6481"/>
      <c r="O36" s="6481"/>
      <c r="P36" s="6482"/>
      <c r="Q36" s="64"/>
    </row>
    <row r="37" spans="1:17" s="66" customFormat="1" ht="3.75" customHeight="1" x14ac:dyDescent="0.35">
      <c r="A37" s="6472"/>
      <c r="B37" s="6473"/>
      <c r="C37" s="6473"/>
      <c r="D37" s="6473"/>
      <c r="E37" s="6473"/>
      <c r="F37" s="6473"/>
      <c r="G37" s="6473"/>
      <c r="H37" s="6473"/>
      <c r="I37" s="6473"/>
      <c r="J37" s="6473"/>
      <c r="K37" s="6473"/>
      <c r="L37" s="6473"/>
      <c r="M37" s="6473"/>
      <c r="N37" s="6473"/>
      <c r="O37" s="6473"/>
      <c r="P37" s="6474"/>
      <c r="Q37" s="397"/>
    </row>
    <row r="38" spans="1:17" ht="61.5" customHeight="1" x14ac:dyDescent="0.35">
      <c r="A38" s="6477" t="s">
        <v>712</v>
      </c>
      <c r="B38" s="6478"/>
      <c r="C38" s="6478"/>
      <c r="D38" s="6478"/>
      <c r="E38" s="6479"/>
      <c r="F38" s="6479"/>
      <c r="G38" s="6479"/>
      <c r="H38" s="6479"/>
      <c r="I38" s="6479"/>
      <c r="J38" s="6479"/>
      <c r="K38" s="6480"/>
      <c r="L38" s="6481"/>
      <c r="M38" s="6481"/>
      <c r="N38" s="6481"/>
      <c r="O38" s="6481"/>
      <c r="P38" s="6482"/>
      <c r="Q38" s="64"/>
    </row>
    <row r="39" spans="1:17" s="66" customFormat="1" ht="3.75" customHeight="1" x14ac:dyDescent="0.35">
      <c r="A39" s="6472"/>
      <c r="B39" s="6473"/>
      <c r="C39" s="6473"/>
      <c r="D39" s="6473"/>
      <c r="E39" s="6473"/>
      <c r="F39" s="6473"/>
      <c r="G39" s="6473"/>
      <c r="H39" s="6473"/>
      <c r="I39" s="6473"/>
      <c r="J39" s="6473"/>
      <c r="K39" s="6473"/>
      <c r="L39" s="6473"/>
      <c r="M39" s="6473"/>
      <c r="N39" s="6473"/>
      <c r="O39" s="6473"/>
      <c r="P39" s="6474"/>
      <c r="Q39" s="397"/>
    </row>
    <row r="40" spans="1:17" ht="87" customHeight="1" x14ac:dyDescent="0.35">
      <c r="A40" s="6477" t="s">
        <v>713</v>
      </c>
      <c r="B40" s="6478"/>
      <c r="C40" s="6478"/>
      <c r="D40" s="6478"/>
      <c r="E40" s="6479"/>
      <c r="F40" s="6479"/>
      <c r="G40" s="6479"/>
      <c r="H40" s="6479"/>
      <c r="I40" s="6479"/>
      <c r="J40" s="6479"/>
      <c r="K40" s="6480"/>
      <c r="L40" s="6481"/>
      <c r="M40" s="6481"/>
      <c r="N40" s="6481"/>
      <c r="O40" s="6481"/>
      <c r="P40" s="6482"/>
      <c r="Q40" s="64"/>
    </row>
    <row r="41" spans="1:17" s="66" customFormat="1" ht="3.75" customHeight="1" x14ac:dyDescent="0.35">
      <c r="A41" s="6472"/>
      <c r="B41" s="6473"/>
      <c r="C41" s="6473"/>
      <c r="D41" s="6473"/>
      <c r="E41" s="6473"/>
      <c r="F41" s="6473"/>
      <c r="G41" s="6473"/>
      <c r="H41" s="6473"/>
      <c r="I41" s="6473"/>
      <c r="J41" s="6473"/>
      <c r="K41" s="6473"/>
      <c r="L41" s="6473"/>
      <c r="M41" s="6473"/>
      <c r="N41" s="6473"/>
      <c r="O41" s="6473"/>
      <c r="P41" s="6474"/>
      <c r="Q41" s="397"/>
    </row>
    <row r="42" spans="1:17" ht="60.75" customHeight="1" x14ac:dyDescent="0.35">
      <c r="A42" s="6477" t="s">
        <v>714</v>
      </c>
      <c r="B42" s="6478"/>
      <c r="C42" s="6478"/>
      <c r="D42" s="6478"/>
      <c r="E42" s="6479"/>
      <c r="F42" s="6479"/>
      <c r="G42" s="6479"/>
      <c r="H42" s="6479"/>
      <c r="I42" s="6479"/>
      <c r="J42" s="6479"/>
      <c r="K42" s="6480"/>
      <c r="L42" s="6481"/>
      <c r="M42" s="6481"/>
      <c r="N42" s="6481"/>
      <c r="O42" s="6481"/>
      <c r="P42" s="6482"/>
      <c r="Q42" s="64"/>
    </row>
    <row r="43" spans="1:17" s="66" customFormat="1" ht="3.75" customHeight="1" x14ac:dyDescent="0.35">
      <c r="A43" s="6472"/>
      <c r="B43" s="6473"/>
      <c r="C43" s="6473"/>
      <c r="D43" s="6473"/>
      <c r="E43" s="6473"/>
      <c r="F43" s="6473"/>
      <c r="G43" s="6473"/>
      <c r="H43" s="6473"/>
      <c r="I43" s="6473"/>
      <c r="J43" s="6473"/>
      <c r="K43" s="6473"/>
      <c r="L43" s="6473"/>
      <c r="M43" s="6473"/>
      <c r="N43" s="6473"/>
      <c r="O43" s="6473"/>
      <c r="P43" s="6474"/>
      <c r="Q43" s="397"/>
    </row>
    <row r="44" spans="1:17" ht="57.75" customHeight="1" x14ac:dyDescent="0.35">
      <c r="A44" s="6477" t="s">
        <v>2013</v>
      </c>
      <c r="B44" s="6478"/>
      <c r="C44" s="6478"/>
      <c r="D44" s="6478"/>
      <c r="E44" s="6479"/>
      <c r="F44" s="6479"/>
      <c r="G44" s="6479"/>
      <c r="H44" s="6479"/>
      <c r="I44" s="6479"/>
      <c r="J44" s="6479"/>
      <c r="K44" s="6480"/>
      <c r="L44" s="6481"/>
      <c r="M44" s="6481"/>
      <c r="N44" s="6481"/>
      <c r="O44" s="6481"/>
      <c r="P44" s="6482"/>
      <c r="Q44" s="64"/>
    </row>
    <row r="45" spans="1:17" s="66" customFormat="1" ht="3.75" customHeight="1" x14ac:dyDescent="0.35">
      <c r="A45" s="6472"/>
      <c r="B45" s="6473"/>
      <c r="C45" s="6473"/>
      <c r="D45" s="6473"/>
      <c r="E45" s="6473"/>
      <c r="F45" s="6473"/>
      <c r="G45" s="6473"/>
      <c r="H45" s="6473"/>
      <c r="I45" s="6473"/>
      <c r="J45" s="6473"/>
      <c r="K45" s="6473"/>
      <c r="L45" s="6473"/>
      <c r="M45" s="6473"/>
      <c r="N45" s="6473"/>
      <c r="O45" s="6473"/>
      <c r="P45" s="6474"/>
      <c r="Q45" s="397"/>
    </row>
    <row r="46" spans="1:17" ht="45" customHeight="1" x14ac:dyDescent="0.35">
      <c r="A46" s="6477"/>
      <c r="B46" s="6478"/>
      <c r="C46" s="6478"/>
      <c r="D46" s="6478"/>
      <c r="E46" s="6475"/>
      <c r="F46" s="6476"/>
      <c r="G46" s="6475"/>
      <c r="H46" s="6476"/>
      <c r="I46" s="6479"/>
      <c r="J46" s="6479"/>
      <c r="K46" s="6480"/>
      <c r="L46" s="6481"/>
      <c r="M46" s="6481"/>
      <c r="N46" s="6481"/>
      <c r="O46" s="6481"/>
      <c r="P46" s="6482"/>
      <c r="Q46" s="64"/>
    </row>
    <row r="47" spans="1:17" s="66" customFormat="1" ht="5.25" customHeight="1" x14ac:dyDescent="0.35">
      <c r="A47" s="6472"/>
      <c r="B47" s="6473"/>
      <c r="C47" s="6473"/>
      <c r="D47" s="6473"/>
      <c r="E47" s="6473"/>
      <c r="F47" s="6473"/>
      <c r="G47" s="6473"/>
      <c r="H47" s="6473"/>
      <c r="I47" s="6473"/>
      <c r="J47" s="6473"/>
      <c r="K47" s="6473"/>
      <c r="L47" s="6473"/>
      <c r="M47" s="6473"/>
      <c r="N47" s="6473"/>
      <c r="O47" s="6473"/>
      <c r="P47" s="6474"/>
      <c r="Q47" s="397"/>
    </row>
    <row r="48" spans="1:17" ht="19.5" customHeight="1" x14ac:dyDescent="0.35">
      <c r="A48" s="6551" t="s">
        <v>25</v>
      </c>
      <c r="B48" s="6552"/>
      <c r="C48" s="6552"/>
      <c r="D48" s="6552"/>
      <c r="E48" s="6552"/>
      <c r="F48" s="6552"/>
      <c r="G48" s="6552"/>
      <c r="H48" s="6552"/>
      <c r="I48" s="6552"/>
      <c r="J48" s="6552"/>
      <c r="K48" s="6552"/>
      <c r="L48" s="6552"/>
      <c r="M48" s="6552"/>
      <c r="N48" s="6552"/>
      <c r="O48" s="6552"/>
      <c r="P48" s="6553"/>
      <c r="Q48" s="64"/>
    </row>
    <row r="49" spans="1:17" s="66" customFormat="1" ht="5.25" customHeight="1" x14ac:dyDescent="0.35">
      <c r="A49" s="6472"/>
      <c r="B49" s="6473"/>
      <c r="C49" s="6473"/>
      <c r="D49" s="6473"/>
      <c r="E49" s="6473"/>
      <c r="F49" s="6473"/>
      <c r="G49" s="6473"/>
      <c r="H49" s="6473"/>
      <c r="I49" s="6473"/>
      <c r="J49" s="6473"/>
      <c r="K49" s="6473"/>
      <c r="L49" s="6473"/>
      <c r="M49" s="6473"/>
      <c r="N49" s="6473"/>
      <c r="O49" s="6473"/>
      <c r="P49" s="6474"/>
      <c r="Q49" s="397"/>
    </row>
    <row r="50" spans="1:17" ht="64.5" customHeight="1" x14ac:dyDescent="0.35">
      <c r="A50" s="6477" t="s">
        <v>24</v>
      </c>
      <c r="B50" s="6478"/>
      <c r="C50" s="6478"/>
      <c r="D50" s="6478"/>
      <c r="E50" s="6479"/>
      <c r="F50" s="6479"/>
      <c r="G50" s="6479"/>
      <c r="H50" s="6479"/>
      <c r="I50" s="6479"/>
      <c r="J50" s="6479"/>
      <c r="K50" s="6480"/>
      <c r="L50" s="6481"/>
      <c r="M50" s="6481"/>
      <c r="N50" s="6481"/>
      <c r="O50" s="6481"/>
      <c r="P50" s="6482"/>
      <c r="Q50" s="64"/>
    </row>
    <row r="51" spans="1:17" s="66" customFormat="1" ht="3.75" customHeight="1" x14ac:dyDescent="0.35">
      <c r="A51" s="6472"/>
      <c r="B51" s="6473"/>
      <c r="C51" s="6473"/>
      <c r="D51" s="6473"/>
      <c r="E51" s="6473"/>
      <c r="F51" s="6473"/>
      <c r="G51" s="6473"/>
      <c r="H51" s="6473"/>
      <c r="I51" s="6473"/>
      <c r="J51" s="6473"/>
      <c r="K51" s="6473"/>
      <c r="L51" s="6473"/>
      <c r="M51" s="6473"/>
      <c r="N51" s="6473"/>
      <c r="O51" s="6473"/>
      <c r="P51" s="6474"/>
      <c r="Q51" s="397"/>
    </row>
    <row r="52" spans="1:17" ht="53.25" customHeight="1" x14ac:dyDescent="0.35">
      <c r="A52" s="6477" t="s">
        <v>26</v>
      </c>
      <c r="B52" s="6478"/>
      <c r="C52" s="6478"/>
      <c r="D52" s="6478"/>
      <c r="E52" s="6475"/>
      <c r="F52" s="6476"/>
      <c r="G52" s="6475"/>
      <c r="H52" s="6476"/>
      <c r="I52" s="6475"/>
      <c r="J52" s="6476"/>
      <c r="K52" s="6480"/>
      <c r="L52" s="6481"/>
      <c r="M52" s="6481"/>
      <c r="N52" s="6481"/>
      <c r="O52" s="6481"/>
      <c r="P52" s="6482"/>
      <c r="Q52" s="64"/>
    </row>
    <row r="53" spans="1:17" s="66" customFormat="1" ht="3.75" customHeight="1" x14ac:dyDescent="0.35">
      <c r="A53" s="6472"/>
      <c r="B53" s="6473"/>
      <c r="C53" s="6473"/>
      <c r="D53" s="6473"/>
      <c r="E53" s="6473"/>
      <c r="F53" s="6473"/>
      <c r="G53" s="6473"/>
      <c r="H53" s="6473"/>
      <c r="I53" s="6473"/>
      <c r="J53" s="6473"/>
      <c r="K53" s="6473"/>
      <c r="L53" s="6473"/>
      <c r="M53" s="6473"/>
      <c r="N53" s="6473"/>
      <c r="O53" s="6473"/>
      <c r="P53" s="6474"/>
      <c r="Q53" s="397"/>
    </row>
    <row r="54" spans="1:17" ht="45.75" customHeight="1" x14ac:dyDescent="0.35">
      <c r="A54" s="6477" t="s">
        <v>27</v>
      </c>
      <c r="B54" s="6478"/>
      <c r="C54" s="6478"/>
      <c r="D54" s="6478"/>
      <c r="E54" s="6479"/>
      <c r="F54" s="6479"/>
      <c r="G54" s="6479"/>
      <c r="H54" s="6479"/>
      <c r="I54" s="6479"/>
      <c r="J54" s="6479"/>
      <c r="K54" s="6480"/>
      <c r="L54" s="6481"/>
      <c r="M54" s="6481"/>
      <c r="N54" s="6481"/>
      <c r="O54" s="6481"/>
      <c r="P54" s="6482"/>
      <c r="Q54" s="64"/>
    </row>
    <row r="55" spans="1:17" s="66" customFormat="1" ht="3.75" customHeight="1" x14ac:dyDescent="0.35">
      <c r="A55" s="6472"/>
      <c r="B55" s="6473"/>
      <c r="C55" s="6473"/>
      <c r="D55" s="6473"/>
      <c r="E55" s="6473"/>
      <c r="F55" s="6473"/>
      <c r="G55" s="6473"/>
      <c r="H55" s="6473"/>
      <c r="I55" s="6473"/>
      <c r="J55" s="6473"/>
      <c r="K55" s="6473"/>
      <c r="L55" s="6473"/>
      <c r="M55" s="6473"/>
      <c r="N55" s="6473"/>
      <c r="O55" s="6473"/>
      <c r="P55" s="6474"/>
      <c r="Q55" s="397"/>
    </row>
    <row r="56" spans="1:17" ht="45" customHeight="1" x14ac:dyDescent="0.35">
      <c r="A56" s="6477" t="s">
        <v>715</v>
      </c>
      <c r="B56" s="6478"/>
      <c r="C56" s="6478"/>
      <c r="D56" s="6478"/>
      <c r="E56" s="6479"/>
      <c r="F56" s="6479"/>
      <c r="G56" s="6479"/>
      <c r="H56" s="6479"/>
      <c r="I56" s="6479"/>
      <c r="J56" s="6479"/>
      <c r="K56" s="6480"/>
      <c r="L56" s="6481"/>
      <c r="M56" s="6481"/>
      <c r="N56" s="6481"/>
      <c r="O56" s="6481"/>
      <c r="P56" s="6482"/>
      <c r="Q56" s="64"/>
    </row>
    <row r="57" spans="1:17" s="66" customFormat="1" ht="3.75" customHeight="1" x14ac:dyDescent="0.35">
      <c r="A57" s="6472"/>
      <c r="B57" s="6473"/>
      <c r="C57" s="6473"/>
      <c r="D57" s="6473"/>
      <c r="E57" s="6473"/>
      <c r="F57" s="6473"/>
      <c r="G57" s="6473"/>
      <c r="H57" s="6473"/>
      <c r="I57" s="6473"/>
      <c r="J57" s="6473"/>
      <c r="K57" s="6473"/>
      <c r="L57" s="6473"/>
      <c r="M57" s="6473"/>
      <c r="N57" s="6473"/>
      <c r="O57" s="6473"/>
      <c r="P57" s="6474"/>
      <c r="Q57" s="397"/>
    </row>
    <row r="58" spans="1:17" ht="45" customHeight="1" x14ac:dyDescent="0.35">
      <c r="A58" s="6477" t="s">
        <v>28</v>
      </c>
      <c r="B58" s="6478"/>
      <c r="C58" s="6478"/>
      <c r="D58" s="6478"/>
      <c r="E58" s="6479"/>
      <c r="F58" s="6479"/>
      <c r="G58" s="6479"/>
      <c r="H58" s="6479"/>
      <c r="I58" s="6479"/>
      <c r="J58" s="6479"/>
      <c r="K58" s="6480"/>
      <c r="L58" s="6481"/>
      <c r="M58" s="6481"/>
      <c r="N58" s="6481"/>
      <c r="O58" s="6481"/>
      <c r="P58" s="6482"/>
      <c r="Q58" s="64"/>
    </row>
    <row r="59" spans="1:17" s="66" customFormat="1" ht="3.75" customHeight="1" x14ac:dyDescent="0.35">
      <c r="A59" s="6472"/>
      <c r="B59" s="6473"/>
      <c r="C59" s="6473"/>
      <c r="D59" s="6473"/>
      <c r="E59" s="6473"/>
      <c r="F59" s="6473"/>
      <c r="G59" s="6473"/>
      <c r="H59" s="6473"/>
      <c r="I59" s="6473"/>
      <c r="J59" s="6473"/>
      <c r="K59" s="6473"/>
      <c r="L59" s="6473"/>
      <c r="M59" s="6473"/>
      <c r="N59" s="6473"/>
      <c r="O59" s="6473"/>
      <c r="P59" s="6474"/>
      <c r="Q59" s="397"/>
    </row>
    <row r="60" spans="1:17" ht="45" customHeight="1" x14ac:dyDescent="0.35">
      <c r="A60" s="6477" t="s">
        <v>29</v>
      </c>
      <c r="B60" s="6478"/>
      <c r="C60" s="6478"/>
      <c r="D60" s="6478"/>
      <c r="E60" s="6479"/>
      <c r="F60" s="6479"/>
      <c r="G60" s="6479"/>
      <c r="H60" s="6479"/>
      <c r="I60" s="6479"/>
      <c r="J60" s="6479"/>
      <c r="K60" s="6480"/>
      <c r="L60" s="6481"/>
      <c r="M60" s="6481"/>
      <c r="N60" s="6481"/>
      <c r="O60" s="6481"/>
      <c r="P60" s="6482"/>
      <c r="Q60" s="64"/>
    </row>
    <row r="61" spans="1:17" s="66" customFormat="1" ht="3.75" customHeight="1" x14ac:dyDescent="0.35">
      <c r="A61" s="6472"/>
      <c r="B61" s="6473"/>
      <c r="C61" s="6473"/>
      <c r="D61" s="6473"/>
      <c r="E61" s="6473"/>
      <c r="F61" s="6473"/>
      <c r="G61" s="6473"/>
      <c r="H61" s="6473"/>
      <c r="I61" s="6473"/>
      <c r="J61" s="6473"/>
      <c r="K61" s="6473"/>
      <c r="L61" s="6473"/>
      <c r="M61" s="6473"/>
      <c r="N61" s="6473"/>
      <c r="O61" s="6473"/>
      <c r="P61" s="6474"/>
      <c r="Q61" s="397"/>
    </row>
    <row r="62" spans="1:17" ht="45" customHeight="1" x14ac:dyDescent="0.35">
      <c r="A62" s="6477" t="s">
        <v>30</v>
      </c>
      <c r="B62" s="6478"/>
      <c r="C62" s="6478"/>
      <c r="D62" s="6478"/>
      <c r="E62" s="6479"/>
      <c r="F62" s="6479"/>
      <c r="G62" s="6479"/>
      <c r="H62" s="6479"/>
      <c r="I62" s="6479"/>
      <c r="J62" s="6479"/>
      <c r="K62" s="6480"/>
      <c r="L62" s="6481"/>
      <c r="M62" s="6481"/>
      <c r="N62" s="6481"/>
      <c r="O62" s="6481"/>
      <c r="P62" s="6482"/>
      <c r="Q62" s="64"/>
    </row>
    <row r="63" spans="1:17" s="66" customFormat="1" ht="3.75" customHeight="1" x14ac:dyDescent="0.35">
      <c r="A63" s="6472"/>
      <c r="B63" s="6473"/>
      <c r="C63" s="6473"/>
      <c r="D63" s="6473"/>
      <c r="E63" s="6473"/>
      <c r="F63" s="6473"/>
      <c r="G63" s="6473"/>
      <c r="H63" s="6473"/>
      <c r="I63" s="6473"/>
      <c r="J63" s="6473"/>
      <c r="K63" s="6473"/>
      <c r="L63" s="6473"/>
      <c r="M63" s="6473"/>
      <c r="N63" s="6473"/>
      <c r="O63" s="6473"/>
      <c r="P63" s="6474"/>
      <c r="Q63" s="397"/>
    </row>
    <row r="64" spans="1:17" ht="45" customHeight="1" x14ac:dyDescent="0.35">
      <c r="A64" s="6477" t="s">
        <v>31</v>
      </c>
      <c r="B64" s="6478"/>
      <c r="C64" s="6478"/>
      <c r="D64" s="6478"/>
      <c r="E64" s="6479"/>
      <c r="F64" s="6479"/>
      <c r="G64" s="6479"/>
      <c r="H64" s="6479"/>
      <c r="I64" s="6479"/>
      <c r="J64" s="6479"/>
      <c r="K64" s="6480"/>
      <c r="L64" s="6481"/>
      <c r="M64" s="6481"/>
      <c r="N64" s="6481"/>
      <c r="O64" s="6481"/>
      <c r="P64" s="6482"/>
      <c r="Q64" s="64"/>
    </row>
    <row r="65" spans="1:17" s="66" customFormat="1" ht="3.75" customHeight="1" x14ac:dyDescent="0.35">
      <c r="A65" s="6472"/>
      <c r="B65" s="6473"/>
      <c r="C65" s="6473"/>
      <c r="D65" s="6473"/>
      <c r="E65" s="6473"/>
      <c r="F65" s="6473"/>
      <c r="G65" s="6473"/>
      <c r="H65" s="6473"/>
      <c r="I65" s="6473"/>
      <c r="J65" s="6473"/>
      <c r="K65" s="6473"/>
      <c r="L65" s="6473"/>
      <c r="M65" s="6473"/>
      <c r="N65" s="6473"/>
      <c r="O65" s="6473"/>
      <c r="P65" s="6474"/>
      <c r="Q65" s="397"/>
    </row>
    <row r="66" spans="1:17" ht="45" customHeight="1" x14ac:dyDescent="0.35">
      <c r="A66" s="6477" t="s">
        <v>33</v>
      </c>
      <c r="B66" s="6478"/>
      <c r="C66" s="6478"/>
      <c r="D66" s="6478"/>
      <c r="E66" s="6479"/>
      <c r="F66" s="6479"/>
      <c r="G66" s="6479"/>
      <c r="H66" s="6479"/>
      <c r="I66" s="6479"/>
      <c r="J66" s="6479"/>
      <c r="K66" s="6480"/>
      <c r="L66" s="6481"/>
      <c r="M66" s="6481"/>
      <c r="N66" s="6481"/>
      <c r="O66" s="6481"/>
      <c r="P66" s="6482"/>
      <c r="Q66" s="64"/>
    </row>
    <row r="67" spans="1:17" s="66" customFormat="1" ht="3.75" customHeight="1" x14ac:dyDescent="0.35">
      <c r="A67" s="6472"/>
      <c r="B67" s="6473"/>
      <c r="C67" s="6473"/>
      <c r="D67" s="6473"/>
      <c r="E67" s="6473"/>
      <c r="F67" s="6473"/>
      <c r="G67" s="6473"/>
      <c r="H67" s="6473"/>
      <c r="I67" s="6473"/>
      <c r="J67" s="6473"/>
      <c r="K67" s="6473"/>
      <c r="L67" s="6473"/>
      <c r="M67" s="6473"/>
      <c r="N67" s="6473"/>
      <c r="O67" s="6473"/>
      <c r="P67" s="6474"/>
      <c r="Q67" s="397"/>
    </row>
    <row r="68" spans="1:17" ht="45" customHeight="1" x14ac:dyDescent="0.35">
      <c r="A68" s="6477" t="s">
        <v>34</v>
      </c>
      <c r="B68" s="6478"/>
      <c r="C68" s="6478"/>
      <c r="D68" s="6478"/>
      <c r="E68" s="6479"/>
      <c r="F68" s="6479"/>
      <c r="G68" s="6479"/>
      <c r="H68" s="6479"/>
      <c r="I68" s="6479"/>
      <c r="J68" s="6479"/>
      <c r="K68" s="6480"/>
      <c r="L68" s="6481"/>
      <c r="M68" s="6481"/>
      <c r="N68" s="6481"/>
      <c r="O68" s="6481"/>
      <c r="P68" s="6482"/>
      <c r="Q68" s="64"/>
    </row>
    <row r="69" spans="1:17" s="66" customFormat="1" ht="3.75" customHeight="1" x14ac:dyDescent="0.35">
      <c r="A69" s="6472"/>
      <c r="B69" s="6473"/>
      <c r="C69" s="6473"/>
      <c r="D69" s="6473"/>
      <c r="E69" s="6473"/>
      <c r="F69" s="6473"/>
      <c r="G69" s="6473"/>
      <c r="H69" s="6473"/>
      <c r="I69" s="6473"/>
      <c r="J69" s="6473"/>
      <c r="K69" s="6473"/>
      <c r="L69" s="6473"/>
      <c r="M69" s="6473"/>
      <c r="N69" s="6473"/>
      <c r="O69" s="6473"/>
      <c r="P69" s="6474"/>
      <c r="Q69" s="397"/>
    </row>
    <row r="70" spans="1:17" ht="45" customHeight="1" x14ac:dyDescent="0.35">
      <c r="A70" s="6477" t="s">
        <v>35</v>
      </c>
      <c r="B70" s="6478"/>
      <c r="C70" s="6478"/>
      <c r="D70" s="6478"/>
      <c r="E70" s="6479"/>
      <c r="F70" s="6479"/>
      <c r="G70" s="6479"/>
      <c r="H70" s="6479"/>
      <c r="I70" s="6479"/>
      <c r="J70" s="6479"/>
      <c r="K70" s="6480"/>
      <c r="L70" s="6481"/>
      <c r="M70" s="6481"/>
      <c r="N70" s="6481"/>
      <c r="O70" s="6481"/>
      <c r="P70" s="6482"/>
      <c r="Q70" s="64"/>
    </row>
    <row r="71" spans="1:17" s="66" customFormat="1" ht="3.75" customHeight="1" x14ac:dyDescent="0.35">
      <c r="A71" s="6472"/>
      <c r="B71" s="6473"/>
      <c r="C71" s="6473"/>
      <c r="D71" s="6473"/>
      <c r="E71" s="6473"/>
      <c r="F71" s="6473"/>
      <c r="G71" s="6473"/>
      <c r="H71" s="6473"/>
      <c r="I71" s="6473"/>
      <c r="J71" s="6473"/>
      <c r="K71" s="6473"/>
      <c r="L71" s="6473"/>
      <c r="M71" s="6473"/>
      <c r="N71" s="6473"/>
      <c r="O71" s="6473"/>
      <c r="P71" s="6474"/>
      <c r="Q71" s="397"/>
    </row>
    <row r="72" spans="1:17" ht="45" customHeight="1" x14ac:dyDescent="0.35">
      <c r="A72" s="6477" t="s">
        <v>36</v>
      </c>
      <c r="B72" s="6478"/>
      <c r="C72" s="6478"/>
      <c r="D72" s="6478"/>
      <c r="E72" s="6479"/>
      <c r="F72" s="6479"/>
      <c r="G72" s="6479"/>
      <c r="H72" s="6479"/>
      <c r="I72" s="6479"/>
      <c r="J72" s="6479"/>
      <c r="K72" s="6480"/>
      <c r="L72" s="6481"/>
      <c r="M72" s="6481"/>
      <c r="N72" s="6481"/>
      <c r="O72" s="6481"/>
      <c r="P72" s="6482"/>
      <c r="Q72" s="64"/>
    </row>
    <row r="73" spans="1:17" s="66" customFormat="1" ht="3.75" customHeight="1" x14ac:dyDescent="0.35">
      <c r="A73" s="6472"/>
      <c r="B73" s="6473"/>
      <c r="C73" s="6473"/>
      <c r="D73" s="6473"/>
      <c r="E73" s="6473"/>
      <c r="F73" s="6473"/>
      <c r="G73" s="6473"/>
      <c r="H73" s="6473"/>
      <c r="I73" s="6473"/>
      <c r="J73" s="6473"/>
      <c r="K73" s="6473"/>
      <c r="L73" s="6473"/>
      <c r="M73" s="6473"/>
      <c r="N73" s="6473"/>
      <c r="O73" s="6473"/>
      <c r="P73" s="6474"/>
      <c r="Q73" s="397"/>
    </row>
    <row r="74" spans="1:17" ht="45" customHeight="1" x14ac:dyDescent="0.35">
      <c r="A74" s="6477" t="s">
        <v>37</v>
      </c>
      <c r="B74" s="6478"/>
      <c r="C74" s="6478"/>
      <c r="D74" s="6478"/>
      <c r="E74" s="6479"/>
      <c r="F74" s="6479"/>
      <c r="G74" s="6479"/>
      <c r="H74" s="6479"/>
      <c r="I74" s="6479"/>
      <c r="J74" s="6479"/>
      <c r="K74" s="6480"/>
      <c r="L74" s="6481"/>
      <c r="M74" s="6481"/>
      <c r="N74" s="6481"/>
      <c r="O74" s="6481"/>
      <c r="P74" s="6482"/>
      <c r="Q74" s="64"/>
    </row>
    <row r="75" spans="1:17" s="66" customFormat="1" ht="3.75" customHeight="1" x14ac:dyDescent="0.35">
      <c r="A75" s="6472"/>
      <c r="B75" s="6473"/>
      <c r="C75" s="6473"/>
      <c r="D75" s="6473"/>
      <c r="E75" s="6473"/>
      <c r="F75" s="6473"/>
      <c r="G75" s="6473"/>
      <c r="H75" s="6473"/>
      <c r="I75" s="6473"/>
      <c r="J75" s="6473"/>
      <c r="K75" s="6473"/>
      <c r="L75" s="6473"/>
      <c r="M75" s="6473"/>
      <c r="N75" s="6473"/>
      <c r="O75" s="6473"/>
      <c r="P75" s="6474"/>
      <c r="Q75" s="397"/>
    </row>
    <row r="76" spans="1:17" ht="45" customHeight="1" x14ac:dyDescent="0.35">
      <c r="A76" s="6477" t="s">
        <v>38</v>
      </c>
      <c r="B76" s="6478"/>
      <c r="C76" s="6478"/>
      <c r="D76" s="6478"/>
      <c r="E76" s="6479"/>
      <c r="F76" s="6479"/>
      <c r="G76" s="6479"/>
      <c r="H76" s="6479"/>
      <c r="I76" s="6479"/>
      <c r="J76" s="6479"/>
      <c r="K76" s="6480"/>
      <c r="L76" s="6481"/>
      <c r="M76" s="6481"/>
      <c r="N76" s="6481"/>
      <c r="O76" s="6481"/>
      <c r="P76" s="6482"/>
      <c r="Q76" s="64"/>
    </row>
    <row r="77" spans="1:17" s="66" customFormat="1" ht="3.75" customHeight="1" x14ac:dyDescent="0.35">
      <c r="A77" s="6472"/>
      <c r="B77" s="6473"/>
      <c r="C77" s="6473"/>
      <c r="D77" s="6473"/>
      <c r="E77" s="6473"/>
      <c r="F77" s="6473"/>
      <c r="G77" s="6473"/>
      <c r="H77" s="6473"/>
      <c r="I77" s="6473"/>
      <c r="J77" s="6473"/>
      <c r="K77" s="6473"/>
      <c r="L77" s="6473"/>
      <c r="M77" s="6473"/>
      <c r="N77" s="6473"/>
      <c r="O77" s="6473"/>
      <c r="P77" s="6474"/>
      <c r="Q77" s="397"/>
    </row>
    <row r="78" spans="1:17" ht="45" customHeight="1" x14ac:dyDescent="0.35">
      <c r="A78" s="6477" t="s">
        <v>39</v>
      </c>
      <c r="B78" s="6478"/>
      <c r="C78" s="6478"/>
      <c r="D78" s="6478"/>
      <c r="E78" s="6479"/>
      <c r="F78" s="6479"/>
      <c r="G78" s="6479"/>
      <c r="H78" s="6479"/>
      <c r="I78" s="6479"/>
      <c r="J78" s="6479"/>
      <c r="K78" s="6480"/>
      <c r="L78" s="6481"/>
      <c r="M78" s="6481"/>
      <c r="N78" s="6481"/>
      <c r="O78" s="6481"/>
      <c r="P78" s="6482"/>
      <c r="Q78" s="64"/>
    </row>
    <row r="79" spans="1:17" s="66" customFormat="1" ht="3.75" customHeight="1" x14ac:dyDescent="0.35">
      <c r="A79" s="6472"/>
      <c r="B79" s="6473"/>
      <c r="C79" s="6473"/>
      <c r="D79" s="6473"/>
      <c r="E79" s="6473"/>
      <c r="F79" s="6473"/>
      <c r="G79" s="6473"/>
      <c r="H79" s="6473"/>
      <c r="I79" s="6473"/>
      <c r="J79" s="6473"/>
      <c r="K79" s="6473"/>
      <c r="L79" s="6473"/>
      <c r="M79" s="6473"/>
      <c r="N79" s="6473"/>
      <c r="O79" s="6473"/>
      <c r="P79" s="6474"/>
      <c r="Q79" s="397"/>
    </row>
    <row r="80" spans="1:17" ht="48" customHeight="1" x14ac:dyDescent="0.35">
      <c r="A80" s="6477" t="s">
        <v>40</v>
      </c>
      <c r="B80" s="6478"/>
      <c r="C80" s="6478"/>
      <c r="D80" s="6478"/>
      <c r="E80" s="6479"/>
      <c r="F80" s="6479"/>
      <c r="G80" s="6479"/>
      <c r="H80" s="6479"/>
      <c r="I80" s="6479"/>
      <c r="J80" s="6479"/>
      <c r="K80" s="6480"/>
      <c r="L80" s="6481"/>
      <c r="M80" s="6481"/>
      <c r="N80" s="6481"/>
      <c r="O80" s="6481"/>
      <c r="P80" s="6482"/>
      <c r="Q80" s="64"/>
    </row>
    <row r="81" spans="1:17" s="66" customFormat="1" ht="3.75" customHeight="1" x14ac:dyDescent="0.35">
      <c r="A81" s="6472"/>
      <c r="B81" s="6473"/>
      <c r="C81" s="6473"/>
      <c r="D81" s="6473"/>
      <c r="E81" s="6473"/>
      <c r="F81" s="6473"/>
      <c r="G81" s="6473"/>
      <c r="H81" s="6473"/>
      <c r="I81" s="6473"/>
      <c r="J81" s="6473"/>
      <c r="K81" s="6473"/>
      <c r="L81" s="6473"/>
      <c r="M81" s="6473"/>
      <c r="N81" s="6473"/>
      <c r="O81" s="6473"/>
      <c r="P81" s="6474"/>
      <c r="Q81" s="397"/>
    </row>
    <row r="82" spans="1:17" ht="45" customHeight="1" x14ac:dyDescent="0.35">
      <c r="A82" s="6477" t="s">
        <v>41</v>
      </c>
      <c r="B82" s="6478"/>
      <c r="C82" s="6478"/>
      <c r="D82" s="6478"/>
      <c r="E82" s="6479"/>
      <c r="F82" s="6479"/>
      <c r="G82" s="6479"/>
      <c r="H82" s="6479"/>
      <c r="I82" s="6479"/>
      <c r="J82" s="6479"/>
      <c r="K82" s="6480"/>
      <c r="L82" s="6481"/>
      <c r="M82" s="6481"/>
      <c r="N82" s="6481"/>
      <c r="O82" s="6481"/>
      <c r="P82" s="6482"/>
      <c r="Q82" s="64"/>
    </row>
    <row r="83" spans="1:17" s="66" customFormat="1" ht="3.75" customHeight="1" x14ac:dyDescent="0.35">
      <c r="A83" s="6472"/>
      <c r="B83" s="6473"/>
      <c r="C83" s="6473"/>
      <c r="D83" s="6473"/>
      <c r="E83" s="6473"/>
      <c r="F83" s="6473"/>
      <c r="G83" s="6473"/>
      <c r="H83" s="6473"/>
      <c r="I83" s="6473"/>
      <c r="J83" s="6473"/>
      <c r="K83" s="6473"/>
      <c r="L83" s="6473"/>
      <c r="M83" s="6473"/>
      <c r="N83" s="6473"/>
      <c r="O83" s="6473"/>
      <c r="P83" s="6474"/>
      <c r="Q83" s="397"/>
    </row>
    <row r="84" spans="1:17" ht="46.5" customHeight="1" x14ac:dyDescent="0.35">
      <c r="A84" s="6546"/>
      <c r="B84" s="6547"/>
      <c r="C84" s="6547"/>
      <c r="D84" s="6547"/>
      <c r="E84" s="6479"/>
      <c r="F84" s="6479"/>
      <c r="G84" s="6479"/>
      <c r="H84" s="6479"/>
      <c r="I84" s="6479"/>
      <c r="J84" s="6479"/>
      <c r="K84" s="6480"/>
      <c r="L84" s="6481"/>
      <c r="M84" s="6481"/>
      <c r="N84" s="6481"/>
      <c r="O84" s="6481"/>
      <c r="P84" s="6482"/>
      <c r="Q84" s="64"/>
    </row>
    <row r="85" spans="1:17" s="66" customFormat="1" ht="3.75" customHeight="1" x14ac:dyDescent="0.35">
      <c r="A85" s="6472"/>
      <c r="B85" s="6473"/>
      <c r="C85" s="6473"/>
      <c r="D85" s="6473"/>
      <c r="E85" s="6473"/>
      <c r="F85" s="6473"/>
      <c r="G85" s="6473"/>
      <c r="H85" s="6473"/>
      <c r="I85" s="6473"/>
      <c r="J85" s="6473"/>
      <c r="K85" s="6473"/>
      <c r="L85" s="6473"/>
      <c r="M85" s="6473"/>
      <c r="N85" s="6473"/>
      <c r="O85" s="6473"/>
      <c r="P85" s="6474"/>
      <c r="Q85" s="397"/>
    </row>
    <row r="86" spans="1:17" ht="58.5" customHeight="1" x14ac:dyDescent="0.35">
      <c r="A86" s="6546"/>
      <c r="B86" s="6547"/>
      <c r="C86" s="6547"/>
      <c r="D86" s="6547"/>
      <c r="E86" s="6479"/>
      <c r="F86" s="6479"/>
      <c r="G86" s="6479"/>
      <c r="H86" s="6479"/>
      <c r="I86" s="6479"/>
      <c r="J86" s="6479"/>
      <c r="K86" s="6480"/>
      <c r="L86" s="6481"/>
      <c r="M86" s="6481"/>
      <c r="N86" s="6481"/>
      <c r="O86" s="6481"/>
      <c r="P86" s="6482"/>
      <c r="Q86" s="64"/>
    </row>
    <row r="87" spans="1:17" s="66" customFormat="1" ht="5.25" customHeight="1" thickBot="1" x14ac:dyDescent="0.4">
      <c r="A87" s="6548"/>
      <c r="B87" s="6549"/>
      <c r="C87" s="6549"/>
      <c r="D87" s="6549"/>
      <c r="E87" s="6549"/>
      <c r="F87" s="6549"/>
      <c r="G87" s="6549"/>
      <c r="H87" s="6549"/>
      <c r="I87" s="6549"/>
      <c r="J87" s="6549"/>
      <c r="K87" s="6549"/>
      <c r="L87" s="6549"/>
      <c r="M87" s="6549"/>
      <c r="N87" s="6549"/>
      <c r="O87" s="6549"/>
      <c r="P87" s="6550"/>
      <c r="Q87" s="397"/>
    </row>
    <row r="88" spans="1:17" ht="15" thickTop="1" x14ac:dyDescent="0.35">
      <c r="A88" s="470"/>
      <c r="B88" s="470"/>
      <c r="C88" s="470"/>
      <c r="D88" s="470"/>
      <c r="E88" s="470"/>
      <c r="F88" s="470"/>
      <c r="G88" s="470"/>
      <c r="H88" s="470"/>
      <c r="I88" s="470"/>
      <c r="J88" s="470"/>
      <c r="K88" s="470"/>
      <c r="L88" s="470"/>
      <c r="M88" s="470"/>
      <c r="N88" s="470"/>
      <c r="O88" s="470"/>
      <c r="P88" s="470"/>
      <c r="Q88" s="64"/>
    </row>
    <row r="89" spans="1:17" ht="15" thickBot="1" x14ac:dyDescent="0.4">
      <c r="A89" s="64"/>
      <c r="B89" s="64"/>
      <c r="C89" s="64"/>
      <c r="D89" s="64"/>
      <c r="E89" s="64"/>
      <c r="F89" s="64"/>
      <c r="G89" s="64"/>
      <c r="H89" s="64"/>
      <c r="I89" s="64"/>
      <c r="J89" s="64"/>
      <c r="K89" s="64"/>
      <c r="L89" s="64"/>
      <c r="M89" s="64"/>
      <c r="N89" s="64"/>
      <c r="O89" s="64"/>
      <c r="P89" s="64"/>
      <c r="Q89" s="64"/>
    </row>
    <row r="90" spans="1:17" ht="19.5" thickTop="1" thickBot="1" x14ac:dyDescent="0.4">
      <c r="A90" s="6543" t="s">
        <v>10</v>
      </c>
      <c r="B90" s="6544"/>
      <c r="C90" s="6544"/>
      <c r="D90" s="6544"/>
      <c r="E90" s="6544"/>
      <c r="F90" s="6544"/>
      <c r="G90" s="6544"/>
      <c r="H90" s="6544"/>
      <c r="I90" s="6544"/>
      <c r="J90" s="6545"/>
      <c r="K90" s="471"/>
      <c r="L90" s="3725" t="s">
        <v>748</v>
      </c>
      <c r="M90" s="3726"/>
      <c r="N90" s="3727"/>
      <c r="O90" s="31"/>
      <c r="P90" s="31"/>
      <c r="Q90" s="64"/>
    </row>
    <row r="91" spans="1:17" ht="20.25" customHeight="1" thickTop="1" x14ac:dyDescent="0.35">
      <c r="A91" s="6540" t="s">
        <v>2226</v>
      </c>
      <c r="B91" s="6541"/>
      <c r="C91" s="6541"/>
      <c r="D91" s="6541"/>
      <c r="E91" s="6541"/>
      <c r="F91" s="6541"/>
      <c r="G91" s="6541"/>
      <c r="H91" s="6541"/>
      <c r="I91" s="6541"/>
      <c r="J91" s="6542"/>
      <c r="K91" s="472"/>
      <c r="L91" s="3750" t="s">
        <v>1386</v>
      </c>
      <c r="M91" s="3751"/>
      <c r="N91" s="3752"/>
      <c r="O91" s="473"/>
      <c r="P91" s="473"/>
      <c r="Q91" s="64"/>
    </row>
    <row r="92" spans="1:17" ht="20.25" customHeight="1" x14ac:dyDescent="0.35">
      <c r="A92" s="6533"/>
      <c r="B92" s="6534"/>
      <c r="C92" s="6534"/>
      <c r="D92" s="6534"/>
      <c r="E92" s="6534"/>
      <c r="F92" s="6534"/>
      <c r="G92" s="6534"/>
      <c r="H92" s="6534"/>
      <c r="I92" s="6534"/>
      <c r="J92" s="6535"/>
      <c r="K92" s="472"/>
      <c r="L92" s="3753"/>
      <c r="M92" s="3754"/>
      <c r="N92" s="3755"/>
      <c r="O92" s="473"/>
      <c r="P92" s="473"/>
      <c r="Q92" s="64"/>
    </row>
    <row r="93" spans="1:17" ht="20.25" customHeight="1" x14ac:dyDescent="0.35">
      <c r="A93" s="6533"/>
      <c r="B93" s="6534"/>
      <c r="C93" s="6534"/>
      <c r="D93" s="6534"/>
      <c r="E93" s="6534"/>
      <c r="F93" s="6534"/>
      <c r="G93" s="6534"/>
      <c r="H93" s="6534"/>
      <c r="I93" s="6534"/>
      <c r="J93" s="6535"/>
      <c r="K93" s="472"/>
      <c r="L93" s="3753"/>
      <c r="M93" s="3754"/>
      <c r="N93" s="3755"/>
      <c r="O93" s="473"/>
      <c r="P93" s="473"/>
      <c r="Q93" s="64"/>
    </row>
    <row r="94" spans="1:17" ht="20.25" customHeight="1" x14ac:dyDescent="0.35">
      <c r="A94" s="6533"/>
      <c r="B94" s="6534"/>
      <c r="C94" s="6534"/>
      <c r="D94" s="6534"/>
      <c r="E94" s="6534"/>
      <c r="F94" s="6534"/>
      <c r="G94" s="6534"/>
      <c r="H94" s="6534"/>
      <c r="I94" s="6534"/>
      <c r="J94" s="6535"/>
      <c r="K94" s="472"/>
      <c r="L94" s="3753"/>
      <c r="M94" s="3754"/>
      <c r="N94" s="3755"/>
      <c r="O94" s="473"/>
      <c r="P94" s="473"/>
      <c r="Q94" s="64"/>
    </row>
    <row r="95" spans="1:17" ht="15" thickBot="1" x14ac:dyDescent="0.4">
      <c r="A95" s="6536"/>
      <c r="B95" s="6537"/>
      <c r="C95" s="6537"/>
      <c r="D95" s="6537"/>
      <c r="E95" s="6537"/>
      <c r="F95" s="6537"/>
      <c r="G95" s="6537"/>
      <c r="H95" s="6537"/>
      <c r="I95" s="6537"/>
      <c r="J95" s="6538"/>
      <c r="K95" s="472"/>
      <c r="L95" s="5334"/>
      <c r="M95" s="5468"/>
      <c r="N95" s="5469"/>
      <c r="O95" s="473"/>
      <c r="P95" s="473"/>
      <c r="Q95" s="64"/>
    </row>
    <row r="96" spans="1:17" s="66" customFormat="1" ht="15" thickTop="1" x14ac:dyDescent="0.35">
      <c r="A96" s="474"/>
      <c r="B96" s="474"/>
      <c r="C96" s="474"/>
      <c r="D96" s="474"/>
      <c r="E96" s="474"/>
      <c r="F96" s="474"/>
      <c r="G96" s="474"/>
      <c r="H96" s="474"/>
      <c r="I96" s="474"/>
      <c r="J96" s="474"/>
      <c r="K96" s="473"/>
      <c r="L96" s="475"/>
      <c r="M96" s="475"/>
      <c r="N96" s="475"/>
      <c r="O96" s="473"/>
      <c r="P96" s="473"/>
      <c r="Q96" s="397"/>
    </row>
    <row r="97" spans="1:17" s="66" customFormat="1" ht="15" thickBot="1" x14ac:dyDescent="0.4">
      <c r="A97" s="397"/>
      <c r="B97" s="397"/>
      <c r="C97" s="397"/>
      <c r="D97" s="397"/>
      <c r="E97" s="397"/>
      <c r="F97" s="397"/>
      <c r="G97" s="397"/>
      <c r="H97" s="397"/>
      <c r="I97" s="397"/>
      <c r="J97" s="397"/>
      <c r="K97" s="476"/>
      <c r="L97" s="476"/>
      <c r="M97" s="476"/>
      <c r="N97" s="476"/>
      <c r="O97" s="476"/>
      <c r="P97" s="476"/>
      <c r="Q97" s="397"/>
    </row>
    <row r="98" spans="1:17" ht="20.25" customHeight="1" thickTop="1" thickBot="1" x14ac:dyDescent="0.4">
      <c r="A98" s="6526" t="s">
        <v>11</v>
      </c>
      <c r="B98" s="6527"/>
      <c r="C98" s="6527"/>
      <c r="D98" s="6527"/>
      <c r="E98" s="6527"/>
      <c r="F98" s="6527"/>
      <c r="G98" s="6527"/>
      <c r="H98" s="6527"/>
      <c r="I98" s="6527"/>
      <c r="J98" s="6528"/>
      <c r="K98" s="477"/>
      <c r="L98" s="3725" t="s">
        <v>748</v>
      </c>
      <c r="M98" s="3726"/>
      <c r="N98" s="3727"/>
      <c r="O98" s="478"/>
      <c r="P98" s="478"/>
      <c r="Q98" s="64"/>
    </row>
    <row r="99" spans="1:17" ht="20.25" customHeight="1" x14ac:dyDescent="0.35">
      <c r="A99" s="6530" t="s">
        <v>1920</v>
      </c>
      <c r="B99" s="6531"/>
      <c r="C99" s="6531"/>
      <c r="D99" s="6531"/>
      <c r="E99" s="6531"/>
      <c r="F99" s="6531"/>
      <c r="G99" s="6531"/>
      <c r="H99" s="6531"/>
      <c r="I99" s="6531"/>
      <c r="J99" s="6532"/>
      <c r="K99" s="477"/>
      <c r="L99" s="3750" t="s">
        <v>1387</v>
      </c>
      <c r="M99" s="3751"/>
      <c r="N99" s="3752"/>
      <c r="O99" s="478"/>
      <c r="P99" s="478"/>
      <c r="Q99" s="64"/>
    </row>
    <row r="100" spans="1:17" ht="20.25" customHeight="1" x14ac:dyDescent="0.35">
      <c r="A100" s="6533"/>
      <c r="B100" s="6534"/>
      <c r="C100" s="6534"/>
      <c r="D100" s="6534"/>
      <c r="E100" s="6534"/>
      <c r="F100" s="6534"/>
      <c r="G100" s="6534"/>
      <c r="H100" s="6534"/>
      <c r="I100" s="6534"/>
      <c r="J100" s="6535"/>
      <c r="K100" s="477"/>
      <c r="L100" s="3753"/>
      <c r="M100" s="3754"/>
      <c r="N100" s="3755"/>
      <c r="O100" s="478"/>
      <c r="P100" s="478"/>
      <c r="Q100" s="64"/>
    </row>
    <row r="101" spans="1:17" ht="20.25" customHeight="1" x14ac:dyDescent="0.35">
      <c r="A101" s="6533"/>
      <c r="B101" s="6534"/>
      <c r="C101" s="6534"/>
      <c r="D101" s="6534"/>
      <c r="E101" s="6534"/>
      <c r="F101" s="6534"/>
      <c r="G101" s="6534"/>
      <c r="H101" s="6534"/>
      <c r="I101" s="6534"/>
      <c r="J101" s="6535"/>
      <c r="K101" s="477"/>
      <c r="L101" s="3753"/>
      <c r="M101" s="3754"/>
      <c r="N101" s="3755"/>
      <c r="O101" s="478"/>
      <c r="P101" s="478"/>
      <c r="Q101" s="64"/>
    </row>
    <row r="102" spans="1:17" ht="20.25" customHeight="1" x14ac:dyDescent="0.35">
      <c r="A102" s="6533"/>
      <c r="B102" s="6534"/>
      <c r="C102" s="6534"/>
      <c r="D102" s="6534"/>
      <c r="E102" s="6534"/>
      <c r="F102" s="6534"/>
      <c r="G102" s="6534"/>
      <c r="H102" s="6534"/>
      <c r="I102" s="6534"/>
      <c r="J102" s="6535"/>
      <c r="K102" s="477"/>
      <c r="L102" s="3753"/>
      <c r="M102" s="3754"/>
      <c r="N102" s="3755"/>
      <c r="O102" s="478"/>
      <c r="P102" s="478"/>
      <c r="Q102" s="64"/>
    </row>
    <row r="103" spans="1:17" ht="15" thickBot="1" x14ac:dyDescent="0.4">
      <c r="A103" s="6536"/>
      <c r="B103" s="6537"/>
      <c r="C103" s="6537"/>
      <c r="D103" s="6537"/>
      <c r="E103" s="6537"/>
      <c r="F103" s="6537"/>
      <c r="G103" s="6537"/>
      <c r="H103" s="6537"/>
      <c r="I103" s="6537"/>
      <c r="J103" s="6538"/>
      <c r="K103" s="64"/>
      <c r="L103" s="5334"/>
      <c r="M103" s="5468"/>
      <c r="N103" s="5469"/>
      <c r="O103" s="64"/>
      <c r="P103" s="64"/>
      <c r="Q103" s="64"/>
    </row>
    <row r="104" spans="1:17" ht="15" thickTop="1" x14ac:dyDescent="0.35">
      <c r="A104" s="64"/>
      <c r="B104" s="64"/>
      <c r="C104" s="64"/>
      <c r="D104" s="64"/>
      <c r="E104" s="64"/>
      <c r="F104" s="64"/>
      <c r="G104" s="64"/>
      <c r="H104" s="64"/>
      <c r="I104" s="64"/>
      <c r="J104" s="64"/>
      <c r="K104" s="64"/>
      <c r="L104" s="64"/>
      <c r="M104" s="64"/>
      <c r="N104" s="64"/>
      <c r="O104" s="64"/>
      <c r="P104" s="64"/>
      <c r="Q104" s="64"/>
    </row>
    <row r="105" spans="1:17" ht="15" thickBot="1" x14ac:dyDescent="0.4">
      <c r="A105" s="64"/>
      <c r="B105" s="64"/>
      <c r="C105" s="64"/>
      <c r="D105" s="64"/>
      <c r="E105" s="64"/>
      <c r="F105" s="64"/>
      <c r="G105" s="64"/>
      <c r="H105" s="64"/>
      <c r="I105" s="64"/>
      <c r="J105" s="64"/>
      <c r="K105" s="64"/>
      <c r="L105" s="64"/>
      <c r="M105" s="64"/>
      <c r="N105" s="64"/>
      <c r="O105" s="64"/>
      <c r="P105" s="64"/>
      <c r="Q105" s="64"/>
    </row>
    <row r="106" spans="1:17" ht="19.5" thickTop="1" thickBot="1" x14ac:dyDescent="0.5">
      <c r="A106" s="6515" t="s">
        <v>771</v>
      </c>
      <c r="B106" s="6516"/>
      <c r="C106" s="6516"/>
      <c r="D106" s="6516"/>
      <c r="E106" s="6516" t="str">
        <f>E6</f>
        <v>EQUINIX</v>
      </c>
      <c r="F106" s="6516"/>
      <c r="G106" s="6516" t="str">
        <f>G6</f>
        <v>ASEMA</v>
      </c>
      <c r="H106" s="6516"/>
      <c r="I106" s="6516">
        <f>I6</f>
        <v>0</v>
      </c>
      <c r="J106" s="6539"/>
      <c r="K106" s="64"/>
      <c r="L106" s="64"/>
      <c r="M106" s="64"/>
      <c r="N106" s="64"/>
      <c r="O106" s="64"/>
      <c r="P106" s="64"/>
      <c r="Q106" s="64"/>
    </row>
    <row r="107" spans="1:17" ht="15" thickTop="1" x14ac:dyDescent="0.35">
      <c r="A107" s="6517" t="s">
        <v>791</v>
      </c>
      <c r="B107" s="6518"/>
      <c r="C107" s="6518"/>
      <c r="D107" s="6518"/>
      <c r="E107" s="6519"/>
      <c r="F107" s="6519"/>
      <c r="G107" s="6519"/>
      <c r="H107" s="6519"/>
      <c r="I107" s="6520"/>
      <c r="J107" s="6521"/>
      <c r="K107" s="64"/>
      <c r="L107" s="64"/>
      <c r="M107" s="64"/>
      <c r="N107" s="64"/>
      <c r="O107" s="64"/>
      <c r="P107" s="64"/>
      <c r="Q107" s="64"/>
    </row>
    <row r="108" spans="1:17" x14ac:dyDescent="0.35">
      <c r="A108" s="6517" t="s">
        <v>783</v>
      </c>
      <c r="B108" s="6518"/>
      <c r="C108" s="6518"/>
      <c r="D108" s="6518"/>
      <c r="E108" s="6522"/>
      <c r="F108" s="6522"/>
      <c r="G108" s="6522"/>
      <c r="H108" s="6522"/>
      <c r="I108" s="6511"/>
      <c r="J108" s="6512"/>
      <c r="K108" s="64"/>
      <c r="L108" s="64"/>
      <c r="M108" s="64"/>
      <c r="N108" s="64"/>
      <c r="O108" s="64"/>
      <c r="P108" s="64"/>
      <c r="Q108" s="64"/>
    </row>
    <row r="109" spans="1:17" x14ac:dyDescent="0.35">
      <c r="A109" s="6517" t="s">
        <v>784</v>
      </c>
      <c r="B109" s="6518"/>
      <c r="C109" s="6518"/>
      <c r="D109" s="6518"/>
      <c r="E109" s="6522"/>
      <c r="F109" s="6522"/>
      <c r="G109" s="6522"/>
      <c r="H109" s="6522"/>
      <c r="I109" s="6511"/>
      <c r="J109" s="6512"/>
      <c r="K109" s="64"/>
      <c r="L109" s="64"/>
      <c r="M109" s="64"/>
      <c r="N109" s="64"/>
      <c r="O109" s="64"/>
      <c r="P109" s="64"/>
      <c r="Q109" s="64"/>
    </row>
    <row r="110" spans="1:17" x14ac:dyDescent="0.35">
      <c r="A110" s="6517" t="s">
        <v>707</v>
      </c>
      <c r="B110" s="6518"/>
      <c r="C110" s="6518"/>
      <c r="D110" s="6518"/>
      <c r="E110" s="6522"/>
      <c r="F110" s="6522"/>
      <c r="G110" s="6522"/>
      <c r="H110" s="6522"/>
      <c r="I110" s="6511"/>
      <c r="J110" s="6512"/>
      <c r="K110" s="64"/>
      <c r="L110" s="64"/>
      <c r="M110" s="64"/>
      <c r="N110" s="64"/>
      <c r="O110" s="64"/>
      <c r="P110" s="64"/>
      <c r="Q110" s="64"/>
    </row>
    <row r="111" spans="1:17" x14ac:dyDescent="0.35">
      <c r="A111" s="6517" t="s">
        <v>785</v>
      </c>
      <c r="B111" s="6518"/>
      <c r="C111" s="6518"/>
      <c r="D111" s="6518"/>
      <c r="E111" s="6522"/>
      <c r="F111" s="6522"/>
      <c r="G111" s="6522"/>
      <c r="H111" s="6522"/>
      <c r="I111" s="6511"/>
      <c r="J111" s="6512"/>
      <c r="K111" s="64"/>
      <c r="L111" s="64"/>
      <c r="M111" s="64"/>
      <c r="N111" s="64"/>
      <c r="O111" s="64"/>
      <c r="P111" s="64"/>
      <c r="Q111" s="64"/>
    </row>
    <row r="112" spans="1:17" x14ac:dyDescent="0.35">
      <c r="A112" s="6517" t="s">
        <v>786</v>
      </c>
      <c r="B112" s="6518"/>
      <c r="C112" s="6518"/>
      <c r="D112" s="6518"/>
      <c r="E112" s="6522"/>
      <c r="F112" s="6522"/>
      <c r="G112" s="6522"/>
      <c r="H112" s="6522"/>
      <c r="I112" s="6511"/>
      <c r="J112" s="6512"/>
      <c r="K112" s="64"/>
      <c r="L112" s="64"/>
      <c r="M112" s="64"/>
      <c r="N112" s="64"/>
      <c r="O112" s="64"/>
      <c r="P112" s="64"/>
      <c r="Q112" s="64"/>
    </row>
    <row r="113" spans="1:17" x14ac:dyDescent="0.35">
      <c r="A113" s="6517" t="s">
        <v>787</v>
      </c>
      <c r="B113" s="6518"/>
      <c r="C113" s="6518"/>
      <c r="D113" s="6518"/>
      <c r="E113" s="6522"/>
      <c r="F113" s="6522"/>
      <c r="G113" s="6522"/>
      <c r="H113" s="6522"/>
      <c r="I113" s="6511"/>
      <c r="J113" s="6512"/>
      <c r="K113" s="64"/>
      <c r="L113" s="64"/>
      <c r="M113" s="64"/>
      <c r="N113" s="64"/>
      <c r="O113" s="64"/>
      <c r="P113" s="64"/>
      <c r="Q113" s="64"/>
    </row>
    <row r="114" spans="1:17" x14ac:dyDescent="0.35">
      <c r="A114" s="6517" t="s">
        <v>788</v>
      </c>
      <c r="B114" s="6518"/>
      <c r="C114" s="6518"/>
      <c r="D114" s="6518"/>
      <c r="E114" s="6522"/>
      <c r="F114" s="6522"/>
      <c r="G114" s="6522"/>
      <c r="H114" s="6522"/>
      <c r="I114" s="6511"/>
      <c r="J114" s="6512"/>
      <c r="K114" s="64"/>
      <c r="L114" s="64"/>
      <c r="M114" s="64"/>
      <c r="N114" s="64"/>
      <c r="O114" s="64"/>
      <c r="P114" s="64"/>
      <c r="Q114" s="64"/>
    </row>
    <row r="115" spans="1:17" x14ac:dyDescent="0.35">
      <c r="A115" s="6517" t="s">
        <v>789</v>
      </c>
      <c r="B115" s="6518"/>
      <c r="C115" s="6518"/>
      <c r="D115" s="6518"/>
      <c r="E115" s="6522"/>
      <c r="F115" s="6522"/>
      <c r="G115" s="6522"/>
      <c r="H115" s="6522"/>
      <c r="I115" s="6511"/>
      <c r="J115" s="6512"/>
      <c r="K115" s="64"/>
      <c r="L115" s="64"/>
      <c r="M115" s="64"/>
      <c r="N115" s="64"/>
      <c r="O115" s="64"/>
      <c r="P115" s="64"/>
      <c r="Q115" s="64"/>
    </row>
    <row r="116" spans="1:17" x14ac:dyDescent="0.35">
      <c r="A116" s="6517" t="s">
        <v>790</v>
      </c>
      <c r="B116" s="6518"/>
      <c r="C116" s="6518"/>
      <c r="D116" s="6518"/>
      <c r="E116" s="6522"/>
      <c r="F116" s="6522"/>
      <c r="G116" s="6522"/>
      <c r="H116" s="6522"/>
      <c r="I116" s="6511"/>
      <c r="J116" s="6512"/>
      <c r="K116" s="64"/>
      <c r="L116" s="64"/>
      <c r="M116" s="64"/>
      <c r="N116" s="64"/>
      <c r="O116" s="64"/>
      <c r="P116" s="64"/>
      <c r="Q116" s="64"/>
    </row>
    <row r="117" spans="1:17" x14ac:dyDescent="0.35">
      <c r="A117" s="6517"/>
      <c r="B117" s="6518"/>
      <c r="C117" s="6518"/>
      <c r="D117" s="6518"/>
      <c r="E117" s="6522"/>
      <c r="F117" s="6522"/>
      <c r="G117" s="6522"/>
      <c r="H117" s="6522"/>
      <c r="I117" s="6511"/>
      <c r="J117" s="6512"/>
      <c r="K117" s="64"/>
      <c r="L117" s="64"/>
      <c r="M117" s="64"/>
      <c r="N117" s="64"/>
      <c r="O117" s="64"/>
      <c r="P117" s="64"/>
      <c r="Q117" s="64"/>
    </row>
    <row r="118" spans="1:17" x14ac:dyDescent="0.35">
      <c r="A118" s="6517"/>
      <c r="B118" s="6518"/>
      <c r="C118" s="6518"/>
      <c r="D118" s="6518"/>
      <c r="E118" s="6522"/>
      <c r="F118" s="6522"/>
      <c r="G118" s="6522"/>
      <c r="H118" s="6522"/>
      <c r="I118" s="6511"/>
      <c r="J118" s="6512"/>
      <c r="K118" s="64"/>
      <c r="L118" s="64"/>
      <c r="M118" s="64"/>
      <c r="N118" s="64"/>
      <c r="O118" s="64"/>
      <c r="P118" s="64"/>
      <c r="Q118" s="64"/>
    </row>
    <row r="119" spans="1:17" ht="15" thickBot="1" x14ac:dyDescent="0.4">
      <c r="A119" s="6523"/>
      <c r="B119" s="6524"/>
      <c r="C119" s="6524"/>
      <c r="D119" s="6525"/>
      <c r="E119" s="6529"/>
      <c r="F119" s="6529"/>
      <c r="G119" s="6529"/>
      <c r="H119" s="6529"/>
      <c r="I119" s="6513"/>
      <c r="J119" s="6514"/>
      <c r="K119" s="64"/>
      <c r="L119" s="64"/>
      <c r="M119" s="64"/>
      <c r="N119" s="64"/>
      <c r="O119" s="64"/>
      <c r="P119" s="64"/>
      <c r="Q119" s="64"/>
    </row>
    <row r="120" spans="1:17" ht="15" thickTop="1" x14ac:dyDescent="0.35">
      <c r="A120" s="64"/>
      <c r="B120" s="64"/>
      <c r="C120" s="64"/>
      <c r="D120" s="64"/>
      <c r="E120" s="64"/>
      <c r="F120" s="64"/>
      <c r="G120" s="64"/>
      <c r="H120" s="64"/>
      <c r="I120" s="64"/>
      <c r="J120" s="64"/>
      <c r="K120" s="64"/>
      <c r="L120" s="64"/>
      <c r="M120" s="64"/>
      <c r="N120" s="64"/>
      <c r="O120" s="64"/>
      <c r="P120" s="64"/>
      <c r="Q120" s="64"/>
    </row>
  </sheetData>
  <mergeCells count="305">
    <mergeCell ref="G20:H20"/>
    <mergeCell ref="I20:J20"/>
    <mergeCell ref="G22:H22"/>
    <mergeCell ref="I22:J22"/>
    <mergeCell ref="A31:P31"/>
    <mergeCell ref="A33:P33"/>
    <mergeCell ref="G26:H26"/>
    <mergeCell ref="A27:P27"/>
    <mergeCell ref="I26:J26"/>
    <mergeCell ref="A29:P29"/>
    <mergeCell ref="A30:D30"/>
    <mergeCell ref="E30:F30"/>
    <mergeCell ref="G30:H30"/>
    <mergeCell ref="I30:J30"/>
    <mergeCell ref="K30:P30"/>
    <mergeCell ref="K26:P26"/>
    <mergeCell ref="E28:F28"/>
    <mergeCell ref="G28:H28"/>
    <mergeCell ref="A22:D22"/>
    <mergeCell ref="A28:D28"/>
    <mergeCell ref="I28:J28"/>
    <mergeCell ref="K28:P28"/>
    <mergeCell ref="A10:P10"/>
    <mergeCell ref="A18:P18"/>
    <mergeCell ref="K14:P14"/>
    <mergeCell ref="I14:J14"/>
    <mergeCell ref="E22:F22"/>
    <mergeCell ref="A21:P21"/>
    <mergeCell ref="A23:P23"/>
    <mergeCell ref="D3:G3"/>
    <mergeCell ref="L1:M1"/>
    <mergeCell ref="D2:G2"/>
    <mergeCell ref="I2:J2"/>
    <mergeCell ref="L2:M2"/>
    <mergeCell ref="D1:G1"/>
    <mergeCell ref="I1:J1"/>
    <mergeCell ref="K6:P6"/>
    <mergeCell ref="E6:F6"/>
    <mergeCell ref="A13:P13"/>
    <mergeCell ref="B6:D6"/>
    <mergeCell ref="E7:F8"/>
    <mergeCell ref="I7:J8"/>
    <mergeCell ref="A16:D16"/>
    <mergeCell ref="I6:J6"/>
    <mergeCell ref="C5:P5"/>
    <mergeCell ref="G6:H6"/>
    <mergeCell ref="I12:J12"/>
    <mergeCell ref="A12:D12"/>
    <mergeCell ref="E12:F12"/>
    <mergeCell ref="G60:H60"/>
    <mergeCell ref="I60:J60"/>
    <mergeCell ref="A32:P32"/>
    <mergeCell ref="A68:D68"/>
    <mergeCell ref="E68:F68"/>
    <mergeCell ref="I34:J34"/>
    <mergeCell ref="G36:H36"/>
    <mergeCell ref="A24:D24"/>
    <mergeCell ref="E24:F24"/>
    <mergeCell ref="K24:P24"/>
    <mergeCell ref="K22:P22"/>
    <mergeCell ref="G24:H24"/>
    <mergeCell ref="I24:J24"/>
    <mergeCell ref="G34:H34"/>
    <mergeCell ref="K34:P34"/>
    <mergeCell ref="A34:D34"/>
    <mergeCell ref="E34:F34"/>
    <mergeCell ref="A36:D36"/>
    <mergeCell ref="A26:D26"/>
    <mergeCell ref="E26:F26"/>
    <mergeCell ref="A25:P25"/>
    <mergeCell ref="I78:J78"/>
    <mergeCell ref="G76:H76"/>
    <mergeCell ref="I76:J76"/>
    <mergeCell ref="G70:H70"/>
    <mergeCell ref="E52:F52"/>
    <mergeCell ref="I64:J64"/>
    <mergeCell ref="G58:H58"/>
    <mergeCell ref="I58:J58"/>
    <mergeCell ref="A77:P77"/>
    <mergeCell ref="I54:J54"/>
    <mergeCell ref="K54:P54"/>
    <mergeCell ref="K56:P56"/>
    <mergeCell ref="E60:F60"/>
    <mergeCell ref="A62:D62"/>
    <mergeCell ref="E62:F62"/>
    <mergeCell ref="A55:P55"/>
    <mergeCell ref="G54:H54"/>
    <mergeCell ref="G52:H52"/>
    <mergeCell ref="I52:J52"/>
    <mergeCell ref="E58:F58"/>
    <mergeCell ref="A63:P63"/>
    <mergeCell ref="A65:P65"/>
    <mergeCell ref="A69:P69"/>
    <mergeCell ref="A71:P71"/>
    <mergeCell ref="E36:F36"/>
    <mergeCell ref="A38:D38"/>
    <mergeCell ref="I36:J36"/>
    <mergeCell ref="G38:H38"/>
    <mergeCell ref="I38:J38"/>
    <mergeCell ref="A50:D50"/>
    <mergeCell ref="E50:F50"/>
    <mergeCell ref="A48:P48"/>
    <mergeCell ref="K46:P46"/>
    <mergeCell ref="K36:P36"/>
    <mergeCell ref="I44:J44"/>
    <mergeCell ref="A40:D40"/>
    <mergeCell ref="E40:F40"/>
    <mergeCell ref="A42:D42"/>
    <mergeCell ref="G42:H42"/>
    <mergeCell ref="A44:D44"/>
    <mergeCell ref="E44:F44"/>
    <mergeCell ref="K42:P42"/>
    <mergeCell ref="K44:P44"/>
    <mergeCell ref="A47:P47"/>
    <mergeCell ref="A49:P49"/>
    <mergeCell ref="A51:P51"/>
    <mergeCell ref="E42:F42"/>
    <mergeCell ref="I42:J42"/>
    <mergeCell ref="G44:H44"/>
    <mergeCell ref="I50:J50"/>
    <mergeCell ref="K50:P50"/>
    <mergeCell ref="G50:H50"/>
    <mergeCell ref="A79:P79"/>
    <mergeCell ref="K60:P60"/>
    <mergeCell ref="K62:P62"/>
    <mergeCell ref="A58:D58"/>
    <mergeCell ref="A57:P57"/>
    <mergeCell ref="A59:P59"/>
    <mergeCell ref="A61:P61"/>
    <mergeCell ref="I70:J70"/>
    <mergeCell ref="G72:H72"/>
    <mergeCell ref="K58:P58"/>
    <mergeCell ref="G74:H74"/>
    <mergeCell ref="I74:J74"/>
    <mergeCell ref="A72:D72"/>
    <mergeCell ref="E72:F72"/>
    <mergeCell ref="A74:D74"/>
    <mergeCell ref="E74:F74"/>
    <mergeCell ref="A67:P67"/>
    <mergeCell ref="A73:P73"/>
    <mergeCell ref="A60:D60"/>
    <mergeCell ref="A83:P83"/>
    <mergeCell ref="A85:P85"/>
    <mergeCell ref="I68:J68"/>
    <mergeCell ref="G62:H62"/>
    <mergeCell ref="A64:D64"/>
    <mergeCell ref="E64:F64"/>
    <mergeCell ref="A66:D66"/>
    <mergeCell ref="E66:F66"/>
    <mergeCell ref="K66:P66"/>
    <mergeCell ref="K68:P68"/>
    <mergeCell ref="K70:P70"/>
    <mergeCell ref="K72:P72"/>
    <mergeCell ref="K74:P74"/>
    <mergeCell ref="A70:D70"/>
    <mergeCell ref="E70:F70"/>
    <mergeCell ref="A75:P75"/>
    <mergeCell ref="I72:J72"/>
    <mergeCell ref="K64:P64"/>
    <mergeCell ref="G80:H80"/>
    <mergeCell ref="I66:J66"/>
    <mergeCell ref="G68:H68"/>
    <mergeCell ref="G66:H66"/>
    <mergeCell ref="I62:J62"/>
    <mergeCell ref="G64:H64"/>
    <mergeCell ref="A90:J90"/>
    <mergeCell ref="L90:N90"/>
    <mergeCell ref="A86:D86"/>
    <mergeCell ref="E86:F86"/>
    <mergeCell ref="A76:D76"/>
    <mergeCell ref="E76:F76"/>
    <mergeCell ref="A78:D78"/>
    <mergeCell ref="E78:F78"/>
    <mergeCell ref="A80:D80"/>
    <mergeCell ref="A87:P87"/>
    <mergeCell ref="A82:D82"/>
    <mergeCell ref="E82:F82"/>
    <mergeCell ref="A84:D84"/>
    <mergeCell ref="E84:F84"/>
    <mergeCell ref="E80:F80"/>
    <mergeCell ref="G78:H78"/>
    <mergeCell ref="G82:H82"/>
    <mergeCell ref="I82:J82"/>
    <mergeCell ref="I80:J80"/>
    <mergeCell ref="A81:P81"/>
    <mergeCell ref="G84:H84"/>
    <mergeCell ref="I84:J84"/>
    <mergeCell ref="G86:H86"/>
    <mergeCell ref="I86:J86"/>
    <mergeCell ref="G110:H110"/>
    <mergeCell ref="G111:H111"/>
    <mergeCell ref="G112:H112"/>
    <mergeCell ref="G113:H113"/>
    <mergeCell ref="L98:N98"/>
    <mergeCell ref="L99:N103"/>
    <mergeCell ref="A99:J103"/>
    <mergeCell ref="E106:F106"/>
    <mergeCell ref="G106:H106"/>
    <mergeCell ref="I106:J106"/>
    <mergeCell ref="E108:F108"/>
    <mergeCell ref="I108:J108"/>
    <mergeCell ref="A107:D107"/>
    <mergeCell ref="A108:D108"/>
    <mergeCell ref="A109:D109"/>
    <mergeCell ref="A110:D110"/>
    <mergeCell ref="A111:D111"/>
    <mergeCell ref="A112:D112"/>
    <mergeCell ref="A113:D113"/>
    <mergeCell ref="E113:F113"/>
    <mergeCell ref="L91:N95"/>
    <mergeCell ref="A91:J95"/>
    <mergeCell ref="K76:P76"/>
    <mergeCell ref="K78:P78"/>
    <mergeCell ref="K80:P80"/>
    <mergeCell ref="K82:P82"/>
    <mergeCell ref="K84:P84"/>
    <mergeCell ref="K86:P86"/>
    <mergeCell ref="A119:D119"/>
    <mergeCell ref="E109:F109"/>
    <mergeCell ref="E111:F111"/>
    <mergeCell ref="E112:F112"/>
    <mergeCell ref="A98:J98"/>
    <mergeCell ref="G115:H115"/>
    <mergeCell ref="E116:F116"/>
    <mergeCell ref="G116:H116"/>
    <mergeCell ref="E117:F117"/>
    <mergeCell ref="G117:H117"/>
    <mergeCell ref="E110:F110"/>
    <mergeCell ref="I109:J109"/>
    <mergeCell ref="I110:J110"/>
    <mergeCell ref="I111:J111"/>
    <mergeCell ref="I112:J112"/>
    <mergeCell ref="I113:J113"/>
    <mergeCell ref="E119:F119"/>
    <mergeCell ref="G119:H119"/>
    <mergeCell ref="I114:J114"/>
    <mergeCell ref="I115:J115"/>
    <mergeCell ref="I116:J116"/>
    <mergeCell ref="I117:J117"/>
    <mergeCell ref="I118:J118"/>
    <mergeCell ref="I119:J119"/>
    <mergeCell ref="A106:D106"/>
    <mergeCell ref="A114:D114"/>
    <mergeCell ref="A115:D115"/>
    <mergeCell ref="A116:D116"/>
    <mergeCell ref="A117:D117"/>
    <mergeCell ref="A118:D118"/>
    <mergeCell ref="E107:F107"/>
    <mergeCell ref="G107:H107"/>
    <mergeCell ref="I107:J107"/>
    <mergeCell ref="E114:F114"/>
    <mergeCell ref="G114:H114"/>
    <mergeCell ref="E115:F115"/>
    <mergeCell ref="E118:F118"/>
    <mergeCell ref="G118:H118"/>
    <mergeCell ref="G108:H108"/>
    <mergeCell ref="G109:H109"/>
    <mergeCell ref="C4:G4"/>
    <mergeCell ref="H4:P4"/>
    <mergeCell ref="A15:P15"/>
    <mergeCell ref="A11:P11"/>
    <mergeCell ref="A17:P17"/>
    <mergeCell ref="A19:P19"/>
    <mergeCell ref="A4:B4"/>
    <mergeCell ref="K12:P12"/>
    <mergeCell ref="K20:P20"/>
    <mergeCell ref="A20:D20"/>
    <mergeCell ref="E20:F20"/>
    <mergeCell ref="G7:H8"/>
    <mergeCell ref="A14:D14"/>
    <mergeCell ref="E14:F14"/>
    <mergeCell ref="G14:H14"/>
    <mergeCell ref="A7:D8"/>
    <mergeCell ref="A5:B5"/>
    <mergeCell ref="E16:F16"/>
    <mergeCell ref="G16:H16"/>
    <mergeCell ref="I16:J16"/>
    <mergeCell ref="K16:P16"/>
    <mergeCell ref="A9:P9"/>
    <mergeCell ref="K7:P8"/>
    <mergeCell ref="G12:H12"/>
    <mergeCell ref="A35:P35"/>
    <mergeCell ref="A53:P53"/>
    <mergeCell ref="G46:H46"/>
    <mergeCell ref="A52:D52"/>
    <mergeCell ref="A54:D54"/>
    <mergeCell ref="E54:F54"/>
    <mergeCell ref="A56:D56"/>
    <mergeCell ref="E56:F56"/>
    <mergeCell ref="A46:D46"/>
    <mergeCell ref="E46:F46"/>
    <mergeCell ref="G56:H56"/>
    <mergeCell ref="I56:J56"/>
    <mergeCell ref="I46:J46"/>
    <mergeCell ref="K52:P52"/>
    <mergeCell ref="G40:H40"/>
    <mergeCell ref="I40:J40"/>
    <mergeCell ref="E38:F38"/>
    <mergeCell ref="A37:P37"/>
    <mergeCell ref="A39:P39"/>
    <mergeCell ref="A41:P41"/>
    <mergeCell ref="A43:P43"/>
    <mergeCell ref="A45:P45"/>
    <mergeCell ref="K38:P38"/>
    <mergeCell ref="K40:P40"/>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900-000000000000}">
      <formula1>AvancementTheme</formula1>
    </dataValidation>
  </dataValidations>
  <hyperlinks>
    <hyperlink ref="O1" location="DPDV_02ST" display="PdV" xr:uid="{00000000-0004-0000-5900-000000000000}"/>
    <hyperlink ref="P1" location="'02-CHANNELSTRATEGY'!DKPI_02ST" display="KPI's" xr:uid="{00000000-0004-0000-5900-000001000000}"/>
  </hyperlinks>
  <pageMargins left="0.70866141732283472" right="0.70866141732283472" top="0.74803149606299213" bottom="0.74803149606299213" header="0.31496062992125984" footer="0.31496062992125984"/>
  <pageSetup paperSize="9" scale="26" orientation="portrait" r:id="rId1"/>
  <headerFooter>
    <oddHeader>&amp;LPAD Methodology (c) 2013-2014&amp;RStrategic Management Workshop</oddHeader>
    <oddFooter>&amp;L&amp;F&amp;C&amp;A&amp;RSituation au : &amp;D - page : &amp;P/&amp;N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euil44">
    <tabColor rgb="FF00B0F0"/>
    <pageSetUpPr fitToPage="1"/>
  </sheetPr>
  <dimension ref="A1:AH119"/>
  <sheetViews>
    <sheetView showGridLines="0" showRowColHeaders="0" zoomScale="110" zoomScaleNormal="110" zoomScaleSheetLayoutView="140" workbookViewId="0">
      <pane ySplit="7" topLeftCell="A8" activePane="bottomLeft" state="frozen"/>
      <selection activeCell="C5" sqref="C5:P5"/>
      <selection pane="bottomLeft" activeCell="C5" sqref="C5:P5"/>
    </sheetView>
  </sheetViews>
  <sheetFormatPr baseColWidth="10" defaultColWidth="11.453125" defaultRowHeight="14.5" x14ac:dyDescent="0.35"/>
  <cols>
    <col min="1" max="2" width="9" style="60" customWidth="1"/>
    <col min="3" max="3" width="14.54296875" style="60" customWidth="1"/>
    <col min="4" max="5" width="11.453125" style="60"/>
    <col min="6" max="6" width="11.1796875" style="60" customWidth="1"/>
    <col min="7" max="7" width="11.453125" style="60" hidden="1" customWidth="1"/>
    <col min="8" max="8" width="4.453125" style="60" customWidth="1"/>
    <col min="9" max="9" width="21.26953125" style="60" customWidth="1"/>
    <col min="10" max="10" width="12.54296875" style="60" customWidth="1"/>
    <col min="11" max="11" width="7.1796875" style="60" customWidth="1"/>
    <col min="12" max="12" width="6.54296875" style="60" customWidth="1"/>
    <col min="13" max="13" width="10.81640625" style="60" customWidth="1"/>
    <col min="14" max="14" width="8.1796875" style="60" customWidth="1"/>
    <col min="15" max="15" width="9.54296875" style="68" customWidth="1"/>
    <col min="16" max="16" width="14.1796875" style="60" customWidth="1"/>
    <col min="17" max="17" width="11.453125" style="60"/>
    <col min="18" max="18" width="11.453125" style="60" customWidth="1"/>
    <col min="19" max="19" width="14.1796875" style="60" customWidth="1"/>
    <col min="20" max="16384" width="11.453125" style="60"/>
  </cols>
  <sheetData>
    <row r="1" spans="1:34" s="54" customFormat="1" ht="15" customHeight="1" x14ac:dyDescent="0.35">
      <c r="A1" s="389"/>
      <c r="B1" s="389"/>
      <c r="C1" s="389"/>
      <c r="D1" s="389"/>
      <c r="E1" s="389"/>
      <c r="F1" s="3341" t="s">
        <v>5</v>
      </c>
      <c r="G1" s="3341"/>
      <c r="H1" s="3341"/>
      <c r="I1" s="3341"/>
      <c r="J1" s="391"/>
      <c r="K1" s="391"/>
      <c r="L1" s="3341" t="s">
        <v>6</v>
      </c>
      <c r="M1" s="3341"/>
      <c r="N1" s="389"/>
      <c r="O1" s="3341" t="s">
        <v>9</v>
      </c>
      <c r="P1" s="3341"/>
      <c r="Q1" s="389"/>
      <c r="R1" s="479" t="s">
        <v>2</v>
      </c>
      <c r="S1" s="479" t="s">
        <v>3</v>
      </c>
      <c r="T1" s="458"/>
    </row>
    <row r="2" spans="1:34" s="58" customFormat="1" ht="18" customHeight="1" x14ac:dyDescent="0.35">
      <c r="A2" s="393"/>
      <c r="B2" s="393"/>
      <c r="C2" s="393"/>
      <c r="D2" s="393"/>
      <c r="E2" s="393"/>
      <c r="F2" s="3342" t="str">
        <f>NomClient</f>
        <v xml:space="preserve">EQUINIX </v>
      </c>
      <c r="G2" s="3343"/>
      <c r="H2" s="3343"/>
      <c r="I2" s="3344"/>
      <c r="J2" s="393"/>
      <c r="K2" s="393"/>
      <c r="L2" s="3345" t="s">
        <v>407</v>
      </c>
      <c r="M2" s="3346"/>
      <c r="N2" s="738"/>
      <c r="O2" s="3347">
        <v>42534.903136574074</v>
      </c>
      <c r="P2" s="3348"/>
      <c r="Q2" s="394"/>
      <c r="R2" s="451">
        <f>IF(LEN(DPDV_03MK1)&gt;0,LEN(DPDV_03MK1),0-PDV_NBmini)</f>
        <v>41</v>
      </c>
      <c r="S2" s="451">
        <f>IF(LEN(DKPI_03MK1)&gt;0,LEN(DKPI_03MK1),0-KPI_NBmini)</f>
        <v>10</v>
      </c>
      <c r="T2" s="459"/>
    </row>
    <row r="3" spans="1:34" ht="12.75" customHeight="1" thickBot="1" x14ac:dyDescent="0.4">
      <c r="A3" s="396"/>
      <c r="B3" s="396"/>
      <c r="C3" s="396"/>
      <c r="D3" s="3835" t="s">
        <v>1792</v>
      </c>
      <c r="E3" s="3835"/>
      <c r="F3" s="3835"/>
      <c r="G3" s="3835"/>
      <c r="H3" s="3835"/>
      <c r="I3" s="3835"/>
      <c r="J3" s="3835"/>
      <c r="K3" s="396"/>
      <c r="L3" s="396"/>
      <c r="M3" s="396"/>
      <c r="N3" s="396"/>
      <c r="O3" s="396"/>
      <c r="P3" s="396"/>
      <c r="Q3" s="831"/>
      <c r="R3" s="831"/>
      <c r="S3" s="831"/>
      <c r="T3" s="64"/>
      <c r="U3" s="64"/>
      <c r="V3" s="64"/>
    </row>
    <row r="4" spans="1:34" s="1" customFormat="1" ht="24.75" customHeight="1" thickBot="1" x14ac:dyDescent="0.4">
      <c r="A4" s="5415" t="str">
        <f>Parametre!B25 &amp; "  : "</f>
        <v xml:space="preserve">Positionnement de l'offre  : </v>
      </c>
      <c r="B4" s="5415"/>
      <c r="C4" s="5415"/>
      <c r="D4" s="5415"/>
      <c r="E4" s="5415"/>
      <c r="F4" s="5415"/>
      <c r="G4" s="5415"/>
      <c r="H4" s="5415"/>
      <c r="I4" s="5415"/>
      <c r="J4" s="5416" t="s">
        <v>2341</v>
      </c>
      <c r="K4" s="5416"/>
      <c r="L4" s="5416"/>
      <c r="M4" s="5416"/>
      <c r="N4" s="5416"/>
      <c r="O4" s="5416"/>
      <c r="P4" s="5416"/>
      <c r="Q4" s="5416"/>
      <c r="R4" s="5416"/>
      <c r="S4" s="5417"/>
      <c r="T4" s="444"/>
    </row>
    <row r="5" spans="1:34" s="193" customFormat="1" ht="39.75" customHeight="1" thickBot="1" x14ac:dyDescent="0.4">
      <c r="A5" s="5146" t="s">
        <v>14</v>
      </c>
      <c r="B5" s="5146"/>
      <c r="C5" s="5146"/>
      <c r="D5" s="5418" t="s">
        <v>2204</v>
      </c>
      <c r="E5" s="5418"/>
      <c r="F5" s="5418"/>
      <c r="G5" s="5418"/>
      <c r="H5" s="5418"/>
      <c r="I5" s="5418"/>
      <c r="J5" s="5418"/>
      <c r="K5" s="5418"/>
      <c r="L5" s="5418"/>
      <c r="M5" s="5418"/>
      <c r="N5" s="5418"/>
      <c r="O5" s="5418"/>
      <c r="P5" s="5418"/>
      <c r="Q5" s="5418"/>
      <c r="R5" s="5418"/>
      <c r="S5" s="5418"/>
      <c r="T5" s="460"/>
    </row>
    <row r="6" spans="1:34" ht="15.75" customHeight="1" thickTop="1" x14ac:dyDescent="0.35">
      <c r="A6" s="4452"/>
      <c r="B6" s="470"/>
      <c r="C6" s="470"/>
      <c r="D6" s="5419" t="s">
        <v>260</v>
      </c>
      <c r="E6" s="5420"/>
      <c r="F6" s="5420"/>
      <c r="G6" s="5420"/>
      <c r="H6" s="5420"/>
      <c r="I6" s="5421"/>
      <c r="J6" s="4534" t="str">
        <f>"Vue du " &amp; ChanlReadyAxe1</f>
        <v>Vue du EQUINIX</v>
      </c>
      <c r="K6" s="4534"/>
      <c r="L6" s="4534" t="str">
        <f>"Vue du " &amp; ChanlReadyAxe2</f>
        <v>Vue du ASEMA</v>
      </c>
      <c r="M6" s="4534"/>
      <c r="N6" s="5425" t="s">
        <v>246</v>
      </c>
      <c r="O6" s="5427" t="s">
        <v>568</v>
      </c>
      <c r="P6" s="5428" t="s">
        <v>18</v>
      </c>
      <c r="Q6" s="5429"/>
      <c r="R6" s="5429"/>
      <c r="S6" s="5430"/>
      <c r="T6" s="463"/>
      <c r="W6" s="66"/>
      <c r="X6" s="66"/>
      <c r="Y6" s="72"/>
      <c r="Z6" s="73"/>
      <c r="AA6" s="73"/>
      <c r="AB6" s="66"/>
      <c r="AC6" s="66"/>
      <c r="AD6" s="66"/>
      <c r="AE6" s="66"/>
      <c r="AF6" s="66"/>
      <c r="AG6" s="66"/>
    </row>
    <row r="7" spans="1:34" s="26" customFormat="1" ht="16" thickBot="1" x14ac:dyDescent="0.4">
      <c r="A7" s="4452"/>
      <c r="B7" s="470"/>
      <c r="C7" s="470"/>
      <c r="D7" s="6581"/>
      <c r="E7" s="6582"/>
      <c r="F7" s="6582"/>
      <c r="G7" s="6582"/>
      <c r="H7" s="6582"/>
      <c r="I7" s="6583"/>
      <c r="J7" s="4540" t="s">
        <v>16</v>
      </c>
      <c r="K7" s="4540"/>
      <c r="L7" s="4540" t="s">
        <v>16</v>
      </c>
      <c r="M7" s="4540"/>
      <c r="N7" s="6577"/>
      <c r="O7" s="6577"/>
      <c r="P7" s="6578"/>
      <c r="Q7" s="6579"/>
      <c r="R7" s="6579"/>
      <c r="S7" s="6580"/>
      <c r="T7" s="460"/>
      <c r="V7" s="94"/>
      <c r="W7" s="94"/>
      <c r="X7" s="95"/>
      <c r="Y7" s="96"/>
      <c r="Z7" s="96"/>
      <c r="AA7" s="94"/>
      <c r="AB7" s="94"/>
      <c r="AC7" s="94"/>
      <c r="AD7" s="94"/>
      <c r="AE7" s="94"/>
      <c r="AF7" s="94"/>
    </row>
    <row r="8" spans="1:34" s="193" customFormat="1" ht="16.5" thickTop="1" thickBot="1" x14ac:dyDescent="0.4">
      <c r="A8" s="1325"/>
      <c r="B8" s="1325"/>
      <c r="C8" s="1325"/>
      <c r="D8" s="2307"/>
      <c r="E8" s="2307"/>
      <c r="F8" s="2307"/>
      <c r="G8" s="2307"/>
      <c r="H8" s="2307"/>
      <c r="I8" s="2307"/>
      <c r="J8" s="2308"/>
      <c r="K8" s="2308"/>
      <c r="L8" s="2308"/>
      <c r="M8" s="2308"/>
      <c r="N8" s="2308"/>
      <c r="O8" s="2308"/>
      <c r="P8" s="2308"/>
      <c r="Q8" s="2308"/>
      <c r="R8" s="2308"/>
      <c r="S8" s="2308"/>
      <c r="T8" s="460"/>
      <c r="V8" s="94"/>
      <c r="W8" s="94"/>
      <c r="X8" s="1127"/>
      <c r="Y8" s="1128"/>
      <c r="Z8" s="96"/>
      <c r="AA8" s="94"/>
      <c r="AB8" s="94"/>
      <c r="AC8" s="94"/>
      <c r="AD8" s="94"/>
      <c r="AE8" s="94"/>
      <c r="AF8" s="94"/>
    </row>
    <row r="9" spans="1:34" ht="15.75" customHeight="1" thickTop="1" x14ac:dyDescent="0.35">
      <c r="A9" s="5437" t="s">
        <v>1185</v>
      </c>
      <c r="B9" s="5440"/>
      <c r="C9" s="5441"/>
      <c r="D9" s="5441"/>
      <c r="E9" s="5441"/>
      <c r="F9" s="5441"/>
      <c r="G9" s="5441"/>
      <c r="H9" s="5441"/>
      <c r="I9" s="5441"/>
      <c r="J9" s="5441"/>
      <c r="K9" s="5441"/>
      <c r="L9" s="5441"/>
      <c r="M9" s="5441"/>
      <c r="N9" s="5441"/>
      <c r="O9" s="5441"/>
      <c r="P9" s="5441"/>
      <c r="Q9" s="5441"/>
      <c r="R9" s="5441"/>
      <c r="S9" s="5442"/>
      <c r="T9" s="463"/>
      <c r="U9" s="63"/>
      <c r="X9" s="66"/>
      <c r="Y9" s="66"/>
      <c r="Z9" s="72"/>
      <c r="AA9" s="73"/>
      <c r="AB9" s="73"/>
      <c r="AC9" s="66"/>
      <c r="AD9" s="66"/>
      <c r="AE9" s="66"/>
      <c r="AF9" s="66"/>
      <c r="AG9" s="66"/>
      <c r="AH9" s="66"/>
    </row>
    <row r="10" spans="1:34" ht="21" customHeight="1" x14ac:dyDescent="0.35">
      <c r="A10" s="5438"/>
      <c r="B10" s="5411" t="s">
        <v>1186</v>
      </c>
      <c r="C10" s="5412"/>
      <c r="D10" s="5413" t="s">
        <v>1187</v>
      </c>
      <c r="E10" s="5414"/>
      <c r="F10" s="5414"/>
      <c r="G10" s="5414"/>
      <c r="H10" s="5414"/>
      <c r="I10" s="5414"/>
      <c r="J10" s="5383">
        <v>0</v>
      </c>
      <c r="K10" s="5384"/>
      <c r="L10" s="5383">
        <v>0</v>
      </c>
      <c r="M10" s="5384"/>
      <c r="N10" s="1129">
        <f>ABS(J10-L10)</f>
        <v>0</v>
      </c>
      <c r="O10" s="1130">
        <v>10</v>
      </c>
      <c r="P10" s="5406"/>
      <c r="Q10" s="5407"/>
      <c r="R10" s="5407"/>
      <c r="S10" s="5408"/>
      <c r="T10" s="463"/>
      <c r="U10" s="63"/>
      <c r="X10" s="66"/>
      <c r="Y10" s="66"/>
      <c r="Z10" s="72"/>
      <c r="AA10" s="73"/>
      <c r="AB10" s="73"/>
      <c r="AC10" s="66"/>
      <c r="AD10" s="66"/>
      <c r="AE10" s="66"/>
      <c r="AF10" s="66"/>
      <c r="AG10" s="66"/>
      <c r="AH10" s="66"/>
    </row>
    <row r="11" spans="1:34" ht="21" customHeight="1" x14ac:dyDescent="0.35">
      <c r="A11" s="5438"/>
      <c r="B11" s="5411" t="s">
        <v>1188</v>
      </c>
      <c r="C11" s="5412"/>
      <c r="D11" s="5413" t="s">
        <v>1222</v>
      </c>
      <c r="E11" s="5414"/>
      <c r="F11" s="5414"/>
      <c r="G11" s="5414"/>
      <c r="H11" s="5414"/>
      <c r="I11" s="5414"/>
      <c r="J11" s="5383"/>
      <c r="K11" s="5384"/>
      <c r="L11" s="5383"/>
      <c r="M11" s="5384"/>
      <c r="N11" s="1130">
        <f t="shared" ref="N11:N17" si="0">ABS(J11-L11)</f>
        <v>0</v>
      </c>
      <c r="O11" s="1130">
        <v>10</v>
      </c>
      <c r="P11" s="5406"/>
      <c r="Q11" s="5407"/>
      <c r="R11" s="5407"/>
      <c r="S11" s="5408"/>
      <c r="T11" s="463"/>
      <c r="U11" s="63"/>
      <c r="X11" s="66"/>
      <c r="Y11" s="66"/>
      <c r="Z11" s="72"/>
      <c r="AA11" s="73"/>
      <c r="AB11" s="73"/>
      <c r="AC11" s="66"/>
      <c r="AD11" s="66"/>
      <c r="AE11" s="66"/>
      <c r="AF11" s="66"/>
      <c r="AG11" s="66"/>
      <c r="AH11" s="66"/>
    </row>
    <row r="12" spans="1:34" ht="21" customHeight="1" x14ac:dyDescent="0.35">
      <c r="A12" s="5438"/>
      <c r="B12" s="5411" t="s">
        <v>1189</v>
      </c>
      <c r="C12" s="5412"/>
      <c r="D12" s="5445" t="s">
        <v>1190</v>
      </c>
      <c r="E12" s="5446"/>
      <c r="F12" s="5446"/>
      <c r="G12" s="5446"/>
      <c r="H12" s="5446"/>
      <c r="I12" s="5447"/>
      <c r="J12" s="5383"/>
      <c r="K12" s="5384"/>
      <c r="L12" s="5383"/>
      <c r="M12" s="5384"/>
      <c r="N12" s="1130">
        <f t="shared" si="0"/>
        <v>0</v>
      </c>
      <c r="O12" s="1130">
        <v>10</v>
      </c>
      <c r="P12" s="5406"/>
      <c r="Q12" s="5407"/>
      <c r="R12" s="5407"/>
      <c r="S12" s="5408"/>
      <c r="T12" s="463"/>
      <c r="U12" s="63"/>
      <c r="X12" s="66"/>
      <c r="Y12" s="66"/>
      <c r="Z12" s="72"/>
      <c r="AA12" s="73"/>
      <c r="AB12" s="73"/>
      <c r="AC12" s="66"/>
      <c r="AD12" s="66"/>
      <c r="AE12" s="66"/>
      <c r="AF12" s="66"/>
      <c r="AG12" s="66"/>
      <c r="AH12" s="66"/>
    </row>
    <row r="13" spans="1:34" ht="21" customHeight="1" x14ac:dyDescent="0.35">
      <c r="A13" s="5438"/>
      <c r="B13" s="5411" t="s">
        <v>1299</v>
      </c>
      <c r="C13" s="5412"/>
      <c r="D13" s="5413" t="s">
        <v>2036</v>
      </c>
      <c r="E13" s="5414"/>
      <c r="F13" s="5414"/>
      <c r="G13" s="5414"/>
      <c r="H13" s="5414"/>
      <c r="I13" s="5414"/>
      <c r="J13" s="5383"/>
      <c r="K13" s="5384"/>
      <c r="L13" s="5383"/>
      <c r="M13" s="5384"/>
      <c r="N13" s="1130">
        <f t="shared" si="0"/>
        <v>0</v>
      </c>
      <c r="O13" s="1130">
        <v>10</v>
      </c>
      <c r="P13" s="5406"/>
      <c r="Q13" s="5407"/>
      <c r="R13" s="5407"/>
      <c r="S13" s="5408"/>
      <c r="T13" s="463"/>
      <c r="U13" s="63"/>
      <c r="X13" s="66"/>
      <c r="Y13" s="66"/>
      <c r="Z13" s="72"/>
      <c r="AA13" s="73"/>
      <c r="AB13" s="73"/>
      <c r="AC13" s="66"/>
      <c r="AD13" s="66"/>
      <c r="AE13" s="66"/>
      <c r="AF13" s="66"/>
      <c r="AG13" s="66"/>
      <c r="AH13" s="66"/>
    </row>
    <row r="14" spans="1:34" ht="21" customHeight="1" x14ac:dyDescent="0.35">
      <c r="A14" s="5438"/>
      <c r="B14" s="5411" t="s">
        <v>1301</v>
      </c>
      <c r="C14" s="5412"/>
      <c r="D14" s="5413" t="s">
        <v>1302</v>
      </c>
      <c r="E14" s="5414"/>
      <c r="F14" s="5414"/>
      <c r="G14" s="5414"/>
      <c r="H14" s="5414"/>
      <c r="I14" s="5414"/>
      <c r="J14" s="5383"/>
      <c r="K14" s="5384"/>
      <c r="L14" s="5383"/>
      <c r="M14" s="5384"/>
      <c r="N14" s="1130">
        <f t="shared" si="0"/>
        <v>0</v>
      </c>
      <c r="O14" s="1130">
        <v>10</v>
      </c>
      <c r="P14" s="1327"/>
      <c r="Q14" s="1328"/>
      <c r="R14" s="1328"/>
      <c r="S14" s="1329"/>
      <c r="T14" s="463"/>
      <c r="U14" s="63"/>
      <c r="X14" s="66"/>
      <c r="Y14" s="66"/>
      <c r="Z14" s="72"/>
      <c r="AA14" s="73"/>
      <c r="AB14" s="73"/>
      <c r="AC14" s="66"/>
      <c r="AD14" s="66"/>
      <c r="AE14" s="66"/>
      <c r="AF14" s="66"/>
      <c r="AG14" s="66"/>
      <c r="AH14" s="66"/>
    </row>
    <row r="15" spans="1:34" ht="21" customHeight="1" x14ac:dyDescent="0.35">
      <c r="A15" s="5438"/>
      <c r="B15" s="5411" t="s">
        <v>1303</v>
      </c>
      <c r="C15" s="5412"/>
      <c r="D15" s="5413" t="s">
        <v>1304</v>
      </c>
      <c r="E15" s="5414"/>
      <c r="F15" s="5414"/>
      <c r="G15" s="5414"/>
      <c r="H15" s="5414"/>
      <c r="I15" s="5414"/>
      <c r="J15" s="5383"/>
      <c r="K15" s="5384"/>
      <c r="L15" s="5383"/>
      <c r="M15" s="5384"/>
      <c r="N15" s="1130">
        <f t="shared" si="0"/>
        <v>0</v>
      </c>
      <c r="O15" s="1130">
        <v>10</v>
      </c>
      <c r="P15" s="5406"/>
      <c r="Q15" s="5407"/>
      <c r="R15" s="5407"/>
      <c r="S15" s="5408"/>
      <c r="T15" s="463"/>
      <c r="U15" s="63"/>
      <c r="X15" s="66"/>
      <c r="Y15" s="66"/>
      <c r="Z15" s="72"/>
      <c r="AA15" s="73"/>
      <c r="AB15" s="73"/>
      <c r="AC15" s="66"/>
      <c r="AD15" s="66"/>
      <c r="AE15" s="66"/>
      <c r="AF15" s="66"/>
      <c r="AG15" s="66"/>
      <c r="AH15" s="66"/>
    </row>
    <row r="16" spans="1:34" ht="21" customHeight="1" x14ac:dyDescent="0.35">
      <c r="A16" s="5438"/>
      <c r="B16" s="5411" t="s">
        <v>1191</v>
      </c>
      <c r="C16" s="5412"/>
      <c r="D16" s="5413" t="s">
        <v>1192</v>
      </c>
      <c r="E16" s="5414"/>
      <c r="F16" s="5414"/>
      <c r="G16" s="5414"/>
      <c r="H16" s="5414"/>
      <c r="I16" s="5414"/>
      <c r="J16" s="5383"/>
      <c r="K16" s="5384"/>
      <c r="L16" s="5383"/>
      <c r="M16" s="5384"/>
      <c r="N16" s="1130">
        <f t="shared" si="0"/>
        <v>0</v>
      </c>
      <c r="O16" s="1130">
        <v>10</v>
      </c>
      <c r="P16" s="5406"/>
      <c r="Q16" s="5407"/>
      <c r="R16" s="5407"/>
      <c r="S16" s="5408"/>
      <c r="T16" s="463"/>
      <c r="U16" s="63"/>
      <c r="X16" s="66"/>
      <c r="Y16" s="66"/>
      <c r="Z16" s="72"/>
      <c r="AA16" s="73"/>
      <c r="AB16" s="73"/>
      <c r="AC16" s="66"/>
      <c r="AD16" s="66"/>
      <c r="AE16" s="66"/>
      <c r="AF16" s="66"/>
      <c r="AG16" s="66"/>
      <c r="AH16" s="66"/>
    </row>
    <row r="17" spans="1:34" ht="45.75" customHeight="1" x14ac:dyDescent="0.35">
      <c r="A17" s="5438"/>
      <c r="B17" s="5443" t="s">
        <v>1223</v>
      </c>
      <c r="C17" s="5444"/>
      <c r="D17" s="5413" t="s">
        <v>1193</v>
      </c>
      <c r="E17" s="5414"/>
      <c r="F17" s="5414"/>
      <c r="G17" s="5414"/>
      <c r="H17" s="5414"/>
      <c r="I17" s="5414"/>
      <c r="J17" s="5383"/>
      <c r="K17" s="5384"/>
      <c r="L17" s="5383"/>
      <c r="M17" s="5384"/>
      <c r="N17" s="1130">
        <f t="shared" si="0"/>
        <v>0</v>
      </c>
      <c r="O17" s="1130">
        <v>10</v>
      </c>
      <c r="P17" s="5406"/>
      <c r="Q17" s="5407"/>
      <c r="R17" s="5407"/>
      <c r="S17" s="5408"/>
      <c r="T17" s="463"/>
      <c r="U17" s="63"/>
      <c r="X17" s="66"/>
      <c r="Y17" s="66"/>
      <c r="Z17" s="72"/>
      <c r="AA17" s="73"/>
      <c r="AB17" s="73"/>
      <c r="AC17" s="66"/>
      <c r="AD17" s="66"/>
      <c r="AE17" s="66"/>
      <c r="AF17" s="66"/>
      <c r="AG17" s="66"/>
      <c r="AH17" s="66"/>
    </row>
    <row r="18" spans="1:34" ht="17.25" customHeight="1" thickBot="1" x14ac:dyDescent="0.4">
      <c r="A18" s="5439"/>
      <c r="B18" s="745"/>
      <c r="C18" s="746"/>
      <c r="D18" s="746"/>
      <c r="E18" s="746"/>
      <c r="F18" s="746"/>
      <c r="G18" s="746"/>
      <c r="H18" s="746"/>
      <c r="I18" s="1552" t="s">
        <v>1385</v>
      </c>
      <c r="J18" s="5405">
        <f>AVERAGE(J10:J17)</f>
        <v>0</v>
      </c>
      <c r="K18" s="5405"/>
      <c r="L18" s="5405">
        <f>AVERAGE(L10:L17)</f>
        <v>0</v>
      </c>
      <c r="M18" s="5405"/>
      <c r="N18" s="1373"/>
      <c r="O18" s="1373"/>
      <c r="P18" s="746"/>
      <c r="Q18" s="746"/>
      <c r="R18" s="746"/>
      <c r="S18" s="747"/>
      <c r="T18" s="463"/>
      <c r="U18" s="63"/>
      <c r="X18" s="66"/>
      <c r="Y18" s="66"/>
      <c r="Z18" s="72"/>
      <c r="AA18" s="73"/>
      <c r="AB18" s="73"/>
      <c r="AC18" s="66"/>
      <c r="AD18" s="66"/>
      <c r="AE18" s="66"/>
      <c r="AF18" s="66"/>
      <c r="AG18" s="66"/>
      <c r="AH18" s="66"/>
    </row>
    <row r="19" spans="1:34" ht="22.5" customHeight="1" thickTop="1" x14ac:dyDescent="0.35">
      <c r="A19" s="5448" t="s">
        <v>435</v>
      </c>
      <c r="B19" s="5449"/>
      <c r="C19" s="5450"/>
      <c r="D19" s="5450"/>
      <c r="E19" s="5450"/>
      <c r="F19" s="5450"/>
      <c r="G19" s="5450"/>
      <c r="H19" s="5450"/>
      <c r="I19" s="5450"/>
      <c r="J19" s="5450"/>
      <c r="K19" s="5450"/>
      <c r="L19" s="5450"/>
      <c r="M19" s="5450"/>
      <c r="N19" s="5450"/>
      <c r="O19" s="5450"/>
      <c r="P19" s="5450"/>
      <c r="Q19" s="5450"/>
      <c r="R19" s="5450"/>
      <c r="S19" s="5451"/>
      <c r="T19" s="463"/>
      <c r="U19" s="63"/>
      <c r="X19" s="66"/>
      <c r="Y19" s="66"/>
      <c r="Z19" s="199"/>
      <c r="AA19" s="200"/>
      <c r="AB19" s="200"/>
      <c r="AC19" s="66"/>
      <c r="AD19" s="66"/>
      <c r="AE19" s="66"/>
      <c r="AF19" s="66"/>
      <c r="AG19" s="66"/>
      <c r="AH19" s="66"/>
    </row>
    <row r="20" spans="1:34" s="735" customFormat="1" ht="36" customHeight="1" x14ac:dyDescent="0.35">
      <c r="A20" s="4516"/>
      <c r="B20" s="5409" t="s">
        <v>1305</v>
      </c>
      <c r="C20" s="5410"/>
      <c r="D20" s="4500" t="s">
        <v>1224</v>
      </c>
      <c r="E20" s="4501"/>
      <c r="F20" s="4501"/>
      <c r="G20" s="4501"/>
      <c r="H20" s="4501"/>
      <c r="I20" s="4501"/>
      <c r="J20" s="5403">
        <v>0</v>
      </c>
      <c r="K20" s="5404"/>
      <c r="L20" s="5403">
        <v>0</v>
      </c>
      <c r="M20" s="5404"/>
      <c r="N20" s="740">
        <f>ABS(J20-L20)</f>
        <v>0</v>
      </c>
      <c r="O20" s="1330">
        <v>10</v>
      </c>
      <c r="P20" s="5370"/>
      <c r="Q20" s="5371"/>
      <c r="R20" s="5371"/>
      <c r="S20" s="5372"/>
      <c r="T20" s="741"/>
      <c r="X20" s="736"/>
      <c r="Y20" s="736"/>
      <c r="Z20" s="737"/>
      <c r="AA20" s="737"/>
      <c r="AB20" s="737"/>
      <c r="AC20" s="736"/>
      <c r="AD20" s="736"/>
      <c r="AE20" s="736"/>
      <c r="AF20" s="736"/>
      <c r="AG20" s="736"/>
      <c r="AH20" s="736"/>
    </row>
    <row r="21" spans="1:34" ht="21" customHeight="1" x14ac:dyDescent="0.35">
      <c r="A21" s="4516"/>
      <c r="B21" s="5409" t="s">
        <v>1225</v>
      </c>
      <c r="C21" s="5410"/>
      <c r="D21" s="4500" t="s">
        <v>1226</v>
      </c>
      <c r="E21" s="4501"/>
      <c r="F21" s="4501"/>
      <c r="G21" s="4501"/>
      <c r="H21" s="4501"/>
      <c r="I21" s="4501"/>
      <c r="J21" s="5403"/>
      <c r="K21" s="5404"/>
      <c r="L21" s="5403"/>
      <c r="M21" s="5404"/>
      <c r="N21" s="1330">
        <f t="shared" ref="N21:N26" si="1">ABS(J21-L21)</f>
        <v>0</v>
      </c>
      <c r="O21" s="1330">
        <v>10</v>
      </c>
      <c r="P21" s="5370"/>
      <c r="Q21" s="5371"/>
      <c r="R21" s="5371"/>
      <c r="S21" s="5372"/>
      <c r="T21" s="463"/>
      <c r="U21" s="63"/>
      <c r="X21" s="66"/>
      <c r="Y21" s="66"/>
      <c r="Z21" s="72"/>
      <c r="AA21" s="73"/>
      <c r="AB21" s="73"/>
      <c r="AC21" s="66"/>
      <c r="AD21" s="66"/>
      <c r="AE21" s="66"/>
      <c r="AF21" s="66"/>
      <c r="AG21" s="66"/>
      <c r="AH21" s="66"/>
    </row>
    <row r="22" spans="1:34" ht="21" customHeight="1" x14ac:dyDescent="0.35">
      <c r="A22" s="4516"/>
      <c r="B22" s="5409" t="s">
        <v>929</v>
      </c>
      <c r="C22" s="5410"/>
      <c r="D22" s="4500" t="s">
        <v>565</v>
      </c>
      <c r="E22" s="4501"/>
      <c r="F22" s="4501"/>
      <c r="G22" s="4501"/>
      <c r="H22" s="4501"/>
      <c r="I22" s="4501"/>
      <c r="J22" s="5403"/>
      <c r="K22" s="5404"/>
      <c r="L22" s="5403"/>
      <c r="M22" s="5404"/>
      <c r="N22" s="1330">
        <f t="shared" si="1"/>
        <v>0</v>
      </c>
      <c r="O22" s="1330">
        <v>10</v>
      </c>
      <c r="P22" s="5370"/>
      <c r="Q22" s="5371"/>
      <c r="R22" s="5371"/>
      <c r="S22" s="5372"/>
      <c r="T22" s="463"/>
      <c r="U22" s="63"/>
      <c r="X22" s="66"/>
      <c r="Y22" s="66"/>
      <c r="Z22" s="72"/>
      <c r="AA22" s="73"/>
      <c r="AB22" s="73"/>
      <c r="AC22" s="66"/>
      <c r="AD22" s="66"/>
      <c r="AE22" s="66"/>
      <c r="AF22" s="66"/>
      <c r="AG22" s="66"/>
      <c r="AH22" s="66"/>
    </row>
    <row r="23" spans="1:34" ht="21" customHeight="1" x14ac:dyDescent="0.35">
      <c r="A23" s="4516"/>
      <c r="B23" s="5409" t="s">
        <v>930</v>
      </c>
      <c r="C23" s="5410"/>
      <c r="D23" s="4500" t="s">
        <v>1100</v>
      </c>
      <c r="E23" s="4501"/>
      <c r="F23" s="4501"/>
      <c r="G23" s="4501"/>
      <c r="H23" s="4501"/>
      <c r="I23" s="4501"/>
      <c r="J23" s="5403"/>
      <c r="K23" s="5404"/>
      <c r="L23" s="5403"/>
      <c r="M23" s="5404"/>
      <c r="N23" s="1330">
        <f t="shared" si="1"/>
        <v>0</v>
      </c>
      <c r="O23" s="1330">
        <v>10</v>
      </c>
      <c r="P23" s="5370"/>
      <c r="Q23" s="5371"/>
      <c r="R23" s="5371"/>
      <c r="S23" s="5372"/>
      <c r="T23" s="463"/>
      <c r="U23" s="63"/>
      <c r="X23" s="66"/>
      <c r="Y23" s="66"/>
      <c r="Z23" s="72"/>
      <c r="AA23" s="73"/>
      <c r="AB23" s="73"/>
      <c r="AC23" s="66"/>
      <c r="AD23" s="66"/>
      <c r="AE23" s="66"/>
      <c r="AF23" s="66"/>
      <c r="AG23" s="66"/>
      <c r="AH23" s="66"/>
    </row>
    <row r="24" spans="1:34" ht="21" customHeight="1" x14ac:dyDescent="0.35">
      <c r="A24" s="4516"/>
      <c r="B24" s="5409" t="s">
        <v>931</v>
      </c>
      <c r="C24" s="5410"/>
      <c r="D24" s="4500" t="s">
        <v>877</v>
      </c>
      <c r="E24" s="4501"/>
      <c r="F24" s="4501"/>
      <c r="G24" s="4501"/>
      <c r="H24" s="4501"/>
      <c r="I24" s="4501"/>
      <c r="J24" s="5403"/>
      <c r="K24" s="5404"/>
      <c r="L24" s="5403"/>
      <c r="M24" s="5404"/>
      <c r="N24" s="1330">
        <f t="shared" si="1"/>
        <v>0</v>
      </c>
      <c r="O24" s="1330">
        <v>10</v>
      </c>
      <c r="P24" s="5370"/>
      <c r="Q24" s="5371"/>
      <c r="R24" s="5371"/>
      <c r="S24" s="5372"/>
      <c r="T24" s="463"/>
      <c r="U24" s="63"/>
      <c r="X24" s="66"/>
      <c r="Y24" s="66"/>
      <c r="Z24" s="72"/>
      <c r="AA24" s="73"/>
      <c r="AB24" s="73"/>
      <c r="AC24" s="66"/>
      <c r="AD24" s="66"/>
      <c r="AE24" s="66"/>
      <c r="AF24" s="66"/>
      <c r="AG24" s="66"/>
      <c r="AH24" s="66"/>
    </row>
    <row r="25" spans="1:34" ht="21" customHeight="1" x14ac:dyDescent="0.35">
      <c r="A25" s="4516"/>
      <c r="B25" s="5409" t="s">
        <v>1194</v>
      </c>
      <c r="C25" s="5410"/>
      <c r="D25" s="4500" t="s">
        <v>566</v>
      </c>
      <c r="E25" s="4501"/>
      <c r="F25" s="4501"/>
      <c r="G25" s="4501"/>
      <c r="H25" s="4501"/>
      <c r="I25" s="4501"/>
      <c r="J25" s="5403"/>
      <c r="K25" s="5404"/>
      <c r="L25" s="5403"/>
      <c r="M25" s="5404"/>
      <c r="N25" s="1330">
        <f t="shared" si="1"/>
        <v>0</v>
      </c>
      <c r="O25" s="1330">
        <v>10</v>
      </c>
      <c r="P25" s="5370"/>
      <c r="Q25" s="5371"/>
      <c r="R25" s="5371"/>
      <c r="S25" s="5372"/>
      <c r="T25" s="463"/>
      <c r="U25" s="63"/>
      <c r="X25" s="66"/>
      <c r="Y25" s="66"/>
      <c r="Z25" s="72"/>
      <c r="AA25" s="73"/>
      <c r="AB25" s="73"/>
      <c r="AC25" s="66"/>
      <c r="AD25" s="66"/>
      <c r="AE25" s="66"/>
      <c r="AF25" s="66"/>
      <c r="AG25" s="66"/>
      <c r="AH25" s="66"/>
    </row>
    <row r="26" spans="1:34" ht="21" customHeight="1" x14ac:dyDescent="0.35">
      <c r="A26" s="4516"/>
      <c r="B26" s="5409" t="s">
        <v>932</v>
      </c>
      <c r="C26" s="5410"/>
      <c r="D26" s="4500" t="s">
        <v>567</v>
      </c>
      <c r="E26" s="4501"/>
      <c r="F26" s="4501"/>
      <c r="G26" s="4501"/>
      <c r="H26" s="4501"/>
      <c r="I26" s="4501"/>
      <c r="J26" s="5403"/>
      <c r="K26" s="5404"/>
      <c r="L26" s="5403"/>
      <c r="M26" s="5404"/>
      <c r="N26" s="1330">
        <f t="shared" si="1"/>
        <v>0</v>
      </c>
      <c r="O26" s="1330">
        <v>10</v>
      </c>
      <c r="P26" s="5370"/>
      <c r="Q26" s="5371"/>
      <c r="R26" s="5371"/>
      <c r="S26" s="5372"/>
      <c r="T26" s="463"/>
      <c r="U26" s="63"/>
      <c r="X26" s="66"/>
      <c r="Y26" s="66"/>
      <c r="Z26" s="72"/>
      <c r="AA26" s="73"/>
      <c r="AB26" s="73"/>
      <c r="AC26" s="66"/>
      <c r="AD26" s="66"/>
      <c r="AE26" s="66"/>
      <c r="AF26" s="66"/>
      <c r="AG26" s="66"/>
      <c r="AH26" s="66"/>
    </row>
    <row r="27" spans="1:34" ht="21" customHeight="1" thickBot="1" x14ac:dyDescent="0.4">
      <c r="A27" s="4517"/>
      <c r="B27" s="745"/>
      <c r="C27" s="746"/>
      <c r="D27" s="746"/>
      <c r="E27" s="746"/>
      <c r="F27" s="746"/>
      <c r="G27" s="746"/>
      <c r="H27" s="746"/>
      <c r="I27" s="1552" t="s">
        <v>1385</v>
      </c>
      <c r="J27" s="5405">
        <f>AVERAGE(J20:J26)</f>
        <v>0</v>
      </c>
      <c r="K27" s="5405"/>
      <c r="L27" s="5405">
        <f>AVERAGE(L20:L26)</f>
        <v>0</v>
      </c>
      <c r="M27" s="5405"/>
      <c r="N27" s="749">
        <v>0</v>
      </c>
      <c r="O27" s="749"/>
      <c r="P27" s="746"/>
      <c r="Q27" s="746"/>
      <c r="R27" s="746"/>
      <c r="S27" s="747"/>
      <c r="T27" s="463"/>
      <c r="U27" s="63"/>
      <c r="X27" s="66"/>
      <c r="Y27" s="66"/>
      <c r="Z27" s="72"/>
      <c r="AA27" s="73"/>
      <c r="AB27" s="73"/>
      <c r="AC27" s="66"/>
      <c r="AD27" s="66"/>
      <c r="AE27" s="66"/>
      <c r="AF27" s="66"/>
      <c r="AG27" s="66"/>
      <c r="AH27" s="66"/>
    </row>
    <row r="28" spans="1:34" ht="21" customHeight="1" thickTop="1" x14ac:dyDescent="0.35">
      <c r="A28" s="5452" t="s">
        <v>564</v>
      </c>
      <c r="B28" s="5455"/>
      <c r="C28" s="5456"/>
      <c r="D28" s="5456"/>
      <c r="E28" s="5456"/>
      <c r="F28" s="5456"/>
      <c r="G28" s="5456"/>
      <c r="H28" s="5456"/>
      <c r="I28" s="5456"/>
      <c r="J28" s="5456"/>
      <c r="K28" s="5456"/>
      <c r="L28" s="5456"/>
      <c r="M28" s="5456"/>
      <c r="N28" s="5456"/>
      <c r="O28" s="5456"/>
      <c r="P28" s="5456"/>
      <c r="Q28" s="5456"/>
      <c r="R28" s="5456"/>
      <c r="S28" s="5457"/>
      <c r="T28" s="463"/>
      <c r="U28" s="63"/>
      <c r="X28" s="66"/>
      <c r="Y28" s="66"/>
      <c r="Z28" s="72"/>
      <c r="AA28" s="73"/>
      <c r="AB28" s="73"/>
      <c r="AC28" s="66"/>
      <c r="AD28" s="66"/>
      <c r="AE28" s="66"/>
      <c r="AF28" s="66"/>
      <c r="AG28" s="66"/>
      <c r="AH28" s="66"/>
    </row>
    <row r="29" spans="1:34" ht="21" customHeight="1" x14ac:dyDescent="0.35">
      <c r="A29" s="5453"/>
      <c r="B29" s="5434" t="s">
        <v>933</v>
      </c>
      <c r="C29" s="5435"/>
      <c r="D29" s="5436" t="s">
        <v>1195</v>
      </c>
      <c r="E29" s="5382"/>
      <c r="F29" s="5382"/>
      <c r="G29" s="5382"/>
      <c r="H29" s="5382"/>
      <c r="I29" s="5382"/>
      <c r="J29" s="5383">
        <v>0</v>
      </c>
      <c r="K29" s="5384"/>
      <c r="L29" s="5403">
        <v>0</v>
      </c>
      <c r="M29" s="5404"/>
      <c r="N29" s="740">
        <f t="shared" ref="N29:N36" si="2">ABS(J29-L29)</f>
        <v>0</v>
      </c>
      <c r="O29" s="1330">
        <v>10</v>
      </c>
      <c r="P29" s="5370"/>
      <c r="Q29" s="5371"/>
      <c r="R29" s="5371"/>
      <c r="S29" s="5372"/>
      <c r="T29" s="463"/>
      <c r="U29" s="63"/>
      <c r="X29" s="66"/>
      <c r="Y29" s="66"/>
      <c r="Z29" s="72"/>
      <c r="AA29" s="73"/>
      <c r="AB29" s="73"/>
      <c r="AC29" s="66"/>
      <c r="AD29" s="66"/>
      <c r="AE29" s="66"/>
      <c r="AF29" s="66"/>
      <c r="AG29" s="66"/>
      <c r="AH29" s="66"/>
    </row>
    <row r="30" spans="1:34" ht="18.75" customHeight="1" x14ac:dyDescent="0.35">
      <c r="A30" s="5453"/>
      <c r="B30" s="5434" t="s">
        <v>934</v>
      </c>
      <c r="C30" s="5435"/>
      <c r="D30" s="5436" t="s">
        <v>434</v>
      </c>
      <c r="E30" s="5382"/>
      <c r="F30" s="5382"/>
      <c r="G30" s="5382"/>
      <c r="H30" s="5382"/>
      <c r="I30" s="5382"/>
      <c r="J30" s="5383"/>
      <c r="K30" s="5384"/>
      <c r="L30" s="5403"/>
      <c r="M30" s="5404"/>
      <c r="N30" s="740">
        <f t="shared" si="2"/>
        <v>0</v>
      </c>
      <c r="O30" s="1330">
        <v>10</v>
      </c>
      <c r="P30" s="5370"/>
      <c r="Q30" s="5371"/>
      <c r="R30" s="5371"/>
      <c r="S30" s="5372"/>
      <c r="T30" s="463"/>
      <c r="U30" s="63"/>
      <c r="X30" s="66"/>
      <c r="Y30" s="66"/>
      <c r="Z30" s="72"/>
      <c r="AA30" s="73"/>
      <c r="AB30" s="73"/>
      <c r="AC30" s="66"/>
      <c r="AD30" s="66"/>
      <c r="AE30" s="66"/>
      <c r="AF30" s="66"/>
      <c r="AG30" s="66"/>
      <c r="AH30" s="66"/>
    </row>
    <row r="31" spans="1:34" ht="18.75" customHeight="1" x14ac:dyDescent="0.35">
      <c r="A31" s="5453"/>
      <c r="B31" s="5434" t="s">
        <v>1227</v>
      </c>
      <c r="C31" s="5435"/>
      <c r="D31" s="5436" t="s">
        <v>1228</v>
      </c>
      <c r="E31" s="5382"/>
      <c r="F31" s="5382"/>
      <c r="G31" s="5382"/>
      <c r="H31" s="5382"/>
      <c r="I31" s="5382"/>
      <c r="J31" s="5383"/>
      <c r="K31" s="5384"/>
      <c r="L31" s="5403"/>
      <c r="M31" s="5404"/>
      <c r="N31" s="740">
        <f t="shared" si="2"/>
        <v>0</v>
      </c>
      <c r="O31" s="1330">
        <v>10</v>
      </c>
      <c r="P31" s="5370"/>
      <c r="Q31" s="5371"/>
      <c r="R31" s="5371"/>
      <c r="S31" s="5372"/>
      <c r="T31" s="463"/>
      <c r="U31" s="63"/>
      <c r="X31" s="66"/>
      <c r="Y31" s="66"/>
      <c r="Z31" s="72"/>
      <c r="AA31" s="73"/>
      <c r="AB31" s="73"/>
      <c r="AC31" s="66"/>
      <c r="AD31" s="66"/>
      <c r="AE31" s="66"/>
      <c r="AF31" s="66"/>
      <c r="AG31" s="66"/>
      <c r="AH31" s="66"/>
    </row>
    <row r="32" spans="1:34" ht="21" customHeight="1" x14ac:dyDescent="0.35">
      <c r="A32" s="5453"/>
      <c r="B32" s="5434" t="s">
        <v>1229</v>
      </c>
      <c r="C32" s="5435"/>
      <c r="D32" s="5436" t="s">
        <v>1230</v>
      </c>
      <c r="E32" s="5382"/>
      <c r="F32" s="5382"/>
      <c r="G32" s="5382"/>
      <c r="H32" s="5382"/>
      <c r="I32" s="5382"/>
      <c r="J32" s="5383"/>
      <c r="K32" s="5384"/>
      <c r="L32" s="5403"/>
      <c r="M32" s="5404"/>
      <c r="N32" s="740">
        <f t="shared" si="2"/>
        <v>0</v>
      </c>
      <c r="O32" s="1330">
        <v>10</v>
      </c>
      <c r="P32" s="5370"/>
      <c r="Q32" s="5371"/>
      <c r="R32" s="5371"/>
      <c r="S32" s="5372"/>
      <c r="T32" s="463"/>
      <c r="U32" s="63"/>
      <c r="X32" s="66"/>
      <c r="Y32" s="66"/>
      <c r="Z32" s="72"/>
      <c r="AA32" s="73"/>
      <c r="AB32" s="73"/>
      <c r="AC32" s="66"/>
      <c r="AD32" s="66"/>
      <c r="AE32" s="66"/>
      <c r="AF32" s="66"/>
      <c r="AG32" s="66"/>
      <c r="AH32" s="66"/>
    </row>
    <row r="33" spans="1:34" ht="21" customHeight="1" x14ac:dyDescent="0.35">
      <c r="A33" s="5453"/>
      <c r="B33" s="5434" t="s">
        <v>935</v>
      </c>
      <c r="C33" s="5435"/>
      <c r="D33" s="5436" t="s">
        <v>1196</v>
      </c>
      <c r="E33" s="5382"/>
      <c r="F33" s="5382"/>
      <c r="G33" s="5382"/>
      <c r="H33" s="5382"/>
      <c r="I33" s="5382"/>
      <c r="J33" s="5383"/>
      <c r="K33" s="5384"/>
      <c r="L33" s="5403"/>
      <c r="M33" s="5404"/>
      <c r="N33" s="740">
        <f t="shared" si="2"/>
        <v>0</v>
      </c>
      <c r="O33" s="1330">
        <v>10</v>
      </c>
      <c r="P33" s="5370"/>
      <c r="Q33" s="5371"/>
      <c r="R33" s="5371"/>
      <c r="S33" s="5372"/>
      <c r="T33" s="463"/>
      <c r="U33" s="63"/>
      <c r="X33" s="66"/>
      <c r="Y33" s="66"/>
      <c r="Z33" s="72"/>
      <c r="AA33" s="73"/>
      <c r="AB33" s="73"/>
      <c r="AC33" s="66"/>
      <c r="AD33" s="66"/>
      <c r="AE33" s="66"/>
      <c r="AF33" s="66"/>
      <c r="AG33" s="66"/>
      <c r="AH33" s="66"/>
    </row>
    <row r="34" spans="1:34" ht="21" customHeight="1" x14ac:dyDescent="0.35">
      <c r="A34" s="5453"/>
      <c r="B34" s="5434" t="s">
        <v>130</v>
      </c>
      <c r="C34" s="5435"/>
      <c r="D34" s="5436" t="s">
        <v>433</v>
      </c>
      <c r="E34" s="5382"/>
      <c r="F34" s="5382"/>
      <c r="G34" s="5382"/>
      <c r="H34" s="5382"/>
      <c r="I34" s="5382"/>
      <c r="J34" s="5383"/>
      <c r="K34" s="5384"/>
      <c r="L34" s="5403"/>
      <c r="M34" s="5404"/>
      <c r="N34" s="740">
        <f t="shared" si="2"/>
        <v>0</v>
      </c>
      <c r="O34" s="1330">
        <v>10</v>
      </c>
      <c r="P34" s="5370"/>
      <c r="Q34" s="5371"/>
      <c r="R34" s="5371"/>
      <c r="S34" s="5372"/>
      <c r="T34" s="463"/>
      <c r="U34" s="63"/>
      <c r="X34" s="66"/>
      <c r="Y34" s="66"/>
      <c r="Z34" s="72"/>
      <c r="AA34" s="73"/>
      <c r="AB34" s="73"/>
      <c r="AC34" s="66"/>
      <c r="AD34" s="66"/>
      <c r="AE34" s="66"/>
      <c r="AF34" s="66"/>
      <c r="AG34" s="66"/>
      <c r="AH34" s="66"/>
    </row>
    <row r="35" spans="1:34" ht="21" customHeight="1" x14ac:dyDescent="0.35">
      <c r="A35" s="5453"/>
      <c r="B35" s="5434" t="s">
        <v>937</v>
      </c>
      <c r="C35" s="5435"/>
      <c r="D35" s="5436" t="s">
        <v>432</v>
      </c>
      <c r="E35" s="5382"/>
      <c r="F35" s="5382"/>
      <c r="G35" s="5382"/>
      <c r="H35" s="5382"/>
      <c r="I35" s="5382"/>
      <c r="J35" s="5383"/>
      <c r="K35" s="5384"/>
      <c r="L35" s="5403"/>
      <c r="M35" s="5404"/>
      <c r="N35" s="740">
        <f t="shared" si="2"/>
        <v>0</v>
      </c>
      <c r="O35" s="1330">
        <v>10</v>
      </c>
      <c r="P35" s="5370"/>
      <c r="Q35" s="5371"/>
      <c r="R35" s="5371"/>
      <c r="S35" s="5372"/>
      <c r="T35" s="463"/>
      <c r="U35" s="63"/>
      <c r="X35" s="66"/>
      <c r="Y35" s="66"/>
      <c r="Z35" s="72"/>
      <c r="AA35" s="73"/>
      <c r="AB35" s="73"/>
      <c r="AC35" s="66"/>
      <c r="AD35" s="66"/>
      <c r="AE35" s="66"/>
      <c r="AF35" s="66"/>
      <c r="AG35" s="66"/>
      <c r="AH35" s="66"/>
    </row>
    <row r="36" spans="1:34" ht="21" customHeight="1" x14ac:dyDescent="0.35">
      <c r="A36" s="5453"/>
      <c r="B36" s="5434" t="s">
        <v>936</v>
      </c>
      <c r="C36" s="5435"/>
      <c r="D36" s="5436" t="s">
        <v>2037</v>
      </c>
      <c r="E36" s="5382"/>
      <c r="F36" s="5382"/>
      <c r="G36" s="5382"/>
      <c r="H36" s="5382"/>
      <c r="I36" s="5382"/>
      <c r="J36" s="5383"/>
      <c r="K36" s="5384"/>
      <c r="L36" s="5403"/>
      <c r="M36" s="5404"/>
      <c r="N36" s="740">
        <f t="shared" si="2"/>
        <v>0</v>
      </c>
      <c r="O36" s="1330">
        <v>10</v>
      </c>
      <c r="P36" s="5370"/>
      <c r="Q36" s="5371"/>
      <c r="R36" s="5371"/>
      <c r="S36" s="5372"/>
      <c r="T36" s="463"/>
      <c r="U36" s="63"/>
      <c r="X36" s="66"/>
      <c r="Y36" s="66"/>
      <c r="Z36" s="72"/>
      <c r="AA36" s="73"/>
      <c r="AB36" s="73"/>
      <c r="AC36" s="66"/>
      <c r="AD36" s="66"/>
      <c r="AE36" s="66"/>
      <c r="AF36" s="66"/>
      <c r="AG36" s="66"/>
      <c r="AH36" s="66"/>
    </row>
    <row r="37" spans="1:34" ht="21" customHeight="1" thickBot="1" x14ac:dyDescent="0.4">
      <c r="A37" s="5454"/>
      <c r="B37" s="748"/>
      <c r="C37" s="749"/>
      <c r="D37" s="749"/>
      <c r="E37" s="749"/>
      <c r="F37" s="749"/>
      <c r="G37" s="749"/>
      <c r="H37" s="749"/>
      <c r="I37" s="1552" t="s">
        <v>1385</v>
      </c>
      <c r="J37" s="5405">
        <f>AVERAGE(J29:J36)</f>
        <v>0</v>
      </c>
      <c r="K37" s="5405"/>
      <c r="L37" s="5405">
        <f>AVERAGE(L29:L36)</f>
        <v>0</v>
      </c>
      <c r="M37" s="5405"/>
      <c r="N37" s="749">
        <v>0</v>
      </c>
      <c r="O37" s="749"/>
      <c r="P37" s="749"/>
      <c r="Q37" s="749"/>
      <c r="R37" s="749"/>
      <c r="S37" s="750"/>
      <c r="T37" s="463"/>
      <c r="U37" s="63"/>
      <c r="X37" s="66"/>
      <c r="Y37" s="66"/>
      <c r="Z37" s="72"/>
      <c r="AA37" s="73"/>
      <c r="AB37" s="73"/>
      <c r="AC37" s="66"/>
      <c r="AD37" s="66"/>
      <c r="AE37" s="66"/>
      <c r="AF37" s="66"/>
      <c r="AG37" s="66"/>
      <c r="AH37" s="66"/>
    </row>
    <row r="38" spans="1:34" ht="21" customHeight="1" x14ac:dyDescent="0.35">
      <c r="A38" s="5391" t="s">
        <v>430</v>
      </c>
      <c r="B38" s="5394"/>
      <c r="C38" s="5395"/>
      <c r="D38" s="5395"/>
      <c r="E38" s="5395"/>
      <c r="F38" s="5395"/>
      <c r="G38" s="5395"/>
      <c r="H38" s="5395"/>
      <c r="I38" s="5395"/>
      <c r="J38" s="5395"/>
      <c r="K38" s="5395"/>
      <c r="L38" s="5395"/>
      <c r="M38" s="5395"/>
      <c r="N38" s="5395"/>
      <c r="O38" s="5395"/>
      <c r="P38" s="5395"/>
      <c r="Q38" s="5395"/>
      <c r="R38" s="5395"/>
      <c r="S38" s="5396"/>
      <c r="T38" s="463"/>
      <c r="U38" s="63"/>
      <c r="X38" s="66"/>
      <c r="Y38" s="66"/>
      <c r="Z38" s="72"/>
      <c r="AA38" s="73"/>
      <c r="AB38" s="73"/>
      <c r="AC38" s="66"/>
      <c r="AD38" s="66"/>
      <c r="AE38" s="66"/>
      <c r="AF38" s="66"/>
      <c r="AG38" s="66"/>
      <c r="AH38" s="66"/>
    </row>
    <row r="39" spans="1:34" ht="21" customHeight="1" x14ac:dyDescent="0.35">
      <c r="A39" s="5392"/>
      <c r="B39" s="5389" t="s">
        <v>938</v>
      </c>
      <c r="C39" s="5390"/>
      <c r="D39" s="5381" t="s">
        <v>1197</v>
      </c>
      <c r="E39" s="5397"/>
      <c r="F39" s="5397"/>
      <c r="G39" s="5397"/>
      <c r="H39" s="5397"/>
      <c r="I39" s="5397"/>
      <c r="J39" s="5383">
        <v>0</v>
      </c>
      <c r="K39" s="5384"/>
      <c r="L39" s="5403">
        <v>0</v>
      </c>
      <c r="M39" s="5404"/>
      <c r="N39" s="1330">
        <f t="shared" ref="N39:N53" si="3">ABS(J39-L39)</f>
        <v>0</v>
      </c>
      <c r="O39" s="1330">
        <v>10</v>
      </c>
      <c r="P39" s="5370"/>
      <c r="Q39" s="5371"/>
      <c r="R39" s="5371"/>
      <c r="S39" s="5372"/>
      <c r="T39" s="463"/>
      <c r="U39" s="63"/>
      <c r="X39" s="66"/>
      <c r="Y39" s="66"/>
      <c r="Z39" s="72"/>
      <c r="AA39" s="73"/>
      <c r="AB39" s="73"/>
      <c r="AC39" s="66"/>
      <c r="AD39" s="66"/>
      <c r="AE39" s="66"/>
      <c r="AF39" s="66"/>
      <c r="AG39" s="66"/>
      <c r="AH39" s="66"/>
    </row>
    <row r="40" spans="1:34" ht="21" customHeight="1" x14ac:dyDescent="0.35">
      <c r="A40" s="5392"/>
      <c r="B40" s="5389" t="s">
        <v>13</v>
      </c>
      <c r="C40" s="5390"/>
      <c r="D40" s="5381" t="s">
        <v>1198</v>
      </c>
      <c r="E40" s="5382"/>
      <c r="F40" s="5382"/>
      <c r="G40" s="5382"/>
      <c r="H40" s="5382"/>
      <c r="I40" s="5382"/>
      <c r="J40" s="5383"/>
      <c r="K40" s="5384"/>
      <c r="L40" s="5403"/>
      <c r="M40" s="5404"/>
      <c r="N40" s="740">
        <f t="shared" si="3"/>
        <v>0</v>
      </c>
      <c r="O40" s="1330">
        <v>10</v>
      </c>
      <c r="P40" s="5370"/>
      <c r="Q40" s="5371"/>
      <c r="R40" s="5371"/>
      <c r="S40" s="5372"/>
      <c r="T40" s="463"/>
      <c r="U40" s="63"/>
      <c r="X40" s="66"/>
      <c r="Y40" s="66"/>
      <c r="Z40" s="72"/>
      <c r="AA40" s="73"/>
      <c r="AB40" s="73"/>
      <c r="AC40" s="66"/>
      <c r="AD40" s="66"/>
      <c r="AE40" s="66"/>
      <c r="AF40" s="66"/>
      <c r="AG40" s="66"/>
      <c r="AH40" s="66"/>
    </row>
    <row r="41" spans="1:34" ht="21" customHeight="1" x14ac:dyDescent="0.35">
      <c r="A41" s="5392"/>
      <c r="B41" s="5389" t="s">
        <v>939</v>
      </c>
      <c r="C41" s="5390"/>
      <c r="D41" s="5381" t="s">
        <v>429</v>
      </c>
      <c r="E41" s="5382"/>
      <c r="F41" s="5382"/>
      <c r="G41" s="5382"/>
      <c r="H41" s="5382"/>
      <c r="I41" s="5382"/>
      <c r="J41" s="5383"/>
      <c r="K41" s="5384"/>
      <c r="L41" s="5403"/>
      <c r="M41" s="5404"/>
      <c r="N41" s="740">
        <f t="shared" si="3"/>
        <v>0</v>
      </c>
      <c r="O41" s="1330">
        <v>10</v>
      </c>
      <c r="P41" s="5370"/>
      <c r="Q41" s="5371"/>
      <c r="R41" s="5371"/>
      <c r="S41" s="5372"/>
      <c r="T41" s="463"/>
      <c r="U41" s="63"/>
      <c r="X41" s="66"/>
      <c r="Y41" s="66"/>
      <c r="Z41" s="72"/>
      <c r="AA41" s="73"/>
      <c r="AB41" s="73"/>
      <c r="AC41" s="66"/>
      <c r="AD41" s="66"/>
      <c r="AE41" s="66"/>
      <c r="AF41" s="66"/>
      <c r="AG41" s="66"/>
      <c r="AH41" s="66"/>
    </row>
    <row r="42" spans="1:34" ht="21" customHeight="1" x14ac:dyDescent="0.35">
      <c r="A42" s="5392"/>
      <c r="B42" s="5389" t="s">
        <v>940</v>
      </c>
      <c r="C42" s="5390"/>
      <c r="D42" s="5381" t="s">
        <v>428</v>
      </c>
      <c r="E42" s="5382"/>
      <c r="F42" s="5382"/>
      <c r="G42" s="5382"/>
      <c r="H42" s="5382"/>
      <c r="I42" s="5382"/>
      <c r="J42" s="5383"/>
      <c r="K42" s="5384"/>
      <c r="L42" s="5403"/>
      <c r="M42" s="5404"/>
      <c r="N42" s="740">
        <f t="shared" si="3"/>
        <v>0</v>
      </c>
      <c r="O42" s="1330">
        <v>10</v>
      </c>
      <c r="P42" s="5370"/>
      <c r="Q42" s="5371"/>
      <c r="R42" s="5371"/>
      <c r="S42" s="5372"/>
      <c r="T42" s="463"/>
      <c r="U42" s="63"/>
      <c r="X42" s="66"/>
      <c r="Y42" s="66"/>
      <c r="Z42" s="72"/>
      <c r="AA42" s="73"/>
      <c r="AB42" s="73"/>
      <c r="AC42" s="66"/>
      <c r="AD42" s="66"/>
      <c r="AE42" s="66"/>
      <c r="AF42" s="66"/>
      <c r="AG42" s="66"/>
      <c r="AH42" s="66"/>
    </row>
    <row r="43" spans="1:34" ht="21" customHeight="1" x14ac:dyDescent="0.35">
      <c r="A43" s="5392"/>
      <c r="B43" s="5389" t="s">
        <v>941</v>
      </c>
      <c r="C43" s="5390"/>
      <c r="D43" s="5381" t="s">
        <v>427</v>
      </c>
      <c r="E43" s="5382"/>
      <c r="F43" s="5382"/>
      <c r="G43" s="5382"/>
      <c r="H43" s="5382"/>
      <c r="I43" s="5382"/>
      <c r="J43" s="5383"/>
      <c r="K43" s="5384"/>
      <c r="L43" s="5403"/>
      <c r="M43" s="5404"/>
      <c r="N43" s="740">
        <f t="shared" si="3"/>
        <v>0</v>
      </c>
      <c r="O43" s="1330">
        <v>10</v>
      </c>
      <c r="P43" s="5370"/>
      <c r="Q43" s="5371"/>
      <c r="R43" s="5371"/>
      <c r="S43" s="5372"/>
      <c r="T43" s="463"/>
      <c r="U43" s="63"/>
      <c r="X43" s="66"/>
      <c r="Y43" s="66"/>
      <c r="Z43" s="72"/>
      <c r="AA43" s="73"/>
      <c r="AB43" s="73"/>
      <c r="AC43" s="66"/>
      <c r="AD43" s="66"/>
      <c r="AE43" s="66"/>
      <c r="AF43" s="66"/>
      <c r="AG43" s="66"/>
      <c r="AH43" s="66"/>
    </row>
    <row r="44" spans="1:34" ht="21" customHeight="1" x14ac:dyDescent="0.35">
      <c r="A44" s="5392"/>
      <c r="B44" s="5389" t="s">
        <v>942</v>
      </c>
      <c r="C44" s="5390"/>
      <c r="D44" s="5381" t="s">
        <v>426</v>
      </c>
      <c r="E44" s="5382"/>
      <c r="F44" s="5382"/>
      <c r="G44" s="5382"/>
      <c r="H44" s="5382"/>
      <c r="I44" s="5382"/>
      <c r="J44" s="5383"/>
      <c r="K44" s="5384"/>
      <c r="L44" s="5403"/>
      <c r="M44" s="5404"/>
      <c r="N44" s="740">
        <f t="shared" si="3"/>
        <v>0</v>
      </c>
      <c r="O44" s="1330">
        <v>10</v>
      </c>
      <c r="P44" s="5370"/>
      <c r="Q44" s="5371"/>
      <c r="R44" s="5371"/>
      <c r="S44" s="5372"/>
      <c r="T44" s="463"/>
      <c r="U44" s="63"/>
      <c r="X44" s="66"/>
      <c r="Y44" s="66"/>
      <c r="Z44" s="72"/>
      <c r="AA44" s="73"/>
      <c r="AB44" s="73"/>
      <c r="AC44" s="66"/>
      <c r="AD44" s="66"/>
      <c r="AE44" s="66"/>
      <c r="AF44" s="66"/>
      <c r="AG44" s="66"/>
      <c r="AH44" s="66"/>
    </row>
    <row r="45" spans="1:34" ht="22.5" customHeight="1" x14ac:dyDescent="0.35">
      <c r="A45" s="5392"/>
      <c r="B45" s="5389" t="s">
        <v>943</v>
      </c>
      <c r="C45" s="5390"/>
      <c r="D45" s="5381" t="s">
        <v>425</v>
      </c>
      <c r="E45" s="5382"/>
      <c r="F45" s="5382"/>
      <c r="G45" s="5382"/>
      <c r="H45" s="5382"/>
      <c r="I45" s="5382"/>
      <c r="J45" s="5383"/>
      <c r="K45" s="5384"/>
      <c r="L45" s="5403"/>
      <c r="M45" s="5404"/>
      <c r="N45" s="740">
        <f t="shared" si="3"/>
        <v>0</v>
      </c>
      <c r="O45" s="1330">
        <v>10</v>
      </c>
      <c r="P45" s="5370"/>
      <c r="Q45" s="5371"/>
      <c r="R45" s="5371"/>
      <c r="S45" s="5372"/>
      <c r="T45" s="463"/>
      <c r="U45" s="63"/>
      <c r="X45" s="66"/>
      <c r="Y45" s="66"/>
      <c r="Z45" s="72"/>
      <c r="AA45" s="73"/>
      <c r="AB45" s="73"/>
      <c r="AC45" s="66"/>
      <c r="AD45" s="66"/>
      <c r="AE45" s="66"/>
      <c r="AF45" s="66"/>
      <c r="AG45" s="66"/>
      <c r="AH45" s="66"/>
    </row>
    <row r="46" spans="1:34" ht="26.25" customHeight="1" x14ac:dyDescent="0.35">
      <c r="A46" s="5392"/>
      <c r="B46" s="5389" t="s">
        <v>944</v>
      </c>
      <c r="C46" s="5390"/>
      <c r="D46" s="5381" t="s">
        <v>424</v>
      </c>
      <c r="E46" s="5382"/>
      <c r="F46" s="5382"/>
      <c r="G46" s="5382"/>
      <c r="H46" s="5382"/>
      <c r="I46" s="5382"/>
      <c r="J46" s="5383"/>
      <c r="K46" s="5384"/>
      <c r="L46" s="5403"/>
      <c r="M46" s="5404"/>
      <c r="N46" s="740">
        <f t="shared" si="3"/>
        <v>0</v>
      </c>
      <c r="O46" s="1330">
        <v>10</v>
      </c>
      <c r="P46" s="5370"/>
      <c r="Q46" s="5371"/>
      <c r="R46" s="5371"/>
      <c r="S46" s="5372"/>
      <c r="T46" s="463"/>
      <c r="U46" s="63"/>
      <c r="X46" s="66"/>
      <c r="Y46" s="66"/>
      <c r="Z46" s="72"/>
      <c r="AA46" s="73"/>
      <c r="AB46" s="73"/>
      <c r="AC46" s="66"/>
      <c r="AD46" s="66"/>
      <c r="AE46" s="66"/>
      <c r="AF46" s="66"/>
      <c r="AG46" s="66"/>
      <c r="AH46" s="66"/>
    </row>
    <row r="47" spans="1:34" ht="21" customHeight="1" x14ac:dyDescent="0.35">
      <c r="A47" s="5392"/>
      <c r="B47" s="5389" t="s">
        <v>945</v>
      </c>
      <c r="C47" s="5390"/>
      <c r="D47" s="5381" t="s">
        <v>423</v>
      </c>
      <c r="E47" s="5382"/>
      <c r="F47" s="5382"/>
      <c r="G47" s="5382"/>
      <c r="H47" s="5382"/>
      <c r="I47" s="5382"/>
      <c r="J47" s="5383"/>
      <c r="K47" s="5384"/>
      <c r="L47" s="5403"/>
      <c r="M47" s="5404"/>
      <c r="N47" s="740">
        <f t="shared" si="3"/>
        <v>0</v>
      </c>
      <c r="O47" s="1330">
        <v>10</v>
      </c>
      <c r="P47" s="5370" t="s">
        <v>2038</v>
      </c>
      <c r="Q47" s="5371"/>
      <c r="R47" s="5371"/>
      <c r="S47" s="5372"/>
      <c r="T47" s="463"/>
      <c r="U47" s="63"/>
      <c r="X47" s="66"/>
      <c r="Y47" s="66"/>
      <c r="Z47" s="72"/>
      <c r="AA47" s="73"/>
      <c r="AB47" s="73"/>
      <c r="AC47" s="66"/>
      <c r="AD47" s="66"/>
      <c r="AE47" s="66"/>
      <c r="AF47" s="66"/>
      <c r="AG47" s="66"/>
      <c r="AH47" s="66"/>
    </row>
    <row r="48" spans="1:34" ht="21" customHeight="1" x14ac:dyDescent="0.35">
      <c r="A48" s="5392"/>
      <c r="B48" s="5389" t="s">
        <v>946</v>
      </c>
      <c r="C48" s="5390"/>
      <c r="D48" s="5381" t="s">
        <v>422</v>
      </c>
      <c r="E48" s="5382"/>
      <c r="F48" s="5382"/>
      <c r="G48" s="5382"/>
      <c r="H48" s="5382"/>
      <c r="I48" s="5382"/>
      <c r="J48" s="5383"/>
      <c r="K48" s="5384"/>
      <c r="L48" s="5403"/>
      <c r="M48" s="5404"/>
      <c r="N48" s="740">
        <f t="shared" si="3"/>
        <v>0</v>
      </c>
      <c r="O48" s="1330">
        <v>10</v>
      </c>
      <c r="P48" s="5370" t="s">
        <v>2039</v>
      </c>
      <c r="Q48" s="5371"/>
      <c r="R48" s="5371"/>
      <c r="S48" s="5372"/>
      <c r="T48" s="463"/>
      <c r="U48" s="63"/>
      <c r="X48" s="66"/>
      <c r="Y48" s="66"/>
      <c r="Z48" s="72"/>
      <c r="AA48" s="73"/>
      <c r="AB48" s="73"/>
      <c r="AC48" s="66"/>
      <c r="AD48" s="66"/>
      <c r="AE48" s="66"/>
      <c r="AF48" s="66"/>
      <c r="AG48" s="66"/>
      <c r="AH48" s="66"/>
    </row>
    <row r="49" spans="1:34" ht="21" customHeight="1" x14ac:dyDescent="0.35">
      <c r="A49" s="5392"/>
      <c r="B49" s="5389" t="s">
        <v>947</v>
      </c>
      <c r="C49" s="5390"/>
      <c r="D49" s="5381" t="s">
        <v>421</v>
      </c>
      <c r="E49" s="5382"/>
      <c r="F49" s="5382"/>
      <c r="G49" s="5382"/>
      <c r="H49" s="5382"/>
      <c r="I49" s="5382"/>
      <c r="J49" s="5383"/>
      <c r="K49" s="5384"/>
      <c r="L49" s="5385"/>
      <c r="M49" s="5386"/>
      <c r="N49" s="740">
        <f t="shared" si="3"/>
        <v>0</v>
      </c>
      <c r="O49" s="1330">
        <v>10</v>
      </c>
      <c r="P49" s="5370"/>
      <c r="Q49" s="5371"/>
      <c r="R49" s="5371"/>
      <c r="S49" s="5372"/>
      <c r="T49" s="463"/>
      <c r="U49" s="63"/>
      <c r="X49" s="66"/>
      <c r="Y49" s="66"/>
      <c r="Z49" s="72"/>
      <c r="AA49" s="73"/>
      <c r="AB49" s="73"/>
      <c r="AC49" s="66"/>
      <c r="AD49" s="66"/>
      <c r="AE49" s="66"/>
      <c r="AF49" s="66"/>
      <c r="AG49" s="66"/>
      <c r="AH49" s="66"/>
    </row>
    <row r="50" spans="1:34" ht="21" customHeight="1" x14ac:dyDescent="0.35">
      <c r="A50" s="5392"/>
      <c r="B50" s="5389" t="s">
        <v>948</v>
      </c>
      <c r="C50" s="5390"/>
      <c r="D50" s="5381" t="s">
        <v>420</v>
      </c>
      <c r="E50" s="5382"/>
      <c r="F50" s="5382"/>
      <c r="G50" s="5382"/>
      <c r="H50" s="5382"/>
      <c r="I50" s="5382"/>
      <c r="J50" s="5383"/>
      <c r="K50" s="5384"/>
      <c r="L50" s="5385"/>
      <c r="M50" s="5386"/>
      <c r="N50" s="740">
        <f t="shared" si="3"/>
        <v>0</v>
      </c>
      <c r="O50" s="1330">
        <v>10</v>
      </c>
      <c r="P50" s="5370"/>
      <c r="Q50" s="5371"/>
      <c r="R50" s="5371"/>
      <c r="S50" s="5372"/>
      <c r="T50" s="463"/>
      <c r="U50" s="63"/>
      <c r="X50" s="66"/>
      <c r="Y50" s="66"/>
      <c r="Z50" s="72"/>
      <c r="AA50" s="73"/>
      <c r="AB50" s="73"/>
      <c r="AC50" s="66"/>
      <c r="AD50" s="66"/>
      <c r="AE50" s="66"/>
      <c r="AF50" s="66"/>
      <c r="AG50" s="66"/>
      <c r="AH50" s="66"/>
    </row>
    <row r="51" spans="1:34" ht="21" customHeight="1" x14ac:dyDescent="0.35">
      <c r="A51" s="5392"/>
      <c r="B51" s="5389" t="s">
        <v>15</v>
      </c>
      <c r="C51" s="5390"/>
      <c r="D51" s="5381" t="s">
        <v>419</v>
      </c>
      <c r="E51" s="5382"/>
      <c r="F51" s="5382"/>
      <c r="G51" s="5382"/>
      <c r="H51" s="5382"/>
      <c r="I51" s="5382"/>
      <c r="J51" s="5383"/>
      <c r="K51" s="5384"/>
      <c r="L51" s="5385"/>
      <c r="M51" s="5386"/>
      <c r="N51" s="740">
        <f t="shared" si="3"/>
        <v>0</v>
      </c>
      <c r="O51" s="1330">
        <v>10</v>
      </c>
      <c r="P51" s="5370"/>
      <c r="Q51" s="5371"/>
      <c r="R51" s="5371"/>
      <c r="S51" s="5372"/>
      <c r="T51" s="463"/>
      <c r="U51" s="63"/>
      <c r="X51" s="66"/>
      <c r="Y51" s="66"/>
      <c r="Z51" s="72"/>
      <c r="AA51" s="73"/>
      <c r="AB51" s="73"/>
      <c r="AC51" s="66"/>
      <c r="AD51" s="66"/>
      <c r="AE51" s="66"/>
      <c r="AF51" s="66"/>
      <c r="AG51" s="66"/>
      <c r="AH51" s="66"/>
    </row>
    <row r="52" spans="1:34" ht="21" customHeight="1" x14ac:dyDescent="0.35">
      <c r="A52" s="5392"/>
      <c r="B52" s="5389" t="s">
        <v>936</v>
      </c>
      <c r="C52" s="5390"/>
      <c r="D52" s="5381" t="s">
        <v>418</v>
      </c>
      <c r="E52" s="5382"/>
      <c r="F52" s="5382"/>
      <c r="G52" s="5382"/>
      <c r="H52" s="5382"/>
      <c r="I52" s="5382"/>
      <c r="J52" s="5383"/>
      <c r="K52" s="5384"/>
      <c r="L52" s="5385"/>
      <c r="M52" s="5386"/>
      <c r="N52" s="740">
        <f t="shared" si="3"/>
        <v>0</v>
      </c>
      <c r="O52" s="1330">
        <v>10</v>
      </c>
      <c r="P52" s="5370"/>
      <c r="Q52" s="5371"/>
      <c r="R52" s="5371"/>
      <c r="S52" s="5372"/>
      <c r="T52" s="463"/>
      <c r="U52" s="63"/>
      <c r="X52" s="66"/>
      <c r="Y52" s="66"/>
      <c r="Z52" s="72"/>
      <c r="AA52" s="73"/>
      <c r="AB52" s="73"/>
      <c r="AC52" s="66"/>
      <c r="AD52" s="66"/>
      <c r="AE52" s="66"/>
      <c r="AF52" s="66"/>
      <c r="AG52" s="66"/>
      <c r="AH52" s="66"/>
    </row>
    <row r="53" spans="1:34" ht="21" customHeight="1" x14ac:dyDescent="0.35">
      <c r="A53" s="5392"/>
      <c r="B53" s="5389" t="s">
        <v>949</v>
      </c>
      <c r="C53" s="5390"/>
      <c r="D53" s="5381" t="s">
        <v>417</v>
      </c>
      <c r="E53" s="5397"/>
      <c r="F53" s="5397"/>
      <c r="G53" s="5397"/>
      <c r="H53" s="5397"/>
      <c r="I53" s="5397"/>
      <c r="J53" s="5383"/>
      <c r="K53" s="5384"/>
      <c r="L53" s="5403"/>
      <c r="M53" s="5404"/>
      <c r="N53" s="1330">
        <f t="shared" si="3"/>
        <v>0</v>
      </c>
      <c r="O53" s="1330">
        <v>10</v>
      </c>
      <c r="P53" s="5370"/>
      <c r="Q53" s="5371"/>
      <c r="R53" s="5371"/>
      <c r="S53" s="5372"/>
      <c r="T53" s="463"/>
      <c r="U53" s="63"/>
      <c r="X53" s="66"/>
      <c r="Y53" s="66"/>
      <c r="Z53" s="72"/>
      <c r="AA53" s="73"/>
      <c r="AB53" s="73"/>
      <c r="AC53" s="66"/>
      <c r="AD53" s="66"/>
      <c r="AE53" s="66"/>
      <c r="AF53" s="66"/>
      <c r="AG53" s="66"/>
      <c r="AH53" s="66"/>
    </row>
    <row r="54" spans="1:34" ht="19.5" customHeight="1" thickBot="1" x14ac:dyDescent="0.4">
      <c r="A54" s="5393"/>
      <c r="B54" s="751"/>
      <c r="C54" s="752"/>
      <c r="D54" s="752"/>
      <c r="E54" s="752"/>
      <c r="F54" s="752"/>
      <c r="G54" s="752"/>
      <c r="H54" s="752"/>
      <c r="I54" s="1552" t="s">
        <v>1385</v>
      </c>
      <c r="J54" s="5405">
        <f>AVERAGE(J39:J53)</f>
        <v>0</v>
      </c>
      <c r="K54" s="5405"/>
      <c r="L54" s="5405">
        <f>AVERAGE(L39:L53)</f>
        <v>0</v>
      </c>
      <c r="M54" s="5405"/>
      <c r="N54" s="749">
        <v>0</v>
      </c>
      <c r="O54" s="749"/>
      <c r="P54" s="752"/>
      <c r="Q54" s="752"/>
      <c r="R54" s="752"/>
      <c r="S54" s="753"/>
      <c r="T54" s="463"/>
      <c r="U54" s="63"/>
      <c r="X54" s="66"/>
      <c r="Y54" s="66"/>
      <c r="Z54" s="72"/>
      <c r="AA54" s="73"/>
      <c r="AB54" s="73"/>
      <c r="AC54" s="66"/>
      <c r="AD54" s="66"/>
      <c r="AE54" s="66"/>
      <c r="AF54" s="66"/>
      <c r="AG54" s="66"/>
      <c r="AH54" s="66"/>
    </row>
    <row r="55" spans="1:34" ht="21" customHeight="1" x14ac:dyDescent="0.35">
      <c r="A55" s="5378" t="s">
        <v>570</v>
      </c>
      <c r="B55" s="5465"/>
      <c r="C55" s="5466"/>
      <c r="D55" s="5466"/>
      <c r="E55" s="5466"/>
      <c r="F55" s="5466"/>
      <c r="G55" s="5466"/>
      <c r="H55" s="5466"/>
      <c r="I55" s="5466"/>
      <c r="J55" s="5466"/>
      <c r="K55" s="5466"/>
      <c r="L55" s="5466"/>
      <c r="M55" s="5466"/>
      <c r="N55" s="5466"/>
      <c r="O55" s="5466"/>
      <c r="P55" s="5466"/>
      <c r="Q55" s="5466"/>
      <c r="R55" s="5466"/>
      <c r="S55" s="5467"/>
      <c r="T55" s="64"/>
      <c r="U55" s="66"/>
      <c r="V55" s="66"/>
      <c r="W55" s="72"/>
      <c r="X55" s="73"/>
      <c r="Y55" s="73"/>
      <c r="Z55" s="66"/>
      <c r="AA55" s="66"/>
      <c r="AB55" s="66"/>
      <c r="AC55" s="66"/>
      <c r="AD55" s="66"/>
      <c r="AE55" s="66"/>
    </row>
    <row r="56" spans="1:34" ht="24" customHeight="1" x14ac:dyDescent="0.35">
      <c r="A56" s="5379"/>
      <c r="B56" s="5463" t="s">
        <v>950</v>
      </c>
      <c r="C56" s="5464"/>
      <c r="D56" s="5397" t="s">
        <v>416</v>
      </c>
      <c r="E56" s="5397"/>
      <c r="F56" s="5397"/>
      <c r="G56" s="5397"/>
      <c r="H56" s="5397"/>
      <c r="I56" s="5397"/>
      <c r="J56" s="5383">
        <v>0</v>
      </c>
      <c r="K56" s="5384"/>
      <c r="L56" s="5403">
        <v>0</v>
      </c>
      <c r="M56" s="5404"/>
      <c r="N56" s="1330">
        <f t="shared" ref="N56:N62" si="4">ABS(J56-L56)</f>
        <v>0</v>
      </c>
      <c r="O56" s="1330">
        <v>10</v>
      </c>
      <c r="P56" s="5370"/>
      <c r="Q56" s="5371"/>
      <c r="R56" s="5371"/>
      <c r="S56" s="5372"/>
      <c r="T56" s="64"/>
      <c r="U56" s="66"/>
      <c r="V56" s="66"/>
      <c r="W56" s="72"/>
      <c r="X56" s="73"/>
      <c r="Y56" s="73"/>
      <c r="Z56" s="66"/>
      <c r="AA56" s="66"/>
      <c r="AB56" s="66"/>
      <c r="AC56" s="66"/>
      <c r="AD56" s="66"/>
      <c r="AE56" s="66"/>
    </row>
    <row r="57" spans="1:34" ht="21.75" customHeight="1" x14ac:dyDescent="0.35">
      <c r="A57" s="5379"/>
      <c r="B57" s="5387" t="s">
        <v>569</v>
      </c>
      <c r="C57" s="5388"/>
      <c r="D57" s="5397" t="s">
        <v>569</v>
      </c>
      <c r="E57" s="5382"/>
      <c r="F57" s="5382"/>
      <c r="G57" s="5382"/>
      <c r="H57" s="5382"/>
      <c r="I57" s="5382"/>
      <c r="J57" s="5383"/>
      <c r="K57" s="5384"/>
      <c r="L57" s="5403"/>
      <c r="M57" s="5404"/>
      <c r="N57" s="740">
        <f t="shared" si="4"/>
        <v>0</v>
      </c>
      <c r="O57" s="1330">
        <v>10</v>
      </c>
      <c r="P57" s="5370"/>
      <c r="Q57" s="5371"/>
      <c r="R57" s="5371"/>
      <c r="S57" s="5372"/>
      <c r="T57" s="463"/>
      <c r="U57" s="63"/>
      <c r="X57" s="93"/>
      <c r="Y57" s="93"/>
      <c r="Z57" s="73"/>
      <c r="AA57" s="73"/>
      <c r="AB57" s="73"/>
      <c r="AC57" s="66"/>
      <c r="AD57" s="66"/>
      <c r="AE57" s="66"/>
      <c r="AF57" s="66"/>
      <c r="AG57" s="66"/>
      <c r="AH57" s="66"/>
    </row>
    <row r="58" spans="1:34" ht="20.25" customHeight="1" x14ac:dyDescent="0.35">
      <c r="A58" s="5379"/>
      <c r="B58" s="5387" t="s">
        <v>951</v>
      </c>
      <c r="C58" s="5388"/>
      <c r="D58" s="5397" t="s">
        <v>415</v>
      </c>
      <c r="E58" s="5382"/>
      <c r="F58" s="5382"/>
      <c r="G58" s="5382"/>
      <c r="H58" s="5382"/>
      <c r="I58" s="5382"/>
      <c r="J58" s="5383"/>
      <c r="K58" s="5384"/>
      <c r="L58" s="5403"/>
      <c r="M58" s="5404"/>
      <c r="N58" s="740">
        <f t="shared" si="4"/>
        <v>0</v>
      </c>
      <c r="O58" s="1330">
        <v>10</v>
      </c>
      <c r="P58" s="5370"/>
      <c r="Q58" s="5371"/>
      <c r="R58" s="5371"/>
      <c r="S58" s="5372"/>
      <c r="T58" s="64"/>
    </row>
    <row r="59" spans="1:34" ht="23.25" customHeight="1" x14ac:dyDescent="0.35">
      <c r="A59" s="5379"/>
      <c r="B59" s="5387" t="s">
        <v>952</v>
      </c>
      <c r="C59" s="5388"/>
      <c r="D59" s="5397" t="s">
        <v>414</v>
      </c>
      <c r="E59" s="5382"/>
      <c r="F59" s="5382"/>
      <c r="G59" s="5382"/>
      <c r="H59" s="5382"/>
      <c r="I59" s="5382"/>
      <c r="J59" s="5383"/>
      <c r="K59" s="5384"/>
      <c r="L59" s="5403"/>
      <c r="M59" s="5404"/>
      <c r="N59" s="740">
        <f t="shared" si="4"/>
        <v>0</v>
      </c>
      <c r="O59" s="1330">
        <v>10</v>
      </c>
      <c r="P59" s="5370"/>
      <c r="Q59" s="5371"/>
      <c r="R59" s="5371"/>
      <c r="S59" s="5372"/>
      <c r="T59" s="64"/>
      <c r="U59" s="64"/>
      <c r="V59" s="64"/>
      <c r="W59" s="64"/>
      <c r="X59" s="64"/>
    </row>
    <row r="60" spans="1:34" ht="21" customHeight="1" x14ac:dyDescent="0.35">
      <c r="A60" s="5379"/>
      <c r="B60" s="5387" t="s">
        <v>953</v>
      </c>
      <c r="C60" s="5388"/>
      <c r="D60" s="5397" t="s">
        <v>413</v>
      </c>
      <c r="E60" s="5382"/>
      <c r="F60" s="5382"/>
      <c r="G60" s="5382"/>
      <c r="H60" s="5382"/>
      <c r="I60" s="5382"/>
      <c r="J60" s="5383"/>
      <c r="K60" s="5384"/>
      <c r="L60" s="5403"/>
      <c r="M60" s="5404"/>
      <c r="N60" s="740">
        <f t="shared" si="4"/>
        <v>0</v>
      </c>
      <c r="O60" s="1330">
        <v>10</v>
      </c>
      <c r="P60" s="5370"/>
      <c r="Q60" s="5371"/>
      <c r="R60" s="5371"/>
      <c r="S60" s="5372"/>
      <c r="T60" s="64"/>
      <c r="U60" s="165"/>
      <c r="V60" s="64"/>
      <c r="W60" s="64"/>
      <c r="X60" s="64"/>
    </row>
    <row r="61" spans="1:34" ht="21" customHeight="1" x14ac:dyDescent="0.35">
      <c r="A61" s="5379"/>
      <c r="B61" s="5387" t="s">
        <v>954</v>
      </c>
      <c r="C61" s="5388"/>
      <c r="D61" s="5436" t="s">
        <v>412</v>
      </c>
      <c r="E61" s="5382"/>
      <c r="F61" s="5382"/>
      <c r="G61" s="5382"/>
      <c r="H61" s="5382"/>
      <c r="I61" s="5382"/>
      <c r="J61" s="5383"/>
      <c r="K61" s="5384"/>
      <c r="L61" s="5403"/>
      <c r="M61" s="5404"/>
      <c r="N61" s="740">
        <f t="shared" si="4"/>
        <v>0</v>
      </c>
      <c r="O61" s="1330">
        <v>10</v>
      </c>
      <c r="P61" s="5370"/>
      <c r="Q61" s="5371"/>
      <c r="R61" s="5371"/>
      <c r="S61" s="5372"/>
      <c r="T61" s="64"/>
      <c r="U61" s="64"/>
      <c r="V61" s="64"/>
      <c r="W61" s="64"/>
      <c r="X61" s="64"/>
    </row>
    <row r="62" spans="1:34" ht="21" customHeight="1" x14ac:dyDescent="0.35">
      <c r="A62" s="5379"/>
      <c r="B62" s="5387" t="s">
        <v>955</v>
      </c>
      <c r="C62" s="5388"/>
      <c r="D62" s="5436" t="s">
        <v>411</v>
      </c>
      <c r="E62" s="5382"/>
      <c r="F62" s="5382"/>
      <c r="G62" s="5382"/>
      <c r="H62" s="5382"/>
      <c r="I62" s="5382"/>
      <c r="J62" s="5383"/>
      <c r="K62" s="5384"/>
      <c r="L62" s="5403"/>
      <c r="M62" s="5404"/>
      <c r="N62" s="740">
        <f t="shared" si="4"/>
        <v>0</v>
      </c>
      <c r="O62" s="1330">
        <v>10</v>
      </c>
      <c r="P62" s="5370"/>
      <c r="Q62" s="5371"/>
      <c r="R62" s="5371"/>
      <c r="S62" s="5372"/>
      <c r="T62" s="64"/>
      <c r="U62" s="64"/>
      <c r="V62" s="64"/>
      <c r="W62" s="64"/>
      <c r="X62" s="64"/>
    </row>
    <row r="63" spans="1:34" ht="21" customHeight="1" thickBot="1" x14ac:dyDescent="0.4">
      <c r="A63" s="5380"/>
      <c r="B63" s="754"/>
      <c r="C63" s="755"/>
      <c r="D63" s="755"/>
      <c r="E63" s="755"/>
      <c r="F63" s="755"/>
      <c r="G63" s="755"/>
      <c r="H63" s="755"/>
      <c r="I63" s="1552" t="s">
        <v>1385</v>
      </c>
      <c r="J63" s="5405">
        <f>AVERAGE(J56:J62)</f>
        <v>0</v>
      </c>
      <c r="K63" s="5405"/>
      <c r="L63" s="5405">
        <f>AVERAGE(L56:L62)</f>
        <v>0</v>
      </c>
      <c r="M63" s="5405"/>
      <c r="N63" s="755">
        <v>0</v>
      </c>
      <c r="O63" s="755"/>
      <c r="P63" s="755"/>
      <c r="Q63" s="755"/>
      <c r="R63" s="755"/>
      <c r="S63" s="756"/>
      <c r="T63" s="64"/>
      <c r="U63" s="64"/>
      <c r="V63" s="64"/>
      <c r="W63" s="64"/>
      <c r="X63" s="64"/>
    </row>
    <row r="64" spans="1:34" ht="16" thickTop="1" x14ac:dyDescent="0.35">
      <c r="A64" s="1325"/>
      <c r="B64" s="1325"/>
      <c r="C64" s="1325"/>
      <c r="D64" s="1325"/>
      <c r="E64" s="1325"/>
      <c r="F64" s="5458" t="s">
        <v>222</v>
      </c>
      <c r="G64" s="5459"/>
      <c r="H64" s="5459"/>
      <c r="I64" s="5460"/>
      <c r="J64" s="5461">
        <f>SUM(J10:J17)+SUM(J20:K26)+SUM(J29:K36)+SUM(J39:K53)+SUM(J56:K62)</f>
        <v>0</v>
      </c>
      <c r="K64" s="5462"/>
      <c r="L64" s="5461">
        <f>SUM(L10:L17)+SUM(L20:M26)+SUM(L29:M36)+SUM(L39:M53)+SUM(L56:M62)</f>
        <v>0</v>
      </c>
      <c r="M64" s="5462"/>
      <c r="N64" s="1553">
        <f>SUM(N19:N63)</f>
        <v>0</v>
      </c>
      <c r="O64" s="1554">
        <f>SUM(O10:O63)</f>
        <v>450</v>
      </c>
      <c r="P64" s="1325"/>
      <c r="Q64" s="463"/>
      <c r="R64" s="463"/>
      <c r="S64" s="64"/>
      <c r="T64" s="64"/>
      <c r="U64" s="64"/>
      <c r="V64" s="64"/>
      <c r="W64" s="64"/>
      <c r="X64" s="64"/>
    </row>
    <row r="65" spans="1:24" ht="19" thickBot="1" x14ac:dyDescent="0.4">
      <c r="A65" s="1325"/>
      <c r="B65" s="1325"/>
      <c r="C65" s="1325"/>
      <c r="D65" s="1325"/>
      <c r="E65" s="1325"/>
      <c r="F65" s="5373" t="s">
        <v>1522</v>
      </c>
      <c r="G65" s="5374"/>
      <c r="H65" s="5374"/>
      <c r="I65" s="5375"/>
      <c r="J65" s="5376">
        <f>AVERAGE(J10:K17,J20:K26,J29:K36,J39:K53,J56:K62)</f>
        <v>0</v>
      </c>
      <c r="K65" s="5377"/>
      <c r="L65" s="5376">
        <f>AVERAGE(L10:M17,L20:M26,L29:M36,L39:M53)</f>
        <v>0</v>
      </c>
      <c r="M65" s="5377"/>
      <c r="N65" s="1555">
        <f>N64/O64</f>
        <v>0</v>
      </c>
      <c r="O65" s="742"/>
      <c r="P65" s="1325"/>
      <c r="Q65" s="463"/>
      <c r="R65" s="463"/>
      <c r="S65" s="64"/>
      <c r="T65" s="64"/>
      <c r="U65" s="64"/>
      <c r="V65" s="64"/>
      <c r="W65" s="64"/>
      <c r="X65" s="64"/>
    </row>
    <row r="66" spans="1:24" ht="21" customHeight="1" thickTop="1" x14ac:dyDescent="0.35">
      <c r="A66" s="1325"/>
      <c r="B66" s="1325"/>
      <c r="C66" s="1325"/>
      <c r="D66" s="1325"/>
      <c r="E66" s="64"/>
      <c r="F66" s="64"/>
      <c r="G66" s="64"/>
      <c r="H66" s="64"/>
      <c r="I66" s="64"/>
      <c r="J66" s="1325"/>
      <c r="K66" s="1325"/>
      <c r="L66" s="1325"/>
      <c r="M66" s="1325"/>
      <c r="N66" s="1325"/>
      <c r="O66" s="1325"/>
      <c r="P66" s="1325"/>
      <c r="Q66" s="1325"/>
      <c r="R66" s="1325"/>
      <c r="S66" s="1325"/>
      <c r="T66" s="64"/>
      <c r="U66" s="64"/>
      <c r="V66" s="64"/>
      <c r="W66" s="64"/>
      <c r="X66" s="64"/>
    </row>
    <row r="67" spans="1:24" ht="21" customHeight="1" x14ac:dyDescent="0.35">
      <c r="A67" s="64"/>
      <c r="B67" s="64"/>
      <c r="C67" s="64"/>
      <c r="D67" s="64"/>
      <c r="E67" s="64"/>
      <c r="F67" s="64"/>
      <c r="G67" s="64"/>
      <c r="H67" s="64"/>
      <c r="I67" s="64"/>
      <c r="J67" s="64"/>
      <c r="K67" s="64"/>
      <c r="L67" s="64"/>
      <c r="M67" s="64"/>
      <c r="N67" s="64"/>
      <c r="O67" s="1333"/>
      <c r="P67" s="64"/>
      <c r="Q67" s="64"/>
      <c r="R67" s="64"/>
      <c r="S67" s="64"/>
      <c r="T67" s="64"/>
      <c r="U67" s="64"/>
      <c r="V67" s="64"/>
      <c r="W67" s="64"/>
      <c r="X67" s="64"/>
    </row>
    <row r="68" spans="1:24" x14ac:dyDescent="0.35">
      <c r="A68" s="64"/>
      <c r="B68" s="64"/>
      <c r="C68" s="64"/>
      <c r="D68" s="64"/>
      <c r="E68" s="64"/>
      <c r="F68" s="64"/>
      <c r="G68" s="64"/>
      <c r="H68" s="64"/>
      <c r="I68" s="64"/>
      <c r="J68" s="64"/>
      <c r="K68" s="64"/>
      <c r="L68" s="64"/>
      <c r="M68" s="64"/>
      <c r="N68" s="64"/>
      <c r="O68" s="1333"/>
      <c r="P68" s="64"/>
      <c r="Q68" s="64"/>
      <c r="R68" s="64"/>
      <c r="S68" s="64"/>
    </row>
    <row r="69" spans="1:24" x14ac:dyDescent="0.35">
      <c r="O69" s="372"/>
    </row>
    <row r="70" spans="1:24" x14ac:dyDescent="0.35">
      <c r="O70" s="372"/>
    </row>
    <row r="71" spans="1:24" x14ac:dyDescent="0.35">
      <c r="O71" s="372"/>
    </row>
    <row r="72" spans="1:24" x14ac:dyDescent="0.35">
      <c r="O72" s="372"/>
    </row>
    <row r="73" spans="1:24" x14ac:dyDescent="0.35">
      <c r="O73" s="372"/>
    </row>
    <row r="74" spans="1:24" x14ac:dyDescent="0.35">
      <c r="O74" s="372"/>
    </row>
    <row r="75" spans="1:24" x14ac:dyDescent="0.35">
      <c r="O75" s="372"/>
    </row>
    <row r="76" spans="1:24" x14ac:dyDescent="0.35">
      <c r="O76" s="372"/>
    </row>
    <row r="77" spans="1:24" x14ac:dyDescent="0.35">
      <c r="O77" s="372"/>
    </row>
    <row r="78" spans="1:24" x14ac:dyDescent="0.35">
      <c r="O78" s="372"/>
    </row>
    <row r="79" spans="1:24" x14ac:dyDescent="0.35">
      <c r="O79" s="372"/>
    </row>
    <row r="80" spans="1:24" x14ac:dyDescent="0.35">
      <c r="O80" s="372"/>
    </row>
    <row r="81" spans="15:15" x14ac:dyDescent="0.35">
      <c r="O81" s="372"/>
    </row>
    <row r="82" spans="15:15" x14ac:dyDescent="0.35">
      <c r="O82" s="372"/>
    </row>
    <row r="83" spans="15:15" x14ac:dyDescent="0.35">
      <c r="O83" s="372"/>
    </row>
    <row r="84" spans="15:15" x14ac:dyDescent="0.35">
      <c r="O84" s="372"/>
    </row>
    <row r="85" spans="15:15" x14ac:dyDescent="0.35">
      <c r="O85" s="372"/>
    </row>
    <row r="86" spans="15:15" x14ac:dyDescent="0.35">
      <c r="O86" s="372"/>
    </row>
    <row r="87" spans="15:15" x14ac:dyDescent="0.35">
      <c r="O87" s="372"/>
    </row>
    <row r="88" spans="15:15" x14ac:dyDescent="0.35">
      <c r="O88" s="372"/>
    </row>
    <row r="89" spans="15:15" x14ac:dyDescent="0.35">
      <c r="O89" s="372"/>
    </row>
    <row r="90" spans="15:15" x14ac:dyDescent="0.35">
      <c r="O90" s="372"/>
    </row>
    <row r="91" spans="15:15" x14ac:dyDescent="0.35">
      <c r="O91" s="372"/>
    </row>
    <row r="92" spans="15:15" x14ac:dyDescent="0.35">
      <c r="O92" s="372"/>
    </row>
    <row r="93" spans="15:15" x14ac:dyDescent="0.35">
      <c r="O93" s="372"/>
    </row>
    <row r="94" spans="15:15" x14ac:dyDescent="0.35">
      <c r="O94" s="372"/>
    </row>
    <row r="95" spans="15:15" x14ac:dyDescent="0.35">
      <c r="O95" s="372"/>
    </row>
    <row r="96" spans="15:15" x14ac:dyDescent="0.35">
      <c r="O96" s="372"/>
    </row>
    <row r="97" spans="1:24" x14ac:dyDescent="0.35">
      <c r="O97" s="372"/>
    </row>
    <row r="98" spans="1:24" x14ac:dyDescent="0.35">
      <c r="O98" s="372"/>
    </row>
    <row r="99" spans="1:24" x14ac:dyDescent="0.35">
      <c r="O99" s="372"/>
    </row>
    <row r="100" spans="1:24" x14ac:dyDescent="0.35">
      <c r="O100" s="372"/>
    </row>
    <row r="101" spans="1:24" x14ac:dyDescent="0.35">
      <c r="O101" s="372"/>
    </row>
    <row r="102" spans="1:24" x14ac:dyDescent="0.35">
      <c r="O102" s="372"/>
    </row>
    <row r="103" spans="1:24" x14ac:dyDescent="0.35">
      <c r="O103" s="372"/>
    </row>
    <row r="104" spans="1:24" x14ac:dyDescent="0.35">
      <c r="O104" s="372"/>
    </row>
    <row r="105" spans="1:24" ht="21" customHeight="1" thickBot="1" x14ac:dyDescent="0.4">
      <c r="A105" s="64"/>
      <c r="B105" s="64"/>
      <c r="C105" s="64"/>
      <c r="D105" s="64"/>
      <c r="E105" s="64"/>
      <c r="F105" s="64"/>
      <c r="G105" s="64"/>
      <c r="H105" s="64"/>
      <c r="I105" s="64"/>
      <c r="J105" s="64"/>
      <c r="K105" s="64"/>
      <c r="L105" s="64"/>
      <c r="M105" s="64"/>
      <c r="N105" s="64"/>
      <c r="O105" s="111"/>
      <c r="P105" s="64"/>
      <c r="Q105" s="64"/>
      <c r="R105" s="64"/>
      <c r="S105" s="64"/>
      <c r="T105" s="64"/>
      <c r="U105" s="64"/>
      <c r="V105" s="64"/>
      <c r="W105" s="64"/>
      <c r="X105" s="64"/>
    </row>
    <row r="106" spans="1:24" ht="21" customHeight="1" thickTop="1" thickBot="1" x14ac:dyDescent="0.4">
      <c r="A106" s="3883" t="s">
        <v>10</v>
      </c>
      <c r="B106" s="3884"/>
      <c r="C106" s="3884"/>
      <c r="D106" s="3884"/>
      <c r="E106" s="3884"/>
      <c r="F106" s="3884"/>
      <c r="G106" s="3884"/>
      <c r="H106" s="3884"/>
      <c r="I106" s="3884"/>
      <c r="J106" s="3884"/>
      <c r="K106" s="3884"/>
      <c r="L106" s="3884"/>
      <c r="M106" s="3884"/>
      <c r="N106" s="5402"/>
      <c r="O106" s="110"/>
      <c r="P106" s="3725" t="s">
        <v>748</v>
      </c>
      <c r="Q106" s="3726"/>
      <c r="R106" s="3727"/>
      <c r="S106" s="31"/>
      <c r="T106" s="64"/>
      <c r="U106" s="64"/>
      <c r="V106" s="64"/>
      <c r="W106" s="64"/>
      <c r="X106" s="64"/>
    </row>
    <row r="107" spans="1:24" ht="21" customHeight="1" x14ac:dyDescent="0.35">
      <c r="A107" s="3876" t="s">
        <v>1397</v>
      </c>
      <c r="B107" s="3877"/>
      <c r="C107" s="3877"/>
      <c r="D107" s="3877"/>
      <c r="E107" s="3877"/>
      <c r="F107" s="3877"/>
      <c r="G107" s="3877"/>
      <c r="H107" s="3877"/>
      <c r="I107" s="3877"/>
      <c r="J107" s="3877"/>
      <c r="K107" s="3877"/>
      <c r="L107" s="3877"/>
      <c r="M107" s="3877"/>
      <c r="N107" s="5398"/>
      <c r="O107" s="110"/>
      <c r="P107" s="3750" t="s">
        <v>1396</v>
      </c>
      <c r="Q107" s="5066"/>
      <c r="R107" s="3752"/>
      <c r="S107" s="31"/>
      <c r="T107" s="64"/>
      <c r="U107" s="64"/>
      <c r="V107" s="64"/>
      <c r="W107" s="64"/>
      <c r="X107" s="64"/>
    </row>
    <row r="108" spans="1:24" x14ac:dyDescent="0.35">
      <c r="A108" s="3878"/>
      <c r="B108" s="3879"/>
      <c r="C108" s="3879"/>
      <c r="D108" s="3879"/>
      <c r="E108" s="3879"/>
      <c r="F108" s="3879"/>
      <c r="G108" s="3879"/>
      <c r="H108" s="3879"/>
      <c r="I108" s="3879"/>
      <c r="J108" s="3879"/>
      <c r="K108" s="3879"/>
      <c r="L108" s="3879"/>
      <c r="M108" s="3879"/>
      <c r="N108" s="5399"/>
      <c r="O108" s="110"/>
      <c r="P108" s="3753"/>
      <c r="Q108" s="3754"/>
      <c r="R108" s="5067"/>
      <c r="S108" s="31"/>
      <c r="T108" s="64"/>
      <c r="U108" s="64"/>
      <c r="V108" s="64"/>
      <c r="W108" s="64"/>
      <c r="X108" s="64"/>
    </row>
    <row r="109" spans="1:24" x14ac:dyDescent="0.35">
      <c r="A109" s="3878"/>
      <c r="B109" s="3879"/>
      <c r="C109" s="3879"/>
      <c r="D109" s="3879"/>
      <c r="E109" s="3879"/>
      <c r="F109" s="3879"/>
      <c r="G109" s="3879"/>
      <c r="H109" s="3879"/>
      <c r="I109" s="3879"/>
      <c r="J109" s="3879"/>
      <c r="K109" s="3879"/>
      <c r="L109" s="3879"/>
      <c r="M109" s="3879"/>
      <c r="N109" s="5399"/>
      <c r="O109" s="110"/>
      <c r="P109" s="3753"/>
      <c r="Q109" s="3754"/>
      <c r="R109" s="5067"/>
      <c r="S109" s="31"/>
      <c r="T109" s="64"/>
      <c r="U109" s="64"/>
      <c r="V109" s="64"/>
      <c r="W109" s="64"/>
      <c r="X109" s="64"/>
    </row>
    <row r="110" spans="1:24" x14ac:dyDescent="0.35">
      <c r="A110" s="3878"/>
      <c r="B110" s="3879"/>
      <c r="C110" s="3879"/>
      <c r="D110" s="3879"/>
      <c r="E110" s="3879"/>
      <c r="F110" s="3879"/>
      <c r="G110" s="3879"/>
      <c r="H110" s="3879"/>
      <c r="I110" s="3879"/>
      <c r="J110" s="3879"/>
      <c r="K110" s="3879"/>
      <c r="L110" s="3879"/>
      <c r="M110" s="3879"/>
      <c r="N110" s="5399"/>
      <c r="O110" s="110"/>
      <c r="P110" s="3753"/>
      <c r="Q110" s="3754"/>
      <c r="R110" s="5067"/>
      <c r="S110" s="31"/>
      <c r="T110" s="64"/>
    </row>
    <row r="111" spans="1:24" ht="15" thickBot="1" x14ac:dyDescent="0.4">
      <c r="A111" s="3880"/>
      <c r="B111" s="3881"/>
      <c r="C111" s="3881"/>
      <c r="D111" s="3881"/>
      <c r="E111" s="3881"/>
      <c r="F111" s="3881"/>
      <c r="G111" s="3881"/>
      <c r="H111" s="3881"/>
      <c r="I111" s="3881"/>
      <c r="J111" s="3881"/>
      <c r="K111" s="3881"/>
      <c r="L111" s="3881"/>
      <c r="M111" s="3881"/>
      <c r="N111" s="5400"/>
      <c r="O111" s="111"/>
      <c r="P111" s="5334"/>
      <c r="Q111" s="3757"/>
      <c r="R111" s="3758"/>
      <c r="S111" s="64"/>
    </row>
    <row r="112" spans="1:24" ht="15.5" thickTop="1" thickBot="1" x14ac:dyDescent="0.4">
      <c r="A112" s="64"/>
      <c r="B112" s="64"/>
      <c r="C112" s="64"/>
      <c r="D112" s="64"/>
      <c r="E112" s="64"/>
      <c r="F112" s="64"/>
      <c r="G112" s="64"/>
      <c r="H112" s="64"/>
      <c r="I112" s="64"/>
      <c r="J112" s="64"/>
      <c r="K112" s="64"/>
      <c r="L112" s="64"/>
      <c r="M112" s="64"/>
      <c r="N112" s="743"/>
      <c r="O112" s="164"/>
      <c r="P112" s="64"/>
      <c r="Q112" s="64"/>
      <c r="R112" s="64"/>
      <c r="S112" s="31"/>
    </row>
    <row r="113" spans="1:19" ht="19.5" thickTop="1" thickBot="1" x14ac:dyDescent="0.4">
      <c r="A113" s="3883" t="s">
        <v>11</v>
      </c>
      <c r="B113" s="3884"/>
      <c r="C113" s="3884"/>
      <c r="D113" s="3884"/>
      <c r="E113" s="3884"/>
      <c r="F113" s="3884"/>
      <c r="G113" s="3884"/>
      <c r="H113" s="3884"/>
      <c r="I113" s="3884"/>
      <c r="J113" s="3884"/>
      <c r="K113" s="3884"/>
      <c r="L113" s="3884"/>
      <c r="M113" s="3884"/>
      <c r="N113" s="5402"/>
      <c r="O113" s="110"/>
      <c r="P113" s="3725" t="s">
        <v>748</v>
      </c>
      <c r="Q113" s="3726"/>
      <c r="R113" s="3727"/>
      <c r="S113" s="31"/>
    </row>
    <row r="114" spans="1:19" ht="15" customHeight="1" x14ac:dyDescent="0.35">
      <c r="A114" s="3876" t="s">
        <v>1394</v>
      </c>
      <c r="B114" s="3877"/>
      <c r="C114" s="3877"/>
      <c r="D114" s="3877"/>
      <c r="E114" s="3877"/>
      <c r="F114" s="3877"/>
      <c r="G114" s="3877"/>
      <c r="H114" s="3877"/>
      <c r="I114" s="3877"/>
      <c r="J114" s="3877"/>
      <c r="K114" s="3877"/>
      <c r="L114" s="3877"/>
      <c r="M114" s="3877"/>
      <c r="N114" s="5398"/>
      <c r="O114" s="164"/>
      <c r="P114" s="3750" t="s">
        <v>754</v>
      </c>
      <c r="Q114" s="5066"/>
      <c r="R114" s="3752"/>
      <c r="S114" s="31"/>
    </row>
    <row r="115" spans="1:19" x14ac:dyDescent="0.35">
      <c r="A115" s="3878"/>
      <c r="B115" s="3879"/>
      <c r="C115" s="3879"/>
      <c r="D115" s="3879"/>
      <c r="E115" s="3879"/>
      <c r="F115" s="3879"/>
      <c r="G115" s="3879"/>
      <c r="H115" s="3879"/>
      <c r="I115" s="3879"/>
      <c r="J115" s="3879"/>
      <c r="K115" s="3879"/>
      <c r="L115" s="3879"/>
      <c r="M115" s="3879"/>
      <c r="N115" s="5399"/>
      <c r="O115" s="164"/>
      <c r="P115" s="3753"/>
      <c r="Q115" s="3754"/>
      <c r="R115" s="5067"/>
      <c r="S115" s="31"/>
    </row>
    <row r="116" spans="1:19" x14ac:dyDescent="0.35">
      <c r="A116" s="3878"/>
      <c r="B116" s="3879"/>
      <c r="C116" s="3879"/>
      <c r="D116" s="3879"/>
      <c r="E116" s="3879"/>
      <c r="F116" s="3879"/>
      <c r="G116" s="3879"/>
      <c r="H116" s="3879"/>
      <c r="I116" s="3879"/>
      <c r="J116" s="3879"/>
      <c r="K116" s="3879"/>
      <c r="L116" s="3879"/>
      <c r="M116" s="3879"/>
      <c r="N116" s="5399"/>
      <c r="O116" s="164"/>
      <c r="P116" s="3753"/>
      <c r="Q116" s="3754"/>
      <c r="R116" s="5067"/>
      <c r="S116" s="31"/>
    </row>
    <row r="117" spans="1:19" x14ac:dyDescent="0.35">
      <c r="A117" s="3878"/>
      <c r="B117" s="3879"/>
      <c r="C117" s="3879"/>
      <c r="D117" s="3879"/>
      <c r="E117" s="3879"/>
      <c r="F117" s="3879"/>
      <c r="G117" s="3879"/>
      <c r="H117" s="3879"/>
      <c r="I117" s="3879"/>
      <c r="J117" s="3879"/>
      <c r="K117" s="3879"/>
      <c r="L117" s="3879"/>
      <c r="M117" s="3879"/>
      <c r="N117" s="5399"/>
      <c r="O117" s="111"/>
      <c r="P117" s="3753"/>
      <c r="Q117" s="3754"/>
      <c r="R117" s="5067"/>
      <c r="S117" s="64"/>
    </row>
    <row r="118" spans="1:19" ht="15" thickBot="1" x14ac:dyDescent="0.4">
      <c r="A118" s="3880"/>
      <c r="B118" s="3881"/>
      <c r="C118" s="3881"/>
      <c r="D118" s="3881"/>
      <c r="E118" s="3881"/>
      <c r="F118" s="3881"/>
      <c r="G118" s="3881"/>
      <c r="H118" s="3881"/>
      <c r="I118" s="3881"/>
      <c r="J118" s="3881"/>
      <c r="K118" s="3881"/>
      <c r="L118" s="3881"/>
      <c r="M118" s="3881"/>
      <c r="N118" s="5400"/>
      <c r="O118" s="111"/>
      <c r="P118" s="5334"/>
      <c r="Q118" s="3757"/>
      <c r="R118" s="3758"/>
      <c r="S118" s="64"/>
    </row>
    <row r="119" spans="1:19" ht="15" thickTop="1" x14ac:dyDescent="0.35">
      <c r="A119" s="64"/>
      <c r="B119" s="64"/>
      <c r="C119" s="64"/>
      <c r="D119" s="64"/>
      <c r="E119" s="64"/>
      <c r="F119" s="64"/>
      <c r="G119" s="64"/>
      <c r="H119" s="64"/>
      <c r="I119" s="64"/>
      <c r="J119" s="64"/>
      <c r="K119" s="64"/>
      <c r="L119" s="64"/>
      <c r="M119" s="64"/>
      <c r="N119" s="64"/>
      <c r="O119" s="111"/>
      <c r="P119" s="64"/>
      <c r="Q119" s="64"/>
      <c r="R119" s="64"/>
      <c r="S119" s="64"/>
    </row>
  </sheetData>
  <mergeCells count="278">
    <mergeCell ref="O1:P1"/>
    <mergeCell ref="F2:I2"/>
    <mergeCell ref="L2:M2"/>
    <mergeCell ref="O2:P2"/>
    <mergeCell ref="O6:O7"/>
    <mergeCell ref="P6:S7"/>
    <mergeCell ref="A4:I4"/>
    <mergeCell ref="A6:A7"/>
    <mergeCell ref="N6:N7"/>
    <mergeCell ref="F1:I1"/>
    <mergeCell ref="L1:M1"/>
    <mergeCell ref="J7:K7"/>
    <mergeCell ref="L7:M7"/>
    <mergeCell ref="L6:M6"/>
    <mergeCell ref="D6:I7"/>
    <mergeCell ref="J6:K6"/>
    <mergeCell ref="A5:C5"/>
    <mergeCell ref="D5:S5"/>
    <mergeCell ref="J4:S4"/>
    <mergeCell ref="D3:J3"/>
    <mergeCell ref="A107:N111"/>
    <mergeCell ref="A114:N118"/>
    <mergeCell ref="P106:R106"/>
    <mergeCell ref="P107:R111"/>
    <mergeCell ref="P113:R113"/>
    <mergeCell ref="P114:R118"/>
    <mergeCell ref="A113:N113"/>
    <mergeCell ref="A106:N106"/>
    <mergeCell ref="A9:A18"/>
    <mergeCell ref="B9:S9"/>
    <mergeCell ref="B10:C10"/>
    <mergeCell ref="D10:I10"/>
    <mergeCell ref="J10:K10"/>
    <mergeCell ref="L10:M10"/>
    <mergeCell ref="P10:S10"/>
    <mergeCell ref="B11:C11"/>
    <mergeCell ref="D11:I11"/>
    <mergeCell ref="J11:K11"/>
    <mergeCell ref="L11:M11"/>
    <mergeCell ref="P11:S11"/>
    <mergeCell ref="B12:C12"/>
    <mergeCell ref="D12:I12"/>
    <mergeCell ref="J12:K12"/>
    <mergeCell ref="L12:M12"/>
    <mergeCell ref="P12:S12"/>
    <mergeCell ref="B13:C13"/>
    <mergeCell ref="D13:I13"/>
    <mergeCell ref="J13:K13"/>
    <mergeCell ref="L13:M13"/>
    <mergeCell ref="P13:S13"/>
    <mergeCell ref="B14:C14"/>
    <mergeCell ref="D14:I14"/>
    <mergeCell ref="J14:K14"/>
    <mergeCell ref="L14:M14"/>
    <mergeCell ref="B15:C15"/>
    <mergeCell ref="D15:I15"/>
    <mergeCell ref="J15:K15"/>
    <mergeCell ref="L15:M15"/>
    <mergeCell ref="P15:S15"/>
    <mergeCell ref="B16:C16"/>
    <mergeCell ref="D16:I16"/>
    <mergeCell ref="J16:K16"/>
    <mergeCell ref="L16:M16"/>
    <mergeCell ref="P16:S16"/>
    <mergeCell ref="B17:C17"/>
    <mergeCell ref="D17:I17"/>
    <mergeCell ref="J17:K17"/>
    <mergeCell ref="L17:M17"/>
    <mergeCell ref="P17:S17"/>
    <mergeCell ref="J18:K18"/>
    <mergeCell ref="L18:M18"/>
    <mergeCell ref="A19:A27"/>
    <mergeCell ref="B19:S19"/>
    <mergeCell ref="B20:C20"/>
    <mergeCell ref="D20:I20"/>
    <mergeCell ref="J20:K20"/>
    <mergeCell ref="L20:M20"/>
    <mergeCell ref="P20:S20"/>
    <mergeCell ref="B21:C21"/>
    <mergeCell ref="D21:I21"/>
    <mergeCell ref="J21:K21"/>
    <mergeCell ref="L21:M21"/>
    <mergeCell ref="P21:S21"/>
    <mergeCell ref="B22:C22"/>
    <mergeCell ref="D22:I22"/>
    <mergeCell ref="J22:K22"/>
    <mergeCell ref="L22:M22"/>
    <mergeCell ref="P22:S22"/>
    <mergeCell ref="B23:C23"/>
    <mergeCell ref="D23:I23"/>
    <mergeCell ref="J23:K23"/>
    <mergeCell ref="L23:M23"/>
    <mergeCell ref="P23:S23"/>
    <mergeCell ref="B24:C24"/>
    <mergeCell ref="D24:I24"/>
    <mergeCell ref="J24:K24"/>
    <mergeCell ref="L24:M24"/>
    <mergeCell ref="P24:S24"/>
    <mergeCell ref="B25:C25"/>
    <mergeCell ref="D25:I25"/>
    <mergeCell ref="J25:K25"/>
    <mergeCell ref="L25:M25"/>
    <mergeCell ref="P25:S25"/>
    <mergeCell ref="B26:C26"/>
    <mergeCell ref="D26:I26"/>
    <mergeCell ref="J26:K26"/>
    <mergeCell ref="L26:M26"/>
    <mergeCell ref="P26:S26"/>
    <mergeCell ref="J27:K27"/>
    <mergeCell ref="L27:M27"/>
    <mergeCell ref="A28:A37"/>
    <mergeCell ref="B28:S28"/>
    <mergeCell ref="B29:C29"/>
    <mergeCell ref="D29:I29"/>
    <mergeCell ref="J29:K29"/>
    <mergeCell ref="L29:M29"/>
    <mergeCell ref="P29:S29"/>
    <mergeCell ref="B30:C30"/>
    <mergeCell ref="D30:I30"/>
    <mergeCell ref="J30:K30"/>
    <mergeCell ref="L30:M30"/>
    <mergeCell ref="P30:S30"/>
    <mergeCell ref="B31:C31"/>
    <mergeCell ref="D31:I31"/>
    <mergeCell ref="J31:K31"/>
    <mergeCell ref="L31:M31"/>
    <mergeCell ref="P31:S31"/>
    <mergeCell ref="B32:C32"/>
    <mergeCell ref="D32:I32"/>
    <mergeCell ref="J32:K32"/>
    <mergeCell ref="L32:M32"/>
    <mergeCell ref="P32:S32"/>
    <mergeCell ref="B33:C33"/>
    <mergeCell ref="D33:I33"/>
    <mergeCell ref="J33:K33"/>
    <mergeCell ref="L33:M33"/>
    <mergeCell ref="P33:S33"/>
    <mergeCell ref="B34:C34"/>
    <mergeCell ref="D34:I34"/>
    <mergeCell ref="J34:K34"/>
    <mergeCell ref="L34:M34"/>
    <mergeCell ref="P34:S34"/>
    <mergeCell ref="B35:C35"/>
    <mergeCell ref="D35:I35"/>
    <mergeCell ref="J35:K35"/>
    <mergeCell ref="L35:M35"/>
    <mergeCell ref="P35:S35"/>
    <mergeCell ref="B36:C36"/>
    <mergeCell ref="D36:I36"/>
    <mergeCell ref="J36:K36"/>
    <mergeCell ref="L36:M36"/>
    <mergeCell ref="P36:S36"/>
    <mergeCell ref="J37:K37"/>
    <mergeCell ref="L37:M37"/>
    <mergeCell ref="A38:A54"/>
    <mergeCell ref="B38:S38"/>
    <mergeCell ref="B39:C39"/>
    <mergeCell ref="D39:I39"/>
    <mergeCell ref="J39:K39"/>
    <mergeCell ref="L39:M39"/>
    <mergeCell ref="P39:S39"/>
    <mergeCell ref="B40:C40"/>
    <mergeCell ref="D40:I40"/>
    <mergeCell ref="J40:K40"/>
    <mergeCell ref="L40:M40"/>
    <mergeCell ref="P40:S40"/>
    <mergeCell ref="B41:C41"/>
    <mergeCell ref="D41:I41"/>
    <mergeCell ref="J41:K41"/>
    <mergeCell ref="L41:M41"/>
    <mergeCell ref="P41:S41"/>
    <mergeCell ref="B42:C42"/>
    <mergeCell ref="D42:I42"/>
    <mergeCell ref="J42:K42"/>
    <mergeCell ref="L42:M42"/>
    <mergeCell ref="P42:S42"/>
    <mergeCell ref="B43:C43"/>
    <mergeCell ref="D43:I43"/>
    <mergeCell ref="J43:K43"/>
    <mergeCell ref="L43:M43"/>
    <mergeCell ref="P43:S43"/>
    <mergeCell ref="B44:C44"/>
    <mergeCell ref="D44:I44"/>
    <mergeCell ref="J44:K44"/>
    <mergeCell ref="L44:M44"/>
    <mergeCell ref="P44:S44"/>
    <mergeCell ref="B45:C45"/>
    <mergeCell ref="D45:I45"/>
    <mergeCell ref="J45:K45"/>
    <mergeCell ref="L45:M45"/>
    <mergeCell ref="P45:S45"/>
    <mergeCell ref="B46:C46"/>
    <mergeCell ref="D46:I46"/>
    <mergeCell ref="J46:K46"/>
    <mergeCell ref="L46:M46"/>
    <mergeCell ref="P46:S46"/>
    <mergeCell ref="B47:C47"/>
    <mergeCell ref="D47:I47"/>
    <mergeCell ref="J47:K47"/>
    <mergeCell ref="L47:M47"/>
    <mergeCell ref="P47:S47"/>
    <mergeCell ref="B48:C48"/>
    <mergeCell ref="D48:I48"/>
    <mergeCell ref="J48:K48"/>
    <mergeCell ref="L48:M48"/>
    <mergeCell ref="P48:S48"/>
    <mergeCell ref="B49:C49"/>
    <mergeCell ref="D49:I49"/>
    <mergeCell ref="J49:K49"/>
    <mergeCell ref="L49:M49"/>
    <mergeCell ref="P49:S49"/>
    <mergeCell ref="B50:C50"/>
    <mergeCell ref="D50:I50"/>
    <mergeCell ref="J50:K50"/>
    <mergeCell ref="L50:M50"/>
    <mergeCell ref="P50:S50"/>
    <mergeCell ref="B51:C51"/>
    <mergeCell ref="D51:I51"/>
    <mergeCell ref="J51:K51"/>
    <mergeCell ref="L51:M51"/>
    <mergeCell ref="P51:S51"/>
    <mergeCell ref="B52:C52"/>
    <mergeCell ref="D52:I52"/>
    <mergeCell ref="J52:K52"/>
    <mergeCell ref="L52:M52"/>
    <mergeCell ref="P52:S52"/>
    <mergeCell ref="B53:C53"/>
    <mergeCell ref="D53:I53"/>
    <mergeCell ref="J53:K53"/>
    <mergeCell ref="L53:M53"/>
    <mergeCell ref="P53:S53"/>
    <mergeCell ref="J54:K54"/>
    <mergeCell ref="L54:M54"/>
    <mergeCell ref="A55:A63"/>
    <mergeCell ref="B55:S55"/>
    <mergeCell ref="B56:C56"/>
    <mergeCell ref="D56:I56"/>
    <mergeCell ref="J56:K56"/>
    <mergeCell ref="L56:M56"/>
    <mergeCell ref="P56:S56"/>
    <mergeCell ref="B57:C57"/>
    <mergeCell ref="D57:I57"/>
    <mergeCell ref="J57:K57"/>
    <mergeCell ref="L57:M57"/>
    <mergeCell ref="P57:S57"/>
    <mergeCell ref="B58:C58"/>
    <mergeCell ref="D58:I58"/>
    <mergeCell ref="J58:K58"/>
    <mergeCell ref="L58:M58"/>
    <mergeCell ref="P58:S58"/>
    <mergeCell ref="P61:S61"/>
    <mergeCell ref="B62:C62"/>
    <mergeCell ref="D62:I62"/>
    <mergeCell ref="J62:K62"/>
    <mergeCell ref="L62:M62"/>
    <mergeCell ref="P62:S62"/>
    <mergeCell ref="B59:C59"/>
    <mergeCell ref="D59:I59"/>
    <mergeCell ref="J59:K59"/>
    <mergeCell ref="L59:M59"/>
    <mergeCell ref="P59:S59"/>
    <mergeCell ref="B60:C60"/>
    <mergeCell ref="D60:I60"/>
    <mergeCell ref="J60:K60"/>
    <mergeCell ref="L60:M60"/>
    <mergeCell ref="P60:S60"/>
    <mergeCell ref="J63:K63"/>
    <mergeCell ref="L63:M63"/>
    <mergeCell ref="F64:I64"/>
    <mergeCell ref="J64:K64"/>
    <mergeCell ref="L64:M64"/>
    <mergeCell ref="F65:I65"/>
    <mergeCell ref="J65:K65"/>
    <mergeCell ref="L65:M65"/>
    <mergeCell ref="B61:C61"/>
    <mergeCell ref="D61:I61"/>
    <mergeCell ref="J61:K61"/>
    <mergeCell ref="L61:M61"/>
  </mergeCells>
  <conditionalFormatting sqref="R2">
    <cfRule type="iconSet" priority="2">
      <iconSet iconSet="3Symbols2" showValue="0">
        <cfvo type="percent" val="0"/>
        <cfvo type="num" val="0"/>
        <cfvo type="num" val="10"/>
      </iconSet>
    </cfRule>
  </conditionalFormatting>
  <conditionalFormatting sqref="S2">
    <cfRule type="iconSet" priority="1">
      <iconSet iconSet="3Symbols2" showValue="0">
        <cfvo type="percent" val="0"/>
        <cfvo type="num" val="0"/>
        <cfvo type="num" val="10"/>
      </iconSet>
    </cfRule>
  </conditionalFormatting>
  <dataValidations count="1">
    <dataValidation type="list" allowBlank="1" showInputMessage="1" showErrorMessage="1" sqref="L2" xr:uid="{00000000-0002-0000-5A00-000000000000}">
      <formula1>AvancementTheme</formula1>
    </dataValidation>
  </dataValidations>
  <hyperlinks>
    <hyperlink ref="R1" location="DPDV_03MK1" display="PdV" xr:uid="{00000000-0004-0000-5A00-000000000000}"/>
    <hyperlink ref="S1" location="DKPI_03MK1" display="KPI's" xr:uid="{00000000-0004-0000-5A00-000001000000}"/>
  </hyperlinks>
  <pageMargins left="0.70866141732283472" right="0.70866141732283472" top="0.74803149606299213" bottom="0.74803149606299213" header="0.31496062992125984" footer="0.31496062992125984"/>
  <pageSetup paperSize="9" scale="34" orientation="portrait" r:id="rId1"/>
  <headerFooter>
    <oddHeader>&amp;LPAD Methodology (c) 2013-2014&amp;RStrategic Management Workshop</oddHeader>
    <oddFooter>&amp;L&amp;F&amp;C&amp;A&amp;RSituation au : &amp;D - page : &amp;P/&amp;N</oddFooter>
  </headerFooter>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euil71">
    <tabColor rgb="FF92D050"/>
    <pageSetUpPr fitToPage="1"/>
  </sheetPr>
  <dimension ref="A1:V159"/>
  <sheetViews>
    <sheetView showZeros="0" zoomScale="120" zoomScaleNormal="120" workbookViewId="0">
      <pane ySplit="5" topLeftCell="A6" activePane="bottomLeft" state="frozen"/>
      <selection activeCell="C5" sqref="C5:P5"/>
      <selection pane="bottomLeft" activeCell="C5" sqref="C5:P5"/>
    </sheetView>
  </sheetViews>
  <sheetFormatPr baseColWidth="10" defaultColWidth="11.453125" defaultRowHeight="13" x14ac:dyDescent="0.3"/>
  <cols>
    <col min="1" max="2" width="11.453125" style="1808"/>
    <col min="3" max="3" width="13.1796875" style="1808" customWidth="1"/>
    <col min="4" max="4" width="12.54296875" style="1808" customWidth="1"/>
    <col min="5" max="5" width="16.26953125" style="1808" customWidth="1"/>
    <col min="6" max="6" width="14.453125" style="1808" customWidth="1"/>
    <col min="7" max="8" width="11.453125" style="1808"/>
    <col min="9" max="9" width="11.81640625" style="1808" customWidth="1"/>
    <col min="10" max="10" width="11.453125" style="1808"/>
    <col min="11" max="11" width="12.453125" style="1808" customWidth="1"/>
    <col min="12" max="12" width="11.453125" style="1808" customWidth="1"/>
    <col min="13" max="13" width="12.81640625" style="1808" customWidth="1"/>
    <col min="14" max="16384" width="11.453125" style="1808"/>
  </cols>
  <sheetData>
    <row r="1" spans="1:22" s="1720" customFormat="1" ht="15" customHeight="1" x14ac:dyDescent="0.35">
      <c r="A1" s="1716"/>
      <c r="B1" s="1716"/>
      <c r="C1" s="1716"/>
      <c r="D1" s="4096" t="s">
        <v>5</v>
      </c>
      <c r="E1" s="4096"/>
      <c r="F1" s="4096"/>
      <c r="G1" s="4096"/>
      <c r="H1" s="1717"/>
      <c r="I1" s="4096" t="s">
        <v>6</v>
      </c>
      <c r="J1" s="4096"/>
      <c r="K1" s="1716"/>
      <c r="L1" s="4096" t="s">
        <v>9</v>
      </c>
      <c r="M1" s="4096"/>
      <c r="N1" s="1716"/>
      <c r="O1" s="1718" t="s">
        <v>2</v>
      </c>
      <c r="P1" s="1718" t="s">
        <v>3</v>
      </c>
      <c r="Q1" s="1719"/>
      <c r="R1" s="1719"/>
    </row>
    <row r="2" spans="1:22" s="1725" customFormat="1" ht="18" customHeight="1" x14ac:dyDescent="0.35">
      <c r="A2" s="1721"/>
      <c r="B2" s="1721"/>
      <c r="C2" s="1721"/>
      <c r="D2" s="4099" t="str">
        <f>NomClient</f>
        <v xml:space="preserve">EQUINIX </v>
      </c>
      <c r="E2" s="4100"/>
      <c r="F2" s="4100"/>
      <c r="G2" s="4101"/>
      <c r="H2" s="1721"/>
      <c r="I2" s="4102" t="s">
        <v>407</v>
      </c>
      <c r="J2" s="4103"/>
      <c r="K2" s="1721"/>
      <c r="L2" s="3347">
        <v>42534.890960648147</v>
      </c>
      <c r="M2" s="3348"/>
      <c r="N2" s="1722"/>
      <c r="O2" s="1723">
        <f>IF(LEN(DPDV_02DS1)&gt;0,LEN(DPDV_02DS1),0-PDV_NBmini)</f>
        <v>75</v>
      </c>
      <c r="P2" s="1723">
        <f>IF(LEN(DKPI_02DS1)&gt;0,LEN(DKPI_02DS1),0-KPI_NBmini)</f>
        <v>211</v>
      </c>
      <c r="Q2" s="1724"/>
      <c r="R2" s="1724"/>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729" customFormat="1" ht="24.75" customHeight="1" thickBot="1" x14ac:dyDescent="0.4">
      <c r="A4" s="4104" t="str">
        <f>Parametre!B24  &amp; "  : "</f>
        <v xml:space="preserve">Vision, Attente &amp; Stratégie  : </v>
      </c>
      <c r="B4" s="4104"/>
      <c r="C4" s="4104"/>
      <c r="D4" s="4104"/>
      <c r="E4" s="4104"/>
      <c r="F4" s="4104"/>
      <c r="G4" s="4104"/>
      <c r="H4" s="4105" t="str">
        <f>"SaaS Estimation du nombre de partenaires pour " &amp; NomProd1</f>
        <v>SaaS Estimation du nombre de partenaires pour EQUINIX</v>
      </c>
      <c r="I4" s="4105"/>
      <c r="J4" s="4105"/>
      <c r="K4" s="4105"/>
      <c r="L4" s="4105"/>
      <c r="M4" s="4105"/>
      <c r="N4" s="4105"/>
      <c r="O4" s="4105"/>
      <c r="P4" s="4106"/>
      <c r="Q4" s="1728"/>
      <c r="R4" s="1728"/>
    </row>
    <row r="5" spans="1:22" s="1731" customFormat="1" ht="27" customHeight="1" thickBot="1" x14ac:dyDescent="0.4">
      <c r="A5" s="4097" t="s">
        <v>14</v>
      </c>
      <c r="B5" s="4097"/>
      <c r="C5" s="4098" t="s">
        <v>2274</v>
      </c>
      <c r="D5" s="4098"/>
      <c r="E5" s="4098"/>
      <c r="F5" s="4098"/>
      <c r="G5" s="4098"/>
      <c r="H5" s="4098"/>
      <c r="I5" s="4098"/>
      <c r="J5" s="4098"/>
      <c r="K5" s="4098"/>
      <c r="L5" s="4098"/>
      <c r="M5" s="4098"/>
      <c r="N5" s="4098"/>
      <c r="O5" s="4098"/>
      <c r="P5" s="4098"/>
      <c r="Q5" s="1730"/>
      <c r="R5" s="1730"/>
    </row>
    <row r="6" spans="1:22" s="1823" customFormat="1" ht="38.25" customHeight="1" thickTop="1" x14ac:dyDescent="0.35">
      <c r="A6" s="6656" t="s">
        <v>2277</v>
      </c>
      <c r="B6" s="6657"/>
      <c r="C6" s="6657"/>
      <c r="D6" s="6657"/>
      <c r="E6" s="6658"/>
      <c r="F6" s="1764">
        <f>AnReference-1</f>
        <v>2017</v>
      </c>
      <c r="G6" s="1764">
        <f>AnReference</f>
        <v>2018</v>
      </c>
      <c r="H6" s="1764">
        <f>IF(NbAnVision&gt;=1,AnReference+1,"NA")</f>
        <v>2019</v>
      </c>
      <c r="I6" s="1764">
        <f>IF(NbAnVision&gt;=2,AnReference+2,"NA")</f>
        <v>2020</v>
      </c>
      <c r="J6" s="1765">
        <f>IF(NbAnVision&gt;=3,AnReference+3,"NA")</f>
        <v>2021</v>
      </c>
      <c r="K6" s="2347"/>
      <c r="L6" s="1820">
        <f>F6</f>
        <v>2017</v>
      </c>
      <c r="M6" s="1821">
        <f>G6</f>
        <v>2018</v>
      </c>
      <c r="N6" s="1821">
        <f>H6</f>
        <v>2019</v>
      </c>
      <c r="O6" s="1821">
        <f>I6</f>
        <v>2020</v>
      </c>
      <c r="P6" s="1822">
        <f>J6</f>
        <v>2021</v>
      </c>
      <c r="Q6" s="2347"/>
    </row>
    <row r="7" spans="1:22" s="2143" customFormat="1" ht="36" customHeight="1" x14ac:dyDescent="0.35">
      <c r="A7" s="6678"/>
      <c r="B7" s="6679"/>
      <c r="C7" s="6680"/>
      <c r="D7" s="6681" t="s">
        <v>2276</v>
      </c>
      <c r="E7" s="6682"/>
      <c r="F7" s="2454">
        <f>'SALESPLAN 3Y'!G42</f>
        <v>0</v>
      </c>
      <c r="G7" s="2454">
        <f>'SALESPLAN 3Y'!H42</f>
        <v>1089930</v>
      </c>
      <c r="H7" s="2454">
        <f>'SALESPLAN 3Y'!I42</f>
        <v>1525902</v>
      </c>
      <c r="I7" s="2454">
        <f>'SALESPLAN 3Y'!J42</f>
        <v>2179860</v>
      </c>
      <c r="J7" s="2454">
        <f>'SALESPLAN 3Y'!K42</f>
        <v>3051804</v>
      </c>
      <c r="K7" s="2348"/>
      <c r="L7" s="2184"/>
      <c r="M7" s="2185"/>
      <c r="N7" s="2185"/>
      <c r="O7" s="2185"/>
      <c r="P7" s="2356"/>
      <c r="Q7" s="2347"/>
    </row>
    <row r="8" spans="1:22" ht="16.5" customHeight="1" thickBot="1" x14ac:dyDescent="0.4">
      <c r="A8" s="6662" t="s">
        <v>2115</v>
      </c>
      <c r="B8" s="6663"/>
      <c r="C8" s="6663"/>
      <c r="D8" s="6664"/>
      <c r="E8" s="6665"/>
      <c r="F8" s="1889">
        <f>'SALESPLAN 3Y'!G53</f>
        <v>18000</v>
      </c>
      <c r="G8" s="1889">
        <f>'SALESPLAN 3Y'!H53</f>
        <v>85195.8</v>
      </c>
      <c r="H8" s="1889">
        <f>'SALESPLAN 3Y'!I53</f>
        <v>244125.72</v>
      </c>
      <c r="I8" s="1889">
        <f>'SALESPLAN 3Y'!J53</f>
        <v>481728.6</v>
      </c>
      <c r="J8" s="1889">
        <f>'SALESPLAN 3Y'!K53</f>
        <v>830722.14</v>
      </c>
      <c r="K8" s="2349"/>
      <c r="L8" s="663"/>
      <c r="M8" s="664"/>
      <c r="N8" s="664"/>
      <c r="O8" s="664"/>
      <c r="P8" s="1066"/>
      <c r="Q8" s="2358"/>
    </row>
    <row r="9" spans="1:22" ht="16" thickBot="1" x14ac:dyDescent="0.4">
      <c r="A9" s="6662" t="s">
        <v>2116</v>
      </c>
      <c r="B9" s="6663"/>
      <c r="C9" s="6663"/>
      <c r="D9" s="6666"/>
      <c r="E9" s="6667"/>
      <c r="F9" s="1889">
        <f>'SALESPLAN 3Y'!G55</f>
        <v>0</v>
      </c>
      <c r="G9" s="1889">
        <f>'SALESPLAN 3Y'!H55</f>
        <v>0</v>
      </c>
      <c r="H9" s="1889">
        <f>'SALESPLAN 3Y'!I55</f>
        <v>4625000</v>
      </c>
      <c r="I9" s="1889">
        <f>'SALESPLAN 3Y'!J55</f>
        <v>11100000</v>
      </c>
      <c r="J9" s="1889">
        <f>'SALESPLAN 3Y'!K55</f>
        <v>20350000</v>
      </c>
      <c r="K9" s="2349"/>
      <c r="L9" s="6612" t="s">
        <v>1987</v>
      </c>
      <c r="M9" s="6613"/>
      <c r="N9" s="6613"/>
      <c r="O9" s="6613"/>
      <c r="P9" s="6614"/>
      <c r="Q9" s="6584" t="s">
        <v>1908</v>
      </c>
      <c r="R9" s="6585"/>
      <c r="S9" s="6586"/>
    </row>
    <row r="10" spans="1:22" ht="15.5" x14ac:dyDescent="0.35">
      <c r="A10" s="6596" t="str">
        <f>'SALESPLAN 3Y'!A10:F10</f>
        <v xml:space="preserve">Ventes directes </v>
      </c>
      <c r="B10" s="6597"/>
      <c r="C10" s="6597"/>
      <c r="D10" s="6668"/>
      <c r="E10" s="6669"/>
      <c r="F10" s="2166">
        <f t="shared" ref="F10:J10" si="0">F7*F8</f>
        <v>0</v>
      </c>
      <c r="G10" s="2166">
        <f t="shared" si="0"/>
        <v>92857458294</v>
      </c>
      <c r="H10" s="2166">
        <f t="shared" si="0"/>
        <v>372511924399.44</v>
      </c>
      <c r="I10" s="2166">
        <f t="shared" si="0"/>
        <v>1050100905996</v>
      </c>
      <c r="J10" s="2166">
        <f t="shared" si="0"/>
        <v>2535201149740.5601</v>
      </c>
      <c r="K10" s="2350"/>
      <c r="L10" s="2173" t="e">
        <f>IF( F$22=0,"",F10/$F$22)</f>
        <v>#REF!</v>
      </c>
      <c r="M10" s="2174" t="e">
        <f>IF( G$22=0,"",G10/G22)</f>
        <v>#REF!</v>
      </c>
      <c r="N10" s="2174" t="e">
        <f>IF( H$22=0,"",H10/$H$22)</f>
        <v>#REF!</v>
      </c>
      <c r="O10" s="2174" t="e">
        <f>IF( I$22=0,"",I10/$I$22)</f>
        <v>#REF!</v>
      </c>
      <c r="P10" s="2357" t="e">
        <f>IF( J$22=0,"",J10/$J$22)</f>
        <v>#REF!</v>
      </c>
      <c r="Q10" s="6587" t="s">
        <v>2072</v>
      </c>
      <c r="R10" s="6588"/>
      <c r="S10" s="6589"/>
    </row>
    <row r="11" spans="1:22" ht="15.5" x14ac:dyDescent="0.35">
      <c r="A11" s="6596" t="s">
        <v>1873</v>
      </c>
      <c r="B11" s="6597"/>
      <c r="C11" s="6597"/>
      <c r="D11" s="6605"/>
      <c r="E11" s="6605"/>
      <c r="F11" s="2583">
        <f>F9*F7</f>
        <v>0</v>
      </c>
      <c r="G11" s="2583">
        <f>G7*G9</f>
        <v>0</v>
      </c>
      <c r="H11" s="2583">
        <f>H7*H9</f>
        <v>7057296750000</v>
      </c>
      <c r="I11" s="2583">
        <f>I7*I9</f>
        <v>24196446000000</v>
      </c>
      <c r="J11" s="2583">
        <f>J7*J9</f>
        <v>62104211400000</v>
      </c>
      <c r="K11" s="2350"/>
      <c r="L11" s="2173" t="e">
        <f>IF( F$22=0,"",F11/$F$22)</f>
        <v>#REF!</v>
      </c>
      <c r="M11" s="2174" t="e">
        <f>IF( G$22=0,"",G11/$H$22)</f>
        <v>#REF!</v>
      </c>
      <c r="N11" s="2174" t="e">
        <f>IF( H$22=0,"",H11/$H$22)</f>
        <v>#REF!</v>
      </c>
      <c r="O11" s="2174" t="e">
        <f>IF( I$22=0,"",I11/$I$22)</f>
        <v>#REF!</v>
      </c>
      <c r="P11" s="2357" t="e">
        <f>IF( J$22=0,"",J11/$J$22)</f>
        <v>#REF!</v>
      </c>
      <c r="Q11" s="6590"/>
      <c r="R11" s="6591"/>
      <c r="S11" s="6592"/>
    </row>
    <row r="12" spans="1:22" ht="29.25" customHeight="1" x14ac:dyDescent="0.35">
      <c r="A12" s="6670"/>
      <c r="B12" s="6671"/>
      <c r="C12" s="6672"/>
      <c r="D12" s="2181"/>
      <c r="E12" s="2182"/>
      <c r="F12" s="6659" t="s">
        <v>2275</v>
      </c>
      <c r="G12" s="6660"/>
      <c r="H12" s="6660"/>
      <c r="I12" s="6660"/>
      <c r="J12" s="6661"/>
      <c r="K12" s="2351"/>
      <c r="L12" s="6615" t="s">
        <v>1988</v>
      </c>
      <c r="M12" s="6616"/>
      <c r="N12" s="6616"/>
      <c r="O12" s="6616"/>
      <c r="P12" s="6617"/>
      <c r="Q12" s="6590"/>
      <c r="R12" s="6591"/>
      <c r="S12" s="6592"/>
    </row>
    <row r="13" spans="1:22" ht="15.5" x14ac:dyDescent="0.35">
      <c r="A13" s="6596" t="str">
        <f>'SALESPLAN 3Y'!A11:F11</f>
        <v xml:space="preserve">VARs / SS2I locales </v>
      </c>
      <c r="B13" s="6597"/>
      <c r="C13" s="6597"/>
      <c r="D13" s="6605"/>
      <c r="E13" s="6605"/>
      <c r="F13" s="1929" t="e">
        <f>IF('SALESPLAN 3Y'!#REF!=0,"",'SALESPLAN 3Y'!#REF!*'02-CHANNELCAPACITY-SAAS-OFR1'!$F$11)</f>
        <v>#REF!</v>
      </c>
      <c r="G13" s="1929" t="e">
        <f>IF('SALESPLAN 3Y'!#REF!=0,"",'SALESPLAN 3Y'!#REF!*'02-CHANNELCAPACITY-SAAS-OFR1'!G$11)</f>
        <v>#REF!</v>
      </c>
      <c r="H13" s="1929" t="e">
        <f>IF('SALESPLAN 3Y'!#REF!=0,"",'SALESPLAN 3Y'!#REF!*'02-CHANNELCAPACITY-SAAS-OFR1'!H$11)</f>
        <v>#REF!</v>
      </c>
      <c r="I13" s="1929" t="e">
        <f>IF('SALESPLAN 3Y'!#REF!=0,"",'SALESPLAN 3Y'!#REF!*'02-CHANNELCAPACITY-SAAS-OFR1'!I$11)</f>
        <v>#REF!</v>
      </c>
      <c r="J13" s="1929" t="e">
        <f>IF('SALESPLAN 3Y'!#REF!=0,"",'SALESPLAN 3Y'!#REF!*'02-CHANNELCAPACITY-SAAS-OFR1'!J$11)</f>
        <v>#REF!</v>
      </c>
      <c r="K13" s="2352"/>
      <c r="L13" s="663" t="str">
        <f>IFERROR(F13/$F$23,"")</f>
        <v/>
      </c>
      <c r="M13" s="664" t="str">
        <f>IFERROR(G13/$G$23,"")</f>
        <v/>
      </c>
      <c r="N13" s="664" t="str">
        <f>IFERROR(H13/$H$23,"")</f>
        <v/>
      </c>
      <c r="O13" s="664" t="str">
        <f>IFERROR(I13/$I$23,"")</f>
        <v/>
      </c>
      <c r="P13" s="664" t="str">
        <f>IFERROR(J13/$J$23,"")</f>
        <v/>
      </c>
      <c r="Q13" s="6590"/>
      <c r="R13" s="6591"/>
      <c r="S13" s="6592"/>
    </row>
    <row r="14" spans="1:22" ht="15.5" x14ac:dyDescent="0.35">
      <c r="A14" s="6596" t="str">
        <f>'SALESPLAN 3Y'!A12:F12</f>
        <v>ESN ( SS2I )</v>
      </c>
      <c r="B14" s="6597"/>
      <c r="C14" s="6597"/>
      <c r="D14" s="6605"/>
      <c r="E14" s="6605"/>
      <c r="F14" s="1929" t="e">
        <f>IF('SALESPLAN 3Y'!#REF!=0,"",'SALESPLAN 3Y'!#REF!*'02-CHANNELCAPACITY-SAAS-OFR1'!$F$11)</f>
        <v>#REF!</v>
      </c>
      <c r="G14" s="1929" t="e">
        <f>IF('SALESPLAN 3Y'!#REF!=0,"",'SALESPLAN 3Y'!#REF!*'02-CHANNELCAPACITY-SAAS-OFR1'!G$11)</f>
        <v>#REF!</v>
      </c>
      <c r="H14" s="1929" t="e">
        <f>IF('SALESPLAN 3Y'!#REF!=0,"",'SALESPLAN 3Y'!#REF!*'02-CHANNELCAPACITY-SAAS-OFR1'!H$11)</f>
        <v>#REF!</v>
      </c>
      <c r="I14" s="1929" t="e">
        <f>IF('SALESPLAN 3Y'!#REF!=0,"",'SALESPLAN 3Y'!#REF!*'02-CHANNELCAPACITY-SAAS-OFR1'!I$11)</f>
        <v>#REF!</v>
      </c>
      <c r="J14" s="1929" t="e">
        <f>IF('SALESPLAN 3Y'!#REF!=0,"",'SALESPLAN 3Y'!#REF!*'02-CHANNELCAPACITY-SAAS-OFR1'!J$11)</f>
        <v>#REF!</v>
      </c>
      <c r="K14" s="2352"/>
      <c r="L14" s="663" t="str">
        <f t="shared" ref="L14:L19" si="1">IFERROR(F14/$F$23,"")</f>
        <v/>
      </c>
      <c r="M14" s="664" t="str">
        <f t="shared" ref="M14:M19" si="2">IFERROR(G14/$G$23,"")</f>
        <v/>
      </c>
      <c r="N14" s="664" t="str">
        <f t="shared" ref="N14:N19" si="3">IFERROR(H14/$H$23,"")</f>
        <v/>
      </c>
      <c r="O14" s="664" t="str">
        <f t="shared" ref="O14:O19" si="4">IFERROR(I14/$I$23,"")</f>
        <v/>
      </c>
      <c r="P14" s="664" t="str">
        <f t="shared" ref="P14:P19" si="5">IFERROR(J14/$J$23,"")</f>
        <v/>
      </c>
      <c r="Q14" s="6590"/>
      <c r="R14" s="6591"/>
      <c r="S14" s="6592"/>
    </row>
    <row r="15" spans="1:22" ht="15.5" x14ac:dyDescent="0.35">
      <c r="A15" s="6596" t="str">
        <f>'SALESPLAN 3Y'!A13:F13</f>
        <v>Constructeurs Matériel</v>
      </c>
      <c r="B15" s="6597"/>
      <c r="C15" s="6597"/>
      <c r="D15" s="6605"/>
      <c r="E15" s="6605"/>
      <c r="F15" s="1929" t="e">
        <f>IF('SALESPLAN 3Y'!#REF!=0,"",'SALESPLAN 3Y'!#REF!*'02-CHANNELCAPACITY-SAAS-OFR1'!$F$11)</f>
        <v>#REF!</v>
      </c>
      <c r="G15" s="1929" t="e">
        <f>IF('SALESPLAN 3Y'!#REF!=0,"",'SALESPLAN 3Y'!#REF!*'02-CHANNELCAPACITY-SAAS-OFR1'!G$11)</f>
        <v>#REF!</v>
      </c>
      <c r="H15" s="1929" t="e">
        <f>IF('SALESPLAN 3Y'!#REF!=0,"",'SALESPLAN 3Y'!#REF!*'02-CHANNELCAPACITY-SAAS-OFR1'!H$11)</f>
        <v>#REF!</v>
      </c>
      <c r="I15" s="1929" t="e">
        <f>IF('SALESPLAN 3Y'!#REF!=0,"",'SALESPLAN 3Y'!#REF!*'02-CHANNELCAPACITY-SAAS-OFR1'!I$11)</f>
        <v>#REF!</v>
      </c>
      <c r="J15" s="1929" t="e">
        <f>IF('SALESPLAN 3Y'!#REF!=0,"",'SALESPLAN 3Y'!#REF!*'02-CHANNELCAPACITY-SAAS-OFR1'!J$11)</f>
        <v>#REF!</v>
      </c>
      <c r="K15" s="2352"/>
      <c r="L15" s="663" t="str">
        <f t="shared" si="1"/>
        <v/>
      </c>
      <c r="M15" s="664" t="str">
        <f t="shared" si="2"/>
        <v/>
      </c>
      <c r="N15" s="664" t="str">
        <f t="shared" si="3"/>
        <v/>
      </c>
      <c r="O15" s="664" t="str">
        <f t="shared" si="4"/>
        <v/>
      </c>
      <c r="P15" s="664" t="str">
        <f t="shared" si="5"/>
        <v/>
      </c>
      <c r="Q15" s="6590"/>
      <c r="R15" s="6591"/>
      <c r="S15" s="6592"/>
    </row>
    <row r="16" spans="1:22" ht="15.5" x14ac:dyDescent="0.35">
      <c r="A16" s="6596" t="str">
        <f>'SALESPLAN 3Y'!A14:F14</f>
        <v>Editeurs de solutions complémentaires</v>
      </c>
      <c r="B16" s="6597"/>
      <c r="C16" s="6597"/>
      <c r="D16" s="6605"/>
      <c r="E16" s="6605"/>
      <c r="F16" s="1929" t="e">
        <f>IF('SALESPLAN 3Y'!#REF!=0,"",'SALESPLAN 3Y'!#REF!*'02-CHANNELCAPACITY-SAAS-OFR1'!$F$11)</f>
        <v>#REF!</v>
      </c>
      <c r="G16" s="1929" t="e">
        <f>IF('SALESPLAN 3Y'!#REF!=0,"",'SALESPLAN 3Y'!#REF!*'02-CHANNELCAPACITY-SAAS-OFR1'!G$11)</f>
        <v>#REF!</v>
      </c>
      <c r="H16" s="1929" t="e">
        <f>IF('SALESPLAN 3Y'!#REF!=0,"",'SALESPLAN 3Y'!#REF!*'02-CHANNELCAPACITY-SAAS-OFR1'!H$11)</f>
        <v>#REF!</v>
      </c>
      <c r="I16" s="1929" t="e">
        <f>IF('SALESPLAN 3Y'!#REF!=0,"",'SALESPLAN 3Y'!#REF!*'02-CHANNELCAPACITY-SAAS-OFR1'!I$11)</f>
        <v>#REF!</v>
      </c>
      <c r="J16" s="1929" t="e">
        <f>IF('SALESPLAN 3Y'!#REF!=0,"",'SALESPLAN 3Y'!#REF!*'02-CHANNELCAPACITY-SAAS-OFR1'!J$11)</f>
        <v>#REF!</v>
      </c>
      <c r="K16" s="2352"/>
      <c r="L16" s="663" t="str">
        <f t="shared" si="1"/>
        <v/>
      </c>
      <c r="M16" s="664" t="str">
        <f t="shared" si="2"/>
        <v/>
      </c>
      <c r="N16" s="664" t="str">
        <f t="shared" si="3"/>
        <v/>
      </c>
      <c r="O16" s="664" t="str">
        <f t="shared" si="4"/>
        <v/>
      </c>
      <c r="P16" s="664" t="str">
        <f t="shared" si="5"/>
        <v/>
      </c>
      <c r="Q16" s="6590"/>
      <c r="R16" s="6591"/>
      <c r="S16" s="6592"/>
    </row>
    <row r="17" spans="1:20" ht="15.5" x14ac:dyDescent="0.35">
      <c r="A17" s="6596" t="str">
        <f>'SALESPLAN 3Y'!A15:F15</f>
        <v>Cabinets de conseil / Consultants</v>
      </c>
      <c r="B17" s="6597"/>
      <c r="C17" s="6597"/>
      <c r="D17" s="6605"/>
      <c r="E17" s="6605"/>
      <c r="F17" s="1929" t="e">
        <f>IF('SALESPLAN 3Y'!#REF!=0,"",'SALESPLAN 3Y'!#REF!*'02-CHANNELCAPACITY-SAAS-OFR1'!$F$11)</f>
        <v>#REF!</v>
      </c>
      <c r="G17" s="1929" t="e">
        <f>IF('SALESPLAN 3Y'!#REF!=0,"",'SALESPLAN 3Y'!#REF!*'02-CHANNELCAPACITY-SAAS-OFR1'!G$11)</f>
        <v>#REF!</v>
      </c>
      <c r="H17" s="1929" t="e">
        <f>IF('SALESPLAN 3Y'!#REF!=0,"",'SALESPLAN 3Y'!#REF!*'02-CHANNELCAPACITY-SAAS-OFR1'!H$11)</f>
        <v>#REF!</v>
      </c>
      <c r="I17" s="1929" t="e">
        <f>IF('SALESPLAN 3Y'!#REF!=0,"",'SALESPLAN 3Y'!#REF!*'02-CHANNELCAPACITY-SAAS-OFR1'!I$11)</f>
        <v>#REF!</v>
      </c>
      <c r="J17" s="1929" t="e">
        <f>IF('SALESPLAN 3Y'!#REF!=0,"",'SALESPLAN 3Y'!#REF!*'02-CHANNELCAPACITY-SAAS-OFR1'!J$11)</f>
        <v>#REF!</v>
      </c>
      <c r="K17" s="2352"/>
      <c r="L17" s="663" t="str">
        <f t="shared" si="1"/>
        <v/>
      </c>
      <c r="M17" s="664" t="str">
        <f t="shared" si="2"/>
        <v/>
      </c>
      <c r="N17" s="664" t="str">
        <f t="shared" si="3"/>
        <v/>
      </c>
      <c r="O17" s="664" t="str">
        <f t="shared" si="4"/>
        <v/>
      </c>
      <c r="P17" s="664" t="str">
        <f t="shared" si="5"/>
        <v/>
      </c>
      <c r="Q17" s="6590"/>
      <c r="R17" s="6591"/>
      <c r="S17" s="6592"/>
    </row>
    <row r="18" spans="1:20" ht="15.5" x14ac:dyDescent="0.35">
      <c r="A18" s="6596" t="str">
        <f>'SALESPLAN 3Y'!A16:F16</f>
        <v xml:space="preserve">Hébergeurs </v>
      </c>
      <c r="B18" s="6597"/>
      <c r="C18" s="6597"/>
      <c r="D18" s="6605"/>
      <c r="E18" s="6605"/>
      <c r="F18" s="1929" t="e">
        <f>IF('SALESPLAN 3Y'!#REF!=0,"",'SALESPLAN 3Y'!#REF!*'02-CHANNELCAPACITY-SAAS-OFR1'!$F$11)</f>
        <v>#REF!</v>
      </c>
      <c r="G18" s="1929" t="e">
        <f>IF('SALESPLAN 3Y'!#REF!=0,"",'SALESPLAN 3Y'!#REF!*'02-CHANNELCAPACITY-SAAS-OFR1'!G$11)</f>
        <v>#REF!</v>
      </c>
      <c r="H18" s="1929" t="e">
        <f>IF('SALESPLAN 3Y'!#REF!=0,"",'SALESPLAN 3Y'!#REF!*'02-CHANNELCAPACITY-SAAS-OFR1'!H$11)</f>
        <v>#REF!</v>
      </c>
      <c r="I18" s="1929" t="e">
        <f>IF('SALESPLAN 3Y'!#REF!=0,"",'SALESPLAN 3Y'!#REF!*'02-CHANNELCAPACITY-SAAS-OFR1'!I$11)</f>
        <v>#REF!</v>
      </c>
      <c r="J18" s="1929" t="e">
        <f>IF('SALESPLAN 3Y'!#REF!=0,"",'SALESPLAN 3Y'!#REF!*'02-CHANNELCAPACITY-SAAS-OFR1'!J$11)</f>
        <v>#REF!</v>
      </c>
      <c r="K18" s="2352"/>
      <c r="L18" s="663" t="str">
        <f t="shared" si="1"/>
        <v/>
      </c>
      <c r="M18" s="664" t="str">
        <f t="shared" si="2"/>
        <v/>
      </c>
      <c r="N18" s="664" t="str">
        <f t="shared" si="3"/>
        <v/>
      </c>
      <c r="O18" s="664" t="str">
        <f t="shared" si="4"/>
        <v/>
      </c>
      <c r="P18" s="664" t="str">
        <f t="shared" si="5"/>
        <v/>
      </c>
      <c r="Q18" s="6590"/>
      <c r="R18" s="6591"/>
      <c r="S18" s="6592"/>
    </row>
    <row r="19" spans="1:20" ht="15.5" x14ac:dyDescent="0.35">
      <c r="A19" s="6596" t="str">
        <f>'SALESPLAN 3Y'!A17:F17</f>
        <v>Agrégateurs</v>
      </c>
      <c r="B19" s="6597"/>
      <c r="C19" s="6597"/>
      <c r="D19" s="6605"/>
      <c r="E19" s="6605"/>
      <c r="F19" s="1929" t="e">
        <f>IF('SALESPLAN 3Y'!#REF!=0,"",'SALESPLAN 3Y'!#REF!*'02-CHANNELCAPACITY-SAAS-OFR1'!F17)</f>
        <v>#REF!</v>
      </c>
      <c r="G19" s="1929" t="e">
        <f>IF('SALESPLAN 3Y'!#REF!=0,"",'SALESPLAN 3Y'!#REF!*'02-CHANNELCAPACITY-SAAS-OFR1'!G$11)</f>
        <v>#REF!</v>
      </c>
      <c r="H19" s="1929" t="e">
        <f>IF('SALESPLAN 3Y'!#REF!=0,"",'SALESPLAN 3Y'!#REF!*'02-CHANNELCAPACITY-SAAS-OFR1'!H$11)</f>
        <v>#REF!</v>
      </c>
      <c r="I19" s="1929" t="e">
        <f>IF('SALESPLAN 3Y'!#REF!=0,"",'SALESPLAN 3Y'!#REF!*'02-CHANNELCAPACITY-SAAS-OFR1'!I$11)</f>
        <v>#REF!</v>
      </c>
      <c r="J19" s="1929" t="e">
        <f>IF('SALESPLAN 3Y'!#REF!=0,"",'SALESPLAN 3Y'!#REF!*'02-CHANNELCAPACITY-SAAS-OFR1'!J$11)</f>
        <v>#REF!</v>
      </c>
      <c r="K19" s="2352"/>
      <c r="L19" s="663" t="str">
        <f t="shared" si="1"/>
        <v/>
      </c>
      <c r="M19" s="664" t="str">
        <f t="shared" si="2"/>
        <v/>
      </c>
      <c r="N19" s="664" t="str">
        <f t="shared" si="3"/>
        <v/>
      </c>
      <c r="O19" s="664" t="str">
        <f t="shared" si="4"/>
        <v/>
      </c>
      <c r="P19" s="664" t="str">
        <f t="shared" si="5"/>
        <v/>
      </c>
      <c r="Q19" s="6590"/>
      <c r="R19" s="6591"/>
      <c r="S19" s="6592"/>
    </row>
    <row r="20" spans="1:20" ht="16" thickBot="1" x14ac:dyDescent="0.4">
      <c r="A20" s="6596">
        <f>'SALESPLAN 3Y'!A18:F18</f>
        <v>0</v>
      </c>
      <c r="B20" s="6597"/>
      <c r="C20" s="6597"/>
      <c r="D20" s="6605"/>
      <c r="E20" s="6605"/>
      <c r="F20" s="1929" t="e">
        <f>IF('SALESPLAN 3Y'!#REF!=0,"",'SALESPLAN 3Y'!#REF!*'02-CHANNELCAPACITY-SAAS-OFR1'!F18)</f>
        <v>#REF!</v>
      </c>
      <c r="G20" s="1929" t="e">
        <f>IF('SALESPLAN 3Y'!#REF!=0,"",'SALESPLAN 3Y'!#REF!*'02-CHANNELCAPACITY-SAAS-OFR1'!G$11)</f>
        <v>#REF!</v>
      </c>
      <c r="H20" s="1929" t="e">
        <f>IF('SALESPLAN 3Y'!#REF!=0,"",'SALESPLAN 3Y'!#REF!*'02-CHANNELCAPACITY-SAAS-OFR1'!H$11)</f>
        <v>#REF!</v>
      </c>
      <c r="I20" s="1929" t="e">
        <f>IF('SALESPLAN 3Y'!#REF!=0,"",'SALESPLAN 3Y'!#REF!*'02-CHANNELCAPACITY-SAAS-OFR1'!I$11)</f>
        <v>#REF!</v>
      </c>
      <c r="J20" s="1929" t="e">
        <f>IF('SALESPLAN 3Y'!#REF!=0,"",'SALESPLAN 3Y'!#REF!*'02-CHANNELCAPACITY-SAAS-OFR1'!J$11)</f>
        <v>#REF!</v>
      </c>
      <c r="K20" s="2352"/>
      <c r="L20" s="663" t="str">
        <f>IFERROR(F20/$F$23,"")</f>
        <v/>
      </c>
      <c r="M20" s="664" t="str">
        <f>IFERROR(G20/$G$23,"")</f>
        <v/>
      </c>
      <c r="N20" s="664" t="str">
        <f>IFERROR(H20/$H$23,"")</f>
        <v/>
      </c>
      <c r="O20" s="664" t="str">
        <f>IFERROR(I20/$I$23,"")</f>
        <v/>
      </c>
      <c r="P20" s="664" t="str">
        <f>IFERROR(J20/$J$23,"")</f>
        <v/>
      </c>
      <c r="Q20" s="6593"/>
      <c r="R20" s="6594"/>
      <c r="S20" s="6595"/>
    </row>
    <row r="21" spans="1:20" ht="15" thickBot="1" x14ac:dyDescent="0.4">
      <c r="A21" s="6602"/>
      <c r="B21" s="6603"/>
      <c r="C21" s="6603"/>
      <c r="D21" s="6603"/>
      <c r="E21" s="6603"/>
      <c r="F21" s="6603"/>
      <c r="G21" s="6603"/>
      <c r="H21" s="6603"/>
      <c r="I21" s="6603"/>
      <c r="J21" s="6603"/>
      <c r="K21" s="6604"/>
      <c r="L21" s="2528"/>
      <c r="M21" s="2529"/>
      <c r="N21" s="2529"/>
      <c r="O21" s="2529"/>
      <c r="P21" s="2530"/>
      <c r="Q21" s="2349"/>
    </row>
    <row r="22" spans="1:20" ht="15.5" thickTop="1" thickBot="1" x14ac:dyDescent="0.4">
      <c r="A22" s="1807"/>
      <c r="B22" s="1807"/>
      <c r="C22" s="6600" t="s">
        <v>1901</v>
      </c>
      <c r="D22" s="4081"/>
      <c r="E22" s="6601"/>
      <c r="F22" s="1690" t="e">
        <f t="shared" ref="F22" si="6">SUM(F13:F19)+F10</f>
        <v>#REF!</v>
      </c>
      <c r="G22" s="1690" t="e">
        <f>SUM(G13:G19)+G10</f>
        <v>#REF!</v>
      </c>
      <c r="H22" s="1690" t="e">
        <f t="shared" ref="H22:J22" si="7">SUM(H13:H19)+H10</f>
        <v>#REF!</v>
      </c>
      <c r="I22" s="1690" t="e">
        <f t="shared" si="7"/>
        <v>#REF!</v>
      </c>
      <c r="J22" s="1690" t="e">
        <f t="shared" si="7"/>
        <v>#REF!</v>
      </c>
      <c r="K22" s="2351"/>
      <c r="L22" s="2531"/>
      <c r="M22" s="2532"/>
      <c r="N22" s="2532"/>
      <c r="O22" s="2532"/>
      <c r="P22" s="2533"/>
      <c r="Q22" s="2349"/>
    </row>
    <row r="23" spans="1:20" ht="15.5" thickTop="1" thickBot="1" x14ac:dyDescent="0.4">
      <c r="A23" s="1807"/>
      <c r="B23" s="1807"/>
      <c r="C23" s="1824"/>
      <c r="D23" s="1768"/>
      <c r="E23" s="1825" t="s">
        <v>1672</v>
      </c>
      <c r="F23" s="2584" t="e">
        <f t="shared" ref="F23" si="8">SUM(F13:F19)</f>
        <v>#REF!</v>
      </c>
      <c r="G23" s="2584" t="e">
        <f>SUM(G13:G19)</f>
        <v>#REF!</v>
      </c>
      <c r="H23" s="2584" t="e">
        <f t="shared" ref="H23:J23" si="9">SUM(H13:H19)</f>
        <v>#REF!</v>
      </c>
      <c r="I23" s="2584" t="e">
        <f t="shared" si="9"/>
        <v>#REF!</v>
      </c>
      <c r="J23" s="2584" t="e">
        <f t="shared" si="9"/>
        <v>#REF!</v>
      </c>
      <c r="K23" s="2354"/>
      <c r="L23" s="1858">
        <f>IFERROR(SUM(L13:L19),0)</f>
        <v>0</v>
      </c>
      <c r="M23" s="1858">
        <f>IFERROR(SUM(M13:M19),0)</f>
        <v>0</v>
      </c>
      <c r="N23" s="1858">
        <f>IFERROR(SUM(N13:N19),0)</f>
        <v>0</v>
      </c>
      <c r="O23" s="1858">
        <f>IFERROR(SUM(O13:O19),0)</f>
        <v>0</v>
      </c>
      <c r="P23" s="2534">
        <f>IFERROR(SUM(P13:P19),0)</f>
        <v>0</v>
      </c>
      <c r="Q23" s="1771"/>
    </row>
    <row r="24" spans="1:20" ht="15.5" thickTop="1" thickBot="1" x14ac:dyDescent="0.4">
      <c r="A24" s="1807"/>
      <c r="B24" s="1807"/>
      <c r="C24" s="6684" t="s">
        <v>1529</v>
      </c>
      <c r="D24" s="6685"/>
      <c r="E24" s="6686"/>
      <c r="F24" s="1826"/>
      <c r="G24" s="1846" t="e">
        <f>IF( F23=0,,SUM(G23-F23)/F23)</f>
        <v>#REF!</v>
      </c>
      <c r="H24" s="1846" t="e">
        <f>SUM(H23-G23)/G23</f>
        <v>#REF!</v>
      </c>
      <c r="I24" s="1846" t="e">
        <f>SUM(I23-H23)/H23</f>
        <v>#REF!</v>
      </c>
      <c r="J24" s="2353" t="e">
        <f>SUM(J23-I23)/I23</f>
        <v>#REF!</v>
      </c>
      <c r="K24" s="2355"/>
      <c r="L24" s="1758"/>
      <c r="M24" s="1748"/>
      <c r="N24" s="1748"/>
      <c r="O24" s="1748"/>
      <c r="P24" s="1748"/>
      <c r="Q24" s="1748"/>
    </row>
    <row r="25" spans="1:20" ht="15.75" customHeight="1" thickTop="1" thickBot="1" x14ac:dyDescent="0.35">
      <c r="A25" s="2144"/>
      <c r="B25" s="2145"/>
      <c r="C25" s="2146"/>
      <c r="D25" s="2147"/>
      <c r="E25" s="2148"/>
      <c r="F25" s="2149"/>
      <c r="G25" s="2149"/>
      <c r="H25" s="2149"/>
      <c r="I25" s="2149"/>
      <c r="J25" s="2149"/>
      <c r="K25" s="2186"/>
      <c r="L25" s="1807"/>
      <c r="P25" s="1833"/>
    </row>
    <row r="26" spans="1:20" ht="13.5" thickTop="1" x14ac:dyDescent="0.3">
      <c r="A26" s="1807"/>
      <c r="B26" s="1807"/>
      <c r="C26" s="1807"/>
      <c r="D26" s="1807"/>
      <c r="E26" s="1807"/>
      <c r="F26" s="1807"/>
      <c r="G26" s="1807"/>
      <c r="H26" s="1807"/>
      <c r="I26" s="1807"/>
      <c r="J26" s="1807"/>
      <c r="K26" s="1807"/>
      <c r="L26" s="1807"/>
      <c r="P26" s="1807"/>
    </row>
    <row r="27" spans="1:20" ht="13.5" thickBot="1" x14ac:dyDescent="0.35">
      <c r="A27" s="1807"/>
      <c r="B27" s="1807"/>
      <c r="C27" s="1807"/>
      <c r="D27" s="1807"/>
      <c r="E27" s="1807"/>
      <c r="F27" s="1807"/>
      <c r="G27" s="1807"/>
      <c r="H27" s="1807"/>
      <c r="I27" s="1807"/>
      <c r="J27" s="1807"/>
      <c r="K27" s="1807"/>
      <c r="L27" s="1807"/>
      <c r="P27" s="1807"/>
    </row>
    <row r="28" spans="1:20" s="1784" customFormat="1" ht="55.5" customHeight="1" thickTop="1" x14ac:dyDescent="0.35">
      <c r="A28" s="6687" t="s">
        <v>2073</v>
      </c>
      <c r="B28" s="6688"/>
      <c r="C28" s="6689"/>
      <c r="D28" s="6683" t="s">
        <v>2126</v>
      </c>
      <c r="E28" s="6683"/>
      <c r="F28" s="1821">
        <f t="shared" ref="F28:J28" si="10">F6</f>
        <v>2017</v>
      </c>
      <c r="G28" s="1821">
        <f t="shared" si="10"/>
        <v>2018</v>
      </c>
      <c r="H28" s="1821">
        <f t="shared" si="10"/>
        <v>2019</v>
      </c>
      <c r="I28" s="1821">
        <f t="shared" si="10"/>
        <v>2020</v>
      </c>
      <c r="J28" s="2456">
        <f t="shared" si="10"/>
        <v>2021</v>
      </c>
      <c r="K28" s="2456" t="s">
        <v>436</v>
      </c>
      <c r="L28" s="1783"/>
      <c r="P28" s="2136"/>
    </row>
    <row r="29" spans="1:20" ht="15.5" x14ac:dyDescent="0.35">
      <c r="A29" s="6596" t="str">
        <f>A10</f>
        <v xml:space="preserve">Ventes directes </v>
      </c>
      <c r="B29" s="6597"/>
      <c r="C29" s="6597"/>
      <c r="D29" s="6599">
        <v>0</v>
      </c>
      <c r="E29" s="6599"/>
      <c r="F29" s="2557">
        <f>IF($D29=0,0,F10/$D29)</f>
        <v>0</v>
      </c>
      <c r="G29" s="1859">
        <f>IF($D29=0,0,G10/$D29)</f>
        <v>0</v>
      </c>
      <c r="H29" s="1859">
        <f>IF($D29=0,0,H10/$D29)</f>
        <v>0</v>
      </c>
      <c r="I29" s="1859">
        <f>IF($D29=0,0,I10/$D29)</f>
        <v>0</v>
      </c>
      <c r="J29" s="2559">
        <f>IF($D29=0,0,J10/$D29)</f>
        <v>0</v>
      </c>
      <c r="K29" s="2561">
        <f t="shared" ref="K29" si="11">IF($D29=0,0,K10/$D29)*2</f>
        <v>0</v>
      </c>
      <c r="L29" s="1807"/>
      <c r="P29" s="1807"/>
    </row>
    <row r="30" spans="1:20" ht="15.5" x14ac:dyDescent="0.35">
      <c r="A30" s="6596" t="str">
        <f>A13</f>
        <v xml:space="preserve">VARs / SS2I locales </v>
      </c>
      <c r="B30" s="6597"/>
      <c r="C30" s="6597"/>
      <c r="D30" s="6598">
        <v>4</v>
      </c>
      <c r="E30" s="6598"/>
      <c r="F30" s="2558">
        <f>IFERROR(F13/$D30,0)</f>
        <v>0</v>
      </c>
      <c r="G30" s="2558">
        <f t="shared" ref="G30:J30" si="12">IFERROR(G13/$D30,0)</f>
        <v>0</v>
      </c>
      <c r="H30" s="2558">
        <f t="shared" si="12"/>
        <v>0</v>
      </c>
      <c r="I30" s="2558">
        <f t="shared" si="12"/>
        <v>0</v>
      </c>
      <c r="J30" s="2560">
        <f t="shared" si="12"/>
        <v>0</v>
      </c>
      <c r="K30" s="2562">
        <f>SUM(F30:J30)</f>
        <v>0</v>
      </c>
      <c r="P30" s="2150"/>
      <c r="Q30" s="2151"/>
      <c r="R30" s="2151"/>
      <c r="S30" s="2151"/>
      <c r="T30" s="2151"/>
    </row>
    <row r="31" spans="1:20" ht="15.5" x14ac:dyDescent="0.35">
      <c r="A31" s="6596" t="str">
        <f>A14</f>
        <v>ESN ( SS2I )</v>
      </c>
      <c r="B31" s="6597"/>
      <c r="C31" s="6597"/>
      <c r="D31" s="6599">
        <v>6</v>
      </c>
      <c r="E31" s="6599"/>
      <c r="F31" s="1827">
        <f t="shared" ref="F31:J31" si="13">IFERROR(F14/$D31,0)</f>
        <v>0</v>
      </c>
      <c r="G31" s="1827">
        <f t="shared" si="13"/>
        <v>0</v>
      </c>
      <c r="H31" s="1827">
        <f t="shared" si="13"/>
        <v>0</v>
      </c>
      <c r="I31" s="1827">
        <f t="shared" si="13"/>
        <v>0</v>
      </c>
      <c r="J31" s="1828">
        <f t="shared" si="13"/>
        <v>0</v>
      </c>
      <c r="K31" s="2493">
        <f t="shared" ref="K31:K36" si="14">SUM(F31:J31)</f>
        <v>0</v>
      </c>
      <c r="L31" s="1807"/>
      <c r="P31" s="2152"/>
      <c r="Q31" s="2152"/>
      <c r="R31" s="2153"/>
      <c r="S31" s="2154"/>
      <c r="T31" s="2151"/>
    </row>
    <row r="32" spans="1:20" ht="15.5" x14ac:dyDescent="0.35">
      <c r="A32" s="6596" t="str">
        <f>A15</f>
        <v>Constructeurs Matériel</v>
      </c>
      <c r="B32" s="6597"/>
      <c r="C32" s="6597"/>
      <c r="D32" s="6599"/>
      <c r="E32" s="6599"/>
      <c r="F32" s="1827">
        <f t="shared" ref="F32:J32" si="15">IFERROR(F15/$D32,0)</f>
        <v>0</v>
      </c>
      <c r="G32" s="1827">
        <f t="shared" si="15"/>
        <v>0</v>
      </c>
      <c r="H32" s="1827">
        <f t="shared" si="15"/>
        <v>0</v>
      </c>
      <c r="I32" s="1827">
        <f t="shared" si="15"/>
        <v>0</v>
      </c>
      <c r="J32" s="1828">
        <f t="shared" si="15"/>
        <v>0</v>
      </c>
      <c r="K32" s="2493">
        <f t="shared" si="14"/>
        <v>0</v>
      </c>
      <c r="L32" s="1807"/>
      <c r="P32" s="2153"/>
      <c r="Q32" s="2153"/>
      <c r="R32" s="2153"/>
      <c r="S32" s="2154"/>
      <c r="T32" s="2151"/>
    </row>
    <row r="33" spans="1:20" ht="15.5" x14ac:dyDescent="0.35">
      <c r="A33" s="6596" t="str">
        <f t="shared" ref="A33:A36" si="16">A16</f>
        <v>Editeurs de solutions complémentaires</v>
      </c>
      <c r="B33" s="6597"/>
      <c r="C33" s="6597"/>
      <c r="D33" s="6599"/>
      <c r="E33" s="6599"/>
      <c r="F33" s="1827">
        <f t="shared" ref="F33:J33" si="17">IFERROR(F16/$D33,0)</f>
        <v>0</v>
      </c>
      <c r="G33" s="1827">
        <f t="shared" si="17"/>
        <v>0</v>
      </c>
      <c r="H33" s="1827">
        <f t="shared" si="17"/>
        <v>0</v>
      </c>
      <c r="I33" s="1827">
        <f t="shared" si="17"/>
        <v>0</v>
      </c>
      <c r="J33" s="1828">
        <f t="shared" si="17"/>
        <v>0</v>
      </c>
      <c r="K33" s="2493">
        <f t="shared" si="14"/>
        <v>0</v>
      </c>
      <c r="L33" s="1807"/>
      <c r="P33" s="2153"/>
      <c r="Q33" s="2155"/>
      <c r="R33" s="2153"/>
      <c r="S33" s="2156"/>
      <c r="T33" s="2151"/>
    </row>
    <row r="34" spans="1:20" ht="15.5" x14ac:dyDescent="0.35">
      <c r="A34" s="6596" t="str">
        <f t="shared" si="16"/>
        <v>Cabinets de conseil / Consultants</v>
      </c>
      <c r="B34" s="6597"/>
      <c r="C34" s="6597"/>
      <c r="D34" s="6599"/>
      <c r="E34" s="6599"/>
      <c r="F34" s="1827">
        <f t="shared" ref="F34:J34" si="18">IFERROR(F17/$D34,0)</f>
        <v>0</v>
      </c>
      <c r="G34" s="1827">
        <f t="shared" si="18"/>
        <v>0</v>
      </c>
      <c r="H34" s="1827">
        <f t="shared" si="18"/>
        <v>0</v>
      </c>
      <c r="I34" s="1827">
        <f t="shared" si="18"/>
        <v>0</v>
      </c>
      <c r="J34" s="1828">
        <f t="shared" si="18"/>
        <v>0</v>
      </c>
      <c r="K34" s="2493">
        <f t="shared" si="14"/>
        <v>0</v>
      </c>
      <c r="L34" s="1807"/>
      <c r="P34" s="2153"/>
      <c r="Q34" s="2153"/>
      <c r="R34" s="2153"/>
      <c r="S34" s="2154"/>
      <c r="T34" s="2151"/>
    </row>
    <row r="35" spans="1:20" ht="15.5" x14ac:dyDescent="0.35">
      <c r="A35" s="6596" t="str">
        <f t="shared" si="16"/>
        <v xml:space="preserve">Hébergeurs </v>
      </c>
      <c r="B35" s="6597"/>
      <c r="C35" s="6597"/>
      <c r="D35" s="6599"/>
      <c r="E35" s="6599"/>
      <c r="F35" s="1827">
        <f t="shared" ref="F35:J35" si="19">IFERROR(F18/$D35,0)</f>
        <v>0</v>
      </c>
      <c r="G35" s="1827">
        <f t="shared" si="19"/>
        <v>0</v>
      </c>
      <c r="H35" s="1827">
        <f t="shared" si="19"/>
        <v>0</v>
      </c>
      <c r="I35" s="1827">
        <f t="shared" si="19"/>
        <v>0</v>
      </c>
      <c r="J35" s="1828">
        <f t="shared" si="19"/>
        <v>0</v>
      </c>
      <c r="K35" s="2493">
        <f t="shared" si="14"/>
        <v>0</v>
      </c>
      <c r="L35" s="1807"/>
      <c r="P35" s="2153"/>
      <c r="Q35" s="2153"/>
      <c r="R35" s="2153"/>
      <c r="S35" s="2154"/>
      <c r="T35" s="2151"/>
    </row>
    <row r="36" spans="1:20" ht="15.5" x14ac:dyDescent="0.35">
      <c r="A36" s="6596" t="str">
        <f t="shared" si="16"/>
        <v>Agrégateurs</v>
      </c>
      <c r="B36" s="6597"/>
      <c r="C36" s="6597"/>
      <c r="D36" s="6599"/>
      <c r="E36" s="6599"/>
      <c r="F36" s="1827">
        <f t="shared" ref="F36:J36" si="20">IFERROR(F19/$D36,0)</f>
        <v>0</v>
      </c>
      <c r="G36" s="1827">
        <f t="shared" si="20"/>
        <v>0</v>
      </c>
      <c r="H36" s="1827">
        <f t="shared" si="20"/>
        <v>0</v>
      </c>
      <c r="I36" s="1827">
        <f t="shared" si="20"/>
        <v>0</v>
      </c>
      <c r="J36" s="1828">
        <f t="shared" si="20"/>
        <v>0</v>
      </c>
      <c r="K36" s="2493">
        <f t="shared" si="14"/>
        <v>0</v>
      </c>
      <c r="L36" s="1807"/>
      <c r="P36" s="2152"/>
      <c r="Q36" s="2152"/>
      <c r="R36" s="2152"/>
      <c r="S36" s="2152"/>
      <c r="T36" s="2151"/>
    </row>
    <row r="37" spans="1:20" ht="15.75" customHeight="1" thickBot="1" x14ac:dyDescent="0.35">
      <c r="A37" s="6630"/>
      <c r="B37" s="6631"/>
      <c r="C37" s="6676"/>
      <c r="D37" s="6677"/>
      <c r="E37" s="6676"/>
      <c r="F37" s="2457"/>
      <c r="G37" s="2457"/>
      <c r="H37" s="2457"/>
      <c r="I37" s="2457"/>
      <c r="J37" s="2492"/>
      <c r="K37" s="2494"/>
      <c r="L37" s="1807"/>
      <c r="M37" s="1807"/>
      <c r="N37" s="2150"/>
      <c r="O37" s="2150"/>
      <c r="P37" s="2153"/>
      <c r="Q37" s="2157"/>
      <c r="R37" s="2157"/>
      <c r="S37" s="2157"/>
      <c r="T37" s="2151"/>
    </row>
    <row r="38" spans="1:20" ht="15" thickTop="1" x14ac:dyDescent="0.3">
      <c r="A38" s="2186"/>
      <c r="B38" s="1835"/>
      <c r="C38" s="1835"/>
      <c r="D38" s="6692" t="s">
        <v>1913</v>
      </c>
      <c r="E38" s="6693"/>
      <c r="F38" s="2168">
        <f t="shared" ref="F38:I38" si="21">SUM(F29:F37)</f>
        <v>0</v>
      </c>
      <c r="G38" s="2169">
        <f t="shared" si="21"/>
        <v>0</v>
      </c>
      <c r="H38" s="2169">
        <f t="shared" si="21"/>
        <v>0</v>
      </c>
      <c r="I38" s="2169">
        <f t="shared" si="21"/>
        <v>0</v>
      </c>
      <c r="J38" s="2372">
        <f>SUM(J29:J37)</f>
        <v>0</v>
      </c>
      <c r="K38" s="2495">
        <f>SUM(K29:K37)</f>
        <v>0</v>
      </c>
      <c r="L38" s="1807"/>
      <c r="M38" s="1807"/>
      <c r="N38" s="2150"/>
      <c r="O38" s="2137"/>
      <c r="P38" s="2158"/>
      <c r="Q38" s="2159"/>
      <c r="R38" s="2159"/>
      <c r="S38" s="2159"/>
      <c r="T38" s="2151"/>
    </row>
    <row r="39" spans="1:20" ht="15" thickBot="1" x14ac:dyDescent="0.35">
      <c r="A39" s="2187"/>
      <c r="B39" s="2188"/>
      <c r="C39" s="2188"/>
      <c r="D39" s="1829"/>
      <c r="E39" s="1830" t="s">
        <v>1914</v>
      </c>
      <c r="F39" s="2170">
        <f t="shared" ref="F39:J39" si="22">SUM(F30:F36)</f>
        <v>0</v>
      </c>
      <c r="G39" s="2171">
        <f t="shared" si="22"/>
        <v>0</v>
      </c>
      <c r="H39" s="2171">
        <f t="shared" si="22"/>
        <v>0</v>
      </c>
      <c r="I39" s="2171">
        <f t="shared" si="22"/>
        <v>0</v>
      </c>
      <c r="J39" s="2373">
        <f t="shared" si="22"/>
        <v>0</v>
      </c>
      <c r="K39" s="2496">
        <f t="shared" ref="K39" si="23">SUM(K30:K36)</f>
        <v>0</v>
      </c>
      <c r="L39" s="1807"/>
      <c r="M39" s="1807"/>
      <c r="N39" s="2150"/>
      <c r="O39" s="2150"/>
      <c r="P39" s="2137"/>
      <c r="Q39" s="2137"/>
      <c r="R39" s="2137"/>
      <c r="S39" s="2137"/>
      <c r="T39" s="2151"/>
    </row>
    <row r="40" spans="1:20" ht="13.5" thickTop="1" x14ac:dyDescent="0.3">
      <c r="A40" s="1807"/>
      <c r="B40" s="1807"/>
      <c r="C40" s="1807"/>
      <c r="D40" s="1807"/>
      <c r="E40" s="1807"/>
      <c r="F40" s="1807"/>
      <c r="G40" s="1807"/>
      <c r="H40" s="1807"/>
      <c r="I40" s="1807"/>
      <c r="J40" s="1807"/>
      <c r="K40" s="1807"/>
      <c r="L40" s="1807"/>
      <c r="M40" s="1807"/>
      <c r="N40" s="2150"/>
      <c r="O40" s="2150"/>
      <c r="P40" s="2150"/>
      <c r="Q40" s="2150"/>
      <c r="R40" s="2150"/>
      <c r="S40" s="2151"/>
      <c r="T40" s="2151"/>
    </row>
    <row r="41" spans="1:20" ht="13.5" thickBot="1" x14ac:dyDescent="0.35">
      <c r="A41" s="1807"/>
      <c r="B41" s="1807"/>
      <c r="C41" s="1807"/>
      <c r="D41" s="1807"/>
      <c r="E41" s="1807"/>
      <c r="F41" s="1807"/>
      <c r="G41" s="1807"/>
      <c r="H41" s="1807"/>
      <c r="I41" s="1807"/>
      <c r="J41" s="1807"/>
      <c r="K41" s="1807"/>
      <c r="L41" s="1807"/>
      <c r="M41" s="1807"/>
      <c r="N41" s="2150"/>
      <c r="O41" s="2137"/>
      <c r="P41" s="2137"/>
      <c r="Q41" s="2137"/>
      <c r="R41" s="2137"/>
      <c r="S41" s="2137"/>
      <c r="T41" s="2151"/>
    </row>
    <row r="42" spans="1:20" s="1784" customFormat="1" ht="47.25" customHeight="1" thickTop="1" x14ac:dyDescent="0.35">
      <c r="A42" s="6694" t="s">
        <v>1903</v>
      </c>
      <c r="B42" s="6695"/>
      <c r="C42" s="6695"/>
      <c r="D42" s="6683" t="s">
        <v>2117</v>
      </c>
      <c r="E42" s="6683"/>
      <c r="F42" s="1821">
        <f t="shared" ref="F42:J42" si="24">F6</f>
        <v>2017</v>
      </c>
      <c r="G42" s="1821">
        <f t="shared" si="24"/>
        <v>2018</v>
      </c>
      <c r="H42" s="1821">
        <f t="shared" si="24"/>
        <v>2019</v>
      </c>
      <c r="I42" s="1821">
        <f t="shared" si="24"/>
        <v>2020</v>
      </c>
      <c r="J42" s="1822">
        <f t="shared" si="24"/>
        <v>2021</v>
      </c>
      <c r="K42" s="2374" t="s">
        <v>1989</v>
      </c>
      <c r="L42" s="2375" t="s">
        <v>2071</v>
      </c>
      <c r="N42" s="2150"/>
      <c r="R42" s="2160"/>
      <c r="S42" s="2160"/>
      <c r="T42" s="2161"/>
    </row>
    <row r="43" spans="1:20" ht="30" customHeight="1" x14ac:dyDescent="0.35">
      <c r="A43" s="6690"/>
      <c r="B43" s="6691"/>
      <c r="C43" s="6691"/>
      <c r="D43" s="2183" t="s">
        <v>1902</v>
      </c>
      <c r="E43" s="2183" t="s">
        <v>842</v>
      </c>
      <c r="F43" s="6673" t="s">
        <v>2127</v>
      </c>
      <c r="G43" s="6674"/>
      <c r="H43" s="6674"/>
      <c r="I43" s="6674"/>
      <c r="J43" s="6675"/>
      <c r="K43" s="1791"/>
      <c r="L43" s="2175"/>
      <c r="N43" s="2150"/>
      <c r="R43" s="2150"/>
      <c r="S43" s="2151"/>
      <c r="T43" s="2151"/>
    </row>
    <row r="44" spans="1:20" ht="15" customHeight="1" x14ac:dyDescent="0.35">
      <c r="A44" s="6610" t="str">
        <f>A13</f>
        <v xml:space="preserve">VARs / SS2I locales </v>
      </c>
      <c r="B44" s="6611"/>
      <c r="C44" s="6611"/>
      <c r="D44" s="2359">
        <v>5</v>
      </c>
      <c r="E44" s="2359">
        <v>10</v>
      </c>
      <c r="F44" s="2563">
        <f>F30</f>
        <v>0</v>
      </c>
      <c r="G44" s="2563">
        <f t="shared" ref="G44:J44" si="25">G30</f>
        <v>0</v>
      </c>
      <c r="H44" s="2563">
        <f t="shared" si="25"/>
        <v>0</v>
      </c>
      <c r="I44" s="2563">
        <f t="shared" si="25"/>
        <v>0</v>
      </c>
      <c r="J44" s="2563">
        <f t="shared" si="25"/>
        <v>0</v>
      </c>
      <c r="K44" s="2361"/>
      <c r="L44" s="2377"/>
      <c r="N44" s="2362"/>
      <c r="R44" s="2150"/>
      <c r="S44" s="2151"/>
      <c r="T44" s="2151"/>
    </row>
    <row r="45" spans="1:20" ht="15" customHeight="1" x14ac:dyDescent="0.35">
      <c r="A45" s="6608" t="s">
        <v>2104</v>
      </c>
      <c r="B45" s="6609"/>
      <c r="C45" s="6609"/>
      <c r="D45" s="2363"/>
      <c r="E45" s="2363"/>
      <c r="F45" s="2364">
        <v>0</v>
      </c>
      <c r="G45" s="1695">
        <f>F48+F45</f>
        <v>0</v>
      </c>
      <c r="H45" s="2167">
        <f>G45+G48</f>
        <v>0</v>
      </c>
      <c r="I45" s="2167">
        <f t="shared" ref="I45:J45" si="26">H45+H48</f>
        <v>0</v>
      </c>
      <c r="J45" s="2331">
        <f t="shared" si="26"/>
        <v>0</v>
      </c>
      <c r="K45" s="2365"/>
      <c r="L45" s="2378"/>
      <c r="N45" s="2362"/>
      <c r="R45" s="2150"/>
      <c r="S45" s="2151"/>
      <c r="T45" s="2151"/>
    </row>
    <row r="46" spans="1:20" ht="15" customHeight="1" x14ac:dyDescent="0.35">
      <c r="A46" s="6608" t="s">
        <v>2105</v>
      </c>
      <c r="B46" s="6609"/>
      <c r="C46" s="6609"/>
      <c r="D46" s="2363"/>
      <c r="E46" s="2363"/>
      <c r="F46" s="1695"/>
      <c r="G46" s="1695">
        <f>G45*E44</f>
        <v>0</v>
      </c>
      <c r="H46" s="1695">
        <f>H45*$E$44</f>
        <v>0</v>
      </c>
      <c r="I46" s="1695">
        <f t="shared" ref="I46:J46" si="27">I45*$E$44</f>
        <v>0</v>
      </c>
      <c r="J46" s="2360">
        <f t="shared" si="27"/>
        <v>0</v>
      </c>
      <c r="K46" s="2365"/>
      <c r="L46" s="2378"/>
      <c r="N46" s="2362"/>
      <c r="R46" s="2150"/>
      <c r="S46" s="2151"/>
      <c r="T46" s="2151"/>
    </row>
    <row r="47" spans="1:20" ht="15" customHeight="1" x14ac:dyDescent="0.35">
      <c r="A47" s="6608" t="s">
        <v>2108</v>
      </c>
      <c r="B47" s="6609"/>
      <c r="C47" s="6609"/>
      <c r="D47" s="2363"/>
      <c r="E47" s="2363"/>
      <c r="F47" s="1695"/>
      <c r="G47" s="1695">
        <f>IF(G44-G46&lt;0,0,G44-G46)</f>
        <v>0</v>
      </c>
      <c r="H47" s="1695">
        <f>IF(H44-H46&lt;0,0,H44-H46)</f>
        <v>0</v>
      </c>
      <c r="I47" s="1695">
        <f t="shared" ref="I47:J47" si="28">IF(I44-I46&lt;0,0,I44-I46)</f>
        <v>0</v>
      </c>
      <c r="J47" s="2360">
        <f t="shared" si="28"/>
        <v>0</v>
      </c>
      <c r="K47" s="2366"/>
      <c r="L47" s="2378"/>
      <c r="N47" s="2362"/>
      <c r="R47" s="2150"/>
      <c r="S47" s="2151"/>
      <c r="T47" s="2151"/>
    </row>
    <row r="48" spans="1:20" ht="15" customHeight="1" x14ac:dyDescent="0.35">
      <c r="A48" s="6608" t="s">
        <v>2225</v>
      </c>
      <c r="B48" s="6609"/>
      <c r="C48" s="6609"/>
      <c r="D48" s="2363"/>
      <c r="E48" s="2363"/>
      <c r="F48" s="1695"/>
      <c r="G48" s="2167">
        <f>IF(G47/$D$44&lt;0,0,G47/$D$44)</f>
        <v>0</v>
      </c>
      <c r="H48" s="2167">
        <f>IF(H47/$D$44&lt;0,0,H47/$D$44)</f>
        <v>0</v>
      </c>
      <c r="I48" s="2167">
        <f t="shared" ref="I48:J48" si="29">IF(I47/$D$44&lt;0,0,I47/$D$44)</f>
        <v>0</v>
      </c>
      <c r="J48" s="2331">
        <f t="shared" si="29"/>
        <v>0</v>
      </c>
      <c r="K48" s="2366"/>
      <c r="L48" s="2379"/>
      <c r="N48" s="2368"/>
      <c r="R48" s="2150"/>
      <c r="S48" s="2151"/>
      <c r="T48" s="2151"/>
    </row>
    <row r="49" spans="1:20" ht="15" customHeight="1" x14ac:dyDescent="0.35">
      <c r="A49" s="6608" t="s">
        <v>2106</v>
      </c>
      <c r="B49" s="6609"/>
      <c r="C49" s="6609"/>
      <c r="D49" s="2369"/>
      <c r="E49" s="2369"/>
      <c r="F49" s="2167"/>
      <c r="G49" s="2176">
        <f>IFERROR((G47/$D$44)/(100%-G102),0)</f>
        <v>0</v>
      </c>
      <c r="H49" s="2176">
        <f>IFERROR((H47/$D$44)/(100%-H102),0)</f>
        <v>0</v>
      </c>
      <c r="I49" s="2176">
        <f>IFERROR((I47/$D$44)/(100%-I102),0)</f>
        <v>0</v>
      </c>
      <c r="J49" s="2370">
        <f>IFERROR((J47/$D$44)/(100%-J102),0)</f>
        <v>0</v>
      </c>
      <c r="K49" s="2366">
        <f>SUM(G49:J49)</f>
        <v>0</v>
      </c>
      <c r="L49" s="2379"/>
      <c r="N49" s="2368"/>
      <c r="R49" s="2150"/>
      <c r="S49" s="2151"/>
      <c r="T49" s="2151"/>
    </row>
    <row r="50" spans="1:20" ht="15" customHeight="1" x14ac:dyDescent="0.35">
      <c r="A50" s="6608" t="s">
        <v>2107</v>
      </c>
      <c r="B50" s="6609"/>
      <c r="C50" s="6609"/>
      <c r="D50" s="2369"/>
      <c r="E50" s="2369"/>
      <c r="F50" s="2176">
        <f>F45+F49</f>
        <v>0</v>
      </c>
      <c r="G50" s="2176">
        <f>G45+G49</f>
        <v>0</v>
      </c>
      <c r="H50" s="2176">
        <f t="shared" ref="H50:J50" si="30">H45+H49</f>
        <v>0</v>
      </c>
      <c r="I50" s="2176">
        <f t="shared" si="30"/>
        <v>0</v>
      </c>
      <c r="J50" s="2370">
        <f t="shared" si="30"/>
        <v>0</v>
      </c>
      <c r="K50" s="2366"/>
      <c r="L50" s="2379">
        <f>J50</f>
        <v>0</v>
      </c>
      <c r="N50" s="2368"/>
      <c r="R50" s="2150"/>
      <c r="S50" s="2151"/>
      <c r="T50" s="2151"/>
    </row>
    <row r="51" spans="1:20" ht="15" customHeight="1" x14ac:dyDescent="0.35">
      <c r="A51" s="6618"/>
      <c r="B51" s="6619"/>
      <c r="C51" s="6620"/>
      <c r="D51" s="2369"/>
      <c r="E51" s="2369"/>
      <c r="F51" s="2176"/>
      <c r="G51" s="2176"/>
      <c r="H51" s="2176"/>
      <c r="I51" s="2176"/>
      <c r="J51" s="2370"/>
      <c r="K51" s="2371"/>
      <c r="L51" s="2367"/>
      <c r="N51" s="2368"/>
      <c r="R51" s="2150"/>
      <c r="S51" s="2151"/>
      <c r="T51" s="2151"/>
    </row>
    <row r="52" spans="1:20" ht="15" customHeight="1" x14ac:dyDescent="0.35">
      <c r="A52" s="6610" t="str">
        <f>A14</f>
        <v>ESN ( SS2I )</v>
      </c>
      <c r="B52" s="6611"/>
      <c r="C52" s="6611"/>
      <c r="D52" s="2359">
        <v>5</v>
      </c>
      <c r="E52" s="2359">
        <v>6</v>
      </c>
      <c r="F52" s="2563">
        <f>F31</f>
        <v>0</v>
      </c>
      <c r="G52" s="2563">
        <f t="shared" ref="G52:J52" si="31">G31</f>
        <v>0</v>
      </c>
      <c r="H52" s="2563">
        <f t="shared" si="31"/>
        <v>0</v>
      </c>
      <c r="I52" s="2563">
        <f t="shared" si="31"/>
        <v>0</v>
      </c>
      <c r="J52" s="2563">
        <f t="shared" si="31"/>
        <v>0</v>
      </c>
      <c r="K52" s="2361"/>
      <c r="L52" s="2377"/>
      <c r="N52" s="2362"/>
      <c r="R52" s="2150"/>
      <c r="S52" s="2151"/>
      <c r="T52" s="2151"/>
    </row>
    <row r="53" spans="1:20" ht="15" customHeight="1" x14ac:dyDescent="0.35">
      <c r="A53" s="6608" t="s">
        <v>2104</v>
      </c>
      <c r="B53" s="6609"/>
      <c r="C53" s="6609"/>
      <c r="D53" s="2363"/>
      <c r="E53" s="2363"/>
      <c r="F53" s="2364">
        <v>0</v>
      </c>
      <c r="G53" s="1695">
        <f>F56+F53</f>
        <v>0</v>
      </c>
      <c r="H53" s="2167">
        <f>G53+G56</f>
        <v>0</v>
      </c>
      <c r="I53" s="2167">
        <f t="shared" ref="I53:J53" si="32">H53+H56</f>
        <v>0</v>
      </c>
      <c r="J53" s="2331">
        <f t="shared" si="32"/>
        <v>0</v>
      </c>
      <c r="K53" s="2365"/>
      <c r="L53" s="2378"/>
      <c r="N53" s="2362"/>
      <c r="R53" s="2150"/>
      <c r="S53" s="2151"/>
      <c r="T53" s="2151"/>
    </row>
    <row r="54" spans="1:20" ht="15" customHeight="1" x14ac:dyDescent="0.35">
      <c r="A54" s="6608" t="s">
        <v>2105</v>
      </c>
      <c r="B54" s="6609"/>
      <c r="C54" s="6609"/>
      <c r="D54" s="2363"/>
      <c r="E54" s="2363"/>
      <c r="F54" s="1695"/>
      <c r="G54" s="1695">
        <f>G53*E52</f>
        <v>0</v>
      </c>
      <c r="H54" s="1695">
        <f>H53*$E$52</f>
        <v>0</v>
      </c>
      <c r="I54" s="1695">
        <f t="shared" ref="I54:J54" si="33">I53*$E$52</f>
        <v>0</v>
      </c>
      <c r="J54" s="2360">
        <f t="shared" si="33"/>
        <v>0</v>
      </c>
      <c r="K54" s="2365"/>
      <c r="L54" s="2378"/>
      <c r="N54" s="2362"/>
      <c r="O54" s="2150"/>
      <c r="P54" s="2150"/>
      <c r="Q54" s="2150"/>
      <c r="R54" s="2150"/>
      <c r="S54" s="2151"/>
      <c r="T54" s="2151"/>
    </row>
    <row r="55" spans="1:20" ht="15" customHeight="1" x14ac:dyDescent="0.35">
      <c r="A55" s="6608" t="s">
        <v>2108</v>
      </c>
      <c r="B55" s="6609"/>
      <c r="C55" s="6609"/>
      <c r="D55" s="2363"/>
      <c r="E55" s="2363"/>
      <c r="F55" s="1695"/>
      <c r="G55" s="1695">
        <f>IF(G52-G54&lt;0,0,G52-G54)</f>
        <v>0</v>
      </c>
      <c r="H55" s="1695">
        <f>IF(H52-H54&lt;0,0,H52-H54)</f>
        <v>0</v>
      </c>
      <c r="I55" s="1695">
        <f t="shared" ref="I55" si="34">IF(I52-I54&lt;0,0,I52-I54)</f>
        <v>0</v>
      </c>
      <c r="J55" s="2360">
        <f t="shared" ref="J55" si="35">IF(J52-J54&lt;0,0,J52-J54)</f>
        <v>0</v>
      </c>
      <c r="K55" s="2366"/>
      <c r="L55" s="2378"/>
      <c r="N55" s="2362"/>
      <c r="O55" s="2150"/>
      <c r="P55" s="2150"/>
      <c r="Q55" s="2150"/>
      <c r="R55" s="2150"/>
      <c r="S55" s="2151"/>
      <c r="T55" s="2151"/>
    </row>
    <row r="56" spans="1:20" ht="15" customHeight="1" x14ac:dyDescent="0.35">
      <c r="A56" s="6608" t="s">
        <v>2225</v>
      </c>
      <c r="B56" s="6609"/>
      <c r="C56" s="6609"/>
      <c r="D56" s="2363"/>
      <c r="E56" s="2363"/>
      <c r="F56" s="1695"/>
      <c r="G56" s="2167">
        <f>IF(G55/$D$52&lt;0,0,G55/$D$52)</f>
        <v>0</v>
      </c>
      <c r="H56" s="2167">
        <f>IF(H55/$D$52&lt;0,0,H55/$D$52)</f>
        <v>0</v>
      </c>
      <c r="I56" s="2167">
        <f>IF(I55/$D$52&lt;0,0,I55/$D$52)</f>
        <v>0</v>
      </c>
      <c r="J56" s="2331">
        <f>IF(J55/$D$52&lt;0,0,J55/$D$52)</f>
        <v>0</v>
      </c>
      <c r="K56" s="2366"/>
      <c r="L56" s="2379"/>
      <c r="N56" s="2368"/>
      <c r="O56" s="2150"/>
      <c r="P56" s="2150"/>
      <c r="Q56" s="2150"/>
      <c r="R56" s="2150"/>
      <c r="S56" s="2151"/>
      <c r="T56" s="2151"/>
    </row>
    <row r="57" spans="1:20" ht="15" customHeight="1" x14ac:dyDescent="0.35">
      <c r="A57" s="6608" t="s">
        <v>2106</v>
      </c>
      <c r="B57" s="6609"/>
      <c r="C57" s="6609"/>
      <c r="D57" s="2369"/>
      <c r="E57" s="2369"/>
      <c r="F57" s="2167"/>
      <c r="G57" s="2176">
        <f>IFERROR((G55/$D$52)/(100%-G$102),0)</f>
        <v>0</v>
      </c>
      <c r="H57" s="2176">
        <f>IFERROR((H55/$D$52)/(100%-H$102),0)</f>
        <v>0</v>
      </c>
      <c r="I57" s="2176">
        <f>IFERROR((I55/$D$52)/(100%-I$102),0)</f>
        <v>0</v>
      </c>
      <c r="J57" s="2370">
        <f>IFERROR((J55/$D$52)/(100%-J$102),0)</f>
        <v>0</v>
      </c>
      <c r="K57" s="2366">
        <f>SUM(G57:J57)</f>
        <v>0</v>
      </c>
      <c r="L57" s="2379"/>
      <c r="N57" s="2368"/>
      <c r="O57" s="2150"/>
      <c r="P57" s="2150"/>
      <c r="Q57" s="2150"/>
      <c r="R57" s="2150"/>
      <c r="S57" s="2151"/>
      <c r="T57" s="2151"/>
    </row>
    <row r="58" spans="1:20" ht="15" customHeight="1" x14ac:dyDescent="0.35">
      <c r="A58" s="6608" t="s">
        <v>2107</v>
      </c>
      <c r="B58" s="6609"/>
      <c r="C58" s="6609"/>
      <c r="D58" s="2369"/>
      <c r="E58" s="2369"/>
      <c r="F58" s="2176">
        <f>F53+F57</f>
        <v>0</v>
      </c>
      <c r="G58" s="2176">
        <f>G53+G57</f>
        <v>0</v>
      </c>
      <c r="H58" s="2176">
        <f t="shared" ref="H58:J58" si="36">H53+H57</f>
        <v>0</v>
      </c>
      <c r="I58" s="2176">
        <f t="shared" si="36"/>
        <v>0</v>
      </c>
      <c r="J58" s="2370">
        <f t="shared" si="36"/>
        <v>0</v>
      </c>
      <c r="K58" s="2366"/>
      <c r="L58" s="2379">
        <f>J58</f>
        <v>0</v>
      </c>
      <c r="N58" s="2368"/>
      <c r="O58" s="2150"/>
      <c r="P58" s="2150"/>
      <c r="Q58" s="2150"/>
      <c r="R58" s="2150"/>
      <c r="S58" s="2151"/>
      <c r="T58" s="2151"/>
    </row>
    <row r="59" spans="1:20" ht="15" customHeight="1" x14ac:dyDescent="0.35">
      <c r="A59" s="6618"/>
      <c r="B59" s="6619"/>
      <c r="C59" s="6619"/>
      <c r="D59" s="6619"/>
      <c r="E59" s="6619"/>
      <c r="F59" s="6619"/>
      <c r="G59" s="6619"/>
      <c r="H59" s="6619"/>
      <c r="I59" s="6619"/>
      <c r="J59" s="6619"/>
      <c r="K59" s="2380"/>
      <c r="L59" s="2367"/>
      <c r="N59" s="2368"/>
      <c r="O59" s="2150"/>
      <c r="P59" s="2150"/>
      <c r="Q59" s="2150"/>
      <c r="R59" s="2150"/>
      <c r="S59" s="2151"/>
      <c r="T59" s="2151"/>
    </row>
    <row r="60" spans="1:20" ht="15" customHeight="1" x14ac:dyDescent="0.35">
      <c r="A60" s="6610" t="str">
        <f>A15</f>
        <v>Constructeurs Matériel</v>
      </c>
      <c r="B60" s="6611"/>
      <c r="C60" s="6611"/>
      <c r="D60" s="2359">
        <v>1</v>
      </c>
      <c r="E60" s="2359">
        <v>1</v>
      </c>
      <c r="F60" s="2563">
        <f>F32</f>
        <v>0</v>
      </c>
      <c r="G60" s="2563">
        <f t="shared" ref="G60:J60" si="37">G32</f>
        <v>0</v>
      </c>
      <c r="H60" s="2563">
        <f t="shared" si="37"/>
        <v>0</v>
      </c>
      <c r="I60" s="2563">
        <f t="shared" si="37"/>
        <v>0</v>
      </c>
      <c r="J60" s="2563">
        <f t="shared" si="37"/>
        <v>0</v>
      </c>
      <c r="K60" s="2361"/>
      <c r="L60" s="2377"/>
      <c r="N60" s="2362"/>
      <c r="O60" s="2150"/>
      <c r="P60" s="2150"/>
      <c r="Q60" s="2150"/>
      <c r="R60" s="2150"/>
      <c r="S60" s="2151"/>
      <c r="T60" s="2151"/>
    </row>
    <row r="61" spans="1:20" ht="15" customHeight="1" x14ac:dyDescent="0.35">
      <c r="A61" s="6608" t="s">
        <v>2104</v>
      </c>
      <c r="B61" s="6609"/>
      <c r="C61" s="6609"/>
      <c r="D61" s="2363"/>
      <c r="E61" s="2363"/>
      <c r="F61" s="2364">
        <v>0</v>
      </c>
      <c r="G61" s="1695">
        <f>F64+F61</f>
        <v>0</v>
      </c>
      <c r="H61" s="1695">
        <f t="shared" ref="H61:J61" si="38">G64+G61</f>
        <v>0</v>
      </c>
      <c r="I61" s="1695">
        <f t="shared" si="38"/>
        <v>0</v>
      </c>
      <c r="J61" s="2360">
        <f t="shared" si="38"/>
        <v>0</v>
      </c>
      <c r="K61" s="2365"/>
      <c r="L61" s="2378"/>
      <c r="N61" s="2362"/>
      <c r="O61" s="2150"/>
      <c r="P61" s="2150"/>
      <c r="Q61" s="2150"/>
      <c r="R61" s="2150"/>
      <c r="S61" s="2151"/>
      <c r="T61" s="2151"/>
    </row>
    <row r="62" spans="1:20" ht="15" customHeight="1" x14ac:dyDescent="0.35">
      <c r="A62" s="6608" t="s">
        <v>2105</v>
      </c>
      <c r="B62" s="6609"/>
      <c r="C62" s="6609"/>
      <c r="D62" s="2363"/>
      <c r="E62" s="2363"/>
      <c r="F62" s="1695"/>
      <c r="G62" s="1695">
        <f>G61*E60</f>
        <v>0</v>
      </c>
      <c r="H62" s="1695">
        <f>H61*E60</f>
        <v>0</v>
      </c>
      <c r="I62" s="1695">
        <f>I61*E60</f>
        <v>0</v>
      </c>
      <c r="J62" s="2360">
        <f>J61*E60</f>
        <v>0</v>
      </c>
      <c r="K62" s="2391"/>
      <c r="L62" s="2378"/>
      <c r="N62" s="2362"/>
      <c r="O62" s="2150"/>
      <c r="P62" s="2150"/>
      <c r="Q62" s="2150"/>
      <c r="R62" s="2150"/>
      <c r="S62" s="2151"/>
      <c r="T62" s="2151"/>
    </row>
    <row r="63" spans="1:20" ht="15" customHeight="1" x14ac:dyDescent="0.35">
      <c r="A63" s="6608" t="s">
        <v>2108</v>
      </c>
      <c r="B63" s="6609"/>
      <c r="C63" s="6609"/>
      <c r="D63" s="2363"/>
      <c r="E63" s="2363"/>
      <c r="F63" s="1695"/>
      <c r="G63" s="1695">
        <f>IF(G60-G62&lt;0,0,G60-G62)</f>
        <v>0</v>
      </c>
      <c r="H63" s="1695">
        <f t="shared" ref="H63:J63" si="39">IF(H60-H62&lt;0,0,H60-H62)</f>
        <v>0</v>
      </c>
      <c r="I63" s="1695">
        <f t="shared" si="39"/>
        <v>0</v>
      </c>
      <c r="J63" s="2360">
        <f t="shared" si="39"/>
        <v>0</v>
      </c>
      <c r="K63" s="2380"/>
      <c r="L63" s="2378"/>
      <c r="N63" s="2362"/>
      <c r="O63" s="2150"/>
      <c r="P63" s="2150"/>
      <c r="Q63" s="2150"/>
      <c r="R63" s="2150"/>
      <c r="S63" s="2151"/>
      <c r="T63" s="2151"/>
    </row>
    <row r="64" spans="1:20" ht="15" customHeight="1" x14ac:dyDescent="0.35">
      <c r="A64" s="6608" t="s">
        <v>2225</v>
      </c>
      <c r="B64" s="6609"/>
      <c r="C64" s="6609"/>
      <c r="D64" s="2363"/>
      <c r="E64" s="2363"/>
      <c r="F64" s="1695"/>
      <c r="G64" s="2167">
        <f>IF(G63/$D$60&lt;0,0,G63/$D$60)</f>
        <v>0</v>
      </c>
      <c r="H64" s="2167">
        <f t="shared" ref="H64:J64" si="40">IF(H63/$D$60&lt;0,0,H63/$D$60)</f>
        <v>0</v>
      </c>
      <c r="I64" s="2167">
        <f t="shared" si="40"/>
        <v>0</v>
      </c>
      <c r="J64" s="2331">
        <f t="shared" si="40"/>
        <v>0</v>
      </c>
      <c r="K64" s="2380"/>
      <c r="L64" s="2379"/>
      <c r="N64" s="2368"/>
      <c r="O64" s="2150"/>
      <c r="P64" s="2150"/>
      <c r="Q64" s="2150"/>
      <c r="R64" s="2150"/>
      <c r="S64" s="2151"/>
      <c r="T64" s="2151"/>
    </row>
    <row r="65" spans="1:20" ht="15" customHeight="1" x14ac:dyDescent="0.35">
      <c r="A65" s="6608" t="s">
        <v>2106</v>
      </c>
      <c r="B65" s="6609"/>
      <c r="C65" s="6609"/>
      <c r="D65" s="2369"/>
      <c r="E65" s="2369"/>
      <c r="F65" s="2167"/>
      <c r="G65" s="2176">
        <f>IFERROR((G63/$D$60)/(100%-G$102),0)</f>
        <v>0</v>
      </c>
      <c r="H65" s="2176">
        <f>IFERROR((H63/$D$60)/(100%-H$102),0)</f>
        <v>0</v>
      </c>
      <c r="I65" s="2176">
        <f>IFERROR((I63/$D$60)/(100%-I$102),0)</f>
        <v>0</v>
      </c>
      <c r="J65" s="2370">
        <f>IFERROR((J63/$D$60)/(100%-J$102),0)</f>
        <v>0</v>
      </c>
      <c r="K65" s="2380">
        <f>SUM(G65:J65)</f>
        <v>0</v>
      </c>
      <c r="L65" s="2379"/>
      <c r="N65" s="2368"/>
      <c r="O65" s="2150"/>
      <c r="P65" s="2150"/>
      <c r="Q65" s="2150"/>
      <c r="R65" s="2150"/>
      <c r="S65" s="2151"/>
      <c r="T65" s="2151"/>
    </row>
    <row r="66" spans="1:20" ht="15" customHeight="1" x14ac:dyDescent="0.35">
      <c r="A66" s="6608" t="s">
        <v>2107</v>
      </c>
      <c r="B66" s="6609"/>
      <c r="C66" s="6609"/>
      <c r="D66" s="2369"/>
      <c r="E66" s="2369"/>
      <c r="F66" s="2176">
        <f>F61+F65</f>
        <v>0</v>
      </c>
      <c r="G66" s="2176">
        <f>G61+G65</f>
        <v>0</v>
      </c>
      <c r="H66" s="2176">
        <f t="shared" ref="H66:J66" si="41">H61+H65</f>
        <v>0</v>
      </c>
      <c r="I66" s="2176">
        <f t="shared" si="41"/>
        <v>0</v>
      </c>
      <c r="J66" s="2370">
        <f t="shared" si="41"/>
        <v>0</v>
      </c>
      <c r="K66" s="2380"/>
      <c r="L66" s="2379">
        <f>J66</f>
        <v>0</v>
      </c>
      <c r="N66" s="2368"/>
      <c r="O66" s="2150"/>
      <c r="P66" s="2150"/>
      <c r="Q66" s="2150"/>
      <c r="R66" s="2150"/>
      <c r="S66" s="2151"/>
      <c r="T66" s="2151"/>
    </row>
    <row r="67" spans="1:20" ht="15" customHeight="1" x14ac:dyDescent="0.35">
      <c r="A67" s="6654"/>
      <c r="B67" s="6655"/>
      <c r="C67" s="6655"/>
      <c r="D67" s="6655"/>
      <c r="E67" s="6655"/>
      <c r="F67" s="6655"/>
      <c r="G67" s="6655"/>
      <c r="H67" s="6655"/>
      <c r="I67" s="6655"/>
      <c r="J67" s="6655"/>
      <c r="K67" s="2392"/>
      <c r="L67" s="2393"/>
      <c r="N67" s="2150"/>
      <c r="O67" s="2150"/>
      <c r="P67" s="1807"/>
      <c r="Q67" s="1807"/>
    </row>
    <row r="68" spans="1:20" ht="15" customHeight="1" x14ac:dyDescent="0.35">
      <c r="A68" s="6610" t="str">
        <f>A16</f>
        <v>Editeurs de solutions complémentaires</v>
      </c>
      <c r="B68" s="6611"/>
      <c r="C68" s="6611"/>
      <c r="D68" s="2359">
        <v>1</v>
      </c>
      <c r="E68" s="2359">
        <v>1</v>
      </c>
      <c r="F68" s="2563">
        <f>F33</f>
        <v>0</v>
      </c>
      <c r="G68" s="2563">
        <f t="shared" ref="G68:J68" si="42">G33</f>
        <v>0</v>
      </c>
      <c r="H68" s="2563">
        <f t="shared" si="42"/>
        <v>0</v>
      </c>
      <c r="I68" s="2563">
        <f t="shared" si="42"/>
        <v>0</v>
      </c>
      <c r="J68" s="2563">
        <f t="shared" si="42"/>
        <v>0</v>
      </c>
      <c r="K68" s="2392"/>
      <c r="L68" s="2377"/>
      <c r="N68" s="2362"/>
      <c r="O68" s="2150"/>
      <c r="P68" s="2150"/>
      <c r="Q68" s="2150"/>
      <c r="R68" s="2150"/>
      <c r="S68" s="2151"/>
      <c r="T68" s="2151"/>
    </row>
    <row r="69" spans="1:20" ht="15" customHeight="1" x14ac:dyDescent="0.35">
      <c r="A69" s="6608" t="s">
        <v>2104</v>
      </c>
      <c r="B69" s="6609"/>
      <c r="C69" s="6609"/>
      <c r="D69" s="2363"/>
      <c r="E69" s="2363"/>
      <c r="F69" s="2364">
        <v>0</v>
      </c>
      <c r="G69" s="1695">
        <f>F72+F69</f>
        <v>0</v>
      </c>
      <c r="H69" s="1695">
        <f t="shared" ref="H69:J69" si="43">G72+G69</f>
        <v>0</v>
      </c>
      <c r="I69" s="1695">
        <f t="shared" si="43"/>
        <v>0</v>
      </c>
      <c r="J69" s="2360">
        <f t="shared" si="43"/>
        <v>0</v>
      </c>
      <c r="K69" s="2391"/>
      <c r="L69" s="2378"/>
      <c r="N69" s="2362"/>
      <c r="O69" s="2150"/>
      <c r="P69" s="2150"/>
      <c r="Q69" s="2150"/>
      <c r="R69" s="2150"/>
      <c r="S69" s="2151"/>
      <c r="T69" s="2151"/>
    </row>
    <row r="70" spans="1:20" ht="15" customHeight="1" x14ac:dyDescent="0.35">
      <c r="A70" s="6608" t="s">
        <v>2105</v>
      </c>
      <c r="B70" s="6609"/>
      <c r="C70" s="6609"/>
      <c r="D70" s="2363"/>
      <c r="E70" s="2363"/>
      <c r="F70" s="1695"/>
      <c r="G70" s="1695">
        <f>G69*E68</f>
        <v>0</v>
      </c>
      <c r="H70" s="1695">
        <f>H69*E68</f>
        <v>0</v>
      </c>
      <c r="I70" s="1695">
        <f>I69*E68</f>
        <v>0</v>
      </c>
      <c r="J70" s="2360">
        <f>J69*E68</f>
        <v>0</v>
      </c>
      <c r="K70" s="2391"/>
      <c r="L70" s="2378"/>
      <c r="N70" s="2362"/>
      <c r="O70" s="2150"/>
      <c r="P70" s="2150"/>
      <c r="Q70" s="2150"/>
      <c r="R70" s="2150"/>
      <c r="S70" s="2151"/>
      <c r="T70" s="2151"/>
    </row>
    <row r="71" spans="1:20" ht="15" customHeight="1" x14ac:dyDescent="0.35">
      <c r="A71" s="6608" t="s">
        <v>2108</v>
      </c>
      <c r="B71" s="6609"/>
      <c r="C71" s="6609"/>
      <c r="D71" s="2363"/>
      <c r="E71" s="2363"/>
      <c r="F71" s="1695"/>
      <c r="G71" s="1695">
        <f>IF(G68-G70&lt;0,0,G68-G70)</f>
        <v>0</v>
      </c>
      <c r="H71" s="1695">
        <f>IF(H68-H70&lt;0,0,H68-H70)</f>
        <v>0</v>
      </c>
      <c r="I71" s="1695">
        <f t="shared" ref="I71" si="44">IF(I68-I70&lt;0,0,I68-I70)</f>
        <v>0</v>
      </c>
      <c r="J71" s="2360">
        <f t="shared" ref="J71" si="45">IF(J68-J70&lt;0,0,J68-J70)</f>
        <v>0</v>
      </c>
      <c r="K71" s="2366"/>
      <c r="L71" s="2378"/>
      <c r="N71" s="2362"/>
      <c r="O71" s="2150"/>
      <c r="P71" s="2150"/>
      <c r="Q71" s="2150"/>
      <c r="R71" s="2150"/>
      <c r="S71" s="2151"/>
      <c r="T71" s="2151"/>
    </row>
    <row r="72" spans="1:20" ht="15" customHeight="1" x14ac:dyDescent="0.35">
      <c r="A72" s="6608" t="s">
        <v>2225</v>
      </c>
      <c r="B72" s="6609"/>
      <c r="C72" s="6609"/>
      <c r="D72" s="2363"/>
      <c r="E72" s="2363"/>
      <c r="F72" s="1695"/>
      <c r="G72" s="2167">
        <f>IF(G71/$D$60&lt;0,0,G71/$D$60)</f>
        <v>0</v>
      </c>
      <c r="H72" s="2167">
        <f>IF(H71/$D$68&lt;0,0,H71/$D$68)</f>
        <v>0</v>
      </c>
      <c r="I72" s="2167">
        <f>IF(I71/$D$68&lt;0,0,I71/$D$68)</f>
        <v>0</v>
      </c>
      <c r="J72" s="2331">
        <f>IF(J71/$D$68&lt;0,0,J71/$D$68)</f>
        <v>0</v>
      </c>
      <c r="K72" s="2366"/>
      <c r="L72" s="2379"/>
      <c r="N72" s="2368"/>
      <c r="O72" s="2150"/>
      <c r="P72" s="2150"/>
      <c r="Q72" s="2150"/>
      <c r="R72" s="2150"/>
      <c r="S72" s="2151"/>
      <c r="T72" s="2151"/>
    </row>
    <row r="73" spans="1:20" ht="15" customHeight="1" x14ac:dyDescent="0.35">
      <c r="A73" s="6608" t="s">
        <v>2106</v>
      </c>
      <c r="B73" s="6609"/>
      <c r="C73" s="6609"/>
      <c r="D73" s="2369"/>
      <c r="E73" s="2369"/>
      <c r="F73" s="2167"/>
      <c r="G73" s="2176">
        <f>IFERROR((G71/$D$60)/(100%-G$102),0)</f>
        <v>0</v>
      </c>
      <c r="H73" s="2176">
        <f>IFERROR((H71/$D$60)/(100%-H$102),0)</f>
        <v>0</v>
      </c>
      <c r="I73" s="2176">
        <f>IFERROR((I71/$D$68)/(100%-I$102),0)</f>
        <v>0</v>
      </c>
      <c r="J73" s="2370">
        <f>IFERROR((J71/$D$68)/(100%-J$102),0)</f>
        <v>0</v>
      </c>
      <c r="K73" s="2366">
        <f>SUM(G73:J73)</f>
        <v>0</v>
      </c>
      <c r="L73" s="2379"/>
      <c r="N73" s="2368"/>
      <c r="O73" s="2150"/>
      <c r="P73" s="2150"/>
      <c r="Q73" s="2150"/>
      <c r="R73" s="2150"/>
      <c r="S73" s="2151"/>
      <c r="T73" s="2151"/>
    </row>
    <row r="74" spans="1:20" ht="15" customHeight="1" x14ac:dyDescent="0.35">
      <c r="A74" s="6608" t="s">
        <v>2107</v>
      </c>
      <c r="B74" s="6609"/>
      <c r="C74" s="6609"/>
      <c r="D74" s="2369"/>
      <c r="E74" s="2369"/>
      <c r="F74" s="2176">
        <f>F69+F73</f>
        <v>0</v>
      </c>
      <c r="G74" s="2176">
        <f>G69+G73</f>
        <v>0</v>
      </c>
      <c r="H74" s="2176">
        <f t="shared" ref="H74" si="46">H69+H73</f>
        <v>0</v>
      </c>
      <c r="I74" s="2176">
        <f t="shared" ref="I74" si="47">I69+I73</f>
        <v>0</v>
      </c>
      <c r="J74" s="2370">
        <f t="shared" ref="J74" si="48">J69+J73</f>
        <v>0</v>
      </c>
      <c r="K74" s="2366"/>
      <c r="L74" s="2379">
        <f>J74</f>
        <v>0</v>
      </c>
      <c r="N74" s="2368"/>
      <c r="O74" s="2150"/>
      <c r="P74" s="2150"/>
      <c r="Q74" s="2150"/>
      <c r="R74" s="2150"/>
      <c r="S74" s="2151"/>
      <c r="T74" s="2151"/>
    </row>
    <row r="75" spans="1:20" ht="15" customHeight="1" x14ac:dyDescent="0.35">
      <c r="A75" s="6618"/>
      <c r="B75" s="6619"/>
      <c r="C75" s="6619"/>
      <c r="D75" s="6619"/>
      <c r="E75" s="6619"/>
      <c r="F75" s="6619"/>
      <c r="G75" s="6619"/>
      <c r="H75" s="6619"/>
      <c r="I75" s="6619"/>
      <c r="J75" s="6619"/>
      <c r="K75" s="2380"/>
      <c r="L75" s="2379"/>
      <c r="N75" s="2368"/>
      <c r="O75" s="2150"/>
      <c r="P75" s="2150"/>
      <c r="Q75" s="2150"/>
      <c r="R75" s="2150"/>
      <c r="S75" s="2151"/>
      <c r="T75" s="2151"/>
    </row>
    <row r="76" spans="1:20" ht="15" customHeight="1" x14ac:dyDescent="0.35">
      <c r="A76" s="6610" t="str">
        <f>A17</f>
        <v>Cabinets de conseil / Consultants</v>
      </c>
      <c r="B76" s="6611"/>
      <c r="C76" s="6611"/>
      <c r="D76" s="2359">
        <v>1</v>
      </c>
      <c r="E76" s="2359">
        <v>2</v>
      </c>
      <c r="F76" s="2563">
        <f>F34</f>
        <v>0</v>
      </c>
      <c r="G76" s="2563">
        <f t="shared" ref="G76:J76" si="49">G34</f>
        <v>0</v>
      </c>
      <c r="H76" s="2563">
        <f t="shared" si="49"/>
        <v>0</v>
      </c>
      <c r="I76" s="2563">
        <f t="shared" si="49"/>
        <v>0</v>
      </c>
      <c r="J76" s="2563">
        <f t="shared" si="49"/>
        <v>0</v>
      </c>
      <c r="K76" s="2361"/>
      <c r="L76" s="2377"/>
      <c r="N76" s="2362"/>
      <c r="O76" s="2150"/>
      <c r="P76" s="2150"/>
      <c r="Q76" s="2150"/>
      <c r="R76" s="2150"/>
      <c r="S76" s="2151"/>
      <c r="T76" s="2151"/>
    </row>
    <row r="77" spans="1:20" ht="15" customHeight="1" x14ac:dyDescent="0.35">
      <c r="A77" s="6608" t="s">
        <v>2104</v>
      </c>
      <c r="B77" s="6609"/>
      <c r="C77" s="6609"/>
      <c r="D77" s="2363"/>
      <c r="E77" s="2363"/>
      <c r="F77" s="2364">
        <v>0</v>
      </c>
      <c r="G77" s="1695">
        <f>F80+F77</f>
        <v>0</v>
      </c>
      <c r="H77" s="1695">
        <f>G80+G77</f>
        <v>0</v>
      </c>
      <c r="I77" s="1695">
        <f>H80+H77</f>
        <v>0</v>
      </c>
      <c r="J77" s="2360">
        <f t="shared" ref="J77" si="50">I80+I77</f>
        <v>0</v>
      </c>
      <c r="K77" s="2365"/>
      <c r="L77" s="2378"/>
      <c r="N77" s="2362"/>
      <c r="O77" s="2150"/>
      <c r="P77" s="2150"/>
      <c r="Q77" s="2150"/>
      <c r="R77" s="2150"/>
      <c r="S77" s="2151"/>
      <c r="T77" s="2151"/>
    </row>
    <row r="78" spans="1:20" ht="15" customHeight="1" x14ac:dyDescent="0.35">
      <c r="A78" s="6608" t="s">
        <v>2105</v>
      </c>
      <c r="B78" s="6609"/>
      <c r="C78" s="6609"/>
      <c r="D78" s="2363"/>
      <c r="E78" s="2363"/>
      <c r="F78" s="1695"/>
      <c r="G78" s="1695">
        <f>G77*E76</f>
        <v>0</v>
      </c>
      <c r="H78" s="1695">
        <f>H77*E76</f>
        <v>0</v>
      </c>
      <c r="I78" s="1695">
        <f>I77*E76</f>
        <v>0</v>
      </c>
      <c r="J78" s="2360">
        <f>J77*$E$76</f>
        <v>0</v>
      </c>
      <c r="K78" s="2365"/>
      <c r="L78" s="2378"/>
      <c r="N78" s="2362"/>
      <c r="O78" s="2150"/>
      <c r="P78" s="2150"/>
      <c r="Q78" s="2150"/>
      <c r="R78" s="2150"/>
      <c r="S78" s="2151"/>
      <c r="T78" s="2151"/>
    </row>
    <row r="79" spans="1:20" ht="15" customHeight="1" x14ac:dyDescent="0.35">
      <c r="A79" s="6608" t="s">
        <v>2108</v>
      </c>
      <c r="B79" s="6609"/>
      <c r="C79" s="6609"/>
      <c r="D79" s="2363"/>
      <c r="E79" s="2363"/>
      <c r="F79" s="1695"/>
      <c r="G79" s="1695">
        <f>IF(G76-G78&lt;0,0,G76-G78)</f>
        <v>0</v>
      </c>
      <c r="H79" s="1695">
        <f t="shared" ref="H79:J79" si="51">IF(H76-H78&lt;0,0,H76-H78)</f>
        <v>0</v>
      </c>
      <c r="I79" s="1695">
        <f t="shared" si="51"/>
        <v>0</v>
      </c>
      <c r="J79" s="2360">
        <f t="shared" si="51"/>
        <v>0</v>
      </c>
      <c r="K79" s="2366"/>
      <c r="L79" s="2378"/>
      <c r="N79" s="2362"/>
      <c r="O79" s="2150"/>
      <c r="P79" s="2150"/>
      <c r="Q79" s="2150"/>
      <c r="R79" s="2150"/>
      <c r="S79" s="2151"/>
      <c r="T79" s="2151"/>
    </row>
    <row r="80" spans="1:20" ht="15" customHeight="1" x14ac:dyDescent="0.35">
      <c r="A80" s="6608" t="s">
        <v>2225</v>
      </c>
      <c r="B80" s="6609"/>
      <c r="C80" s="6609"/>
      <c r="D80" s="2363"/>
      <c r="E80" s="2363"/>
      <c r="F80" s="1695"/>
      <c r="G80" s="2167">
        <f>IF(G79/$D$76&lt;0,0,G79/$D$76)</f>
        <v>0</v>
      </c>
      <c r="H80" s="2167">
        <f t="shared" ref="H80:J80" si="52">IF(H79/$D$76&lt;0,0,H79/$D$76)</f>
        <v>0</v>
      </c>
      <c r="I80" s="2167">
        <f t="shared" si="52"/>
        <v>0</v>
      </c>
      <c r="J80" s="2331">
        <f t="shared" si="52"/>
        <v>0</v>
      </c>
      <c r="K80" s="2366"/>
      <c r="L80" s="2379"/>
      <c r="N80" s="2368"/>
      <c r="O80" s="2150"/>
      <c r="P80" s="2150"/>
      <c r="Q80" s="2150"/>
      <c r="R80" s="2150"/>
      <c r="S80" s="2151"/>
      <c r="T80" s="2151"/>
    </row>
    <row r="81" spans="1:20" ht="15" customHeight="1" x14ac:dyDescent="0.35">
      <c r="A81" s="6608" t="s">
        <v>2106</v>
      </c>
      <c r="B81" s="6609"/>
      <c r="C81" s="6609"/>
      <c r="D81" s="2369"/>
      <c r="E81" s="2369"/>
      <c r="F81" s="2167"/>
      <c r="G81" s="2176">
        <f>IFERROR((G79/$D$76)/(100%-G$102),0)</f>
        <v>0</v>
      </c>
      <c r="H81" s="2176">
        <f>IFERROR((H79/$D$76)/(100%-H$102),0)</f>
        <v>0</v>
      </c>
      <c r="I81" s="2176">
        <f>IFERROR((I79/$D$76)/(100%-I$102),0)</f>
        <v>0</v>
      </c>
      <c r="J81" s="2370">
        <f>IFERROR((J79/$D$76)/(100%-J$102),0)</f>
        <v>0</v>
      </c>
      <c r="K81" s="2366">
        <f>SUM(G81:J81)</f>
        <v>0</v>
      </c>
      <c r="L81" s="2379"/>
      <c r="N81" s="2368"/>
      <c r="O81" s="2150"/>
      <c r="P81" s="2150"/>
      <c r="Q81" s="2150"/>
      <c r="R81" s="2150"/>
      <c r="S81" s="2151"/>
      <c r="T81" s="2151"/>
    </row>
    <row r="82" spans="1:20" ht="15" customHeight="1" x14ac:dyDescent="0.35">
      <c r="A82" s="6608" t="s">
        <v>2107</v>
      </c>
      <c r="B82" s="6609"/>
      <c r="C82" s="6609"/>
      <c r="D82" s="2369"/>
      <c r="E82" s="2369"/>
      <c r="F82" s="2176">
        <f>F77+F81</f>
        <v>0</v>
      </c>
      <c r="G82" s="2176">
        <f>G77+G81</f>
        <v>0</v>
      </c>
      <c r="H82" s="2176">
        <f t="shared" ref="H82:J82" si="53">H77+H81</f>
        <v>0</v>
      </c>
      <c r="I82" s="2176">
        <f t="shared" si="53"/>
        <v>0</v>
      </c>
      <c r="J82" s="2370">
        <f t="shared" si="53"/>
        <v>0</v>
      </c>
      <c r="K82" s="2366"/>
      <c r="L82" s="2379">
        <f>J82</f>
        <v>0</v>
      </c>
      <c r="N82" s="2368"/>
      <c r="O82" s="2150"/>
      <c r="P82" s="2150"/>
      <c r="Q82" s="2150"/>
      <c r="R82" s="2150"/>
      <c r="S82" s="2151"/>
      <c r="T82" s="2151"/>
    </row>
    <row r="83" spans="1:20" ht="15" customHeight="1" x14ac:dyDescent="0.35">
      <c r="A83" s="6618"/>
      <c r="B83" s="6619"/>
      <c r="C83" s="6620"/>
      <c r="D83" s="6606"/>
      <c r="E83" s="6607"/>
      <c r="F83" s="6607"/>
      <c r="G83" s="6607"/>
      <c r="H83" s="6607"/>
      <c r="I83" s="6607"/>
      <c r="J83" s="6607"/>
      <c r="K83" s="2380"/>
      <c r="L83" s="2379"/>
      <c r="N83" s="2368"/>
      <c r="O83" s="2150"/>
      <c r="P83" s="2150"/>
      <c r="Q83" s="2150"/>
      <c r="R83" s="2150"/>
      <c r="S83" s="2151"/>
      <c r="T83" s="2151"/>
    </row>
    <row r="84" spans="1:20" ht="15" customHeight="1" x14ac:dyDescent="0.35">
      <c r="A84" s="6610" t="str">
        <f>A18</f>
        <v xml:space="preserve">Hébergeurs </v>
      </c>
      <c r="B84" s="6611"/>
      <c r="C84" s="6611"/>
      <c r="D84" s="2359">
        <v>1</v>
      </c>
      <c r="E84" s="2359">
        <v>2</v>
      </c>
      <c r="F84" s="2563">
        <f>F35</f>
        <v>0</v>
      </c>
      <c r="G84" s="2563">
        <f t="shared" ref="G84:J84" si="54">G35</f>
        <v>0</v>
      </c>
      <c r="H84" s="2563">
        <f t="shared" si="54"/>
        <v>0</v>
      </c>
      <c r="I84" s="2563">
        <f t="shared" si="54"/>
        <v>0</v>
      </c>
      <c r="J84" s="2563">
        <f t="shared" si="54"/>
        <v>0</v>
      </c>
      <c r="K84" s="2361"/>
      <c r="L84" s="2377"/>
      <c r="N84" s="2362"/>
      <c r="O84" s="2150"/>
      <c r="P84" s="2150"/>
      <c r="Q84" s="2150"/>
      <c r="R84" s="2150"/>
      <c r="S84" s="2151"/>
      <c r="T84" s="2151"/>
    </row>
    <row r="85" spans="1:20" ht="15" customHeight="1" x14ac:dyDescent="0.35">
      <c r="A85" s="6608" t="s">
        <v>2104</v>
      </c>
      <c r="B85" s="6609"/>
      <c r="C85" s="6609"/>
      <c r="D85" s="2363"/>
      <c r="E85" s="2363"/>
      <c r="F85" s="2364">
        <v>0</v>
      </c>
      <c r="G85" s="1695">
        <f>F88+F85</f>
        <v>0</v>
      </c>
      <c r="H85" s="1695">
        <f t="shared" ref="H85:J85" si="55">G88+G85</f>
        <v>0</v>
      </c>
      <c r="I85" s="1695">
        <f t="shared" si="55"/>
        <v>0</v>
      </c>
      <c r="J85" s="2360">
        <f t="shared" si="55"/>
        <v>0</v>
      </c>
      <c r="K85" s="2365"/>
      <c r="L85" s="2378"/>
      <c r="N85" s="2362"/>
      <c r="O85" s="2150"/>
      <c r="P85" s="2150"/>
      <c r="Q85" s="2150"/>
      <c r="R85" s="2150"/>
      <c r="S85" s="2151"/>
      <c r="T85" s="2151"/>
    </row>
    <row r="86" spans="1:20" ht="15" customHeight="1" x14ac:dyDescent="0.35">
      <c r="A86" s="6608" t="s">
        <v>2105</v>
      </c>
      <c r="B86" s="6609"/>
      <c r="C86" s="6609"/>
      <c r="D86" s="2363"/>
      <c r="E86" s="2363"/>
      <c r="F86" s="1695"/>
      <c r="G86" s="1695">
        <f>G85*E84</f>
        <v>0</v>
      </c>
      <c r="H86" s="1695">
        <f>H85*E84</f>
        <v>0</v>
      </c>
      <c r="I86" s="1695">
        <f>I85*E84</f>
        <v>0</v>
      </c>
      <c r="J86" s="2360">
        <f>J85*E84</f>
        <v>0</v>
      </c>
      <c r="K86" s="2365"/>
      <c r="L86" s="2378"/>
      <c r="N86" s="2362"/>
      <c r="O86" s="2150"/>
      <c r="P86" s="2150"/>
      <c r="Q86" s="2150"/>
      <c r="R86" s="2150"/>
      <c r="S86" s="2151"/>
      <c r="T86" s="2151"/>
    </row>
    <row r="87" spans="1:20" ht="15" customHeight="1" x14ac:dyDescent="0.35">
      <c r="A87" s="6608" t="s">
        <v>2108</v>
      </c>
      <c r="B87" s="6609"/>
      <c r="C87" s="6609"/>
      <c r="D87" s="2363"/>
      <c r="E87" s="2363"/>
      <c r="F87" s="1695"/>
      <c r="G87" s="1695">
        <f>IF(G84-G86&lt;0,0,G84-G86)</f>
        <v>0</v>
      </c>
      <c r="H87" s="1695">
        <f t="shared" ref="H87:J87" si="56">IF(H84-H86&lt;0,0,H84-H86)</f>
        <v>0</v>
      </c>
      <c r="I87" s="1695">
        <f t="shared" si="56"/>
        <v>0</v>
      </c>
      <c r="J87" s="2360">
        <f t="shared" si="56"/>
        <v>0</v>
      </c>
      <c r="K87" s="2366"/>
      <c r="L87" s="2378"/>
      <c r="N87" s="2362"/>
      <c r="O87" s="2150"/>
      <c r="P87" s="2150"/>
      <c r="Q87" s="2150"/>
      <c r="R87" s="2150"/>
      <c r="S87" s="2151"/>
      <c r="T87" s="2151"/>
    </row>
    <row r="88" spans="1:20" ht="15" customHeight="1" x14ac:dyDescent="0.35">
      <c r="A88" s="6608" t="s">
        <v>2225</v>
      </c>
      <c r="B88" s="6609"/>
      <c r="C88" s="6609"/>
      <c r="D88" s="2363"/>
      <c r="E88" s="2363"/>
      <c r="F88" s="1695"/>
      <c r="G88" s="2167">
        <f>IF(G87/$D$84&lt;0,0,G87/$D$84)</f>
        <v>0</v>
      </c>
      <c r="H88" s="2167">
        <f t="shared" ref="H88:J88" si="57">IF(H87/$D$84&lt;0,0,H87/$D$84)</f>
        <v>0</v>
      </c>
      <c r="I88" s="2167">
        <f t="shared" si="57"/>
        <v>0</v>
      </c>
      <c r="J88" s="2331">
        <f t="shared" si="57"/>
        <v>0</v>
      </c>
      <c r="K88" s="2366"/>
      <c r="L88" s="2379"/>
      <c r="N88" s="2368"/>
      <c r="O88" s="2150"/>
      <c r="P88" s="2150"/>
      <c r="Q88" s="2150"/>
      <c r="R88" s="2150"/>
      <c r="S88" s="2151"/>
      <c r="T88" s="2151"/>
    </row>
    <row r="89" spans="1:20" ht="15" customHeight="1" x14ac:dyDescent="0.35">
      <c r="A89" s="6608" t="s">
        <v>2106</v>
      </c>
      <c r="B89" s="6609"/>
      <c r="C89" s="6609"/>
      <c r="D89" s="2369"/>
      <c r="E89" s="2369"/>
      <c r="F89" s="2167"/>
      <c r="G89" s="2176">
        <f>IFERROR((G87/$D$84)/(100%-G$102),0)</f>
        <v>0</v>
      </c>
      <c r="H89" s="2176">
        <f>IFERROR((H87/$D$84)/(100%-H$102),0)</f>
        <v>0</v>
      </c>
      <c r="I89" s="2176">
        <f>IFERROR((I87/$D$84)/(100%-I$102),0)</f>
        <v>0</v>
      </c>
      <c r="J89" s="2370">
        <f>IFERROR((J87/$D$84)/(100%-J$102),0)</f>
        <v>0</v>
      </c>
      <c r="K89" s="2366">
        <f>SUM(G89:J89)</f>
        <v>0</v>
      </c>
      <c r="L89" s="2379"/>
      <c r="N89" s="2368"/>
      <c r="O89" s="2150"/>
      <c r="P89" s="2150"/>
      <c r="Q89" s="2150"/>
      <c r="R89" s="2150"/>
      <c r="S89" s="2151"/>
      <c r="T89" s="2151"/>
    </row>
    <row r="90" spans="1:20" ht="15" customHeight="1" x14ac:dyDescent="0.35">
      <c r="A90" s="6608" t="s">
        <v>2107</v>
      </c>
      <c r="B90" s="6609"/>
      <c r="C90" s="6609"/>
      <c r="D90" s="2369"/>
      <c r="E90" s="2369"/>
      <c r="F90" s="2176">
        <f>F85+F89</f>
        <v>0</v>
      </c>
      <c r="G90" s="2176">
        <f>G85+G89</f>
        <v>0</v>
      </c>
      <c r="H90" s="2176">
        <f t="shared" ref="H90:J90" si="58">H85+H89</f>
        <v>0</v>
      </c>
      <c r="I90" s="2176">
        <f t="shared" si="58"/>
        <v>0</v>
      </c>
      <c r="J90" s="2370">
        <f t="shared" si="58"/>
        <v>0</v>
      </c>
      <c r="K90" s="2366"/>
      <c r="L90" s="2379">
        <f>J90</f>
        <v>0</v>
      </c>
      <c r="N90" s="2368"/>
      <c r="O90" s="2150"/>
      <c r="P90" s="2150"/>
      <c r="Q90" s="2150"/>
      <c r="R90" s="2150"/>
      <c r="S90" s="2151"/>
      <c r="T90" s="2151"/>
    </row>
    <row r="91" spans="1:20" ht="15" customHeight="1" x14ac:dyDescent="0.35">
      <c r="A91" s="6618"/>
      <c r="B91" s="6619"/>
      <c r="C91" s="6620"/>
      <c r="D91" s="2369"/>
      <c r="E91" s="2369"/>
      <c r="F91" s="2176"/>
      <c r="G91" s="2176"/>
      <c r="H91" s="2176"/>
      <c r="I91" s="2176"/>
      <c r="J91" s="2370"/>
      <c r="K91" s="2380"/>
      <c r="L91" s="2379"/>
      <c r="N91" s="2368"/>
      <c r="O91" s="2150"/>
      <c r="P91" s="2150"/>
      <c r="Q91" s="2150"/>
      <c r="R91" s="2150"/>
      <c r="S91" s="2151"/>
      <c r="T91" s="2151"/>
    </row>
    <row r="92" spans="1:20" ht="15" customHeight="1" x14ac:dyDescent="0.35">
      <c r="A92" s="6610" t="str">
        <f>A19</f>
        <v>Agrégateurs</v>
      </c>
      <c r="B92" s="6611"/>
      <c r="C92" s="6611"/>
      <c r="D92" s="2359">
        <v>5</v>
      </c>
      <c r="E92" s="2359">
        <v>1</v>
      </c>
      <c r="F92" s="2563">
        <f>F36</f>
        <v>0</v>
      </c>
      <c r="G92" s="2563">
        <f t="shared" ref="G92:J92" si="59">G36</f>
        <v>0</v>
      </c>
      <c r="H92" s="2563">
        <f t="shared" si="59"/>
        <v>0</v>
      </c>
      <c r="I92" s="2563">
        <f t="shared" si="59"/>
        <v>0</v>
      </c>
      <c r="J92" s="2563">
        <f t="shared" si="59"/>
        <v>0</v>
      </c>
      <c r="K92" s="2361"/>
      <c r="L92" s="2377"/>
      <c r="N92" s="2362"/>
      <c r="O92" s="2150"/>
      <c r="P92" s="2150"/>
      <c r="Q92" s="2150"/>
      <c r="R92" s="2150"/>
      <c r="S92" s="2151"/>
      <c r="T92" s="2151"/>
    </row>
    <row r="93" spans="1:20" ht="15" customHeight="1" x14ac:dyDescent="0.35">
      <c r="A93" s="6608" t="s">
        <v>2104</v>
      </c>
      <c r="B93" s="6609"/>
      <c r="C93" s="6609"/>
      <c r="D93" s="2363"/>
      <c r="E93" s="2363"/>
      <c r="F93" s="2364">
        <v>0</v>
      </c>
      <c r="G93" s="1695">
        <f>F96+F93</f>
        <v>0</v>
      </c>
      <c r="H93" s="1695">
        <f t="shared" ref="H93:J93" si="60">G96+G93</f>
        <v>0</v>
      </c>
      <c r="I93" s="1695">
        <f t="shared" si="60"/>
        <v>0</v>
      </c>
      <c r="J93" s="2360">
        <f t="shared" si="60"/>
        <v>0</v>
      </c>
      <c r="K93" s="2365"/>
      <c r="L93" s="2378"/>
      <c r="N93" s="2362"/>
      <c r="O93" s="2150"/>
      <c r="P93" s="2150"/>
      <c r="Q93" s="2150"/>
      <c r="R93" s="2150"/>
      <c r="S93" s="2151"/>
      <c r="T93" s="2151"/>
    </row>
    <row r="94" spans="1:20" ht="15" customHeight="1" x14ac:dyDescent="0.35">
      <c r="A94" s="6608" t="s">
        <v>2105</v>
      </c>
      <c r="B94" s="6609"/>
      <c r="C94" s="6609"/>
      <c r="D94" s="2363"/>
      <c r="E94" s="2363"/>
      <c r="F94" s="1695"/>
      <c r="G94" s="1695">
        <f>G93*E92</f>
        <v>0</v>
      </c>
      <c r="H94" s="1695">
        <f>H93*E92</f>
        <v>0</v>
      </c>
      <c r="I94" s="1695">
        <f>I93*E92</f>
        <v>0</v>
      </c>
      <c r="J94" s="2360">
        <f>J93*E92</f>
        <v>0</v>
      </c>
      <c r="K94" s="2365"/>
      <c r="L94" s="2378"/>
      <c r="N94" s="2362"/>
      <c r="O94" s="2150"/>
      <c r="P94" s="2150"/>
      <c r="Q94" s="2150"/>
      <c r="R94" s="2150"/>
      <c r="S94" s="2151"/>
      <c r="T94" s="2151"/>
    </row>
    <row r="95" spans="1:20" ht="15" customHeight="1" x14ac:dyDescent="0.35">
      <c r="A95" s="6608" t="s">
        <v>2108</v>
      </c>
      <c r="B95" s="6609"/>
      <c r="C95" s="6609"/>
      <c r="D95" s="2363"/>
      <c r="E95" s="2363"/>
      <c r="F95" s="1695"/>
      <c r="G95" s="1695">
        <f>IF(G92-G94&lt;0,0,G92-G94)</f>
        <v>0</v>
      </c>
      <c r="H95" s="1695">
        <f t="shared" ref="H95:J95" si="61">IF(H92-H94&lt;0,0,H92-H94)</f>
        <v>0</v>
      </c>
      <c r="I95" s="1695">
        <f t="shared" si="61"/>
        <v>0</v>
      </c>
      <c r="J95" s="2360">
        <f t="shared" si="61"/>
        <v>0</v>
      </c>
      <c r="K95" s="2366"/>
      <c r="L95" s="2378"/>
      <c r="N95" s="2362"/>
      <c r="O95" s="2150"/>
      <c r="P95" s="2150"/>
      <c r="Q95" s="2150"/>
      <c r="R95" s="2150"/>
      <c r="S95" s="2151"/>
      <c r="T95" s="2151"/>
    </row>
    <row r="96" spans="1:20" ht="15" customHeight="1" x14ac:dyDescent="0.35">
      <c r="A96" s="6608" t="s">
        <v>2225</v>
      </c>
      <c r="B96" s="6609"/>
      <c r="C96" s="6609"/>
      <c r="D96" s="2363"/>
      <c r="E96" s="2363"/>
      <c r="F96" s="1695"/>
      <c r="G96" s="2167">
        <f>IF(G95/$D$92&lt;0,0,G95/$D$92)</f>
        <v>0</v>
      </c>
      <c r="H96" s="2167">
        <f>IF(H95/$D$92&lt;0,0,H95/$D$92)</f>
        <v>0</v>
      </c>
      <c r="I96" s="2167">
        <f>IF(I95/$D$92&lt;0,0,I95/$D$92)</f>
        <v>0</v>
      </c>
      <c r="J96" s="2331">
        <f>IF(J95/$D$92&lt;0,0,J95/$D$92)</f>
        <v>0</v>
      </c>
      <c r="K96" s="2366"/>
      <c r="L96" s="2379"/>
      <c r="N96" s="2368"/>
      <c r="O96" s="2150"/>
      <c r="P96" s="2150"/>
      <c r="Q96" s="2150"/>
      <c r="R96" s="2150"/>
      <c r="S96" s="2151"/>
      <c r="T96" s="2151"/>
    </row>
    <row r="97" spans="1:21" ht="15" customHeight="1" x14ac:dyDescent="0.35">
      <c r="A97" s="6608" t="s">
        <v>2106</v>
      </c>
      <c r="B97" s="6609"/>
      <c r="C97" s="6609"/>
      <c r="D97" s="2369"/>
      <c r="E97" s="2369"/>
      <c r="F97" s="2167"/>
      <c r="G97" s="2176">
        <f>IFERROR((G95/$D$92)/(100%-G$102),0)</f>
        <v>0</v>
      </c>
      <c r="H97" s="2176">
        <f>IFERROR((H95/$D$92)/(100%-H$102),0)</f>
        <v>0</v>
      </c>
      <c r="I97" s="2176">
        <f>IFERROR((I95/$D$92)/(100%-I$102),0)</f>
        <v>0</v>
      </c>
      <c r="J97" s="2370">
        <f>IFERROR((J95/$D$92)/(100%-J$102),0)</f>
        <v>0</v>
      </c>
      <c r="K97" s="2366">
        <f>SUM(G97:J97)</f>
        <v>0</v>
      </c>
      <c r="L97" s="2379"/>
      <c r="N97" s="2368"/>
      <c r="O97" s="2150"/>
      <c r="P97" s="2150"/>
      <c r="Q97" s="2150"/>
      <c r="R97" s="2150"/>
      <c r="S97" s="2151"/>
      <c r="T97" s="2151"/>
    </row>
    <row r="98" spans="1:21" ht="15" customHeight="1" x14ac:dyDescent="0.35">
      <c r="A98" s="6608" t="s">
        <v>2107</v>
      </c>
      <c r="B98" s="6609"/>
      <c r="C98" s="6609"/>
      <c r="D98" s="2369"/>
      <c r="E98" s="2369"/>
      <c r="F98" s="2176">
        <f>F93+F97</f>
        <v>0</v>
      </c>
      <c r="G98" s="2176">
        <f>G93+G97</f>
        <v>0</v>
      </c>
      <c r="H98" s="2176">
        <f t="shared" ref="H98" si="62">H93+H97</f>
        <v>0</v>
      </c>
      <c r="I98" s="2176">
        <f t="shared" ref="I98" si="63">I93+I97</f>
        <v>0</v>
      </c>
      <c r="J98" s="2370">
        <f t="shared" ref="J98" si="64">J93+J97</f>
        <v>0</v>
      </c>
      <c r="K98" s="2366"/>
      <c r="L98" s="2379">
        <f>J98</f>
        <v>0</v>
      </c>
      <c r="N98" s="2368"/>
      <c r="O98" s="2150"/>
      <c r="P98" s="2150"/>
      <c r="Q98" s="2150"/>
      <c r="R98" s="2150"/>
      <c r="S98" s="2151"/>
      <c r="T98" s="2151"/>
    </row>
    <row r="99" spans="1:21" ht="15.75" customHeight="1" thickBot="1" x14ac:dyDescent="0.4">
      <c r="A99" s="6630"/>
      <c r="B99" s="6631"/>
      <c r="C99" s="6631"/>
      <c r="D99" s="6631"/>
      <c r="E99" s="6631"/>
      <c r="F99" s="6631"/>
      <c r="G99" s="6631"/>
      <c r="H99" s="6631"/>
      <c r="I99" s="6631"/>
      <c r="J99" s="6632"/>
      <c r="K99" s="2388"/>
      <c r="L99" s="2378"/>
      <c r="N99" s="2368"/>
      <c r="O99" s="2150"/>
      <c r="P99" s="2150"/>
      <c r="Q99" s="1807"/>
    </row>
    <row r="100" spans="1:21" ht="15" customHeight="1" thickTop="1" thickBot="1" x14ac:dyDescent="0.4">
      <c r="A100" s="2177"/>
      <c r="B100" s="6647" t="s">
        <v>1990</v>
      </c>
      <c r="C100" s="6647"/>
      <c r="D100" s="6647"/>
      <c r="E100" s="6647"/>
      <c r="F100" s="6647"/>
      <c r="G100" s="2381">
        <f>G41+G49+G57+G65+G73+G81+G89+G97</f>
        <v>0</v>
      </c>
      <c r="H100" s="2381">
        <f>H41+H49+H57+H65+H73+H81+H89+H97</f>
        <v>0</v>
      </c>
      <c r="I100" s="2381">
        <f>I41+I49+I57+I65+I73+I81+I89+I97</f>
        <v>0</v>
      </c>
      <c r="J100" s="2386">
        <f>J41+J49+J57+J65+J73+J81+J89+J97</f>
        <v>0</v>
      </c>
      <c r="K100" s="2490">
        <f>SUM(K44:K99)</f>
        <v>0</v>
      </c>
      <c r="L100" s="2491">
        <f>SUM(L44:L99)</f>
        <v>0</v>
      </c>
      <c r="N100" s="2368"/>
      <c r="O100" s="2150"/>
      <c r="P100" s="2150"/>
      <c r="Q100" s="1807"/>
    </row>
    <row r="101" spans="1:21" ht="15" hidden="1" customHeight="1" thickBot="1" x14ac:dyDescent="0.4">
      <c r="A101" s="6648" t="s">
        <v>2102</v>
      </c>
      <c r="B101" s="6649"/>
      <c r="C101" s="6649"/>
      <c r="D101" s="6649"/>
      <c r="E101" s="6649"/>
      <c r="F101" s="6650"/>
      <c r="G101" s="2382">
        <f>H100+G100</f>
        <v>0</v>
      </c>
      <c r="H101" s="2382">
        <f>I100</f>
        <v>0</v>
      </c>
      <c r="I101" s="2387">
        <f>J100</f>
        <v>0</v>
      </c>
      <c r="J101" s="2452">
        <v>0</v>
      </c>
      <c r="K101" s="2395"/>
      <c r="L101" s="2458">
        <f>J101</f>
        <v>0</v>
      </c>
      <c r="N101" s="2368"/>
      <c r="O101" s="2150"/>
      <c r="P101" s="2150"/>
      <c r="Q101" s="1807"/>
    </row>
    <row r="102" spans="1:21" ht="15" customHeight="1" thickBot="1" x14ac:dyDescent="0.4">
      <c r="A102" s="2329"/>
      <c r="B102" s="2330"/>
      <c r="C102" s="2330"/>
      <c r="D102" s="2330"/>
      <c r="E102" s="2330"/>
      <c r="F102" s="2444" t="s">
        <v>1991</v>
      </c>
      <c r="G102" s="2497">
        <v>0.2</v>
      </c>
      <c r="H102" s="2498">
        <v>0.2</v>
      </c>
      <c r="I102" s="2498">
        <v>0.2</v>
      </c>
      <c r="J102" s="2499">
        <v>0.2</v>
      </c>
      <c r="K102" s="2394"/>
      <c r="L102" s="2379"/>
      <c r="N102" s="2368"/>
      <c r="O102" s="2150"/>
      <c r="P102" s="2150"/>
      <c r="Q102" s="1807"/>
    </row>
    <row r="103" spans="1:21" ht="22.5" customHeight="1" thickTop="1" thickBot="1" x14ac:dyDescent="0.5">
      <c r="A103" s="6642" t="s">
        <v>2101</v>
      </c>
      <c r="B103" s="6643"/>
      <c r="C103" s="6643"/>
      <c r="D103" s="6643"/>
      <c r="E103" s="6643"/>
      <c r="F103" s="6643" t="s">
        <v>1872</v>
      </c>
      <c r="G103" s="2453">
        <f>G100</f>
        <v>0</v>
      </c>
      <c r="H103" s="2453">
        <f t="shared" ref="H103:J103" si="65">H100</f>
        <v>0</v>
      </c>
      <c r="I103" s="2453">
        <f t="shared" si="65"/>
        <v>0</v>
      </c>
      <c r="J103" s="2453">
        <f t="shared" si="65"/>
        <v>0</v>
      </c>
      <c r="K103" s="2389">
        <f>SUM(G103:J103)</f>
        <v>0</v>
      </c>
      <c r="L103" s="2383"/>
      <c r="N103" s="2368"/>
      <c r="O103" s="2150"/>
      <c r="P103" s="2150"/>
      <c r="Q103" s="1807"/>
    </row>
    <row r="104" spans="1:21" s="1749" customFormat="1" ht="25.5" customHeight="1" thickBot="1" x14ac:dyDescent="0.4">
      <c r="A104" s="6644" t="s">
        <v>2089</v>
      </c>
      <c r="B104" s="6645"/>
      <c r="C104" s="6645"/>
      <c r="D104" s="6645"/>
      <c r="E104" s="6645"/>
      <c r="F104" s="6646" t="s">
        <v>1872</v>
      </c>
      <c r="G104" s="2384">
        <f>G93+G85+G77+G69+G61+G53+G45</f>
        <v>0</v>
      </c>
      <c r="H104" s="2384">
        <f>H93+H85+H77+H69+H61+H53+H45</f>
        <v>0</v>
      </c>
      <c r="I104" s="2384">
        <f>I93+I85+I77+I69+I61+I53+I45</f>
        <v>0</v>
      </c>
      <c r="J104" s="2384">
        <f>J93+J85+J77+J69+J61+J53+J45</f>
        <v>0</v>
      </c>
      <c r="K104" s="2390"/>
      <c r="L104" s="2385">
        <f>L100+J101</f>
        <v>0</v>
      </c>
      <c r="M104" s="1808"/>
      <c r="N104" s="2368"/>
      <c r="O104" s="2150"/>
      <c r="P104" s="2150"/>
      <c r="Q104" s="1748"/>
      <c r="R104" s="1808"/>
      <c r="S104" s="1808"/>
      <c r="T104" s="1808"/>
    </row>
    <row r="105" spans="1:21" s="1749" customFormat="1" ht="25.5" customHeight="1" thickTop="1" thickBot="1" x14ac:dyDescent="0.4">
      <c r="A105" s="6644" t="s">
        <v>2113</v>
      </c>
      <c r="B105" s="6645"/>
      <c r="C105" s="6645"/>
      <c r="D105" s="6645"/>
      <c r="E105" s="6645"/>
      <c r="F105" s="6646" t="s">
        <v>1872</v>
      </c>
      <c r="G105" s="2384">
        <f>G104+G103</f>
        <v>0</v>
      </c>
      <c r="H105" s="2384">
        <f t="shared" ref="H105:J105" si="66">H104+H103</f>
        <v>0</v>
      </c>
      <c r="I105" s="2384">
        <f t="shared" si="66"/>
        <v>0</v>
      </c>
      <c r="J105" s="2384">
        <f t="shared" si="66"/>
        <v>0</v>
      </c>
      <c r="K105" s="2390"/>
      <c r="L105" s="2385">
        <f>L101+J102</f>
        <v>0.2</v>
      </c>
      <c r="M105" s="1808"/>
      <c r="N105" s="2368"/>
      <c r="O105" s="2150"/>
      <c r="P105" s="2150"/>
      <c r="Q105" s="1748"/>
      <c r="R105" s="1808"/>
      <c r="S105" s="1808"/>
      <c r="T105" s="1808"/>
    </row>
    <row r="106" spans="1:21" s="1749" customFormat="1" ht="22.5" customHeight="1" thickTop="1" thickBot="1" x14ac:dyDescent="0.4">
      <c r="A106" s="1748"/>
      <c r="B106" s="1748"/>
      <c r="C106" s="1748"/>
      <c r="D106" s="1748"/>
      <c r="E106" s="1748"/>
      <c r="F106" s="1748"/>
      <c r="G106" s="1748"/>
      <c r="H106" s="1748"/>
      <c r="I106" s="1748"/>
      <c r="J106" s="1748"/>
      <c r="K106" s="1748"/>
      <c r="L106" s="1751"/>
      <c r="M106" s="1808"/>
      <c r="N106" s="2368"/>
      <c r="O106" s="2150"/>
      <c r="P106" s="2150"/>
      <c r="Q106" s="1748"/>
      <c r="R106" s="1808"/>
      <c r="S106" s="1808"/>
      <c r="T106" s="1808"/>
    </row>
    <row r="107" spans="1:21" s="1727" customFormat="1" ht="25.5" customHeight="1" thickTop="1" x14ac:dyDescent="0.35">
      <c r="A107" s="2325" t="s">
        <v>10</v>
      </c>
      <c r="B107" s="2326"/>
      <c r="C107" s="2326"/>
      <c r="D107" s="2326"/>
      <c r="E107" s="2326"/>
      <c r="F107" s="2326"/>
      <c r="G107" s="2326"/>
      <c r="H107" s="2326"/>
      <c r="I107" s="2326"/>
      <c r="J107" s="2326"/>
      <c r="K107" s="2327"/>
      <c r="L107" s="1785"/>
      <c r="M107" s="1787"/>
      <c r="N107" s="2368"/>
      <c r="O107" s="2150"/>
      <c r="P107" s="2150"/>
      <c r="Q107" s="1726"/>
      <c r="R107" s="1808"/>
      <c r="S107" s="1808"/>
      <c r="T107" s="1808"/>
      <c r="U107" s="1726"/>
    </row>
    <row r="108" spans="1:21" s="1727" customFormat="1" ht="20.25" customHeight="1" x14ac:dyDescent="0.35">
      <c r="A108" s="6633" t="s">
        <v>1907</v>
      </c>
      <c r="B108" s="6634"/>
      <c r="C108" s="6634"/>
      <c r="D108" s="6634"/>
      <c r="E108" s="6634"/>
      <c r="F108" s="6634"/>
      <c r="G108" s="6634"/>
      <c r="H108" s="6634"/>
      <c r="I108" s="6634"/>
      <c r="J108" s="6634"/>
      <c r="K108" s="6635"/>
      <c r="L108" s="1786"/>
      <c r="M108" s="1787"/>
      <c r="N108" s="2368"/>
      <c r="O108" s="2150"/>
      <c r="P108" s="2150"/>
      <c r="Q108" s="1726"/>
      <c r="R108" s="1808"/>
      <c r="S108" s="1808"/>
      <c r="T108" s="1808"/>
      <c r="U108" s="1726"/>
    </row>
    <row r="109" spans="1:21" s="1727" customFormat="1" ht="20.25" customHeight="1" x14ac:dyDescent="0.35">
      <c r="A109" s="6633"/>
      <c r="B109" s="6634"/>
      <c r="C109" s="6634"/>
      <c r="D109" s="6634"/>
      <c r="E109" s="6634"/>
      <c r="F109" s="6634"/>
      <c r="G109" s="6634"/>
      <c r="H109" s="6634"/>
      <c r="I109" s="6634"/>
      <c r="J109" s="6634"/>
      <c r="K109" s="6635"/>
      <c r="L109" s="1786"/>
      <c r="M109" s="1787"/>
      <c r="N109" s="2368"/>
      <c r="O109" s="2150"/>
      <c r="P109" s="2150"/>
      <c r="Q109" s="1726"/>
      <c r="R109" s="1726"/>
      <c r="S109" s="1726"/>
      <c r="T109" s="1726"/>
      <c r="U109" s="1726"/>
    </row>
    <row r="110" spans="1:21" s="1727" customFormat="1" ht="20.25" customHeight="1" x14ac:dyDescent="0.35">
      <c r="A110" s="6633"/>
      <c r="B110" s="6634"/>
      <c r="C110" s="6634"/>
      <c r="D110" s="6634"/>
      <c r="E110" s="6634"/>
      <c r="F110" s="6634"/>
      <c r="G110" s="6634"/>
      <c r="H110" s="6634"/>
      <c r="I110" s="6634"/>
      <c r="J110" s="6634"/>
      <c r="K110" s="6635"/>
      <c r="L110" s="1786"/>
      <c r="M110" s="1787"/>
      <c r="P110" s="1786"/>
      <c r="Q110" s="1726"/>
      <c r="R110" s="1726"/>
      <c r="S110" s="1726"/>
      <c r="T110" s="1726"/>
      <c r="U110" s="1726"/>
    </row>
    <row r="111" spans="1:21" s="1727" customFormat="1" ht="20.25" customHeight="1" x14ac:dyDescent="0.35">
      <c r="A111" s="6633"/>
      <c r="B111" s="6634"/>
      <c r="C111" s="6634"/>
      <c r="D111" s="6634"/>
      <c r="E111" s="6634"/>
      <c r="F111" s="6634"/>
      <c r="G111" s="6634"/>
      <c r="H111" s="6634"/>
      <c r="I111" s="6634"/>
      <c r="J111" s="6634"/>
      <c r="K111" s="6635"/>
      <c r="L111" s="1786"/>
      <c r="M111" s="1787"/>
      <c r="P111" s="1786"/>
      <c r="Q111" s="1726"/>
      <c r="R111" s="1726"/>
      <c r="S111" s="1726"/>
      <c r="T111" s="1726"/>
      <c r="U111" s="1726"/>
    </row>
    <row r="112" spans="1:21" s="1727" customFormat="1" ht="20.25" customHeight="1" thickBot="1" x14ac:dyDescent="0.4">
      <c r="A112" s="6636"/>
      <c r="B112" s="6637"/>
      <c r="C112" s="6637"/>
      <c r="D112" s="6637"/>
      <c r="E112" s="6637"/>
      <c r="F112" s="6637"/>
      <c r="G112" s="6637"/>
      <c r="H112" s="6637"/>
      <c r="I112" s="6637"/>
      <c r="J112" s="6637"/>
      <c r="K112" s="6638"/>
      <c r="L112" s="1786"/>
      <c r="M112" s="1787"/>
      <c r="P112" s="1786"/>
      <c r="Q112" s="1726"/>
      <c r="R112" s="1726"/>
      <c r="S112" s="1726"/>
      <c r="T112" s="1726"/>
      <c r="U112" s="1726"/>
    </row>
    <row r="113" spans="1:21" s="1727" customFormat="1" ht="20.25" customHeight="1" thickTop="1" thickBot="1" x14ac:dyDescent="0.4">
      <c r="A113" s="1726"/>
      <c r="B113" s="1726"/>
      <c r="C113" s="1726"/>
      <c r="D113" s="1726"/>
      <c r="E113" s="1726"/>
      <c r="F113" s="1726"/>
      <c r="G113" s="1726"/>
      <c r="H113" s="1726"/>
      <c r="I113" s="1726"/>
      <c r="J113" s="1726"/>
      <c r="K113" s="1726"/>
      <c r="L113" s="1726"/>
      <c r="M113" s="1787"/>
      <c r="N113" s="1787"/>
      <c r="O113" s="1787"/>
      <c r="P113" s="1726"/>
      <c r="Q113" s="1726"/>
      <c r="R113" s="1726"/>
      <c r="S113" s="1726"/>
      <c r="T113" s="1726"/>
      <c r="U113" s="1726"/>
    </row>
    <row r="114" spans="1:21" s="1727" customFormat="1" ht="20.25" customHeight="1" thickTop="1" thickBot="1" x14ac:dyDescent="0.4">
      <c r="A114" s="6639" t="s">
        <v>11</v>
      </c>
      <c r="B114" s="6640"/>
      <c r="C114" s="6640"/>
      <c r="D114" s="6640"/>
      <c r="E114" s="6640"/>
      <c r="F114" s="6640"/>
      <c r="G114" s="6640"/>
      <c r="H114" s="6640"/>
      <c r="I114" s="6640"/>
      <c r="J114" s="6640"/>
      <c r="K114" s="6641"/>
      <c r="L114" s="1785"/>
      <c r="M114" s="1788"/>
      <c r="N114" s="1788"/>
      <c r="O114" s="1788"/>
      <c r="P114" s="1785"/>
      <c r="Q114" s="1726"/>
      <c r="R114" s="1726"/>
      <c r="S114" s="1726"/>
      <c r="T114" s="1726"/>
      <c r="U114" s="1726"/>
    </row>
    <row r="115" spans="1:21" s="1727" customFormat="1" ht="20.25" customHeight="1" thickBot="1" x14ac:dyDescent="0.4">
      <c r="A115" s="6633" t="s">
        <v>1909</v>
      </c>
      <c r="B115" s="6634"/>
      <c r="C115" s="6634"/>
      <c r="D115" s="6634"/>
      <c r="E115" s="6634"/>
      <c r="F115" s="6634"/>
      <c r="G115" s="6634"/>
      <c r="H115" s="6634"/>
      <c r="I115" s="6634"/>
      <c r="J115" s="6634"/>
      <c r="K115" s="6635"/>
      <c r="L115" s="1786"/>
      <c r="M115" s="6651" t="s">
        <v>748</v>
      </c>
      <c r="N115" s="6652"/>
      <c r="O115" s="6653"/>
      <c r="P115" s="1786"/>
      <c r="Q115" s="1726"/>
      <c r="R115" s="1726"/>
      <c r="S115" s="1726"/>
      <c r="T115" s="1726"/>
      <c r="U115" s="1726"/>
    </row>
    <row r="116" spans="1:21" s="1727" customFormat="1" ht="20.25" customHeight="1" x14ac:dyDescent="0.35">
      <c r="A116" s="6633"/>
      <c r="B116" s="6634"/>
      <c r="C116" s="6634"/>
      <c r="D116" s="6634"/>
      <c r="E116" s="6634"/>
      <c r="F116" s="6634"/>
      <c r="G116" s="6634"/>
      <c r="H116" s="6634"/>
      <c r="I116" s="6634"/>
      <c r="J116" s="6634"/>
      <c r="K116" s="6635"/>
      <c r="L116" s="1786"/>
      <c r="M116" s="6587" t="s">
        <v>1260</v>
      </c>
      <c r="N116" s="6628"/>
      <c r="O116" s="6589"/>
      <c r="P116" s="1786"/>
      <c r="Q116" s="1726"/>
      <c r="R116" s="1726"/>
      <c r="S116" s="1726"/>
      <c r="T116" s="1726"/>
      <c r="U116" s="1726"/>
    </row>
    <row r="117" spans="1:21" s="1727" customFormat="1" ht="20.25" customHeight="1" x14ac:dyDescent="0.35">
      <c r="A117" s="6633"/>
      <c r="B117" s="6634"/>
      <c r="C117" s="6634"/>
      <c r="D117" s="6634"/>
      <c r="E117" s="6634"/>
      <c r="F117" s="6634"/>
      <c r="G117" s="6634"/>
      <c r="H117" s="6634"/>
      <c r="I117" s="6634"/>
      <c r="J117" s="6634"/>
      <c r="K117" s="6635"/>
      <c r="L117" s="1786"/>
      <c r="M117" s="6590"/>
      <c r="N117" s="6591"/>
      <c r="O117" s="6592"/>
      <c r="P117" s="1786"/>
      <c r="Q117" s="1726"/>
      <c r="R117" s="1726"/>
      <c r="S117" s="1726"/>
      <c r="T117" s="1726"/>
      <c r="U117" s="1726"/>
    </row>
    <row r="118" spans="1:21" s="1727" customFormat="1" ht="20.25" customHeight="1" x14ac:dyDescent="0.35">
      <c r="A118" s="6633"/>
      <c r="B118" s="6634"/>
      <c r="C118" s="6634"/>
      <c r="D118" s="6634"/>
      <c r="E118" s="6634"/>
      <c r="F118" s="6634"/>
      <c r="G118" s="6634"/>
      <c r="H118" s="6634"/>
      <c r="I118" s="6634"/>
      <c r="J118" s="6634"/>
      <c r="K118" s="6635"/>
      <c r="L118" s="1786"/>
      <c r="M118" s="6590"/>
      <c r="N118" s="6591"/>
      <c r="O118" s="6592"/>
      <c r="P118" s="1786"/>
      <c r="Q118" s="1726"/>
      <c r="R118" s="1726"/>
      <c r="S118" s="1726"/>
      <c r="T118" s="1726"/>
      <c r="U118" s="1726"/>
    </row>
    <row r="119" spans="1:21" s="1727" customFormat="1" ht="14.5" x14ac:dyDescent="0.35">
      <c r="A119" s="6633"/>
      <c r="B119" s="6634"/>
      <c r="C119" s="6634"/>
      <c r="D119" s="6634"/>
      <c r="E119" s="6634"/>
      <c r="F119" s="6634"/>
      <c r="G119" s="6634"/>
      <c r="H119" s="6634"/>
      <c r="I119" s="6634"/>
      <c r="J119" s="6634"/>
      <c r="K119" s="6635"/>
      <c r="L119" s="1786"/>
      <c r="M119" s="6590"/>
      <c r="N119" s="6591"/>
      <c r="O119" s="6592"/>
      <c r="P119" s="1786"/>
      <c r="Q119" s="1726"/>
      <c r="R119" s="1726"/>
      <c r="S119" s="1726"/>
      <c r="T119" s="1726"/>
      <c r="U119" s="1726"/>
    </row>
    <row r="120" spans="1:21" s="1727" customFormat="1" ht="15" thickBot="1" x14ac:dyDescent="0.4">
      <c r="A120" s="6636"/>
      <c r="B120" s="6637"/>
      <c r="C120" s="6637"/>
      <c r="D120" s="6637"/>
      <c r="E120" s="6637"/>
      <c r="F120" s="6637"/>
      <c r="G120" s="6637"/>
      <c r="H120" s="6637"/>
      <c r="I120" s="6637"/>
      <c r="J120" s="6637"/>
      <c r="K120" s="6638"/>
      <c r="L120" s="1726"/>
      <c r="M120" s="6629"/>
      <c r="N120" s="6594"/>
      <c r="O120" s="6595"/>
      <c r="P120" s="1726"/>
      <c r="Q120" s="1726"/>
      <c r="R120" s="1726"/>
      <c r="S120" s="1726"/>
      <c r="T120" s="1726"/>
      <c r="U120" s="1726"/>
    </row>
    <row r="121" spans="1:21" s="1727" customFormat="1" ht="15" thickTop="1" x14ac:dyDescent="0.35">
      <c r="A121" s="1726"/>
      <c r="B121" s="1726"/>
      <c r="C121" s="1726"/>
      <c r="D121" s="1726"/>
      <c r="E121" s="1726"/>
      <c r="F121" s="1726"/>
      <c r="G121" s="1726"/>
      <c r="H121" s="1726"/>
      <c r="I121" s="1726"/>
      <c r="J121" s="1726"/>
      <c r="K121" s="1726"/>
      <c r="L121" s="1726"/>
      <c r="M121" s="1726"/>
      <c r="N121" s="1726"/>
      <c r="O121" s="1726"/>
      <c r="P121" s="1726"/>
      <c r="Q121" s="1726"/>
      <c r="R121" s="1726"/>
    </row>
    <row r="122" spans="1:21" x14ac:dyDescent="0.3">
      <c r="A122" s="1807"/>
      <c r="B122" s="1807"/>
      <c r="C122" s="1807"/>
      <c r="D122" s="1807"/>
      <c r="E122" s="1807"/>
      <c r="F122" s="1807"/>
      <c r="G122" s="1807"/>
      <c r="H122" s="1807"/>
      <c r="I122" s="1807"/>
      <c r="J122" s="1807"/>
      <c r="K122" s="1807"/>
      <c r="L122" s="1807"/>
      <c r="M122" s="1807"/>
      <c r="N122" s="1807"/>
      <c r="O122" s="1807"/>
      <c r="P122" s="1807"/>
      <c r="Q122" s="1807"/>
      <c r="R122" s="1807"/>
    </row>
    <row r="123" spans="1:21" x14ac:dyDescent="0.3">
      <c r="A123" s="1807"/>
      <c r="B123" s="1807"/>
      <c r="C123" s="1807"/>
      <c r="D123" s="1807"/>
      <c r="E123" s="1807"/>
      <c r="F123" s="1807"/>
      <c r="G123" s="1807"/>
      <c r="H123" s="1807"/>
      <c r="I123" s="1807"/>
      <c r="J123" s="1807"/>
      <c r="K123" s="1807"/>
      <c r="L123" s="1807"/>
      <c r="M123" s="1807"/>
      <c r="N123" s="1807"/>
      <c r="O123" s="1807"/>
      <c r="P123" s="1807"/>
      <c r="Q123" s="1807"/>
      <c r="R123" s="1807"/>
    </row>
    <row r="124" spans="1:21" x14ac:dyDescent="0.3">
      <c r="A124" s="1807"/>
      <c r="B124" s="1807"/>
      <c r="C124" s="1807"/>
      <c r="D124" s="1807"/>
      <c r="E124" s="1807"/>
      <c r="F124" s="1807"/>
      <c r="G124" s="1807"/>
      <c r="H124" s="1807"/>
      <c r="I124" s="1807"/>
      <c r="J124" s="1807"/>
      <c r="K124" s="1807"/>
      <c r="L124" s="1807"/>
      <c r="M124" s="1807"/>
      <c r="N124" s="1807"/>
      <c r="O124" s="1807"/>
      <c r="P124" s="1807"/>
      <c r="Q124" s="1807"/>
      <c r="R124" s="1807"/>
    </row>
    <row r="125" spans="1:21" x14ac:dyDescent="0.3">
      <c r="A125" s="1807"/>
      <c r="B125" s="1807"/>
      <c r="C125" s="1807"/>
      <c r="D125" s="1807"/>
      <c r="E125" s="1807"/>
      <c r="F125" s="1807"/>
      <c r="G125" s="1807"/>
      <c r="H125" s="1807"/>
      <c r="I125" s="1807"/>
      <c r="J125" s="1807"/>
      <c r="K125" s="1807"/>
      <c r="L125" s="1807"/>
      <c r="M125" s="1807"/>
      <c r="N125" s="1807"/>
      <c r="O125" s="1807"/>
      <c r="P125" s="1807"/>
      <c r="Q125" s="1807"/>
      <c r="R125" s="1807"/>
    </row>
    <row r="126" spans="1:21" s="1832" customFormat="1" ht="35.25" hidden="1" customHeight="1" thickBot="1" x14ac:dyDescent="0.4">
      <c r="A126" s="1831"/>
      <c r="B126" s="1831"/>
      <c r="C126" s="1831"/>
      <c r="D126" s="1831"/>
      <c r="E126" s="6623" t="s">
        <v>1531</v>
      </c>
      <c r="F126" s="6624"/>
      <c r="G126" s="6624"/>
      <c r="H126" s="6624"/>
      <c r="I126" s="6624"/>
      <c r="J126" s="6624"/>
      <c r="K126" s="6624"/>
      <c r="L126" s="6625"/>
      <c r="M126" s="1831"/>
      <c r="N126" s="1831"/>
      <c r="O126" s="1831"/>
      <c r="P126" s="1831"/>
      <c r="Q126" s="1831"/>
      <c r="R126" s="1831"/>
    </row>
    <row r="127" spans="1:21" ht="14" hidden="1" thickTop="1" thickBot="1" x14ac:dyDescent="0.35">
      <c r="A127" s="1807"/>
      <c r="B127" s="1807"/>
      <c r="C127" s="1807"/>
      <c r="D127" s="1807"/>
      <c r="E127" s="1880"/>
      <c r="F127" s="1864"/>
      <c r="G127" s="1864"/>
      <c r="H127" s="1864"/>
      <c r="I127" s="1864"/>
      <c r="J127" s="1864"/>
      <c r="K127" s="1864"/>
      <c r="L127" s="1865"/>
      <c r="M127" s="1807"/>
      <c r="N127" s="1807"/>
      <c r="O127" s="1807"/>
      <c r="P127" s="1807"/>
      <c r="Q127" s="1807"/>
      <c r="R127" s="1807"/>
    </row>
    <row r="128" spans="1:21" ht="13.5" hidden="1" thickBot="1" x14ac:dyDescent="0.35">
      <c r="A128" s="1833"/>
      <c r="B128" s="1807"/>
      <c r="C128" s="1807"/>
      <c r="D128" s="1807"/>
      <c r="E128" s="1881" t="s">
        <v>779</v>
      </c>
      <c r="F128" s="1834"/>
      <c r="G128" s="1835"/>
      <c r="H128" s="1835"/>
      <c r="I128" s="1836">
        <f>G6</f>
        <v>2018</v>
      </c>
      <c r="J128" s="1836">
        <f>H6</f>
        <v>2019</v>
      </c>
      <c r="K128" s="1836">
        <f>I6</f>
        <v>2020</v>
      </c>
      <c r="L128" s="1882">
        <f>J6</f>
        <v>2021</v>
      </c>
      <c r="M128" s="1807"/>
      <c r="N128" s="1807"/>
      <c r="O128" s="1807"/>
      <c r="P128" s="1807"/>
      <c r="Q128" s="1807"/>
      <c r="R128" s="1807"/>
    </row>
    <row r="129" spans="1:18" ht="15" hidden="1" thickBot="1" x14ac:dyDescent="0.4">
      <c r="A129" s="1807"/>
      <c r="B129" s="1807"/>
      <c r="C129" s="1807"/>
      <c r="D129" s="1807"/>
      <c r="E129" s="1869"/>
      <c r="F129" s="1835"/>
      <c r="G129" s="1835"/>
      <c r="H129" s="1835"/>
      <c r="I129" s="1696" t="e">
        <f>G22</f>
        <v>#REF!</v>
      </c>
      <c r="J129" s="1696" t="e">
        <f>H22</f>
        <v>#REF!</v>
      </c>
      <c r="K129" s="1696" t="e">
        <f>I22</f>
        <v>#REF!</v>
      </c>
      <c r="L129" s="1883" t="e">
        <f>J22</f>
        <v>#REF!</v>
      </c>
      <c r="M129" s="1807"/>
      <c r="N129" s="1807"/>
      <c r="O129" s="1807"/>
      <c r="P129" s="1807"/>
      <c r="Q129" s="1807"/>
      <c r="R129" s="1807"/>
    </row>
    <row r="130" spans="1:18" hidden="1" x14ac:dyDescent="0.3">
      <c r="A130" s="1807"/>
      <c r="B130" s="1807"/>
      <c r="C130" s="1807"/>
      <c r="D130" s="1807"/>
      <c r="E130" s="1869"/>
      <c r="F130" s="1835"/>
      <c r="G130" s="1835"/>
      <c r="H130" s="1835"/>
      <c r="I130" s="1835"/>
      <c r="J130" s="1835"/>
      <c r="K130" s="1835"/>
      <c r="L130" s="1866"/>
      <c r="M130" s="1807"/>
      <c r="N130" s="1807"/>
      <c r="O130" s="1807"/>
      <c r="P130" s="1807"/>
      <c r="Q130" s="1807"/>
      <c r="R130" s="1807"/>
    </row>
    <row r="131" spans="1:18" ht="13.5" hidden="1" thickBot="1" x14ac:dyDescent="0.35">
      <c r="A131" s="1838"/>
      <c r="B131" s="1807"/>
      <c r="C131" s="1807"/>
      <c r="D131" s="1807"/>
      <c r="E131" s="1876"/>
      <c r="F131" s="1867"/>
      <c r="G131" s="1867"/>
      <c r="H131" s="1867"/>
      <c r="I131" s="1867"/>
      <c r="J131" s="1867"/>
      <c r="K131" s="1867"/>
      <c r="L131" s="1868"/>
      <c r="M131" s="1807"/>
      <c r="N131" s="1807"/>
      <c r="O131" s="1807"/>
      <c r="P131" s="1807"/>
      <c r="Q131" s="1807"/>
      <c r="R131" s="1807"/>
    </row>
    <row r="132" spans="1:18" ht="13.5" hidden="1" thickTop="1" x14ac:dyDescent="0.3">
      <c r="A132" s="1807"/>
      <c r="B132" s="1807"/>
      <c r="C132" s="1807"/>
      <c r="D132" s="1807"/>
      <c r="E132" s="1879" t="s">
        <v>1653</v>
      </c>
      <c r="F132" s="1863"/>
      <c r="G132" s="1864"/>
      <c r="H132" s="1860" t="s">
        <v>1654</v>
      </c>
      <c r="I132" s="1864"/>
      <c r="J132" s="1864"/>
      <c r="K132" s="1864"/>
      <c r="L132" s="1865"/>
      <c r="M132" s="1807"/>
      <c r="N132" s="1807"/>
      <c r="O132" s="1807"/>
      <c r="P132" s="1807"/>
      <c r="Q132" s="1807"/>
      <c r="R132" s="1807"/>
    </row>
    <row r="133" spans="1:18" hidden="1" x14ac:dyDescent="0.3">
      <c r="A133" s="1807"/>
      <c r="B133" s="1807"/>
      <c r="C133" s="1807"/>
      <c r="D133" s="1807"/>
      <c r="E133" s="6626">
        <f>A43</f>
        <v>0</v>
      </c>
      <c r="F133" s="6627"/>
      <c r="G133" s="1835">
        <f>C43</f>
        <v>0</v>
      </c>
      <c r="H133" s="1861">
        <f t="shared" ref="H133:I138" si="67">D29</f>
        <v>0</v>
      </c>
      <c r="I133" s="1835">
        <f t="shared" si="67"/>
        <v>0</v>
      </c>
      <c r="J133" s="1835"/>
      <c r="K133" s="1835"/>
      <c r="L133" s="1866"/>
      <c r="M133" s="1807"/>
      <c r="N133" s="1807"/>
      <c r="O133" s="1807"/>
      <c r="P133" s="1807"/>
      <c r="Q133" s="1807"/>
      <c r="R133" s="1807"/>
    </row>
    <row r="134" spans="1:18" hidden="1" x14ac:dyDescent="0.3">
      <c r="A134" s="1807"/>
      <c r="B134" s="1807"/>
      <c r="C134" s="1807"/>
      <c r="D134" s="1807"/>
      <c r="E134" s="6626" t="str">
        <f>A52</f>
        <v>ESN ( SS2I )</v>
      </c>
      <c r="F134" s="6627">
        <f>B52</f>
        <v>0</v>
      </c>
      <c r="G134" s="1835">
        <f>C52</f>
        <v>0</v>
      </c>
      <c r="H134" s="1861">
        <f t="shared" si="67"/>
        <v>4</v>
      </c>
      <c r="I134" s="1835">
        <f t="shared" si="67"/>
        <v>0</v>
      </c>
      <c r="J134" s="1835"/>
      <c r="K134" s="1835"/>
      <c r="L134" s="1866"/>
      <c r="M134" s="1807"/>
      <c r="N134" s="1807"/>
      <c r="O134" s="1807"/>
      <c r="P134" s="1807"/>
      <c r="Q134" s="1807"/>
      <c r="R134" s="1807"/>
    </row>
    <row r="135" spans="1:18" hidden="1" x14ac:dyDescent="0.3">
      <c r="A135" s="1807"/>
      <c r="B135" s="1807"/>
      <c r="C135" s="1807"/>
      <c r="D135" s="1807"/>
      <c r="E135" s="6626" t="str">
        <f>A57</f>
        <v>- #  new partenaires à recruter avec churn</v>
      </c>
      <c r="F135" s="6627">
        <f>B57</f>
        <v>0</v>
      </c>
      <c r="G135" s="1835">
        <f>C57</f>
        <v>0</v>
      </c>
      <c r="H135" s="1861">
        <f t="shared" si="67"/>
        <v>6</v>
      </c>
      <c r="I135" s="1835">
        <f t="shared" si="67"/>
        <v>0</v>
      </c>
      <c r="J135" s="1835"/>
      <c r="K135" s="1835"/>
      <c r="L135" s="1866"/>
      <c r="M135" s="1807"/>
      <c r="N135" s="1807"/>
      <c r="O135" s="1807"/>
      <c r="P135" s="1807"/>
      <c r="Q135" s="1807"/>
      <c r="R135" s="1807"/>
    </row>
    <row r="136" spans="1:18" hidden="1" x14ac:dyDescent="0.3">
      <c r="A136" s="1807"/>
      <c r="B136" s="1807"/>
      <c r="C136" s="1807"/>
      <c r="D136" s="1807"/>
      <c r="E136" s="6626" t="str">
        <f>A63</f>
        <v>- # new clients justifiant des new partenaires</v>
      </c>
      <c r="F136" s="6627">
        <f>B63</f>
        <v>0</v>
      </c>
      <c r="G136" s="1835">
        <f>C63</f>
        <v>0</v>
      </c>
      <c r="H136" s="1861">
        <f t="shared" si="67"/>
        <v>0</v>
      </c>
      <c r="I136" s="1835">
        <f t="shared" si="67"/>
        <v>0</v>
      </c>
      <c r="J136" s="1835"/>
      <c r="K136" s="1835"/>
      <c r="L136" s="1866"/>
      <c r="M136" s="1807"/>
      <c r="N136" s="1807"/>
      <c r="O136" s="1807"/>
      <c r="P136" s="1807"/>
      <c r="Q136" s="1807"/>
      <c r="R136" s="1807"/>
    </row>
    <row r="137" spans="1:18" hidden="1" x14ac:dyDescent="0.3">
      <c r="A137" s="1807"/>
      <c r="B137" s="1807"/>
      <c r="C137" s="1807"/>
      <c r="D137" s="1807"/>
      <c r="E137" s="6626" t="str">
        <f>A92</f>
        <v>Agrégateurs</v>
      </c>
      <c r="F137" s="6627">
        <f>B92</f>
        <v>0</v>
      </c>
      <c r="G137" s="1835">
        <f>C92</f>
        <v>0</v>
      </c>
      <c r="H137" s="1861">
        <f t="shared" si="67"/>
        <v>0</v>
      </c>
      <c r="I137" s="1835">
        <f t="shared" si="67"/>
        <v>0</v>
      </c>
      <c r="J137" s="1835"/>
      <c r="K137" s="1835"/>
      <c r="L137" s="1866"/>
      <c r="M137" s="1807"/>
      <c r="N137" s="1807"/>
      <c r="O137" s="1807"/>
      <c r="P137" s="1807"/>
      <c r="Q137" s="1807"/>
      <c r="R137" s="1807"/>
    </row>
    <row r="138" spans="1:18" ht="13.5" hidden="1" thickBot="1" x14ac:dyDescent="0.35">
      <c r="A138" s="1807"/>
      <c r="B138" s="1807"/>
      <c r="C138" s="1807"/>
      <c r="D138" s="1807"/>
      <c r="E138" s="6621" t="str">
        <f>A96</f>
        <v xml:space="preserve">- Besoins de new partenaires à recruter </v>
      </c>
      <c r="F138" s="6622">
        <f>B96</f>
        <v>0</v>
      </c>
      <c r="G138" s="1867"/>
      <c r="H138" s="1862">
        <f t="shared" si="67"/>
        <v>0</v>
      </c>
      <c r="I138" s="1867">
        <f t="shared" si="67"/>
        <v>0</v>
      </c>
      <c r="J138" s="1867"/>
      <c r="K138" s="1867"/>
      <c r="L138" s="1868"/>
      <c r="M138" s="1807"/>
      <c r="N138" s="1807"/>
      <c r="O138" s="1807"/>
      <c r="P138" s="1807"/>
      <c r="Q138" s="1807"/>
      <c r="R138" s="1807"/>
    </row>
    <row r="139" spans="1:18" ht="14" hidden="1" thickTop="1" thickBot="1" x14ac:dyDescent="0.35">
      <c r="A139" s="1807"/>
      <c r="B139" s="1807"/>
      <c r="C139" s="1807"/>
      <c r="D139" s="1807"/>
      <c r="E139" s="1841"/>
      <c r="F139" s="1835"/>
      <c r="G139" s="1835"/>
      <c r="H139" s="1807"/>
      <c r="I139" s="1835"/>
      <c r="J139" s="1835"/>
      <c r="K139" s="1835"/>
      <c r="L139" s="1837"/>
      <c r="M139" s="1807"/>
      <c r="N139" s="1807"/>
      <c r="O139" s="1807"/>
      <c r="P139" s="1807"/>
      <c r="Q139" s="1807"/>
      <c r="R139" s="1807"/>
    </row>
    <row r="140" spans="1:18" ht="13.5" hidden="1" thickTop="1" x14ac:dyDescent="0.3">
      <c r="A140" s="1807"/>
      <c r="B140" s="1807"/>
      <c r="C140" s="1807"/>
      <c r="D140" s="1807"/>
      <c r="E140" s="1879" t="s">
        <v>778</v>
      </c>
      <c r="F140" s="1863"/>
      <c r="G140" s="1864"/>
      <c r="H140" s="1860" t="s">
        <v>507</v>
      </c>
      <c r="I140" s="1864"/>
      <c r="J140" s="1864"/>
      <c r="K140" s="1864"/>
      <c r="L140" s="1865"/>
      <c r="M140" s="1807"/>
      <c r="N140" s="1807"/>
      <c r="O140" s="1807"/>
      <c r="P140" s="1807"/>
      <c r="Q140" s="1807"/>
      <c r="R140" s="1807"/>
    </row>
    <row r="141" spans="1:18" hidden="1" x14ac:dyDescent="0.3">
      <c r="A141" s="1807"/>
      <c r="B141" s="1807"/>
      <c r="C141" s="1807"/>
      <c r="D141" s="1807"/>
      <c r="E141" s="6626">
        <f t="shared" ref="E141:F146" si="68">E133</f>
        <v>0</v>
      </c>
      <c r="F141" s="6627">
        <f t="shared" si="68"/>
        <v>0</v>
      </c>
      <c r="G141" s="1835"/>
      <c r="H141" s="1861" t="str">
        <f>D43</f>
        <v>1° année</v>
      </c>
      <c r="I141" s="1835" t="str">
        <f>E43</f>
        <v>Années suivantes</v>
      </c>
      <c r="J141" s="1835"/>
      <c r="K141" s="1835"/>
      <c r="L141" s="1866"/>
      <c r="M141" s="1807"/>
      <c r="N141" s="1807"/>
      <c r="O141" s="1807"/>
      <c r="P141" s="1807"/>
      <c r="Q141" s="1807"/>
      <c r="R141" s="1807"/>
    </row>
    <row r="142" spans="1:18" hidden="1" x14ac:dyDescent="0.3">
      <c r="A142" s="1807"/>
      <c r="B142" s="1807"/>
      <c r="C142" s="1807"/>
      <c r="D142" s="1807"/>
      <c r="E142" s="6626" t="str">
        <f t="shared" si="68"/>
        <v>ESN ( SS2I )</v>
      </c>
      <c r="F142" s="6627">
        <f t="shared" si="68"/>
        <v>0</v>
      </c>
      <c r="G142" s="1835"/>
      <c r="H142" s="1861">
        <f>D52</f>
        <v>5</v>
      </c>
      <c r="I142" s="1835">
        <f>E52</f>
        <v>6</v>
      </c>
      <c r="J142" s="1835"/>
      <c r="K142" s="1835"/>
      <c r="L142" s="1866"/>
      <c r="M142" s="1807"/>
      <c r="N142" s="1807"/>
      <c r="O142" s="1807"/>
      <c r="P142" s="1807"/>
      <c r="Q142" s="1807"/>
      <c r="R142" s="1807"/>
    </row>
    <row r="143" spans="1:18" hidden="1" x14ac:dyDescent="0.3">
      <c r="A143" s="1807"/>
      <c r="B143" s="1807"/>
      <c r="C143" s="1807"/>
      <c r="D143" s="1807"/>
      <c r="E143" s="6626" t="str">
        <f t="shared" si="68"/>
        <v>- #  new partenaires à recruter avec churn</v>
      </c>
      <c r="F143" s="6627">
        <f t="shared" si="68"/>
        <v>0</v>
      </c>
      <c r="G143" s="1835"/>
      <c r="H143" s="1861">
        <f>D57</f>
        <v>0</v>
      </c>
      <c r="I143" s="1835">
        <f>E57</f>
        <v>0</v>
      </c>
      <c r="J143" s="1835"/>
      <c r="K143" s="1835"/>
      <c r="L143" s="1866"/>
      <c r="M143" s="1807"/>
      <c r="N143" s="1807"/>
      <c r="O143" s="1807"/>
      <c r="P143" s="1807"/>
      <c r="Q143" s="1807"/>
      <c r="R143" s="1807"/>
    </row>
    <row r="144" spans="1:18" hidden="1" x14ac:dyDescent="0.3">
      <c r="A144" s="1807"/>
      <c r="B144" s="1807"/>
      <c r="C144" s="1807"/>
      <c r="D144" s="1807"/>
      <c r="E144" s="6626" t="str">
        <f t="shared" si="68"/>
        <v>- # new clients justifiant des new partenaires</v>
      </c>
      <c r="F144" s="6627">
        <f t="shared" si="68"/>
        <v>0</v>
      </c>
      <c r="G144" s="1835"/>
      <c r="H144" s="1861">
        <f>D63</f>
        <v>0</v>
      </c>
      <c r="I144" s="1835">
        <f>E63</f>
        <v>0</v>
      </c>
      <c r="J144" s="1835"/>
      <c r="K144" s="1835"/>
      <c r="L144" s="1866"/>
      <c r="M144" s="1807"/>
      <c r="N144" s="1807"/>
      <c r="O144" s="1807"/>
      <c r="P144" s="1807"/>
      <c r="Q144" s="1807"/>
      <c r="R144" s="1807"/>
    </row>
    <row r="145" spans="1:18" hidden="1" x14ac:dyDescent="0.3">
      <c r="A145" s="1807"/>
      <c r="B145" s="1807"/>
      <c r="C145" s="1807"/>
      <c r="D145" s="1807"/>
      <c r="E145" s="6626" t="str">
        <f t="shared" si="68"/>
        <v>Agrégateurs</v>
      </c>
      <c r="F145" s="6627">
        <f t="shared" si="68"/>
        <v>0</v>
      </c>
      <c r="G145" s="1835"/>
      <c r="H145" s="1861">
        <f>D92</f>
        <v>5</v>
      </c>
      <c r="I145" s="1835">
        <f>E92</f>
        <v>1</v>
      </c>
      <c r="J145" s="1835"/>
      <c r="K145" s="1835"/>
      <c r="L145" s="1866"/>
      <c r="M145" s="1807"/>
      <c r="N145" s="1807"/>
      <c r="O145" s="1807"/>
      <c r="P145" s="1807"/>
      <c r="Q145" s="1807"/>
      <c r="R145" s="1807"/>
    </row>
    <row r="146" spans="1:18" ht="13.5" hidden="1" thickBot="1" x14ac:dyDescent="0.35">
      <c r="A146" s="1807"/>
      <c r="B146" s="1807"/>
      <c r="C146" s="1807"/>
      <c r="D146" s="1807"/>
      <c r="E146" s="6621" t="str">
        <f t="shared" si="68"/>
        <v xml:space="preserve">- Besoins de new partenaires à recruter </v>
      </c>
      <c r="F146" s="6622">
        <f t="shared" si="68"/>
        <v>0</v>
      </c>
      <c r="G146" s="1867"/>
      <c r="H146" s="1862">
        <f>D96</f>
        <v>0</v>
      </c>
      <c r="I146" s="1867">
        <f>E96</f>
        <v>0</v>
      </c>
      <c r="J146" s="1867"/>
      <c r="K146" s="1867"/>
      <c r="L146" s="1868"/>
      <c r="M146" s="1807"/>
      <c r="N146" s="1807"/>
      <c r="O146" s="1807"/>
      <c r="P146" s="1807"/>
      <c r="Q146" s="1807"/>
      <c r="R146" s="1807"/>
    </row>
    <row r="147" spans="1:18" ht="14" hidden="1" thickTop="1" thickBot="1" x14ac:dyDescent="0.35">
      <c r="A147" s="1807"/>
      <c r="B147" s="1807"/>
      <c r="C147" s="1807"/>
      <c r="D147" s="1807"/>
      <c r="E147" s="1839"/>
      <c r="F147" s="1839"/>
      <c r="G147" s="1835"/>
      <c r="H147" s="1840"/>
      <c r="I147" s="1835"/>
      <c r="J147" s="1835"/>
      <c r="K147" s="1835"/>
      <c r="L147" s="1835"/>
      <c r="M147" s="1807"/>
      <c r="N147" s="1807"/>
      <c r="O147" s="1807"/>
      <c r="P147" s="1807"/>
      <c r="Q147" s="1807"/>
      <c r="R147" s="1807"/>
    </row>
    <row r="148" spans="1:18" ht="14" hidden="1" thickTop="1" thickBot="1" x14ac:dyDescent="0.35">
      <c r="A148" s="1807"/>
      <c r="B148" s="1807"/>
      <c r="C148" s="1807"/>
      <c r="D148" s="1807"/>
      <c r="E148" s="1879" t="s">
        <v>781</v>
      </c>
      <c r="F148" s="1863"/>
      <c r="G148" s="1864"/>
      <c r="H148" s="1864"/>
      <c r="I148" s="1864"/>
      <c r="J148" s="1864"/>
      <c r="K148" s="1864"/>
      <c r="L148" s="1865"/>
      <c r="M148" s="1807"/>
      <c r="N148" s="1807"/>
      <c r="O148" s="1807"/>
      <c r="P148" s="1807"/>
      <c r="Q148" s="1807"/>
      <c r="R148" s="1807"/>
    </row>
    <row r="149" spans="1:18" ht="13.5" hidden="1" thickBot="1" x14ac:dyDescent="0.35">
      <c r="A149" s="1807"/>
      <c r="B149" s="1807"/>
      <c r="C149" s="1807"/>
      <c r="D149" s="1807"/>
      <c r="E149" s="1869"/>
      <c r="F149" s="1835"/>
      <c r="G149" s="1835"/>
      <c r="H149" s="1835"/>
      <c r="I149" s="1842">
        <f>I128</f>
        <v>2018</v>
      </c>
      <c r="J149" s="1842">
        <f>J128</f>
        <v>2019</v>
      </c>
      <c r="K149" s="1842">
        <f>K128</f>
        <v>2020</v>
      </c>
      <c r="L149" s="1870">
        <f>L128</f>
        <v>2021</v>
      </c>
      <c r="M149" s="1807"/>
      <c r="N149" s="1807"/>
      <c r="O149" s="1807"/>
      <c r="P149" s="1807"/>
      <c r="Q149" s="1807"/>
      <c r="R149" s="1807"/>
    </row>
    <row r="150" spans="1:18" hidden="1" x14ac:dyDescent="0.3">
      <c r="A150" s="1807"/>
      <c r="B150" s="1807"/>
      <c r="C150" s="1807"/>
      <c r="D150" s="1807"/>
      <c r="E150" s="1871" t="s">
        <v>782</v>
      </c>
      <c r="F150" s="1835"/>
      <c r="G150" s="1835"/>
      <c r="H150" s="1835"/>
      <c r="I150" s="1843" t="e">
        <f>#REF!</f>
        <v>#REF!</v>
      </c>
      <c r="J150" s="1843" t="e">
        <f>#REF!</f>
        <v>#REF!</v>
      </c>
      <c r="K150" s="1843" t="e">
        <f>#REF!</f>
        <v>#REF!</v>
      </c>
      <c r="L150" s="1872" t="e">
        <f>#REF!</f>
        <v>#REF!</v>
      </c>
      <c r="M150" s="1807"/>
      <c r="N150" s="1807"/>
      <c r="O150" s="1807"/>
      <c r="P150" s="1807"/>
      <c r="Q150" s="1807"/>
      <c r="R150" s="1807"/>
    </row>
    <row r="151" spans="1:18" hidden="1" x14ac:dyDescent="0.3">
      <c r="A151" s="1807"/>
      <c r="B151" s="1807"/>
      <c r="C151" s="1807"/>
      <c r="D151" s="1807"/>
      <c r="E151" s="1873" t="s">
        <v>858</v>
      </c>
      <c r="F151" s="1835"/>
      <c r="G151" s="1835"/>
      <c r="H151" s="1835"/>
      <c r="I151" s="1892">
        <v>0.3</v>
      </c>
      <c r="J151" s="1892">
        <v>0.3</v>
      </c>
      <c r="K151" s="1892">
        <v>0.3</v>
      </c>
      <c r="L151" s="1893">
        <v>0.3</v>
      </c>
      <c r="M151" s="1807"/>
      <c r="N151" s="1807"/>
      <c r="O151" s="1807"/>
      <c r="P151" s="1807"/>
      <c r="Q151" s="1807"/>
      <c r="R151" s="1807"/>
    </row>
    <row r="152" spans="1:18" ht="15.5" hidden="1" x14ac:dyDescent="0.35">
      <c r="A152" s="1807"/>
      <c r="B152" s="1807"/>
      <c r="C152" s="1807"/>
      <c r="D152" s="1807"/>
      <c r="E152" s="1874" t="s">
        <v>1904</v>
      </c>
      <c r="F152" s="1844"/>
      <c r="G152" s="1844"/>
      <c r="H152" s="1844"/>
      <c r="I152" s="1877" t="e">
        <f>I150/(100%-I151)</f>
        <v>#REF!</v>
      </c>
      <c r="J152" s="1877" t="e">
        <f>J150/(100%-J151)</f>
        <v>#REF!</v>
      </c>
      <c r="K152" s="1877" t="e">
        <f>K150/(100%-K151)</f>
        <v>#REF!</v>
      </c>
      <c r="L152" s="1878" t="e">
        <f>L150/(100%-L151)</f>
        <v>#REF!</v>
      </c>
      <c r="M152" s="1807"/>
      <c r="N152" s="1807"/>
      <c r="O152" s="1807"/>
      <c r="P152" s="1807"/>
      <c r="Q152" s="1807"/>
      <c r="R152" s="1807"/>
    </row>
    <row r="153" spans="1:18" ht="13.5" hidden="1" thickBot="1" x14ac:dyDescent="0.35">
      <c r="A153" s="1807"/>
      <c r="B153" s="1807"/>
      <c r="C153" s="1807"/>
      <c r="D153" s="1807"/>
      <c r="E153" s="1869"/>
      <c r="F153" s="1835"/>
      <c r="G153" s="1835"/>
      <c r="H153" s="1835"/>
      <c r="I153" s="1845"/>
      <c r="J153" s="1845"/>
      <c r="K153" s="1845"/>
      <c r="L153" s="1875"/>
      <c r="M153" s="1807"/>
      <c r="N153" s="1807"/>
      <c r="O153" s="1807"/>
      <c r="P153" s="1807"/>
      <c r="Q153" s="1807"/>
      <c r="R153" s="1807"/>
    </row>
    <row r="154" spans="1:18" hidden="1" x14ac:dyDescent="0.3">
      <c r="A154" s="1807"/>
      <c r="B154" s="1807"/>
      <c r="C154" s="1807"/>
      <c r="D154" s="1807"/>
      <c r="E154" s="1869"/>
      <c r="F154" s="1835"/>
      <c r="G154" s="1835"/>
      <c r="H154" s="1835"/>
      <c r="I154" s="1835"/>
      <c r="J154" s="1835"/>
      <c r="K154" s="1835"/>
      <c r="L154" s="1866"/>
      <c r="M154" s="1807"/>
      <c r="N154" s="1807"/>
      <c r="O154" s="1807"/>
      <c r="P154" s="1807"/>
      <c r="Q154" s="1807"/>
      <c r="R154" s="1807"/>
    </row>
    <row r="155" spans="1:18" hidden="1" x14ac:dyDescent="0.3">
      <c r="A155" s="1807"/>
      <c r="B155" s="1807"/>
      <c r="C155" s="1807"/>
      <c r="D155" s="1807"/>
      <c r="E155" s="1869"/>
      <c r="F155" s="1835"/>
      <c r="G155" s="1835"/>
      <c r="H155" s="1835"/>
      <c r="I155" s="1835"/>
      <c r="J155" s="1835"/>
      <c r="K155" s="1835"/>
      <c r="L155" s="1866"/>
      <c r="M155" s="1807"/>
      <c r="N155" s="1807"/>
      <c r="O155" s="1807"/>
      <c r="P155" s="1807"/>
      <c r="Q155" s="1807"/>
      <c r="R155" s="1807"/>
    </row>
    <row r="156" spans="1:18" ht="13.5" hidden="1" thickBot="1" x14ac:dyDescent="0.35">
      <c r="A156" s="1807"/>
      <c r="B156" s="1807"/>
      <c r="C156" s="1807"/>
      <c r="D156" s="1807"/>
      <c r="E156" s="1876"/>
      <c r="F156" s="1867"/>
      <c r="G156" s="1867"/>
      <c r="H156" s="1867"/>
      <c r="I156" s="1867"/>
      <c r="J156" s="1867"/>
      <c r="K156" s="1867"/>
      <c r="L156" s="1868"/>
      <c r="M156" s="1807"/>
      <c r="N156" s="1807"/>
      <c r="O156" s="1807"/>
      <c r="P156" s="1807"/>
      <c r="Q156" s="1807"/>
      <c r="R156" s="1807"/>
    </row>
    <row r="157" spans="1:18" ht="13.5" hidden="1" thickTop="1" x14ac:dyDescent="0.3">
      <c r="A157" s="1807"/>
      <c r="B157" s="1807"/>
      <c r="C157" s="1807"/>
      <c r="D157" s="1807"/>
      <c r="E157" s="1807"/>
      <c r="F157" s="1807"/>
      <c r="G157" s="1807"/>
      <c r="H157" s="1807"/>
      <c r="I157" s="1807"/>
      <c r="J157" s="1807"/>
      <c r="K157" s="1807"/>
      <c r="L157" s="1807"/>
      <c r="M157" s="1807"/>
      <c r="N157" s="1807"/>
      <c r="O157" s="1807"/>
      <c r="P157" s="1807"/>
      <c r="Q157" s="1807"/>
      <c r="R157" s="1807"/>
    </row>
    <row r="158" spans="1:18" hidden="1" x14ac:dyDescent="0.3"/>
    <row r="159" spans="1:18" hidden="1" x14ac:dyDescent="0.3"/>
  </sheetData>
  <mergeCells count="151">
    <mergeCell ref="F43:J43"/>
    <mergeCell ref="A37:C37"/>
    <mergeCell ref="D37:E37"/>
    <mergeCell ref="A7:C7"/>
    <mergeCell ref="D7:E7"/>
    <mergeCell ref="D42:E42"/>
    <mergeCell ref="C24:E24"/>
    <mergeCell ref="A28:C28"/>
    <mergeCell ref="D28:E28"/>
    <mergeCell ref="A29:C29"/>
    <mergeCell ref="D29:E29"/>
    <mergeCell ref="A33:C33"/>
    <mergeCell ref="D33:E33"/>
    <mergeCell ref="A34:C34"/>
    <mergeCell ref="D34:E34"/>
    <mergeCell ref="A35:C35"/>
    <mergeCell ref="D35:E35"/>
    <mergeCell ref="A43:C43"/>
    <mergeCell ref="A36:C36"/>
    <mergeCell ref="D36:E36"/>
    <mergeCell ref="D38:E38"/>
    <mergeCell ref="A42:C42"/>
    <mergeCell ref="D3:G3"/>
    <mergeCell ref="D1:G1"/>
    <mergeCell ref="I1:J1"/>
    <mergeCell ref="A5:B5"/>
    <mergeCell ref="C5:P5"/>
    <mergeCell ref="L1:M1"/>
    <mergeCell ref="D2:G2"/>
    <mergeCell ref="I2:J2"/>
    <mergeCell ref="L2:M2"/>
    <mergeCell ref="A4:G4"/>
    <mergeCell ref="H4:P4"/>
    <mergeCell ref="A6:E6"/>
    <mergeCell ref="A17:C17"/>
    <mergeCell ref="D17:E17"/>
    <mergeCell ref="A18:C18"/>
    <mergeCell ref="D18:E18"/>
    <mergeCell ref="A19:C19"/>
    <mergeCell ref="F12:J12"/>
    <mergeCell ref="A8:C8"/>
    <mergeCell ref="A9:C9"/>
    <mergeCell ref="A11:C11"/>
    <mergeCell ref="D11:E11"/>
    <mergeCell ref="A15:C15"/>
    <mergeCell ref="D15:E15"/>
    <mergeCell ref="A16:C16"/>
    <mergeCell ref="D16:E16"/>
    <mergeCell ref="D8:E9"/>
    <mergeCell ref="A10:C10"/>
    <mergeCell ref="D10:E10"/>
    <mergeCell ref="A13:C13"/>
    <mergeCell ref="D13:E13"/>
    <mergeCell ref="A14:C14"/>
    <mergeCell ref="D14:E14"/>
    <mergeCell ref="A12:C12"/>
    <mergeCell ref="D19:E19"/>
    <mergeCell ref="A46:C46"/>
    <mergeCell ref="A59:J59"/>
    <mergeCell ref="M115:O115"/>
    <mergeCell ref="A96:C96"/>
    <mergeCell ref="A63:C63"/>
    <mergeCell ref="A92:C92"/>
    <mergeCell ref="A68:C68"/>
    <mergeCell ref="A69:C69"/>
    <mergeCell ref="A70:C70"/>
    <mergeCell ref="A71:C71"/>
    <mergeCell ref="A72:C72"/>
    <mergeCell ref="A73:C73"/>
    <mergeCell ref="A74:C74"/>
    <mergeCell ref="A67:J67"/>
    <mergeCell ref="A75:J75"/>
    <mergeCell ref="A76:C76"/>
    <mergeCell ref="A95:C95"/>
    <mergeCell ref="A64:C64"/>
    <mergeCell ref="A93:C93"/>
    <mergeCell ref="A94:C94"/>
    <mergeCell ref="A62:C62"/>
    <mergeCell ref="A60:C60"/>
    <mergeCell ref="A91:C91"/>
    <mergeCell ref="A77:C77"/>
    <mergeCell ref="M116:O120"/>
    <mergeCell ref="A97:C97"/>
    <mergeCell ref="A99:J99"/>
    <mergeCell ref="A108:K112"/>
    <mergeCell ref="A114:K114"/>
    <mergeCell ref="A115:K120"/>
    <mergeCell ref="A103:F103"/>
    <mergeCell ref="A104:F104"/>
    <mergeCell ref="B100:F100"/>
    <mergeCell ref="A101:F101"/>
    <mergeCell ref="A98:C98"/>
    <mergeCell ref="A105:F105"/>
    <mergeCell ref="E146:F146"/>
    <mergeCell ref="E126:L126"/>
    <mergeCell ref="E138:F138"/>
    <mergeCell ref="E141:F141"/>
    <mergeCell ref="E142:F142"/>
    <mergeCell ref="E143:F143"/>
    <mergeCell ref="E144:F144"/>
    <mergeCell ref="E145:F145"/>
    <mergeCell ref="E133:F133"/>
    <mergeCell ref="E134:F134"/>
    <mergeCell ref="E135:F135"/>
    <mergeCell ref="E136:F136"/>
    <mergeCell ref="E137:F137"/>
    <mergeCell ref="A54:C54"/>
    <mergeCell ref="A87:C87"/>
    <mergeCell ref="A88:C88"/>
    <mergeCell ref="A89:C89"/>
    <mergeCell ref="A90:C90"/>
    <mergeCell ref="A83:C83"/>
    <mergeCell ref="A84:C84"/>
    <mergeCell ref="A85:C85"/>
    <mergeCell ref="A86:C86"/>
    <mergeCell ref="D83:J83"/>
    <mergeCell ref="A61:C61"/>
    <mergeCell ref="A66:C66"/>
    <mergeCell ref="A47:C47"/>
    <mergeCell ref="A48:C48"/>
    <mergeCell ref="A49:C49"/>
    <mergeCell ref="A44:C44"/>
    <mergeCell ref="A45:C45"/>
    <mergeCell ref="L9:P9"/>
    <mergeCell ref="L12:P12"/>
    <mergeCell ref="A50:C50"/>
    <mergeCell ref="A58:C58"/>
    <mergeCell ref="A81:C81"/>
    <mergeCell ref="A82:C82"/>
    <mergeCell ref="A51:C51"/>
    <mergeCell ref="A65:C65"/>
    <mergeCell ref="A53:C53"/>
    <mergeCell ref="A56:C56"/>
    <mergeCell ref="A52:C52"/>
    <mergeCell ref="A57:C57"/>
    <mergeCell ref="A78:C78"/>
    <mergeCell ref="A79:C79"/>
    <mergeCell ref="A80:C80"/>
    <mergeCell ref="A55:C55"/>
    <mergeCell ref="Q9:S9"/>
    <mergeCell ref="Q10:S20"/>
    <mergeCell ref="A30:C30"/>
    <mergeCell ref="D30:E30"/>
    <mergeCell ref="A31:C31"/>
    <mergeCell ref="D31:E31"/>
    <mergeCell ref="A32:C32"/>
    <mergeCell ref="D32:E32"/>
    <mergeCell ref="C22:E22"/>
    <mergeCell ref="A21:K21"/>
    <mergeCell ref="A20:C20"/>
    <mergeCell ref="D20:E20"/>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C00-000000000000}">
      <formula1>AvancementTheme</formula1>
    </dataValidation>
  </dataValidations>
  <hyperlinks>
    <hyperlink ref="O1" location="DPDV_02DS1" display="PdV" xr:uid="{00000000-0004-0000-5C00-000000000000}"/>
    <hyperlink ref="P1" location="DKPI_02DS1" display="KPI's" xr:uid="{00000000-0004-0000-5C00-000001000000}"/>
  </hyperlinks>
  <pageMargins left="0.70866141732283472" right="0.70866141732283472" top="0.74803149606299213" bottom="0.74803149606299213" header="0.31496062992125984" footer="0.31496062992125984"/>
  <pageSetup paperSize="9" scale="42" orientation="portrait" horizontalDpi="4294967293" verticalDpi="360" r:id="rId1"/>
  <headerFooter>
    <oddHeader>&amp;LPAD Methodology (c) 2013-2014&amp;RStrategic Management Workshop</oddHeader>
    <oddFooter>&amp;L&amp;F&amp;C&amp;A&amp;RSituation au : &amp;D - page : &amp;P/&amp;N</oddFooter>
  </headerFooter>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euil62">
    <tabColor rgb="FF92D050"/>
    <pageSetUpPr fitToPage="1"/>
  </sheetPr>
  <dimension ref="A1:V109"/>
  <sheetViews>
    <sheetView showZeros="0" zoomScale="120" zoomScaleNormal="120" workbookViewId="0">
      <pane ySplit="5" topLeftCell="A6" activePane="bottomLeft" state="frozen"/>
      <selection activeCell="C5" sqref="C5:P5"/>
      <selection pane="bottomLeft" activeCell="C5" sqref="C5:P5"/>
    </sheetView>
  </sheetViews>
  <sheetFormatPr baseColWidth="10" defaultColWidth="11.453125" defaultRowHeight="13" x14ac:dyDescent="0.3"/>
  <cols>
    <col min="1" max="2" width="9.1796875" style="1808" customWidth="1"/>
    <col min="3" max="3" width="13" style="1808" customWidth="1"/>
    <col min="4" max="5" width="10.26953125" style="1808" customWidth="1"/>
    <col min="6" max="6" width="11.81640625" style="1808" customWidth="1"/>
    <col min="7" max="7" width="11.7265625" style="1808" customWidth="1"/>
    <col min="8" max="8" width="11.453125" style="1808" customWidth="1"/>
    <col min="9" max="10" width="9.1796875" style="1808" customWidth="1"/>
    <col min="11" max="11" width="11.7265625" style="1808" customWidth="1"/>
    <col min="12" max="17" width="9.1796875" style="1808" customWidth="1"/>
    <col min="18" max="16384" width="11.453125" style="1808"/>
  </cols>
  <sheetData>
    <row r="1" spans="1:22" s="1720" customFormat="1" ht="15" customHeight="1" x14ac:dyDescent="0.35">
      <c r="A1" s="1716"/>
      <c r="B1" s="1716"/>
      <c r="C1" s="1716"/>
      <c r="D1" s="4096" t="s">
        <v>5</v>
      </c>
      <c r="E1" s="4096"/>
      <c r="F1" s="4096"/>
      <c r="G1" s="4096"/>
      <c r="H1" s="1717"/>
      <c r="I1" s="4096" t="s">
        <v>6</v>
      </c>
      <c r="J1" s="4096"/>
      <c r="K1" s="1716"/>
      <c r="L1" s="4096" t="s">
        <v>9</v>
      </c>
      <c r="M1" s="4096"/>
      <c r="N1" s="1716"/>
      <c r="O1" s="1718" t="s">
        <v>2</v>
      </c>
      <c r="P1" s="1718" t="s">
        <v>3</v>
      </c>
      <c r="Q1" s="1719"/>
      <c r="R1" s="1719"/>
    </row>
    <row r="2" spans="1:22" s="1725" customFormat="1" ht="18" customHeight="1" x14ac:dyDescent="0.35">
      <c r="A2" s="1721"/>
      <c r="B2" s="1721"/>
      <c r="C2" s="1721"/>
      <c r="D2" s="4099" t="str">
        <f>NomClient</f>
        <v xml:space="preserve">EQUINIX </v>
      </c>
      <c r="E2" s="4100"/>
      <c r="F2" s="4100"/>
      <c r="G2" s="4101"/>
      <c r="H2" s="1721"/>
      <c r="I2" s="4102" t="s">
        <v>407</v>
      </c>
      <c r="J2" s="4103"/>
      <c r="K2" s="1721"/>
      <c r="L2" s="3347">
        <v>42534.882395833331</v>
      </c>
      <c r="M2" s="3348"/>
      <c r="N2" s="1722"/>
      <c r="O2" s="1723">
        <f>IF(LEN(DPDV_02OP1)&gt;0,LEN(DPDV_02OP1),0-PDV_NBmini)</f>
        <v>190</v>
      </c>
      <c r="P2" s="1723">
        <f>IF(LEN(DKPI_02OP1)&gt;0,LEN(DKPI_02OP1),0-KPI_NBmini)</f>
        <v>101</v>
      </c>
      <c r="Q2" s="1724"/>
      <c r="R2" s="1724"/>
    </row>
    <row r="3" spans="1:22" s="60" customFormat="1"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729" customFormat="1" ht="24.75" customHeight="1" thickBot="1" x14ac:dyDescent="0.4">
      <c r="A4" s="4104" t="str">
        <f>Parametre!B24  &amp; "  : "</f>
        <v xml:space="preserve">Vision, Attente &amp; Stratégie  : </v>
      </c>
      <c r="B4" s="4104"/>
      <c r="C4" s="4104"/>
      <c r="D4" s="4104"/>
      <c r="E4" s="4104"/>
      <c r="F4" s="4104"/>
      <c r="G4" s="4104"/>
      <c r="H4" s="4105" t="str">
        <f>"Opportunité de revenus pour les partenaires pour " &amp;NomProd1</f>
        <v>Opportunité de revenus pour les partenaires pour EQUINIX</v>
      </c>
      <c r="I4" s="4105"/>
      <c r="J4" s="4105"/>
      <c r="K4" s="4105"/>
      <c r="L4" s="4105"/>
      <c r="M4" s="4105"/>
      <c r="N4" s="4105"/>
      <c r="O4" s="4105"/>
      <c r="P4" s="4106"/>
      <c r="Q4" s="1728"/>
      <c r="R4" s="1728"/>
    </row>
    <row r="5" spans="1:22" s="1731" customFormat="1" ht="25.5" customHeight="1" thickBot="1" x14ac:dyDescent="0.4">
      <c r="A5" s="4097" t="s">
        <v>14</v>
      </c>
      <c r="B5" s="4097"/>
      <c r="C5" s="4098" t="s">
        <v>2273</v>
      </c>
      <c r="D5" s="4098"/>
      <c r="E5" s="4098"/>
      <c r="F5" s="4098"/>
      <c r="G5" s="4098"/>
      <c r="H5" s="4098"/>
      <c r="I5" s="4098"/>
      <c r="J5" s="4098"/>
      <c r="K5" s="4098"/>
      <c r="L5" s="4098"/>
      <c r="M5" s="4098"/>
      <c r="N5" s="4098"/>
      <c r="O5" s="4098"/>
      <c r="P5" s="4098"/>
      <c r="Q5" s="1730"/>
      <c r="R5" s="1730"/>
    </row>
    <row r="6" spans="1:22" s="216" customFormat="1" ht="51.75" customHeight="1" thickTop="1" thickBot="1" x14ac:dyDescent="0.4">
      <c r="A6" s="6710" t="s">
        <v>2220</v>
      </c>
      <c r="B6" s="6711"/>
      <c r="C6" s="6711"/>
      <c r="D6" s="6712" t="s">
        <v>2128</v>
      </c>
      <c r="E6" s="6712"/>
      <c r="F6" s="2019">
        <f>AnReference-1</f>
        <v>2017</v>
      </c>
      <c r="G6" s="2019">
        <f>AnReference</f>
        <v>2018</v>
      </c>
      <c r="H6" s="2019">
        <f>IF(NbAnVision&gt;=1,AnReference+1,"NA")</f>
        <v>2019</v>
      </c>
      <c r="I6" s="2019">
        <f>IF(NbAnVision&gt;=2,AnReference+2,"NA")</f>
        <v>2020</v>
      </c>
      <c r="J6" s="2020">
        <f>IF(NbAnVision&gt;=3,AnReference+3,"NA")</f>
        <v>2021</v>
      </c>
      <c r="K6" s="2021" t="s">
        <v>822</v>
      </c>
      <c r="L6" s="6713" t="s">
        <v>1799</v>
      </c>
      <c r="M6" s="6713"/>
      <c r="N6" s="6713"/>
      <c r="O6" s="6713"/>
      <c r="P6" s="6713"/>
      <c r="Q6" s="6714"/>
      <c r="R6" s="612"/>
    </row>
    <row r="7" spans="1:22" s="217" customFormat="1" ht="35.25" customHeight="1" thickBot="1" x14ac:dyDescent="0.4">
      <c r="A7" s="6708" t="s">
        <v>2075</v>
      </c>
      <c r="B7" s="6709"/>
      <c r="C7" s="6709"/>
      <c r="D7" s="6715" t="s">
        <v>2270</v>
      </c>
      <c r="E7" s="6716"/>
      <c r="F7" s="5896" t="s">
        <v>2129</v>
      </c>
      <c r="G7" s="5896"/>
      <c r="H7" s="5896"/>
      <c r="I7" s="5896"/>
      <c r="J7" s="5896"/>
      <c r="K7" s="5897"/>
      <c r="L7" s="1460"/>
      <c r="M7" s="628">
        <f>M23</f>
        <v>2017</v>
      </c>
      <c r="N7" s="628">
        <f>N23</f>
        <v>2018</v>
      </c>
      <c r="O7" s="628">
        <f>O23</f>
        <v>2019</v>
      </c>
      <c r="P7" s="628">
        <f>P23</f>
        <v>2020</v>
      </c>
      <c r="Q7" s="2036">
        <f>Q23</f>
        <v>2021</v>
      </c>
      <c r="R7" s="613"/>
    </row>
    <row r="8" spans="1:22" s="218" customFormat="1" ht="15" customHeight="1" x14ac:dyDescent="0.35">
      <c r="A8" s="6705" t="str">
        <f>'SALESPLAN 3Y'!A10:F10</f>
        <v xml:space="preserve">Ventes directes </v>
      </c>
      <c r="B8" s="5882"/>
      <c r="C8" s="5882"/>
      <c r="D8" s="4623"/>
      <c r="E8" s="4623"/>
      <c r="F8" s="1174">
        <v>0</v>
      </c>
      <c r="G8" s="1174">
        <v>0</v>
      </c>
      <c r="H8" s="1174">
        <v>0</v>
      </c>
      <c r="I8" s="1174">
        <v>0</v>
      </c>
      <c r="J8" s="1175">
        <v>0</v>
      </c>
      <c r="K8" s="1176">
        <f t="shared" ref="K8:K16" si="0">SUM(G8:J8)</f>
        <v>0</v>
      </c>
      <c r="L8" s="635"/>
      <c r="M8" s="632" t="e">
        <f>IF($F$33=0,"",F8/$F$33)</f>
        <v>#REF!</v>
      </c>
      <c r="N8" s="633" t="e">
        <f>IF($G$33=0,"",G8/$G$33)</f>
        <v>#REF!</v>
      </c>
      <c r="O8" s="633" t="e">
        <f>IF($H$33=0,"",H8/$H$33)</f>
        <v>#REF!</v>
      </c>
      <c r="P8" s="633" t="e">
        <f>IF($I$33=0,"",I8/$I$33)</f>
        <v>#REF!</v>
      </c>
      <c r="Q8" s="2024" t="e">
        <f>IF($J$33=0,"",J8/$J$33)</f>
        <v>#REF!</v>
      </c>
      <c r="R8" s="587"/>
    </row>
    <row r="9" spans="1:22" s="218" customFormat="1" ht="15" customHeight="1" x14ac:dyDescent="0.35">
      <c r="A9" s="6705" t="str">
        <f>'SALESPLAN 3Y'!A11:F11</f>
        <v xml:space="preserve">VARs / SS2I locales </v>
      </c>
      <c r="B9" s="5882"/>
      <c r="C9" s="5882"/>
      <c r="D9" s="5883">
        <f>'00-PARAMETERS'!D36</f>
        <v>0.3</v>
      </c>
      <c r="E9" s="5883"/>
      <c r="F9" s="1795">
        <f>'SALESPLAN 3Y'!G11*$D9</f>
        <v>0</v>
      </c>
      <c r="G9" s="1795" t="e">
        <f>$D$9*'02-CHANNELCAPACITY-SAAS-OFR1'!G13*'SALESPLAN 3Y'!$F$41</f>
        <v>#REF!</v>
      </c>
      <c r="H9" s="1795" t="e">
        <f>$D$9*'02-CHANNELCAPACITY-SAAS-OFR1'!H13*'SALESPLAN 3Y'!$F$41</f>
        <v>#REF!</v>
      </c>
      <c r="I9" s="1795" t="e">
        <f>$D$9*'02-CHANNELCAPACITY-SAAS-OFR1'!I13*'SALESPLAN 3Y'!$F$41</f>
        <v>#REF!</v>
      </c>
      <c r="J9" s="1795" t="e">
        <f>$D$9*'02-CHANNELCAPACITY-SAAS-OFR1'!J13*'SALESPLAN 3Y'!$F$41</f>
        <v>#REF!</v>
      </c>
      <c r="K9" s="2034" t="e">
        <f t="shared" si="0"/>
        <v>#REF!</v>
      </c>
      <c r="L9" s="635"/>
      <c r="M9" s="636" t="str">
        <f t="shared" ref="M9:Q16" si="1">IF(F$18=0,"",F9/F$18)</f>
        <v/>
      </c>
      <c r="N9" s="636" t="e">
        <f t="shared" si="1"/>
        <v>#REF!</v>
      </c>
      <c r="O9" s="636" t="e">
        <f t="shared" si="1"/>
        <v>#REF!</v>
      </c>
      <c r="P9" s="636" t="e">
        <f t="shared" si="1"/>
        <v>#REF!</v>
      </c>
      <c r="Q9" s="2037" t="e">
        <f t="shared" si="1"/>
        <v>#REF!</v>
      </c>
      <c r="R9" s="587"/>
    </row>
    <row r="10" spans="1:22" s="218" customFormat="1" ht="15" customHeight="1" x14ac:dyDescent="0.35">
      <c r="A10" s="6705" t="str">
        <f>'SALESPLAN 3Y'!A12:F12</f>
        <v>ESN ( SS2I )</v>
      </c>
      <c r="B10" s="5882"/>
      <c r="C10" s="5882"/>
      <c r="D10" s="5883">
        <f>'00-PARAMETERS'!D36</f>
        <v>0.3</v>
      </c>
      <c r="E10" s="5883"/>
      <c r="F10" s="1795">
        <f>'SALESPLAN 3Y'!G12*$D10</f>
        <v>0</v>
      </c>
      <c r="G10" s="1795">
        <f>IFERROR($D$10*'02-CHANNELCAPACITY-SAAS-OFR1'!G14*'SALESPLAN 3Y'!$F$41,0)</f>
        <v>0</v>
      </c>
      <c r="H10" s="1795">
        <f>IFERROR($D$10*'02-CHANNELCAPACITY-SAAS-OFR1'!H14*'SALESPLAN 3Y'!$F$41,0)</f>
        <v>0</v>
      </c>
      <c r="I10" s="1795">
        <f>IFERROR($D$10*'02-CHANNELCAPACITY-SAAS-OFR1'!I14*'SALESPLAN 3Y'!$F$41,0)</f>
        <v>0</v>
      </c>
      <c r="J10" s="1795">
        <f>IFERROR($D$10*'02-CHANNELCAPACITY-SAAS-OFR1'!J14*'SALESPLAN 3Y'!$F$41,0)</f>
        <v>0</v>
      </c>
      <c r="K10" s="2034">
        <f t="shared" si="0"/>
        <v>0</v>
      </c>
      <c r="L10" s="635"/>
      <c r="M10" s="636" t="str">
        <f t="shared" si="1"/>
        <v/>
      </c>
      <c r="N10" s="636" t="e">
        <f t="shared" si="1"/>
        <v>#REF!</v>
      </c>
      <c r="O10" s="636" t="e">
        <f t="shared" si="1"/>
        <v>#REF!</v>
      </c>
      <c r="P10" s="636" t="e">
        <f t="shared" si="1"/>
        <v>#REF!</v>
      </c>
      <c r="Q10" s="2037" t="e">
        <f t="shared" si="1"/>
        <v>#REF!</v>
      </c>
      <c r="R10" s="587"/>
    </row>
    <row r="11" spans="1:22" s="218" customFormat="1" ht="15" customHeight="1" x14ac:dyDescent="0.35">
      <c r="A11" s="6705" t="str">
        <f>'SALESPLAN 3Y'!A13:F13</f>
        <v>Constructeurs Matériel</v>
      </c>
      <c r="B11" s="5882"/>
      <c r="C11" s="5882"/>
      <c r="D11" s="5883">
        <f>'00-PARAMETERS'!D36</f>
        <v>0.3</v>
      </c>
      <c r="E11" s="5883"/>
      <c r="F11" s="1795">
        <f>'SALESPLAN 3Y'!G13*$D11</f>
        <v>0</v>
      </c>
      <c r="G11" s="1795">
        <f>IFERROR($D10*'02-CHANNELCAPACITY-SAAS-OFR1'!G15*'SALESPLAN 3Y'!$F$41,0)</f>
        <v>0</v>
      </c>
      <c r="H11" s="1795">
        <f>IFERROR($D10*'02-CHANNELCAPACITY-SAAS-OFR1'!H15*'SALESPLAN 3Y'!$F$41,0)</f>
        <v>0</v>
      </c>
      <c r="I11" s="1795">
        <f>IFERROR($D10*'02-CHANNELCAPACITY-SAAS-OFR1'!I15*'SALESPLAN 3Y'!$F$41,0)</f>
        <v>0</v>
      </c>
      <c r="J11" s="1795">
        <f>IFERROR($D10*'02-CHANNELCAPACITY-SAAS-OFR1'!J15*'SALESPLAN 3Y'!$F$41,0)</f>
        <v>0</v>
      </c>
      <c r="K11" s="2034">
        <f t="shared" si="0"/>
        <v>0</v>
      </c>
      <c r="L11" s="635"/>
      <c r="M11" s="636" t="str">
        <f t="shared" si="1"/>
        <v/>
      </c>
      <c r="N11" s="636" t="e">
        <f t="shared" si="1"/>
        <v>#REF!</v>
      </c>
      <c r="O11" s="636" t="e">
        <f t="shared" si="1"/>
        <v>#REF!</v>
      </c>
      <c r="P11" s="636" t="e">
        <f t="shared" si="1"/>
        <v>#REF!</v>
      </c>
      <c r="Q11" s="2037" t="e">
        <f t="shared" si="1"/>
        <v>#REF!</v>
      </c>
      <c r="R11" s="587"/>
    </row>
    <row r="12" spans="1:22" s="218" customFormat="1" ht="15" customHeight="1" x14ac:dyDescent="0.35">
      <c r="A12" s="6705" t="str">
        <f>'SALESPLAN 3Y'!A14:F14</f>
        <v>Editeurs de solutions complémentaires</v>
      </c>
      <c r="B12" s="5882"/>
      <c r="C12" s="5882"/>
      <c r="D12" s="5883">
        <f>'00-PARAMETERS'!D36</f>
        <v>0.3</v>
      </c>
      <c r="E12" s="5883"/>
      <c r="F12" s="1795">
        <f>'SALESPLAN 3Y'!G14*$D12</f>
        <v>0</v>
      </c>
      <c r="G12" s="1795">
        <f>IFERROR($D12*'02-CHANNELCAPACITY-SAAS-OFR1'!G16*'SALESPLAN 3Y'!$F$41,0)</f>
        <v>0</v>
      </c>
      <c r="H12" s="1795">
        <f>IFERROR($D12*'02-CHANNELCAPACITY-SAAS-OFR1'!H16*'SALESPLAN 3Y'!$F$41,0)</f>
        <v>0</v>
      </c>
      <c r="I12" s="1795">
        <f>IFERROR($D12*'02-CHANNELCAPACITY-SAAS-OFR1'!I16*'SALESPLAN 3Y'!$F$41,0)</f>
        <v>0</v>
      </c>
      <c r="J12" s="1795">
        <f>IFERROR($D12*'02-CHANNELCAPACITY-SAAS-OFR1'!J16*'SALESPLAN 3Y'!$F$41,0)</f>
        <v>0</v>
      </c>
      <c r="K12" s="2034">
        <f t="shared" si="0"/>
        <v>0</v>
      </c>
      <c r="L12" s="635"/>
      <c r="M12" s="636" t="str">
        <f t="shared" si="1"/>
        <v/>
      </c>
      <c r="N12" s="636" t="e">
        <f t="shared" si="1"/>
        <v>#REF!</v>
      </c>
      <c r="O12" s="636" t="e">
        <f t="shared" si="1"/>
        <v>#REF!</v>
      </c>
      <c r="P12" s="636" t="e">
        <f t="shared" si="1"/>
        <v>#REF!</v>
      </c>
      <c r="Q12" s="2037" t="e">
        <f t="shared" si="1"/>
        <v>#REF!</v>
      </c>
      <c r="R12" s="587"/>
    </row>
    <row r="13" spans="1:22" s="218" customFormat="1" ht="15" customHeight="1" x14ac:dyDescent="0.35">
      <c r="A13" s="6705" t="str">
        <f>'SALESPLAN 3Y'!A15:F15</f>
        <v>Cabinets de conseil / Consultants</v>
      </c>
      <c r="B13" s="5882"/>
      <c r="C13" s="5882"/>
      <c r="D13" s="5883">
        <f>'00-PARAMETERS'!D36</f>
        <v>0.3</v>
      </c>
      <c r="E13" s="5883"/>
      <c r="F13" s="1795">
        <f>'SALESPLAN 3Y'!G15*$D13</f>
        <v>0</v>
      </c>
      <c r="G13" s="1795">
        <f>IFERROR($D13*'02-CHANNELCAPACITY-SAAS-OFR1'!G17*'SALESPLAN 3Y'!$F$41,0)</f>
        <v>0</v>
      </c>
      <c r="H13" s="1795">
        <f>IFERROR($D12*'02-CHANNELCAPACITY-SAAS-OFR1'!H17*'SALESPLAN 3Y'!$F$41,0)</f>
        <v>0</v>
      </c>
      <c r="I13" s="1795">
        <f>IFERROR($D12*'02-CHANNELCAPACITY-SAAS-OFR1'!I17*'SALESPLAN 3Y'!$F$41,0)</f>
        <v>0</v>
      </c>
      <c r="J13" s="1795">
        <f>IFERROR($D12*'02-CHANNELCAPACITY-SAAS-OFR1'!J17*'SALESPLAN 3Y'!$F$41,0)</f>
        <v>0</v>
      </c>
      <c r="K13" s="2034">
        <f t="shared" si="0"/>
        <v>0</v>
      </c>
      <c r="L13" s="635"/>
      <c r="M13" s="636" t="str">
        <f t="shared" si="1"/>
        <v/>
      </c>
      <c r="N13" s="636" t="e">
        <f t="shared" si="1"/>
        <v>#REF!</v>
      </c>
      <c r="O13" s="636" t="e">
        <f t="shared" si="1"/>
        <v>#REF!</v>
      </c>
      <c r="P13" s="636" t="e">
        <f t="shared" si="1"/>
        <v>#REF!</v>
      </c>
      <c r="Q13" s="2037" t="e">
        <f t="shared" si="1"/>
        <v>#REF!</v>
      </c>
      <c r="R13" s="587"/>
    </row>
    <row r="14" spans="1:22" s="218" customFormat="1" ht="15" customHeight="1" x14ac:dyDescent="0.35">
      <c r="A14" s="6705" t="str">
        <f>'SALESPLAN 3Y'!A16:F16</f>
        <v xml:space="preserve">Hébergeurs </v>
      </c>
      <c r="B14" s="5882"/>
      <c r="C14" s="5882"/>
      <c r="D14" s="5883">
        <f>'00-PARAMETERS'!D36</f>
        <v>0.3</v>
      </c>
      <c r="E14" s="5883"/>
      <c r="F14" s="1795">
        <f>IFERROR($D14*'02-CHANNELCAPACITY-SAAS-OFR1'!F18*'SALESPLAN 3Y'!$F$41,0)</f>
        <v>0</v>
      </c>
      <c r="G14" s="1795">
        <f>IFERROR($D14*'02-CHANNELCAPACITY-SAAS-OFR1'!G18*'SALESPLAN 3Y'!$F$41,0)</f>
        <v>0</v>
      </c>
      <c r="H14" s="1795">
        <f>IFERROR($D14*'02-CHANNELCAPACITY-SAAS-OFR1'!H18*'SALESPLAN 3Y'!$F$41,0)</f>
        <v>0</v>
      </c>
      <c r="I14" s="1795">
        <f>IFERROR($D14*'02-CHANNELCAPACITY-SAAS-OFR1'!I18*'SALESPLAN 3Y'!$F$41,0)</f>
        <v>0</v>
      </c>
      <c r="J14" s="1795">
        <f>IFERROR($D14*'02-CHANNELCAPACITY-SAAS-OFR1'!J18*'SALESPLAN 3Y'!$F$41,0)</f>
        <v>0</v>
      </c>
      <c r="K14" s="2034">
        <f t="shared" si="0"/>
        <v>0</v>
      </c>
      <c r="L14" s="635"/>
      <c r="M14" s="636" t="str">
        <f t="shared" si="1"/>
        <v/>
      </c>
      <c r="N14" s="636" t="e">
        <f t="shared" si="1"/>
        <v>#REF!</v>
      </c>
      <c r="O14" s="636" t="e">
        <f t="shared" si="1"/>
        <v>#REF!</v>
      </c>
      <c r="P14" s="636" t="e">
        <f t="shared" si="1"/>
        <v>#REF!</v>
      </c>
      <c r="Q14" s="2037" t="e">
        <f t="shared" si="1"/>
        <v>#REF!</v>
      </c>
      <c r="R14" s="587"/>
    </row>
    <row r="15" spans="1:22" s="218" customFormat="1" ht="15" customHeight="1" x14ac:dyDescent="0.35">
      <c r="A15" s="6705" t="str">
        <f>'SALESPLAN 3Y'!A17:F17</f>
        <v>Agrégateurs</v>
      </c>
      <c r="B15" s="5882"/>
      <c r="C15" s="5882"/>
      <c r="D15" s="5883">
        <f>'00-PARAMETERS'!D36</f>
        <v>0.3</v>
      </c>
      <c r="E15" s="5883"/>
      <c r="F15" s="1795">
        <f>'SALESPLAN 3Y'!G17*$D15</f>
        <v>0</v>
      </c>
      <c r="G15" s="1795">
        <f>IFERROR($D15*'02-CHANNELCAPACITY-SAAS-OFR1'!G19*'SALESPLAN 3Y'!$F$41,0)</f>
        <v>0</v>
      </c>
      <c r="H15" s="1795">
        <f>IFERROR($D15*'02-CHANNELCAPACITY-SAAS-OFR1'!H19*'SALESPLAN 3Y'!$F$41,0)</f>
        <v>0</v>
      </c>
      <c r="I15" s="1795">
        <f>IFERROR($D15*'02-CHANNELCAPACITY-SAAS-OFR1'!I19*'SALESPLAN 3Y'!$F$41,0)</f>
        <v>0</v>
      </c>
      <c r="J15" s="1795">
        <f>IFERROR($D15*'02-CHANNELCAPACITY-SAAS-OFR1'!J19*'SALESPLAN 3Y'!$F$41,0)</f>
        <v>0</v>
      </c>
      <c r="K15" s="2034">
        <f t="shared" si="0"/>
        <v>0</v>
      </c>
      <c r="L15" s="635"/>
      <c r="M15" s="636" t="str">
        <f t="shared" si="1"/>
        <v/>
      </c>
      <c r="N15" s="636" t="e">
        <f t="shared" si="1"/>
        <v>#REF!</v>
      </c>
      <c r="O15" s="636" t="e">
        <f t="shared" si="1"/>
        <v>#REF!</v>
      </c>
      <c r="P15" s="636" t="e">
        <f t="shared" si="1"/>
        <v>#REF!</v>
      </c>
      <c r="Q15" s="2037" t="e">
        <f t="shared" si="1"/>
        <v>#REF!</v>
      </c>
      <c r="R15" s="587"/>
    </row>
    <row r="16" spans="1:22" s="218" customFormat="1" ht="15" customHeight="1" x14ac:dyDescent="0.35">
      <c r="A16" s="6705"/>
      <c r="B16" s="5882"/>
      <c r="C16" s="5882"/>
      <c r="D16" s="5884"/>
      <c r="E16" s="5885"/>
      <c r="F16" s="1795"/>
      <c r="G16" s="1795">
        <f>IFERROR($D15*'02-CHANNELCAPACITY-SAAS-OFR1'!G20*'SALESPLAN 3Y'!$F$41,0)</f>
        <v>0</v>
      </c>
      <c r="H16" s="1795">
        <f>IFERROR($D15*'02-CHANNELCAPACITY-SAAS-OFR1'!H20*'SALESPLAN 3Y'!$F$41,0)</f>
        <v>0</v>
      </c>
      <c r="I16" s="1795">
        <f>IFERROR($D15*'02-CHANNELCAPACITY-SAAS-OFR1'!I20*'SALESPLAN 3Y'!$F$41,0)</f>
        <v>0</v>
      </c>
      <c r="J16" s="1795">
        <f>IFERROR($D15*'02-CHANNELCAPACITY-SAAS-OFR1'!J20*'SALESPLAN 3Y'!$F$41,0)</f>
        <v>0</v>
      </c>
      <c r="K16" s="2034">
        <f t="shared" si="0"/>
        <v>0</v>
      </c>
      <c r="L16" s="635"/>
      <c r="M16" s="636" t="str">
        <f t="shared" si="1"/>
        <v/>
      </c>
      <c r="N16" s="636" t="e">
        <f t="shared" si="1"/>
        <v>#REF!</v>
      </c>
      <c r="O16" s="636" t="e">
        <f t="shared" si="1"/>
        <v>#REF!</v>
      </c>
      <c r="P16" s="636" t="e">
        <f t="shared" si="1"/>
        <v>#REF!</v>
      </c>
      <c r="Q16" s="2037" t="e">
        <f t="shared" si="1"/>
        <v>#REF!</v>
      </c>
      <c r="R16" s="587"/>
    </row>
    <row r="17" spans="1:18" s="218" customFormat="1" ht="9" customHeight="1" thickBot="1" x14ac:dyDescent="0.4">
      <c r="A17" s="6706"/>
      <c r="B17" s="5887"/>
      <c r="C17" s="5887"/>
      <c r="D17" s="5887"/>
      <c r="E17" s="5887"/>
      <c r="F17" s="5887"/>
      <c r="G17" s="5887"/>
      <c r="H17" s="5887"/>
      <c r="I17" s="5887"/>
      <c r="J17" s="5887"/>
      <c r="K17" s="5888"/>
      <c r="L17" s="635"/>
      <c r="M17" s="635"/>
      <c r="N17" s="635"/>
      <c r="O17" s="635"/>
      <c r="P17" s="635"/>
      <c r="Q17" s="2022"/>
      <c r="R17" s="587"/>
    </row>
    <row r="18" spans="1:18" s="218" customFormat="1" ht="18" customHeight="1" thickBot="1" x14ac:dyDescent="0.4">
      <c r="A18" s="6707" t="s">
        <v>1158</v>
      </c>
      <c r="B18" s="5890"/>
      <c r="C18" s="5890"/>
      <c r="D18" s="5890"/>
      <c r="E18" s="5890"/>
      <c r="F18" s="1796">
        <f>SUM(F8:F16)</f>
        <v>0</v>
      </c>
      <c r="G18" s="1982" t="e">
        <f>SUM(G8:G17)</f>
        <v>#REF!</v>
      </c>
      <c r="H18" s="1982" t="e">
        <f>SUM(H8:H17)</f>
        <v>#REF!</v>
      </c>
      <c r="I18" s="1982" t="e">
        <f>SUM(I8:I17)</f>
        <v>#REF!</v>
      </c>
      <c r="J18" s="1983" t="e">
        <f>SUM(J8:J17)</f>
        <v>#REF!</v>
      </c>
      <c r="K18" s="2035" t="e">
        <f>SUM(K8:K17)</f>
        <v>#REF!</v>
      </c>
      <c r="L18" s="635"/>
      <c r="M18" s="640" t="e">
        <f>SUM(M8:M17)</f>
        <v>#REF!</v>
      </c>
      <c r="N18" s="640" t="e">
        <f>SUM(N8:N17)</f>
        <v>#REF!</v>
      </c>
      <c r="O18" s="640" t="e">
        <f>SUM(O8:O17)</f>
        <v>#REF!</v>
      </c>
      <c r="P18" s="640" t="e">
        <f>SUM(P8:P17)</f>
        <v>#REF!</v>
      </c>
      <c r="Q18" s="2038" t="e">
        <f>SUM(Q8:Q17)</f>
        <v>#REF!</v>
      </c>
      <c r="R18" s="587"/>
    </row>
    <row r="19" spans="1:18" s="218" customFormat="1" ht="18" customHeight="1" thickTop="1" x14ac:dyDescent="0.35">
      <c r="A19" s="2023"/>
      <c r="B19" s="635"/>
      <c r="C19" s="635"/>
      <c r="D19" s="548"/>
      <c r="E19" s="548"/>
      <c r="F19" s="618"/>
      <c r="G19" s="619"/>
      <c r="H19" s="619"/>
      <c r="I19" s="619"/>
      <c r="J19" s="619"/>
      <c r="K19" s="620"/>
      <c r="L19" s="635"/>
      <c r="M19" s="635"/>
      <c r="N19" s="635"/>
      <c r="O19" s="635"/>
      <c r="P19" s="635"/>
      <c r="Q19" s="2022"/>
      <c r="R19" s="587"/>
    </row>
    <row r="20" spans="1:18" s="218" customFormat="1" ht="4.5" customHeight="1" thickBot="1" x14ac:dyDescent="0.4">
      <c r="A20" s="2023"/>
      <c r="B20" s="635"/>
      <c r="C20" s="635"/>
      <c r="D20" s="548"/>
      <c r="E20" s="548"/>
      <c r="F20" s="618"/>
      <c r="G20" s="619"/>
      <c r="H20" s="619"/>
      <c r="I20" s="619"/>
      <c r="J20" s="619"/>
      <c r="K20" s="620"/>
      <c r="L20" s="635"/>
      <c r="M20" s="635"/>
      <c r="N20" s="635"/>
      <c r="O20" s="635"/>
      <c r="P20" s="635"/>
      <c r="Q20" s="635"/>
      <c r="R20" s="587"/>
    </row>
    <row r="21" spans="1:18" s="219" customFormat="1" ht="38.25" customHeight="1" thickTop="1" x14ac:dyDescent="0.35">
      <c r="A21" s="6710" t="s">
        <v>2221</v>
      </c>
      <c r="B21" s="6711"/>
      <c r="C21" s="6711"/>
      <c r="D21" s="6736" t="s">
        <v>2271</v>
      </c>
      <c r="E21" s="6736"/>
      <c r="F21" s="2332">
        <f>F6</f>
        <v>2017</v>
      </c>
      <c r="G21" s="2332">
        <f>G6</f>
        <v>2018</v>
      </c>
      <c r="H21" s="2332">
        <f>H6</f>
        <v>2019</v>
      </c>
      <c r="I21" s="2332">
        <f>I6</f>
        <v>2020</v>
      </c>
      <c r="J21" s="2396">
        <f>J6</f>
        <v>2021</v>
      </c>
      <c r="K21" s="6730"/>
      <c r="L21" s="6730"/>
      <c r="M21" s="6727" t="s">
        <v>1992</v>
      </c>
      <c r="N21" s="6728"/>
      <c r="O21" s="6728"/>
      <c r="P21" s="6728"/>
      <c r="Q21" s="6729"/>
      <c r="R21" s="622"/>
    </row>
    <row r="22" spans="1:18" s="218" customFormat="1" ht="28.5" customHeight="1" thickBot="1" x14ac:dyDescent="0.4">
      <c r="A22" s="6737" t="s">
        <v>2074</v>
      </c>
      <c r="B22" s="5877"/>
      <c r="C22" s="5877"/>
      <c r="D22" s="2500" t="s">
        <v>2130</v>
      </c>
      <c r="E22" s="623" t="s">
        <v>842</v>
      </c>
      <c r="F22" s="6699" t="s">
        <v>2021</v>
      </c>
      <c r="G22" s="6700"/>
      <c r="H22" s="6700"/>
      <c r="I22" s="6700"/>
      <c r="J22" s="6701"/>
      <c r="K22" s="6731"/>
      <c r="L22" s="6731"/>
      <c r="M22" s="2401"/>
      <c r="N22" s="624"/>
      <c r="O22" s="624"/>
      <c r="P22" s="624"/>
      <c r="Q22" s="2402"/>
      <c r="R22" s="531"/>
    </row>
    <row r="23" spans="1:18" s="218" customFormat="1" ht="22.5" customHeight="1" thickBot="1" x14ac:dyDescent="0.4">
      <c r="A23" s="6737"/>
      <c r="B23" s="5877"/>
      <c r="C23" s="5877"/>
      <c r="D23" s="659">
        <f>BUSINESSCARD!J9</f>
        <v>0.06</v>
      </c>
      <c r="E23" s="659">
        <v>0.1</v>
      </c>
      <c r="F23" s="6702"/>
      <c r="G23" s="6703"/>
      <c r="H23" s="6703"/>
      <c r="I23" s="6703"/>
      <c r="J23" s="6704"/>
      <c r="K23" s="6731"/>
      <c r="L23" s="6731"/>
      <c r="M23" s="2403">
        <f>F21</f>
        <v>2017</v>
      </c>
      <c r="N23" s="2345">
        <f>G21</f>
        <v>2018</v>
      </c>
      <c r="O23" s="2345">
        <f>H21</f>
        <v>2019</v>
      </c>
      <c r="P23" s="2345">
        <f>I21</f>
        <v>2020</v>
      </c>
      <c r="Q23" s="2404">
        <f>J21</f>
        <v>2021</v>
      </c>
      <c r="R23" s="531"/>
    </row>
    <row r="24" spans="1:18" s="218" customFormat="1" ht="15" customHeight="1" x14ac:dyDescent="0.35">
      <c r="A24" s="6696" t="str">
        <f>TYPOPARTNER!A11:D11</f>
        <v>Force de vente directe</v>
      </c>
      <c r="B24" s="5860"/>
      <c r="C24" s="5860"/>
      <c r="D24" s="4623">
        <v>0</v>
      </c>
      <c r="E24" s="4623"/>
      <c r="F24" s="1174">
        <v>0</v>
      </c>
      <c r="G24" s="1174">
        <v>0</v>
      </c>
      <c r="H24" s="1174">
        <v>0</v>
      </c>
      <c r="I24" s="1174">
        <v>0</v>
      </c>
      <c r="J24" s="2397">
        <v>0</v>
      </c>
      <c r="K24" s="6731"/>
      <c r="L24" s="6731"/>
      <c r="M24" s="2405" t="e">
        <f>IF($F$36=0,"",F24/$F$36)</f>
        <v>#REF!</v>
      </c>
      <c r="N24" s="633" t="e">
        <f t="shared" ref="N24:N34" si="2">IF($G$36=0,"",G24/$G$36)</f>
        <v>#REF!</v>
      </c>
      <c r="O24" s="633" t="e">
        <f t="shared" ref="O24:O34" si="3">IF($H$36=0,"",H24/$H$36)</f>
        <v>#REF!</v>
      </c>
      <c r="P24" s="633" t="e">
        <f t="shared" ref="P24:Q34" si="4">IF($I$36=0,"",I24/$I$36)</f>
        <v>#REF!</v>
      </c>
      <c r="Q24" s="2406" t="e">
        <f t="shared" si="4"/>
        <v>#REF!</v>
      </c>
      <c r="R24" s="635"/>
    </row>
    <row r="25" spans="1:18" s="218" customFormat="1" ht="15" customHeight="1" x14ac:dyDescent="0.35">
      <c r="A25" s="6696" t="str">
        <f>TYPOPARTNER!A12:D12</f>
        <v xml:space="preserve">VARs / SS2I locales </v>
      </c>
      <c r="B25" s="5860"/>
      <c r="C25" s="5860"/>
      <c r="D25" s="631"/>
      <c r="E25" s="631"/>
      <c r="F25" s="2018" t="e">
        <f>('SALESPLAN 3Y'!#REF!*'SALESPLAN 3Y'!$F$42*'02-BUSINESS4PARTNER-OFR1'!$D$23)</f>
        <v>#REF!</v>
      </c>
      <c r="G25" s="2018" t="e">
        <f>('SALESPLAN 3Y'!#REF!*'SALESPLAN 3Y'!$F$42*'02-BUSINESS4PARTNER-OFR1'!$D$23)+('SALESPLAN 3Y'!#REF!*'SALESPLAN 3Y'!$F$42*'02-BUSINESS4PARTNER-OFR1'!$E$23)</f>
        <v>#REF!</v>
      </c>
      <c r="H25" s="2018" t="e">
        <f>('SALESPLAN 3Y'!#REF!*'SALESPLAN 3Y'!$F$42*'02-BUSINESS4PARTNER-OFR1'!$D$23)+('SALESPLAN 3Y'!#REF!*'SALESPLAN 3Y'!$F$42*'02-BUSINESS4PARTNER-OFR1'!$E$23)+('SALESPLAN 3Y'!#REF!*'SALESPLAN 3Y'!$F$42*'02-BUSINESS4PARTNER-OFR1'!$E$23)</f>
        <v>#REF!</v>
      </c>
      <c r="I25" s="2018" t="e">
        <f>('SALESPLAN 3Y'!#REF!*'SALESPLAN 3Y'!$F$42*'02-BUSINESS4PARTNER-OFR1'!$D$23)+('SALESPLAN 3Y'!#REF!*'SALESPLAN 3Y'!$F$42*'02-BUSINESS4PARTNER-OFR1'!$E$23)+('SALESPLAN 3Y'!#REF!*'SALESPLAN 3Y'!$F$42*'02-BUSINESS4PARTNER-OFR1'!$E$23)+('SALESPLAN 3Y'!#REF!*'SALESPLAN 3Y'!$F$42*'02-BUSINESS4PARTNER-OFR1'!$E$23)</f>
        <v>#REF!</v>
      </c>
      <c r="J25" s="2018" t="e">
        <f>('SALESPLAN 3Y'!#REF!*'SALESPLAN 3Y'!$F$42*'02-BUSINESS4PARTNER-OFR1'!$D$23)+('SALESPLAN 3Y'!#REF!*'SALESPLAN 3Y'!$F$42*'02-BUSINESS4PARTNER-OFR1'!$E$23)+('SALESPLAN 3Y'!#REF!*'SALESPLAN 3Y'!$F$42*'02-BUSINESS4PARTNER-OFR1'!$E$23)+('SALESPLAN 3Y'!#REF!*'SALESPLAN 3Y'!$F$42*'02-BUSINESS4PARTNER-OFR1'!$E$23)+('SALESPLAN 3Y'!#REF!*'SALESPLAN 3Y'!$F$42*'02-BUSINESS4PARTNER-OFR1'!$E$23)</f>
        <v>#REF!</v>
      </c>
      <c r="K25" s="6731"/>
      <c r="L25" s="6731"/>
      <c r="M25" s="2407" t="e">
        <f>IF($F$36=0,"",#REF!/$F$36)</f>
        <v>#REF!</v>
      </c>
      <c r="N25" s="511" t="e">
        <f t="shared" si="2"/>
        <v>#REF!</v>
      </c>
      <c r="O25" s="511" t="e">
        <f t="shared" si="3"/>
        <v>#REF!</v>
      </c>
      <c r="P25" s="511" t="e">
        <f t="shared" si="4"/>
        <v>#REF!</v>
      </c>
      <c r="Q25" s="2408" t="e">
        <f>IF($J$36=0,"",J25/$J$36)</f>
        <v>#REF!</v>
      </c>
      <c r="R25" s="587"/>
    </row>
    <row r="26" spans="1:18" s="218" customFormat="1" ht="15" customHeight="1" x14ac:dyDescent="0.35">
      <c r="A26" s="6696" t="str">
        <f>TYPOPARTNER!A13:D13</f>
        <v>ESN ( SS2I )</v>
      </c>
      <c r="B26" s="5860"/>
      <c r="C26" s="5860"/>
      <c r="D26" s="631"/>
      <c r="E26" s="631"/>
      <c r="F26" s="2018" t="e">
        <f>('SALESPLAN 3Y'!#REF!*'SALESPLAN 3Y'!$F$42*'02-BUSINESS4PARTNER-OFR1'!$D$23)</f>
        <v>#REF!</v>
      </c>
      <c r="G26" s="2018" t="e">
        <f>('SALESPLAN 3Y'!#REF!*'SALESPLAN 3Y'!$F$42*'02-BUSINESS4PARTNER-OFR1'!$D$23)+('SALESPLAN 3Y'!#REF!*'SALESPLAN 3Y'!$F$42*'02-BUSINESS4PARTNER-OFR1'!$E$23)</f>
        <v>#REF!</v>
      </c>
      <c r="H26" s="2018" t="e">
        <f>('SALESPLAN 3Y'!#REF!*'SALESPLAN 3Y'!$F$42*'02-BUSINESS4PARTNER-OFR1'!$D$23)+('SALESPLAN 3Y'!#REF!*'SALESPLAN 3Y'!$F$42*'02-BUSINESS4PARTNER-OFR1'!$E$23)+('SALESPLAN 3Y'!#REF!*'SALESPLAN 3Y'!$F$42*'02-BUSINESS4PARTNER-OFR1'!$E$23)</f>
        <v>#REF!</v>
      </c>
      <c r="I26" s="2018" t="e">
        <f>('SALESPLAN 3Y'!#REF!*'SALESPLAN 3Y'!$F$42*'02-BUSINESS4PARTNER-OFR1'!$D$23)+('SALESPLAN 3Y'!#REF!*'SALESPLAN 3Y'!$F$42*'02-BUSINESS4PARTNER-OFR1'!$E$23)+('SALESPLAN 3Y'!#REF!*'SALESPLAN 3Y'!$F$42*'02-BUSINESS4PARTNER-OFR1'!$E$23)+('SALESPLAN 3Y'!#REF!*'SALESPLAN 3Y'!$F$42*'02-BUSINESS4PARTNER-OFR1'!$E$23)</f>
        <v>#REF!</v>
      </c>
      <c r="J26" s="2018" t="e">
        <f>('SALESPLAN 3Y'!#REF!*'SALESPLAN 3Y'!$F$42*'02-BUSINESS4PARTNER-OFR1'!$D$23)+('SALESPLAN 3Y'!#REF!*'SALESPLAN 3Y'!$F$42*'02-BUSINESS4PARTNER-OFR1'!$E$23)+('SALESPLAN 3Y'!#REF!*'SALESPLAN 3Y'!$F$42*'02-BUSINESS4PARTNER-OFR1'!$E$23)+('SALESPLAN 3Y'!#REF!*'SALESPLAN 3Y'!$F$42*'02-BUSINESS4PARTNER-OFR1'!$E$23)+('SALESPLAN 3Y'!#REF!*'SALESPLAN 3Y'!$F$42*'02-BUSINESS4PARTNER-OFR1'!$E$23)</f>
        <v>#REF!</v>
      </c>
      <c r="K26" s="6731"/>
      <c r="L26" s="6731"/>
      <c r="M26" s="2407" t="e">
        <f t="shared" ref="M26:M34" si="5">IF($F$36=0,"",F26/$F$36)</f>
        <v>#REF!</v>
      </c>
      <c r="N26" s="511" t="e">
        <f t="shared" si="2"/>
        <v>#REF!</v>
      </c>
      <c r="O26" s="511" t="e">
        <f t="shared" si="3"/>
        <v>#REF!</v>
      </c>
      <c r="P26" s="511" t="e">
        <f t="shared" si="4"/>
        <v>#REF!</v>
      </c>
      <c r="Q26" s="2408" t="e">
        <f>IF($J$36=0,"",J26/$J$36)</f>
        <v>#REF!</v>
      </c>
      <c r="R26" s="587"/>
    </row>
    <row r="27" spans="1:18" s="218" customFormat="1" ht="15" customHeight="1" x14ac:dyDescent="0.35">
      <c r="A27" s="6696" t="str">
        <f>TYPOPARTNER!A14:D14</f>
        <v>Constructeurs Matériel</v>
      </c>
      <c r="B27" s="5860"/>
      <c r="C27" s="5860"/>
      <c r="D27" s="631"/>
      <c r="E27" s="631"/>
      <c r="F27" s="2018" t="e">
        <f>('SALESPLAN 3Y'!#REF!*'SALESPLAN 3Y'!$F$42*'02-BUSINESS4PARTNER-OFR1'!$D$23)</f>
        <v>#REF!</v>
      </c>
      <c r="G27" s="2018" t="e">
        <f>('SALESPLAN 3Y'!#REF!*'SALESPLAN 3Y'!$F$42*'02-BUSINESS4PARTNER-OFR1'!$D$23)+('SALESPLAN 3Y'!#REF!*'SALESPLAN 3Y'!$F$42*'02-BUSINESS4PARTNER-OFR1'!$E$23)</f>
        <v>#REF!</v>
      </c>
      <c r="H27" s="2018" t="e">
        <f>('SALESPLAN 3Y'!#REF!*'SALESPLAN 3Y'!$F$42*'02-BUSINESS4PARTNER-OFR1'!$D$23)+('SALESPLAN 3Y'!#REF!*'SALESPLAN 3Y'!$F$42*'02-BUSINESS4PARTNER-OFR1'!$E$23)+('SALESPLAN 3Y'!#REF!*'SALESPLAN 3Y'!$F$42*'02-BUSINESS4PARTNER-OFR1'!$E$23)</f>
        <v>#REF!</v>
      </c>
      <c r="I27" s="2018" t="e">
        <f>('SALESPLAN 3Y'!#REF!*'SALESPLAN 3Y'!$F$42*'02-BUSINESS4PARTNER-OFR1'!$D$23)+('SALESPLAN 3Y'!#REF!*'SALESPLAN 3Y'!$F$42*'02-BUSINESS4PARTNER-OFR1'!$E$23)+('SALESPLAN 3Y'!#REF!*'SALESPLAN 3Y'!$F$42*'02-BUSINESS4PARTNER-OFR1'!$E$23)+('SALESPLAN 3Y'!#REF!*'SALESPLAN 3Y'!$F$42*'02-BUSINESS4PARTNER-OFR1'!$E$23)</f>
        <v>#REF!</v>
      </c>
      <c r="J27" s="2018" t="e">
        <f>('SALESPLAN 3Y'!#REF!*'SALESPLAN 3Y'!$F$42*'02-BUSINESS4PARTNER-OFR1'!$D$23)+('SALESPLAN 3Y'!#REF!*'SALESPLAN 3Y'!$F$42*'02-BUSINESS4PARTNER-OFR1'!$E$23)+('SALESPLAN 3Y'!#REF!*'SALESPLAN 3Y'!$F$42*'02-BUSINESS4PARTNER-OFR1'!$E$23)+('SALESPLAN 3Y'!#REF!*'SALESPLAN 3Y'!$F$42*'02-BUSINESS4PARTNER-OFR1'!$E$23)+('SALESPLAN 3Y'!#REF!*'SALESPLAN 3Y'!$F$42*'02-BUSINESS4PARTNER-OFR1'!$E$23)</f>
        <v>#REF!</v>
      </c>
      <c r="K27" s="6731"/>
      <c r="L27" s="6731"/>
      <c r="M27" s="2407" t="e">
        <f t="shared" si="5"/>
        <v>#REF!</v>
      </c>
      <c r="N27" s="511" t="e">
        <f t="shared" si="2"/>
        <v>#REF!</v>
      </c>
      <c r="O27" s="511" t="e">
        <f t="shared" si="3"/>
        <v>#REF!</v>
      </c>
      <c r="P27" s="511" t="e">
        <f t="shared" si="4"/>
        <v>#REF!</v>
      </c>
      <c r="Q27" s="2408" t="e">
        <f t="shared" ref="Q27:Q34" si="6">IF($J$36=0,"",J27/$J$36)</f>
        <v>#REF!</v>
      </c>
      <c r="R27" s="587"/>
    </row>
    <row r="28" spans="1:18" s="218" customFormat="1" ht="15" customHeight="1" x14ac:dyDescent="0.35">
      <c r="A28" s="6696" t="str">
        <f>TYPOPARTNER!A15:D15</f>
        <v>Editeurs de solutions complémentaires</v>
      </c>
      <c r="B28" s="5860"/>
      <c r="C28" s="5860"/>
      <c r="D28" s="631"/>
      <c r="E28" s="631"/>
      <c r="F28" s="2018" t="e">
        <f>('SALESPLAN 3Y'!#REF!*'SALESPLAN 3Y'!$F$42*'02-BUSINESS4PARTNER-OFR1'!$D$23)</f>
        <v>#REF!</v>
      </c>
      <c r="G28" s="2018" t="e">
        <f>('SALESPLAN 3Y'!#REF!*'SALESPLAN 3Y'!$F$42*'02-BUSINESS4PARTNER-OFR1'!$D$23)+('SALESPLAN 3Y'!#REF!*'SALESPLAN 3Y'!$F$42*'02-BUSINESS4PARTNER-OFR1'!$E$23)</f>
        <v>#REF!</v>
      </c>
      <c r="H28" s="2018" t="e">
        <f>('SALESPLAN 3Y'!#REF!*'SALESPLAN 3Y'!$F$42*'02-BUSINESS4PARTNER-OFR1'!$D$23)+('SALESPLAN 3Y'!#REF!*'SALESPLAN 3Y'!$F$42*'02-BUSINESS4PARTNER-OFR1'!$E$23)+('SALESPLAN 3Y'!#REF!*'SALESPLAN 3Y'!$F$42*'02-BUSINESS4PARTNER-OFR1'!$E$23)</f>
        <v>#REF!</v>
      </c>
      <c r="I28" s="2018" t="e">
        <f>('SALESPLAN 3Y'!#REF!*'SALESPLAN 3Y'!$F$42*'02-BUSINESS4PARTNER-OFR1'!$D$23)+('SALESPLAN 3Y'!#REF!*'SALESPLAN 3Y'!$F$42*'02-BUSINESS4PARTNER-OFR1'!$E$23)+('SALESPLAN 3Y'!#REF!*'SALESPLAN 3Y'!$F$42*'02-BUSINESS4PARTNER-OFR1'!$E$23)+('SALESPLAN 3Y'!#REF!*'SALESPLAN 3Y'!$F$42*'02-BUSINESS4PARTNER-OFR1'!$E$23)</f>
        <v>#REF!</v>
      </c>
      <c r="J28" s="2018" t="e">
        <f>('SALESPLAN 3Y'!#REF!*'SALESPLAN 3Y'!$F$42*'02-BUSINESS4PARTNER-OFR1'!$D$23)+('SALESPLAN 3Y'!#REF!*'SALESPLAN 3Y'!$F$42*'02-BUSINESS4PARTNER-OFR1'!$E$23)+('SALESPLAN 3Y'!#REF!*'SALESPLAN 3Y'!$F$42*'02-BUSINESS4PARTNER-OFR1'!$E$23)+('SALESPLAN 3Y'!#REF!*'SALESPLAN 3Y'!$F$42*'02-BUSINESS4PARTNER-OFR1'!$E$23)+('SALESPLAN 3Y'!#REF!*'SALESPLAN 3Y'!$F$42*'02-BUSINESS4PARTNER-OFR1'!$E$23)</f>
        <v>#REF!</v>
      </c>
      <c r="K28" s="6731"/>
      <c r="L28" s="6731"/>
      <c r="M28" s="2407" t="e">
        <f>IF($F$36=0,"",F25/$F$36)</f>
        <v>#REF!</v>
      </c>
      <c r="N28" s="511" t="e">
        <f t="shared" si="2"/>
        <v>#REF!</v>
      </c>
      <c r="O28" s="511" t="e">
        <f t="shared" si="3"/>
        <v>#REF!</v>
      </c>
      <c r="P28" s="511" t="e">
        <f t="shared" si="4"/>
        <v>#REF!</v>
      </c>
      <c r="Q28" s="2408" t="e">
        <f t="shared" si="6"/>
        <v>#REF!</v>
      </c>
      <c r="R28" s="587"/>
    </row>
    <row r="29" spans="1:18" s="218" customFormat="1" ht="15" customHeight="1" x14ac:dyDescent="0.35">
      <c r="A29" s="6696" t="str">
        <f>TYPOPARTNER!A16:D16</f>
        <v>Cabinets de conseil / Consultants</v>
      </c>
      <c r="B29" s="5860"/>
      <c r="C29" s="5860"/>
      <c r="D29" s="631"/>
      <c r="E29" s="631"/>
      <c r="F29" s="2018" t="e">
        <f>('SALESPLAN 3Y'!#REF!*'SALESPLAN 3Y'!$F$42*'02-BUSINESS4PARTNER-OFR1'!$D$23)</f>
        <v>#REF!</v>
      </c>
      <c r="G29" s="2018" t="e">
        <f>('SALESPLAN 3Y'!#REF!*'SALESPLAN 3Y'!$F$42*'02-BUSINESS4PARTNER-OFR1'!$D$23)+('SALESPLAN 3Y'!#REF!*'SALESPLAN 3Y'!$F$42*'02-BUSINESS4PARTNER-OFR1'!$E$23)</f>
        <v>#REF!</v>
      </c>
      <c r="H29" s="2018" t="e">
        <f>('SALESPLAN 3Y'!#REF!*'SALESPLAN 3Y'!$F$42*'02-BUSINESS4PARTNER-OFR1'!$D$23)+('SALESPLAN 3Y'!#REF!*'SALESPLAN 3Y'!$F$42*'02-BUSINESS4PARTNER-OFR1'!$E$23)+('SALESPLAN 3Y'!#REF!*'SALESPLAN 3Y'!$F$42*'02-BUSINESS4PARTNER-OFR1'!$E$23)</f>
        <v>#REF!</v>
      </c>
      <c r="I29" s="2018" t="e">
        <f>('SALESPLAN 3Y'!#REF!*'SALESPLAN 3Y'!$F$42*'02-BUSINESS4PARTNER-OFR1'!$D$23)+('SALESPLAN 3Y'!#REF!*'SALESPLAN 3Y'!$F$42*'02-BUSINESS4PARTNER-OFR1'!$E$23)+('SALESPLAN 3Y'!#REF!*'SALESPLAN 3Y'!$F$42*'02-BUSINESS4PARTNER-OFR1'!$E$23)+('SALESPLAN 3Y'!#REF!*'SALESPLAN 3Y'!$F$42*'02-BUSINESS4PARTNER-OFR1'!$E$23)</f>
        <v>#REF!</v>
      </c>
      <c r="J29" s="2018" t="e">
        <f>('SALESPLAN 3Y'!#REF!*'SALESPLAN 3Y'!$F$42*'02-BUSINESS4PARTNER-OFR1'!$D$23)+('SALESPLAN 3Y'!#REF!*'SALESPLAN 3Y'!$F$42*'02-BUSINESS4PARTNER-OFR1'!$E$23)+('SALESPLAN 3Y'!#REF!*'SALESPLAN 3Y'!$F$42*'02-BUSINESS4PARTNER-OFR1'!$E$23)+('SALESPLAN 3Y'!#REF!*'SALESPLAN 3Y'!$F$42*'02-BUSINESS4PARTNER-OFR1'!$E$23)+('SALESPLAN 3Y'!#REF!*'SALESPLAN 3Y'!$F$42*'02-BUSINESS4PARTNER-OFR1'!$E$23)</f>
        <v>#REF!</v>
      </c>
      <c r="K29" s="6731"/>
      <c r="L29" s="6731"/>
      <c r="M29" s="2407" t="e">
        <f t="shared" si="5"/>
        <v>#REF!</v>
      </c>
      <c r="N29" s="511" t="e">
        <f t="shared" si="2"/>
        <v>#REF!</v>
      </c>
      <c r="O29" s="511" t="e">
        <f t="shared" si="3"/>
        <v>#REF!</v>
      </c>
      <c r="P29" s="511" t="e">
        <f t="shared" si="4"/>
        <v>#REF!</v>
      </c>
      <c r="Q29" s="2408" t="e">
        <f t="shared" si="6"/>
        <v>#REF!</v>
      </c>
      <c r="R29" s="587"/>
    </row>
    <row r="30" spans="1:18" s="218" customFormat="1" ht="14.5" x14ac:dyDescent="0.35">
      <c r="A30" s="6696" t="str">
        <f>TYPOPARTNER!A17:D17</f>
        <v xml:space="preserve">Hébergeurs </v>
      </c>
      <c r="B30" s="5860"/>
      <c r="C30" s="5860"/>
      <c r="D30" s="631"/>
      <c r="E30" s="631"/>
      <c r="F30" s="2018" t="e">
        <f>('SALESPLAN 3Y'!#REF!*'SALESPLAN 3Y'!$F$42*'02-BUSINESS4PARTNER-OFR1'!$D$23)</f>
        <v>#REF!</v>
      </c>
      <c r="G30" s="2018" t="e">
        <f>('SALESPLAN 3Y'!#REF!*'SALESPLAN 3Y'!$F$42*'02-BUSINESS4PARTNER-OFR1'!$D$23)+('SALESPLAN 3Y'!#REF!*'SALESPLAN 3Y'!$F$42*'02-BUSINESS4PARTNER-OFR1'!$E$23)</f>
        <v>#REF!</v>
      </c>
      <c r="H30" s="2018" t="e">
        <f>('SALESPLAN 3Y'!#REF!*'SALESPLAN 3Y'!$F$42*'02-BUSINESS4PARTNER-OFR1'!$D$23)+('SALESPLAN 3Y'!#REF!*'SALESPLAN 3Y'!$F$42*'02-BUSINESS4PARTNER-OFR1'!$E$23)+('SALESPLAN 3Y'!#REF!*'SALESPLAN 3Y'!$F$42*'02-BUSINESS4PARTNER-OFR1'!$E$23)</f>
        <v>#REF!</v>
      </c>
      <c r="I30" s="2018" t="e">
        <f>('SALESPLAN 3Y'!#REF!*'SALESPLAN 3Y'!$F$42*'02-BUSINESS4PARTNER-OFR1'!$D$23)+('SALESPLAN 3Y'!#REF!*'SALESPLAN 3Y'!$F$42*'02-BUSINESS4PARTNER-OFR1'!$E$23)+('SALESPLAN 3Y'!#REF!*'SALESPLAN 3Y'!$F$42*'02-BUSINESS4PARTNER-OFR1'!$E$23)+('SALESPLAN 3Y'!#REF!*'SALESPLAN 3Y'!$F$42*'02-BUSINESS4PARTNER-OFR1'!$E$23)</f>
        <v>#REF!</v>
      </c>
      <c r="J30" s="2018" t="e">
        <f>('SALESPLAN 3Y'!#REF!*'SALESPLAN 3Y'!$F$42*'02-BUSINESS4PARTNER-OFR1'!$D$23)+('SALESPLAN 3Y'!#REF!*'SALESPLAN 3Y'!$F$42*'02-BUSINESS4PARTNER-OFR1'!$E$23)+('SALESPLAN 3Y'!#REF!*'SALESPLAN 3Y'!$F$42*'02-BUSINESS4PARTNER-OFR1'!$E$23)+('SALESPLAN 3Y'!#REF!*'SALESPLAN 3Y'!$F$42*'02-BUSINESS4PARTNER-OFR1'!$E$23)+('SALESPLAN 3Y'!#REF!*'SALESPLAN 3Y'!$F$42*'02-BUSINESS4PARTNER-OFR1'!$E$23)</f>
        <v>#REF!</v>
      </c>
      <c r="K30" s="6731"/>
      <c r="L30" s="6731"/>
      <c r="M30" s="2407" t="e">
        <f t="shared" si="5"/>
        <v>#REF!</v>
      </c>
      <c r="N30" s="511" t="e">
        <f t="shared" si="2"/>
        <v>#REF!</v>
      </c>
      <c r="O30" s="511" t="e">
        <f t="shared" si="3"/>
        <v>#REF!</v>
      </c>
      <c r="P30" s="511" t="e">
        <f t="shared" si="4"/>
        <v>#REF!</v>
      </c>
      <c r="Q30" s="2408" t="e">
        <f t="shared" si="6"/>
        <v>#REF!</v>
      </c>
      <c r="R30" s="587"/>
    </row>
    <row r="31" spans="1:18" s="218" customFormat="1" ht="14.5" x14ac:dyDescent="0.35">
      <c r="A31" s="6696" t="str">
        <f>TYPOPARTNER!A18:D18</f>
        <v>Agrégateurs</v>
      </c>
      <c r="B31" s="5860"/>
      <c r="C31" s="5860"/>
      <c r="D31" s="631"/>
      <c r="E31" s="631"/>
      <c r="F31" s="2018" t="e">
        <f>('SALESPLAN 3Y'!#REF!*'SALESPLAN 3Y'!$F$42*'02-BUSINESS4PARTNER-OFR1'!$D$23)</f>
        <v>#REF!</v>
      </c>
      <c r="G31" s="2018" t="e">
        <f>('SALESPLAN 3Y'!#REF!*'SALESPLAN 3Y'!$F$42*'02-BUSINESS4PARTNER-OFR1'!$D$23)+('SALESPLAN 3Y'!#REF!*'SALESPLAN 3Y'!$F$42*'02-BUSINESS4PARTNER-OFR1'!$E$23)</f>
        <v>#REF!</v>
      </c>
      <c r="H31" s="2018" t="e">
        <f>('SALESPLAN 3Y'!#REF!*'SALESPLAN 3Y'!$F$42*'02-BUSINESS4PARTNER-OFR1'!$D$23)+('SALESPLAN 3Y'!#REF!*'SALESPLAN 3Y'!$F$42*'02-BUSINESS4PARTNER-OFR1'!$E$23)+('SALESPLAN 3Y'!#REF!*'SALESPLAN 3Y'!$F$42*'02-BUSINESS4PARTNER-OFR1'!$E$23)</f>
        <v>#REF!</v>
      </c>
      <c r="I31" s="2018" t="e">
        <f>('SALESPLAN 3Y'!#REF!*'SALESPLAN 3Y'!$F$42*'02-BUSINESS4PARTNER-OFR1'!$D$23)+('SALESPLAN 3Y'!#REF!*'SALESPLAN 3Y'!$F$42*'02-BUSINESS4PARTNER-OFR1'!$E$23)+('SALESPLAN 3Y'!#REF!*'SALESPLAN 3Y'!$F$42*'02-BUSINESS4PARTNER-OFR1'!$E$23)+('SALESPLAN 3Y'!#REF!*'SALESPLAN 3Y'!$F$42*'02-BUSINESS4PARTNER-OFR1'!$E$23)</f>
        <v>#REF!</v>
      </c>
      <c r="J31" s="2018" t="e">
        <f>('SALESPLAN 3Y'!#REF!*'SALESPLAN 3Y'!$F$42*'02-BUSINESS4PARTNER-OFR1'!$D$23)+('SALESPLAN 3Y'!#REF!*'SALESPLAN 3Y'!$F$42*'02-BUSINESS4PARTNER-OFR1'!$E$23)+('SALESPLAN 3Y'!#REF!*'SALESPLAN 3Y'!$F$42*'02-BUSINESS4PARTNER-OFR1'!$E$23)+('SALESPLAN 3Y'!#REF!*'SALESPLAN 3Y'!$F$42*'02-BUSINESS4PARTNER-OFR1'!$E$23)+('SALESPLAN 3Y'!#REF!*'SALESPLAN 3Y'!$F$42*'02-BUSINESS4PARTNER-OFR1'!$E$23)</f>
        <v>#REF!</v>
      </c>
      <c r="K31" s="6731"/>
      <c r="L31" s="6731"/>
      <c r="M31" s="2407" t="e">
        <f t="shared" si="5"/>
        <v>#REF!</v>
      </c>
      <c r="N31" s="511" t="e">
        <f t="shared" si="2"/>
        <v>#REF!</v>
      </c>
      <c r="O31" s="511" t="e">
        <f t="shared" si="3"/>
        <v>#REF!</v>
      </c>
      <c r="P31" s="511" t="e">
        <f t="shared" si="4"/>
        <v>#REF!</v>
      </c>
      <c r="Q31" s="2408" t="e">
        <f t="shared" si="6"/>
        <v>#REF!</v>
      </c>
      <c r="R31" s="587"/>
    </row>
    <row r="32" spans="1:18" s="218" customFormat="1" ht="14.5" x14ac:dyDescent="0.35">
      <c r="A32" s="6696" t="str">
        <f>TYPOPARTNER!A19:D19</f>
        <v>Autre</v>
      </c>
      <c r="B32" s="5860"/>
      <c r="C32" s="5860"/>
      <c r="D32" s="631"/>
      <c r="E32" s="631"/>
      <c r="F32" s="2018" t="e">
        <f>('SALESPLAN 3Y'!#REF!*'SALESPLAN 3Y'!$F$42*'02-BUSINESS4PARTNER-OFR1'!$D$23)</f>
        <v>#REF!</v>
      </c>
      <c r="G32" s="2018" t="e">
        <f>('SALESPLAN 3Y'!#REF!*'SALESPLAN 3Y'!$F$42*'02-BUSINESS4PARTNER-OFR1'!$D$23)+('SALESPLAN 3Y'!#REF!*'SALESPLAN 3Y'!$F$42*'02-BUSINESS4PARTNER-OFR1'!$E$23)</f>
        <v>#REF!</v>
      </c>
      <c r="H32" s="2018" t="e">
        <f>('SALESPLAN 3Y'!#REF!*'SALESPLAN 3Y'!$F$42*'02-BUSINESS4PARTNER-OFR1'!$D$23)+('SALESPLAN 3Y'!#REF!*'SALESPLAN 3Y'!$F$42*'02-BUSINESS4PARTNER-OFR1'!$E$23)+('SALESPLAN 3Y'!#REF!*'SALESPLAN 3Y'!$F$42*'02-BUSINESS4PARTNER-OFR1'!$E$23)</f>
        <v>#REF!</v>
      </c>
      <c r="I32" s="2018" t="e">
        <f>('SALESPLAN 3Y'!#REF!*'SALESPLAN 3Y'!$F$42*'02-BUSINESS4PARTNER-OFR1'!$D$23)+('SALESPLAN 3Y'!#REF!*'SALESPLAN 3Y'!$F$42*'02-BUSINESS4PARTNER-OFR1'!$E$23)+('SALESPLAN 3Y'!#REF!*'SALESPLAN 3Y'!$F$42*'02-BUSINESS4PARTNER-OFR1'!$E$23)+('SALESPLAN 3Y'!#REF!*'SALESPLAN 3Y'!$F$42*'02-BUSINESS4PARTNER-OFR1'!$E$23)</f>
        <v>#REF!</v>
      </c>
      <c r="J32" s="2018" t="e">
        <f>('SALESPLAN 3Y'!#REF!*'SALESPLAN 3Y'!$F$42*'02-BUSINESS4PARTNER-OFR1'!$D$23)+('SALESPLAN 3Y'!#REF!*'SALESPLAN 3Y'!$F$42*'02-BUSINESS4PARTNER-OFR1'!$E$23)+('SALESPLAN 3Y'!#REF!*'SALESPLAN 3Y'!$F$42*'02-BUSINESS4PARTNER-OFR1'!$E$23)+('SALESPLAN 3Y'!#REF!*'SALESPLAN 3Y'!$F$42*'02-BUSINESS4PARTNER-OFR1'!$E$23)+('SALESPLAN 3Y'!#REF!*'SALESPLAN 3Y'!$F$42*'02-BUSINESS4PARTNER-OFR1'!$E$23)</f>
        <v>#REF!</v>
      </c>
      <c r="K32" s="6731"/>
      <c r="L32" s="6731"/>
      <c r="M32" s="2407" t="e">
        <f t="shared" si="5"/>
        <v>#REF!</v>
      </c>
      <c r="N32" s="511" t="e">
        <f t="shared" si="2"/>
        <v>#REF!</v>
      </c>
      <c r="O32" s="511" t="e">
        <f t="shared" si="3"/>
        <v>#REF!</v>
      </c>
      <c r="P32" s="511" t="e">
        <f t="shared" si="4"/>
        <v>#REF!</v>
      </c>
      <c r="Q32" s="2408" t="e">
        <f t="shared" si="6"/>
        <v>#REF!</v>
      </c>
      <c r="R32" s="587"/>
    </row>
    <row r="33" spans="1:18" s="218" customFormat="1" ht="14.5" x14ac:dyDescent="0.35">
      <c r="A33" s="6696">
        <f>TYPOPARTNER!A20:D20</f>
        <v>0</v>
      </c>
      <c r="B33" s="5860"/>
      <c r="C33" s="5860"/>
      <c r="D33" s="631"/>
      <c r="E33" s="631"/>
      <c r="F33" s="2018" t="e">
        <f>('SALESPLAN 3Y'!#REF!*'SALESPLAN 3Y'!$F$42*'02-BUSINESS4PARTNER-OFR1'!$D$23)</f>
        <v>#REF!</v>
      </c>
      <c r="G33" s="2018" t="e">
        <f>('SALESPLAN 3Y'!#REF!*'SALESPLAN 3Y'!$F$42*'02-BUSINESS4PARTNER-OFR1'!$D$23)+('SALESPLAN 3Y'!#REF!*'SALESPLAN 3Y'!$F$42*'02-BUSINESS4PARTNER-OFR1'!$E$23)</f>
        <v>#REF!</v>
      </c>
      <c r="H33" s="2018" t="e">
        <f>('SALESPLAN 3Y'!#REF!*'SALESPLAN 3Y'!$F$42*'02-BUSINESS4PARTNER-OFR1'!$D$23)+('SALESPLAN 3Y'!#REF!*'SALESPLAN 3Y'!$F$42*'02-BUSINESS4PARTNER-OFR1'!$E$23)+('SALESPLAN 3Y'!#REF!*'SALESPLAN 3Y'!$F$42*'02-BUSINESS4PARTNER-OFR1'!$E$23)</f>
        <v>#REF!</v>
      </c>
      <c r="I33" s="2018" t="e">
        <f>('SALESPLAN 3Y'!#REF!*'SALESPLAN 3Y'!$F$42*'02-BUSINESS4PARTNER-OFR1'!$D$23)+('SALESPLAN 3Y'!#REF!*'SALESPLAN 3Y'!$F$42*'02-BUSINESS4PARTNER-OFR1'!$E$23)+('SALESPLAN 3Y'!#REF!*'SALESPLAN 3Y'!$F$42*'02-BUSINESS4PARTNER-OFR1'!$E$23)+('SALESPLAN 3Y'!#REF!*'SALESPLAN 3Y'!$F$42*'02-BUSINESS4PARTNER-OFR1'!$E$23)</f>
        <v>#REF!</v>
      </c>
      <c r="J33" s="2018" t="e">
        <f>('SALESPLAN 3Y'!#REF!*'SALESPLAN 3Y'!$F$42*'02-BUSINESS4PARTNER-OFR1'!$D$23)+('SALESPLAN 3Y'!#REF!*'SALESPLAN 3Y'!$F$42*'02-BUSINESS4PARTNER-OFR1'!$E$23)+('SALESPLAN 3Y'!#REF!*'SALESPLAN 3Y'!$F$42*'02-BUSINESS4PARTNER-OFR1'!$E$23)+('SALESPLAN 3Y'!#REF!*'SALESPLAN 3Y'!$F$42*'02-BUSINESS4PARTNER-OFR1'!$E$23)+('SALESPLAN 3Y'!#REF!*'SALESPLAN 3Y'!$F$42*'02-BUSINESS4PARTNER-OFR1'!$E$23)</f>
        <v>#REF!</v>
      </c>
      <c r="K33" s="6731"/>
      <c r="L33" s="6731"/>
      <c r="M33" s="2407" t="e">
        <f t="shared" si="5"/>
        <v>#REF!</v>
      </c>
      <c r="N33" s="511" t="e">
        <f t="shared" si="2"/>
        <v>#REF!</v>
      </c>
      <c r="O33" s="511" t="e">
        <f t="shared" si="3"/>
        <v>#REF!</v>
      </c>
      <c r="P33" s="511" t="e">
        <f t="shared" si="4"/>
        <v>#REF!</v>
      </c>
      <c r="Q33" s="2408" t="e">
        <f t="shared" si="6"/>
        <v>#REF!</v>
      </c>
      <c r="R33" s="587"/>
    </row>
    <row r="34" spans="1:18" s="218" customFormat="1" ht="15" thickBot="1" x14ac:dyDescent="0.4">
      <c r="A34" s="6697">
        <v>0</v>
      </c>
      <c r="B34" s="6698"/>
      <c r="C34" s="6698"/>
      <c r="D34" s="2398"/>
      <c r="E34" s="2398"/>
      <c r="F34" s="2399"/>
      <c r="G34" s="2399"/>
      <c r="H34" s="2399"/>
      <c r="I34" s="2399"/>
      <c r="J34" s="2400"/>
      <c r="K34" s="6731"/>
      <c r="L34" s="6731"/>
      <c r="M34" s="2409" t="e">
        <f t="shared" si="5"/>
        <v>#REF!</v>
      </c>
      <c r="N34" s="2410" t="e">
        <f t="shared" si="2"/>
        <v>#REF!</v>
      </c>
      <c r="O34" s="2410" t="e">
        <f t="shared" si="3"/>
        <v>#REF!</v>
      </c>
      <c r="P34" s="2410" t="e">
        <f t="shared" si="4"/>
        <v>#REF!</v>
      </c>
      <c r="Q34" s="2411" t="e">
        <f t="shared" si="6"/>
        <v>#REF!</v>
      </c>
      <c r="R34" s="587"/>
    </row>
    <row r="35" spans="1:18" s="218" customFormat="1" ht="9" customHeight="1" thickTop="1" thickBot="1" x14ac:dyDescent="0.4">
      <c r="A35" s="6732"/>
      <c r="B35" s="5868"/>
      <c r="C35" s="5868"/>
      <c r="D35" s="5868"/>
      <c r="E35" s="5868"/>
      <c r="F35" s="5868"/>
      <c r="G35" s="5868"/>
      <c r="H35" s="5868"/>
      <c r="I35" s="5868"/>
      <c r="J35" s="5868"/>
      <c r="K35" s="5868"/>
      <c r="L35" s="5868"/>
      <c r="M35" s="6733"/>
      <c r="N35" s="6733"/>
      <c r="O35" s="6733"/>
      <c r="P35" s="6733"/>
      <c r="Q35" s="6734"/>
      <c r="R35" s="587"/>
    </row>
    <row r="36" spans="1:18" s="211" customFormat="1" ht="18" customHeight="1" thickTop="1" thickBot="1" x14ac:dyDescent="0.4">
      <c r="A36" s="6735" t="s">
        <v>2131</v>
      </c>
      <c r="B36" s="5871"/>
      <c r="C36" s="5871"/>
      <c r="D36" s="5871"/>
      <c r="E36" s="5871"/>
      <c r="F36" s="1798" t="e">
        <f t="shared" ref="F36:I36" si="7">SUM(F24:F35)</f>
        <v>#REF!</v>
      </c>
      <c r="G36" s="1984" t="e">
        <f t="shared" si="7"/>
        <v>#REF!</v>
      </c>
      <c r="H36" s="1984" t="e">
        <f t="shared" si="7"/>
        <v>#REF!</v>
      </c>
      <c r="I36" s="1984" t="e">
        <f t="shared" si="7"/>
        <v>#REF!</v>
      </c>
      <c r="J36" s="2346" t="e">
        <f>SUM(J25:J34)</f>
        <v>#REF!</v>
      </c>
      <c r="K36" s="643"/>
      <c r="L36" s="2025"/>
      <c r="M36" s="641" t="e">
        <f>SUM(M24:M34)</f>
        <v>#REF!</v>
      </c>
      <c r="N36" s="641" t="e">
        <f>SUM(N24:N34)</f>
        <v>#REF!</v>
      </c>
      <c r="O36" s="641" t="e">
        <f>SUM(O24:O34)</f>
        <v>#REF!</v>
      </c>
      <c r="P36" s="641" t="e">
        <f>SUM(P24:P34)</f>
        <v>#REF!</v>
      </c>
      <c r="Q36" s="641" t="e">
        <f>SUM(Q24:Q34)</f>
        <v>#REF!</v>
      </c>
      <c r="R36" s="538"/>
    </row>
    <row r="37" spans="1:18" s="218" customFormat="1" ht="18" customHeight="1" thickTop="1" x14ac:dyDescent="0.35">
      <c r="A37" s="2023"/>
      <c r="B37" s="635"/>
      <c r="C37" s="635"/>
      <c r="D37" s="548"/>
      <c r="E37" s="548"/>
      <c r="F37" s="618"/>
      <c r="G37" s="618"/>
      <c r="H37" s="618"/>
      <c r="I37" s="618"/>
      <c r="J37" s="618"/>
      <c r="K37" s="643"/>
      <c r="L37" s="635"/>
      <c r="M37" s="635"/>
      <c r="N37" s="635"/>
      <c r="O37" s="635"/>
      <c r="P37" s="635"/>
      <c r="Q37" s="2414"/>
      <c r="R37" s="587"/>
    </row>
    <row r="38" spans="1:18" s="218" customFormat="1" ht="18" customHeight="1" thickBot="1" x14ac:dyDescent="0.4">
      <c r="A38" s="2023"/>
      <c r="B38" s="635"/>
      <c r="C38" s="635"/>
      <c r="D38" s="548"/>
      <c r="E38" s="548"/>
      <c r="F38" s="618"/>
      <c r="G38" s="618"/>
      <c r="H38" s="618"/>
      <c r="I38" s="618"/>
      <c r="J38" s="618"/>
      <c r="K38" s="643"/>
      <c r="L38" s="635"/>
      <c r="M38" s="635"/>
      <c r="N38" s="635"/>
      <c r="O38" s="635"/>
      <c r="P38" s="635"/>
      <c r="Q38" s="635"/>
      <c r="R38" s="587"/>
    </row>
    <row r="39" spans="1:18" s="216" customFormat="1" ht="51.75" customHeight="1" thickTop="1" thickBot="1" x14ac:dyDescent="0.4">
      <c r="A39" s="2026"/>
      <c r="B39" s="5872" t="s">
        <v>2222</v>
      </c>
      <c r="C39" s="5873"/>
      <c r="D39" s="5873"/>
      <c r="E39" s="5873"/>
      <c r="F39" s="2334">
        <f t="shared" ref="F39:K39" si="8">F6</f>
        <v>2017</v>
      </c>
      <c r="G39" s="2334">
        <f t="shared" si="8"/>
        <v>2018</v>
      </c>
      <c r="H39" s="2334">
        <f t="shared" si="8"/>
        <v>2019</v>
      </c>
      <c r="I39" s="2334">
        <f t="shared" si="8"/>
        <v>2020</v>
      </c>
      <c r="J39" s="644">
        <f t="shared" si="8"/>
        <v>2021</v>
      </c>
      <c r="K39" s="1085" t="str">
        <f t="shared" si="8"/>
        <v xml:space="preserve">Total </v>
      </c>
      <c r="L39" s="2027"/>
      <c r="M39" s="2027"/>
      <c r="N39" s="2027"/>
      <c r="O39" s="2027"/>
      <c r="P39" s="2027"/>
      <c r="Q39" s="2027"/>
      <c r="R39" s="612"/>
    </row>
    <row r="40" spans="1:18" s="217" customFormat="1" ht="21.75" customHeight="1" x14ac:dyDescent="0.35">
      <c r="A40" s="2028"/>
      <c r="B40" s="5874" t="s">
        <v>2134</v>
      </c>
      <c r="C40" s="5875"/>
      <c r="D40" s="5875"/>
      <c r="E40" s="5875"/>
      <c r="F40" s="1799">
        <f t="shared" ref="F40:K40" si="9">F18</f>
        <v>0</v>
      </c>
      <c r="G40" s="1799" t="e">
        <f t="shared" si="9"/>
        <v>#REF!</v>
      </c>
      <c r="H40" s="1799" t="e">
        <f t="shared" si="9"/>
        <v>#REF!</v>
      </c>
      <c r="I40" s="1799" t="e">
        <f t="shared" si="9"/>
        <v>#REF!</v>
      </c>
      <c r="J40" s="1800" t="e">
        <f t="shared" si="9"/>
        <v>#REF!</v>
      </c>
      <c r="K40" s="1801" t="e">
        <f t="shared" si="9"/>
        <v>#REF!</v>
      </c>
      <c r="L40" s="1460"/>
      <c r="M40" s="1460"/>
      <c r="N40" s="1460"/>
      <c r="O40" s="1460"/>
      <c r="P40" s="1460"/>
      <c r="Q40" s="1460"/>
      <c r="R40" s="613"/>
    </row>
    <row r="41" spans="1:18" s="218" customFormat="1" ht="18" customHeight="1" thickBot="1" x14ac:dyDescent="0.4">
      <c r="A41" s="2023"/>
      <c r="B41" s="5848" t="s">
        <v>2019</v>
      </c>
      <c r="C41" s="5849"/>
      <c r="D41" s="5849"/>
      <c r="E41" s="5849"/>
      <c r="F41" s="1802" t="e">
        <f t="shared" ref="F41:K41" si="10">F36</f>
        <v>#REF!</v>
      </c>
      <c r="G41" s="1802" t="e">
        <f t="shared" si="10"/>
        <v>#REF!</v>
      </c>
      <c r="H41" s="1802" t="e">
        <f t="shared" si="10"/>
        <v>#REF!</v>
      </c>
      <c r="I41" s="1802" t="e">
        <f t="shared" si="10"/>
        <v>#REF!</v>
      </c>
      <c r="J41" s="1989" t="e">
        <f t="shared" si="10"/>
        <v>#REF!</v>
      </c>
      <c r="K41" s="1803">
        <f t="shared" si="10"/>
        <v>0</v>
      </c>
      <c r="L41" s="643"/>
      <c r="M41" s="635"/>
      <c r="N41" s="635"/>
      <c r="O41" s="635"/>
      <c r="P41" s="635"/>
      <c r="Q41" s="635"/>
      <c r="R41" s="587"/>
    </row>
    <row r="42" spans="1:18" s="170" customFormat="1" ht="18" customHeight="1" thickBot="1" x14ac:dyDescent="0.4">
      <c r="A42" s="2029"/>
      <c r="B42" s="5857" t="s">
        <v>772</v>
      </c>
      <c r="C42" s="5858"/>
      <c r="D42" s="5858"/>
      <c r="E42" s="5858"/>
      <c r="F42" s="1804" t="e">
        <f t="shared" ref="F42:J42" si="11">SUM(F40:F41)</f>
        <v>#REF!</v>
      </c>
      <c r="G42" s="1804" t="e">
        <f t="shared" si="11"/>
        <v>#REF!</v>
      </c>
      <c r="H42" s="1804" t="e">
        <f t="shared" si="11"/>
        <v>#REF!</v>
      </c>
      <c r="I42" s="1804" t="e">
        <f t="shared" si="11"/>
        <v>#REF!</v>
      </c>
      <c r="J42" s="1805" t="e">
        <f t="shared" si="11"/>
        <v>#REF!</v>
      </c>
      <c r="K42" s="1806" t="e">
        <f>SUM(F42:J42)</f>
        <v>#REF!</v>
      </c>
      <c r="L42" s="643"/>
      <c r="M42" s="2030"/>
      <c r="N42" s="2030"/>
      <c r="O42" s="2030"/>
      <c r="P42" s="2030"/>
      <c r="Q42" s="2030"/>
      <c r="R42" s="586"/>
    </row>
    <row r="43" spans="1:18" s="2413" customFormat="1" ht="18" customHeight="1" thickTop="1" thickBot="1" x14ac:dyDescent="0.4">
      <c r="A43" s="6738"/>
      <c r="B43" s="6738"/>
      <c r="C43" s="6738"/>
      <c r="D43" s="6738"/>
      <c r="E43" s="6738"/>
      <c r="F43" s="6738"/>
      <c r="G43" s="6738"/>
      <c r="H43" s="6738"/>
      <c r="I43" s="6738"/>
      <c r="J43" s="6738"/>
      <c r="K43" s="6738"/>
      <c r="L43" s="6738"/>
      <c r="M43" s="6738"/>
      <c r="N43" s="6738"/>
      <c r="O43" s="6738"/>
      <c r="P43" s="6738"/>
      <c r="Q43" s="6738"/>
    </row>
    <row r="44" spans="1:18" s="2413" customFormat="1" ht="18" customHeight="1" thickTop="1" thickBot="1" x14ac:dyDescent="0.4">
      <c r="A44" s="6738"/>
      <c r="B44" s="6738"/>
      <c r="C44" s="6738"/>
      <c r="D44" s="6738"/>
      <c r="E44" s="6738"/>
      <c r="F44" s="6738"/>
      <c r="G44" s="6738"/>
      <c r="H44" s="6738"/>
      <c r="I44" s="6738"/>
      <c r="J44" s="6738"/>
      <c r="K44" s="6738"/>
      <c r="L44" s="6738"/>
      <c r="M44" s="6738"/>
      <c r="N44" s="6738"/>
      <c r="O44" s="6738"/>
      <c r="P44" s="6738"/>
      <c r="Q44" s="6738"/>
    </row>
    <row r="45" spans="1:18" s="1811" customFormat="1" ht="55.15" customHeight="1" thickTop="1" x14ac:dyDescent="0.35">
      <c r="A45" s="5838" t="s">
        <v>2223</v>
      </c>
      <c r="B45" s="5839"/>
      <c r="C45" s="5839"/>
      <c r="D45" s="6720" t="s">
        <v>2136</v>
      </c>
      <c r="E45" s="6720"/>
      <c r="F45" s="2019">
        <f>AnReference-1</f>
        <v>2017</v>
      </c>
      <c r="G45" s="2019">
        <f>AnReference</f>
        <v>2018</v>
      </c>
      <c r="H45" s="2019">
        <f>IF(NbAnVision&gt;=1,AnReference+1,"NA")</f>
        <v>2019</v>
      </c>
      <c r="I45" s="2019">
        <f>IF(NbAnVision&gt;=2,AnReference+2,"NA")</f>
        <v>2020</v>
      </c>
      <c r="J45" s="2020">
        <f>IF(NbAnVision&gt;=3,AnReference+3,"NA")</f>
        <v>2021</v>
      </c>
      <c r="K45" s="2021" t="s">
        <v>822</v>
      </c>
      <c r="L45" s="2039"/>
      <c r="M45" s="2412">
        <f>F45</f>
        <v>2017</v>
      </c>
      <c r="N45" s="2333">
        <f>G45</f>
        <v>2018</v>
      </c>
      <c r="O45" s="2333">
        <f>H45</f>
        <v>2019</v>
      </c>
      <c r="P45" s="2333">
        <f>I45</f>
        <v>2020</v>
      </c>
      <c r="Q45" s="2048">
        <f>J45</f>
        <v>2021</v>
      </c>
      <c r="R45" s="1810"/>
    </row>
    <row r="46" spans="1:18" s="1813" customFormat="1" ht="18" customHeight="1" x14ac:dyDescent="0.35">
      <c r="A46" s="6721" t="str">
        <f>A24</f>
        <v>Force de vente directe</v>
      </c>
      <c r="B46" s="6722"/>
      <c r="C46" s="6722"/>
      <c r="D46" s="6723" t="s">
        <v>2135</v>
      </c>
      <c r="E46" s="6723"/>
      <c r="F46" s="1791"/>
      <c r="G46" s="1791">
        <v>0</v>
      </c>
      <c r="H46" s="1791">
        <v>0</v>
      </c>
      <c r="I46" s="1791">
        <v>0</v>
      </c>
      <c r="J46" s="1792">
        <v>0</v>
      </c>
      <c r="K46" s="1793">
        <f t="shared" ref="K46" si="12">SUM(F46:J46)</f>
        <v>0</v>
      </c>
      <c r="L46" s="2040"/>
      <c r="M46" s="2376" t="str">
        <f>IF($F$37=0,"0",F46/$F$37)</f>
        <v>0</v>
      </c>
      <c r="N46" s="1791" t="str">
        <f>IF($G$37=0,"",G46/$G$37)</f>
        <v/>
      </c>
      <c r="O46" s="1791" t="str">
        <f>IF($H$37=0,"",H46/$H$37)</f>
        <v/>
      </c>
      <c r="P46" s="1791" t="str">
        <f>IF($I$37=0,"",I46/$I$37)</f>
        <v/>
      </c>
      <c r="Q46" s="2175" t="str">
        <f>IF($J$37=0,"",J46/$J$37)</f>
        <v/>
      </c>
      <c r="R46" s="1812"/>
    </row>
    <row r="47" spans="1:18" s="1813" customFormat="1" ht="14.5" x14ac:dyDescent="0.35">
      <c r="A47" s="6721" t="str">
        <f>'SALESPLAN 3Y'!A11:F11</f>
        <v xml:space="preserve">VARs / SS2I locales </v>
      </c>
      <c r="B47" s="6722"/>
      <c r="C47" s="6722"/>
      <c r="D47" s="6726">
        <f>BUSINESSCARD!M46</f>
        <v>2.1855256759608417</v>
      </c>
      <c r="E47" s="6726"/>
      <c r="F47" s="1697">
        <f>IFERROR('02-CHANNELCAPACITY-SAAS-OFR1'!F13*$D47,0)</f>
        <v>0</v>
      </c>
      <c r="G47" s="1697">
        <f>IFERROR('02-CHANNELCAPACITY-SAAS-OFR1'!G13*$D47,0)</f>
        <v>0</v>
      </c>
      <c r="H47" s="1697">
        <f>IFERROR('02-CHANNELCAPACITY-SAAS-OFR1'!H13*$D47,0)</f>
        <v>0</v>
      </c>
      <c r="I47" s="1697">
        <f>IFERROR('02-CHANNELCAPACITY-SAAS-OFR1'!I13*$D47,0)</f>
        <v>0</v>
      </c>
      <c r="J47" s="1697">
        <f>IFERROR('02-CHANNELCAPACITY-SAAS-OFR1'!J13*$D47,0)</f>
        <v>0</v>
      </c>
      <c r="K47" s="1698">
        <f t="shared" ref="K47" si="13">SUM(F47:J47)</f>
        <v>0</v>
      </c>
      <c r="L47" s="2040"/>
      <c r="M47" s="510">
        <f t="shared" ref="M47:Q53" si="14">IFERROR(F47/F$55,0)</f>
        <v>0</v>
      </c>
      <c r="N47" s="636">
        <f t="shared" si="14"/>
        <v>0</v>
      </c>
      <c r="O47" s="636">
        <f t="shared" si="14"/>
        <v>0</v>
      </c>
      <c r="P47" s="636">
        <f t="shared" si="14"/>
        <v>0</v>
      </c>
      <c r="Q47" s="2033">
        <f t="shared" si="14"/>
        <v>0</v>
      </c>
      <c r="R47" s="1812"/>
    </row>
    <row r="48" spans="1:18" s="1813" customFormat="1" ht="14.5" x14ac:dyDescent="0.35">
      <c r="A48" s="6721" t="str">
        <f>'SALESPLAN 3Y'!A12:F12</f>
        <v>ESN ( SS2I )</v>
      </c>
      <c r="B48" s="6722"/>
      <c r="C48" s="6722"/>
      <c r="D48" s="6726">
        <v>8</v>
      </c>
      <c r="E48" s="6726"/>
      <c r="F48" s="1697">
        <f>IFERROR('02-CHANNELCAPACITY-SAAS-OFR1'!F14*$D48,0)</f>
        <v>0</v>
      </c>
      <c r="G48" s="1697">
        <f>IFERROR('02-CHANNELCAPACITY-SAAS-OFR1'!G14*$D48,0)</f>
        <v>0</v>
      </c>
      <c r="H48" s="1697">
        <f>IFERROR('02-CHANNELCAPACITY-SAAS-OFR1'!H14*$D48,0)</f>
        <v>0</v>
      </c>
      <c r="I48" s="1697">
        <f>IFERROR('02-CHANNELCAPACITY-SAAS-OFR1'!I14*$D48,0)</f>
        <v>0</v>
      </c>
      <c r="J48" s="1697">
        <f>IFERROR('02-CHANNELCAPACITY-SAAS-OFR1'!J14*$D48,0)</f>
        <v>0</v>
      </c>
      <c r="K48" s="1698">
        <f t="shared" ref="K48:K53" si="15">SUM(F48:J48)</f>
        <v>0</v>
      </c>
      <c r="L48" s="2040"/>
      <c r="M48" s="510">
        <f t="shared" si="14"/>
        <v>0</v>
      </c>
      <c r="N48" s="636">
        <f t="shared" si="14"/>
        <v>0</v>
      </c>
      <c r="O48" s="636">
        <f t="shared" si="14"/>
        <v>0</v>
      </c>
      <c r="P48" s="636">
        <f t="shared" si="14"/>
        <v>0</v>
      </c>
      <c r="Q48" s="2033">
        <f t="shared" si="14"/>
        <v>0</v>
      </c>
      <c r="R48" s="1812"/>
    </row>
    <row r="49" spans="1:18" s="1813" customFormat="1" ht="18" customHeight="1" x14ac:dyDescent="0.35">
      <c r="A49" s="6721" t="str">
        <f>'SALESPLAN 3Y'!A13:F13</f>
        <v>Constructeurs Matériel</v>
      </c>
      <c r="B49" s="6722"/>
      <c r="C49" s="6722"/>
      <c r="D49" s="6726">
        <v>3</v>
      </c>
      <c r="E49" s="6726"/>
      <c r="F49" s="1697">
        <f>IFERROR('02-CHANNELCAPACITY-SAAS-OFR1'!F15*$D49,0)</f>
        <v>0</v>
      </c>
      <c r="G49" s="1697">
        <f>IFERROR('02-CHANNELCAPACITY-SAAS-OFR1'!G15*$D49,0)</f>
        <v>0</v>
      </c>
      <c r="H49" s="1697">
        <f>IFERROR('02-CHANNELCAPACITY-SAAS-OFR1'!H15*$D49,0)</f>
        <v>0</v>
      </c>
      <c r="I49" s="1697">
        <f>IFERROR('02-CHANNELCAPACITY-SAAS-OFR1'!I15*$D49,0)</f>
        <v>0</v>
      </c>
      <c r="J49" s="1697">
        <f>IFERROR('02-CHANNELCAPACITY-SAAS-OFR1'!J15*$D49,0)</f>
        <v>0</v>
      </c>
      <c r="K49" s="1698">
        <f t="shared" si="15"/>
        <v>0</v>
      </c>
      <c r="L49" s="2040"/>
      <c r="M49" s="510">
        <f t="shared" si="14"/>
        <v>0</v>
      </c>
      <c r="N49" s="636">
        <f t="shared" si="14"/>
        <v>0</v>
      </c>
      <c r="O49" s="636">
        <f t="shared" si="14"/>
        <v>0</v>
      </c>
      <c r="P49" s="636">
        <f t="shared" si="14"/>
        <v>0</v>
      </c>
      <c r="Q49" s="2033">
        <f t="shared" si="14"/>
        <v>0</v>
      </c>
      <c r="R49" s="1812"/>
    </row>
    <row r="50" spans="1:18" s="1813" customFormat="1" ht="18" customHeight="1" x14ac:dyDescent="0.35">
      <c r="A50" s="6721" t="str">
        <f>'SALESPLAN 3Y'!A14:F14</f>
        <v>Editeurs de solutions complémentaires</v>
      </c>
      <c r="B50" s="6722"/>
      <c r="C50" s="6722"/>
      <c r="D50" s="6726">
        <v>3</v>
      </c>
      <c r="E50" s="6726"/>
      <c r="F50" s="1697">
        <f>IFERROR('02-CHANNELCAPACITY-SAAS-OFR1'!F16*$D50,0)</f>
        <v>0</v>
      </c>
      <c r="G50" s="1697">
        <f>IFERROR('02-CHANNELCAPACITY-SAAS-OFR1'!G16*$D50,0)</f>
        <v>0</v>
      </c>
      <c r="H50" s="1697">
        <f>IFERROR('02-CHANNELCAPACITY-SAAS-OFR1'!H16*$D50,0)</f>
        <v>0</v>
      </c>
      <c r="I50" s="1697">
        <f>IFERROR('02-CHANNELCAPACITY-SAAS-OFR1'!I16*$D50,0)</f>
        <v>0</v>
      </c>
      <c r="J50" s="1697">
        <f>IFERROR('02-CHANNELCAPACITY-SAAS-OFR1'!J16*$D50,0)</f>
        <v>0</v>
      </c>
      <c r="K50" s="1698">
        <f t="shared" si="15"/>
        <v>0</v>
      </c>
      <c r="L50" s="2040"/>
      <c r="M50" s="510">
        <f t="shared" si="14"/>
        <v>0</v>
      </c>
      <c r="N50" s="636">
        <f t="shared" si="14"/>
        <v>0</v>
      </c>
      <c r="O50" s="636">
        <f t="shared" si="14"/>
        <v>0</v>
      </c>
      <c r="P50" s="636">
        <f t="shared" si="14"/>
        <v>0</v>
      </c>
      <c r="Q50" s="2033">
        <f t="shared" si="14"/>
        <v>0</v>
      </c>
      <c r="R50" s="1812"/>
    </row>
    <row r="51" spans="1:18" s="1813" customFormat="1" ht="18" customHeight="1" x14ac:dyDescent="0.35">
      <c r="A51" s="6721" t="str">
        <f>'SALESPLAN 3Y'!A15:F15</f>
        <v>Cabinets de conseil / Consultants</v>
      </c>
      <c r="B51" s="6722"/>
      <c r="C51" s="6722"/>
      <c r="D51" s="6726">
        <v>3</v>
      </c>
      <c r="E51" s="6726"/>
      <c r="F51" s="1697">
        <f>IFERROR('02-CHANNELCAPACITY-SAAS-OFR1'!F17*$D51,0)</f>
        <v>0</v>
      </c>
      <c r="G51" s="1697">
        <f>IFERROR('02-CHANNELCAPACITY-SAAS-OFR1'!G17*$D51,0)</f>
        <v>0</v>
      </c>
      <c r="H51" s="1697">
        <f>IFERROR('02-CHANNELCAPACITY-SAAS-OFR1'!H17*$D51,0)</f>
        <v>0</v>
      </c>
      <c r="I51" s="1697">
        <f>IFERROR('02-CHANNELCAPACITY-SAAS-OFR1'!I17*$D51,0)</f>
        <v>0</v>
      </c>
      <c r="J51" s="1697">
        <f>IFERROR('02-CHANNELCAPACITY-SAAS-OFR1'!J17*$D51,0)</f>
        <v>0</v>
      </c>
      <c r="K51" s="1698">
        <f t="shared" si="15"/>
        <v>0</v>
      </c>
      <c r="L51" s="2040"/>
      <c r="M51" s="510">
        <f t="shared" si="14"/>
        <v>0</v>
      </c>
      <c r="N51" s="636">
        <f t="shared" si="14"/>
        <v>0</v>
      </c>
      <c r="O51" s="636">
        <f t="shared" si="14"/>
        <v>0</v>
      </c>
      <c r="P51" s="636">
        <f t="shared" si="14"/>
        <v>0</v>
      </c>
      <c r="Q51" s="2033">
        <f t="shared" si="14"/>
        <v>0</v>
      </c>
      <c r="R51" s="1812"/>
    </row>
    <row r="52" spans="1:18" s="1813" customFormat="1" ht="18" customHeight="1" x14ac:dyDescent="0.35">
      <c r="A52" s="6721" t="str">
        <f>'SALESPLAN 3Y'!A16:F16</f>
        <v xml:space="preserve">Hébergeurs </v>
      </c>
      <c r="B52" s="6722"/>
      <c r="C52" s="6722"/>
      <c r="D52" s="6726">
        <v>3</v>
      </c>
      <c r="E52" s="6726"/>
      <c r="F52" s="1697">
        <f>IFERROR('02-CHANNELCAPACITY-SAAS-OFR1'!F18*$D52,0)</f>
        <v>0</v>
      </c>
      <c r="G52" s="1697">
        <f>IFERROR('02-CHANNELCAPACITY-SAAS-OFR1'!G18*$D52,0)</f>
        <v>0</v>
      </c>
      <c r="H52" s="1697">
        <f>IFERROR('02-CHANNELCAPACITY-SAAS-OFR1'!H18*$D52,0)</f>
        <v>0</v>
      </c>
      <c r="I52" s="1697">
        <f>IFERROR('02-CHANNELCAPACITY-SAAS-OFR1'!I18*$D52,0)</f>
        <v>0</v>
      </c>
      <c r="J52" s="1697">
        <f>IFERROR('02-CHANNELCAPACITY-SAAS-OFR1'!J18*$D52,0)</f>
        <v>0</v>
      </c>
      <c r="K52" s="1698">
        <f t="shared" si="15"/>
        <v>0</v>
      </c>
      <c r="L52" s="2040"/>
      <c r="M52" s="510">
        <f t="shared" si="14"/>
        <v>0</v>
      </c>
      <c r="N52" s="636">
        <f t="shared" si="14"/>
        <v>0</v>
      </c>
      <c r="O52" s="636">
        <f t="shared" si="14"/>
        <v>0</v>
      </c>
      <c r="P52" s="636">
        <f t="shared" si="14"/>
        <v>0</v>
      </c>
      <c r="Q52" s="2033">
        <f t="shared" si="14"/>
        <v>0</v>
      </c>
      <c r="R52" s="1812"/>
    </row>
    <row r="53" spans="1:18" s="1813" customFormat="1" ht="18" customHeight="1" x14ac:dyDescent="0.35">
      <c r="A53" s="6721" t="str">
        <f>'SALESPLAN 3Y'!A17:F17</f>
        <v>Agrégateurs</v>
      </c>
      <c r="B53" s="6722"/>
      <c r="C53" s="6722"/>
      <c r="D53" s="6726"/>
      <c r="E53" s="6726"/>
      <c r="F53" s="1697">
        <f>IFERROR('02-CHANNELCAPACITY-SAAS-OFR1'!F19*$D53,0)</f>
        <v>0</v>
      </c>
      <c r="G53" s="1697">
        <f>IFERROR('02-CHANNELCAPACITY-SAAS-OFR1'!G19*$D53,0)</f>
        <v>0</v>
      </c>
      <c r="H53" s="1697">
        <f>IFERROR('02-CHANNELCAPACITY-SAAS-OFR1'!H19*$D53,0)</f>
        <v>0</v>
      </c>
      <c r="I53" s="1697">
        <f>IFERROR('02-CHANNELCAPACITY-SAAS-OFR1'!I19*$D53,0)</f>
        <v>0</v>
      </c>
      <c r="J53" s="1697">
        <f>IFERROR('02-CHANNELCAPACITY-SAAS-OFR1'!J19*$D53,0)</f>
        <v>0</v>
      </c>
      <c r="K53" s="1698">
        <f t="shared" si="15"/>
        <v>0</v>
      </c>
      <c r="L53" s="2040"/>
      <c r="M53" s="510">
        <f t="shared" si="14"/>
        <v>0</v>
      </c>
      <c r="N53" s="636">
        <f t="shared" si="14"/>
        <v>0</v>
      </c>
      <c r="O53" s="636">
        <f t="shared" si="14"/>
        <v>0</v>
      </c>
      <c r="P53" s="636">
        <f t="shared" si="14"/>
        <v>0</v>
      </c>
      <c r="Q53" s="2033">
        <f t="shared" si="14"/>
        <v>0</v>
      </c>
      <c r="R53" s="1812"/>
    </row>
    <row r="54" spans="1:18" s="1813" customFormat="1" ht="9" customHeight="1" thickBot="1" x14ac:dyDescent="0.4">
      <c r="A54" s="5898"/>
      <c r="B54" s="5899"/>
      <c r="C54" s="5899"/>
      <c r="D54" s="5899"/>
      <c r="E54" s="5899"/>
      <c r="F54" s="5899"/>
      <c r="G54" s="5899"/>
      <c r="H54" s="5899"/>
      <c r="I54" s="5899"/>
      <c r="J54" s="5899"/>
      <c r="K54" s="5900"/>
      <c r="L54" s="2040"/>
      <c r="M54" s="2040"/>
      <c r="N54" s="2040"/>
      <c r="O54" s="2040"/>
      <c r="P54" s="2040"/>
      <c r="Q54" s="2041"/>
      <c r="R54" s="1812"/>
    </row>
    <row r="55" spans="1:18" s="1767" customFormat="1" ht="18" customHeight="1" thickBot="1" x14ac:dyDescent="0.4">
      <c r="A55" s="5901" t="s">
        <v>852</v>
      </c>
      <c r="B55" s="5902"/>
      <c r="C55" s="5902"/>
      <c r="D55" s="5902"/>
      <c r="E55" s="5902"/>
      <c r="F55" s="1816">
        <f>SUM(F47:F54)</f>
        <v>0</v>
      </c>
      <c r="G55" s="1816">
        <f>SUM(G47:G54)</f>
        <v>0</v>
      </c>
      <c r="H55" s="1816">
        <f>SUM(H47:H54)</f>
        <v>0</v>
      </c>
      <c r="I55" s="1816">
        <f>SUM(I47:I54)</f>
        <v>0</v>
      </c>
      <c r="J55" s="1817">
        <f>SUM(J47:J54)</f>
        <v>0</v>
      </c>
      <c r="K55" s="1818">
        <f>SUM(F55:J55)</f>
        <v>0</v>
      </c>
      <c r="L55" s="2042"/>
      <c r="M55" s="2044">
        <f>SUM(M47:M53)</f>
        <v>0</v>
      </c>
      <c r="N55" s="2044">
        <f>SUM(N47:N53)</f>
        <v>0</v>
      </c>
      <c r="O55" s="2044">
        <f>SUM(O47:O53)</f>
        <v>0</v>
      </c>
      <c r="P55" s="2044">
        <f>SUM(P47:P53)</f>
        <v>0</v>
      </c>
      <c r="Q55" s="2045">
        <f>SUM(Q47:Q53)</f>
        <v>0</v>
      </c>
      <c r="R55" s="1778"/>
    </row>
    <row r="56" spans="1:18" s="1767" customFormat="1" ht="18" customHeight="1" thickTop="1" x14ac:dyDescent="0.35">
      <c r="A56" s="1884"/>
      <c r="B56" s="1884"/>
      <c r="C56" s="1884"/>
      <c r="D56" s="1884"/>
      <c r="E56" s="1884"/>
      <c r="F56" s="1885"/>
      <c r="G56" s="1885"/>
      <c r="H56" s="1885"/>
      <c r="I56" s="1885"/>
      <c r="J56" s="1885"/>
      <c r="K56" s="1885"/>
      <c r="L56" s="1778"/>
      <c r="M56" s="1778"/>
      <c r="N56" s="1778"/>
      <c r="O56" s="1778"/>
      <c r="P56" s="1778"/>
      <c r="Q56" s="1778"/>
      <c r="R56" s="1778"/>
    </row>
    <row r="57" spans="1:18" s="1767" customFormat="1" ht="18" customHeight="1" thickBot="1" x14ac:dyDescent="0.4">
      <c r="A57" s="1884"/>
      <c r="B57" s="1884"/>
      <c r="C57" s="1884"/>
      <c r="D57" s="1884"/>
      <c r="E57" s="1884"/>
      <c r="F57" s="1885"/>
      <c r="G57" s="1885"/>
      <c r="H57" s="1885"/>
      <c r="I57" s="1885"/>
      <c r="J57" s="1885"/>
      <c r="K57" s="1885"/>
      <c r="L57" s="1778"/>
      <c r="M57" s="1778"/>
      <c r="N57" s="1778"/>
      <c r="O57" s="1778"/>
      <c r="P57" s="1778"/>
      <c r="Q57" s="1778"/>
      <c r="R57" s="1778"/>
    </row>
    <row r="58" spans="1:18" s="1811" customFormat="1" ht="34.5" customHeight="1" thickTop="1" x14ac:dyDescent="0.35">
      <c r="A58" s="5838" t="s">
        <v>2224</v>
      </c>
      <c r="B58" s="5839"/>
      <c r="C58" s="5839"/>
      <c r="D58" s="5840"/>
      <c r="E58" s="5840"/>
      <c r="F58" s="1809">
        <f t="shared" ref="F58:K58" si="16">F6</f>
        <v>2017</v>
      </c>
      <c r="G58" s="1961">
        <f t="shared" si="16"/>
        <v>2018</v>
      </c>
      <c r="H58" s="1961">
        <f t="shared" si="16"/>
        <v>2019</v>
      </c>
      <c r="I58" s="1961">
        <f t="shared" si="16"/>
        <v>2020</v>
      </c>
      <c r="J58" s="1961">
        <f t="shared" si="16"/>
        <v>2021</v>
      </c>
      <c r="K58" s="1961" t="str">
        <f t="shared" si="16"/>
        <v xml:space="preserve">Total </v>
      </c>
      <c r="L58" s="1810"/>
      <c r="M58" s="1810"/>
      <c r="N58" s="1810"/>
      <c r="O58" s="1810"/>
      <c r="P58" s="1810"/>
      <c r="Q58" s="1810"/>
      <c r="R58" s="1810"/>
    </row>
    <row r="59" spans="1:18" s="1813" customFormat="1" ht="18" customHeight="1" thickBot="1" x14ac:dyDescent="0.4">
      <c r="D59" s="5841">
        <v>0</v>
      </c>
      <c r="E59" s="5841"/>
      <c r="F59" s="1827"/>
      <c r="G59" s="1827">
        <v>0</v>
      </c>
      <c r="H59" s="1827">
        <v>0</v>
      </c>
      <c r="I59" s="1827">
        <v>0</v>
      </c>
      <c r="J59" s="1828">
        <v>0</v>
      </c>
      <c r="K59" s="1886">
        <f>SUM(F59:J59)</f>
        <v>0</v>
      </c>
      <c r="L59" s="1812"/>
      <c r="M59" s="1812"/>
      <c r="N59" s="1812"/>
      <c r="O59" s="1812"/>
      <c r="P59" s="1812"/>
      <c r="Q59" s="1812"/>
      <c r="R59" s="1812"/>
    </row>
    <row r="60" spans="1:18" s="1813" customFormat="1" ht="40.5" customHeight="1" x14ac:dyDescent="0.35">
      <c r="A60" s="5842" t="s">
        <v>1993</v>
      </c>
      <c r="B60" s="5843"/>
      <c r="C60" s="5843"/>
      <c r="D60" s="5903"/>
      <c r="E60" s="5903"/>
      <c r="F60" s="1697" t="e">
        <f>F42</f>
        <v>#REF!</v>
      </c>
      <c r="G60" s="1697" t="e">
        <f t="shared" ref="G60:J60" si="17">G42</f>
        <v>#REF!</v>
      </c>
      <c r="H60" s="1697" t="e">
        <f t="shared" si="17"/>
        <v>#REF!</v>
      </c>
      <c r="I60" s="1697" t="e">
        <f t="shared" si="17"/>
        <v>#REF!</v>
      </c>
      <c r="J60" s="1697" t="e">
        <f t="shared" si="17"/>
        <v>#REF!</v>
      </c>
      <c r="K60" s="1698" t="e">
        <f>SUM(F60:J60)</f>
        <v>#REF!</v>
      </c>
      <c r="L60" s="1812"/>
      <c r="M60" s="1812"/>
      <c r="N60" s="1812"/>
      <c r="O60" s="1812"/>
      <c r="P60" s="1812"/>
      <c r="Q60" s="1812"/>
      <c r="R60" s="1812"/>
    </row>
    <row r="61" spans="1:18" s="1813" customFormat="1" ht="6.75" customHeight="1" x14ac:dyDescent="0.35">
      <c r="A61" s="5904"/>
      <c r="B61" s="5905"/>
      <c r="C61" s="5905"/>
      <c r="D61" s="5906"/>
      <c r="E61" s="5906"/>
      <c r="F61" s="1697"/>
      <c r="G61" s="1697"/>
      <c r="H61" s="1697"/>
      <c r="I61" s="1697"/>
      <c r="J61" s="1697"/>
      <c r="K61" s="1814"/>
      <c r="L61" s="1812"/>
      <c r="M61" s="1812"/>
      <c r="N61" s="1812"/>
      <c r="O61" s="1812"/>
      <c r="P61" s="1812"/>
      <c r="Q61" s="1812"/>
      <c r="R61" s="1812"/>
    </row>
    <row r="62" spans="1:18" s="1813" customFormat="1" ht="34.5" customHeight="1" x14ac:dyDescent="0.35">
      <c r="A62" s="5907" t="s">
        <v>1994</v>
      </c>
      <c r="B62" s="5908"/>
      <c r="C62" s="5908"/>
      <c r="D62" s="5906"/>
      <c r="E62" s="5906"/>
      <c r="F62" s="1697">
        <f>F55</f>
        <v>0</v>
      </c>
      <c r="G62" s="1697">
        <f>G55</f>
        <v>0</v>
      </c>
      <c r="H62" s="1697">
        <f>H55</f>
        <v>0</v>
      </c>
      <c r="I62" s="1697">
        <f>I55</f>
        <v>0</v>
      </c>
      <c r="J62" s="1697">
        <f>J55</f>
        <v>0</v>
      </c>
      <c r="K62" s="1815">
        <f>SUM(F62:J62)</f>
        <v>0</v>
      </c>
      <c r="L62" s="1812"/>
      <c r="M62" s="1812"/>
      <c r="N62" s="1812"/>
      <c r="O62" s="1812"/>
      <c r="P62" s="1812"/>
      <c r="Q62" s="1812"/>
      <c r="R62" s="1812"/>
    </row>
    <row r="63" spans="1:18" s="1813" customFormat="1" ht="9" customHeight="1" thickBot="1" x14ac:dyDescent="0.4">
      <c r="A63" s="5898"/>
      <c r="B63" s="5899"/>
      <c r="C63" s="5899"/>
      <c r="D63" s="5899"/>
      <c r="E63" s="5899"/>
      <c r="F63" s="5899"/>
      <c r="G63" s="5899"/>
      <c r="H63" s="5899"/>
      <c r="I63" s="5899"/>
      <c r="J63" s="5899"/>
      <c r="K63" s="5900"/>
      <c r="L63" s="1812"/>
      <c r="M63" s="1812"/>
      <c r="N63" s="1812"/>
      <c r="O63" s="1812"/>
      <c r="P63" s="1812"/>
      <c r="Q63" s="1812"/>
      <c r="R63" s="1812"/>
    </row>
    <row r="64" spans="1:18" s="1767" customFormat="1" ht="18" customHeight="1" thickBot="1" x14ac:dyDescent="0.4">
      <c r="A64" s="5901" t="s">
        <v>852</v>
      </c>
      <c r="B64" s="5902"/>
      <c r="C64" s="5902"/>
      <c r="D64" s="5902"/>
      <c r="E64" s="5902"/>
      <c r="F64" s="2046" t="e">
        <f>SUM(F59:F63)</f>
        <v>#REF!</v>
      </c>
      <c r="G64" s="2046" t="e">
        <f>SUM(G59:G63)</f>
        <v>#REF!</v>
      </c>
      <c r="H64" s="2046" t="e">
        <f>SUM(H59:H63)</f>
        <v>#REF!</v>
      </c>
      <c r="I64" s="2046" t="e">
        <f>SUM(I59:I63)</f>
        <v>#REF!</v>
      </c>
      <c r="J64" s="2047" t="e">
        <f>SUM(J59:J63)</f>
        <v>#REF!</v>
      </c>
      <c r="K64" s="2043" t="e">
        <f>SUM(F64:J64)</f>
        <v>#REF!</v>
      </c>
      <c r="L64" s="1778"/>
      <c r="M64" s="1778"/>
      <c r="N64" s="1778"/>
      <c r="O64" s="1778"/>
      <c r="P64" s="1778"/>
      <c r="Q64" s="1778"/>
      <c r="R64" s="1778"/>
    </row>
    <row r="65" spans="1:21" s="1767" customFormat="1" ht="18" customHeight="1" thickTop="1" x14ac:dyDescent="0.35">
      <c r="A65" s="1884"/>
      <c r="B65" s="1884"/>
      <c r="C65" s="1884"/>
      <c r="D65" s="1884"/>
      <c r="E65" s="1884"/>
      <c r="F65" s="1885"/>
      <c r="G65" s="1885"/>
      <c r="H65" s="1885"/>
      <c r="I65" s="1885"/>
      <c r="J65" s="1885"/>
      <c r="K65" s="1885"/>
      <c r="L65" s="1778"/>
      <c r="M65" s="1778"/>
      <c r="N65" s="1778"/>
      <c r="O65" s="1778"/>
      <c r="P65" s="1778"/>
      <c r="Q65" s="1778"/>
      <c r="R65" s="1778"/>
    </row>
    <row r="66" spans="1:21" ht="13.5" thickBot="1" x14ac:dyDescent="0.35">
      <c r="A66" s="1807"/>
      <c r="B66" s="1807"/>
      <c r="C66" s="1807"/>
      <c r="D66" s="1807"/>
      <c r="E66" s="1807"/>
      <c r="F66" s="1807"/>
      <c r="G66" s="1807"/>
      <c r="H66" s="1807"/>
      <c r="I66" s="1807"/>
      <c r="J66" s="1807"/>
      <c r="K66" s="1807"/>
      <c r="L66" s="1807"/>
      <c r="M66" s="1807"/>
      <c r="N66" s="1807"/>
      <c r="O66" s="1807"/>
      <c r="P66" s="1807"/>
      <c r="Q66" s="1807"/>
      <c r="R66" s="1807"/>
    </row>
    <row r="67" spans="1:21" s="1727" customFormat="1" ht="20.25" customHeight="1" thickTop="1" thickBot="1" x14ac:dyDescent="0.4">
      <c r="A67" s="6639" t="s">
        <v>10</v>
      </c>
      <c r="B67" s="6724"/>
      <c r="C67" s="6724"/>
      <c r="D67" s="6724"/>
      <c r="E67" s="6724"/>
      <c r="F67" s="6724"/>
      <c r="G67" s="6724"/>
      <c r="H67" s="6724"/>
      <c r="I67" s="6724"/>
      <c r="J67" s="6724"/>
      <c r="K67" s="6725"/>
      <c r="L67" s="1785"/>
      <c r="M67" s="6651" t="s">
        <v>748</v>
      </c>
      <c r="N67" s="6652"/>
      <c r="O67" s="6653"/>
      <c r="P67" s="1785"/>
      <c r="Q67" s="1726"/>
      <c r="R67" s="1726"/>
      <c r="S67" s="1726"/>
      <c r="T67" s="1726"/>
      <c r="U67" s="1726"/>
    </row>
    <row r="68" spans="1:21" s="1727" customFormat="1" ht="20.25" customHeight="1" x14ac:dyDescent="0.35">
      <c r="A68" s="6633" t="s">
        <v>2132</v>
      </c>
      <c r="B68" s="6634"/>
      <c r="C68" s="6634"/>
      <c r="D68" s="6634"/>
      <c r="E68" s="6634"/>
      <c r="F68" s="6634"/>
      <c r="G68" s="6634"/>
      <c r="H68" s="6634"/>
      <c r="I68" s="6634"/>
      <c r="J68" s="6634"/>
      <c r="K68" s="6635"/>
      <c r="L68" s="1786"/>
      <c r="M68" s="6587" t="s">
        <v>2133</v>
      </c>
      <c r="N68" s="6588"/>
      <c r="O68" s="6589"/>
      <c r="P68" s="1786"/>
      <c r="Q68" s="1726"/>
      <c r="R68" s="1726"/>
      <c r="S68" s="1726"/>
      <c r="T68" s="1726"/>
      <c r="U68" s="1726"/>
    </row>
    <row r="69" spans="1:21" s="1727" customFormat="1" ht="20.25" customHeight="1" x14ac:dyDescent="0.35">
      <c r="A69" s="6633"/>
      <c r="B69" s="6634"/>
      <c r="C69" s="6634"/>
      <c r="D69" s="6634"/>
      <c r="E69" s="6634"/>
      <c r="F69" s="6634"/>
      <c r="G69" s="6634"/>
      <c r="H69" s="6634"/>
      <c r="I69" s="6634"/>
      <c r="J69" s="6634"/>
      <c r="K69" s="6635"/>
      <c r="L69" s="1786"/>
      <c r="M69" s="6590"/>
      <c r="N69" s="6591"/>
      <c r="O69" s="6717"/>
      <c r="P69" s="1786"/>
      <c r="Q69" s="1726"/>
      <c r="R69" s="1726"/>
      <c r="S69" s="1726"/>
      <c r="T69" s="1726"/>
      <c r="U69" s="1726"/>
    </row>
    <row r="70" spans="1:21" s="1727" customFormat="1" ht="20.25" customHeight="1" x14ac:dyDescent="0.35">
      <c r="A70" s="6633"/>
      <c r="B70" s="6634"/>
      <c r="C70" s="6634"/>
      <c r="D70" s="6634"/>
      <c r="E70" s="6634"/>
      <c r="F70" s="6634"/>
      <c r="G70" s="6634"/>
      <c r="H70" s="6634"/>
      <c r="I70" s="6634"/>
      <c r="J70" s="6634"/>
      <c r="K70" s="6635"/>
      <c r="L70" s="1786"/>
      <c r="M70" s="6590"/>
      <c r="N70" s="6591"/>
      <c r="O70" s="6717"/>
      <c r="P70" s="1786"/>
      <c r="Q70" s="1726"/>
      <c r="R70" s="1726"/>
      <c r="S70" s="1726"/>
      <c r="T70" s="1726"/>
      <c r="U70" s="1726"/>
    </row>
    <row r="71" spans="1:21" s="1727" customFormat="1" ht="20.25" customHeight="1" x14ac:dyDescent="0.35">
      <c r="A71" s="6633"/>
      <c r="B71" s="6634"/>
      <c r="C71" s="6634"/>
      <c r="D71" s="6634"/>
      <c r="E71" s="6634"/>
      <c r="F71" s="6634"/>
      <c r="G71" s="6634"/>
      <c r="H71" s="6634"/>
      <c r="I71" s="6634"/>
      <c r="J71" s="6634"/>
      <c r="K71" s="6635"/>
      <c r="L71" s="1786"/>
      <c r="M71" s="6590"/>
      <c r="N71" s="6591"/>
      <c r="O71" s="6717"/>
      <c r="P71" s="1786"/>
      <c r="Q71" s="1726"/>
      <c r="R71" s="1726"/>
      <c r="S71" s="1726"/>
      <c r="T71" s="1726"/>
      <c r="U71" s="1726"/>
    </row>
    <row r="72" spans="1:21" s="1727" customFormat="1" ht="20.25" customHeight="1" thickBot="1" x14ac:dyDescent="0.4">
      <c r="A72" s="6636"/>
      <c r="B72" s="6637"/>
      <c r="C72" s="6637"/>
      <c r="D72" s="6637"/>
      <c r="E72" s="6637"/>
      <c r="F72" s="6637"/>
      <c r="G72" s="6637"/>
      <c r="H72" s="6637"/>
      <c r="I72" s="6637"/>
      <c r="J72" s="6637"/>
      <c r="K72" s="6638"/>
      <c r="L72" s="1786"/>
      <c r="M72" s="6593"/>
      <c r="N72" s="6718"/>
      <c r="O72" s="6719"/>
      <c r="P72" s="1786"/>
      <c r="Q72" s="1726"/>
      <c r="R72" s="1726"/>
      <c r="S72" s="1726"/>
      <c r="T72" s="1726"/>
      <c r="U72" s="1726"/>
    </row>
    <row r="73" spans="1:21" s="1727" customFormat="1" ht="20.25" customHeight="1" thickTop="1" thickBot="1" x14ac:dyDescent="0.4">
      <c r="A73" s="1726"/>
      <c r="B73" s="1726"/>
      <c r="C73" s="1726"/>
      <c r="D73" s="1726"/>
      <c r="E73" s="1726"/>
      <c r="F73" s="1726"/>
      <c r="G73" s="1726"/>
      <c r="H73" s="1726"/>
      <c r="I73" s="1726"/>
      <c r="J73" s="1726"/>
      <c r="K73" s="1726"/>
      <c r="L73" s="1726"/>
      <c r="M73" s="1787"/>
      <c r="N73" s="1787"/>
      <c r="O73" s="1787"/>
      <c r="P73" s="1726"/>
      <c r="Q73" s="1726"/>
      <c r="R73" s="1726"/>
      <c r="S73" s="1726"/>
      <c r="T73" s="1726"/>
      <c r="U73" s="1726"/>
    </row>
    <row r="74" spans="1:21" s="1727" customFormat="1" ht="20.25" customHeight="1" thickTop="1" thickBot="1" x14ac:dyDescent="0.4">
      <c r="A74" s="6639" t="s">
        <v>11</v>
      </c>
      <c r="B74" s="6640"/>
      <c r="C74" s="6640"/>
      <c r="D74" s="6640"/>
      <c r="E74" s="6640"/>
      <c r="F74" s="6640"/>
      <c r="G74" s="6640"/>
      <c r="H74" s="6640"/>
      <c r="I74" s="6640"/>
      <c r="J74" s="6640"/>
      <c r="K74" s="6641"/>
      <c r="L74" s="1785"/>
      <c r="M74" s="1788"/>
      <c r="N74" s="1788"/>
      <c r="O74" s="1788"/>
      <c r="P74" s="1785"/>
      <c r="Q74" s="1726"/>
      <c r="R74" s="1726"/>
      <c r="S74" s="1726"/>
      <c r="T74" s="1726"/>
      <c r="U74" s="1726"/>
    </row>
    <row r="75" spans="1:21" s="1727" customFormat="1" ht="20.25" customHeight="1" thickBot="1" x14ac:dyDescent="0.4">
      <c r="A75" s="6633" t="s">
        <v>1454</v>
      </c>
      <c r="B75" s="6634"/>
      <c r="C75" s="6634"/>
      <c r="D75" s="6634"/>
      <c r="E75" s="6634"/>
      <c r="F75" s="6634"/>
      <c r="G75" s="6634"/>
      <c r="H75" s="6634"/>
      <c r="I75" s="6634"/>
      <c r="J75" s="6634"/>
      <c r="K75" s="6635"/>
      <c r="L75" s="1786"/>
      <c r="M75" s="6651" t="s">
        <v>748</v>
      </c>
      <c r="N75" s="6652"/>
      <c r="O75" s="6653"/>
      <c r="P75" s="1786"/>
      <c r="Q75" s="1726"/>
      <c r="R75" s="1726"/>
      <c r="S75" s="1726"/>
      <c r="T75" s="1726"/>
      <c r="U75" s="1726"/>
    </row>
    <row r="76" spans="1:21" s="1727" customFormat="1" ht="20.25" customHeight="1" x14ac:dyDescent="0.35">
      <c r="A76" s="6633"/>
      <c r="B76" s="6634"/>
      <c r="C76" s="6634"/>
      <c r="D76" s="6634"/>
      <c r="E76" s="6634"/>
      <c r="F76" s="6634"/>
      <c r="G76" s="6634"/>
      <c r="H76" s="6634"/>
      <c r="I76" s="6634"/>
      <c r="J76" s="6634"/>
      <c r="K76" s="6635"/>
      <c r="L76" s="1786"/>
      <c r="M76" s="6587" t="s">
        <v>1451</v>
      </c>
      <c r="N76" s="6588"/>
      <c r="O76" s="6589"/>
      <c r="P76" s="1786"/>
      <c r="Q76" s="1726"/>
      <c r="R76" s="1726"/>
      <c r="S76" s="1726"/>
      <c r="T76" s="1726"/>
      <c r="U76" s="1726"/>
    </row>
    <row r="77" spans="1:21" s="1727" customFormat="1" ht="20.25" customHeight="1" x14ac:dyDescent="0.35">
      <c r="A77" s="6633"/>
      <c r="B77" s="6634"/>
      <c r="C77" s="6634"/>
      <c r="D77" s="6634"/>
      <c r="E77" s="6634"/>
      <c r="F77" s="6634"/>
      <c r="G77" s="6634"/>
      <c r="H77" s="6634"/>
      <c r="I77" s="6634"/>
      <c r="J77" s="6634"/>
      <c r="K77" s="6635"/>
      <c r="L77" s="1786"/>
      <c r="M77" s="6590"/>
      <c r="N77" s="6591"/>
      <c r="O77" s="6717"/>
      <c r="P77" s="1786"/>
      <c r="Q77" s="1726"/>
      <c r="R77" s="1726"/>
      <c r="S77" s="1726"/>
      <c r="T77" s="1726"/>
      <c r="U77" s="1726"/>
    </row>
    <row r="78" spans="1:21" s="1727" customFormat="1" ht="20.25" customHeight="1" x14ac:dyDescent="0.35">
      <c r="A78" s="6633"/>
      <c r="B78" s="6634"/>
      <c r="C78" s="6634"/>
      <c r="D78" s="6634"/>
      <c r="E78" s="6634"/>
      <c r="F78" s="6634"/>
      <c r="G78" s="6634"/>
      <c r="H78" s="6634"/>
      <c r="I78" s="6634"/>
      <c r="J78" s="6634"/>
      <c r="K78" s="6635"/>
      <c r="L78" s="1786"/>
      <c r="M78" s="6590"/>
      <c r="N78" s="6591"/>
      <c r="O78" s="6717"/>
      <c r="P78" s="1786"/>
      <c r="Q78" s="1726"/>
      <c r="R78" s="1726"/>
      <c r="S78" s="1726"/>
      <c r="T78" s="1726"/>
      <c r="U78" s="1726"/>
    </row>
    <row r="79" spans="1:21" s="1727" customFormat="1" ht="14.5" x14ac:dyDescent="0.35">
      <c r="A79" s="6633"/>
      <c r="B79" s="6634"/>
      <c r="C79" s="6634"/>
      <c r="D79" s="6634"/>
      <c r="E79" s="6634"/>
      <c r="F79" s="6634"/>
      <c r="G79" s="6634"/>
      <c r="H79" s="6634"/>
      <c r="I79" s="6634"/>
      <c r="J79" s="6634"/>
      <c r="K79" s="6635"/>
      <c r="L79" s="1786"/>
      <c r="M79" s="6590"/>
      <c r="N79" s="6591"/>
      <c r="O79" s="6717"/>
      <c r="P79" s="1786"/>
      <c r="Q79" s="1726"/>
      <c r="R79" s="1726"/>
      <c r="S79" s="1726"/>
      <c r="T79" s="1726"/>
      <c r="U79" s="1726"/>
    </row>
    <row r="80" spans="1:21" s="1727" customFormat="1" ht="15" thickBot="1" x14ac:dyDescent="0.4">
      <c r="A80" s="6636"/>
      <c r="B80" s="6637"/>
      <c r="C80" s="6637"/>
      <c r="D80" s="6637"/>
      <c r="E80" s="6637"/>
      <c r="F80" s="6637"/>
      <c r="G80" s="6637"/>
      <c r="H80" s="6637"/>
      <c r="I80" s="6637"/>
      <c r="J80" s="6637"/>
      <c r="K80" s="6638"/>
      <c r="L80" s="1726"/>
      <c r="M80" s="6593"/>
      <c r="N80" s="6718"/>
      <c r="O80" s="6719"/>
      <c r="P80" s="1726"/>
      <c r="Q80" s="1726"/>
      <c r="R80" s="1726"/>
      <c r="S80" s="1726"/>
      <c r="T80" s="1726"/>
      <c r="U80" s="1726"/>
    </row>
    <row r="81" spans="1:18" s="1727" customFormat="1" ht="15" thickTop="1" x14ac:dyDescent="0.35">
      <c r="A81" s="1726"/>
      <c r="B81" s="1726"/>
      <c r="C81" s="1726"/>
      <c r="D81" s="1726"/>
      <c r="E81" s="1726"/>
      <c r="F81" s="1726"/>
      <c r="G81" s="1726"/>
      <c r="H81" s="1726"/>
      <c r="I81" s="1726"/>
      <c r="J81" s="1726"/>
      <c r="K81" s="1726"/>
      <c r="L81" s="1726"/>
      <c r="M81" s="1726"/>
      <c r="N81" s="1726"/>
      <c r="O81" s="1726"/>
      <c r="P81" s="1726"/>
      <c r="Q81" s="1726"/>
      <c r="R81" s="1726"/>
    </row>
    <row r="82" spans="1:18" s="1794" customFormat="1" ht="18" customHeight="1" x14ac:dyDescent="0.35">
      <c r="A82" s="1782"/>
      <c r="B82" s="1782"/>
      <c r="C82" s="1782"/>
      <c r="D82" s="1782"/>
      <c r="E82" s="1782"/>
      <c r="F82" s="1782"/>
      <c r="G82" s="1782"/>
      <c r="H82" s="1782"/>
      <c r="I82" s="1782"/>
      <c r="J82" s="1782"/>
      <c r="K82" s="1782"/>
      <c r="L82" s="1782"/>
      <c r="M82" s="1782"/>
      <c r="N82" s="1782"/>
      <c r="O82" s="1782"/>
      <c r="P82" s="1782"/>
      <c r="Q82" s="1782"/>
      <c r="R82" s="1782"/>
    </row>
    <row r="83" spans="1:18" s="1794" customFormat="1" ht="18" customHeight="1" x14ac:dyDescent="0.35">
      <c r="A83" s="1782"/>
      <c r="B83" s="1782"/>
      <c r="C83" s="1782"/>
      <c r="D83" s="1819"/>
      <c r="E83" s="1807"/>
      <c r="F83" s="1807"/>
      <c r="G83" s="1807"/>
      <c r="H83" s="1807"/>
      <c r="I83" s="1807"/>
      <c r="J83" s="1807"/>
      <c r="K83" s="1807"/>
      <c r="L83" s="1782"/>
      <c r="M83" s="1782"/>
      <c r="N83" s="1782"/>
      <c r="O83" s="1782"/>
      <c r="P83" s="1782"/>
      <c r="Q83" s="1782"/>
      <c r="R83" s="1782"/>
    </row>
    <row r="84" spans="1:18" s="1794" customFormat="1" ht="18" customHeight="1" x14ac:dyDescent="0.35">
      <c r="A84" s="1782"/>
      <c r="B84" s="1782"/>
      <c r="C84" s="1782"/>
      <c r="D84" s="1819"/>
      <c r="E84" s="1807"/>
      <c r="F84" s="1807"/>
      <c r="G84" s="1807"/>
      <c r="H84" s="1807"/>
      <c r="I84" s="1807"/>
      <c r="J84" s="1807"/>
      <c r="K84" s="1807"/>
      <c r="L84" s="1782"/>
      <c r="M84" s="1782"/>
      <c r="N84" s="1782"/>
      <c r="O84" s="1782"/>
      <c r="P84" s="1782"/>
      <c r="Q84" s="1782"/>
      <c r="R84" s="1782"/>
    </row>
    <row r="85" spans="1:18" s="1794" customFormat="1" ht="18" customHeight="1" x14ac:dyDescent="0.35">
      <c r="A85" s="1782"/>
      <c r="B85" s="1782"/>
      <c r="C85" s="1782"/>
      <c r="D85" s="1807"/>
      <c r="E85" s="1807"/>
      <c r="F85" s="1807"/>
      <c r="G85" s="1807"/>
      <c r="H85" s="1807"/>
      <c r="I85" s="1807"/>
      <c r="J85" s="1807"/>
      <c r="K85" s="1807"/>
      <c r="L85" s="1782"/>
      <c r="M85" s="1782"/>
      <c r="N85" s="1782"/>
      <c r="O85" s="1782"/>
      <c r="P85" s="1782"/>
      <c r="Q85" s="1782"/>
      <c r="R85" s="1782"/>
    </row>
    <row r="86" spans="1:18" s="1794" customFormat="1" ht="14.5" x14ac:dyDescent="0.35">
      <c r="A86" s="1782"/>
      <c r="B86" s="1782"/>
      <c r="C86" s="1782"/>
      <c r="D86" s="1807"/>
      <c r="E86" s="1807"/>
      <c r="F86" s="1807"/>
      <c r="G86" s="1807"/>
      <c r="H86" s="1807"/>
      <c r="I86" s="1807"/>
      <c r="J86" s="1807"/>
      <c r="K86" s="1807"/>
      <c r="L86" s="1782"/>
      <c r="M86" s="1782"/>
      <c r="N86" s="1782"/>
      <c r="O86" s="1782"/>
      <c r="P86" s="1782"/>
      <c r="Q86" s="1782"/>
      <c r="R86" s="1782"/>
    </row>
    <row r="87" spans="1:18" x14ac:dyDescent="0.3">
      <c r="A87" s="1807"/>
      <c r="B87" s="1807"/>
      <c r="C87" s="1807"/>
      <c r="D87" s="1807"/>
      <c r="E87" s="1807"/>
      <c r="F87" s="1807"/>
      <c r="G87" s="1807"/>
      <c r="H87" s="1807"/>
      <c r="I87" s="1807"/>
      <c r="J87" s="1807"/>
      <c r="K87" s="1807"/>
      <c r="L87" s="1807"/>
      <c r="M87" s="1807"/>
      <c r="N87" s="1807"/>
      <c r="O87" s="1807"/>
      <c r="P87" s="1807"/>
      <c r="Q87" s="1807"/>
      <c r="R87" s="1807"/>
    </row>
    <row r="88" spans="1:18" x14ac:dyDescent="0.3">
      <c r="A88" s="1807"/>
      <c r="B88" s="1807"/>
      <c r="C88" s="1807"/>
      <c r="D88" s="1807"/>
      <c r="E88" s="1807"/>
      <c r="F88" s="1807"/>
      <c r="G88" s="1807"/>
      <c r="H88" s="1807"/>
      <c r="I88" s="1807"/>
      <c r="J88" s="1807"/>
      <c r="K88" s="1807"/>
      <c r="L88" s="1807"/>
      <c r="M88" s="1807"/>
      <c r="N88" s="1807"/>
      <c r="O88" s="1807"/>
      <c r="P88" s="1807"/>
      <c r="Q88" s="1807"/>
      <c r="R88" s="1807"/>
    </row>
    <row r="89" spans="1:18" x14ac:dyDescent="0.3">
      <c r="A89" s="1807"/>
      <c r="B89" s="1807"/>
      <c r="C89" s="1807"/>
      <c r="D89" s="1807"/>
      <c r="E89" s="1807"/>
      <c r="F89" s="1807"/>
      <c r="G89" s="1807"/>
      <c r="H89" s="1807"/>
      <c r="I89" s="1807"/>
      <c r="J89" s="1807"/>
      <c r="K89" s="1807"/>
      <c r="L89" s="1807"/>
      <c r="M89" s="1807"/>
      <c r="N89" s="1807"/>
      <c r="O89" s="1807"/>
      <c r="P89" s="1807"/>
      <c r="Q89" s="1807"/>
      <c r="R89" s="1807"/>
    </row>
    <row r="90" spans="1:18" x14ac:dyDescent="0.3">
      <c r="A90" s="1807"/>
      <c r="B90" s="1807"/>
      <c r="C90" s="1807"/>
      <c r="D90" s="1807"/>
      <c r="E90" s="1807"/>
      <c r="F90" s="1807"/>
      <c r="G90" s="1807"/>
      <c r="H90" s="1807"/>
      <c r="I90" s="1807"/>
      <c r="J90" s="1807"/>
      <c r="K90" s="1807"/>
      <c r="L90" s="1807"/>
      <c r="M90" s="1807"/>
      <c r="N90" s="1807"/>
      <c r="O90" s="1807"/>
      <c r="P90" s="1807"/>
      <c r="Q90" s="1807"/>
      <c r="R90" s="1807"/>
    </row>
    <row r="91" spans="1:18" x14ac:dyDescent="0.3">
      <c r="A91" s="1807"/>
      <c r="B91" s="1807"/>
      <c r="C91" s="1807"/>
      <c r="D91" s="1807"/>
      <c r="E91" s="1807"/>
      <c r="F91" s="1807"/>
      <c r="G91" s="1807"/>
      <c r="H91" s="1807"/>
      <c r="I91" s="1807"/>
      <c r="J91" s="1807"/>
      <c r="K91" s="1807"/>
      <c r="L91" s="1807"/>
      <c r="M91" s="1807"/>
      <c r="N91" s="1807"/>
      <c r="O91" s="1807"/>
      <c r="P91" s="1807"/>
      <c r="Q91" s="1807"/>
      <c r="R91" s="1807"/>
    </row>
    <row r="92" spans="1:18" x14ac:dyDescent="0.3">
      <c r="A92" s="1807"/>
      <c r="B92" s="1807"/>
      <c r="C92" s="1807"/>
      <c r="D92" s="1807"/>
      <c r="E92" s="1807"/>
      <c r="F92" s="1807"/>
      <c r="G92" s="1807"/>
      <c r="H92" s="1807"/>
      <c r="I92" s="1807"/>
      <c r="J92" s="1807"/>
      <c r="K92" s="1807"/>
      <c r="L92" s="1807"/>
      <c r="M92" s="1807"/>
      <c r="N92" s="1807"/>
      <c r="O92" s="1807"/>
      <c r="P92" s="1807"/>
      <c r="Q92" s="1807"/>
      <c r="R92" s="1807"/>
    </row>
    <row r="93" spans="1:18" x14ac:dyDescent="0.3">
      <c r="A93" s="1807"/>
      <c r="B93" s="1807"/>
      <c r="C93" s="1807"/>
      <c r="D93" s="1807"/>
      <c r="E93" s="1807"/>
      <c r="F93" s="1807"/>
      <c r="G93" s="1807"/>
      <c r="H93" s="1807"/>
      <c r="I93" s="1807"/>
      <c r="J93" s="1807"/>
      <c r="K93" s="1807"/>
      <c r="L93" s="1807"/>
      <c r="M93" s="1807"/>
      <c r="N93" s="1807"/>
      <c r="O93" s="1807"/>
      <c r="P93" s="1807"/>
      <c r="Q93" s="1807"/>
      <c r="R93" s="1807"/>
    </row>
    <row r="94" spans="1:18" x14ac:dyDescent="0.3">
      <c r="A94" s="1807"/>
      <c r="B94" s="1807"/>
      <c r="C94" s="1807"/>
      <c r="D94" s="1807"/>
      <c r="E94" s="1807"/>
      <c r="F94" s="1807"/>
      <c r="G94" s="1807"/>
      <c r="H94" s="1807"/>
      <c r="I94" s="1807"/>
      <c r="J94" s="1807"/>
      <c r="K94" s="1807"/>
      <c r="L94" s="1807"/>
      <c r="M94" s="1807"/>
      <c r="N94" s="1807"/>
      <c r="O94" s="1807"/>
      <c r="P94" s="1807"/>
      <c r="Q94" s="1807"/>
      <c r="R94" s="1807"/>
    </row>
    <row r="95" spans="1:18" x14ac:dyDescent="0.3">
      <c r="A95" s="1807"/>
      <c r="B95" s="1807"/>
      <c r="C95" s="1807"/>
      <c r="D95" s="1807"/>
      <c r="E95" s="1807"/>
      <c r="F95" s="1807"/>
      <c r="G95" s="1807"/>
      <c r="H95" s="1807"/>
      <c r="I95" s="1807"/>
      <c r="J95" s="1807"/>
      <c r="K95" s="1807"/>
      <c r="L95" s="1807"/>
      <c r="M95" s="1807"/>
      <c r="N95" s="1807"/>
      <c r="O95" s="1807"/>
      <c r="P95" s="1807"/>
      <c r="Q95" s="1807"/>
      <c r="R95" s="1807"/>
    </row>
    <row r="96" spans="1:18" x14ac:dyDescent="0.3">
      <c r="A96" s="1807"/>
      <c r="B96" s="1807"/>
      <c r="C96" s="1807"/>
      <c r="D96" s="1807"/>
      <c r="E96" s="1807"/>
      <c r="F96" s="1807"/>
      <c r="G96" s="1807"/>
      <c r="H96" s="1807"/>
      <c r="I96" s="1807"/>
      <c r="J96" s="1807"/>
      <c r="K96" s="1807"/>
      <c r="L96" s="1807"/>
      <c r="M96" s="1807"/>
      <c r="N96" s="1807"/>
      <c r="O96" s="1807"/>
      <c r="P96" s="1807"/>
      <c r="Q96" s="1807"/>
      <c r="R96" s="1807"/>
    </row>
    <row r="97" spans="1:18" x14ac:dyDescent="0.3">
      <c r="A97" s="1807"/>
      <c r="B97" s="1807"/>
      <c r="C97" s="1807"/>
      <c r="D97" s="1807"/>
      <c r="E97" s="1807"/>
      <c r="F97" s="1807"/>
      <c r="G97" s="1807"/>
      <c r="H97" s="1807"/>
      <c r="I97" s="1807"/>
      <c r="J97" s="1807"/>
      <c r="K97" s="1807"/>
      <c r="L97" s="1807"/>
      <c r="M97" s="1807"/>
      <c r="N97" s="1807"/>
      <c r="O97" s="1807"/>
      <c r="P97" s="1807"/>
      <c r="Q97" s="1807"/>
      <c r="R97" s="1807"/>
    </row>
    <row r="98" spans="1:18" x14ac:dyDescent="0.3">
      <c r="A98" s="1807"/>
      <c r="B98" s="1807"/>
      <c r="C98" s="1807"/>
      <c r="D98" s="1807"/>
      <c r="E98" s="1807"/>
      <c r="F98" s="1807"/>
      <c r="G98" s="1807"/>
      <c r="H98" s="1807"/>
      <c r="I98" s="1807"/>
      <c r="J98" s="1807"/>
      <c r="K98" s="1807"/>
      <c r="L98" s="1807"/>
      <c r="M98" s="1807"/>
      <c r="N98" s="1807"/>
      <c r="O98" s="1807"/>
      <c r="P98" s="1807"/>
      <c r="Q98" s="1807"/>
      <c r="R98" s="1807"/>
    </row>
    <row r="99" spans="1:18" x14ac:dyDescent="0.3">
      <c r="A99" s="1807"/>
      <c r="B99" s="1807"/>
      <c r="C99" s="1807"/>
      <c r="D99" s="1807"/>
      <c r="E99" s="1807"/>
      <c r="F99" s="1807"/>
      <c r="G99" s="1807"/>
      <c r="H99" s="1807"/>
      <c r="I99" s="1807"/>
      <c r="J99" s="1807"/>
      <c r="K99" s="1807"/>
      <c r="L99" s="1807"/>
      <c r="M99" s="1807"/>
      <c r="N99" s="1807"/>
      <c r="O99" s="1807"/>
      <c r="P99" s="1807"/>
      <c r="Q99" s="1807"/>
      <c r="R99" s="1807"/>
    </row>
    <row r="100" spans="1:18" x14ac:dyDescent="0.3">
      <c r="A100" s="1807"/>
      <c r="B100" s="1807"/>
      <c r="C100" s="1807"/>
      <c r="D100" s="1807"/>
      <c r="E100" s="1807"/>
      <c r="F100" s="1807"/>
      <c r="G100" s="1807"/>
      <c r="H100" s="1807"/>
      <c r="I100" s="1807"/>
      <c r="J100" s="1807"/>
      <c r="K100" s="1807"/>
      <c r="L100" s="1807"/>
      <c r="M100" s="1807"/>
      <c r="N100" s="1807"/>
      <c r="O100" s="1807"/>
      <c r="P100" s="1807"/>
      <c r="Q100" s="1807"/>
      <c r="R100" s="1807"/>
    </row>
    <row r="101" spans="1:18" x14ac:dyDescent="0.3">
      <c r="A101" s="1807"/>
      <c r="B101" s="1807"/>
      <c r="C101" s="1807"/>
      <c r="D101" s="1807"/>
      <c r="E101" s="1807"/>
      <c r="F101" s="1807"/>
      <c r="G101" s="1807"/>
      <c r="H101" s="1807"/>
      <c r="I101" s="1807"/>
      <c r="J101" s="1807"/>
      <c r="K101" s="1807"/>
      <c r="L101" s="1807"/>
      <c r="M101" s="1807"/>
      <c r="N101" s="1807"/>
      <c r="O101" s="1807"/>
      <c r="P101" s="1807"/>
      <c r="Q101" s="1807"/>
      <c r="R101" s="1807"/>
    </row>
    <row r="102" spans="1:18" x14ac:dyDescent="0.3">
      <c r="A102" s="1807"/>
      <c r="B102" s="1807"/>
      <c r="C102" s="1807"/>
      <c r="D102" s="1807"/>
      <c r="E102" s="1807"/>
      <c r="F102" s="1807"/>
      <c r="G102" s="1807"/>
      <c r="H102" s="1807"/>
      <c r="I102" s="1807"/>
      <c r="J102" s="1807"/>
      <c r="K102" s="1807"/>
      <c r="L102" s="1807"/>
      <c r="M102" s="1807"/>
      <c r="N102" s="1807"/>
      <c r="O102" s="1807"/>
      <c r="P102" s="1807"/>
      <c r="Q102" s="1807"/>
      <c r="R102" s="1807"/>
    </row>
    <row r="103" spans="1:18" x14ac:dyDescent="0.3">
      <c r="A103" s="1807"/>
      <c r="B103" s="1807"/>
      <c r="C103" s="1807"/>
      <c r="D103" s="1807"/>
      <c r="E103" s="1807"/>
      <c r="F103" s="1807"/>
      <c r="G103" s="1807"/>
      <c r="H103" s="1807"/>
      <c r="I103" s="1807"/>
      <c r="J103" s="1807"/>
      <c r="K103" s="1807"/>
      <c r="L103" s="1807"/>
      <c r="M103" s="1807"/>
      <c r="N103" s="1807"/>
      <c r="O103" s="1807"/>
      <c r="P103" s="1807"/>
      <c r="Q103" s="1807"/>
      <c r="R103" s="1807"/>
    </row>
    <row r="104" spans="1:18" x14ac:dyDescent="0.3">
      <c r="A104" s="1807"/>
      <c r="B104" s="1807"/>
      <c r="C104" s="1807"/>
      <c r="D104" s="1807"/>
      <c r="E104" s="1807"/>
      <c r="F104" s="1807"/>
      <c r="G104" s="1807"/>
      <c r="H104" s="1807"/>
      <c r="I104" s="1807"/>
      <c r="J104" s="1807"/>
      <c r="K104" s="1807"/>
      <c r="L104" s="1807"/>
      <c r="M104" s="1807"/>
      <c r="N104" s="1807"/>
      <c r="O104" s="1807"/>
      <c r="P104" s="1807"/>
      <c r="Q104" s="1807"/>
      <c r="R104" s="1807"/>
    </row>
    <row r="106" spans="1:18" s="1784" customFormat="1" ht="14.5" x14ac:dyDescent="0.35">
      <c r="D106" s="1808"/>
      <c r="E106" s="1808"/>
      <c r="F106" s="1808"/>
      <c r="G106" s="1808"/>
      <c r="H106" s="1808"/>
      <c r="I106" s="1808"/>
      <c r="J106" s="1808"/>
      <c r="K106" s="1808"/>
    </row>
    <row r="107" spans="1:18" s="1784" customFormat="1" ht="14.5" x14ac:dyDescent="0.35">
      <c r="D107" s="1808"/>
      <c r="E107" s="1808"/>
      <c r="F107" s="1808"/>
      <c r="G107" s="1808"/>
      <c r="H107" s="1808"/>
      <c r="I107" s="1808"/>
      <c r="J107" s="1808"/>
      <c r="K107" s="1808"/>
    </row>
    <row r="108" spans="1:18" s="1784" customFormat="1" ht="14.5" x14ac:dyDescent="0.35">
      <c r="D108" s="1808"/>
      <c r="E108" s="1808"/>
      <c r="F108" s="1808"/>
      <c r="G108" s="1808"/>
      <c r="H108" s="1808"/>
      <c r="I108" s="1808"/>
      <c r="J108" s="1808"/>
      <c r="K108" s="1808"/>
    </row>
    <row r="109" spans="1:18" s="1784" customFormat="1" ht="14.5" x14ac:dyDescent="0.35">
      <c r="D109" s="1808"/>
      <c r="E109" s="1808"/>
      <c r="F109" s="1808"/>
      <c r="G109" s="1808"/>
      <c r="H109" s="1808"/>
      <c r="I109" s="1808"/>
      <c r="J109" s="1808"/>
      <c r="K109" s="1808"/>
    </row>
  </sheetData>
  <mergeCells count="102">
    <mergeCell ref="M21:Q21"/>
    <mergeCell ref="K21:L34"/>
    <mergeCell ref="B39:E39"/>
    <mergeCell ref="A24:C24"/>
    <mergeCell ref="D24:E24"/>
    <mergeCell ref="A25:C25"/>
    <mergeCell ref="A26:C26"/>
    <mergeCell ref="A27:C27"/>
    <mergeCell ref="A54:K54"/>
    <mergeCell ref="D53:E53"/>
    <mergeCell ref="A35:Q35"/>
    <mergeCell ref="A36:E36"/>
    <mergeCell ref="B40:E40"/>
    <mergeCell ref="B41:E41"/>
    <mergeCell ref="B42:E42"/>
    <mergeCell ref="A31:C31"/>
    <mergeCell ref="A21:C21"/>
    <mergeCell ref="D21:E21"/>
    <mergeCell ref="A22:C23"/>
    <mergeCell ref="A44:Q44"/>
    <mergeCell ref="A43:Q43"/>
    <mergeCell ref="A53:C53"/>
    <mergeCell ref="D52:E52"/>
    <mergeCell ref="A28:C28"/>
    <mergeCell ref="A63:K63"/>
    <mergeCell ref="A64:E64"/>
    <mergeCell ref="A61:C61"/>
    <mergeCell ref="D61:E61"/>
    <mergeCell ref="A62:C62"/>
    <mergeCell ref="D62:E62"/>
    <mergeCell ref="A58:C58"/>
    <mergeCell ref="D58:E58"/>
    <mergeCell ref="A60:C60"/>
    <mergeCell ref="D59:E59"/>
    <mergeCell ref="D60:E60"/>
    <mergeCell ref="A55:E55"/>
    <mergeCell ref="A75:K80"/>
    <mergeCell ref="A68:K72"/>
    <mergeCell ref="M75:O75"/>
    <mergeCell ref="M76:O80"/>
    <mergeCell ref="M67:O67"/>
    <mergeCell ref="M68:O72"/>
    <mergeCell ref="A45:C45"/>
    <mergeCell ref="D45:E45"/>
    <mergeCell ref="A46:C46"/>
    <mergeCell ref="D46:E46"/>
    <mergeCell ref="A74:K74"/>
    <mergeCell ref="A67:K67"/>
    <mergeCell ref="A47:C47"/>
    <mergeCell ref="D47:E47"/>
    <mergeCell ref="A48:C48"/>
    <mergeCell ref="D48:E48"/>
    <mergeCell ref="A49:C49"/>
    <mergeCell ref="D49:E49"/>
    <mergeCell ref="A50:C50"/>
    <mergeCell ref="D50:E50"/>
    <mergeCell ref="A51:C51"/>
    <mergeCell ref="D51:E51"/>
    <mergeCell ref="A52:C52"/>
    <mergeCell ref="A9:C9"/>
    <mergeCell ref="D9:E9"/>
    <mergeCell ref="A4:G4"/>
    <mergeCell ref="H4:P4"/>
    <mergeCell ref="A5:B5"/>
    <mergeCell ref="C5:P5"/>
    <mergeCell ref="A6:C6"/>
    <mergeCell ref="D6:E6"/>
    <mergeCell ref="D3:G3"/>
    <mergeCell ref="L6:Q6"/>
    <mergeCell ref="F7:K7"/>
    <mergeCell ref="D7:E7"/>
    <mergeCell ref="D1:G1"/>
    <mergeCell ref="I1:J1"/>
    <mergeCell ref="L1:M1"/>
    <mergeCell ref="D2:G2"/>
    <mergeCell ref="I2:J2"/>
    <mergeCell ref="L2:M2"/>
    <mergeCell ref="A7:C7"/>
    <mergeCell ref="A8:C8"/>
    <mergeCell ref="D8:E8"/>
    <mergeCell ref="A33:C33"/>
    <mergeCell ref="A34:C34"/>
    <mergeCell ref="A32:C32"/>
    <mergeCell ref="F22:J23"/>
    <mergeCell ref="A29:C29"/>
    <mergeCell ref="A30:C30"/>
    <mergeCell ref="A10:C10"/>
    <mergeCell ref="D10:E10"/>
    <mergeCell ref="A16:C16"/>
    <mergeCell ref="D16:E16"/>
    <mergeCell ref="A11:C11"/>
    <mergeCell ref="D11:E11"/>
    <mergeCell ref="A12:C12"/>
    <mergeCell ref="D12:E12"/>
    <mergeCell ref="A13:C13"/>
    <mergeCell ref="D13:E13"/>
    <mergeCell ref="A14:C14"/>
    <mergeCell ref="D14:E14"/>
    <mergeCell ref="A17:K17"/>
    <mergeCell ref="A18:E18"/>
    <mergeCell ref="A15:C15"/>
    <mergeCell ref="D15:E15"/>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D00-000000000000}">
      <formula1>AvancementTheme</formula1>
    </dataValidation>
  </dataValidations>
  <hyperlinks>
    <hyperlink ref="O1" location="DPDV_02OP1" display="PdV" xr:uid="{00000000-0004-0000-5D00-000000000000}"/>
    <hyperlink ref="P1" location="DKPI_02OP1" display="KPI's" xr:uid="{00000000-0004-0000-5D00-000001000000}"/>
  </hyperlinks>
  <pageMargins left="0.70866141732283472" right="0.70866141732283472" top="0.74803149606299213" bottom="0.74803149606299213" header="0.31496062992125984" footer="0.31496062992125984"/>
  <pageSetup paperSize="9" scale="43"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euil50">
    <tabColor theme="6" tint="0.59999389629810485"/>
    <pageSetUpPr fitToPage="1"/>
  </sheetPr>
  <dimension ref="A1:V59"/>
  <sheetViews>
    <sheetView zoomScale="110" zoomScaleNormal="110" workbookViewId="0">
      <pane ySplit="8" topLeftCell="A9" activePane="bottomLeft" state="frozen"/>
      <selection activeCell="C5" sqref="C5:P5"/>
      <selection pane="bottomLeft" activeCell="C5" sqref="C5:P5"/>
    </sheetView>
  </sheetViews>
  <sheetFormatPr baseColWidth="10" defaultColWidth="11.453125" defaultRowHeight="14.5" x14ac:dyDescent="0.35"/>
  <cols>
    <col min="1" max="3" width="11.453125" style="60"/>
    <col min="4" max="5" width="10.7265625" style="60" customWidth="1"/>
    <col min="6" max="6" width="18.7265625" style="60" customWidth="1"/>
    <col min="7" max="9" width="10.7265625" style="60" customWidth="1"/>
    <col min="10" max="10" width="9.453125" style="60" customWidth="1"/>
    <col min="11" max="11" width="10.7265625" style="60" customWidth="1"/>
    <col min="12" max="16" width="9.453125" style="60" customWidth="1"/>
    <col min="17"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row>
    <row r="2" spans="1:22" s="58" customFormat="1" ht="18" customHeight="1" x14ac:dyDescent="0.35">
      <c r="A2" s="393"/>
      <c r="B2" s="393"/>
      <c r="C2" s="393"/>
      <c r="D2" s="3342" t="str">
        <f>NomClient</f>
        <v xml:space="preserve">EQUINIX </v>
      </c>
      <c r="E2" s="3343"/>
      <c r="F2" s="3343"/>
      <c r="G2" s="3344"/>
      <c r="H2" s="393"/>
      <c r="I2" s="3345" t="s">
        <v>410</v>
      </c>
      <c r="J2" s="3346"/>
      <c r="K2" s="393"/>
      <c r="L2" s="3347">
        <v>42426.397650462961</v>
      </c>
      <c r="M2" s="3348"/>
      <c r="N2" s="699"/>
      <c r="O2" s="451">
        <f>IF(LEN(DPDV_07DC1)&gt;0,LEN(DPDV_07DC1),0-PDV_NBmini)</f>
        <v>167</v>
      </c>
      <c r="P2" s="451">
        <f>IF(LEN(DKPI_07DC1)&gt;0,LEN(DKPI_07DC1),0-KPI_NBmini)</f>
        <v>67</v>
      </c>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3769" t="str">
        <f>Parametre!B29 &amp; "  : "</f>
        <v xml:space="preserve">Dimentionnement du réseau  : </v>
      </c>
      <c r="B4" s="3769"/>
      <c r="C4" s="3769"/>
      <c r="D4" s="3769"/>
      <c r="E4" s="3769"/>
      <c r="F4" s="3767" t="str">
        <f>"Nombre de partenaires pour " &amp; NomProd1</f>
        <v>Nombre de partenaires pour EQUINIX</v>
      </c>
      <c r="G4" s="3767"/>
      <c r="H4" s="3767"/>
      <c r="I4" s="3767"/>
      <c r="J4" s="3767"/>
      <c r="K4" s="3767"/>
      <c r="L4" s="3767"/>
      <c r="M4" s="3767"/>
      <c r="N4" s="3767"/>
      <c r="O4" s="3767"/>
      <c r="P4" s="3768"/>
    </row>
    <row r="5" spans="1:22" s="193" customFormat="1" ht="21" customHeight="1" thickBot="1" x14ac:dyDescent="0.4">
      <c r="A5" s="3438" t="s">
        <v>14</v>
      </c>
      <c r="B5" s="3438"/>
      <c r="C5" s="3439" t="s">
        <v>2272</v>
      </c>
      <c r="D5" s="3439"/>
      <c r="E5" s="3439"/>
      <c r="F5" s="3439"/>
      <c r="G5" s="3439"/>
      <c r="H5" s="3439"/>
      <c r="I5" s="3439"/>
      <c r="J5" s="3439"/>
      <c r="K5" s="3439"/>
      <c r="L5" s="3439"/>
      <c r="M5" s="3439"/>
      <c r="N5" s="3439"/>
      <c r="O5" s="3439"/>
      <c r="P5" s="3439"/>
    </row>
    <row r="6" spans="1:22" s="125" customFormat="1" ht="39.75" customHeight="1" thickTop="1" x14ac:dyDescent="0.35">
      <c r="A6" s="5708" t="s">
        <v>1161</v>
      </c>
      <c r="B6" s="5709"/>
      <c r="C6" s="881" t="s">
        <v>462</v>
      </c>
      <c r="D6" s="5709" t="s">
        <v>477</v>
      </c>
      <c r="E6" s="5709"/>
      <c r="F6" s="6757"/>
      <c r="G6" s="6769" t="s">
        <v>482</v>
      </c>
      <c r="H6" s="6770"/>
      <c r="I6" s="6770"/>
      <c r="J6" s="6770"/>
      <c r="K6" s="6770"/>
      <c r="L6" s="6771"/>
      <c r="M6" s="6772" t="s">
        <v>1415</v>
      </c>
      <c r="N6" s="6773"/>
      <c r="O6" s="6773"/>
      <c r="P6" s="6774"/>
    </row>
    <row r="7" spans="1:22" s="118" customFormat="1" ht="49.5" customHeight="1" thickBot="1" x14ac:dyDescent="0.4">
      <c r="A7" s="6753"/>
      <c r="B7" s="6754"/>
      <c r="C7" s="2460" t="s">
        <v>508</v>
      </c>
      <c r="D7" s="6755" t="s">
        <v>1237</v>
      </c>
      <c r="E7" s="6755"/>
      <c r="F7" s="6756"/>
      <c r="G7" s="6776" t="s">
        <v>1995</v>
      </c>
      <c r="H7" s="6755"/>
      <c r="I7" s="6755" t="s">
        <v>480</v>
      </c>
      <c r="J7" s="6755"/>
      <c r="K7" s="6755" t="s">
        <v>2070</v>
      </c>
      <c r="L7" s="6775"/>
      <c r="M7" s="2461">
        <f xml:space="preserve"> AnReference</f>
        <v>2018</v>
      </c>
      <c r="N7" s="2461">
        <f xml:space="preserve"> AnReference+1</f>
        <v>2019</v>
      </c>
      <c r="O7" s="2461">
        <f xml:space="preserve"> AnReference+2</f>
        <v>2020</v>
      </c>
      <c r="P7" s="2461">
        <f xml:space="preserve"> AnReference+3</f>
        <v>2021</v>
      </c>
      <c r="Q7" s="118" t="s">
        <v>1238</v>
      </c>
    </row>
    <row r="8" spans="1:22" s="118" customFormat="1" ht="0.75" hidden="1" customHeight="1" x14ac:dyDescent="0.35">
      <c r="A8" s="884" t="s">
        <v>454</v>
      </c>
      <c r="B8" s="885"/>
      <c r="C8" s="886"/>
      <c r="D8" s="886"/>
      <c r="E8" s="887"/>
      <c r="F8" s="885"/>
      <c r="G8" s="885"/>
      <c r="H8" s="885"/>
      <c r="I8" s="885"/>
      <c r="J8" s="885"/>
      <c r="K8" s="885"/>
      <c r="L8" s="885"/>
      <c r="M8" s="885"/>
      <c r="N8" s="885"/>
      <c r="O8" s="885"/>
      <c r="P8" s="888"/>
    </row>
    <row r="9" spans="1:22" s="118" customFormat="1" ht="0.75" hidden="1" customHeight="1" x14ac:dyDescent="0.35">
      <c r="A9" s="889"/>
      <c r="B9" s="890"/>
      <c r="C9" s="891"/>
      <c r="D9" s="891"/>
      <c r="E9" s="892"/>
      <c r="F9" s="890"/>
      <c r="G9" s="890"/>
      <c r="H9" s="890"/>
      <c r="I9" s="890"/>
      <c r="J9" s="890"/>
      <c r="K9" s="890"/>
      <c r="L9" s="890"/>
      <c r="M9" s="890"/>
      <c r="N9" s="890"/>
      <c r="O9" s="890"/>
      <c r="P9" s="893"/>
    </row>
    <row r="10" spans="1:22" s="121" customFormat="1" ht="12" customHeight="1" thickTop="1" x14ac:dyDescent="0.35">
      <c r="A10" s="5702"/>
      <c r="B10" s="5703"/>
      <c r="C10" s="5703"/>
      <c r="D10" s="5703"/>
      <c r="E10" s="5703"/>
      <c r="F10" s="5703"/>
      <c r="G10" s="5703"/>
      <c r="H10" s="5703"/>
      <c r="I10" s="5703"/>
      <c r="J10" s="5703"/>
      <c r="K10" s="5703"/>
      <c r="L10" s="5703"/>
      <c r="M10" s="5703"/>
      <c r="N10" s="5703"/>
      <c r="O10" s="5703"/>
      <c r="P10" s="5704"/>
    </row>
    <row r="11" spans="1:22" s="116" customFormat="1" ht="27.75" customHeight="1" x14ac:dyDescent="0.3">
      <c r="A11" s="5693" t="str">
        <f>TYPOPARTNER!A11:D11</f>
        <v>Force de vente directe</v>
      </c>
      <c r="B11" s="5694"/>
      <c r="C11" s="1399" t="str">
        <f>IF(LEN(TYPOPARTNER!E11)&lt;1,"",TYPOPARTNER!E11)</f>
        <v/>
      </c>
      <c r="D11" s="6758" t="s">
        <v>2137</v>
      </c>
      <c r="E11" s="6759"/>
      <c r="F11" s="6760"/>
      <c r="G11" s="6761" t="s">
        <v>2138</v>
      </c>
      <c r="H11" s="6762"/>
      <c r="I11" s="6762"/>
      <c r="J11" s="6762"/>
      <c r="K11" s="6762"/>
      <c r="L11" s="6763"/>
      <c r="M11" s="6764" t="s">
        <v>2138</v>
      </c>
      <c r="N11" s="6765"/>
      <c r="O11" s="6765"/>
      <c r="P11" s="6766"/>
      <c r="Q11" s="124">
        <f>SUM(M11:P11)</f>
        <v>0</v>
      </c>
    </row>
    <row r="12" spans="1:22" s="118" customFormat="1" ht="88.5" customHeight="1" x14ac:dyDescent="0.35">
      <c r="A12" s="5693" t="str">
        <f>TYPOPARTNER!A12:D12</f>
        <v xml:space="preserve">VARs / SS2I locales </v>
      </c>
      <c r="B12" s="5694"/>
      <c r="C12" s="1399" t="str">
        <f>IF(LEN(TYPOPARTNER!E12)&lt;1,"",TYPOPARTNER!E12)</f>
        <v>1- Haute</v>
      </c>
      <c r="D12" s="6777"/>
      <c r="E12" s="6778"/>
      <c r="F12" s="6779"/>
      <c r="G12" s="6742">
        <f>'02-CHANNELCAPACITY-SAAS-OFR1'!G45</f>
        <v>0</v>
      </c>
      <c r="H12" s="6743"/>
      <c r="I12" s="6747">
        <f>'02-CHANNELCAPACITY-SAAS-OFR1'!L50</f>
        <v>0</v>
      </c>
      <c r="J12" s="6743"/>
      <c r="K12" s="6748">
        <f>'02-CHANNELCAPACITY-SAAS-OFR1'!K49</f>
        <v>0</v>
      </c>
      <c r="L12" s="6746"/>
      <c r="M12" s="2564">
        <f>'02-CHANNELCAPACITY-SAAS-OFR1'!G49</f>
        <v>0</v>
      </c>
      <c r="N12" s="2564">
        <f>'02-CHANNELCAPACITY-SAAS-OFR1'!H49</f>
        <v>0</v>
      </c>
      <c r="O12" s="2564">
        <f>'02-CHANNELCAPACITY-SAAS-OFR1'!I49</f>
        <v>0</v>
      </c>
      <c r="P12" s="2564">
        <f>'02-CHANNELCAPACITY-SAAS-OFR1'!J49</f>
        <v>0</v>
      </c>
      <c r="Q12" s="2565">
        <f t="shared" ref="Q12:Q26" si="0">SUM(M12:P12)</f>
        <v>0</v>
      </c>
    </row>
    <row r="13" spans="1:22" s="118" customFormat="1" ht="54.75" customHeight="1" x14ac:dyDescent="0.35">
      <c r="A13" s="5693" t="str">
        <f>TYPOPARTNER!A13:D13</f>
        <v>ESN ( SS2I )</v>
      </c>
      <c r="B13" s="5694"/>
      <c r="C13" s="1399" t="str">
        <f>IF(LEN(TYPOPARTNER!E13)&lt;1,"",TYPOPARTNER!E13)</f>
        <v>1- Haute</v>
      </c>
      <c r="D13" s="6777"/>
      <c r="E13" s="6780"/>
      <c r="F13" s="6781"/>
      <c r="G13" s="6742">
        <f>'02-CHANNELCAPACITY-SAAS-OFR1'!G53</f>
        <v>0</v>
      </c>
      <c r="H13" s="6743"/>
      <c r="I13" s="6747">
        <f>'02-CHANNELCAPACITY-SAAS-OFR1'!L58</f>
        <v>0</v>
      </c>
      <c r="J13" s="6743"/>
      <c r="K13" s="6748">
        <f>'02-CHANNELCAPACITY-SAAS-OFR1'!K57</f>
        <v>0</v>
      </c>
      <c r="L13" s="6746"/>
      <c r="M13" s="2564">
        <f>'02-CHANNELCAPACITY-SAAS-OFR1'!G57</f>
        <v>0</v>
      </c>
      <c r="N13" s="2564">
        <f>'02-CHANNELCAPACITY-SAAS-OFR1'!H57</f>
        <v>0</v>
      </c>
      <c r="O13" s="2564">
        <f>'02-CHANNELCAPACITY-SAAS-OFR1'!I57</f>
        <v>0</v>
      </c>
      <c r="P13" s="2564">
        <f>'02-CHANNELCAPACITY-SAAS-OFR1'!J57</f>
        <v>0</v>
      </c>
      <c r="Q13" s="2565">
        <f t="shared" si="0"/>
        <v>0</v>
      </c>
    </row>
    <row r="14" spans="1:22" s="123" customFormat="1" ht="36" customHeight="1" x14ac:dyDescent="0.3">
      <c r="A14" s="5693" t="str">
        <f>TYPOPARTNER!A14:D14</f>
        <v>Constructeurs Matériel</v>
      </c>
      <c r="B14" s="5694"/>
      <c r="C14" s="1399" t="str">
        <f>IF(LEN(TYPOPARTNER!E14)&lt;1,"",TYPOPARTNER!E14)</f>
        <v>1- Haute</v>
      </c>
      <c r="D14" s="6777"/>
      <c r="E14" s="6780"/>
      <c r="F14" s="6781"/>
      <c r="G14" s="6742">
        <f>'02-CHANNELCAPACITY-SAAS-OFR1'!G61</f>
        <v>0</v>
      </c>
      <c r="H14" s="6743"/>
      <c r="I14" s="6747">
        <f>'02-CHANNELCAPACITY-SAAS-OFR1'!L66</f>
        <v>0</v>
      </c>
      <c r="J14" s="6743"/>
      <c r="K14" s="6748">
        <f>'02-CHANNELCAPACITY-SAAS-OFR1'!K65</f>
        <v>0</v>
      </c>
      <c r="L14" s="6746"/>
      <c r="M14" s="2564">
        <f>'02-CHANNELCAPACITY-SAAS-OFR1'!H65</f>
        <v>0</v>
      </c>
      <c r="N14" s="2564">
        <f>'02-CHANNELCAPACITY-SAAS-OFR1'!I65</f>
        <v>0</v>
      </c>
      <c r="O14" s="2564">
        <f>'02-CHANNELCAPACITY-SAAS-OFR1'!J65</f>
        <v>0</v>
      </c>
      <c r="P14" s="2564">
        <f>'02-CHANNELCAPACITY-SAAS-OFR1'!K65</f>
        <v>0</v>
      </c>
      <c r="Q14" s="2565">
        <f t="shared" si="0"/>
        <v>0</v>
      </c>
    </row>
    <row r="15" spans="1:22" s="123" customFormat="1" ht="35.25" customHeight="1" x14ac:dyDescent="0.3">
      <c r="A15" s="5693" t="str">
        <f>TYPOPARTNER!A15:D15</f>
        <v>Editeurs de solutions complémentaires</v>
      </c>
      <c r="B15" s="5694"/>
      <c r="C15" s="1399" t="str">
        <f>IF(LEN(TYPOPARTNER!E15)&lt;1,"",TYPOPARTNER!E15)</f>
        <v>1- Haute</v>
      </c>
      <c r="D15" s="6782"/>
      <c r="E15" s="6783"/>
      <c r="F15" s="6784"/>
      <c r="G15" s="6742">
        <f>'02-CHANNELCAPACITY-SAAS-OFR1'!G69</f>
        <v>0</v>
      </c>
      <c r="H15" s="6743"/>
      <c r="I15" s="6747">
        <f>'02-CHANNELCAPACITY-SAAS-OFR1'!L74</f>
        <v>0</v>
      </c>
      <c r="J15" s="6743"/>
      <c r="K15" s="6748">
        <f>'02-CHANNELCAPACITY-SAAS-OFR1'!K73</f>
        <v>0</v>
      </c>
      <c r="L15" s="6746"/>
      <c r="M15" s="2564">
        <f>'02-CHANNELCAPACITY-SAAS-OFR1'!H73</f>
        <v>0</v>
      </c>
      <c r="N15" s="2564">
        <f>'02-CHANNELCAPACITY-SAAS-OFR1'!I73</f>
        <v>0</v>
      </c>
      <c r="O15" s="2564">
        <f>'02-CHANNELCAPACITY-SAAS-OFR1'!J73</f>
        <v>0</v>
      </c>
      <c r="P15" s="2564">
        <f>'02-CHANNELCAPACITY-SAAS-OFR1'!K73</f>
        <v>0</v>
      </c>
      <c r="Q15" s="2565">
        <f t="shared" si="0"/>
        <v>0</v>
      </c>
    </row>
    <row r="16" spans="1:22" s="124" customFormat="1" ht="35.25" customHeight="1" x14ac:dyDescent="0.35">
      <c r="A16" s="5693" t="str">
        <f>TYPOPARTNER!A16:D16</f>
        <v>Cabinets de conseil / Consultants</v>
      </c>
      <c r="B16" s="5694"/>
      <c r="C16" s="1399" t="str">
        <f>IF(LEN(TYPOPARTNER!E16)&lt;1,"",TYPOPARTNER!E16)</f>
        <v>2- Moyenne</v>
      </c>
      <c r="D16" s="6739"/>
      <c r="E16" s="6740"/>
      <c r="F16" s="6741"/>
      <c r="G16" s="6742">
        <f>'02-CHANNELCAPACITY-SAAS-OFR1'!G77</f>
        <v>0</v>
      </c>
      <c r="H16" s="6743"/>
      <c r="I16" s="6747">
        <f>'02-CHANNELCAPACITY-SAAS-OFR1'!L82</f>
        <v>0</v>
      </c>
      <c r="J16" s="6743"/>
      <c r="K16" s="6748">
        <f>'02-CHANNELCAPACITY-SAAS-OFR1'!K81</f>
        <v>0</v>
      </c>
      <c r="L16" s="6746"/>
      <c r="M16" s="2564">
        <f>'02-CHANNELCAPACITY-SAAS-OFR1'!H81</f>
        <v>0</v>
      </c>
      <c r="N16" s="2564">
        <f>'02-CHANNELCAPACITY-SAAS-OFR1'!I81</f>
        <v>0</v>
      </c>
      <c r="O16" s="2564">
        <f>'02-CHANNELCAPACITY-SAAS-OFR1'!J81</f>
        <v>0</v>
      </c>
      <c r="P16" s="2564">
        <f>'02-CHANNELCAPACITY-SAAS-OFR1'!K81</f>
        <v>0</v>
      </c>
      <c r="Q16" s="2565">
        <f t="shared" si="0"/>
        <v>0</v>
      </c>
    </row>
    <row r="17" spans="1:17" s="118" customFormat="1" ht="35.25" customHeight="1" x14ac:dyDescent="0.35">
      <c r="A17" s="5693" t="str">
        <f>TYPOPARTNER!A17:D17</f>
        <v xml:space="preserve">Hébergeurs </v>
      </c>
      <c r="B17" s="5694"/>
      <c r="C17" s="1399" t="str">
        <f>IF(LEN(TYPOPARTNER!E17)&lt;1,"",TYPOPARTNER!E17)</f>
        <v>2- Moyenne</v>
      </c>
      <c r="D17" s="6739"/>
      <c r="E17" s="6740"/>
      <c r="F17" s="6741"/>
      <c r="G17" s="6742">
        <f>'02-CHANNELCAPACITY-SAAS-OFR1'!G85</f>
        <v>0</v>
      </c>
      <c r="H17" s="6743"/>
      <c r="I17" s="6747">
        <f>'02-CHANNELCAPACITY-SAAS-OFR1'!L90</f>
        <v>0</v>
      </c>
      <c r="J17" s="6743"/>
      <c r="K17" s="6748">
        <f>'02-CHANNELCAPACITY-SAAS-OFR1'!K81</f>
        <v>0</v>
      </c>
      <c r="L17" s="6746"/>
      <c r="M17" s="2564">
        <f>'02-CHANNELCAPACITY-SAAS-OFR1'!H89</f>
        <v>0</v>
      </c>
      <c r="N17" s="2564">
        <f>'02-CHANNELCAPACITY-SAAS-OFR1'!I89</f>
        <v>0</v>
      </c>
      <c r="O17" s="2564">
        <f>'02-CHANNELCAPACITY-SAAS-OFR1'!J89</f>
        <v>0</v>
      </c>
      <c r="P17" s="2564">
        <f>'02-CHANNELCAPACITY-SAAS-OFR1'!K89</f>
        <v>0</v>
      </c>
      <c r="Q17" s="2565">
        <f t="shared" si="0"/>
        <v>0</v>
      </c>
    </row>
    <row r="18" spans="1:17" s="118" customFormat="1" ht="35.25" customHeight="1" x14ac:dyDescent="0.35">
      <c r="A18" s="5693" t="str">
        <f>TYPOPARTNER!A18:D18</f>
        <v>Agrégateurs</v>
      </c>
      <c r="B18" s="5694"/>
      <c r="C18" s="1399" t="str">
        <f>IF(LEN(TYPOPARTNER!E18)&lt;1,"",TYPOPARTNER!E18)</f>
        <v>2- Moyenne</v>
      </c>
      <c r="D18" s="6739"/>
      <c r="E18" s="6740"/>
      <c r="F18" s="6741"/>
      <c r="G18" s="6742">
        <f>'02-CHANNELCAPACITY-SAAS-OFR1'!G93</f>
        <v>0</v>
      </c>
      <c r="H18" s="6743"/>
      <c r="I18" s="6747">
        <f>'02-CHANNELCAPACITY-SAAS-OFR1'!L98</f>
        <v>0</v>
      </c>
      <c r="J18" s="6743"/>
      <c r="K18" s="6748">
        <f>'02-CHANNELCAPACITY-SAAS-OFR1'!K97</f>
        <v>0</v>
      </c>
      <c r="L18" s="6746"/>
      <c r="M18" s="2564">
        <f>'02-CHANNELCAPACITY-SAAS-OFR1'!H97</f>
        <v>0</v>
      </c>
      <c r="N18" s="2564">
        <f>'02-CHANNELCAPACITY-SAAS-OFR1'!I97</f>
        <v>0</v>
      </c>
      <c r="O18" s="2564">
        <f>'02-CHANNELCAPACITY-SAAS-OFR1'!J97</f>
        <v>0</v>
      </c>
      <c r="P18" s="2564">
        <f>'02-CHANNELCAPACITY-SAAS-OFR1'!K97</f>
        <v>0</v>
      </c>
      <c r="Q18" s="2565">
        <f t="shared" si="0"/>
        <v>0</v>
      </c>
    </row>
    <row r="19" spans="1:17" s="124" customFormat="1" ht="35.25" customHeight="1" x14ac:dyDescent="0.35">
      <c r="A19" s="5693" t="str">
        <f>TYPOPARTNER!A19:D19</f>
        <v>Autre</v>
      </c>
      <c r="B19" s="5694"/>
      <c r="C19" s="1399" t="str">
        <f>IF(LEN(TYPOPARTNER!E19)&lt;1,"",TYPOPARTNER!E19)</f>
        <v/>
      </c>
      <c r="D19" s="6739"/>
      <c r="E19" s="6740"/>
      <c r="F19" s="6741"/>
      <c r="G19" s="6744"/>
      <c r="H19" s="6743"/>
      <c r="I19" s="6743"/>
      <c r="J19" s="6743"/>
      <c r="K19" s="6745">
        <f t="shared" ref="K19:K24" si="1">I19-G19</f>
        <v>0</v>
      </c>
      <c r="L19" s="6746"/>
      <c r="M19" s="2566"/>
      <c r="N19" s="2567"/>
      <c r="O19" s="2567"/>
      <c r="P19" s="2568"/>
      <c r="Q19" s="2565">
        <f t="shared" si="0"/>
        <v>0</v>
      </c>
    </row>
    <row r="20" spans="1:17" s="124" customFormat="1" ht="35.25" hidden="1" customHeight="1" x14ac:dyDescent="0.35">
      <c r="A20" s="5693">
        <f>TYPOPARTNER!A20:D20</f>
        <v>0</v>
      </c>
      <c r="B20" s="5694"/>
      <c r="C20" s="1399" t="str">
        <f>IF(LEN(TYPOPARTNER!E20)&lt;1,"",TYPOPARTNER!E20)</f>
        <v/>
      </c>
      <c r="D20" s="6739"/>
      <c r="E20" s="6740"/>
      <c r="F20" s="6741"/>
      <c r="G20" s="6744"/>
      <c r="H20" s="6743"/>
      <c r="I20" s="6743"/>
      <c r="J20" s="6743"/>
      <c r="K20" s="6745">
        <f t="shared" si="1"/>
        <v>0</v>
      </c>
      <c r="L20" s="6746"/>
      <c r="M20" s="2415"/>
      <c r="N20" s="2416"/>
      <c r="O20" s="2416"/>
      <c r="P20" s="2417"/>
      <c r="Q20" s="124">
        <f t="shared" si="0"/>
        <v>0</v>
      </c>
    </row>
    <row r="21" spans="1:17" s="124" customFormat="1" ht="35.25" hidden="1" customHeight="1" x14ac:dyDescent="0.35">
      <c r="A21" s="5693">
        <f>TYPOPARTNER!A21:D21</f>
        <v>0</v>
      </c>
      <c r="B21" s="5694"/>
      <c r="C21" s="1399" t="str">
        <f>IF(LEN(TYPOPARTNER!E21)&lt;1,"",TYPOPARTNER!E21)</f>
        <v/>
      </c>
      <c r="D21" s="6739"/>
      <c r="E21" s="6740"/>
      <c r="F21" s="6741"/>
      <c r="G21" s="6744"/>
      <c r="H21" s="6743"/>
      <c r="I21" s="6743"/>
      <c r="J21" s="6743"/>
      <c r="K21" s="6745">
        <f t="shared" si="1"/>
        <v>0</v>
      </c>
      <c r="L21" s="6746"/>
      <c r="M21" s="1398"/>
      <c r="N21" s="1210"/>
      <c r="O21" s="1210"/>
      <c r="P21" s="1211"/>
      <c r="Q21" s="124">
        <f t="shared" si="0"/>
        <v>0</v>
      </c>
    </row>
    <row r="22" spans="1:17" s="124" customFormat="1" ht="35.25" hidden="1" customHeight="1" x14ac:dyDescent="0.35">
      <c r="A22" s="5693">
        <f>TYPOPARTNER!A22:D22</f>
        <v>0</v>
      </c>
      <c r="B22" s="5694"/>
      <c r="C22" s="1399" t="str">
        <f>IF(LEN(TYPOPARTNER!E22)&lt;1,"",TYPOPARTNER!E22)</f>
        <v/>
      </c>
      <c r="D22" s="6739"/>
      <c r="E22" s="6740"/>
      <c r="F22" s="6741"/>
      <c r="G22" s="6744"/>
      <c r="H22" s="6743"/>
      <c r="I22" s="6743"/>
      <c r="J22" s="6743"/>
      <c r="K22" s="6745">
        <f t="shared" si="1"/>
        <v>0</v>
      </c>
      <c r="L22" s="6746"/>
      <c r="M22" s="1398"/>
      <c r="N22" s="1210"/>
      <c r="O22" s="1210"/>
      <c r="P22" s="1211"/>
      <c r="Q22" s="124">
        <f t="shared" si="0"/>
        <v>0</v>
      </c>
    </row>
    <row r="23" spans="1:17" s="124" customFormat="1" ht="35.25" hidden="1" customHeight="1" x14ac:dyDescent="0.35">
      <c r="A23" s="5693">
        <f>TYPOPARTNER!A23:D23</f>
        <v>0</v>
      </c>
      <c r="B23" s="5694"/>
      <c r="C23" s="1399" t="str">
        <f>IF(LEN(TYPOPARTNER!E23)&lt;1,"",TYPOPARTNER!E23)</f>
        <v/>
      </c>
      <c r="D23" s="6739"/>
      <c r="E23" s="6740"/>
      <c r="F23" s="6741"/>
      <c r="G23" s="6744"/>
      <c r="H23" s="6743"/>
      <c r="I23" s="6743"/>
      <c r="J23" s="6743"/>
      <c r="K23" s="6745">
        <f t="shared" si="1"/>
        <v>0</v>
      </c>
      <c r="L23" s="6746"/>
      <c r="M23" s="1398"/>
      <c r="N23" s="1210"/>
      <c r="O23" s="1210"/>
      <c r="P23" s="1211"/>
      <c r="Q23" s="124">
        <f t="shared" si="0"/>
        <v>0</v>
      </c>
    </row>
    <row r="24" spans="1:17" s="124" customFormat="1" ht="35.25" hidden="1" customHeight="1" x14ac:dyDescent="0.35">
      <c r="A24" s="5693">
        <f>TYPOPARTNER!A24:D24</f>
        <v>0</v>
      </c>
      <c r="B24" s="5694"/>
      <c r="C24" s="1399" t="str">
        <f>IF(LEN(TYPOPARTNER!E24)&lt;1,"",TYPOPARTNER!E24)</f>
        <v/>
      </c>
      <c r="D24" s="6739"/>
      <c r="E24" s="6740"/>
      <c r="F24" s="6741"/>
      <c r="G24" s="6744"/>
      <c r="H24" s="6743"/>
      <c r="I24" s="6743"/>
      <c r="J24" s="6743"/>
      <c r="K24" s="6745">
        <f t="shared" si="1"/>
        <v>0</v>
      </c>
      <c r="L24" s="6746"/>
      <c r="M24" s="1398"/>
      <c r="N24" s="1210"/>
      <c r="O24" s="1210"/>
      <c r="P24" s="1211"/>
      <c r="Q24" s="124">
        <f t="shared" si="0"/>
        <v>0</v>
      </c>
    </row>
    <row r="25" spans="1:17" s="121" customFormat="1" ht="12" customHeight="1" thickBot="1" x14ac:dyDescent="0.4">
      <c r="A25" s="5699"/>
      <c r="B25" s="5700"/>
      <c r="C25" s="5700"/>
      <c r="D25" s="5700"/>
      <c r="E25" s="5700"/>
      <c r="F25" s="5700"/>
      <c r="G25" s="5700"/>
      <c r="H25" s="5700"/>
      <c r="I25" s="5700"/>
      <c r="J25" s="5700"/>
      <c r="K25" s="5700"/>
      <c r="L25" s="5700"/>
      <c r="M25" s="5700"/>
      <c r="N25" s="5700"/>
      <c r="O25" s="5700"/>
      <c r="P25" s="5701"/>
      <c r="Q25" s="124"/>
    </row>
    <row r="26" spans="1:17" s="121" customFormat="1" ht="30" customHeight="1" thickTop="1" thickBot="1" x14ac:dyDescent="0.4">
      <c r="A26" s="894"/>
      <c r="B26" s="894"/>
      <c r="C26" s="894"/>
      <c r="D26" s="894"/>
      <c r="E26" s="894"/>
      <c r="F26" s="856"/>
      <c r="G26" s="5683" t="s">
        <v>222</v>
      </c>
      <c r="H26" s="5684"/>
      <c r="I26" s="6749">
        <f>SUM(I10:I24)</f>
        <v>0</v>
      </c>
      <c r="J26" s="6750"/>
      <c r="K26" s="6751">
        <f>SUM(K10:K24)</f>
        <v>0</v>
      </c>
      <c r="L26" s="6752"/>
      <c r="M26" s="2569">
        <f>SUM(M10:M24)</f>
        <v>0</v>
      </c>
      <c r="N26" s="2553">
        <f>SUM(N10:N24)</f>
        <v>0</v>
      </c>
      <c r="O26" s="2553">
        <f>SUM(O10:O24)</f>
        <v>0</v>
      </c>
      <c r="P26" s="2570">
        <f>SUM(P11:P24)</f>
        <v>0</v>
      </c>
      <c r="Q26" s="2565">
        <f t="shared" si="0"/>
        <v>0</v>
      </c>
    </row>
    <row r="27" spans="1:17" ht="13.5" customHeight="1" thickTop="1" x14ac:dyDescent="0.35">
      <c r="A27" s="859"/>
      <c r="B27" s="859"/>
      <c r="C27" s="860"/>
      <c r="D27" s="860"/>
      <c r="E27" s="860"/>
      <c r="F27" s="860"/>
      <c r="G27" s="860"/>
      <c r="H27" s="860"/>
      <c r="I27" s="860"/>
      <c r="J27" s="860"/>
      <c r="K27" s="860"/>
      <c r="L27" s="860"/>
      <c r="M27" s="860"/>
      <c r="N27" s="860"/>
      <c r="O27" s="861"/>
      <c r="P27" s="861"/>
    </row>
    <row r="28" spans="1:17" ht="15" thickBot="1" x14ac:dyDescent="0.4">
      <c r="A28" s="64"/>
      <c r="B28" s="64"/>
      <c r="C28" s="64"/>
      <c r="D28" s="64"/>
      <c r="E28" s="64"/>
      <c r="F28" s="64"/>
      <c r="G28" s="64"/>
      <c r="H28" s="64"/>
      <c r="I28" s="64"/>
      <c r="J28" s="64"/>
      <c r="K28" s="64"/>
      <c r="L28" s="64"/>
      <c r="M28" s="64"/>
      <c r="N28" s="64"/>
      <c r="O28" s="64"/>
      <c r="P28" s="64"/>
    </row>
    <row r="29" spans="1:17" ht="19.5" thickTop="1" thickBot="1" x14ac:dyDescent="0.4">
      <c r="A29" s="5673" t="s">
        <v>10</v>
      </c>
      <c r="B29" s="5686"/>
      <c r="C29" s="5686"/>
      <c r="D29" s="5686"/>
      <c r="E29" s="5686"/>
      <c r="F29" s="5686"/>
      <c r="G29" s="5686"/>
      <c r="H29" s="5686"/>
      <c r="I29" s="5686"/>
      <c r="J29" s="5686"/>
      <c r="K29" s="5687"/>
      <c r="L29" s="31"/>
      <c r="M29" s="3725" t="s">
        <v>748</v>
      </c>
      <c r="N29" s="3726"/>
      <c r="O29" s="3727"/>
      <c r="P29" s="31"/>
    </row>
    <row r="30" spans="1:17" ht="20.25" customHeight="1" x14ac:dyDescent="0.35">
      <c r="A30" s="5676" t="s">
        <v>2125</v>
      </c>
      <c r="B30" s="5688"/>
      <c r="C30" s="5688"/>
      <c r="D30" s="5688"/>
      <c r="E30" s="5688"/>
      <c r="F30" s="5688"/>
      <c r="G30" s="5688"/>
      <c r="H30" s="5688"/>
      <c r="I30" s="5688"/>
      <c r="J30" s="5688"/>
      <c r="K30" s="5689"/>
      <c r="L30" s="33"/>
      <c r="M30" s="3750" t="s">
        <v>2141</v>
      </c>
      <c r="N30" s="3751"/>
      <c r="O30" s="3752"/>
      <c r="P30" s="33"/>
    </row>
    <row r="31" spans="1:17" ht="20.25" customHeight="1" x14ac:dyDescent="0.35">
      <c r="A31" s="5676"/>
      <c r="B31" s="5688"/>
      <c r="C31" s="5688"/>
      <c r="D31" s="5688"/>
      <c r="E31" s="5688"/>
      <c r="F31" s="5688"/>
      <c r="G31" s="5688"/>
      <c r="H31" s="5688"/>
      <c r="I31" s="5688"/>
      <c r="J31" s="5688"/>
      <c r="K31" s="5689"/>
      <c r="L31" s="33"/>
      <c r="M31" s="3753"/>
      <c r="N31" s="3754"/>
      <c r="O31" s="3755"/>
      <c r="P31" s="33"/>
    </row>
    <row r="32" spans="1:17" ht="20.25" customHeight="1" x14ac:dyDescent="0.35">
      <c r="A32" s="5676"/>
      <c r="B32" s="5688"/>
      <c r="C32" s="5688"/>
      <c r="D32" s="5688"/>
      <c r="E32" s="5688"/>
      <c r="F32" s="5688"/>
      <c r="G32" s="5688"/>
      <c r="H32" s="5688"/>
      <c r="I32" s="5688"/>
      <c r="J32" s="5688"/>
      <c r="K32" s="5689"/>
      <c r="L32" s="33"/>
      <c r="M32" s="3753"/>
      <c r="N32" s="3754"/>
      <c r="O32" s="3755"/>
      <c r="P32" s="33"/>
    </row>
    <row r="33" spans="1:16" ht="20.25" customHeight="1" thickBot="1" x14ac:dyDescent="0.4">
      <c r="A33" s="5690"/>
      <c r="B33" s="5691"/>
      <c r="C33" s="5691"/>
      <c r="D33" s="5691"/>
      <c r="E33" s="5691"/>
      <c r="F33" s="5691"/>
      <c r="G33" s="5691"/>
      <c r="H33" s="5691"/>
      <c r="I33" s="5691"/>
      <c r="J33" s="5691"/>
      <c r="K33" s="5692"/>
      <c r="L33" s="33"/>
      <c r="M33" s="3756"/>
      <c r="N33" s="3757"/>
      <c r="O33" s="3758"/>
      <c r="P33" s="33"/>
    </row>
    <row r="34" spans="1:16" ht="15.5" thickTop="1" thickBot="1" x14ac:dyDescent="0.4">
      <c r="A34" s="64"/>
      <c r="B34" s="64"/>
      <c r="C34" s="64"/>
      <c r="D34" s="64"/>
      <c r="E34" s="64"/>
      <c r="F34" s="64"/>
      <c r="G34" s="64"/>
      <c r="H34" s="64"/>
      <c r="I34" s="64"/>
      <c r="J34" s="64"/>
      <c r="K34" s="64"/>
      <c r="L34" s="64"/>
      <c r="M34" s="31"/>
      <c r="N34" s="31"/>
      <c r="O34" s="31"/>
      <c r="P34" s="64"/>
    </row>
    <row r="35" spans="1:16" ht="19.5" thickTop="1" thickBot="1" x14ac:dyDescent="0.4">
      <c r="A35" s="5673" t="s">
        <v>11</v>
      </c>
      <c r="B35" s="5674"/>
      <c r="C35" s="5674"/>
      <c r="D35" s="5674"/>
      <c r="E35" s="5674"/>
      <c r="F35" s="5674"/>
      <c r="G35" s="5674"/>
      <c r="H35" s="5674"/>
      <c r="I35" s="5674"/>
      <c r="J35" s="5674"/>
      <c r="K35" s="5675"/>
      <c r="L35" s="31"/>
      <c r="M35" s="3725" t="s">
        <v>748</v>
      </c>
      <c r="N35" s="3726"/>
      <c r="O35" s="3727"/>
      <c r="P35" s="31"/>
    </row>
    <row r="36" spans="1:16" ht="20.25" customHeight="1" x14ac:dyDescent="0.35">
      <c r="A36" s="5676" t="s">
        <v>2139</v>
      </c>
      <c r="B36" s="5677"/>
      <c r="C36" s="5677"/>
      <c r="D36" s="5677"/>
      <c r="E36" s="5677"/>
      <c r="F36" s="5677"/>
      <c r="G36" s="5677"/>
      <c r="H36" s="5677"/>
      <c r="I36" s="5677"/>
      <c r="J36" s="5677"/>
      <c r="K36" s="5678"/>
      <c r="L36" s="33"/>
      <c r="M36" s="3750" t="s">
        <v>1416</v>
      </c>
      <c r="N36" s="3751"/>
      <c r="O36" s="3752"/>
      <c r="P36" s="33"/>
    </row>
    <row r="37" spans="1:16" ht="20.25" customHeight="1" x14ac:dyDescent="0.35">
      <c r="A37" s="5679"/>
      <c r="B37" s="5677"/>
      <c r="C37" s="5677"/>
      <c r="D37" s="5677"/>
      <c r="E37" s="5677"/>
      <c r="F37" s="5677"/>
      <c r="G37" s="5677"/>
      <c r="H37" s="5677"/>
      <c r="I37" s="5677"/>
      <c r="J37" s="5677"/>
      <c r="K37" s="5678"/>
      <c r="L37" s="33"/>
      <c r="M37" s="3753"/>
      <c r="N37" s="3754"/>
      <c r="O37" s="3755"/>
      <c r="P37" s="33"/>
    </row>
    <row r="38" spans="1:16" ht="20.25" customHeight="1" x14ac:dyDescent="0.35">
      <c r="A38" s="5679"/>
      <c r="B38" s="5677"/>
      <c r="C38" s="5677"/>
      <c r="D38" s="5677"/>
      <c r="E38" s="5677"/>
      <c r="F38" s="5677"/>
      <c r="G38" s="5677"/>
      <c r="H38" s="5677"/>
      <c r="I38" s="5677"/>
      <c r="J38" s="5677"/>
      <c r="K38" s="5678"/>
      <c r="L38" s="33"/>
      <c r="M38" s="3753"/>
      <c r="N38" s="3754"/>
      <c r="O38" s="3755"/>
      <c r="P38" s="33"/>
    </row>
    <row r="39" spans="1:16" ht="20.25" customHeight="1" thickBot="1" x14ac:dyDescent="0.4">
      <c r="A39" s="5680"/>
      <c r="B39" s="5681"/>
      <c r="C39" s="5681"/>
      <c r="D39" s="5681"/>
      <c r="E39" s="5681"/>
      <c r="F39" s="5681"/>
      <c r="G39" s="5681"/>
      <c r="H39" s="5681"/>
      <c r="I39" s="5681"/>
      <c r="J39" s="5681"/>
      <c r="K39" s="5682"/>
      <c r="L39" s="33"/>
      <c r="M39" s="3756"/>
      <c r="N39" s="3757"/>
      <c r="O39" s="3758"/>
      <c r="P39" s="33"/>
    </row>
    <row r="40" spans="1:16" ht="15" thickTop="1" x14ac:dyDescent="0.35">
      <c r="A40" s="64"/>
      <c r="B40" s="64"/>
      <c r="C40" s="64"/>
      <c r="D40" s="64"/>
      <c r="E40" s="64"/>
      <c r="F40" s="64"/>
      <c r="G40" s="64"/>
      <c r="H40" s="64"/>
      <c r="I40" s="64"/>
      <c r="J40" s="64"/>
      <c r="K40" s="64"/>
      <c r="L40" s="64"/>
      <c r="M40" s="64"/>
      <c r="N40" s="64"/>
      <c r="O40" s="64"/>
      <c r="P40" s="64"/>
    </row>
    <row r="41" spans="1:16" ht="15" thickBot="1" x14ac:dyDescent="0.4"/>
    <row r="42" spans="1:16" ht="24.75" customHeight="1" thickTop="1" thickBot="1" x14ac:dyDescent="0.4">
      <c r="G42" s="2501" t="str">
        <f>A12</f>
        <v xml:space="preserve">VARs / SS2I locales </v>
      </c>
      <c r="I42" s="2435" t="str">
        <f>A13</f>
        <v>ESN ( SS2I )</v>
      </c>
      <c r="K42" s="2435" t="s">
        <v>2022</v>
      </c>
    </row>
    <row r="43" spans="1:16" ht="15.5" thickTop="1" thickBot="1" x14ac:dyDescent="0.4"/>
    <row r="44" spans="1:16" ht="15.5" thickTop="1" thickBot="1" x14ac:dyDescent="0.4">
      <c r="B44" s="6767" t="s">
        <v>2023</v>
      </c>
      <c r="C44" s="6768"/>
      <c r="D44" s="6768"/>
      <c r="E44" s="6768"/>
      <c r="F44" s="2436"/>
      <c r="G44" s="2435" t="s">
        <v>2024</v>
      </c>
      <c r="H44" s="2459"/>
      <c r="I44" s="2435" t="s">
        <v>2024</v>
      </c>
      <c r="J44" s="2459"/>
      <c r="K44" s="2435" t="s">
        <v>2024</v>
      </c>
    </row>
    <row r="45" spans="1:16" ht="15" thickTop="1" x14ac:dyDescent="0.35">
      <c r="B45" s="2095"/>
      <c r="C45" s="101"/>
      <c r="D45" s="101"/>
      <c r="E45" s="101"/>
      <c r="F45" s="101"/>
      <c r="G45" s="2437"/>
      <c r="H45" s="101"/>
      <c r="I45" s="2438"/>
      <c r="J45" s="101"/>
      <c r="K45" s="2438"/>
    </row>
    <row r="46" spans="1:16" x14ac:dyDescent="0.35">
      <c r="B46" s="2439" t="s">
        <v>2140</v>
      </c>
      <c r="C46" s="101"/>
      <c r="D46" s="101"/>
      <c r="E46" s="101"/>
      <c r="F46" s="101"/>
      <c r="G46" s="2440">
        <v>3</v>
      </c>
      <c r="H46" s="101"/>
      <c r="I46" s="2440" t="s">
        <v>2025</v>
      </c>
      <c r="J46" s="101"/>
      <c r="K46" s="2440"/>
    </row>
    <row r="47" spans="1:16" x14ac:dyDescent="0.35">
      <c r="B47" s="2439"/>
      <c r="C47" s="101"/>
      <c r="D47" s="101"/>
      <c r="E47" s="101"/>
      <c r="F47" s="101"/>
      <c r="G47" s="2441"/>
      <c r="H47" s="101"/>
      <c r="I47" s="2441"/>
      <c r="J47" s="101"/>
      <c r="K47" s="2441"/>
    </row>
    <row r="48" spans="1:16" x14ac:dyDescent="0.35">
      <c r="B48" s="2439" t="s">
        <v>2026</v>
      </c>
      <c r="C48" s="101"/>
      <c r="D48" s="101"/>
      <c r="E48" s="101"/>
      <c r="F48" s="101"/>
      <c r="G48" s="2440">
        <v>3</v>
      </c>
      <c r="H48" s="101"/>
      <c r="I48" s="2440">
        <v>4</v>
      </c>
      <c r="J48" s="101"/>
      <c r="K48" s="2440"/>
    </row>
    <row r="49" spans="2:11" x14ac:dyDescent="0.35">
      <c r="B49" s="2439"/>
      <c r="C49" s="101"/>
      <c r="D49" s="101"/>
      <c r="E49" s="101"/>
      <c r="F49" s="101"/>
      <c r="G49" s="2441"/>
      <c r="H49" s="101"/>
      <c r="I49" s="2441"/>
      <c r="J49" s="101"/>
      <c r="K49" s="2441"/>
    </row>
    <row r="50" spans="2:11" x14ac:dyDescent="0.35">
      <c r="B50" s="2439" t="s">
        <v>2027</v>
      </c>
      <c r="C50" s="101"/>
      <c r="D50" s="101"/>
      <c r="E50" s="101"/>
      <c r="F50" s="101"/>
      <c r="G50" s="2440">
        <v>2</v>
      </c>
      <c r="H50" s="101"/>
      <c r="I50" s="2440">
        <v>2</v>
      </c>
      <c r="J50" s="101"/>
      <c r="K50" s="2440"/>
    </row>
    <row r="51" spans="2:11" x14ac:dyDescent="0.35">
      <c r="B51" s="2439"/>
      <c r="C51" s="101"/>
      <c r="D51" s="101"/>
      <c r="E51" s="101"/>
      <c r="F51" s="101"/>
      <c r="G51" s="2441"/>
      <c r="H51" s="101"/>
      <c r="I51" s="2441"/>
      <c r="J51" s="101"/>
      <c r="K51" s="2441"/>
    </row>
    <row r="52" spans="2:11" x14ac:dyDescent="0.35">
      <c r="B52" s="2439" t="s">
        <v>2028</v>
      </c>
      <c r="C52" s="101"/>
      <c r="D52" s="101"/>
      <c r="E52" s="101"/>
      <c r="F52" s="101"/>
      <c r="G52" s="2440">
        <v>6</v>
      </c>
      <c r="H52" s="101"/>
      <c r="I52" s="2440">
        <v>6</v>
      </c>
      <c r="J52" s="101"/>
      <c r="K52" s="2440"/>
    </row>
    <row r="53" spans="2:11" x14ac:dyDescent="0.35">
      <c r="B53" s="2439"/>
      <c r="C53" s="101"/>
      <c r="D53" s="101"/>
      <c r="E53" s="101"/>
      <c r="F53" s="101"/>
      <c r="G53" s="2441"/>
      <c r="H53" s="101"/>
      <c r="I53" s="2441"/>
      <c r="J53" s="101"/>
      <c r="K53" s="2441"/>
    </row>
    <row r="54" spans="2:11" x14ac:dyDescent="0.35">
      <c r="B54" s="2439" t="s">
        <v>2029</v>
      </c>
      <c r="C54" s="101"/>
      <c r="D54" s="101"/>
      <c r="E54" s="101"/>
      <c r="F54" s="101"/>
      <c r="G54" s="2442">
        <v>0.2</v>
      </c>
      <c r="H54" s="101"/>
      <c r="I54" s="2442">
        <v>0.2</v>
      </c>
      <c r="J54" s="101"/>
      <c r="K54" s="2442"/>
    </row>
    <row r="55" spans="2:11" x14ac:dyDescent="0.35">
      <c r="B55" s="2095"/>
      <c r="C55" s="101"/>
      <c r="D55" s="101"/>
      <c r="E55" s="101"/>
      <c r="F55" s="101"/>
      <c r="G55" s="2441"/>
      <c r="H55" s="101"/>
      <c r="I55" s="2441"/>
      <c r="J55" s="101"/>
      <c r="K55" s="2441"/>
    </row>
    <row r="56" spans="2:11" x14ac:dyDescent="0.35">
      <c r="B56" s="2439" t="s">
        <v>2030</v>
      </c>
      <c r="C56" s="101"/>
      <c r="D56" s="101"/>
      <c r="E56" s="101"/>
      <c r="F56" s="101"/>
      <c r="G56" s="2441" t="s">
        <v>2076</v>
      </c>
      <c r="H56" s="101"/>
      <c r="I56" s="2441"/>
      <c r="J56" s="101"/>
      <c r="K56" s="2441"/>
    </row>
    <row r="57" spans="2:11" x14ac:dyDescent="0.35">
      <c r="B57" s="2095"/>
      <c r="C57" s="101"/>
      <c r="D57" s="101"/>
      <c r="E57" s="101"/>
      <c r="F57" s="101"/>
      <c r="G57" s="2441"/>
      <c r="H57" s="101"/>
      <c r="I57" s="2441"/>
      <c r="J57" s="101"/>
      <c r="K57" s="2441"/>
    </row>
    <row r="58" spans="2:11" ht="15" thickBot="1" x14ac:dyDescent="0.4">
      <c r="B58" s="2096"/>
      <c r="C58" s="2097"/>
      <c r="D58" s="2097"/>
      <c r="E58" s="2097"/>
      <c r="F58" s="2097"/>
      <c r="G58" s="2443"/>
      <c r="H58" s="2097"/>
      <c r="I58" s="2443"/>
      <c r="J58" s="2097"/>
      <c r="K58" s="2443"/>
    </row>
    <row r="59" spans="2:11" ht="15" thickTop="1" x14ac:dyDescent="0.35"/>
  </sheetData>
  <mergeCells count="103">
    <mergeCell ref="B44:E44"/>
    <mergeCell ref="D3:G3"/>
    <mergeCell ref="G6:L6"/>
    <mergeCell ref="M6:P6"/>
    <mergeCell ref="K7:L7"/>
    <mergeCell ref="G7:H7"/>
    <mergeCell ref="I7:J7"/>
    <mergeCell ref="A10:P10"/>
    <mergeCell ref="A11:B11"/>
    <mergeCell ref="A17:B17"/>
    <mergeCell ref="A12:B12"/>
    <mergeCell ref="A13:B13"/>
    <mergeCell ref="A14:B14"/>
    <mergeCell ref="A15:B15"/>
    <mergeCell ref="A16:B16"/>
    <mergeCell ref="D12:F12"/>
    <mergeCell ref="D13:F13"/>
    <mergeCell ref="D14:F14"/>
    <mergeCell ref="D15:F15"/>
    <mergeCell ref="D16:F16"/>
    <mergeCell ref="D17:F17"/>
    <mergeCell ref="K12:L12"/>
    <mergeCell ref="K13:L13"/>
    <mergeCell ref="K14:L14"/>
    <mergeCell ref="D1:G1"/>
    <mergeCell ref="I1:J1"/>
    <mergeCell ref="L1:M1"/>
    <mergeCell ref="D2:G2"/>
    <mergeCell ref="I2:J2"/>
    <mergeCell ref="L2:M2"/>
    <mergeCell ref="A5:B5"/>
    <mergeCell ref="C5:P5"/>
    <mergeCell ref="A6:B6"/>
    <mergeCell ref="A7:B7"/>
    <mergeCell ref="D7:F7"/>
    <mergeCell ref="D6:F6"/>
    <mergeCell ref="D11:F11"/>
    <mergeCell ref="A4:E4"/>
    <mergeCell ref="F4:P4"/>
    <mergeCell ref="G11:L11"/>
    <mergeCell ref="M11:P11"/>
    <mergeCell ref="I12:J12"/>
    <mergeCell ref="I20:J20"/>
    <mergeCell ref="I21:J21"/>
    <mergeCell ref="I22:J22"/>
    <mergeCell ref="I23:J23"/>
    <mergeCell ref="I24:J24"/>
    <mergeCell ref="K20:L20"/>
    <mergeCell ref="I13:J13"/>
    <mergeCell ref="I14:J14"/>
    <mergeCell ref="I15:J15"/>
    <mergeCell ref="I16:J16"/>
    <mergeCell ref="K15:L15"/>
    <mergeCell ref="K16:L16"/>
    <mergeCell ref="I17:J17"/>
    <mergeCell ref="I19:J19"/>
    <mergeCell ref="K17:L17"/>
    <mergeCell ref="K19:L19"/>
    <mergeCell ref="K21:L21"/>
    <mergeCell ref="D18:F18"/>
    <mergeCell ref="D19:F19"/>
    <mergeCell ref="D20:F20"/>
    <mergeCell ref="D21:F21"/>
    <mergeCell ref="D22:F22"/>
    <mergeCell ref="D23:F23"/>
    <mergeCell ref="A18:B18"/>
    <mergeCell ref="A19:B19"/>
    <mergeCell ref="A20:B20"/>
    <mergeCell ref="A21:B21"/>
    <mergeCell ref="M30:O33"/>
    <mergeCell ref="M35:O35"/>
    <mergeCell ref="M36:O39"/>
    <mergeCell ref="G26:H26"/>
    <mergeCell ref="I26:J26"/>
    <mergeCell ref="K26:L26"/>
    <mergeCell ref="A29:K29"/>
    <mergeCell ref="A30:K33"/>
    <mergeCell ref="A35:K35"/>
    <mergeCell ref="A36:K39"/>
    <mergeCell ref="D24:F24"/>
    <mergeCell ref="G18:H18"/>
    <mergeCell ref="G21:H21"/>
    <mergeCell ref="G22:H22"/>
    <mergeCell ref="G23:H23"/>
    <mergeCell ref="G24:H24"/>
    <mergeCell ref="M29:O29"/>
    <mergeCell ref="G12:H12"/>
    <mergeCell ref="G13:H13"/>
    <mergeCell ref="G14:H14"/>
    <mergeCell ref="G15:H15"/>
    <mergeCell ref="G16:H16"/>
    <mergeCell ref="G17:H17"/>
    <mergeCell ref="G19:H19"/>
    <mergeCell ref="G20:H20"/>
    <mergeCell ref="A25:P25"/>
    <mergeCell ref="K22:L22"/>
    <mergeCell ref="K23:L23"/>
    <mergeCell ref="K24:L24"/>
    <mergeCell ref="A22:B22"/>
    <mergeCell ref="A23:B23"/>
    <mergeCell ref="A24:B24"/>
    <mergeCell ref="I18:J18"/>
    <mergeCell ref="K18:L18"/>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5E00-000000000000}">
      <formula1>AvancementTheme</formula1>
    </dataValidation>
  </dataValidations>
  <hyperlinks>
    <hyperlink ref="O1" location="DPDV_07DC1" display="PdV" xr:uid="{00000000-0004-0000-5E00-000000000000}"/>
    <hyperlink ref="P1" location="DKPI_07DC1" display="KPI's" xr:uid="{00000000-0004-0000-5E00-000001000000}"/>
  </hyperlinks>
  <pageMargins left="0.70866141732283472" right="0.70866141732283472" top="0.74803149606299213" bottom="0.74803149606299213" header="0.31496062992125984" footer="0.31496062992125984"/>
  <pageSetup paperSize="9" scale="52" orientation="portrait" r:id="rId1"/>
  <headerFooter>
    <oddHeader>&amp;LPAD Methodology (c) 2013-2014&amp;RStrategic Management Workshop</oddHeader>
    <oddFooter>&amp;L&amp;F&amp;C&amp;A&amp;RSituation au : &amp;D - page : &amp;P/&amp;N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euil21">
    <tabColor theme="4" tint="0.39997558519241921"/>
    <pageSetUpPr fitToPage="1"/>
  </sheetPr>
  <dimension ref="A1:V40"/>
  <sheetViews>
    <sheetView showGridLines="0" zoomScale="110" zoomScaleNormal="110" workbookViewId="0">
      <pane ySplit="4" topLeftCell="A14" activePane="bottomLeft" state="frozen"/>
      <selection activeCell="C5" sqref="C5:P5"/>
      <selection pane="bottomLeft" activeCell="C5" sqref="C5:P5"/>
    </sheetView>
  </sheetViews>
  <sheetFormatPr baseColWidth="10" defaultColWidth="11.453125" defaultRowHeight="14.5" x14ac:dyDescent="0.35"/>
  <cols>
    <col min="1" max="3" width="11.453125" style="60"/>
    <col min="4" max="17" width="10.7265625" style="60" customWidth="1"/>
    <col min="18"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829"/>
      <c r="R1" s="458"/>
    </row>
    <row r="2" spans="1:22" s="58" customFormat="1" ht="18" customHeight="1" x14ac:dyDescent="0.35">
      <c r="A2" s="393"/>
      <c r="B2" s="393"/>
      <c r="C2" s="393"/>
      <c r="D2" s="3342" t="str">
        <f>NomClient</f>
        <v xml:space="preserve">EQUINIX </v>
      </c>
      <c r="E2" s="3343"/>
      <c r="F2" s="3343"/>
      <c r="G2" s="3344"/>
      <c r="H2" s="393"/>
      <c r="I2" s="3345" t="s">
        <v>407</v>
      </c>
      <c r="J2" s="3346"/>
      <c r="K2" s="393"/>
      <c r="L2" s="3347">
        <v>42534.879548611112</v>
      </c>
      <c r="M2" s="3348"/>
      <c r="N2" s="394"/>
      <c r="O2" s="451">
        <f>IF(LEN(DPDV_05GM)&gt;0,LEN(DPDV_05GM),0-PDV_NBmini)</f>
        <v>97</v>
      </c>
      <c r="P2" s="451">
        <f>IF(LEN(DKPI_05GM)&gt;0,LEN(DKPI_05GM),0-KPI_NBmini)</f>
        <v>33</v>
      </c>
      <c r="Q2" s="830"/>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5049" t="str">
        <f>Parametre!B27 &amp; "   : "</f>
        <v xml:space="preserve">Organisation commerciale   : </v>
      </c>
      <c r="B4" s="5049"/>
      <c r="C4" s="5049"/>
      <c r="D4" s="5049"/>
      <c r="E4" s="5049"/>
      <c r="F4" s="5049"/>
      <c r="G4" s="5049"/>
      <c r="H4" s="5050" t="s">
        <v>185</v>
      </c>
      <c r="I4" s="5050"/>
      <c r="J4" s="5050"/>
      <c r="K4" s="5050"/>
      <c r="L4" s="5050"/>
      <c r="M4" s="5050"/>
      <c r="N4" s="5050"/>
      <c r="O4" s="5050"/>
      <c r="P4" s="5050"/>
      <c r="Q4" s="5051"/>
      <c r="R4" s="444"/>
    </row>
    <row r="5" spans="1:22" s="26" customFormat="1" ht="26.25" customHeight="1" thickBot="1" x14ac:dyDescent="0.4">
      <c r="A5" s="3438" t="s">
        <v>14</v>
      </c>
      <c r="B5" s="3438"/>
      <c r="C5" s="3439" t="s">
        <v>2263</v>
      </c>
      <c r="D5" s="3439"/>
      <c r="E5" s="3439"/>
      <c r="F5" s="3439"/>
      <c r="G5" s="3439"/>
      <c r="H5" s="3439"/>
      <c r="I5" s="3439"/>
      <c r="J5" s="3439"/>
      <c r="K5" s="3439"/>
      <c r="L5" s="3439"/>
      <c r="M5" s="3439"/>
      <c r="N5" s="3439"/>
      <c r="O5" s="3439"/>
      <c r="P5" s="3439"/>
      <c r="Q5" s="3439"/>
      <c r="R5" s="460"/>
    </row>
    <row r="6" spans="1:22" s="25" customFormat="1" ht="31.5" customHeight="1" thickTop="1" thickBot="1" x14ac:dyDescent="0.4">
      <c r="A6" s="6817" t="s">
        <v>176</v>
      </c>
      <c r="B6" s="6801"/>
      <c r="C6" s="6801"/>
      <c r="D6" s="6801" t="s">
        <v>177</v>
      </c>
      <c r="E6" s="6801"/>
      <c r="F6" s="6801" t="s">
        <v>178</v>
      </c>
      <c r="G6" s="6801"/>
      <c r="H6" s="6801" t="s">
        <v>179</v>
      </c>
      <c r="I6" s="6801"/>
      <c r="J6" s="6801" t="s">
        <v>180</v>
      </c>
      <c r="K6" s="6801"/>
      <c r="L6" s="6801" t="s">
        <v>181</v>
      </c>
      <c r="M6" s="6801"/>
      <c r="N6" s="6801" t="s">
        <v>182</v>
      </c>
      <c r="O6" s="6801"/>
      <c r="P6" s="6801" t="s">
        <v>183</v>
      </c>
      <c r="Q6" s="6822"/>
      <c r="R6" s="767"/>
    </row>
    <row r="7" spans="1:22" s="263" customFormat="1" ht="20.25" customHeight="1" thickTop="1" x14ac:dyDescent="0.35">
      <c r="A7" s="6818" t="s">
        <v>2269</v>
      </c>
      <c r="B7" s="6819"/>
      <c r="C7" s="6819"/>
      <c r="D7" s="6819"/>
      <c r="E7" s="6819"/>
      <c r="F7" s="6819"/>
      <c r="G7" s="6819"/>
      <c r="H7" s="6819"/>
      <c r="I7" s="6819"/>
      <c r="J7" s="6819"/>
      <c r="K7" s="6819"/>
      <c r="L7" s="6819"/>
      <c r="M7" s="6819"/>
      <c r="N7" s="6819"/>
      <c r="O7" s="6819"/>
      <c r="P7" s="6819"/>
      <c r="Q7" s="6819"/>
      <c r="R7" s="832"/>
    </row>
    <row r="8" spans="1:22" ht="28.5" customHeight="1" x14ac:dyDescent="0.35">
      <c r="A8" s="6810" t="str">
        <f>'SALESPLAN 3Y'!A10:F10</f>
        <v xml:space="preserve">Ventes directes </v>
      </c>
      <c r="B8" s="6811"/>
      <c r="C8" s="6811"/>
      <c r="D8" s="6785"/>
      <c r="E8" s="6785"/>
      <c r="F8" s="6786"/>
      <c r="G8" s="6786"/>
      <c r="H8" s="6787"/>
      <c r="I8" s="6787"/>
      <c r="J8" s="6787"/>
      <c r="K8" s="6787"/>
      <c r="L8" s="6802"/>
      <c r="M8" s="6802"/>
      <c r="N8" s="6802"/>
      <c r="O8" s="6802"/>
      <c r="P8" s="6820"/>
      <c r="Q8" s="6821"/>
      <c r="R8" s="64"/>
    </row>
    <row r="9" spans="1:22" ht="20.25" customHeight="1" x14ac:dyDescent="0.35">
      <c r="A9" s="6810" t="str">
        <f>'SALESPLAN 3Y'!A11:F11</f>
        <v xml:space="preserve">VARs / SS2I locales </v>
      </c>
      <c r="B9" s="6811"/>
      <c r="C9" s="6811"/>
      <c r="D9" s="6785"/>
      <c r="E9" s="6785"/>
      <c r="F9" s="6786"/>
      <c r="G9" s="6786"/>
      <c r="H9" s="6787"/>
      <c r="I9" s="6787"/>
      <c r="J9" s="6787"/>
      <c r="K9" s="6787"/>
      <c r="L9" s="6802"/>
      <c r="M9" s="6802"/>
      <c r="N9" s="6802"/>
      <c r="O9" s="6802"/>
      <c r="P9" s="6802"/>
      <c r="Q9" s="6803"/>
      <c r="R9" s="64"/>
    </row>
    <row r="10" spans="1:22" ht="20.25" customHeight="1" x14ac:dyDescent="0.35">
      <c r="A10" s="6810" t="str">
        <f>'SALESPLAN 3Y'!A12:F12</f>
        <v>ESN ( SS2I )</v>
      </c>
      <c r="B10" s="6811"/>
      <c r="C10" s="6811"/>
      <c r="D10" s="6785"/>
      <c r="E10" s="6785"/>
      <c r="F10" s="6786"/>
      <c r="G10" s="6786"/>
      <c r="H10" s="6787"/>
      <c r="I10" s="6787"/>
      <c r="J10" s="6787"/>
      <c r="K10" s="6787"/>
      <c r="L10" s="6788"/>
      <c r="M10" s="6788"/>
      <c r="N10" s="6788"/>
      <c r="O10" s="6788"/>
      <c r="P10" s="6788"/>
      <c r="Q10" s="6808"/>
      <c r="R10" s="64"/>
    </row>
    <row r="11" spans="1:22" ht="30" customHeight="1" x14ac:dyDescent="0.35">
      <c r="A11" s="6810" t="str">
        <f>'SALESPLAN 3Y'!A13:F13</f>
        <v>Constructeurs Matériel</v>
      </c>
      <c r="B11" s="6811"/>
      <c r="C11" s="6811"/>
      <c r="D11" s="6787"/>
      <c r="E11" s="6787"/>
      <c r="F11" s="6787"/>
      <c r="G11" s="6787"/>
      <c r="H11" s="6787"/>
      <c r="I11" s="6787"/>
      <c r="J11" s="6787"/>
      <c r="K11" s="6812"/>
      <c r="L11" s="6788"/>
      <c r="M11" s="6788"/>
      <c r="N11" s="6788"/>
      <c r="O11" s="6788"/>
      <c r="P11" s="6788"/>
      <c r="Q11" s="6808"/>
      <c r="R11" s="64"/>
    </row>
    <row r="12" spans="1:22" ht="20.25" customHeight="1" x14ac:dyDescent="0.35">
      <c r="A12" s="6810" t="str">
        <f>'SALESPLAN 3Y'!A14:F14</f>
        <v>Editeurs de solutions complémentaires</v>
      </c>
      <c r="B12" s="6811"/>
      <c r="C12" s="6811"/>
      <c r="D12" s="6787"/>
      <c r="E12" s="6787"/>
      <c r="F12" s="6787"/>
      <c r="G12" s="6787"/>
      <c r="H12" s="6787"/>
      <c r="I12" s="6787"/>
      <c r="J12" s="6787"/>
      <c r="K12" s="6812"/>
      <c r="L12" s="6788"/>
      <c r="M12" s="6788"/>
      <c r="N12" s="6788"/>
      <c r="O12" s="6788"/>
      <c r="P12" s="6788"/>
      <c r="Q12" s="6808"/>
      <c r="R12" s="64"/>
    </row>
    <row r="13" spans="1:22" ht="20.25" customHeight="1" x14ac:dyDescent="0.35">
      <c r="A13" s="6810" t="str">
        <f>'SALESPLAN 3Y'!A15:F15</f>
        <v>Cabinets de conseil / Consultants</v>
      </c>
      <c r="B13" s="6811"/>
      <c r="C13" s="6811"/>
      <c r="D13" s="6815"/>
      <c r="E13" s="6816"/>
      <c r="F13" s="6812"/>
      <c r="G13" s="6814"/>
      <c r="H13" s="6812"/>
      <c r="I13" s="6814"/>
      <c r="J13" s="6812"/>
      <c r="K13" s="6813"/>
      <c r="L13" s="6788"/>
      <c r="M13" s="6788"/>
      <c r="N13" s="6788"/>
      <c r="O13" s="6788"/>
      <c r="P13" s="6788"/>
      <c r="Q13" s="6808"/>
      <c r="R13" s="64"/>
    </row>
    <row r="14" spans="1:22" ht="20.25" customHeight="1" x14ac:dyDescent="0.35">
      <c r="A14" s="6799" t="str">
        <f>'SALESPLAN 3Y'!A16:F16</f>
        <v xml:space="preserve">Hébergeurs </v>
      </c>
      <c r="B14" s="6800"/>
      <c r="C14" s="6800"/>
      <c r="D14" s="6797"/>
      <c r="E14" s="6798"/>
      <c r="F14" s="6804"/>
      <c r="G14" s="6805"/>
      <c r="H14" s="6804"/>
      <c r="I14" s="6805"/>
      <c r="J14" s="6804"/>
      <c r="K14" s="6806"/>
      <c r="L14" s="6807"/>
      <c r="M14" s="6807"/>
      <c r="N14" s="6807"/>
      <c r="O14" s="6807"/>
      <c r="P14" s="6807"/>
      <c r="Q14" s="6809"/>
      <c r="R14" s="64"/>
    </row>
    <row r="15" spans="1:22" ht="20.25" customHeight="1" thickBot="1" x14ac:dyDescent="0.4">
      <c r="A15" s="6796"/>
      <c r="B15" s="6796"/>
      <c r="C15" s="6796"/>
      <c r="D15" s="6796"/>
      <c r="E15" s="6796"/>
      <c r="F15" s="6796"/>
      <c r="G15" s="6796"/>
      <c r="H15" s="6796"/>
      <c r="I15" s="6796"/>
      <c r="J15" s="6796"/>
      <c r="K15" s="6796"/>
      <c r="L15" s="6796"/>
      <c r="M15" s="6796"/>
      <c r="N15" s="6796"/>
      <c r="O15" s="6796"/>
      <c r="P15" s="6796"/>
      <c r="Q15" s="6796"/>
      <c r="R15" s="64"/>
    </row>
    <row r="16" spans="1:22" ht="36" customHeight="1" thickTop="1" thickBot="1" x14ac:dyDescent="0.4">
      <c r="A16" s="6825" t="s">
        <v>2103</v>
      </c>
      <c r="B16" s="6826"/>
      <c r="C16" s="6826"/>
      <c r="D16" s="6823" t="s">
        <v>2096</v>
      </c>
      <c r="E16" s="6823"/>
      <c r="F16" s="6823" t="s">
        <v>2097</v>
      </c>
      <c r="G16" s="6823"/>
      <c r="H16" s="6824" t="s">
        <v>2264</v>
      </c>
      <c r="I16" s="6824"/>
      <c r="J16" s="6824" t="s">
        <v>2265</v>
      </c>
      <c r="K16" s="6824"/>
      <c r="L16" s="6824" t="s">
        <v>2266</v>
      </c>
      <c r="M16" s="6824"/>
      <c r="N16" s="6824" t="s">
        <v>2267</v>
      </c>
      <c r="O16" s="6824"/>
      <c r="P16" s="6824" t="s">
        <v>2268</v>
      </c>
      <c r="Q16" s="6824"/>
      <c r="R16" s="64"/>
    </row>
    <row r="17" spans="1:18" ht="20.25" customHeight="1" thickTop="1" x14ac:dyDescent="0.35">
      <c r="A17" s="6827" t="str">
        <f>'SALESPLAN 3Y'!A11</f>
        <v xml:space="preserve">VARs / SS2I locales </v>
      </c>
      <c r="B17" s="6811"/>
      <c r="C17" s="6811"/>
      <c r="D17" s="6828"/>
      <c r="E17" s="6828"/>
      <c r="F17" s="6829"/>
      <c r="G17" s="6829"/>
      <c r="H17" s="6830"/>
      <c r="I17" s="6830"/>
      <c r="J17" s="6830"/>
      <c r="K17" s="6830"/>
      <c r="L17" s="6831"/>
      <c r="M17" s="6831"/>
      <c r="N17" s="6831"/>
      <c r="O17" s="6831"/>
      <c r="P17" s="6831"/>
      <c r="Q17" s="6832"/>
      <c r="R17" s="64"/>
    </row>
    <row r="18" spans="1:18" ht="20.25" customHeight="1" x14ac:dyDescent="0.35">
      <c r="A18" s="6827" t="str">
        <f>'SALESPLAN 3Y'!A12</f>
        <v>ESN ( SS2I )</v>
      </c>
      <c r="B18" s="6811"/>
      <c r="C18" s="6811"/>
      <c r="D18" s="6785"/>
      <c r="E18" s="6785"/>
      <c r="F18" s="6786"/>
      <c r="G18" s="6786"/>
      <c r="H18" s="6787"/>
      <c r="I18" s="6787"/>
      <c r="J18" s="6787"/>
      <c r="K18" s="6787"/>
      <c r="L18" s="6788"/>
      <c r="M18" s="6788"/>
      <c r="N18" s="6788"/>
      <c r="O18" s="6788"/>
      <c r="P18" s="6788"/>
      <c r="Q18" s="6789"/>
      <c r="R18" s="64"/>
    </row>
    <row r="19" spans="1:18" ht="30" customHeight="1" x14ac:dyDescent="0.35">
      <c r="A19" s="6827" t="str">
        <f>'SALESPLAN 3Y'!A13</f>
        <v>Constructeurs Matériel</v>
      </c>
      <c r="B19" s="6811"/>
      <c r="C19" s="6811"/>
      <c r="D19" s="6785"/>
      <c r="E19" s="6785"/>
      <c r="F19" s="6786"/>
      <c r="G19" s="6786"/>
      <c r="H19" s="6787"/>
      <c r="I19" s="6787"/>
      <c r="J19" s="6787"/>
      <c r="K19" s="6787"/>
      <c r="L19" s="6788"/>
      <c r="M19" s="6788"/>
      <c r="N19" s="6788"/>
      <c r="O19" s="6788"/>
      <c r="P19" s="6788"/>
      <c r="Q19" s="6789"/>
      <c r="R19" s="64"/>
    </row>
    <row r="20" spans="1:18" ht="30" customHeight="1" x14ac:dyDescent="0.35">
      <c r="A20" s="6827" t="str">
        <f>'SALESPLAN 3Y'!A14</f>
        <v>Editeurs de solutions complémentaires</v>
      </c>
      <c r="B20" s="6811"/>
      <c r="C20" s="6811"/>
      <c r="D20" s="6785"/>
      <c r="E20" s="6785"/>
      <c r="F20" s="6786"/>
      <c r="G20" s="6786"/>
      <c r="H20" s="6787"/>
      <c r="I20" s="6787"/>
      <c r="J20" s="6787"/>
      <c r="K20" s="6787"/>
      <c r="L20" s="6788"/>
      <c r="M20" s="6788"/>
      <c r="N20" s="6788"/>
      <c r="O20" s="6788"/>
      <c r="P20" s="6788"/>
      <c r="Q20" s="6789"/>
      <c r="R20" s="64"/>
    </row>
    <row r="21" spans="1:18" ht="30" customHeight="1" x14ac:dyDescent="0.35">
      <c r="A21" s="6827" t="str">
        <f>'SALESPLAN 3Y'!A15</f>
        <v>Cabinets de conseil / Consultants</v>
      </c>
      <c r="B21" s="6811"/>
      <c r="C21" s="6811"/>
      <c r="D21" s="6785"/>
      <c r="E21" s="6785"/>
      <c r="F21" s="6786"/>
      <c r="G21" s="6786"/>
      <c r="H21" s="6787"/>
      <c r="I21" s="6787"/>
      <c r="J21" s="6785"/>
      <c r="K21" s="6785"/>
      <c r="L21" s="6788"/>
      <c r="M21" s="6788"/>
      <c r="N21" s="6788"/>
      <c r="O21" s="6788"/>
      <c r="P21" s="6788"/>
      <c r="Q21" s="6789"/>
      <c r="R21" s="64"/>
    </row>
    <row r="22" spans="1:18" ht="30" customHeight="1" thickBot="1" x14ac:dyDescent="0.4">
      <c r="A22" s="6790" t="str">
        <f>'SALESPLAN 3Y'!A16</f>
        <v xml:space="preserve">Hébergeurs </v>
      </c>
      <c r="B22" s="6791"/>
      <c r="C22" s="6791"/>
      <c r="D22" s="6792"/>
      <c r="E22" s="6792"/>
      <c r="F22" s="6792"/>
      <c r="G22" s="6792"/>
      <c r="H22" s="6792"/>
      <c r="I22" s="6792"/>
      <c r="J22" s="6792"/>
      <c r="K22" s="6793"/>
      <c r="L22" s="6794"/>
      <c r="M22" s="6794"/>
      <c r="N22" s="6794"/>
      <c r="O22" s="6794"/>
      <c r="P22" s="6794"/>
      <c r="Q22" s="6795"/>
      <c r="R22" s="64"/>
    </row>
    <row r="23" spans="1:18" ht="20.25" customHeight="1" thickTop="1" thickBot="1" x14ac:dyDescent="0.4">
      <c r="A23" s="6796"/>
      <c r="B23" s="6796"/>
      <c r="C23" s="6796"/>
      <c r="D23" s="6796"/>
      <c r="E23" s="6796"/>
      <c r="F23" s="6796"/>
      <c r="G23" s="6796"/>
      <c r="H23" s="6796"/>
      <c r="I23" s="6796"/>
      <c r="J23" s="6796"/>
      <c r="K23" s="6796"/>
      <c r="L23" s="6796"/>
      <c r="M23" s="6796"/>
      <c r="N23" s="6796"/>
      <c r="O23" s="6796"/>
      <c r="P23" s="6796"/>
      <c r="Q23" s="6796"/>
      <c r="R23" s="64"/>
    </row>
    <row r="24" spans="1:18" ht="19.5" thickTop="1" thickBot="1" x14ac:dyDescent="0.4">
      <c r="A24" s="2462" t="s">
        <v>10</v>
      </c>
      <c r="B24" s="2463"/>
      <c r="C24" s="2463"/>
      <c r="D24" s="2463"/>
      <c r="E24" s="2463"/>
      <c r="F24" s="2463"/>
      <c r="G24" s="2463"/>
      <c r="H24" s="2463"/>
      <c r="I24" s="2463"/>
      <c r="J24" s="2463"/>
      <c r="K24" s="2463"/>
      <c r="L24" s="119"/>
      <c r="M24" s="3725" t="s">
        <v>748</v>
      </c>
      <c r="N24" s="3726"/>
      <c r="O24" s="3727"/>
      <c r="P24" s="31"/>
      <c r="Q24" s="64"/>
      <c r="R24" s="64"/>
    </row>
    <row r="25" spans="1:18" ht="20.25" customHeight="1" x14ac:dyDescent="0.35">
      <c r="A25" s="5004" t="s">
        <v>1262</v>
      </c>
      <c r="B25" s="5012"/>
      <c r="C25" s="5012"/>
      <c r="D25" s="5012"/>
      <c r="E25" s="5012"/>
      <c r="F25" s="5012"/>
      <c r="G25" s="5012"/>
      <c r="H25" s="5012"/>
      <c r="I25" s="5012"/>
      <c r="J25" s="5012"/>
      <c r="K25" s="6833"/>
      <c r="L25" s="37"/>
      <c r="M25" s="4593" t="s">
        <v>806</v>
      </c>
      <c r="N25" s="4594"/>
      <c r="O25" s="4595"/>
      <c r="P25" s="33"/>
    </row>
    <row r="26" spans="1:18" ht="20.25" customHeight="1" x14ac:dyDescent="0.35">
      <c r="A26" s="5013"/>
      <c r="B26" s="4578"/>
      <c r="C26" s="4578"/>
      <c r="D26" s="4578"/>
      <c r="E26" s="4578"/>
      <c r="F26" s="4578"/>
      <c r="G26" s="4578"/>
      <c r="H26" s="4578"/>
      <c r="I26" s="4578"/>
      <c r="J26" s="4578"/>
      <c r="K26" s="6834"/>
      <c r="L26" s="37"/>
      <c r="M26" s="4596"/>
      <c r="N26" s="4597"/>
      <c r="O26" s="4598"/>
      <c r="P26" s="33"/>
    </row>
    <row r="27" spans="1:18" ht="20.25" customHeight="1" x14ac:dyDescent="0.35">
      <c r="A27" s="5013"/>
      <c r="B27" s="4578"/>
      <c r="C27" s="4578"/>
      <c r="D27" s="4578"/>
      <c r="E27" s="4578"/>
      <c r="F27" s="4578"/>
      <c r="G27" s="4578"/>
      <c r="H27" s="4578"/>
      <c r="I27" s="4578"/>
      <c r="J27" s="4578"/>
      <c r="K27" s="6834"/>
      <c r="L27" s="37"/>
      <c r="M27" s="4596"/>
      <c r="N27" s="4597"/>
      <c r="O27" s="4598"/>
      <c r="P27" s="33"/>
    </row>
    <row r="28" spans="1:18" ht="20.25" customHeight="1" thickBot="1" x14ac:dyDescent="0.4">
      <c r="A28" s="5014"/>
      <c r="B28" s="5015"/>
      <c r="C28" s="5015"/>
      <c r="D28" s="5015"/>
      <c r="E28" s="5015"/>
      <c r="F28" s="5015"/>
      <c r="G28" s="5015"/>
      <c r="H28" s="5015"/>
      <c r="I28" s="5015"/>
      <c r="J28" s="5015"/>
      <c r="K28" s="6835"/>
      <c r="L28" s="37"/>
      <c r="M28" s="4599"/>
      <c r="N28" s="4600"/>
      <c r="O28" s="4601"/>
      <c r="P28" s="33"/>
    </row>
    <row r="29" spans="1:18" ht="15.5" thickTop="1" thickBot="1" x14ac:dyDescent="0.4">
      <c r="G29" s="64"/>
      <c r="H29" s="64"/>
      <c r="I29" s="64"/>
      <c r="J29" s="64"/>
      <c r="K29" s="64"/>
      <c r="L29" s="64"/>
      <c r="M29" s="31"/>
      <c r="N29" s="31"/>
      <c r="O29" s="31"/>
      <c r="P29" s="64"/>
    </row>
    <row r="30" spans="1:18" ht="19.5" thickTop="1" thickBot="1" x14ac:dyDescent="0.4">
      <c r="A30" s="2462" t="s">
        <v>11</v>
      </c>
      <c r="B30" s="2463"/>
      <c r="C30" s="2463"/>
      <c r="D30" s="2463"/>
      <c r="E30" s="2463"/>
      <c r="F30" s="2463"/>
      <c r="G30" s="2463"/>
      <c r="H30" s="2463"/>
      <c r="I30" s="2463"/>
      <c r="J30" s="2463"/>
      <c r="K30" s="2463"/>
      <c r="L30" s="119"/>
      <c r="M30" s="3725" t="s">
        <v>748</v>
      </c>
      <c r="N30" s="3726"/>
      <c r="O30" s="3727"/>
      <c r="P30" s="31"/>
      <c r="Q30" s="64"/>
      <c r="R30" s="64"/>
    </row>
    <row r="31" spans="1:18" ht="20.25" customHeight="1" x14ac:dyDescent="0.35">
      <c r="A31" s="5004" t="s">
        <v>1261</v>
      </c>
      <c r="B31" s="5012"/>
      <c r="C31" s="5012"/>
      <c r="D31" s="5012"/>
      <c r="E31" s="5012"/>
      <c r="F31" s="5012"/>
      <c r="G31" s="5012"/>
      <c r="H31" s="5012"/>
      <c r="I31" s="5012"/>
      <c r="J31" s="5012"/>
      <c r="K31" s="6833"/>
      <c r="L31" s="37"/>
      <c r="M31" s="4593" t="s">
        <v>807</v>
      </c>
      <c r="N31" s="4594"/>
      <c r="O31" s="4595"/>
      <c r="P31" s="33"/>
      <c r="Q31" s="64"/>
      <c r="R31" s="64"/>
    </row>
    <row r="32" spans="1:18" ht="20.25" customHeight="1" x14ac:dyDescent="0.35">
      <c r="A32" s="5013"/>
      <c r="B32" s="4578"/>
      <c r="C32" s="4578"/>
      <c r="D32" s="4578"/>
      <c r="E32" s="4578"/>
      <c r="F32" s="4578"/>
      <c r="G32" s="4578"/>
      <c r="H32" s="4578"/>
      <c r="I32" s="4578"/>
      <c r="J32" s="4578"/>
      <c r="K32" s="6834"/>
      <c r="L32" s="37"/>
      <c r="M32" s="4596"/>
      <c r="N32" s="4597"/>
      <c r="O32" s="4598"/>
      <c r="P32" s="33"/>
      <c r="Q32" s="64"/>
      <c r="R32" s="64"/>
    </row>
    <row r="33" spans="1:18" ht="20.25" customHeight="1" x14ac:dyDescent="0.35">
      <c r="A33" s="5013"/>
      <c r="B33" s="4578"/>
      <c r="C33" s="4578"/>
      <c r="D33" s="4578"/>
      <c r="E33" s="4578"/>
      <c r="F33" s="4578"/>
      <c r="G33" s="4578"/>
      <c r="H33" s="4578"/>
      <c r="I33" s="4578"/>
      <c r="J33" s="4578"/>
      <c r="K33" s="6834"/>
      <c r="L33" s="37"/>
      <c r="M33" s="4596"/>
      <c r="N33" s="4597"/>
      <c r="O33" s="4598"/>
      <c r="P33" s="33"/>
      <c r="Q33" s="64"/>
      <c r="R33" s="64"/>
    </row>
    <row r="34" spans="1:18" ht="20.25" customHeight="1" thickBot="1" x14ac:dyDescent="0.4">
      <c r="A34" s="5014"/>
      <c r="B34" s="5015"/>
      <c r="C34" s="5015"/>
      <c r="D34" s="5015"/>
      <c r="E34" s="5015"/>
      <c r="F34" s="5015"/>
      <c r="G34" s="5015"/>
      <c r="H34" s="5015"/>
      <c r="I34" s="5015"/>
      <c r="J34" s="5015"/>
      <c r="K34" s="6835"/>
      <c r="L34" s="37"/>
      <c r="M34" s="4599"/>
      <c r="N34" s="4600"/>
      <c r="O34" s="4601"/>
      <c r="P34" s="33"/>
      <c r="Q34" s="64"/>
      <c r="R34" s="64"/>
    </row>
    <row r="35" spans="1:18" ht="15" thickTop="1" x14ac:dyDescent="0.35">
      <c r="G35" s="64"/>
      <c r="H35" s="64"/>
      <c r="I35" s="64"/>
      <c r="J35" s="64"/>
      <c r="K35" s="64"/>
      <c r="L35" s="64"/>
      <c r="M35" s="64"/>
      <c r="N35" s="64"/>
      <c r="O35" s="64"/>
      <c r="P35" s="64"/>
      <c r="Q35" s="64"/>
      <c r="R35" s="64"/>
    </row>
    <row r="36" spans="1:18" x14ac:dyDescent="0.35">
      <c r="G36" s="64"/>
      <c r="H36" s="64"/>
      <c r="I36" s="64"/>
      <c r="J36" s="64"/>
      <c r="K36" s="64"/>
      <c r="L36" s="64"/>
      <c r="M36" s="64"/>
      <c r="N36" s="64"/>
      <c r="O36" s="64"/>
      <c r="P36" s="64"/>
      <c r="Q36" s="64"/>
      <c r="R36" s="64"/>
    </row>
    <row r="39" spans="1:18" x14ac:dyDescent="0.35">
      <c r="A39" s="64"/>
      <c r="B39" s="64"/>
      <c r="C39" s="64"/>
      <c r="D39" s="64"/>
      <c r="E39" s="64"/>
      <c r="F39" s="64"/>
    </row>
    <row r="40" spans="1:18" x14ac:dyDescent="0.35">
      <c r="A40" s="64"/>
      <c r="B40" s="64"/>
      <c r="C40" s="64"/>
      <c r="D40" s="64"/>
      <c r="E40" s="64"/>
      <c r="F40" s="64"/>
    </row>
  </sheetData>
  <mergeCells count="140">
    <mergeCell ref="A31:K34"/>
    <mergeCell ref="A25:K28"/>
    <mergeCell ref="P18:Q18"/>
    <mergeCell ref="A19:C19"/>
    <mergeCell ref="D19:E19"/>
    <mergeCell ref="F19:G19"/>
    <mergeCell ref="H19:I19"/>
    <mergeCell ref="J19:K19"/>
    <mergeCell ref="L19:M19"/>
    <mergeCell ref="N19:O19"/>
    <mergeCell ref="P19:Q19"/>
    <mergeCell ref="F18:G18"/>
    <mergeCell ref="H18:I18"/>
    <mergeCell ref="J18:K18"/>
    <mergeCell ref="L18:M18"/>
    <mergeCell ref="N18:O18"/>
    <mergeCell ref="M24:O24"/>
    <mergeCell ref="M30:O30"/>
    <mergeCell ref="M31:O34"/>
    <mergeCell ref="M25:O28"/>
    <mergeCell ref="L20:M20"/>
    <mergeCell ref="N20:O20"/>
    <mergeCell ref="P20:Q20"/>
    <mergeCell ref="A21:C21"/>
    <mergeCell ref="D16:E16"/>
    <mergeCell ref="F16:G16"/>
    <mergeCell ref="H16:I16"/>
    <mergeCell ref="A16:C16"/>
    <mergeCell ref="A23:Q23"/>
    <mergeCell ref="J16:K16"/>
    <mergeCell ref="L16:M16"/>
    <mergeCell ref="N16:O16"/>
    <mergeCell ref="P16:Q16"/>
    <mergeCell ref="A17:C17"/>
    <mergeCell ref="D17:E17"/>
    <mergeCell ref="F17:G17"/>
    <mergeCell ref="H17:I17"/>
    <mergeCell ref="J17:K17"/>
    <mergeCell ref="L17:M17"/>
    <mergeCell ref="N17:O17"/>
    <mergeCell ref="P17:Q17"/>
    <mergeCell ref="A18:C18"/>
    <mergeCell ref="D18:E18"/>
    <mergeCell ref="A20:C20"/>
    <mergeCell ref="D20:E20"/>
    <mergeCell ref="F20:G20"/>
    <mergeCell ref="H20:I20"/>
    <mergeCell ref="J20:K20"/>
    <mergeCell ref="L8:M8"/>
    <mergeCell ref="P11:Q11"/>
    <mergeCell ref="H4:Q4"/>
    <mergeCell ref="A4:G4"/>
    <mergeCell ref="F6:G6"/>
    <mergeCell ref="D6:E6"/>
    <mergeCell ref="A6:C6"/>
    <mergeCell ref="H6:I6"/>
    <mergeCell ref="A8:C8"/>
    <mergeCell ref="H8:I8"/>
    <mergeCell ref="F9:G9"/>
    <mergeCell ref="H9:I9"/>
    <mergeCell ref="J9:K9"/>
    <mergeCell ref="F8:G8"/>
    <mergeCell ref="D8:E8"/>
    <mergeCell ref="A9:C9"/>
    <mergeCell ref="A7:Q7"/>
    <mergeCell ref="L6:M6"/>
    <mergeCell ref="D9:E9"/>
    <mergeCell ref="J6:K6"/>
    <mergeCell ref="J8:K8"/>
    <mergeCell ref="N8:O8"/>
    <mergeCell ref="P8:Q8"/>
    <mergeCell ref="P6:Q6"/>
    <mergeCell ref="P10:Q10"/>
    <mergeCell ref="A13:C13"/>
    <mergeCell ref="H10:I10"/>
    <mergeCell ref="J13:K13"/>
    <mergeCell ref="H13:I13"/>
    <mergeCell ref="F13:G13"/>
    <mergeCell ref="D13:E13"/>
    <mergeCell ref="A12:C12"/>
    <mergeCell ref="D12:E12"/>
    <mergeCell ref="F12:G12"/>
    <mergeCell ref="A10:C10"/>
    <mergeCell ref="A11:C11"/>
    <mergeCell ref="J12:K12"/>
    <mergeCell ref="H11:I11"/>
    <mergeCell ref="F11:G11"/>
    <mergeCell ref="L11:M11"/>
    <mergeCell ref="J10:K10"/>
    <mergeCell ref="J11:K11"/>
    <mergeCell ref="N10:O10"/>
    <mergeCell ref="N11:O11"/>
    <mergeCell ref="D1:G1"/>
    <mergeCell ref="I1:J1"/>
    <mergeCell ref="L1:M1"/>
    <mergeCell ref="D2:G2"/>
    <mergeCell ref="I2:J2"/>
    <mergeCell ref="L2:M2"/>
    <mergeCell ref="D3:G3"/>
    <mergeCell ref="A5:B5"/>
    <mergeCell ref="C5:Q5"/>
    <mergeCell ref="A15:Q15"/>
    <mergeCell ref="D14:E14"/>
    <mergeCell ref="A14:C14"/>
    <mergeCell ref="D10:E10"/>
    <mergeCell ref="D11:E11"/>
    <mergeCell ref="N6:O6"/>
    <mergeCell ref="P9:Q9"/>
    <mergeCell ref="F14:G14"/>
    <mergeCell ref="H14:I14"/>
    <mergeCell ref="J14:K14"/>
    <mergeCell ref="L14:M14"/>
    <mergeCell ref="N14:O14"/>
    <mergeCell ref="P13:Q13"/>
    <mergeCell ref="N13:O13"/>
    <mergeCell ref="P14:Q14"/>
    <mergeCell ref="L13:M13"/>
    <mergeCell ref="L12:M12"/>
    <mergeCell ref="N12:O12"/>
    <mergeCell ref="P12:Q12"/>
    <mergeCell ref="L10:M10"/>
    <mergeCell ref="L9:M9"/>
    <mergeCell ref="N9:O9"/>
    <mergeCell ref="H12:I12"/>
    <mergeCell ref="F10:G10"/>
    <mergeCell ref="D21:E21"/>
    <mergeCell ref="F21:G21"/>
    <mergeCell ref="H21:I21"/>
    <mergeCell ref="J21:K21"/>
    <mergeCell ref="L21:M21"/>
    <mergeCell ref="N21:O21"/>
    <mergeCell ref="P21:Q21"/>
    <mergeCell ref="A22:C22"/>
    <mergeCell ref="D22:E22"/>
    <mergeCell ref="F22:G22"/>
    <mergeCell ref="H22:I22"/>
    <mergeCell ref="J22:K22"/>
    <mergeCell ref="L22:M22"/>
    <mergeCell ref="N22:O22"/>
    <mergeCell ref="P22:Q2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6300-000000000000}">
      <formula1>AvancementTheme</formula1>
    </dataValidation>
  </dataValidations>
  <hyperlinks>
    <hyperlink ref="O1" location="DPDV_05GM" display="PdV" xr:uid="{00000000-0004-0000-6300-000000000000}"/>
    <hyperlink ref="P1" location="DKPI_05GM" display="KPI's" xr:uid="{00000000-0004-0000-63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euil91">
    <tabColor theme="4" tint="0.39997558519241921"/>
    <pageSetUpPr fitToPage="1"/>
  </sheetPr>
  <dimension ref="A1:V27"/>
  <sheetViews>
    <sheetView showGridLines="0" zoomScale="110" zoomScaleNormal="110" workbookViewId="0">
      <pane ySplit="4" topLeftCell="A5" activePane="bottomLeft" state="frozen"/>
      <selection activeCell="C5" sqref="C5:P5"/>
      <selection pane="bottomLeft" activeCell="C5" sqref="C5:P5"/>
    </sheetView>
  </sheetViews>
  <sheetFormatPr baseColWidth="10" defaultColWidth="11.453125" defaultRowHeight="14.5" x14ac:dyDescent="0.35"/>
  <cols>
    <col min="1" max="3" width="11.453125" style="60"/>
    <col min="4" max="17" width="10.7265625" style="60" customWidth="1"/>
    <col min="18" max="16384" width="11.453125" style="60"/>
  </cols>
  <sheetData>
    <row r="1" spans="1:22" s="54" customFormat="1" ht="15" customHeight="1" x14ac:dyDescent="0.35">
      <c r="A1" s="2268"/>
      <c r="B1" s="2268"/>
      <c r="C1" s="2268"/>
      <c r="D1" s="3341" t="s">
        <v>5</v>
      </c>
      <c r="E1" s="3341"/>
      <c r="F1" s="3341"/>
      <c r="G1" s="3341"/>
      <c r="H1" s="391"/>
      <c r="I1" s="3341" t="s">
        <v>6</v>
      </c>
      <c r="J1" s="3341"/>
      <c r="K1" s="2268"/>
      <c r="L1" s="3341" t="s">
        <v>9</v>
      </c>
      <c r="M1" s="3341"/>
      <c r="N1" s="2268"/>
      <c r="O1" s="479" t="s">
        <v>2</v>
      </c>
      <c r="P1" s="479" t="s">
        <v>3</v>
      </c>
      <c r="Q1" s="829"/>
      <c r="R1" s="458"/>
    </row>
    <row r="2" spans="1:22" s="58" customFormat="1" ht="18" customHeight="1" x14ac:dyDescent="0.35">
      <c r="A2" s="393"/>
      <c r="B2" s="393"/>
      <c r="C2" s="393"/>
      <c r="D2" s="3342" t="str">
        <f>NomClient</f>
        <v xml:space="preserve">EQUINIX </v>
      </c>
      <c r="E2" s="3343"/>
      <c r="F2" s="3343"/>
      <c r="G2" s="3344"/>
      <c r="H2" s="393"/>
      <c r="I2" s="3345" t="s">
        <v>407</v>
      </c>
      <c r="J2" s="3346"/>
      <c r="K2" s="393"/>
      <c r="L2" s="3347">
        <v>42534.873298611114</v>
      </c>
      <c r="M2" s="3348"/>
      <c r="N2" s="394"/>
      <c r="O2" s="451">
        <f>IF(LEN(DPDV_05CT1)&gt;0,LEN(DPDV_05CT1),0-PDV_NBmini)</f>
        <v>97</v>
      </c>
      <c r="P2" s="451">
        <f>IF(LEN(DKPI_05CT1)&gt;0,LEN(DKPI_05CT1),0-KPI_NBmini)</f>
        <v>33</v>
      </c>
      <c r="Q2" s="830"/>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22" s="1" customFormat="1" ht="24.75" customHeight="1" thickBot="1" x14ac:dyDescent="0.4">
      <c r="A4" s="5049" t="str">
        <f>Parametre!B27 &amp; "   : "</f>
        <v xml:space="preserve">Organisation commerciale   : </v>
      </c>
      <c r="B4" s="5049"/>
      <c r="C4" s="5049"/>
      <c r="D4" s="5049"/>
      <c r="E4" s="5049"/>
      <c r="F4" s="5049"/>
      <c r="G4" s="5049"/>
      <c r="H4" s="5050" t="str">
        <f>"Organisation et dimensionnement de l'équipe indirecte pour " &amp; NomProd1</f>
        <v>Organisation et dimensionnement de l'équipe indirecte pour EQUINIX</v>
      </c>
      <c r="I4" s="5050"/>
      <c r="J4" s="5050"/>
      <c r="K4" s="5050"/>
      <c r="L4" s="5050"/>
      <c r="M4" s="5050"/>
      <c r="N4" s="5050"/>
      <c r="O4" s="5050"/>
      <c r="P4" s="5050"/>
      <c r="Q4" s="5051"/>
      <c r="R4" s="444"/>
    </row>
    <row r="5" spans="1:22" s="193" customFormat="1" ht="35.25" customHeight="1" thickBot="1" x14ac:dyDescent="0.4">
      <c r="A5" s="5052" t="s">
        <v>14</v>
      </c>
      <c r="B5" s="5052"/>
      <c r="C5" s="5053" t="s">
        <v>2256</v>
      </c>
      <c r="D5" s="5054"/>
      <c r="E5" s="5054"/>
      <c r="F5" s="5054"/>
      <c r="G5" s="5054"/>
      <c r="H5" s="5054"/>
      <c r="I5" s="5054"/>
      <c r="J5" s="5054"/>
      <c r="K5" s="5054"/>
      <c r="L5" s="5054"/>
      <c r="M5" s="5054"/>
      <c r="N5" s="5054"/>
      <c r="O5" s="5054"/>
      <c r="P5" s="5054"/>
      <c r="Q5" s="5054"/>
      <c r="R5" s="460"/>
    </row>
    <row r="6" spans="1:22" s="25" customFormat="1" ht="31.5" customHeight="1" thickTop="1" thickBot="1" x14ac:dyDescent="0.4">
      <c r="A6" s="5047" t="s">
        <v>176</v>
      </c>
      <c r="B6" s="5048"/>
      <c r="C6" s="5041"/>
      <c r="D6" s="5040" t="str">
        <f>TYPOPARTNER!A12</f>
        <v xml:space="preserve">VARs / SS2I locales </v>
      </c>
      <c r="E6" s="5041"/>
      <c r="F6" s="5040" t="str">
        <f>TYPOPARTNER!A13</f>
        <v>ESN ( SS2I )</v>
      </c>
      <c r="G6" s="5041"/>
      <c r="H6" s="5040" t="str">
        <f>TYPOPARTNER!A14</f>
        <v>Constructeurs Matériel</v>
      </c>
      <c r="I6" s="5041"/>
      <c r="J6" s="5040" t="str">
        <f>TYPOPARTNER!A15</f>
        <v>Editeurs de solutions complémentaires</v>
      </c>
      <c r="K6" s="5041"/>
      <c r="L6" s="5040" t="str">
        <f>TYPOPARTNER!A16</f>
        <v>Cabinets de conseil / Consultants</v>
      </c>
      <c r="M6" s="5041"/>
      <c r="N6" s="5040" t="str">
        <f>TYPOPARTNER!A17</f>
        <v xml:space="preserve">Hébergeurs </v>
      </c>
      <c r="O6" s="5041"/>
      <c r="P6" s="5040" t="str">
        <f>TYPOPARTNER!A18</f>
        <v>Agrégateurs</v>
      </c>
      <c r="Q6" s="5048"/>
      <c r="R6" s="2419" t="s">
        <v>436</v>
      </c>
    </row>
    <row r="7" spans="1:22" s="263" customFormat="1" ht="12" customHeight="1" thickTop="1" x14ac:dyDescent="0.35">
      <c r="A7" s="6840" t="s">
        <v>2255</v>
      </c>
      <c r="B7" s="6841"/>
      <c r="C7" s="6841"/>
      <c r="D7" s="6841"/>
      <c r="E7" s="6841"/>
      <c r="F7" s="6841"/>
      <c r="G7" s="6841"/>
      <c r="H7" s="6841"/>
      <c r="I7" s="6841"/>
      <c r="J7" s="6841"/>
      <c r="K7" s="6841"/>
      <c r="L7" s="6841"/>
      <c r="M7" s="6841"/>
      <c r="N7" s="6841"/>
      <c r="O7" s="6841"/>
      <c r="P7" s="6841"/>
      <c r="Q7" s="6841"/>
      <c r="R7" s="2418"/>
    </row>
    <row r="8" spans="1:22" ht="19.5" customHeight="1" x14ac:dyDescent="0.35">
      <c r="A8" s="5035" t="s">
        <v>598</v>
      </c>
      <c r="B8" s="5036"/>
      <c r="C8" s="5036"/>
      <c r="D8" s="5045">
        <f>'07-RECRUITMENTPLAN-OFR1'!K12</f>
        <v>0</v>
      </c>
      <c r="E8" s="5045"/>
      <c r="F8" s="5045">
        <f>'07-RECRUITMENTPLAN-OFR1'!K13</f>
        <v>0</v>
      </c>
      <c r="G8" s="5045"/>
      <c r="H8" s="5045">
        <f>'07-RECRUITMENTPLAN-OFR1'!K14</f>
        <v>0</v>
      </c>
      <c r="I8" s="5045"/>
      <c r="J8" s="5045">
        <f>'07-RECRUITMENTPLAN-OFR1'!K15</f>
        <v>0</v>
      </c>
      <c r="K8" s="5045"/>
      <c r="L8" s="5045">
        <f>'07-RECRUITMENTPLAN-OFR1'!K16</f>
        <v>0</v>
      </c>
      <c r="M8" s="5045"/>
      <c r="N8" s="5045">
        <f>'07-RECRUITMENTPLAN-OFR1'!K17</f>
        <v>0</v>
      </c>
      <c r="O8" s="5045"/>
      <c r="P8" s="5045">
        <f>'07-RECRUITMENTPLAN-OFR1'!K18</f>
        <v>0</v>
      </c>
      <c r="Q8" s="6839"/>
      <c r="R8" s="2420">
        <f>SUM(D8:Q8)</f>
        <v>0</v>
      </c>
    </row>
    <row r="9" spans="1:22" ht="37.5" customHeight="1" x14ac:dyDescent="0.35">
      <c r="A9" s="5035" t="s">
        <v>599</v>
      </c>
      <c r="B9" s="5036"/>
      <c r="C9" s="5036"/>
      <c r="D9" s="5037">
        <v>15</v>
      </c>
      <c r="E9" s="5037"/>
      <c r="F9" s="5037">
        <v>10</v>
      </c>
      <c r="G9" s="5037"/>
      <c r="H9" s="5037">
        <v>15</v>
      </c>
      <c r="I9" s="5037"/>
      <c r="J9" s="5037">
        <v>15</v>
      </c>
      <c r="K9" s="5037"/>
      <c r="L9" s="5038">
        <v>10</v>
      </c>
      <c r="M9" s="5038"/>
      <c r="N9" s="5038">
        <v>10</v>
      </c>
      <c r="O9" s="5039"/>
      <c r="P9" s="5038">
        <v>11</v>
      </c>
      <c r="Q9" s="5039"/>
      <c r="R9" s="2421"/>
    </row>
    <row r="10" spans="1:22" ht="19.5" customHeight="1" x14ac:dyDescent="0.35">
      <c r="A10" s="5030" t="s">
        <v>596</v>
      </c>
      <c r="B10" s="5031"/>
      <c r="C10" s="5031"/>
      <c r="D10" s="5032">
        <f>IF(D9&gt;0,D8/D9,0)</f>
        <v>0</v>
      </c>
      <c r="E10" s="5032"/>
      <c r="F10" s="5019">
        <f>IF(F9&gt;0,F8/F9,0)</f>
        <v>0</v>
      </c>
      <c r="G10" s="5019"/>
      <c r="H10" s="5019">
        <f>IF(H9&gt;0,H8/H9,0)</f>
        <v>0</v>
      </c>
      <c r="I10" s="5019"/>
      <c r="J10" s="5019">
        <f>IF(J9&gt;0,J8/J9,0)</f>
        <v>0</v>
      </c>
      <c r="K10" s="5019"/>
      <c r="L10" s="5019">
        <f>IF(L9&gt;0,L8/L9,0)</f>
        <v>0</v>
      </c>
      <c r="M10" s="5019"/>
      <c r="N10" s="5019">
        <f>IF(N9&gt;0,N8/N9,0)</f>
        <v>0</v>
      </c>
      <c r="O10" s="5019"/>
      <c r="P10" s="5019">
        <f>IF(P9&gt;0,P8/P9,0)</f>
        <v>0</v>
      </c>
      <c r="Q10" s="6836"/>
      <c r="R10" s="2422">
        <f>SUM(D10:Q10)</f>
        <v>0</v>
      </c>
    </row>
    <row r="11" spans="1:22" ht="19.5" customHeight="1" thickBot="1" x14ac:dyDescent="0.4">
      <c r="A11" s="5022" t="s">
        <v>597</v>
      </c>
      <c r="B11" s="5023"/>
      <c r="C11" s="5023"/>
      <c r="D11" s="5024">
        <v>1</v>
      </c>
      <c r="E11" s="5024"/>
      <c r="F11" s="5025">
        <v>1</v>
      </c>
      <c r="G11" s="5025"/>
      <c r="H11" s="5025">
        <v>0</v>
      </c>
      <c r="I11" s="5025"/>
      <c r="J11" s="5026">
        <v>0</v>
      </c>
      <c r="K11" s="5026"/>
      <c r="L11" s="5026">
        <v>0</v>
      </c>
      <c r="M11" s="5026"/>
      <c r="N11" s="5024">
        <v>0</v>
      </c>
      <c r="O11" s="5027"/>
      <c r="P11" s="6837">
        <v>0</v>
      </c>
      <c r="Q11" s="6838"/>
      <c r="R11" s="2423">
        <f>SUM(D11:Q11)</f>
        <v>2</v>
      </c>
    </row>
    <row r="12" spans="1:22" ht="19.5" customHeight="1" thickTop="1" thickBot="1" x14ac:dyDescent="0.4">
      <c r="A12" s="5016" t="s">
        <v>616</v>
      </c>
      <c r="B12" s="5017"/>
      <c r="C12" s="5017"/>
      <c r="D12" s="5018">
        <f>SUM(D10:E11)</f>
        <v>1</v>
      </c>
      <c r="E12" s="5018"/>
      <c r="F12" s="5009">
        <f>SUM(F10:G11)</f>
        <v>1</v>
      </c>
      <c r="G12" s="5009"/>
      <c r="H12" s="5009">
        <f>SUM(H10:I11)</f>
        <v>0</v>
      </c>
      <c r="I12" s="5009"/>
      <c r="J12" s="5009">
        <f>SUM(J10:K11)</f>
        <v>0</v>
      </c>
      <c r="K12" s="5009"/>
      <c r="L12" s="5009">
        <f>SUM(L10:M11)</f>
        <v>0</v>
      </c>
      <c r="M12" s="5009"/>
      <c r="N12" s="5009">
        <f>SUM(N10:O11)</f>
        <v>0</v>
      </c>
      <c r="O12" s="5009"/>
      <c r="P12" s="5009">
        <f>SUM(P10:Q11)</f>
        <v>0</v>
      </c>
      <c r="Q12" s="5009"/>
      <c r="R12" s="2424">
        <f>SUM(R10:R11)</f>
        <v>2</v>
      </c>
    </row>
    <row r="13" spans="1:22" ht="21" customHeight="1" thickTop="1" x14ac:dyDescent="0.35">
      <c r="A13" s="2271"/>
      <c r="B13" s="2271"/>
      <c r="C13" s="2269"/>
      <c r="D13" s="2269"/>
      <c r="E13" s="2269"/>
      <c r="F13" s="2269"/>
      <c r="G13" s="2269"/>
      <c r="H13" s="2269"/>
      <c r="I13" s="2269"/>
      <c r="J13" s="2269"/>
      <c r="K13" s="2269"/>
      <c r="L13" s="833"/>
      <c r="M13" s="833"/>
      <c r="N13" s="833"/>
      <c r="O13" s="833"/>
      <c r="P13" s="834"/>
      <c r="Q13" s="833"/>
      <c r="R13" s="64"/>
    </row>
    <row r="14" spans="1:22" ht="15" thickBot="1" x14ac:dyDescent="0.4">
      <c r="A14" s="64"/>
      <c r="B14" s="64"/>
      <c r="C14" s="64"/>
      <c r="D14" s="64"/>
      <c r="E14" s="64"/>
      <c r="F14" s="64"/>
      <c r="G14" s="64"/>
      <c r="H14" s="64"/>
      <c r="I14" s="64"/>
      <c r="J14" s="64"/>
      <c r="K14" s="64"/>
      <c r="L14" s="64"/>
      <c r="M14" s="64"/>
      <c r="N14" s="64"/>
      <c r="O14" s="64"/>
      <c r="P14" s="64"/>
      <c r="Q14" s="64"/>
      <c r="R14" s="64"/>
    </row>
    <row r="15" spans="1:22" ht="19.5" thickTop="1" thickBot="1" x14ac:dyDescent="0.4">
      <c r="A15" s="5002" t="s">
        <v>10</v>
      </c>
      <c r="B15" s="5003"/>
      <c r="C15" s="5003"/>
      <c r="D15" s="5003"/>
      <c r="E15" s="5003"/>
      <c r="F15" s="5003"/>
      <c r="G15" s="5003"/>
      <c r="H15" s="5003"/>
      <c r="I15" s="5003"/>
      <c r="J15" s="5003"/>
      <c r="K15" s="5003"/>
      <c r="L15" s="119"/>
      <c r="M15" s="3725" t="s">
        <v>748</v>
      </c>
      <c r="N15" s="3726"/>
      <c r="O15" s="3727"/>
      <c r="P15" s="31"/>
      <c r="Q15" s="64"/>
      <c r="R15" s="64"/>
    </row>
    <row r="16" spans="1:22" ht="20.25" customHeight="1" x14ac:dyDescent="0.35">
      <c r="A16" s="5004" t="s">
        <v>1262</v>
      </c>
      <c r="B16" s="5012"/>
      <c r="C16" s="5012"/>
      <c r="D16" s="5012"/>
      <c r="E16" s="5012"/>
      <c r="F16" s="5012"/>
      <c r="G16" s="5012"/>
      <c r="H16" s="5012"/>
      <c r="I16" s="5012"/>
      <c r="J16" s="5012"/>
      <c r="K16" s="5012"/>
      <c r="L16" s="37"/>
      <c r="M16" s="4593" t="s">
        <v>806</v>
      </c>
      <c r="N16" s="4594"/>
      <c r="O16" s="4595"/>
      <c r="P16" s="33"/>
      <c r="Q16" s="64"/>
      <c r="R16" s="64"/>
    </row>
    <row r="17" spans="1:18" ht="20.25" customHeight="1" x14ac:dyDescent="0.35">
      <c r="A17" s="5013"/>
      <c r="B17" s="4578"/>
      <c r="C17" s="4578"/>
      <c r="D17" s="4578"/>
      <c r="E17" s="4578"/>
      <c r="F17" s="4578"/>
      <c r="G17" s="4578"/>
      <c r="H17" s="4578"/>
      <c r="I17" s="4578"/>
      <c r="J17" s="4578"/>
      <c r="K17" s="4578"/>
      <c r="L17" s="37"/>
      <c r="M17" s="4596"/>
      <c r="N17" s="4597"/>
      <c r="O17" s="4598"/>
      <c r="P17" s="33"/>
      <c r="Q17" s="64"/>
      <c r="R17" s="64"/>
    </row>
    <row r="18" spans="1:18" ht="20.25" customHeight="1" x14ac:dyDescent="0.35">
      <c r="A18" s="5013"/>
      <c r="B18" s="4578"/>
      <c r="C18" s="4578"/>
      <c r="D18" s="4578"/>
      <c r="E18" s="4578"/>
      <c r="F18" s="4578"/>
      <c r="G18" s="4578"/>
      <c r="H18" s="4578"/>
      <c r="I18" s="4578"/>
      <c r="J18" s="4578"/>
      <c r="K18" s="4578"/>
      <c r="L18" s="37"/>
      <c r="M18" s="4596"/>
      <c r="N18" s="4597"/>
      <c r="O18" s="4598"/>
      <c r="P18" s="33"/>
      <c r="Q18" s="64"/>
      <c r="R18" s="64"/>
    </row>
    <row r="19" spans="1:18" ht="20.25" customHeight="1" thickBot="1" x14ac:dyDescent="0.4">
      <c r="A19" s="5014"/>
      <c r="B19" s="5015"/>
      <c r="C19" s="5015"/>
      <c r="D19" s="5015"/>
      <c r="E19" s="5015"/>
      <c r="F19" s="5015"/>
      <c r="G19" s="5015"/>
      <c r="H19" s="5015"/>
      <c r="I19" s="5015"/>
      <c r="J19" s="5015"/>
      <c r="K19" s="5015"/>
      <c r="L19" s="37"/>
      <c r="M19" s="4599"/>
      <c r="N19" s="4600"/>
      <c r="O19" s="4601"/>
      <c r="P19" s="33"/>
      <c r="Q19" s="64"/>
      <c r="R19" s="64"/>
    </row>
    <row r="20" spans="1:18" ht="15.5" thickTop="1" thickBot="1" x14ac:dyDescent="0.4">
      <c r="A20" s="64"/>
      <c r="B20" s="64"/>
      <c r="C20" s="64"/>
      <c r="D20" s="64"/>
      <c r="E20" s="64"/>
      <c r="F20" s="64"/>
      <c r="G20" s="64"/>
      <c r="H20" s="64"/>
      <c r="I20" s="64"/>
      <c r="J20" s="64"/>
      <c r="K20" s="64"/>
      <c r="L20" s="64"/>
      <c r="M20" s="31"/>
      <c r="N20" s="31"/>
      <c r="O20" s="31"/>
      <c r="P20" s="64"/>
      <c r="Q20" s="64"/>
      <c r="R20" s="64"/>
    </row>
    <row r="21" spans="1:18" ht="19.5" thickTop="1" thickBot="1" x14ac:dyDescent="0.4">
      <c r="A21" s="5002" t="s">
        <v>11</v>
      </c>
      <c r="B21" s="5003"/>
      <c r="C21" s="5003"/>
      <c r="D21" s="5003"/>
      <c r="E21" s="5003"/>
      <c r="F21" s="5003"/>
      <c r="G21" s="5003"/>
      <c r="H21" s="5003"/>
      <c r="I21" s="5003"/>
      <c r="J21" s="5003"/>
      <c r="K21" s="5003"/>
      <c r="L21" s="119"/>
      <c r="M21" s="3725" t="s">
        <v>748</v>
      </c>
      <c r="N21" s="3726"/>
      <c r="O21" s="3727"/>
      <c r="P21" s="31"/>
      <c r="Q21" s="64"/>
      <c r="R21" s="64"/>
    </row>
    <row r="22" spans="1:18" ht="20.25" customHeight="1" x14ac:dyDescent="0.35">
      <c r="A22" s="5004" t="s">
        <v>1261</v>
      </c>
      <c r="B22" s="5005"/>
      <c r="C22" s="5005"/>
      <c r="D22" s="5005"/>
      <c r="E22" s="5005"/>
      <c r="F22" s="5005"/>
      <c r="G22" s="5005"/>
      <c r="H22" s="5005"/>
      <c r="I22" s="5005"/>
      <c r="J22" s="5005"/>
      <c r="K22" s="5005"/>
      <c r="L22" s="37"/>
      <c r="M22" s="4593" t="s">
        <v>807</v>
      </c>
      <c r="N22" s="4594"/>
      <c r="O22" s="4595"/>
      <c r="P22" s="33"/>
      <c r="Q22" s="64"/>
      <c r="R22" s="64"/>
    </row>
    <row r="23" spans="1:18" ht="20.25" customHeight="1" x14ac:dyDescent="0.35">
      <c r="A23" s="5006"/>
      <c r="B23" s="3882"/>
      <c r="C23" s="3882"/>
      <c r="D23" s="3882"/>
      <c r="E23" s="3882"/>
      <c r="F23" s="3882"/>
      <c r="G23" s="3882"/>
      <c r="H23" s="3882"/>
      <c r="I23" s="3882"/>
      <c r="J23" s="3882"/>
      <c r="K23" s="3879"/>
      <c r="L23" s="37"/>
      <c r="M23" s="4596"/>
      <c r="N23" s="4597"/>
      <c r="O23" s="4598"/>
      <c r="P23" s="33"/>
      <c r="Q23" s="64"/>
      <c r="R23" s="64"/>
    </row>
    <row r="24" spans="1:18" ht="20.25" customHeight="1" x14ac:dyDescent="0.35">
      <c r="A24" s="5006"/>
      <c r="B24" s="3882"/>
      <c r="C24" s="3882"/>
      <c r="D24" s="3882"/>
      <c r="E24" s="3882"/>
      <c r="F24" s="3882"/>
      <c r="G24" s="3882"/>
      <c r="H24" s="3882"/>
      <c r="I24" s="3882"/>
      <c r="J24" s="3882"/>
      <c r="K24" s="3879"/>
      <c r="L24" s="37"/>
      <c r="M24" s="4596"/>
      <c r="N24" s="4597"/>
      <c r="O24" s="4598"/>
      <c r="P24" s="33"/>
      <c r="Q24" s="64"/>
      <c r="R24" s="64"/>
    </row>
    <row r="25" spans="1:18" ht="20.25" customHeight="1" thickBot="1" x14ac:dyDescent="0.4">
      <c r="A25" s="5007"/>
      <c r="B25" s="5008"/>
      <c r="C25" s="5008"/>
      <c r="D25" s="5008"/>
      <c r="E25" s="5008"/>
      <c r="F25" s="5008"/>
      <c r="G25" s="5008"/>
      <c r="H25" s="5008"/>
      <c r="I25" s="5008"/>
      <c r="J25" s="5008"/>
      <c r="K25" s="5008"/>
      <c r="L25" s="37"/>
      <c r="M25" s="4599"/>
      <c r="N25" s="4600"/>
      <c r="O25" s="4601"/>
      <c r="P25" s="33"/>
      <c r="Q25" s="64"/>
      <c r="R25" s="64"/>
    </row>
    <row r="26" spans="1:18" ht="15" thickTop="1" x14ac:dyDescent="0.35">
      <c r="A26" s="64"/>
      <c r="B26" s="64"/>
      <c r="C26" s="64"/>
      <c r="D26" s="64"/>
      <c r="E26" s="64"/>
      <c r="F26" s="64"/>
      <c r="G26" s="64"/>
      <c r="H26" s="64"/>
      <c r="I26" s="64"/>
      <c r="J26" s="64"/>
      <c r="K26" s="64"/>
      <c r="L26" s="64"/>
      <c r="M26" s="64"/>
      <c r="N26" s="64"/>
      <c r="O26" s="64"/>
      <c r="P26" s="64"/>
      <c r="Q26" s="64"/>
      <c r="R26" s="64"/>
    </row>
    <row r="27" spans="1:18" x14ac:dyDescent="0.35">
      <c r="A27" s="64"/>
      <c r="B27" s="64"/>
      <c r="C27" s="64"/>
      <c r="D27" s="64"/>
      <c r="E27" s="64"/>
      <c r="F27" s="64"/>
      <c r="G27" s="64"/>
      <c r="H27" s="64"/>
      <c r="I27" s="64"/>
      <c r="J27" s="64"/>
      <c r="K27" s="64"/>
      <c r="L27" s="64"/>
      <c r="M27" s="64"/>
      <c r="N27" s="64"/>
      <c r="O27" s="64"/>
      <c r="P27" s="64"/>
      <c r="Q27" s="64"/>
      <c r="R27" s="64"/>
    </row>
  </sheetData>
  <mergeCells count="68">
    <mergeCell ref="A7:Q7"/>
    <mergeCell ref="D1:G1"/>
    <mergeCell ref="I1:J1"/>
    <mergeCell ref="L1:M1"/>
    <mergeCell ref="D2:G2"/>
    <mergeCell ref="I2:J2"/>
    <mergeCell ref="L2:M2"/>
    <mergeCell ref="L6:M6"/>
    <mergeCell ref="N6:O6"/>
    <mergeCell ref="P6:Q6"/>
    <mergeCell ref="D3:G3"/>
    <mergeCell ref="A4:G4"/>
    <mergeCell ref="H4:Q4"/>
    <mergeCell ref="C5:Q5"/>
    <mergeCell ref="A5:B5"/>
    <mergeCell ref="N8:O8"/>
    <mergeCell ref="P8:Q8"/>
    <mergeCell ref="A9:C9"/>
    <mergeCell ref="D9:E9"/>
    <mergeCell ref="F9:G9"/>
    <mergeCell ref="H9:I9"/>
    <mergeCell ref="J9:K9"/>
    <mergeCell ref="L9:M9"/>
    <mergeCell ref="N9:O9"/>
    <mergeCell ref="P9:Q9"/>
    <mergeCell ref="A8:C8"/>
    <mergeCell ref="D8:E8"/>
    <mergeCell ref="F8:G8"/>
    <mergeCell ref="H8:I8"/>
    <mergeCell ref="J8:K8"/>
    <mergeCell ref="L8:M8"/>
    <mergeCell ref="A22:K25"/>
    <mergeCell ref="M22:O25"/>
    <mergeCell ref="J6:K6"/>
    <mergeCell ref="H6:I6"/>
    <mergeCell ref="F6:G6"/>
    <mergeCell ref="D6:E6"/>
    <mergeCell ref="A6:C6"/>
    <mergeCell ref="N12:O12"/>
    <mergeCell ref="A15:K15"/>
    <mergeCell ref="M15:O15"/>
    <mergeCell ref="A16:K19"/>
    <mergeCell ref="M16:O19"/>
    <mergeCell ref="A12:C12"/>
    <mergeCell ref="D12:E12"/>
    <mergeCell ref="F12:G12"/>
    <mergeCell ref="H12:I12"/>
    <mergeCell ref="A21:K21"/>
    <mergeCell ref="M21:O21"/>
    <mergeCell ref="P12:Q12"/>
    <mergeCell ref="J12:K12"/>
    <mergeCell ref="L12:M12"/>
    <mergeCell ref="N10:O10"/>
    <mergeCell ref="P10:Q10"/>
    <mergeCell ref="A11:C11"/>
    <mergeCell ref="D11:E11"/>
    <mergeCell ref="F11:G11"/>
    <mergeCell ref="H11:I11"/>
    <mergeCell ref="J11:K11"/>
    <mergeCell ref="L11:M11"/>
    <mergeCell ref="N11:O11"/>
    <mergeCell ref="P11:Q11"/>
    <mergeCell ref="A10:C10"/>
    <mergeCell ref="D10:E10"/>
    <mergeCell ref="F10:G10"/>
    <mergeCell ref="H10:I10"/>
    <mergeCell ref="J10:K10"/>
    <mergeCell ref="L10:M10"/>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6400-000000000000}">
      <formula1>AvancementTheme</formula1>
    </dataValidation>
  </dataValidations>
  <hyperlinks>
    <hyperlink ref="O1" location="DPDV_05CT1" display="PdV" xr:uid="{00000000-0004-0000-6400-000000000000}"/>
    <hyperlink ref="P1" location="DKPI_05CT1" display="KPI's" xr:uid="{00000000-0004-0000-64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euil29">
    <tabColor theme="2" tint="-0.249977111117893"/>
    <pageSetUpPr fitToPage="1"/>
  </sheetPr>
  <dimension ref="A1:V123"/>
  <sheetViews>
    <sheetView showGridLines="0" showRowColHeaders="0" topLeftCell="B1" zoomScale="130" zoomScaleNormal="130" workbookViewId="0">
      <pane ySplit="7" topLeftCell="A8" activePane="bottomLeft" state="frozen"/>
      <selection activeCell="C5" sqref="C5:P5"/>
      <selection pane="bottomLeft" activeCell="C5" sqref="C5:P5"/>
    </sheetView>
  </sheetViews>
  <sheetFormatPr baseColWidth="10" defaultColWidth="11.453125" defaultRowHeight="14.5" x14ac:dyDescent="0.35"/>
  <cols>
    <col min="1" max="3" width="11.453125" style="60"/>
    <col min="4" max="16" width="10.7265625" style="60" customWidth="1"/>
    <col min="17" max="16384" width="11.453125" style="60"/>
  </cols>
  <sheetData>
    <row r="1" spans="1:22" s="54" customFormat="1" ht="15" customHeight="1" x14ac:dyDescent="0.35">
      <c r="A1" s="390"/>
      <c r="B1" s="390"/>
      <c r="C1" s="390"/>
      <c r="D1" s="3341" t="s">
        <v>5</v>
      </c>
      <c r="E1" s="3341"/>
      <c r="F1" s="3341"/>
      <c r="G1" s="3341"/>
      <c r="H1" s="391"/>
      <c r="I1" s="3341" t="s">
        <v>6</v>
      </c>
      <c r="J1" s="3341"/>
      <c r="K1" s="390"/>
      <c r="L1" s="3341" t="s">
        <v>9</v>
      </c>
      <c r="M1" s="3341"/>
      <c r="N1" s="390"/>
      <c r="O1" s="479" t="s">
        <v>2</v>
      </c>
      <c r="P1" s="479" t="s">
        <v>3</v>
      </c>
      <c r="Q1" s="458"/>
    </row>
    <row r="2" spans="1:22" s="58" customFormat="1" ht="18" customHeight="1" x14ac:dyDescent="0.35">
      <c r="A2" s="393"/>
      <c r="B2" s="393"/>
      <c r="C2" s="393"/>
      <c r="D2" s="3342" t="str">
        <f>NomClient</f>
        <v xml:space="preserve">EQUINIX </v>
      </c>
      <c r="E2" s="3343"/>
      <c r="F2" s="3343"/>
      <c r="G2" s="3344"/>
      <c r="H2" s="393"/>
      <c r="I2" s="3345" t="s">
        <v>407</v>
      </c>
      <c r="J2" s="3346"/>
      <c r="K2" s="393"/>
      <c r="L2" s="3347">
        <v>42421.93613425926</v>
      </c>
      <c r="M2" s="3348"/>
      <c r="N2" s="394"/>
      <c r="O2" s="451">
        <f>IF(LEN(DPDV_08VA1)&gt;0,LEN(DPDV_08VA1),0-PDV_NBmini)</f>
        <v>81</v>
      </c>
      <c r="P2" s="451">
        <f>IF(LEN(DKPI_08VA1)&gt;0,LEN(DKPI_08VA1),0-KPI_NBmini)</f>
        <v>96</v>
      </c>
      <c r="Q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112" t="str">
        <f>Parametre!B30 &amp; "   : "</f>
        <v xml:space="preserve">Proposition de valeur   : </v>
      </c>
      <c r="B4" s="5112"/>
      <c r="C4" s="5112"/>
      <c r="D4" s="5112"/>
      <c r="E4" s="5112"/>
      <c r="F4" s="5112"/>
      <c r="G4" s="5112"/>
      <c r="H4" s="5144" t="str">
        <f>"Attractivité de l'offre pour " &amp; NomProd1</f>
        <v>Attractivité de l'offre pour EQUINIX</v>
      </c>
      <c r="I4" s="5144"/>
      <c r="J4" s="5144"/>
      <c r="K4" s="5144"/>
      <c r="L4" s="5144"/>
      <c r="M4" s="5144"/>
      <c r="N4" s="5144"/>
      <c r="O4" s="5144"/>
      <c r="P4" s="5145"/>
      <c r="Q4" s="444"/>
    </row>
    <row r="5" spans="1:22" s="25" customFormat="1" ht="38.25" customHeight="1" thickBot="1" x14ac:dyDescent="0.4">
      <c r="A5" s="3438" t="s">
        <v>14</v>
      </c>
      <c r="B5" s="3438"/>
      <c r="C5" s="3508" t="s">
        <v>2257</v>
      </c>
      <c r="D5" s="3508"/>
      <c r="E5" s="3508"/>
      <c r="F5" s="3508"/>
      <c r="G5" s="3508"/>
      <c r="H5" s="3508"/>
      <c r="I5" s="3508"/>
      <c r="J5" s="3508"/>
      <c r="K5" s="3508"/>
      <c r="L5" s="3508"/>
      <c r="M5" s="3508"/>
      <c r="N5" s="3508"/>
      <c r="O5" s="3508"/>
      <c r="P5" s="3508"/>
      <c r="Q5" s="767"/>
    </row>
    <row r="6" spans="1:22" s="106" customFormat="1" ht="33.75" customHeight="1" thickTop="1" x14ac:dyDescent="0.35">
      <c r="A6" s="5625" t="s">
        <v>627</v>
      </c>
      <c r="B6" s="5626"/>
      <c r="C6" s="5626"/>
      <c r="D6" s="5626"/>
      <c r="E6" s="5627"/>
      <c r="F6" s="5631" t="str">
        <f>NomProd1</f>
        <v>EQUINIX</v>
      </c>
      <c r="G6" s="5632"/>
      <c r="H6" s="5631" t="str">
        <f>NomProd2</f>
        <v>ASEMA</v>
      </c>
      <c r="I6" s="5632"/>
      <c r="J6" s="5631">
        <f>NomProd3</f>
        <v>0</v>
      </c>
      <c r="K6" s="5632"/>
      <c r="L6" s="5140" t="s">
        <v>18</v>
      </c>
      <c r="M6" s="5140"/>
      <c r="N6" s="5140"/>
      <c r="O6" s="5140"/>
      <c r="P6" s="5141"/>
      <c r="Q6" s="758"/>
    </row>
    <row r="7" spans="1:22" s="106" customFormat="1" ht="26.25" customHeight="1" x14ac:dyDescent="0.35">
      <c r="A7" s="5628"/>
      <c r="B7" s="5629"/>
      <c r="C7" s="5629"/>
      <c r="D7" s="5629"/>
      <c r="E7" s="5630"/>
      <c r="F7" s="5633" t="s">
        <v>16</v>
      </c>
      <c r="G7" s="5633"/>
      <c r="H7" s="5633" t="s">
        <v>16</v>
      </c>
      <c r="I7" s="5633"/>
      <c r="J7" s="5633" t="s">
        <v>16</v>
      </c>
      <c r="K7" s="5633"/>
      <c r="L7" s="5142"/>
      <c r="M7" s="5142"/>
      <c r="N7" s="5142"/>
      <c r="O7" s="5142"/>
      <c r="P7" s="5143"/>
      <c r="Q7" s="758"/>
    </row>
    <row r="8" spans="1:22" s="264" customFormat="1" ht="9" customHeight="1" x14ac:dyDescent="0.35">
      <c r="A8" s="5634"/>
      <c r="B8" s="5635"/>
      <c r="C8" s="5635"/>
      <c r="D8" s="5635"/>
      <c r="E8" s="5635"/>
      <c r="F8" s="5635"/>
      <c r="G8" s="5635"/>
      <c r="H8" s="5635"/>
      <c r="I8" s="5635"/>
      <c r="J8" s="5635"/>
      <c r="K8" s="5635"/>
      <c r="L8" s="5635"/>
      <c r="M8" s="5635"/>
      <c r="N8" s="5635"/>
      <c r="O8" s="5635"/>
      <c r="P8" s="5636"/>
      <c r="Q8" s="903"/>
    </row>
    <row r="9" spans="1:22" s="21" customFormat="1" ht="19.5" customHeight="1" x14ac:dyDescent="0.35">
      <c r="A9" s="5127" t="s">
        <v>619</v>
      </c>
      <c r="B9" s="5134"/>
      <c r="C9" s="5134"/>
      <c r="D9" s="5134"/>
      <c r="E9" s="5134"/>
      <c r="F9" s="5134"/>
      <c r="G9" s="5134"/>
      <c r="H9" s="5134"/>
      <c r="I9" s="5134"/>
      <c r="J9" s="5134"/>
      <c r="K9" s="5134"/>
      <c r="L9" s="5134"/>
      <c r="M9" s="5134"/>
      <c r="N9" s="5134"/>
      <c r="O9" s="5134"/>
      <c r="P9" s="5135"/>
      <c r="Q9" s="901"/>
    </row>
    <row r="10" spans="1:22" ht="15" customHeight="1" x14ac:dyDescent="0.35">
      <c r="A10" s="5637" t="s">
        <v>262</v>
      </c>
      <c r="B10" s="5638"/>
      <c r="C10" s="5638"/>
      <c r="D10" s="5638"/>
      <c r="E10" s="5638"/>
      <c r="F10" s="5639">
        <v>0</v>
      </c>
      <c r="G10" s="5639"/>
      <c r="H10" s="5639">
        <v>0</v>
      </c>
      <c r="I10" s="5639"/>
      <c r="J10" s="5639">
        <v>0</v>
      </c>
      <c r="K10" s="5639"/>
      <c r="L10" s="5640"/>
      <c r="M10" s="5640"/>
      <c r="N10" s="5640"/>
      <c r="O10" s="5640"/>
      <c r="P10" s="5641"/>
      <c r="Q10" s="64"/>
    </row>
    <row r="11" spans="1:22" ht="15" customHeight="1" x14ac:dyDescent="0.35">
      <c r="A11" s="5637" t="s">
        <v>263</v>
      </c>
      <c r="B11" s="5642"/>
      <c r="C11" s="5642"/>
      <c r="D11" s="5642"/>
      <c r="E11" s="5642"/>
      <c r="F11" s="5639"/>
      <c r="G11" s="5639"/>
      <c r="H11" s="5639"/>
      <c r="I11" s="5639"/>
      <c r="J11" s="5639"/>
      <c r="K11" s="5639"/>
      <c r="L11" s="5640"/>
      <c r="M11" s="5640"/>
      <c r="N11" s="5640"/>
      <c r="O11" s="5640"/>
      <c r="P11" s="5641"/>
      <c r="Q11" s="64"/>
    </row>
    <row r="12" spans="1:22" ht="15" customHeight="1" x14ac:dyDescent="0.35">
      <c r="A12" s="5637" t="s">
        <v>264</v>
      </c>
      <c r="B12" s="5642"/>
      <c r="C12" s="5642"/>
      <c r="D12" s="5642"/>
      <c r="E12" s="5642"/>
      <c r="F12" s="5639"/>
      <c r="G12" s="5639"/>
      <c r="H12" s="5639"/>
      <c r="I12" s="5639"/>
      <c r="J12" s="5639"/>
      <c r="K12" s="5639"/>
      <c r="L12" s="5640"/>
      <c r="M12" s="5640"/>
      <c r="N12" s="5640"/>
      <c r="O12" s="5640"/>
      <c r="P12" s="5641"/>
      <c r="Q12" s="64"/>
    </row>
    <row r="13" spans="1:22" ht="15" customHeight="1" x14ac:dyDescent="0.35">
      <c r="A13" s="5637" t="s">
        <v>265</v>
      </c>
      <c r="B13" s="5642"/>
      <c r="C13" s="5642"/>
      <c r="D13" s="5642"/>
      <c r="E13" s="5642"/>
      <c r="F13" s="5639"/>
      <c r="G13" s="5639"/>
      <c r="H13" s="5639"/>
      <c r="I13" s="5639"/>
      <c r="J13" s="5639"/>
      <c r="K13" s="5639"/>
      <c r="L13" s="5640"/>
      <c r="M13" s="5640"/>
      <c r="N13" s="5640"/>
      <c r="O13" s="5640"/>
      <c r="P13" s="5641"/>
      <c r="Q13" s="64"/>
    </row>
    <row r="14" spans="1:22" ht="15" customHeight="1" x14ac:dyDescent="0.35">
      <c r="A14" s="5637" t="s">
        <v>266</v>
      </c>
      <c r="B14" s="5642"/>
      <c r="C14" s="5642"/>
      <c r="D14" s="5642"/>
      <c r="E14" s="5642"/>
      <c r="F14" s="5639"/>
      <c r="G14" s="5639"/>
      <c r="H14" s="5639"/>
      <c r="I14" s="5639"/>
      <c r="J14" s="5639"/>
      <c r="K14" s="5639"/>
      <c r="L14" s="5640"/>
      <c r="M14" s="5640"/>
      <c r="N14" s="5640"/>
      <c r="O14" s="5640"/>
      <c r="P14" s="5641"/>
      <c r="Q14" s="64"/>
    </row>
    <row r="15" spans="1:22" ht="15" customHeight="1" x14ac:dyDescent="0.35">
      <c r="A15" s="5637" t="s">
        <v>267</v>
      </c>
      <c r="B15" s="5642"/>
      <c r="C15" s="5642"/>
      <c r="D15" s="5642"/>
      <c r="E15" s="5642"/>
      <c r="F15" s="5639"/>
      <c r="G15" s="5639"/>
      <c r="H15" s="5639"/>
      <c r="I15" s="5639"/>
      <c r="J15" s="5639"/>
      <c r="K15" s="5639"/>
      <c r="L15" s="5640"/>
      <c r="M15" s="5640"/>
      <c r="N15" s="5640"/>
      <c r="O15" s="5640"/>
      <c r="P15" s="5641"/>
      <c r="Q15" s="64"/>
    </row>
    <row r="16" spans="1:22" ht="15" customHeight="1" x14ac:dyDescent="0.35">
      <c r="A16" s="5637" t="s">
        <v>268</v>
      </c>
      <c r="B16" s="5642"/>
      <c r="C16" s="5642"/>
      <c r="D16" s="5642"/>
      <c r="E16" s="5642"/>
      <c r="F16" s="5639"/>
      <c r="G16" s="5639"/>
      <c r="H16" s="5639"/>
      <c r="I16" s="5639"/>
      <c r="J16" s="5639"/>
      <c r="K16" s="5639"/>
      <c r="L16" s="5640"/>
      <c r="M16" s="5640"/>
      <c r="N16" s="5640"/>
      <c r="O16" s="5640"/>
      <c r="P16" s="5641"/>
      <c r="Q16" s="64"/>
    </row>
    <row r="17" spans="1:17" ht="15" customHeight="1" x14ac:dyDescent="0.35">
      <c r="A17" s="5637" t="s">
        <v>269</v>
      </c>
      <c r="B17" s="5642"/>
      <c r="C17" s="5642"/>
      <c r="D17" s="5642"/>
      <c r="E17" s="5642"/>
      <c r="F17" s="5639"/>
      <c r="G17" s="5639"/>
      <c r="H17" s="5639"/>
      <c r="I17" s="5639"/>
      <c r="J17" s="5639"/>
      <c r="K17" s="5639"/>
      <c r="L17" s="5640"/>
      <c r="M17" s="5640"/>
      <c r="N17" s="5640"/>
      <c r="O17" s="5640"/>
      <c r="P17" s="5641"/>
      <c r="Q17" s="64"/>
    </row>
    <row r="18" spans="1:17" ht="14.25" customHeight="1" x14ac:dyDescent="0.35">
      <c r="A18" s="967"/>
      <c r="B18" s="968"/>
      <c r="C18" s="968"/>
      <c r="D18" s="968"/>
      <c r="E18" s="1528" t="s">
        <v>1385</v>
      </c>
      <c r="F18" s="6846">
        <f>AVERAGE(F10:G17)</f>
        <v>0</v>
      </c>
      <c r="G18" s="6846"/>
      <c r="H18" s="6846">
        <f>AVERAGE(H10:I17)</f>
        <v>0</v>
      </c>
      <c r="I18" s="6846"/>
      <c r="J18" s="6846">
        <f>AVERAGE(J10:K17)</f>
        <v>0</v>
      </c>
      <c r="K18" s="6846"/>
      <c r="L18" s="5644"/>
      <c r="M18" s="5644"/>
      <c r="N18" s="5644"/>
      <c r="O18" s="5644"/>
      <c r="P18" s="5645"/>
      <c r="Q18" s="64"/>
    </row>
    <row r="19" spans="1:17" s="21" customFormat="1" ht="19.5" customHeight="1" x14ac:dyDescent="0.35">
      <c r="A19" s="5127" t="s">
        <v>282</v>
      </c>
      <c r="B19" s="5134"/>
      <c r="C19" s="5134"/>
      <c r="D19" s="5134"/>
      <c r="E19" s="5134"/>
      <c r="F19" s="5134"/>
      <c r="G19" s="5134"/>
      <c r="H19" s="5134"/>
      <c r="I19" s="5134"/>
      <c r="J19" s="5134"/>
      <c r="K19" s="5134"/>
      <c r="L19" s="5134"/>
      <c r="M19" s="5134"/>
      <c r="N19" s="5134"/>
      <c r="O19" s="5134"/>
      <c r="P19" s="5135"/>
      <c r="Q19" s="901"/>
    </row>
    <row r="20" spans="1:17" s="21" customFormat="1" ht="17.25" customHeight="1" x14ac:dyDescent="0.35">
      <c r="A20" s="5637" t="s">
        <v>270</v>
      </c>
      <c r="B20" s="5642"/>
      <c r="C20" s="5642"/>
      <c r="D20" s="5642"/>
      <c r="E20" s="5642"/>
      <c r="F20" s="5639">
        <v>0</v>
      </c>
      <c r="G20" s="5639"/>
      <c r="H20" s="5639">
        <v>0</v>
      </c>
      <c r="I20" s="5639"/>
      <c r="J20" s="5639">
        <v>0</v>
      </c>
      <c r="K20" s="5639"/>
      <c r="L20" s="5640"/>
      <c r="M20" s="5640"/>
      <c r="N20" s="5640"/>
      <c r="O20" s="5640"/>
      <c r="P20" s="5641"/>
      <c r="Q20" s="901"/>
    </row>
    <row r="21" spans="1:17" s="21" customFormat="1" ht="15" customHeight="1" x14ac:dyDescent="0.35">
      <c r="A21" s="5646" t="s">
        <v>1875</v>
      </c>
      <c r="B21" s="5642"/>
      <c r="C21" s="5642"/>
      <c r="D21" s="5642"/>
      <c r="E21" s="5642"/>
      <c r="F21" s="5639"/>
      <c r="G21" s="5639"/>
      <c r="H21" s="5639"/>
      <c r="I21" s="5639"/>
      <c r="J21" s="5639"/>
      <c r="K21" s="5639"/>
      <c r="L21" s="5640"/>
      <c r="M21" s="5640"/>
      <c r="N21" s="5640"/>
      <c r="O21" s="5640"/>
      <c r="P21" s="5641"/>
      <c r="Q21" s="901"/>
    </row>
    <row r="22" spans="1:17" s="21" customFormat="1" ht="15" customHeight="1" x14ac:dyDescent="0.35">
      <c r="A22" s="5646" t="s">
        <v>1876</v>
      </c>
      <c r="B22" s="5642"/>
      <c r="C22" s="5642"/>
      <c r="D22" s="5642"/>
      <c r="E22" s="5642"/>
      <c r="F22" s="5639"/>
      <c r="G22" s="5639"/>
      <c r="H22" s="5639"/>
      <c r="I22" s="5639"/>
      <c r="J22" s="5639"/>
      <c r="K22" s="5639"/>
      <c r="L22" s="6849"/>
      <c r="M22" s="6850"/>
      <c r="N22" s="6850"/>
      <c r="O22" s="6850"/>
      <c r="P22" s="6851"/>
      <c r="Q22" s="901"/>
    </row>
    <row r="23" spans="1:17" ht="15" customHeight="1" x14ac:dyDescent="0.35">
      <c r="A23" s="5646" t="s">
        <v>1877</v>
      </c>
      <c r="B23" s="5642"/>
      <c r="C23" s="5642"/>
      <c r="D23" s="5642"/>
      <c r="E23" s="5642"/>
      <c r="F23" s="5639"/>
      <c r="G23" s="5639"/>
      <c r="H23" s="5639"/>
      <c r="I23" s="5639"/>
      <c r="J23" s="5639"/>
      <c r="K23" s="5639"/>
      <c r="L23" s="5640"/>
      <c r="M23" s="5640"/>
      <c r="N23" s="5640"/>
      <c r="O23" s="5640"/>
      <c r="P23" s="5641"/>
      <c r="Q23" s="64"/>
    </row>
    <row r="24" spans="1:17" ht="15" customHeight="1" x14ac:dyDescent="0.35">
      <c r="A24" s="5646" t="s">
        <v>272</v>
      </c>
      <c r="B24" s="5642"/>
      <c r="C24" s="5642"/>
      <c r="D24" s="5642"/>
      <c r="E24" s="5642"/>
      <c r="F24" s="5639"/>
      <c r="G24" s="5639"/>
      <c r="H24" s="5639"/>
      <c r="I24" s="5639"/>
      <c r="J24" s="5639"/>
      <c r="K24" s="5639"/>
      <c r="L24" s="5640"/>
      <c r="M24" s="5640"/>
      <c r="N24" s="5640"/>
      <c r="O24" s="5640"/>
      <c r="P24" s="5641"/>
      <c r="Q24" s="64"/>
    </row>
    <row r="25" spans="1:17" ht="15" customHeight="1" x14ac:dyDescent="0.35">
      <c r="A25" s="5637" t="s">
        <v>273</v>
      </c>
      <c r="B25" s="5642"/>
      <c r="C25" s="5642"/>
      <c r="D25" s="5642"/>
      <c r="E25" s="5642"/>
      <c r="F25" s="5639"/>
      <c r="G25" s="5639"/>
      <c r="H25" s="5639"/>
      <c r="I25" s="5639"/>
      <c r="J25" s="5639"/>
      <c r="K25" s="5639"/>
      <c r="L25" s="5640"/>
      <c r="M25" s="5640"/>
      <c r="N25" s="5640"/>
      <c r="O25" s="5640"/>
      <c r="P25" s="5641"/>
      <c r="Q25" s="64"/>
    </row>
    <row r="26" spans="1:17" ht="15" customHeight="1" x14ac:dyDescent="0.35">
      <c r="A26" s="5637" t="s">
        <v>1827</v>
      </c>
      <c r="B26" s="5642"/>
      <c r="C26" s="5642"/>
      <c r="D26" s="5642"/>
      <c r="E26" s="5642"/>
      <c r="F26" s="5639"/>
      <c r="G26" s="5639"/>
      <c r="H26" s="5639"/>
      <c r="I26" s="5639"/>
      <c r="J26" s="5639"/>
      <c r="K26" s="5639"/>
      <c r="L26" s="5640"/>
      <c r="M26" s="5640"/>
      <c r="N26" s="5640"/>
      <c r="O26" s="5640"/>
      <c r="P26" s="5641"/>
      <c r="Q26" s="64"/>
    </row>
    <row r="27" spans="1:17" ht="15" customHeight="1" x14ac:dyDescent="0.35">
      <c r="A27" s="5637" t="s">
        <v>275</v>
      </c>
      <c r="B27" s="5642"/>
      <c r="C27" s="5642"/>
      <c r="D27" s="5642"/>
      <c r="E27" s="5642"/>
      <c r="F27" s="5639"/>
      <c r="G27" s="5639"/>
      <c r="H27" s="5639"/>
      <c r="I27" s="5639"/>
      <c r="J27" s="5639"/>
      <c r="K27" s="5639"/>
      <c r="L27" s="5640"/>
      <c r="M27" s="5640"/>
      <c r="N27" s="5640"/>
      <c r="O27" s="5640"/>
      <c r="P27" s="5641"/>
      <c r="Q27" s="64"/>
    </row>
    <row r="28" spans="1:17" ht="15" customHeight="1" x14ac:dyDescent="0.35">
      <c r="A28" s="5637" t="s">
        <v>276</v>
      </c>
      <c r="B28" s="5642"/>
      <c r="C28" s="5642"/>
      <c r="D28" s="5642"/>
      <c r="E28" s="5642"/>
      <c r="F28" s="5639"/>
      <c r="G28" s="5639"/>
      <c r="H28" s="5639"/>
      <c r="I28" s="5639"/>
      <c r="J28" s="5639"/>
      <c r="K28" s="5639"/>
      <c r="L28" s="5640"/>
      <c r="M28" s="5640"/>
      <c r="N28" s="5640"/>
      <c r="O28" s="5640"/>
      <c r="P28" s="5641"/>
      <c r="Q28" s="64"/>
    </row>
    <row r="29" spans="1:17" ht="15" customHeight="1" x14ac:dyDescent="0.35">
      <c r="A29" s="5637" t="s">
        <v>277</v>
      </c>
      <c r="B29" s="5642"/>
      <c r="C29" s="5642"/>
      <c r="D29" s="5642"/>
      <c r="E29" s="5642"/>
      <c r="F29" s="5639"/>
      <c r="G29" s="5639"/>
      <c r="H29" s="5639"/>
      <c r="I29" s="5639"/>
      <c r="J29" s="5639"/>
      <c r="K29" s="5639"/>
      <c r="L29" s="5640"/>
      <c r="M29" s="5640"/>
      <c r="N29" s="5640"/>
      <c r="O29" s="5640"/>
      <c r="P29" s="5641"/>
      <c r="Q29" s="64"/>
    </row>
    <row r="30" spans="1:17" ht="15" customHeight="1" x14ac:dyDescent="0.35">
      <c r="A30" s="5637" t="s">
        <v>278</v>
      </c>
      <c r="B30" s="5642"/>
      <c r="C30" s="5642"/>
      <c r="D30" s="5642"/>
      <c r="E30" s="5642"/>
      <c r="F30" s="5639"/>
      <c r="G30" s="5639"/>
      <c r="H30" s="5639"/>
      <c r="I30" s="5639"/>
      <c r="J30" s="5639"/>
      <c r="K30" s="5639"/>
      <c r="L30" s="5640"/>
      <c r="M30" s="5640"/>
      <c r="N30" s="5640"/>
      <c r="O30" s="5640"/>
      <c r="P30" s="5641"/>
      <c r="Q30" s="64"/>
    </row>
    <row r="31" spans="1:17" ht="15" customHeight="1" x14ac:dyDescent="0.35">
      <c r="A31" s="5637" t="s">
        <v>279</v>
      </c>
      <c r="B31" s="5642"/>
      <c r="C31" s="5642"/>
      <c r="D31" s="5642"/>
      <c r="E31" s="5642"/>
      <c r="F31" s="5639"/>
      <c r="G31" s="5639"/>
      <c r="H31" s="5639"/>
      <c r="I31" s="5639"/>
      <c r="J31" s="5639"/>
      <c r="K31" s="5639"/>
      <c r="L31" s="5640"/>
      <c r="M31" s="5640"/>
      <c r="N31" s="5640"/>
      <c r="O31" s="5640"/>
      <c r="P31" s="5641"/>
      <c r="Q31" s="64"/>
    </row>
    <row r="32" spans="1:17" ht="15" customHeight="1" x14ac:dyDescent="0.35">
      <c r="A32" s="5637" t="s">
        <v>280</v>
      </c>
      <c r="B32" s="5642"/>
      <c r="C32" s="5642"/>
      <c r="D32" s="5642"/>
      <c r="E32" s="5642"/>
      <c r="F32" s="5639"/>
      <c r="G32" s="5639"/>
      <c r="H32" s="5639"/>
      <c r="I32" s="5639"/>
      <c r="J32" s="5639"/>
      <c r="K32" s="5639"/>
      <c r="L32" s="5640"/>
      <c r="M32" s="5640"/>
      <c r="N32" s="5640"/>
      <c r="O32" s="5640"/>
      <c r="P32" s="5641"/>
      <c r="Q32" s="64"/>
    </row>
    <row r="33" spans="1:17" ht="15" customHeight="1" x14ac:dyDescent="0.35">
      <c r="A33" s="5637" t="s">
        <v>281</v>
      </c>
      <c r="B33" s="5642"/>
      <c r="C33" s="5642"/>
      <c r="D33" s="5642"/>
      <c r="E33" s="5642"/>
      <c r="F33" s="5639"/>
      <c r="G33" s="5639"/>
      <c r="H33" s="5639"/>
      <c r="I33" s="5639"/>
      <c r="J33" s="5639"/>
      <c r="K33" s="5639"/>
      <c r="L33" s="5640"/>
      <c r="M33" s="5640"/>
      <c r="N33" s="5640"/>
      <c r="O33" s="5640"/>
      <c r="P33" s="5641"/>
      <c r="Q33" s="64"/>
    </row>
    <row r="34" spans="1:17" ht="14.25" customHeight="1" x14ac:dyDescent="0.35">
      <c r="A34" s="6848" t="s">
        <v>1385</v>
      </c>
      <c r="B34" s="6848"/>
      <c r="C34" s="6848"/>
      <c r="D34" s="6848"/>
      <c r="E34" s="6848"/>
      <c r="F34" s="6846">
        <f>AVERAGE(F20:G33)</f>
        <v>0</v>
      </c>
      <c r="G34" s="6846"/>
      <c r="H34" s="6846">
        <f t="shared" ref="H34" si="0">AVERAGE(H20:I33)</f>
        <v>0</v>
      </c>
      <c r="I34" s="6846"/>
      <c r="J34" s="6846">
        <f t="shared" ref="J34" si="1">AVERAGE(J20:K33)</f>
        <v>0</v>
      </c>
      <c r="K34" s="6846"/>
      <c r="L34" s="5644"/>
      <c r="M34" s="5644"/>
      <c r="N34" s="5644"/>
      <c r="O34" s="5644"/>
      <c r="P34" s="5645"/>
      <c r="Q34" s="64"/>
    </row>
    <row r="35" spans="1:17" s="21" customFormat="1" ht="19.5" customHeight="1" x14ac:dyDescent="0.35">
      <c r="A35" s="5118" t="s">
        <v>621</v>
      </c>
      <c r="B35" s="5119"/>
      <c r="C35" s="5119"/>
      <c r="D35" s="5119"/>
      <c r="E35" s="5119"/>
      <c r="F35" s="5119"/>
      <c r="G35" s="5119"/>
      <c r="H35" s="5119"/>
      <c r="I35" s="5119"/>
      <c r="J35" s="5119"/>
      <c r="K35" s="5119"/>
      <c r="L35" s="5119"/>
      <c r="M35" s="5119"/>
      <c r="N35" s="5119"/>
      <c r="O35" s="5119"/>
      <c r="P35" s="5120"/>
      <c r="Q35" s="901"/>
    </row>
    <row r="36" spans="1:17" ht="15" customHeight="1" x14ac:dyDescent="0.35">
      <c r="A36" s="5637" t="s">
        <v>624</v>
      </c>
      <c r="B36" s="5642"/>
      <c r="C36" s="5642"/>
      <c r="D36" s="5642"/>
      <c r="E36" s="5642"/>
      <c r="F36" s="5639">
        <v>0</v>
      </c>
      <c r="G36" s="5639"/>
      <c r="H36" s="5639">
        <v>0</v>
      </c>
      <c r="I36" s="5639"/>
      <c r="J36" s="5639">
        <v>0</v>
      </c>
      <c r="K36" s="5639"/>
      <c r="L36" s="5640"/>
      <c r="M36" s="5640"/>
      <c r="N36" s="5640"/>
      <c r="O36" s="5640"/>
      <c r="P36" s="5641"/>
      <c r="Q36" s="64"/>
    </row>
    <row r="37" spans="1:17" ht="15" customHeight="1" x14ac:dyDescent="0.35">
      <c r="A37" s="5637" t="s">
        <v>622</v>
      </c>
      <c r="B37" s="5642"/>
      <c r="C37" s="5642"/>
      <c r="D37" s="5642"/>
      <c r="E37" s="5642"/>
      <c r="F37" s="5639"/>
      <c r="G37" s="5639"/>
      <c r="H37" s="5639"/>
      <c r="I37" s="5639"/>
      <c r="J37" s="5639"/>
      <c r="K37" s="5639"/>
      <c r="L37" s="5640"/>
      <c r="M37" s="5640"/>
      <c r="N37" s="5640"/>
      <c r="O37" s="5640"/>
      <c r="P37" s="5641"/>
      <c r="Q37" s="64"/>
    </row>
    <row r="38" spans="1:17" ht="15" customHeight="1" x14ac:dyDescent="0.35">
      <c r="A38" s="5637" t="s">
        <v>1878</v>
      </c>
      <c r="B38" s="5642"/>
      <c r="C38" s="5642"/>
      <c r="D38" s="5642"/>
      <c r="E38" s="5642"/>
      <c r="F38" s="5639"/>
      <c r="G38" s="5639"/>
      <c r="H38" s="5639"/>
      <c r="I38" s="5639"/>
      <c r="J38" s="5639"/>
      <c r="K38" s="5639"/>
      <c r="L38" s="5640"/>
      <c r="M38" s="5640"/>
      <c r="N38" s="5640"/>
      <c r="O38" s="5640"/>
      <c r="P38" s="5641"/>
      <c r="Q38" s="64"/>
    </row>
    <row r="39" spans="1:17" ht="15" customHeight="1" x14ac:dyDescent="0.35">
      <c r="A39" s="5637" t="s">
        <v>626</v>
      </c>
      <c r="B39" s="5642"/>
      <c r="C39" s="5642"/>
      <c r="D39" s="5642"/>
      <c r="E39" s="5642"/>
      <c r="F39" s="5639"/>
      <c r="G39" s="5639"/>
      <c r="H39" s="5639"/>
      <c r="I39" s="5639"/>
      <c r="J39" s="5639"/>
      <c r="K39" s="5639"/>
      <c r="L39" s="5640"/>
      <c r="M39" s="5640"/>
      <c r="N39" s="5640"/>
      <c r="O39" s="5640"/>
      <c r="P39" s="5641"/>
      <c r="Q39" s="64"/>
    </row>
    <row r="40" spans="1:17" ht="11.25" customHeight="1" thickBot="1" x14ac:dyDescent="0.4">
      <c r="A40" s="6848" t="s">
        <v>1385</v>
      </c>
      <c r="B40" s="6848"/>
      <c r="C40" s="6848"/>
      <c r="D40" s="6848"/>
      <c r="E40" s="6848"/>
      <c r="F40" s="6847">
        <f>AVERAGE(F36:G39)</f>
        <v>0</v>
      </c>
      <c r="G40" s="6847"/>
      <c r="H40" s="6847">
        <f>AVERAGE(H36:I39)</f>
        <v>0</v>
      </c>
      <c r="I40" s="6847"/>
      <c r="J40" s="6847">
        <f>AVERAGE(J36:K39)</f>
        <v>0</v>
      </c>
      <c r="K40" s="6847"/>
      <c r="L40" s="5653"/>
      <c r="M40" s="5653"/>
      <c r="N40" s="5653"/>
      <c r="O40" s="5653"/>
      <c r="P40" s="5654"/>
      <c r="Q40" s="64"/>
    </row>
    <row r="41" spans="1:17" s="66" customFormat="1" ht="15" customHeight="1" thickTop="1" x14ac:dyDescent="0.35">
      <c r="A41" s="963"/>
      <c r="B41" s="964"/>
      <c r="C41" s="964"/>
      <c r="D41" s="964"/>
      <c r="E41" s="964"/>
      <c r="F41" s="6842">
        <f>SUM(F10:G17)+SUM(F20:G33)+SUM(F36:G39)</f>
        <v>0</v>
      </c>
      <c r="G41" s="6843"/>
      <c r="H41" s="6842">
        <f>SUM(H10:I17)+SUM(H20:I33)+SUM(H36:I39)</f>
        <v>0</v>
      </c>
      <c r="I41" s="6843"/>
      <c r="J41" s="6842">
        <f>SUM(J10:K17)+SUM(J20:K33)+SUM(J36:K39)</f>
        <v>0</v>
      </c>
      <c r="K41" s="6843"/>
      <c r="L41" s="965"/>
      <c r="M41" s="965"/>
      <c r="N41" s="965"/>
      <c r="O41" s="965"/>
      <c r="P41" s="965"/>
      <c r="Q41" s="397"/>
    </row>
    <row r="42" spans="1:17" s="66" customFormat="1" ht="15" customHeight="1" thickBot="1" x14ac:dyDescent="0.4">
      <c r="A42" s="963"/>
      <c r="B42" s="964"/>
      <c r="C42" s="964"/>
      <c r="D42" s="964"/>
      <c r="E42" s="1212" t="s">
        <v>1265</v>
      </c>
      <c r="F42" s="6844">
        <f>AVERAGE(F10:G17,F20:G33,F36,F36:G39)</f>
        <v>0</v>
      </c>
      <c r="G42" s="6845"/>
      <c r="H42" s="6844">
        <f>AVERAGE(H10:I17,H20:I33,H36,H36:I39)</f>
        <v>0</v>
      </c>
      <c r="I42" s="6845"/>
      <c r="J42" s="6844">
        <f>AVERAGE(J10:K17,J20:K33,J36,J36:K39)</f>
        <v>0</v>
      </c>
      <c r="K42" s="6845"/>
      <c r="L42" s="965"/>
      <c r="M42" s="965"/>
      <c r="N42" s="965"/>
      <c r="O42" s="965"/>
      <c r="P42" s="965"/>
      <c r="Q42" s="397"/>
    </row>
    <row r="43" spans="1:17" s="66" customFormat="1" ht="15" customHeight="1" thickTop="1" x14ac:dyDescent="0.35">
      <c r="A43" s="963"/>
      <c r="B43" s="964"/>
      <c r="C43" s="964"/>
      <c r="D43" s="964"/>
      <c r="E43" s="964"/>
      <c r="F43" s="966"/>
      <c r="G43" s="966"/>
      <c r="H43" s="966"/>
      <c r="I43" s="966"/>
      <c r="J43" s="966"/>
      <c r="K43" s="966"/>
      <c r="L43" s="965"/>
      <c r="M43" s="965"/>
      <c r="N43" s="965"/>
      <c r="O43" s="965"/>
      <c r="P43" s="965"/>
      <c r="Q43" s="397"/>
    </row>
    <row r="44" spans="1:17" s="66" customFormat="1" ht="15" customHeight="1" x14ac:dyDescent="0.35">
      <c r="A44" s="963"/>
      <c r="B44" s="964"/>
      <c r="C44" s="964"/>
      <c r="D44" s="964"/>
      <c r="E44" s="964"/>
      <c r="F44" s="966"/>
      <c r="G44" s="966"/>
      <c r="H44" s="966"/>
      <c r="I44" s="966"/>
      <c r="J44" s="966"/>
      <c r="K44" s="966"/>
      <c r="L44" s="965"/>
      <c r="M44" s="965"/>
      <c r="N44" s="965"/>
      <c r="O44" s="965"/>
      <c r="P44" s="965"/>
      <c r="Q44" s="397"/>
    </row>
    <row r="45" spans="1:17" s="66" customFormat="1" ht="15" customHeight="1" x14ac:dyDescent="0.35">
      <c r="A45" s="963"/>
      <c r="B45" s="964"/>
      <c r="C45" s="964"/>
      <c r="D45" s="964"/>
      <c r="E45" s="964"/>
      <c r="F45" s="966"/>
      <c r="G45" s="966"/>
      <c r="H45" s="966"/>
      <c r="I45" s="966"/>
      <c r="J45" s="966"/>
      <c r="K45" s="966"/>
      <c r="L45" s="965"/>
      <c r="M45" s="965"/>
      <c r="N45" s="965"/>
      <c r="O45" s="965"/>
      <c r="P45" s="965"/>
      <c r="Q45" s="397"/>
    </row>
    <row r="46" spans="1:17" ht="13.5" customHeight="1" x14ac:dyDescent="0.35">
      <c r="A46" s="902"/>
      <c r="B46" s="764"/>
      <c r="C46" s="764"/>
      <c r="D46" s="764"/>
      <c r="E46" s="764"/>
      <c r="F46" s="466"/>
      <c r="G46" s="466"/>
      <c r="H46" s="466"/>
      <c r="I46" s="466"/>
      <c r="J46" s="466"/>
      <c r="K46" s="466"/>
      <c r="L46" s="466"/>
      <c r="M46" s="466"/>
      <c r="N46" s="466"/>
      <c r="O46" s="466"/>
      <c r="P46" s="466"/>
      <c r="Q46" s="64"/>
    </row>
    <row r="47" spans="1:17" ht="15" thickBot="1" x14ac:dyDescent="0.4">
      <c r="A47" s="64"/>
      <c r="B47" s="64"/>
      <c r="C47" s="64"/>
      <c r="D47" s="64"/>
      <c r="E47" s="64"/>
      <c r="F47" s="64"/>
      <c r="G47" s="64"/>
      <c r="H47" s="64"/>
      <c r="I47" s="64"/>
      <c r="J47" s="64"/>
      <c r="K47" s="64"/>
      <c r="L47" s="64"/>
      <c r="M47" s="64"/>
      <c r="N47" s="64"/>
      <c r="O47" s="64"/>
      <c r="P47" s="64"/>
      <c r="Q47" s="64"/>
    </row>
    <row r="48" spans="1:17" ht="19" thickBot="1" x14ac:dyDescent="0.4">
      <c r="A48" s="5664" t="s">
        <v>10</v>
      </c>
      <c r="B48" s="5664"/>
      <c r="C48" s="5664"/>
      <c r="D48" s="5664"/>
      <c r="E48" s="5664"/>
      <c r="F48" s="5664"/>
      <c r="G48" s="5664"/>
      <c r="H48" s="5664"/>
      <c r="I48" s="5664"/>
      <c r="J48" s="5664"/>
      <c r="K48" s="5665"/>
      <c r="L48" s="157"/>
      <c r="M48" s="3725" t="s">
        <v>748</v>
      </c>
      <c r="N48" s="3726"/>
      <c r="O48" s="3727"/>
      <c r="P48" s="31"/>
      <c r="Q48" s="64"/>
    </row>
    <row r="49" spans="1:17" ht="20.25" customHeight="1" x14ac:dyDescent="0.35">
      <c r="A49" s="5655" t="s">
        <v>1266</v>
      </c>
      <c r="B49" s="5656"/>
      <c r="C49" s="5656"/>
      <c r="D49" s="5656"/>
      <c r="E49" s="5656"/>
      <c r="F49" s="5656"/>
      <c r="G49" s="5656"/>
      <c r="H49" s="5656"/>
      <c r="I49" s="5656"/>
      <c r="J49" s="5656"/>
      <c r="K49" s="5657"/>
      <c r="L49" s="38"/>
      <c r="M49" s="4593" t="s">
        <v>829</v>
      </c>
      <c r="N49" s="4594"/>
      <c r="O49" s="4595"/>
      <c r="P49" s="33"/>
      <c r="Q49" s="64"/>
    </row>
    <row r="50" spans="1:17" ht="20.25" customHeight="1" x14ac:dyDescent="0.35">
      <c r="A50" s="5658"/>
      <c r="B50" s="5659"/>
      <c r="C50" s="5659"/>
      <c r="D50" s="5659"/>
      <c r="E50" s="5659"/>
      <c r="F50" s="5659"/>
      <c r="G50" s="5659"/>
      <c r="H50" s="5659"/>
      <c r="I50" s="5659"/>
      <c r="J50" s="5659"/>
      <c r="K50" s="5660"/>
      <c r="L50" s="38"/>
      <c r="M50" s="4596"/>
      <c r="N50" s="4597"/>
      <c r="O50" s="4598"/>
      <c r="P50" s="33"/>
      <c r="Q50" s="64"/>
    </row>
    <row r="51" spans="1:17" ht="20.25" customHeight="1" x14ac:dyDescent="0.35">
      <c r="A51" s="5658"/>
      <c r="B51" s="5659"/>
      <c r="C51" s="5659"/>
      <c r="D51" s="5659"/>
      <c r="E51" s="5659"/>
      <c r="F51" s="5659"/>
      <c r="G51" s="5659"/>
      <c r="H51" s="5659"/>
      <c r="I51" s="5659"/>
      <c r="J51" s="5659"/>
      <c r="K51" s="5660"/>
      <c r="L51" s="38"/>
      <c r="M51" s="4596"/>
      <c r="N51" s="4597"/>
      <c r="O51" s="4598"/>
      <c r="P51" s="33"/>
      <c r="Q51" s="64"/>
    </row>
    <row r="52" spans="1:17" ht="20.25" customHeight="1" thickBot="1" x14ac:dyDescent="0.4">
      <c r="A52" s="5661"/>
      <c r="B52" s="5662"/>
      <c r="C52" s="5662"/>
      <c r="D52" s="5662"/>
      <c r="E52" s="5662"/>
      <c r="F52" s="5662"/>
      <c r="G52" s="5662"/>
      <c r="H52" s="5662"/>
      <c r="I52" s="5662"/>
      <c r="J52" s="5662"/>
      <c r="K52" s="5663"/>
      <c r="L52" s="38"/>
      <c r="M52" s="4599"/>
      <c r="N52" s="4600"/>
      <c r="O52" s="4601"/>
      <c r="P52" s="33"/>
      <c r="Q52" s="64"/>
    </row>
    <row r="53" spans="1:17" ht="15" thickBot="1" x14ac:dyDescent="0.4">
      <c r="A53" s="64"/>
      <c r="B53" s="64"/>
      <c r="C53" s="64"/>
      <c r="D53" s="64"/>
      <c r="E53" s="64"/>
      <c r="F53" s="64"/>
      <c r="G53" s="64"/>
      <c r="H53" s="64"/>
      <c r="I53" s="64"/>
      <c r="J53" s="64"/>
      <c r="K53" s="64"/>
      <c r="L53" s="64"/>
      <c r="M53" s="31"/>
      <c r="N53" s="31"/>
      <c r="O53" s="31"/>
      <c r="P53" s="64"/>
      <c r="Q53" s="64"/>
    </row>
    <row r="54" spans="1:17" ht="19" thickBot="1" x14ac:dyDescent="0.4">
      <c r="A54" s="5664" t="s">
        <v>11</v>
      </c>
      <c r="B54" s="5664"/>
      <c r="C54" s="5664"/>
      <c r="D54" s="5664"/>
      <c r="E54" s="5664"/>
      <c r="F54" s="5664"/>
      <c r="G54" s="5664"/>
      <c r="H54" s="5664"/>
      <c r="I54" s="5664"/>
      <c r="J54" s="5664"/>
      <c r="K54" s="5665"/>
      <c r="L54" s="157"/>
      <c r="M54" s="3725" t="s">
        <v>748</v>
      </c>
      <c r="N54" s="3726"/>
      <c r="O54" s="3727"/>
      <c r="P54" s="31"/>
      <c r="Q54" s="64"/>
    </row>
    <row r="55" spans="1:17" ht="20.25" customHeight="1" x14ac:dyDescent="0.35">
      <c r="A55" s="5655" t="s">
        <v>1477</v>
      </c>
      <c r="B55" s="5656"/>
      <c r="C55" s="5656"/>
      <c r="D55" s="5656"/>
      <c r="E55" s="5656"/>
      <c r="F55" s="5656"/>
      <c r="G55" s="5656"/>
      <c r="H55" s="5656"/>
      <c r="I55" s="5656"/>
      <c r="J55" s="5656"/>
      <c r="K55" s="5657"/>
      <c r="L55" s="38"/>
      <c r="M55" s="4593" t="s">
        <v>830</v>
      </c>
      <c r="N55" s="4594"/>
      <c r="O55" s="4595"/>
      <c r="P55" s="33"/>
      <c r="Q55" s="64"/>
    </row>
    <row r="56" spans="1:17" ht="20.25" customHeight="1" x14ac:dyDescent="0.35">
      <c r="A56" s="5658"/>
      <c r="B56" s="5659"/>
      <c r="C56" s="5659"/>
      <c r="D56" s="5659"/>
      <c r="E56" s="5659"/>
      <c r="F56" s="5659"/>
      <c r="G56" s="5659"/>
      <c r="H56" s="5659"/>
      <c r="I56" s="5659"/>
      <c r="J56" s="5659"/>
      <c r="K56" s="5660"/>
      <c r="L56" s="38"/>
      <c r="M56" s="4596"/>
      <c r="N56" s="4597"/>
      <c r="O56" s="4598"/>
      <c r="P56" s="33"/>
      <c r="Q56" s="64"/>
    </row>
    <row r="57" spans="1:17" ht="20.25" customHeight="1" x14ac:dyDescent="0.35">
      <c r="A57" s="5658"/>
      <c r="B57" s="5659"/>
      <c r="C57" s="5659"/>
      <c r="D57" s="5659"/>
      <c r="E57" s="5659"/>
      <c r="F57" s="5659"/>
      <c r="G57" s="5659"/>
      <c r="H57" s="5659"/>
      <c r="I57" s="5659"/>
      <c r="J57" s="5659"/>
      <c r="K57" s="5660"/>
      <c r="L57" s="38"/>
      <c r="M57" s="4596"/>
      <c r="N57" s="4597"/>
      <c r="O57" s="4598"/>
      <c r="P57" s="33"/>
      <c r="Q57" s="64"/>
    </row>
    <row r="58" spans="1:17" ht="20.25" customHeight="1" thickBot="1" x14ac:dyDescent="0.4">
      <c r="A58" s="5661"/>
      <c r="B58" s="5662"/>
      <c r="C58" s="5662"/>
      <c r="D58" s="5662"/>
      <c r="E58" s="5662"/>
      <c r="F58" s="5662"/>
      <c r="G58" s="5662"/>
      <c r="H58" s="5662"/>
      <c r="I58" s="5662"/>
      <c r="J58" s="5662"/>
      <c r="K58" s="5663"/>
      <c r="L58" s="38"/>
      <c r="M58" s="4599"/>
      <c r="N58" s="4600"/>
      <c r="O58" s="4601"/>
      <c r="P58" s="33"/>
      <c r="Q58" s="64"/>
    </row>
    <row r="59" spans="1:17" x14ac:dyDescent="0.35">
      <c r="A59" s="64"/>
      <c r="B59" s="64"/>
      <c r="C59" s="64"/>
      <c r="D59" s="64"/>
      <c r="E59" s="64"/>
      <c r="F59" s="64"/>
      <c r="G59" s="64"/>
      <c r="H59" s="64"/>
      <c r="I59" s="64"/>
      <c r="J59" s="64"/>
      <c r="K59" s="64"/>
      <c r="L59" s="64"/>
      <c r="M59" s="64"/>
      <c r="N59" s="64"/>
      <c r="O59" s="64"/>
      <c r="P59" s="64"/>
      <c r="Q59" s="64"/>
    </row>
    <row r="60" spans="1:17" x14ac:dyDescent="0.35">
      <c r="A60" s="64"/>
      <c r="B60" s="64"/>
      <c r="C60" s="64"/>
      <c r="D60" s="64"/>
      <c r="E60" s="64"/>
      <c r="F60" s="64"/>
      <c r="G60" s="64"/>
      <c r="H60" s="64"/>
      <c r="I60" s="64"/>
      <c r="J60" s="64"/>
      <c r="K60" s="64"/>
      <c r="L60" s="64"/>
      <c r="M60" s="64"/>
      <c r="N60" s="64"/>
      <c r="O60" s="64"/>
      <c r="P60" s="64"/>
      <c r="Q60" s="64"/>
    </row>
    <row r="61" spans="1:17" x14ac:dyDescent="0.35">
      <c r="A61" s="64"/>
      <c r="B61" s="64"/>
      <c r="C61" s="64"/>
      <c r="D61" s="64"/>
      <c r="E61" s="64"/>
      <c r="F61" s="64"/>
      <c r="G61" s="64"/>
      <c r="H61" s="64"/>
      <c r="I61" s="64"/>
      <c r="J61" s="64"/>
      <c r="K61" s="64"/>
      <c r="L61" s="64"/>
      <c r="M61" s="64"/>
      <c r="N61" s="64"/>
      <c r="O61" s="64"/>
      <c r="P61" s="64"/>
      <c r="Q61" s="64"/>
    </row>
    <row r="62" spans="1:17" x14ac:dyDescent="0.35">
      <c r="A62" s="64"/>
      <c r="B62" s="64"/>
      <c r="C62" s="64"/>
      <c r="D62" s="64"/>
      <c r="E62" s="64"/>
      <c r="F62" s="64"/>
      <c r="G62" s="64"/>
      <c r="H62" s="64"/>
      <c r="I62" s="64"/>
      <c r="J62" s="64"/>
      <c r="K62" s="64"/>
      <c r="L62" s="64"/>
      <c r="M62" s="64"/>
      <c r="N62" s="64"/>
      <c r="O62" s="64"/>
      <c r="P62" s="64"/>
      <c r="Q62" s="64"/>
    </row>
    <row r="63" spans="1:17" x14ac:dyDescent="0.35">
      <c r="A63" s="64"/>
      <c r="B63" s="64"/>
      <c r="C63" s="64"/>
      <c r="D63" s="64"/>
      <c r="E63" s="64"/>
      <c r="F63" s="64"/>
      <c r="G63" s="64"/>
      <c r="H63" s="64"/>
      <c r="I63" s="64"/>
      <c r="J63" s="64"/>
      <c r="K63" s="64"/>
      <c r="L63" s="64"/>
      <c r="M63" s="64"/>
      <c r="N63" s="64"/>
      <c r="O63" s="64"/>
      <c r="P63" s="64"/>
      <c r="Q63" s="64"/>
    </row>
    <row r="64" spans="1:17" x14ac:dyDescent="0.35">
      <c r="A64" s="64"/>
      <c r="B64" s="64"/>
      <c r="C64" s="64"/>
      <c r="D64" s="64"/>
      <c r="E64" s="64"/>
      <c r="F64" s="64"/>
      <c r="G64" s="64"/>
      <c r="H64" s="64"/>
      <c r="I64" s="64"/>
      <c r="J64" s="64"/>
      <c r="K64" s="64"/>
      <c r="L64" s="64"/>
      <c r="M64" s="64"/>
      <c r="N64" s="64"/>
      <c r="O64" s="64"/>
      <c r="P64" s="64"/>
      <c r="Q64" s="64"/>
    </row>
    <row r="65" spans="1:17" x14ac:dyDescent="0.35">
      <c r="A65" s="64"/>
      <c r="B65" s="64"/>
      <c r="C65" s="64"/>
      <c r="D65" s="64"/>
      <c r="E65" s="64"/>
      <c r="F65" s="64"/>
      <c r="G65" s="64"/>
      <c r="H65" s="64"/>
      <c r="I65" s="64"/>
      <c r="J65" s="64"/>
      <c r="K65" s="64"/>
      <c r="L65" s="64"/>
      <c r="M65" s="64"/>
      <c r="N65" s="64"/>
      <c r="O65" s="64"/>
      <c r="P65" s="64"/>
      <c r="Q65" s="64"/>
    </row>
    <row r="66" spans="1:17" x14ac:dyDescent="0.35">
      <c r="A66" s="64"/>
      <c r="B66" s="64"/>
      <c r="C66" s="64"/>
      <c r="D66" s="64"/>
      <c r="E66" s="64"/>
      <c r="F66" s="64"/>
      <c r="G66" s="64"/>
      <c r="H66" s="64"/>
      <c r="I66" s="64"/>
      <c r="J66" s="64"/>
      <c r="K66" s="64"/>
      <c r="L66" s="64"/>
      <c r="M66" s="64"/>
      <c r="N66" s="64"/>
      <c r="O66" s="64"/>
      <c r="P66" s="64"/>
      <c r="Q66" s="64"/>
    </row>
    <row r="67" spans="1:17" x14ac:dyDescent="0.35">
      <c r="A67" s="64"/>
      <c r="B67" s="64"/>
      <c r="C67" s="64"/>
      <c r="D67" s="64"/>
      <c r="E67" s="64"/>
      <c r="F67" s="64"/>
      <c r="G67" s="64"/>
      <c r="H67" s="64"/>
      <c r="I67" s="64"/>
      <c r="J67" s="64"/>
      <c r="K67" s="64"/>
      <c r="L67" s="64"/>
      <c r="M67" s="64"/>
      <c r="N67" s="64"/>
      <c r="O67" s="64"/>
      <c r="P67" s="64"/>
      <c r="Q67" s="64"/>
    </row>
    <row r="68" spans="1:17" x14ac:dyDescent="0.35">
      <c r="A68" s="64"/>
      <c r="B68" s="64"/>
      <c r="C68" s="64"/>
      <c r="D68" s="64"/>
      <c r="E68" s="64"/>
      <c r="F68" s="64"/>
      <c r="G68" s="64"/>
      <c r="H68" s="64"/>
      <c r="I68" s="64"/>
      <c r="J68" s="64"/>
      <c r="K68" s="64"/>
      <c r="L68" s="64"/>
      <c r="M68" s="64"/>
      <c r="N68" s="64"/>
      <c r="O68" s="64"/>
      <c r="P68" s="64"/>
      <c r="Q68" s="64"/>
    </row>
    <row r="69" spans="1:17" x14ac:dyDescent="0.35">
      <c r="A69" s="64"/>
      <c r="B69" s="64"/>
      <c r="C69" s="64"/>
      <c r="D69" s="64"/>
      <c r="E69" s="64"/>
      <c r="F69" s="64"/>
      <c r="G69" s="64"/>
      <c r="H69" s="64"/>
      <c r="I69" s="64"/>
      <c r="J69" s="64"/>
      <c r="K69" s="64"/>
      <c r="L69" s="64"/>
      <c r="M69" s="64"/>
      <c r="N69" s="64"/>
      <c r="O69" s="64"/>
      <c r="P69" s="64"/>
      <c r="Q69" s="64"/>
    </row>
    <row r="70" spans="1:17" x14ac:dyDescent="0.35">
      <c r="A70" s="64"/>
      <c r="B70" s="64"/>
      <c r="C70" s="64"/>
      <c r="D70" s="64"/>
      <c r="E70" s="64"/>
      <c r="F70" s="64"/>
      <c r="G70" s="64"/>
      <c r="H70" s="64"/>
      <c r="I70" s="64"/>
      <c r="J70" s="64"/>
      <c r="K70" s="64"/>
      <c r="L70" s="64"/>
      <c r="M70" s="64"/>
      <c r="N70" s="64"/>
      <c r="O70" s="64"/>
      <c r="P70" s="64"/>
      <c r="Q70" s="64"/>
    </row>
    <row r="71" spans="1:17" x14ac:dyDescent="0.35">
      <c r="A71" s="64"/>
      <c r="B71" s="64"/>
      <c r="C71" s="64"/>
      <c r="D71" s="64"/>
      <c r="E71" s="64"/>
      <c r="F71" s="64"/>
      <c r="G71" s="64"/>
      <c r="H71" s="64"/>
      <c r="I71" s="64"/>
      <c r="J71" s="64"/>
      <c r="K71" s="64"/>
      <c r="L71" s="64"/>
      <c r="M71" s="64"/>
      <c r="N71" s="64"/>
      <c r="O71" s="64"/>
      <c r="P71" s="64"/>
      <c r="Q71" s="64"/>
    </row>
    <row r="72" spans="1:17" x14ac:dyDescent="0.35">
      <c r="A72" s="64"/>
      <c r="B72" s="64"/>
      <c r="C72" s="64"/>
      <c r="D72" s="64"/>
      <c r="E72" s="64"/>
      <c r="F72" s="64"/>
      <c r="G72" s="64"/>
      <c r="H72" s="64"/>
      <c r="I72" s="64"/>
      <c r="J72" s="64"/>
      <c r="K72" s="64"/>
      <c r="L72" s="64"/>
      <c r="M72" s="64"/>
      <c r="N72" s="64"/>
      <c r="O72" s="64"/>
      <c r="P72" s="64"/>
      <c r="Q72" s="64"/>
    </row>
    <row r="73" spans="1:17" x14ac:dyDescent="0.35">
      <c r="A73" s="64"/>
      <c r="B73" s="64"/>
      <c r="C73" s="64"/>
      <c r="D73" s="64"/>
      <c r="E73" s="64"/>
      <c r="F73" s="64"/>
      <c r="G73" s="64"/>
      <c r="H73" s="64"/>
      <c r="I73" s="64"/>
      <c r="J73" s="64"/>
      <c r="K73" s="64"/>
      <c r="L73" s="64"/>
      <c r="M73" s="64"/>
      <c r="N73" s="64"/>
      <c r="O73" s="64"/>
      <c r="P73" s="64"/>
      <c r="Q73" s="64"/>
    </row>
    <row r="74" spans="1:17" x14ac:dyDescent="0.35">
      <c r="A74" s="64"/>
      <c r="B74" s="64"/>
      <c r="C74" s="64"/>
      <c r="D74" s="64"/>
      <c r="E74" s="64"/>
      <c r="F74" s="64"/>
      <c r="G74" s="64"/>
      <c r="H74" s="64"/>
      <c r="I74" s="64"/>
      <c r="J74" s="64"/>
      <c r="K74" s="64"/>
      <c r="L74" s="64"/>
      <c r="M74" s="64"/>
      <c r="N74" s="64"/>
      <c r="O74" s="64"/>
      <c r="P74" s="64"/>
      <c r="Q74" s="64"/>
    </row>
    <row r="75" spans="1:17" x14ac:dyDescent="0.35">
      <c r="A75" s="64"/>
      <c r="B75" s="64"/>
      <c r="C75" s="64"/>
      <c r="D75" s="64"/>
      <c r="E75" s="64"/>
      <c r="F75" s="64"/>
      <c r="G75" s="64"/>
      <c r="H75" s="64"/>
      <c r="I75" s="64"/>
      <c r="J75" s="64"/>
      <c r="K75" s="64"/>
      <c r="L75" s="64"/>
      <c r="M75" s="64"/>
      <c r="N75" s="64"/>
      <c r="O75" s="64"/>
      <c r="P75" s="64"/>
      <c r="Q75" s="64"/>
    </row>
    <row r="76" spans="1:17" x14ac:dyDescent="0.35">
      <c r="A76" s="64"/>
      <c r="B76" s="64"/>
      <c r="C76" s="64"/>
      <c r="D76" s="64"/>
      <c r="E76" s="64"/>
      <c r="F76" s="64"/>
      <c r="G76" s="64"/>
      <c r="H76" s="64"/>
      <c r="I76" s="64"/>
      <c r="J76" s="64"/>
      <c r="K76" s="64"/>
      <c r="L76" s="64"/>
      <c r="M76" s="64"/>
      <c r="N76" s="64"/>
      <c r="O76" s="64"/>
      <c r="P76" s="64"/>
      <c r="Q76" s="64"/>
    </row>
    <row r="77" spans="1:17" x14ac:dyDescent="0.35">
      <c r="A77" s="64"/>
      <c r="B77" s="64"/>
      <c r="C77" s="64"/>
      <c r="D77" s="64"/>
      <c r="E77" s="64"/>
      <c r="F77" s="64"/>
      <c r="G77" s="64"/>
      <c r="H77" s="64"/>
      <c r="I77" s="64"/>
      <c r="J77" s="64"/>
      <c r="K77" s="64"/>
      <c r="L77" s="64"/>
      <c r="M77" s="64"/>
      <c r="N77" s="64"/>
      <c r="O77" s="64"/>
      <c r="P77" s="64"/>
      <c r="Q77" s="64"/>
    </row>
    <row r="78" spans="1:17" x14ac:dyDescent="0.35">
      <c r="A78" s="64"/>
      <c r="B78" s="64"/>
      <c r="C78" s="64"/>
      <c r="D78" s="64"/>
      <c r="E78" s="64"/>
      <c r="F78" s="64"/>
      <c r="G78" s="64"/>
      <c r="H78" s="64"/>
      <c r="I78" s="64"/>
      <c r="J78" s="64"/>
      <c r="K78" s="64"/>
      <c r="L78" s="64"/>
      <c r="M78" s="64"/>
      <c r="N78" s="64"/>
      <c r="O78" s="64"/>
      <c r="P78" s="64"/>
      <c r="Q78" s="64"/>
    </row>
    <row r="79" spans="1:17" x14ac:dyDescent="0.35">
      <c r="A79" s="64"/>
      <c r="B79" s="64"/>
      <c r="C79" s="64"/>
      <c r="D79" s="64"/>
      <c r="E79" s="64"/>
      <c r="F79" s="64"/>
      <c r="G79" s="64"/>
      <c r="H79" s="64"/>
      <c r="I79" s="64"/>
      <c r="J79" s="64"/>
      <c r="K79" s="64"/>
      <c r="L79" s="64"/>
      <c r="M79" s="64"/>
      <c r="N79" s="64"/>
      <c r="O79" s="64"/>
      <c r="P79" s="64"/>
      <c r="Q79" s="64"/>
    </row>
    <row r="80" spans="1:17" x14ac:dyDescent="0.35">
      <c r="A80" s="64"/>
      <c r="B80" s="64"/>
      <c r="C80" s="64"/>
      <c r="D80" s="64"/>
      <c r="E80" s="64"/>
      <c r="F80" s="64"/>
      <c r="G80" s="64"/>
      <c r="H80" s="64"/>
      <c r="I80" s="64"/>
      <c r="J80" s="64"/>
      <c r="K80" s="64"/>
      <c r="L80" s="64"/>
      <c r="M80" s="64"/>
      <c r="N80" s="64"/>
      <c r="O80" s="64"/>
      <c r="P80" s="64"/>
      <c r="Q80" s="64"/>
    </row>
    <row r="81" spans="1:17" x14ac:dyDescent="0.35">
      <c r="A81" s="64"/>
      <c r="B81" s="64"/>
      <c r="C81" s="64"/>
      <c r="D81" s="64"/>
      <c r="E81" s="64"/>
      <c r="F81" s="64"/>
      <c r="G81" s="64"/>
      <c r="H81" s="64"/>
      <c r="I81" s="64"/>
      <c r="J81" s="64"/>
      <c r="K81" s="64"/>
      <c r="L81" s="64"/>
      <c r="M81" s="64"/>
      <c r="N81" s="64"/>
      <c r="O81" s="64"/>
      <c r="P81" s="64"/>
      <c r="Q81" s="64"/>
    </row>
    <row r="82" spans="1:17" x14ac:dyDescent="0.35">
      <c r="A82" s="64"/>
      <c r="B82" s="64"/>
      <c r="C82" s="64"/>
      <c r="D82" s="64"/>
      <c r="E82" s="64"/>
      <c r="F82" s="64"/>
      <c r="G82" s="64"/>
      <c r="H82" s="64"/>
      <c r="I82" s="64"/>
      <c r="J82" s="64"/>
      <c r="K82" s="64"/>
      <c r="L82" s="64"/>
      <c r="M82" s="64"/>
      <c r="N82" s="64"/>
      <c r="O82" s="64"/>
      <c r="P82" s="64"/>
      <c r="Q82" s="64"/>
    </row>
    <row r="83" spans="1:17" x14ac:dyDescent="0.35">
      <c r="A83" s="64"/>
      <c r="B83" s="64"/>
      <c r="C83" s="64"/>
      <c r="D83" s="64"/>
      <c r="E83" s="64"/>
      <c r="F83" s="64"/>
      <c r="G83" s="64"/>
      <c r="H83" s="64"/>
      <c r="I83" s="64"/>
      <c r="J83" s="64"/>
      <c r="K83" s="64"/>
      <c r="L83" s="64"/>
      <c r="M83" s="64"/>
      <c r="N83" s="64"/>
      <c r="O83" s="64"/>
      <c r="P83" s="64"/>
      <c r="Q83" s="64"/>
    </row>
    <row r="84" spans="1:17" x14ac:dyDescent="0.35">
      <c r="A84" s="64"/>
      <c r="B84" s="64"/>
      <c r="C84" s="64"/>
      <c r="D84" s="64"/>
      <c r="E84" s="64"/>
      <c r="F84" s="64"/>
      <c r="G84" s="64"/>
      <c r="H84" s="64"/>
      <c r="I84" s="64"/>
      <c r="J84" s="64"/>
      <c r="K84" s="64"/>
      <c r="L84" s="64"/>
      <c r="M84" s="64"/>
      <c r="N84" s="64"/>
      <c r="O84" s="64"/>
      <c r="P84" s="64"/>
      <c r="Q84" s="64"/>
    </row>
    <row r="85" spans="1:17" x14ac:dyDescent="0.35">
      <c r="A85" s="64"/>
      <c r="B85" s="64"/>
      <c r="C85" s="64"/>
      <c r="D85" s="64"/>
      <c r="E85" s="64"/>
      <c r="F85" s="64"/>
      <c r="G85" s="64"/>
      <c r="H85" s="64"/>
      <c r="I85" s="64"/>
      <c r="J85" s="64"/>
      <c r="K85" s="64"/>
      <c r="L85" s="64"/>
      <c r="M85" s="64"/>
      <c r="N85" s="64"/>
      <c r="O85" s="64"/>
      <c r="P85" s="64"/>
      <c r="Q85" s="64"/>
    </row>
    <row r="86" spans="1:17" x14ac:dyDescent="0.35">
      <c r="A86" s="64"/>
      <c r="B86" s="64"/>
      <c r="C86" s="64"/>
      <c r="D86" s="64"/>
      <c r="E86" s="64"/>
      <c r="F86" s="64"/>
      <c r="G86" s="64"/>
      <c r="H86" s="64"/>
      <c r="I86" s="64"/>
      <c r="J86" s="64"/>
      <c r="K86" s="64"/>
      <c r="L86" s="64"/>
      <c r="M86" s="64"/>
      <c r="N86" s="64"/>
      <c r="O86" s="64"/>
      <c r="P86" s="64"/>
      <c r="Q86" s="64"/>
    </row>
    <row r="87" spans="1:17" x14ac:dyDescent="0.35">
      <c r="A87" s="64"/>
      <c r="B87" s="64"/>
      <c r="C87" s="64"/>
      <c r="D87" s="64"/>
      <c r="E87" s="64"/>
      <c r="F87" s="64"/>
      <c r="G87" s="64"/>
      <c r="H87" s="64"/>
      <c r="I87" s="64"/>
      <c r="J87" s="64"/>
      <c r="K87" s="64"/>
      <c r="L87" s="64"/>
      <c r="M87" s="64"/>
      <c r="N87" s="64"/>
      <c r="O87" s="64"/>
      <c r="P87" s="64"/>
      <c r="Q87" s="64"/>
    </row>
    <row r="88" spans="1:17" x14ac:dyDescent="0.35">
      <c r="A88" s="64"/>
      <c r="B88" s="64"/>
      <c r="C88" s="64"/>
      <c r="D88" s="64"/>
      <c r="E88" s="64"/>
      <c r="F88" s="64"/>
      <c r="G88" s="64"/>
      <c r="H88" s="64"/>
      <c r="I88" s="64"/>
      <c r="J88" s="64"/>
      <c r="K88" s="64"/>
      <c r="L88" s="64"/>
      <c r="M88" s="64"/>
      <c r="N88" s="64"/>
      <c r="O88" s="64"/>
      <c r="P88" s="64"/>
      <c r="Q88" s="64"/>
    </row>
    <row r="89" spans="1:17" x14ac:dyDescent="0.35">
      <c r="A89" s="64"/>
      <c r="B89" s="64"/>
      <c r="C89" s="64"/>
      <c r="D89" s="64"/>
      <c r="E89" s="64"/>
      <c r="F89" s="64"/>
      <c r="G89" s="64"/>
      <c r="H89" s="64"/>
      <c r="I89" s="64"/>
      <c r="J89" s="64"/>
      <c r="K89" s="64"/>
      <c r="L89" s="64"/>
      <c r="M89" s="64"/>
      <c r="N89" s="64"/>
      <c r="O89" s="64"/>
      <c r="P89" s="64"/>
      <c r="Q89" s="64"/>
    </row>
    <row r="90" spans="1:17" x14ac:dyDescent="0.35">
      <c r="A90" s="64"/>
      <c r="B90" s="64"/>
      <c r="C90" s="64"/>
      <c r="D90" s="64"/>
      <c r="E90" s="64"/>
      <c r="F90" s="64"/>
      <c r="G90" s="64"/>
      <c r="H90" s="64"/>
      <c r="I90" s="64"/>
      <c r="J90" s="64"/>
      <c r="K90" s="64"/>
      <c r="L90" s="64"/>
      <c r="M90" s="64"/>
      <c r="N90" s="64"/>
      <c r="O90" s="64"/>
      <c r="P90" s="64"/>
      <c r="Q90" s="64"/>
    </row>
    <row r="91" spans="1:17" x14ac:dyDescent="0.35">
      <c r="A91" s="64"/>
      <c r="B91" s="64"/>
      <c r="C91" s="64"/>
      <c r="D91" s="64"/>
      <c r="E91" s="64"/>
      <c r="F91" s="64"/>
      <c r="G91" s="64"/>
      <c r="H91" s="64"/>
      <c r="I91" s="64"/>
      <c r="J91" s="64"/>
      <c r="K91" s="64"/>
      <c r="L91" s="64"/>
      <c r="M91" s="64"/>
      <c r="N91" s="64"/>
      <c r="O91" s="64"/>
      <c r="P91" s="64"/>
      <c r="Q91" s="64"/>
    </row>
    <row r="92" spans="1:17" x14ac:dyDescent="0.35">
      <c r="A92" s="64"/>
      <c r="B92" s="64"/>
      <c r="C92" s="64"/>
      <c r="D92" s="64"/>
      <c r="E92" s="64"/>
      <c r="F92" s="64"/>
      <c r="G92" s="64"/>
      <c r="H92" s="64"/>
      <c r="I92" s="64"/>
      <c r="J92" s="64"/>
      <c r="K92" s="64"/>
      <c r="L92" s="64"/>
      <c r="M92" s="64"/>
      <c r="N92" s="64"/>
      <c r="O92" s="64"/>
      <c r="P92" s="64"/>
      <c r="Q92" s="64"/>
    </row>
    <row r="93" spans="1:17" x14ac:dyDescent="0.35">
      <c r="A93" s="64"/>
      <c r="B93" s="64"/>
      <c r="C93" s="64"/>
      <c r="D93" s="64"/>
      <c r="E93" s="64"/>
      <c r="F93" s="64"/>
      <c r="G93" s="64"/>
      <c r="H93" s="64"/>
      <c r="I93" s="64"/>
      <c r="J93" s="64"/>
      <c r="K93" s="64"/>
      <c r="L93" s="64"/>
      <c r="M93" s="64"/>
      <c r="N93" s="64"/>
      <c r="O93" s="64"/>
      <c r="P93" s="64"/>
      <c r="Q93" s="64"/>
    </row>
    <row r="94" spans="1:17" x14ac:dyDescent="0.35">
      <c r="A94" s="64"/>
      <c r="B94" s="64"/>
      <c r="C94" s="64"/>
      <c r="D94" s="64"/>
      <c r="E94" s="64"/>
      <c r="F94" s="64"/>
      <c r="G94" s="64"/>
      <c r="H94" s="64"/>
      <c r="I94" s="64"/>
      <c r="J94" s="64"/>
      <c r="K94" s="64"/>
      <c r="L94" s="64"/>
      <c r="M94" s="64"/>
      <c r="N94" s="64"/>
      <c r="O94" s="64"/>
      <c r="P94" s="64"/>
      <c r="Q94" s="64"/>
    </row>
    <row r="95" spans="1:17" x14ac:dyDescent="0.35">
      <c r="A95" s="64"/>
      <c r="B95" s="64"/>
      <c r="C95" s="64"/>
      <c r="D95" s="64"/>
      <c r="E95" s="64"/>
      <c r="F95" s="64"/>
      <c r="G95" s="64"/>
      <c r="H95" s="64"/>
      <c r="I95" s="64"/>
      <c r="J95" s="64"/>
      <c r="K95" s="64"/>
      <c r="L95" s="64"/>
      <c r="M95" s="64"/>
      <c r="N95" s="64"/>
      <c r="O95" s="64"/>
      <c r="P95" s="64"/>
      <c r="Q95" s="64"/>
    </row>
    <row r="96" spans="1:17" x14ac:dyDescent="0.35">
      <c r="A96" s="64"/>
      <c r="B96" s="64"/>
      <c r="C96" s="64"/>
      <c r="D96" s="64"/>
      <c r="E96" s="64"/>
      <c r="F96" s="64"/>
      <c r="G96" s="64"/>
      <c r="H96" s="64"/>
      <c r="I96" s="64"/>
      <c r="J96" s="64"/>
      <c r="K96" s="64"/>
      <c r="L96" s="64"/>
      <c r="M96" s="64"/>
      <c r="N96" s="64"/>
      <c r="O96" s="64"/>
      <c r="P96" s="64"/>
      <c r="Q96" s="64"/>
    </row>
    <row r="97" spans="1:17" x14ac:dyDescent="0.35">
      <c r="A97" s="64"/>
      <c r="B97" s="64"/>
      <c r="C97" s="64"/>
      <c r="D97" s="64"/>
      <c r="E97" s="64"/>
      <c r="F97" s="64"/>
      <c r="G97" s="64"/>
      <c r="H97" s="64"/>
      <c r="I97" s="64"/>
      <c r="J97" s="64"/>
      <c r="K97" s="64"/>
      <c r="L97" s="64"/>
      <c r="M97" s="64"/>
      <c r="N97" s="64"/>
      <c r="O97" s="64"/>
      <c r="P97" s="64"/>
      <c r="Q97" s="64"/>
    </row>
    <row r="98" spans="1:17" x14ac:dyDescent="0.35">
      <c r="A98" s="64"/>
      <c r="B98" s="64"/>
      <c r="C98" s="64"/>
      <c r="D98" s="64"/>
      <c r="E98" s="64"/>
      <c r="F98" s="64"/>
      <c r="G98" s="64"/>
      <c r="H98" s="64"/>
      <c r="I98" s="64"/>
      <c r="J98" s="64"/>
      <c r="K98" s="64"/>
      <c r="L98" s="64"/>
      <c r="M98" s="64"/>
      <c r="N98" s="64"/>
      <c r="O98" s="64"/>
      <c r="P98" s="64"/>
      <c r="Q98" s="64"/>
    </row>
    <row r="99" spans="1:17" x14ac:dyDescent="0.35">
      <c r="A99" s="64"/>
      <c r="B99" s="64"/>
      <c r="C99" s="64"/>
      <c r="D99" s="64"/>
      <c r="E99" s="64"/>
      <c r="F99" s="64"/>
      <c r="G99" s="64"/>
      <c r="H99" s="64"/>
      <c r="I99" s="64"/>
      <c r="J99" s="64"/>
      <c r="K99" s="64"/>
      <c r="L99" s="64"/>
      <c r="M99" s="64"/>
      <c r="N99" s="64"/>
      <c r="O99" s="64"/>
      <c r="P99" s="64"/>
      <c r="Q99" s="64"/>
    </row>
    <row r="100" spans="1:17" x14ac:dyDescent="0.35">
      <c r="A100" s="64"/>
      <c r="B100" s="64"/>
      <c r="C100" s="64"/>
      <c r="D100" s="64"/>
      <c r="E100" s="64"/>
      <c r="F100" s="64"/>
      <c r="G100" s="64"/>
      <c r="H100" s="64"/>
      <c r="I100" s="64"/>
      <c r="J100" s="64"/>
      <c r="K100" s="64"/>
      <c r="L100" s="64"/>
      <c r="M100" s="64"/>
      <c r="N100" s="64"/>
      <c r="O100" s="64"/>
      <c r="P100" s="64"/>
      <c r="Q100" s="64"/>
    </row>
    <row r="114" spans="2:2" ht="18.5" x14ac:dyDescent="0.45">
      <c r="B114" s="329"/>
    </row>
    <row r="115" spans="2:2" ht="18.5" x14ac:dyDescent="0.45">
      <c r="B115" s="329"/>
    </row>
    <row r="116" spans="2:2" ht="18.5" x14ac:dyDescent="0.45">
      <c r="B116" s="329"/>
    </row>
    <row r="117" spans="2:2" ht="18.5" x14ac:dyDescent="0.45">
      <c r="B117" s="329"/>
    </row>
    <row r="118" spans="2:2" ht="18.5" x14ac:dyDescent="0.45">
      <c r="B118" s="329"/>
    </row>
    <row r="119" spans="2:2" ht="18.5" x14ac:dyDescent="0.45">
      <c r="B119" s="329"/>
    </row>
    <row r="120" spans="2:2" ht="18.5" x14ac:dyDescent="0.45">
      <c r="B120" s="329"/>
    </row>
    <row r="121" spans="2:2" ht="18.5" x14ac:dyDescent="0.45">
      <c r="B121" s="329"/>
    </row>
    <row r="122" spans="2:2" ht="18.5" x14ac:dyDescent="0.45">
      <c r="B122" s="329"/>
    </row>
    <row r="123" spans="2:2" ht="18.5" x14ac:dyDescent="0.45">
      <c r="B123" s="329"/>
    </row>
  </sheetData>
  <mergeCells count="181">
    <mergeCell ref="A8:P8"/>
    <mergeCell ref="J10:K10"/>
    <mergeCell ref="L10:P10"/>
    <mergeCell ref="H18:I18"/>
    <mergeCell ref="J18:K18"/>
    <mergeCell ref="L18:P18"/>
    <mergeCell ref="A28:E28"/>
    <mergeCell ref="A26:E26"/>
    <mergeCell ref="A27:E27"/>
    <mergeCell ref="A24:E24"/>
    <mergeCell ref="A10:E10"/>
    <mergeCell ref="A11:E11"/>
    <mergeCell ref="A12:E12"/>
    <mergeCell ref="A13:E13"/>
    <mergeCell ref="A14:E14"/>
    <mergeCell ref="A15:E15"/>
    <mergeCell ref="A16:E16"/>
    <mergeCell ref="A17:E17"/>
    <mergeCell ref="A20:E20"/>
    <mergeCell ref="A19:P19"/>
    <mergeCell ref="F18:G18"/>
    <mergeCell ref="F16:G16"/>
    <mergeCell ref="H16:I16"/>
    <mergeCell ref="H13:I13"/>
    <mergeCell ref="D1:G1"/>
    <mergeCell ref="I1:J1"/>
    <mergeCell ref="L1:M1"/>
    <mergeCell ref="D2:G2"/>
    <mergeCell ref="I2:J2"/>
    <mergeCell ref="L2:M2"/>
    <mergeCell ref="F6:G6"/>
    <mergeCell ref="H6:I6"/>
    <mergeCell ref="J6:K6"/>
    <mergeCell ref="L6:P7"/>
    <mergeCell ref="A6:E7"/>
    <mergeCell ref="A5:B5"/>
    <mergeCell ref="C5:P5"/>
    <mergeCell ref="H4:P4"/>
    <mergeCell ref="A4:G4"/>
    <mergeCell ref="F7:G7"/>
    <mergeCell ref="H7:I7"/>
    <mergeCell ref="J7:K7"/>
    <mergeCell ref="D3:G3"/>
    <mergeCell ref="L14:P14"/>
    <mergeCell ref="A31:E31"/>
    <mergeCell ref="A32:E32"/>
    <mergeCell ref="L13:P13"/>
    <mergeCell ref="F14:G14"/>
    <mergeCell ref="H14:I14"/>
    <mergeCell ref="J14:K14"/>
    <mergeCell ref="F27:G27"/>
    <mergeCell ref="H27:I27"/>
    <mergeCell ref="J27:K27"/>
    <mergeCell ref="L27:P27"/>
    <mergeCell ref="F26:G26"/>
    <mergeCell ref="H26:I26"/>
    <mergeCell ref="J26:K26"/>
    <mergeCell ref="L26:P26"/>
    <mergeCell ref="F23:G23"/>
    <mergeCell ref="H23:I23"/>
    <mergeCell ref="J23:K23"/>
    <mergeCell ref="L23:P23"/>
    <mergeCell ref="F30:G30"/>
    <mergeCell ref="H30:I30"/>
    <mergeCell ref="L31:P31"/>
    <mergeCell ref="L28:P28"/>
    <mergeCell ref="F15:G15"/>
    <mergeCell ref="H15:I15"/>
    <mergeCell ref="J15:K15"/>
    <mergeCell ref="L15:P15"/>
    <mergeCell ref="A25:E25"/>
    <mergeCell ref="A23:E23"/>
    <mergeCell ref="J24:K24"/>
    <mergeCell ref="L24:P24"/>
    <mergeCell ref="F25:G25"/>
    <mergeCell ref="H25:I25"/>
    <mergeCell ref="J25:K25"/>
    <mergeCell ref="L25:P25"/>
    <mergeCell ref="F20:G20"/>
    <mergeCell ref="H20:I20"/>
    <mergeCell ref="J20:K20"/>
    <mergeCell ref="L20:P20"/>
    <mergeCell ref="F24:G24"/>
    <mergeCell ref="H24:I24"/>
    <mergeCell ref="L16:P16"/>
    <mergeCell ref="L17:P17"/>
    <mergeCell ref="A22:E22"/>
    <mergeCell ref="F22:G22"/>
    <mergeCell ref="H22:I22"/>
    <mergeCell ref="J22:K22"/>
    <mergeCell ref="L22:P22"/>
    <mergeCell ref="F11:G11"/>
    <mergeCell ref="H11:I11"/>
    <mergeCell ref="J11:K11"/>
    <mergeCell ref="L11:P11"/>
    <mergeCell ref="F12:G12"/>
    <mergeCell ref="H12:I12"/>
    <mergeCell ref="J12:K12"/>
    <mergeCell ref="L12:P12"/>
    <mergeCell ref="F13:G13"/>
    <mergeCell ref="J13:K13"/>
    <mergeCell ref="A40:E40"/>
    <mergeCell ref="A29:E29"/>
    <mergeCell ref="A30:E30"/>
    <mergeCell ref="J16:K16"/>
    <mergeCell ref="F17:G17"/>
    <mergeCell ref="H17:I17"/>
    <mergeCell ref="J17:K17"/>
    <mergeCell ref="J30:K30"/>
    <mergeCell ref="F31:G31"/>
    <mergeCell ref="H31:I31"/>
    <mergeCell ref="J31:K31"/>
    <mergeCell ref="F28:G28"/>
    <mergeCell ref="H28:I28"/>
    <mergeCell ref="J28:K28"/>
    <mergeCell ref="F29:G29"/>
    <mergeCell ref="H29:I29"/>
    <mergeCell ref="J29:K29"/>
    <mergeCell ref="A33:E33"/>
    <mergeCell ref="A34:E34"/>
    <mergeCell ref="L29:P29"/>
    <mergeCell ref="L36:P36"/>
    <mergeCell ref="F40:G40"/>
    <mergeCell ref="H40:I40"/>
    <mergeCell ref="J40:K40"/>
    <mergeCell ref="L40:P40"/>
    <mergeCell ref="F32:G32"/>
    <mergeCell ref="H32:I32"/>
    <mergeCell ref="J32:K32"/>
    <mergeCell ref="L32:P32"/>
    <mergeCell ref="F33:G33"/>
    <mergeCell ref="H33:I33"/>
    <mergeCell ref="J33:K33"/>
    <mergeCell ref="L33:P33"/>
    <mergeCell ref="F39:G39"/>
    <mergeCell ref="H39:I39"/>
    <mergeCell ref="J39:K39"/>
    <mergeCell ref="L39:P39"/>
    <mergeCell ref="A35:P35"/>
    <mergeCell ref="L30:P30"/>
    <mergeCell ref="A36:E36"/>
    <mergeCell ref="A37:E37"/>
    <mergeCell ref="A38:E38"/>
    <mergeCell ref="A39:E39"/>
    <mergeCell ref="F10:G10"/>
    <mergeCell ref="H10:I10"/>
    <mergeCell ref="A9:P9"/>
    <mergeCell ref="M48:O48"/>
    <mergeCell ref="F37:G37"/>
    <mergeCell ref="H37:I37"/>
    <mergeCell ref="J37:K37"/>
    <mergeCell ref="L37:P37"/>
    <mergeCell ref="F38:G38"/>
    <mergeCell ref="H38:I38"/>
    <mergeCell ref="J38:K38"/>
    <mergeCell ref="L38:P38"/>
    <mergeCell ref="A21:E21"/>
    <mergeCell ref="F21:G21"/>
    <mergeCell ref="H21:I21"/>
    <mergeCell ref="J21:K21"/>
    <mergeCell ref="L21:P21"/>
    <mergeCell ref="F34:G34"/>
    <mergeCell ref="H34:I34"/>
    <mergeCell ref="J34:K34"/>
    <mergeCell ref="L34:P34"/>
    <mergeCell ref="F36:G36"/>
    <mergeCell ref="H36:I36"/>
    <mergeCell ref="J36:K36"/>
    <mergeCell ref="M49:O52"/>
    <mergeCell ref="M54:O54"/>
    <mergeCell ref="M55:O58"/>
    <mergeCell ref="F41:G41"/>
    <mergeCell ref="H41:I41"/>
    <mergeCell ref="J41:K41"/>
    <mergeCell ref="F42:G42"/>
    <mergeCell ref="H42:I42"/>
    <mergeCell ref="J42:K42"/>
    <mergeCell ref="A55:K58"/>
    <mergeCell ref="A49:K52"/>
    <mergeCell ref="A48:K48"/>
    <mergeCell ref="A54:K54"/>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6500-000000000000}">
      <formula1>AvancementTheme</formula1>
    </dataValidation>
  </dataValidations>
  <hyperlinks>
    <hyperlink ref="O1" location="DPDV_08VA1" display="PdV" xr:uid="{00000000-0004-0000-6500-000000000000}"/>
    <hyperlink ref="P1" location="DKPI_08VA1" display="KPI's" xr:uid="{00000000-0004-0000-65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49">
    <tabColor rgb="FFFFFF00"/>
    <pageSetUpPr fitToPage="1"/>
  </sheetPr>
  <dimension ref="A1:T46"/>
  <sheetViews>
    <sheetView showGridLines="0" zoomScale="90" zoomScaleNormal="90" workbookViewId="0">
      <pane ySplit="11" topLeftCell="A12" activePane="bottomLeft" state="frozen"/>
      <selection activeCell="C5" sqref="C5:P5"/>
      <selection pane="bottomLeft" activeCell="G13" sqref="G13"/>
    </sheetView>
  </sheetViews>
  <sheetFormatPr baseColWidth="10" defaultColWidth="11.453125" defaultRowHeight="14.5" x14ac:dyDescent="0.35"/>
  <cols>
    <col min="1" max="2" width="11.453125" style="60"/>
    <col min="3" max="3" width="11.81640625" style="60" customWidth="1"/>
    <col min="4" max="9" width="12.81640625" style="60" customWidth="1"/>
    <col min="10" max="10" width="14" style="60" customWidth="1"/>
    <col min="11" max="11" width="14.26953125" style="60" customWidth="1"/>
    <col min="12" max="13" width="12.81640625" style="60" customWidth="1"/>
    <col min="14" max="14" width="13.26953125" style="60" customWidth="1"/>
    <col min="15" max="17" width="12.81640625" style="60" customWidth="1"/>
    <col min="18" max="16384" width="11.453125" style="60"/>
  </cols>
  <sheetData>
    <row r="1" spans="1:20" s="54" customFormat="1" ht="15" customHeight="1" x14ac:dyDescent="0.35">
      <c r="A1" s="389"/>
      <c r="B1" s="389"/>
      <c r="C1" s="3341"/>
      <c r="D1" s="3341"/>
      <c r="E1" s="3341"/>
      <c r="F1" s="391"/>
      <c r="G1" s="3341" t="s">
        <v>6</v>
      </c>
      <c r="H1" s="3341"/>
      <c r="I1" s="389"/>
      <c r="J1" s="3341" t="s">
        <v>9</v>
      </c>
      <c r="K1" s="3341"/>
      <c r="L1" s="389"/>
      <c r="M1" s="389"/>
      <c r="N1" s="479"/>
      <c r="O1" s="479"/>
      <c r="P1" s="458"/>
      <c r="Q1" s="458"/>
      <c r="R1" s="458"/>
    </row>
    <row r="2" spans="1:20" s="58" customFormat="1" ht="18" customHeight="1" x14ac:dyDescent="0.35">
      <c r="A2" s="393"/>
      <c r="B2" s="393"/>
      <c r="C2" s="3343"/>
      <c r="D2" s="3343"/>
      <c r="E2" s="3344"/>
      <c r="F2" s="393"/>
      <c r="G2" s="3345" t="s">
        <v>407</v>
      </c>
      <c r="H2" s="3346"/>
      <c r="I2" s="393"/>
      <c r="J2" s="3347">
        <v>42534.898726851854</v>
      </c>
      <c r="K2" s="3348"/>
      <c r="L2" s="699"/>
      <c r="M2" s="394"/>
      <c r="N2" s="451"/>
      <c r="O2" s="451"/>
      <c r="P2" s="459"/>
      <c r="Q2" s="459"/>
      <c r="R2" s="459"/>
    </row>
    <row r="3" spans="1:20" ht="9.75" customHeight="1" thickBot="1" x14ac:dyDescent="0.4">
      <c r="A3" s="396"/>
      <c r="B3" s="396"/>
      <c r="C3" s="3696"/>
      <c r="D3" s="3696"/>
      <c r="E3" s="3696"/>
      <c r="F3" s="1960"/>
      <c r="G3" s="1960"/>
      <c r="H3" s="1960"/>
      <c r="I3" s="396"/>
      <c r="J3" s="396"/>
      <c r="K3" s="396"/>
      <c r="L3" s="396"/>
      <c r="M3" s="396"/>
      <c r="N3" s="396"/>
      <c r="O3" s="831"/>
      <c r="P3" s="64"/>
      <c r="Q3" s="64"/>
      <c r="R3" s="64"/>
      <c r="S3" s="64"/>
      <c r="T3" s="64"/>
    </row>
    <row r="4" spans="1:20" s="1" customFormat="1" ht="24.75" customHeight="1" thickBot="1" x14ac:dyDescent="0.4">
      <c r="A4" s="3769"/>
      <c r="B4" s="3769"/>
      <c r="C4" s="3769"/>
      <c r="D4" s="3769"/>
      <c r="E4" s="3769"/>
      <c r="F4" s="3767" t="s">
        <v>2850</v>
      </c>
      <c r="G4" s="3767"/>
      <c r="H4" s="3767"/>
      <c r="I4" s="3767"/>
      <c r="J4" s="3767"/>
      <c r="K4" s="3767"/>
      <c r="L4" s="3767"/>
      <c r="M4" s="3767"/>
      <c r="N4" s="3767"/>
      <c r="O4" s="3768"/>
      <c r="P4" s="444"/>
      <c r="Q4" s="444"/>
      <c r="R4" s="444"/>
    </row>
    <row r="5" spans="1:20" ht="7.5" customHeight="1" x14ac:dyDescent="0.35">
      <c r="A5" s="3773"/>
      <c r="B5" s="3773"/>
      <c r="C5" s="3773"/>
      <c r="D5" s="3773"/>
      <c r="E5" s="3773"/>
      <c r="F5" s="3773"/>
      <c r="G5" s="3773"/>
      <c r="H5" s="3773"/>
      <c r="I5" s="3773"/>
      <c r="J5" s="3773"/>
      <c r="K5" s="3773"/>
      <c r="L5" s="3773"/>
      <c r="M5" s="3773"/>
      <c r="N5" s="3773"/>
      <c r="O5" s="3773"/>
      <c r="P5" s="64"/>
      <c r="Q5" s="64"/>
      <c r="R5" s="64"/>
    </row>
    <row r="6" spans="1:20" s="25" customFormat="1" ht="25.5" customHeight="1" x14ac:dyDescent="0.35">
      <c r="A6" s="3438" t="s">
        <v>14</v>
      </c>
      <c r="B6" s="3438"/>
      <c r="C6" s="3439"/>
      <c r="D6" s="3439"/>
      <c r="E6" s="3439"/>
      <c r="F6" s="3439"/>
      <c r="G6" s="3439"/>
      <c r="H6" s="3439"/>
      <c r="I6" s="3439"/>
      <c r="J6" s="3439"/>
      <c r="K6" s="3439"/>
      <c r="L6" s="3439"/>
      <c r="M6" s="3439"/>
      <c r="N6" s="3439"/>
      <c r="O6" s="3439"/>
      <c r="P6" s="767"/>
      <c r="Q6" s="767"/>
      <c r="R6" s="767"/>
    </row>
    <row r="7" spans="1:20" ht="4.5" customHeight="1" thickBot="1" x14ac:dyDescent="0.4">
      <c r="A7" s="3697" t="s">
        <v>20</v>
      </c>
      <c r="B7" s="3697"/>
      <c r="C7" s="3508"/>
      <c r="D7" s="3508"/>
      <c r="E7" s="3508"/>
      <c r="F7" s="3508"/>
      <c r="G7" s="3508"/>
      <c r="H7" s="3508"/>
      <c r="I7" s="3508"/>
      <c r="J7" s="3508"/>
      <c r="K7" s="3508"/>
      <c r="L7" s="3508"/>
      <c r="M7" s="3508"/>
      <c r="N7" s="3508"/>
      <c r="O7" s="3508"/>
      <c r="P7" s="64"/>
      <c r="Q7" s="64"/>
      <c r="R7" s="64"/>
    </row>
    <row r="8" spans="1:20" ht="14.25" hidden="1" customHeight="1" thickBot="1" x14ac:dyDescent="0.4">
      <c r="A8" s="3697"/>
      <c r="B8" s="3697"/>
      <c r="C8" s="3508"/>
      <c r="D8" s="3508"/>
      <c r="E8" s="3508"/>
      <c r="F8" s="3508"/>
      <c r="G8" s="3508"/>
      <c r="H8" s="3508"/>
      <c r="I8" s="3508"/>
      <c r="J8" s="3508"/>
      <c r="K8" s="3508"/>
      <c r="L8" s="3508"/>
      <c r="M8" s="3508"/>
      <c r="N8" s="3508"/>
      <c r="O8" s="3508"/>
      <c r="P8" s="64"/>
      <c r="Q8" s="64"/>
      <c r="R8" s="64"/>
    </row>
    <row r="9" spans="1:20" ht="9.75" hidden="1" customHeight="1" thickBot="1" x14ac:dyDescent="0.4">
      <c r="A9" s="764"/>
      <c r="B9" s="764"/>
      <c r="C9" s="480"/>
      <c r="D9" s="480"/>
      <c r="E9" s="480"/>
      <c r="F9" s="480"/>
      <c r="G9" s="480"/>
      <c r="H9" s="480"/>
      <c r="I9" s="480"/>
      <c r="J9" s="480"/>
      <c r="K9" s="480"/>
      <c r="L9" s="480"/>
      <c r="M9" s="64"/>
      <c r="N9" s="64"/>
      <c r="O9" s="480"/>
      <c r="P9" s="64"/>
      <c r="Q9" s="64"/>
      <c r="R9" s="64"/>
    </row>
    <row r="10" spans="1:20" s="125" customFormat="1" ht="55.5" customHeight="1" thickTop="1" x14ac:dyDescent="0.35">
      <c r="A10" s="3779" t="s">
        <v>2671</v>
      </c>
      <c r="B10" s="3774"/>
      <c r="C10" s="3778" t="s">
        <v>476</v>
      </c>
      <c r="D10" s="3778"/>
      <c r="E10" s="3774" t="s">
        <v>475</v>
      </c>
      <c r="F10" s="3774"/>
      <c r="G10" s="3774"/>
      <c r="H10" s="3774"/>
      <c r="I10" s="3774" t="s">
        <v>474</v>
      </c>
      <c r="J10" s="3774"/>
      <c r="K10" s="3774"/>
      <c r="L10" s="3774"/>
      <c r="M10" s="3774"/>
      <c r="N10" s="3774"/>
      <c r="O10" s="3774"/>
      <c r="P10" s="3775"/>
      <c r="Q10" s="863"/>
    </row>
    <row r="11" spans="1:20" s="118" customFormat="1" ht="76.5" customHeight="1" thickBot="1" x14ac:dyDescent="0.4">
      <c r="A11" s="3780"/>
      <c r="B11" s="3781"/>
      <c r="C11" s="873" t="s">
        <v>473</v>
      </c>
      <c r="D11" s="874" t="s">
        <v>472</v>
      </c>
      <c r="E11" s="875" t="s">
        <v>471</v>
      </c>
      <c r="F11" s="962" t="s">
        <v>470</v>
      </c>
      <c r="G11" s="962" t="s">
        <v>469</v>
      </c>
      <c r="H11" s="874" t="s">
        <v>314</v>
      </c>
      <c r="I11" s="877" t="s">
        <v>468</v>
      </c>
      <c r="J11" s="878" t="s">
        <v>467</v>
      </c>
      <c r="K11" s="962" t="s">
        <v>466</v>
      </c>
      <c r="L11" s="878" t="s">
        <v>465</v>
      </c>
      <c r="M11" s="962" t="s">
        <v>101</v>
      </c>
      <c r="N11" s="962" t="s">
        <v>321</v>
      </c>
      <c r="O11" s="962" t="s">
        <v>297</v>
      </c>
      <c r="P11" s="879" t="s">
        <v>464</v>
      </c>
      <c r="Q11" s="836"/>
    </row>
    <row r="12" spans="1:20" s="118" customFormat="1" ht="67.5" customHeight="1" x14ac:dyDescent="0.35">
      <c r="A12" s="3723" t="s">
        <v>2324</v>
      </c>
      <c r="B12" s="3724"/>
      <c r="C12" s="143" t="s">
        <v>973</v>
      </c>
      <c r="D12" s="374" t="s">
        <v>973</v>
      </c>
      <c r="E12" s="134" t="s">
        <v>850</v>
      </c>
      <c r="F12" s="120" t="s">
        <v>321</v>
      </c>
      <c r="G12" s="120" t="s">
        <v>1682</v>
      </c>
      <c r="H12" s="135" t="s">
        <v>321</v>
      </c>
      <c r="I12" s="375" t="s">
        <v>321</v>
      </c>
      <c r="J12" s="370" t="s">
        <v>321</v>
      </c>
      <c r="K12" s="2829" t="s">
        <v>321</v>
      </c>
      <c r="L12" s="2829" t="s">
        <v>321</v>
      </c>
      <c r="M12" s="2829" t="s">
        <v>321</v>
      </c>
      <c r="N12" s="1201" t="s">
        <v>2046</v>
      </c>
      <c r="O12" s="370" t="s">
        <v>321</v>
      </c>
      <c r="P12" s="1206"/>
      <c r="Q12" s="836"/>
    </row>
    <row r="13" spans="1:20" s="118" customFormat="1" ht="58.5" customHeight="1" x14ac:dyDescent="0.35">
      <c r="A13" s="3723" t="s">
        <v>1023</v>
      </c>
      <c r="B13" s="3724"/>
      <c r="C13" s="143" t="s">
        <v>973</v>
      </c>
      <c r="D13" s="374" t="s">
        <v>973</v>
      </c>
      <c r="E13" s="134" t="s">
        <v>973</v>
      </c>
      <c r="F13" s="120" t="s">
        <v>973</v>
      </c>
      <c r="G13" s="120" t="s">
        <v>973</v>
      </c>
      <c r="H13" s="135" t="s">
        <v>973</v>
      </c>
      <c r="I13" s="2434" t="s">
        <v>850</v>
      </c>
      <c r="J13" s="2433" t="s">
        <v>850</v>
      </c>
      <c r="K13" s="2433" t="s">
        <v>850</v>
      </c>
      <c r="L13" s="2829" t="s">
        <v>850</v>
      </c>
      <c r="M13" s="2829" t="s">
        <v>850</v>
      </c>
      <c r="N13" s="2433" t="s">
        <v>2045</v>
      </c>
      <c r="O13" s="2433" t="s">
        <v>850</v>
      </c>
      <c r="P13" s="1206" t="s">
        <v>850</v>
      </c>
      <c r="Q13" s="836"/>
    </row>
    <row r="14" spans="1:20" s="124" customFormat="1" ht="19.5" customHeight="1" x14ac:dyDescent="0.35">
      <c r="A14" s="3723"/>
      <c r="B14" s="3724"/>
      <c r="C14" s="143"/>
      <c r="D14" s="374"/>
      <c r="E14" s="134"/>
      <c r="F14" s="120"/>
      <c r="G14" s="120"/>
      <c r="H14" s="135"/>
      <c r="I14" s="375"/>
      <c r="J14" s="370"/>
      <c r="K14" s="370"/>
      <c r="L14" s="370"/>
      <c r="M14" s="370"/>
      <c r="N14" s="370"/>
      <c r="O14" s="370"/>
      <c r="P14" s="371"/>
      <c r="Q14" s="858"/>
    </row>
    <row r="15" spans="1:20" s="116" customFormat="1" ht="35.25" customHeight="1" x14ac:dyDescent="0.3">
      <c r="A15" s="3776" t="s">
        <v>2849</v>
      </c>
      <c r="B15" s="3777"/>
      <c r="C15" s="2571" t="s">
        <v>2228</v>
      </c>
      <c r="D15" s="2554" t="s">
        <v>2229</v>
      </c>
      <c r="E15" s="2572" t="s">
        <v>2230</v>
      </c>
      <c r="F15" s="2573" t="s">
        <v>2231</v>
      </c>
      <c r="G15" s="2573" t="s">
        <v>2232</v>
      </c>
      <c r="H15" s="2574" t="s">
        <v>2233</v>
      </c>
      <c r="I15" s="2575" t="s">
        <v>2234</v>
      </c>
      <c r="J15" s="2575" t="s">
        <v>2235</v>
      </c>
      <c r="K15" s="2575" t="s">
        <v>2236</v>
      </c>
      <c r="L15" s="2575" t="s">
        <v>1663</v>
      </c>
      <c r="M15" s="2575" t="s">
        <v>2237</v>
      </c>
      <c r="N15" s="2575" t="s">
        <v>2238</v>
      </c>
      <c r="O15" s="2575" t="s">
        <v>2239</v>
      </c>
      <c r="P15" s="2576" t="s">
        <v>2240</v>
      </c>
      <c r="Q15" s="651"/>
    </row>
    <row r="16" spans="1:20" s="124" customFormat="1" ht="35.25" customHeight="1" x14ac:dyDescent="0.35">
      <c r="A16" s="3723"/>
      <c r="B16" s="3724"/>
      <c r="C16" s="143"/>
      <c r="D16" s="374"/>
      <c r="E16" s="134"/>
      <c r="F16" s="120"/>
      <c r="G16" s="120"/>
      <c r="H16" s="135"/>
      <c r="I16" s="375"/>
      <c r="J16" s="370"/>
      <c r="K16" s="370"/>
      <c r="L16" s="370"/>
      <c r="M16" s="370"/>
      <c r="N16" s="370"/>
      <c r="O16" s="370"/>
      <c r="P16" s="371"/>
      <c r="Q16" s="858"/>
    </row>
    <row r="17" spans="1:18" s="124" customFormat="1" ht="35.25" hidden="1" customHeight="1" x14ac:dyDescent="0.35">
      <c r="A17" s="3723" t="e">
        <f>TYPOPARTNER!#REF!</f>
        <v>#REF!</v>
      </c>
      <c r="B17" s="3724"/>
      <c r="C17" s="336" t="e">
        <f>IF(LEN(TYPOPARTNER!#REF!)&lt;1,"",TYPOPARTNER!#REF!)</f>
        <v>#REF!</v>
      </c>
      <c r="D17" s="143"/>
      <c r="E17" s="374"/>
      <c r="F17" s="134"/>
      <c r="G17" s="120"/>
      <c r="H17" s="120"/>
      <c r="I17" s="135"/>
      <c r="J17" s="375"/>
      <c r="K17" s="370"/>
      <c r="L17" s="370"/>
      <c r="M17" s="370"/>
      <c r="N17" s="370"/>
      <c r="O17" s="370"/>
      <c r="P17" s="370"/>
      <c r="Q17" s="371"/>
      <c r="R17" s="858"/>
    </row>
    <row r="18" spans="1:18" s="124" customFormat="1" ht="35.25" hidden="1" customHeight="1" x14ac:dyDescent="0.35">
      <c r="A18" s="3723" t="e">
        <f>TYPOPARTNER!#REF!</f>
        <v>#REF!</v>
      </c>
      <c r="B18" s="3724"/>
      <c r="C18" s="336" t="e">
        <f>IF(LEN(TYPOPARTNER!#REF!)&lt;1,"",TYPOPARTNER!#REF!)</f>
        <v>#REF!</v>
      </c>
      <c r="D18" s="143"/>
      <c r="E18" s="374"/>
      <c r="F18" s="134"/>
      <c r="G18" s="120"/>
      <c r="H18" s="120"/>
      <c r="I18" s="135"/>
      <c r="J18" s="375"/>
      <c r="K18" s="370"/>
      <c r="L18" s="370"/>
      <c r="M18" s="370"/>
      <c r="N18" s="370"/>
      <c r="O18" s="370"/>
      <c r="P18" s="370"/>
      <c r="Q18" s="371"/>
      <c r="R18" s="858"/>
    </row>
    <row r="19" spans="1:18" s="121" customFormat="1" ht="12" customHeight="1" thickBot="1" x14ac:dyDescent="0.4">
      <c r="A19" s="3770"/>
      <c r="B19" s="3771"/>
      <c r="C19" s="3771"/>
      <c r="D19" s="3771"/>
      <c r="E19" s="3771"/>
      <c r="F19" s="3771"/>
      <c r="G19" s="3771"/>
      <c r="H19" s="3771"/>
      <c r="I19" s="3771"/>
      <c r="J19" s="3771"/>
      <c r="K19" s="3771"/>
      <c r="L19" s="3771"/>
      <c r="M19" s="3771"/>
      <c r="N19" s="3771"/>
      <c r="O19" s="3771"/>
      <c r="P19" s="3771"/>
      <c r="Q19" s="3772"/>
      <c r="R19" s="856"/>
    </row>
    <row r="20" spans="1:18" ht="13.5" customHeight="1" thickTop="1" x14ac:dyDescent="0.35">
      <c r="A20" s="859"/>
      <c r="B20" s="859"/>
      <c r="C20" s="860"/>
      <c r="D20" s="860"/>
      <c r="E20" s="860"/>
      <c r="F20" s="860"/>
      <c r="G20" s="860"/>
      <c r="H20" s="860"/>
      <c r="I20" s="860"/>
      <c r="J20" s="860"/>
      <c r="K20" s="860"/>
      <c r="L20" s="860"/>
      <c r="M20" s="861"/>
      <c r="N20" s="861"/>
      <c r="O20" s="860"/>
      <c r="P20" s="64"/>
      <c r="Q20" s="64"/>
      <c r="R20" s="64"/>
    </row>
    <row r="21" spans="1:18" ht="15" thickBot="1" x14ac:dyDescent="0.4">
      <c r="A21" s="64"/>
      <c r="B21" s="64"/>
      <c r="C21" s="64"/>
      <c r="D21" s="64"/>
      <c r="E21" s="64"/>
      <c r="F21" s="64"/>
      <c r="G21" s="64"/>
      <c r="H21" s="64"/>
      <c r="I21" s="64"/>
      <c r="J21" s="64"/>
      <c r="K21" s="64"/>
      <c r="L21" s="64"/>
      <c r="M21" s="64"/>
      <c r="N21" s="64"/>
      <c r="O21" s="64"/>
      <c r="P21" s="64"/>
      <c r="Q21" s="64"/>
      <c r="R21" s="64"/>
    </row>
    <row r="22" spans="1:18" ht="19.5" thickTop="1" thickBot="1" x14ac:dyDescent="0.4">
      <c r="A22" s="3728" t="s">
        <v>10</v>
      </c>
      <c r="B22" s="3729"/>
      <c r="C22" s="3729"/>
      <c r="D22" s="3729"/>
      <c r="E22" s="3729"/>
      <c r="F22" s="3729"/>
      <c r="G22" s="3729"/>
      <c r="H22" s="3729"/>
      <c r="I22" s="3730"/>
      <c r="J22" s="31"/>
      <c r="K22" s="3725" t="s">
        <v>748</v>
      </c>
      <c r="L22" s="3726"/>
      <c r="M22" s="3727"/>
      <c r="N22" s="31"/>
      <c r="O22" s="31"/>
      <c r="P22" s="64"/>
      <c r="Q22" s="64"/>
      <c r="R22" s="64"/>
    </row>
    <row r="23" spans="1:18" ht="20.25" customHeight="1" x14ac:dyDescent="0.35">
      <c r="A23" s="3736" t="s">
        <v>2124</v>
      </c>
      <c r="B23" s="3737"/>
      <c r="C23" s="3737"/>
      <c r="D23" s="3737"/>
      <c r="E23" s="3737"/>
      <c r="F23" s="3737"/>
      <c r="G23" s="3737"/>
      <c r="H23" s="3737"/>
      <c r="I23" s="3738"/>
      <c r="J23" s="33"/>
      <c r="K23" s="3750" t="s">
        <v>1404</v>
      </c>
      <c r="L23" s="3751"/>
      <c r="M23" s="3752"/>
      <c r="N23" s="33"/>
      <c r="O23" s="33"/>
      <c r="P23" s="64"/>
      <c r="Q23" s="64"/>
      <c r="R23" s="64"/>
    </row>
    <row r="24" spans="1:18" ht="20.25" customHeight="1" x14ac:dyDescent="0.35">
      <c r="A24" s="3736"/>
      <c r="B24" s="3737"/>
      <c r="C24" s="3737"/>
      <c r="D24" s="3737"/>
      <c r="E24" s="3737"/>
      <c r="F24" s="3737"/>
      <c r="G24" s="3737"/>
      <c r="H24" s="3737"/>
      <c r="I24" s="3738"/>
      <c r="J24" s="33"/>
      <c r="K24" s="3753"/>
      <c r="L24" s="3754"/>
      <c r="M24" s="3755"/>
      <c r="N24" s="33"/>
      <c r="O24" s="33"/>
      <c r="P24" s="64"/>
      <c r="Q24" s="64"/>
      <c r="R24" s="64"/>
    </row>
    <row r="25" spans="1:18" ht="20.25" customHeight="1" x14ac:dyDescent="0.35">
      <c r="A25" s="3736"/>
      <c r="B25" s="3737"/>
      <c r="C25" s="3737"/>
      <c r="D25" s="3737"/>
      <c r="E25" s="3737"/>
      <c r="F25" s="3737"/>
      <c r="G25" s="3737"/>
      <c r="H25" s="3737"/>
      <c r="I25" s="3738"/>
      <c r="J25" s="33"/>
      <c r="K25" s="3753"/>
      <c r="L25" s="3754"/>
      <c r="M25" s="3755"/>
      <c r="N25" s="33"/>
      <c r="O25" s="33"/>
      <c r="P25" s="64"/>
      <c r="Q25" s="64"/>
      <c r="R25" s="64"/>
    </row>
    <row r="26" spans="1:18" ht="20.25" customHeight="1" thickBot="1" x14ac:dyDescent="0.4">
      <c r="A26" s="3739"/>
      <c r="B26" s="3740"/>
      <c r="C26" s="3740"/>
      <c r="D26" s="3740"/>
      <c r="E26" s="3740"/>
      <c r="F26" s="3740"/>
      <c r="G26" s="3740"/>
      <c r="H26" s="3740"/>
      <c r="I26" s="3741"/>
      <c r="J26" s="33"/>
      <c r="K26" s="3756"/>
      <c r="L26" s="3757"/>
      <c r="M26" s="3758"/>
      <c r="N26" s="33"/>
      <c r="O26" s="33"/>
      <c r="P26" s="64"/>
      <c r="Q26" s="64"/>
      <c r="R26" s="64"/>
    </row>
    <row r="27" spans="1:18" ht="15.5" thickTop="1" thickBot="1" x14ac:dyDescent="0.4">
      <c r="A27" s="64"/>
      <c r="B27" s="64"/>
      <c r="C27" s="64"/>
      <c r="D27" s="64"/>
      <c r="E27" s="64"/>
      <c r="F27" s="64"/>
      <c r="G27" s="64"/>
      <c r="H27" s="64"/>
      <c r="I27" s="64"/>
      <c r="J27" s="64"/>
      <c r="K27" s="31"/>
      <c r="L27" s="31"/>
      <c r="M27" s="31"/>
      <c r="N27" s="64"/>
      <c r="O27" s="64"/>
      <c r="P27" s="64"/>
      <c r="Q27" s="64"/>
      <c r="R27" s="64"/>
    </row>
    <row r="28" spans="1:18" ht="19.5" thickTop="1" thickBot="1" x14ac:dyDescent="0.4">
      <c r="A28" s="3728" t="s">
        <v>11</v>
      </c>
      <c r="B28" s="3742"/>
      <c r="C28" s="3742"/>
      <c r="D28" s="3742"/>
      <c r="E28" s="3742"/>
      <c r="F28" s="3742"/>
      <c r="G28" s="3742"/>
      <c r="H28" s="3742"/>
      <c r="I28" s="3743"/>
      <c r="J28" s="31"/>
      <c r="K28" s="3725" t="s">
        <v>748</v>
      </c>
      <c r="L28" s="3726"/>
      <c r="M28" s="3727"/>
      <c r="N28" s="31"/>
      <c r="O28" s="31"/>
      <c r="P28" s="64"/>
      <c r="Q28" s="64"/>
      <c r="R28" s="64"/>
    </row>
    <row r="29" spans="1:18" ht="20.25" customHeight="1" x14ac:dyDescent="0.35">
      <c r="A29" s="3736" t="s">
        <v>1985</v>
      </c>
      <c r="B29" s="3744"/>
      <c r="C29" s="3744"/>
      <c r="D29" s="3744"/>
      <c r="E29" s="3744"/>
      <c r="F29" s="3744"/>
      <c r="G29" s="3744"/>
      <c r="H29" s="3744"/>
      <c r="I29" s="3745"/>
      <c r="J29" s="33"/>
      <c r="K29" s="3750" t="s">
        <v>1401</v>
      </c>
      <c r="L29" s="3751"/>
      <c r="M29" s="3752"/>
      <c r="N29" s="33"/>
      <c r="O29" s="33"/>
      <c r="P29" s="64"/>
      <c r="Q29" s="64"/>
      <c r="R29" s="64"/>
    </row>
    <row r="30" spans="1:18" ht="20.25" customHeight="1" x14ac:dyDescent="0.35">
      <c r="A30" s="3746"/>
      <c r="B30" s="3744"/>
      <c r="C30" s="3744"/>
      <c r="D30" s="3744"/>
      <c r="E30" s="3744"/>
      <c r="F30" s="3744"/>
      <c r="G30" s="3744"/>
      <c r="H30" s="3744"/>
      <c r="I30" s="3745"/>
      <c r="J30" s="33"/>
      <c r="K30" s="3753"/>
      <c r="L30" s="3754"/>
      <c r="M30" s="3755"/>
      <c r="N30" s="33"/>
      <c r="O30" s="33"/>
      <c r="P30" s="64"/>
      <c r="Q30" s="64"/>
      <c r="R30" s="64"/>
    </row>
    <row r="31" spans="1:18" ht="20.25" customHeight="1" x14ac:dyDescent="0.35">
      <c r="A31" s="3746"/>
      <c r="B31" s="3744"/>
      <c r="C31" s="3744"/>
      <c r="D31" s="3744"/>
      <c r="E31" s="3744"/>
      <c r="F31" s="3744"/>
      <c r="G31" s="3744"/>
      <c r="H31" s="3744"/>
      <c r="I31" s="3745"/>
      <c r="J31" s="33"/>
      <c r="K31" s="3753"/>
      <c r="L31" s="3754"/>
      <c r="M31" s="3755"/>
      <c r="N31" s="33"/>
      <c r="O31" s="33"/>
      <c r="P31" s="64"/>
      <c r="Q31" s="64"/>
      <c r="R31" s="64"/>
    </row>
    <row r="32" spans="1:18" ht="20.25" customHeight="1" thickBot="1" x14ac:dyDescent="0.4">
      <c r="A32" s="3747"/>
      <c r="B32" s="3748"/>
      <c r="C32" s="3748"/>
      <c r="D32" s="3748"/>
      <c r="E32" s="3748"/>
      <c r="F32" s="3748"/>
      <c r="G32" s="3748"/>
      <c r="H32" s="3748"/>
      <c r="I32" s="3749"/>
      <c r="J32" s="33"/>
      <c r="K32" s="3756"/>
      <c r="L32" s="3757"/>
      <c r="M32" s="3758"/>
      <c r="N32" s="33"/>
      <c r="O32" s="33"/>
      <c r="P32" s="64"/>
      <c r="Q32" s="64"/>
      <c r="R32" s="64"/>
    </row>
    <row r="33" spans="1:18" ht="15" thickTop="1" x14ac:dyDescent="0.35">
      <c r="A33" s="64"/>
      <c r="B33" s="64"/>
      <c r="C33" s="64"/>
      <c r="D33" s="64"/>
      <c r="E33" s="64"/>
      <c r="F33" s="64"/>
      <c r="G33" s="64"/>
      <c r="H33" s="64"/>
      <c r="I33" s="64"/>
      <c r="J33" s="64"/>
      <c r="K33" s="64"/>
      <c r="L33" s="64"/>
      <c r="M33" s="64"/>
      <c r="N33" s="64"/>
      <c r="O33" s="64"/>
      <c r="P33" s="64"/>
      <c r="Q33" s="64"/>
      <c r="R33" s="64"/>
    </row>
    <row r="34" spans="1:18" x14ac:dyDescent="0.35">
      <c r="A34" s="64"/>
      <c r="B34" s="64"/>
      <c r="C34" s="64"/>
      <c r="D34" s="64"/>
      <c r="E34" s="64"/>
      <c r="F34" s="64"/>
      <c r="G34" s="64"/>
      <c r="H34" s="64"/>
      <c r="I34" s="64"/>
      <c r="J34" s="64"/>
      <c r="K34" s="64"/>
      <c r="L34" s="64"/>
      <c r="M34" s="64"/>
      <c r="N34" s="64"/>
      <c r="O34" s="64"/>
      <c r="P34" s="64"/>
      <c r="Q34" s="64"/>
      <c r="R34" s="64"/>
    </row>
    <row r="35" spans="1:18" ht="18.5" hidden="1" x14ac:dyDescent="0.45">
      <c r="A35" s="3759" t="s">
        <v>821</v>
      </c>
      <c r="B35" s="3760"/>
      <c r="C35" s="3760"/>
      <c r="D35" s="3760"/>
      <c r="E35" s="3760"/>
      <c r="F35" s="3760"/>
      <c r="G35" s="3760"/>
      <c r="H35" s="3760"/>
      <c r="I35" s="3760"/>
      <c r="J35" s="3760"/>
      <c r="K35" s="3760"/>
      <c r="L35" s="3760"/>
      <c r="M35" s="3760"/>
      <c r="N35" s="64"/>
      <c r="O35" s="64"/>
      <c r="P35" s="64"/>
      <c r="Q35" s="64"/>
      <c r="R35" s="64"/>
    </row>
    <row r="36" spans="1:18" hidden="1" x14ac:dyDescent="0.35">
      <c r="A36" s="3761" t="s">
        <v>816</v>
      </c>
      <c r="B36" s="3731"/>
      <c r="C36" s="3731"/>
      <c r="D36" s="3731" t="s">
        <v>818</v>
      </c>
      <c r="E36" s="3731"/>
      <c r="F36" s="3731" t="s">
        <v>819</v>
      </c>
      <c r="G36" s="3731"/>
      <c r="H36" s="3731" t="s">
        <v>822</v>
      </c>
      <c r="I36" s="3731"/>
      <c r="J36" s="3731" t="s">
        <v>820</v>
      </c>
      <c r="K36" s="3732"/>
      <c r="L36" s="3731" t="s">
        <v>1402</v>
      </c>
      <c r="M36" s="3732"/>
      <c r="N36" s="64"/>
      <c r="O36" s="64"/>
      <c r="P36" s="64"/>
      <c r="Q36" s="64"/>
      <c r="R36" s="64"/>
    </row>
    <row r="37" spans="1:18" hidden="1" x14ac:dyDescent="0.35">
      <c r="A37" s="3761"/>
      <c r="B37" s="3731"/>
      <c r="C37" s="3731"/>
      <c r="D37" s="3731"/>
      <c r="E37" s="3731"/>
      <c r="F37" s="3731"/>
      <c r="G37" s="3731"/>
      <c r="H37" s="3731"/>
      <c r="I37" s="3731"/>
      <c r="J37" s="3731"/>
      <c r="K37" s="3732"/>
      <c r="L37" s="3731"/>
      <c r="M37" s="3732"/>
      <c r="N37" s="64"/>
      <c r="O37" s="64"/>
      <c r="P37" s="64"/>
      <c r="Q37" s="64"/>
      <c r="R37" s="64"/>
    </row>
    <row r="38" spans="1:18" ht="15" hidden="1" customHeight="1" x14ac:dyDescent="0.35">
      <c r="A38" s="866"/>
      <c r="B38" s="867"/>
      <c r="C38" s="2830"/>
      <c r="D38" s="3762"/>
      <c r="E38" s="3762"/>
      <c r="F38" s="3762"/>
      <c r="G38" s="3762"/>
      <c r="H38" s="3735">
        <f t="shared" ref="H38:H44" si="0">SUM(C38:G38)</f>
        <v>0</v>
      </c>
      <c r="I38" s="3735"/>
      <c r="J38" s="3762">
        <v>0</v>
      </c>
      <c r="K38" s="3763"/>
      <c r="L38" s="3733" t="str">
        <f t="shared" ref="L38:L44" si="1">IF(H38=0,"",H38/J38)</f>
        <v/>
      </c>
      <c r="M38" s="3734"/>
      <c r="N38" s="64"/>
      <c r="O38" s="64"/>
      <c r="P38" s="64"/>
      <c r="Q38" s="64"/>
      <c r="R38" s="64"/>
    </row>
    <row r="39" spans="1:18" ht="15" hidden="1" customHeight="1" x14ac:dyDescent="0.35">
      <c r="A39" s="866" t="s">
        <v>1259</v>
      </c>
      <c r="B39" s="867"/>
      <c r="C39" s="2830"/>
      <c r="D39" s="3762">
        <v>10</v>
      </c>
      <c r="E39" s="3762"/>
      <c r="F39" s="3762">
        <v>5</v>
      </c>
      <c r="G39" s="3762"/>
      <c r="H39" s="3735">
        <f t="shared" si="0"/>
        <v>15</v>
      </c>
      <c r="I39" s="3735"/>
      <c r="J39" s="3762">
        <v>3000</v>
      </c>
      <c r="K39" s="3763"/>
      <c r="L39" s="3733">
        <f t="shared" si="1"/>
        <v>5.0000000000000001E-3</v>
      </c>
      <c r="M39" s="3734"/>
      <c r="N39" s="64"/>
      <c r="O39" s="64"/>
      <c r="P39" s="64"/>
      <c r="Q39" s="64"/>
      <c r="R39" s="64"/>
    </row>
    <row r="40" spans="1:18" ht="15" hidden="1" customHeight="1" x14ac:dyDescent="0.35">
      <c r="A40" s="866"/>
      <c r="B40" s="867"/>
      <c r="C40" s="2830"/>
      <c r="D40" s="3762"/>
      <c r="E40" s="3762"/>
      <c r="F40" s="3762"/>
      <c r="G40" s="3762"/>
      <c r="H40" s="3735">
        <f t="shared" si="0"/>
        <v>0</v>
      </c>
      <c r="I40" s="3735"/>
      <c r="J40" s="3762"/>
      <c r="K40" s="3763"/>
      <c r="L40" s="3733" t="str">
        <f t="shared" si="1"/>
        <v/>
      </c>
      <c r="M40" s="3734"/>
      <c r="N40" s="64"/>
      <c r="O40" s="64"/>
      <c r="P40" s="64"/>
      <c r="Q40" s="64"/>
      <c r="R40" s="64"/>
    </row>
    <row r="41" spans="1:18" ht="15" hidden="1" customHeight="1" x14ac:dyDescent="0.35">
      <c r="A41" s="866"/>
      <c r="B41" s="867"/>
      <c r="C41" s="2830"/>
      <c r="D41" s="3762"/>
      <c r="E41" s="3762"/>
      <c r="F41" s="3762"/>
      <c r="G41" s="3762"/>
      <c r="H41" s="3735">
        <f t="shared" si="0"/>
        <v>0</v>
      </c>
      <c r="I41" s="3735"/>
      <c r="J41" s="3762"/>
      <c r="K41" s="3763"/>
      <c r="L41" s="3733" t="str">
        <f t="shared" si="1"/>
        <v/>
      </c>
      <c r="M41" s="3734"/>
      <c r="N41" s="64"/>
      <c r="O41" s="64"/>
      <c r="P41" s="64"/>
      <c r="Q41" s="64"/>
      <c r="R41" s="64"/>
    </row>
    <row r="42" spans="1:18" ht="15" hidden="1" customHeight="1" x14ac:dyDescent="0.35">
      <c r="A42" s="866"/>
      <c r="B42" s="867"/>
      <c r="C42" s="2830"/>
      <c r="D42" s="3762"/>
      <c r="E42" s="3762"/>
      <c r="F42" s="3762"/>
      <c r="G42" s="3762"/>
      <c r="H42" s="3735">
        <f t="shared" si="0"/>
        <v>0</v>
      </c>
      <c r="I42" s="3735"/>
      <c r="J42" s="3762"/>
      <c r="K42" s="3763"/>
      <c r="L42" s="3733" t="str">
        <f t="shared" si="1"/>
        <v/>
      </c>
      <c r="M42" s="3734"/>
      <c r="N42" s="64"/>
      <c r="O42" s="64"/>
      <c r="P42" s="64"/>
      <c r="Q42" s="64"/>
      <c r="R42" s="64"/>
    </row>
    <row r="43" spans="1:18" ht="15" hidden="1" customHeight="1" x14ac:dyDescent="0.35">
      <c r="A43" s="866" t="s">
        <v>1403</v>
      </c>
      <c r="B43" s="867"/>
      <c r="C43" s="2830"/>
      <c r="D43" s="3762">
        <v>200</v>
      </c>
      <c r="E43" s="3762"/>
      <c r="F43" s="3762">
        <v>50</v>
      </c>
      <c r="G43" s="3762"/>
      <c r="H43" s="3735">
        <f t="shared" si="0"/>
        <v>250</v>
      </c>
      <c r="I43" s="3735"/>
      <c r="J43" s="3762">
        <v>1000</v>
      </c>
      <c r="K43" s="3763"/>
      <c r="L43" s="3733">
        <f t="shared" si="1"/>
        <v>0.25</v>
      </c>
      <c r="M43" s="3734"/>
      <c r="N43" s="64"/>
      <c r="O43" s="64"/>
      <c r="P43" s="64"/>
      <c r="Q43" s="64"/>
      <c r="R43" s="64"/>
    </row>
    <row r="44" spans="1:18" ht="15" hidden="1" customHeight="1" x14ac:dyDescent="0.35">
      <c r="A44" s="866"/>
      <c r="B44" s="867"/>
      <c r="C44" s="2830"/>
      <c r="D44" s="3762"/>
      <c r="E44" s="3762"/>
      <c r="F44" s="3762"/>
      <c r="G44" s="3762"/>
      <c r="H44" s="3735">
        <f t="shared" si="0"/>
        <v>0</v>
      </c>
      <c r="I44" s="3735"/>
      <c r="J44" s="3762"/>
      <c r="K44" s="3763"/>
      <c r="L44" s="3733" t="str">
        <f t="shared" si="1"/>
        <v/>
      </c>
      <c r="M44" s="3734"/>
      <c r="N44" s="64"/>
      <c r="O44" s="64"/>
      <c r="P44" s="64"/>
      <c r="Q44" s="64"/>
      <c r="R44" s="64"/>
    </row>
    <row r="45" spans="1:18" ht="15.75" hidden="1" customHeight="1" thickBot="1" x14ac:dyDescent="0.4">
      <c r="A45" s="864"/>
      <c r="B45" s="865"/>
      <c r="C45" s="2831"/>
      <c r="D45" s="3764"/>
      <c r="E45" s="3764"/>
      <c r="F45" s="3764"/>
      <c r="G45" s="3764"/>
      <c r="H45" s="3766"/>
      <c r="I45" s="3766"/>
      <c r="J45" s="3764"/>
      <c r="K45" s="3765"/>
      <c r="L45" s="3764"/>
      <c r="M45" s="3765"/>
      <c r="N45" s="64"/>
      <c r="O45" s="64"/>
      <c r="P45" s="64"/>
      <c r="Q45" s="64"/>
      <c r="R45" s="64"/>
    </row>
    <row r="46" spans="1:18" x14ac:dyDescent="0.35">
      <c r="A46" s="64"/>
      <c r="B46" s="64"/>
      <c r="C46" s="64"/>
      <c r="D46" s="64"/>
      <c r="E46" s="64"/>
      <c r="F46" s="64"/>
      <c r="G46" s="64"/>
      <c r="H46" s="64"/>
      <c r="I46" s="64"/>
      <c r="J46" s="64"/>
      <c r="K46" s="64"/>
      <c r="L46" s="64"/>
      <c r="M46" s="64"/>
      <c r="N46" s="64"/>
      <c r="O46" s="64"/>
      <c r="P46" s="64"/>
      <c r="Q46" s="64"/>
      <c r="R46" s="64"/>
    </row>
  </sheetData>
  <mergeCells count="83">
    <mergeCell ref="A13:B13"/>
    <mergeCell ref="A15:B15"/>
    <mergeCell ref="C10:D10"/>
    <mergeCell ref="E10:H10"/>
    <mergeCell ref="A10:B10"/>
    <mergeCell ref="A11:B11"/>
    <mergeCell ref="A12:B12"/>
    <mergeCell ref="F4:O4"/>
    <mergeCell ref="A4:E4"/>
    <mergeCell ref="A19:Q19"/>
    <mergeCell ref="C1:E1"/>
    <mergeCell ref="G1:H1"/>
    <mergeCell ref="J1:K1"/>
    <mergeCell ref="C2:E2"/>
    <mergeCell ref="G2:H2"/>
    <mergeCell ref="J2:K2"/>
    <mergeCell ref="C3:E3"/>
    <mergeCell ref="A5:O5"/>
    <mergeCell ref="A6:B6"/>
    <mergeCell ref="C6:O6"/>
    <mergeCell ref="A7:B8"/>
    <mergeCell ref="C7:O8"/>
    <mergeCell ref="I10:P10"/>
    <mergeCell ref="H45:I45"/>
    <mergeCell ref="D42:E42"/>
    <mergeCell ref="F42:G42"/>
    <mergeCell ref="H42:I42"/>
    <mergeCell ref="D43:E43"/>
    <mergeCell ref="F43:G43"/>
    <mergeCell ref="H43:I43"/>
    <mergeCell ref="D44:E44"/>
    <mergeCell ref="F44:G44"/>
    <mergeCell ref="H44:I44"/>
    <mergeCell ref="D45:E45"/>
    <mergeCell ref="F45:G45"/>
    <mergeCell ref="L43:M43"/>
    <mergeCell ref="L44:M44"/>
    <mergeCell ref="L45:M45"/>
    <mergeCell ref="L39:M39"/>
    <mergeCell ref="L40:M40"/>
    <mergeCell ref="L41:M41"/>
    <mergeCell ref="L42:M42"/>
    <mergeCell ref="J43:K43"/>
    <mergeCell ref="J44:K44"/>
    <mergeCell ref="J45:K45"/>
    <mergeCell ref="J38:K38"/>
    <mergeCell ref="J39:K39"/>
    <mergeCell ref="J40:K40"/>
    <mergeCell ref="J41:K41"/>
    <mergeCell ref="J42:K42"/>
    <mergeCell ref="H41:I41"/>
    <mergeCell ref="D38:E38"/>
    <mergeCell ref="F38:G38"/>
    <mergeCell ref="D39:E39"/>
    <mergeCell ref="F39:G39"/>
    <mergeCell ref="H39:I39"/>
    <mergeCell ref="D41:E41"/>
    <mergeCell ref="F41:G41"/>
    <mergeCell ref="D40:E40"/>
    <mergeCell ref="F40:G40"/>
    <mergeCell ref="H40:I40"/>
    <mergeCell ref="L36:M37"/>
    <mergeCell ref="L38:M38"/>
    <mergeCell ref="H38:I38"/>
    <mergeCell ref="A23:I26"/>
    <mergeCell ref="A28:I28"/>
    <mergeCell ref="A29:I32"/>
    <mergeCell ref="K23:M26"/>
    <mergeCell ref="K28:M28"/>
    <mergeCell ref="K29:M32"/>
    <mergeCell ref="J36:K37"/>
    <mergeCell ref="A35:M35"/>
    <mergeCell ref="A36:B37"/>
    <mergeCell ref="C36:C37"/>
    <mergeCell ref="D36:E37"/>
    <mergeCell ref="F36:G37"/>
    <mergeCell ref="H36:I37"/>
    <mergeCell ref="A18:B18"/>
    <mergeCell ref="A16:B16"/>
    <mergeCell ref="A17:B17"/>
    <mergeCell ref="A14:B14"/>
    <mergeCell ref="K22:M22"/>
    <mergeCell ref="A22:I22"/>
  </mergeCells>
  <conditionalFormatting sqref="N2">
    <cfRule type="iconSet" priority="2">
      <iconSet iconSet="3Symbols2" showValue="0">
        <cfvo type="percent" val="0"/>
        <cfvo type="num" val="0"/>
        <cfvo type="num" val="10"/>
      </iconSet>
    </cfRule>
  </conditionalFormatting>
  <conditionalFormatting sqref="O2">
    <cfRule type="iconSet" priority="1">
      <iconSet iconSet="3Symbols2" showValue="0">
        <cfvo type="percent" val="0"/>
        <cfvo type="num" val="0"/>
        <cfvo type="num" val="10"/>
      </iconSet>
    </cfRule>
  </conditionalFormatting>
  <dataValidations count="1">
    <dataValidation type="list" allowBlank="1" showInputMessage="1" showErrorMessage="1" sqref="G2" xr:uid="{00000000-0002-0000-0900-000000000000}">
      <formula1>AvancementTheme</formula1>
    </dataValidation>
  </dataValidations>
  <pageMargins left="0.70866141732283472" right="0.70866141732283472" top="0.74803149606299213" bottom="0.74803149606299213" header="0.31496062992125984" footer="0.31496062992125984"/>
  <pageSetup paperSize="9" scale="36" orientation="portrait" r:id="rId1"/>
  <headerFooter>
    <oddHeader>&amp;LPAD Methodology (c) 2013-2014&amp;RStrategic Management Workshop</oddHeader>
    <oddFooter>&amp;L&amp;F&amp;C&amp;A&amp;RSituation au : &amp;D - page : &amp;P/&amp;N</oddFooter>
  </headerFooter>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euil53">
    <tabColor theme="2" tint="-0.499984740745262"/>
    <pageSetUpPr fitToPage="1"/>
  </sheetPr>
  <dimension ref="A1:V193"/>
  <sheetViews>
    <sheetView showGridLines="0" zoomScale="120" zoomScaleNormal="120" workbookViewId="0">
      <pane ySplit="3" topLeftCell="A4" activePane="bottomLeft" state="frozen"/>
      <selection activeCell="C5" sqref="C5:P5"/>
      <selection pane="bottomLeft" activeCell="C5" sqref="C5:P5"/>
    </sheetView>
  </sheetViews>
  <sheetFormatPr baseColWidth="10" defaultColWidth="11.453125" defaultRowHeight="14.5" x14ac:dyDescent="0.35"/>
  <cols>
    <col min="1" max="1" width="8.26953125" style="60" customWidth="1"/>
    <col min="2" max="3" width="11.453125" style="60"/>
    <col min="4" max="16" width="10.7265625" style="60" customWidth="1"/>
    <col min="17" max="16384" width="11.453125" style="60"/>
  </cols>
  <sheetData>
    <row r="1" spans="1:22" s="54" customFormat="1" ht="15" customHeight="1" x14ac:dyDescent="0.35">
      <c r="A1" s="390"/>
      <c r="B1" s="390"/>
      <c r="C1" s="390"/>
      <c r="D1" s="3341" t="s">
        <v>5</v>
      </c>
      <c r="E1" s="3341"/>
      <c r="F1" s="3341"/>
      <c r="G1" s="3341"/>
      <c r="H1" s="391"/>
      <c r="I1" s="3341" t="s">
        <v>6</v>
      </c>
      <c r="J1" s="3341"/>
      <c r="K1" s="390"/>
      <c r="L1" s="3341" t="s">
        <v>9</v>
      </c>
      <c r="M1" s="3341"/>
      <c r="N1" s="390"/>
      <c r="O1" s="479" t="s">
        <v>2</v>
      </c>
      <c r="P1" s="479" t="s">
        <v>3</v>
      </c>
      <c r="Q1" s="458"/>
    </row>
    <row r="2" spans="1:22" s="58" customFormat="1" ht="18" customHeight="1" x14ac:dyDescent="0.35">
      <c r="A2" s="393"/>
      <c r="B2" s="393"/>
      <c r="C2" s="393"/>
      <c r="D2" s="3342" t="str">
        <f>NomClient</f>
        <v xml:space="preserve">EQUINIX </v>
      </c>
      <c r="E2" s="3343"/>
      <c r="F2" s="3343"/>
      <c r="G2" s="3344"/>
      <c r="H2" s="393"/>
      <c r="I2" s="3345" t="s">
        <v>407</v>
      </c>
      <c r="J2" s="3346"/>
      <c r="K2" s="393"/>
      <c r="L2" s="3347">
        <v>42534.870578703703</v>
      </c>
      <c r="M2" s="3348"/>
      <c r="N2" s="394"/>
      <c r="O2" s="451">
        <f>IF(LEN(DPDV_09PP1)&gt;0,LEN(DPDV_09PP1),0-PDV_NBmini)</f>
        <v>167</v>
      </c>
      <c r="P2" s="451">
        <f>IF(LEN(DKPI_09PP1)&gt;0,LEN(DKPI_09PP1),0-KPI_NBmini)</f>
        <v>171</v>
      </c>
      <c r="Q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6342" t="str">
        <f>Parametre!B31  &amp; "   : "</f>
        <v xml:space="preserve">Profitabilité des partenaires   : </v>
      </c>
      <c r="B4" s="6342"/>
      <c r="C4" s="6342"/>
      <c r="D4" s="6342"/>
      <c r="E4" s="6342"/>
      <c r="F4" s="6342"/>
      <c r="G4" s="6342"/>
      <c r="H4" s="6343" t="str">
        <f xml:space="preserve"> "Mesure du Retour sur Investissement pour " &amp; NomProd1</f>
        <v>Mesure du Retour sur Investissement pour EQUINIX</v>
      </c>
      <c r="I4" s="6343"/>
      <c r="J4" s="6343"/>
      <c r="K4" s="6343"/>
      <c r="L4" s="6343"/>
      <c r="M4" s="6343"/>
      <c r="N4" s="6343"/>
      <c r="O4" s="6343"/>
      <c r="P4" s="6344"/>
      <c r="Q4" s="444"/>
    </row>
    <row r="5" spans="1:22" s="193" customFormat="1" ht="36.75" customHeight="1" x14ac:dyDescent="0.35">
      <c r="A5" s="3438" t="s">
        <v>14</v>
      </c>
      <c r="B5" s="3438"/>
      <c r="C5" s="3508" t="s">
        <v>2258</v>
      </c>
      <c r="D5" s="3508"/>
      <c r="E5" s="3508"/>
      <c r="F5" s="3508"/>
      <c r="G5" s="3508"/>
      <c r="H5" s="3508"/>
      <c r="I5" s="3508"/>
      <c r="J5" s="3508"/>
      <c r="K5" s="3508"/>
      <c r="L5" s="3508"/>
      <c r="M5" s="3508"/>
      <c r="N5" s="3508"/>
      <c r="O5" s="3508"/>
      <c r="P5" s="3508"/>
      <c r="Q5" s="460"/>
    </row>
    <row r="6" spans="1:22" s="193" customFormat="1" ht="8.25" customHeight="1" thickBot="1" x14ac:dyDescent="0.4">
      <c r="A6" s="1239"/>
      <c r="B6" s="1239"/>
      <c r="C6" s="1240"/>
      <c r="D6" s="1240"/>
      <c r="E6" s="1240"/>
      <c r="F6" s="1240"/>
      <c r="G6" s="1240"/>
      <c r="H6" s="1240"/>
      <c r="I6" s="1240"/>
      <c r="J6" s="1240"/>
      <c r="K6" s="1240"/>
      <c r="L6" s="1240"/>
      <c r="M6" s="1240"/>
      <c r="N6" s="1240"/>
      <c r="O6" s="1240"/>
      <c r="P6" s="1240"/>
      <c r="Q6" s="460"/>
    </row>
    <row r="7" spans="1:22" s="193" customFormat="1" ht="23.25" customHeight="1" thickBot="1" x14ac:dyDescent="0.4">
      <c r="A7" s="1497"/>
      <c r="B7" s="6345" t="s">
        <v>1313</v>
      </c>
      <c r="C7" s="6345"/>
      <c r="D7" s="6345"/>
      <c r="E7" s="6345"/>
      <c r="F7" s="6345"/>
      <c r="G7" s="6345"/>
      <c r="H7" s="1499"/>
      <c r="I7" s="1499"/>
      <c r="J7" s="6346"/>
      <c r="K7" s="6346"/>
      <c r="L7" s="1499"/>
      <c r="M7" s="1499"/>
      <c r="N7" s="1499"/>
      <c r="O7" s="1499"/>
      <c r="P7" s="1499"/>
      <c r="Q7" s="460"/>
    </row>
    <row r="8" spans="1:22" s="193" customFormat="1" ht="28.5" customHeight="1" thickTop="1" x14ac:dyDescent="0.35">
      <c r="A8" s="1497"/>
      <c r="B8" s="6347"/>
      <c r="C8" s="6348"/>
      <c r="D8" s="1244" t="s">
        <v>1310</v>
      </c>
      <c r="E8" s="1244" t="s">
        <v>1311</v>
      </c>
      <c r="F8" s="1244" t="s">
        <v>1312</v>
      </c>
      <c r="G8" s="1241"/>
      <c r="H8" s="1499"/>
      <c r="I8" s="1499"/>
      <c r="J8" s="6346"/>
      <c r="K8" s="6346"/>
      <c r="L8" s="1499"/>
      <c r="M8" s="1499"/>
      <c r="N8" s="1499"/>
      <c r="O8" s="1499"/>
      <c r="P8" s="1499"/>
      <c r="Q8" s="460"/>
    </row>
    <row r="9" spans="1:22" s="193" customFormat="1" ht="16.899999999999999" customHeight="1" x14ac:dyDescent="0.35">
      <c r="A9" s="1497"/>
      <c r="B9" s="6328" t="s">
        <v>1306</v>
      </c>
      <c r="C9" s="6329"/>
      <c r="D9" s="1248">
        <v>250</v>
      </c>
      <c r="E9" s="1245">
        <v>0.75</v>
      </c>
      <c r="F9" s="1247">
        <f t="shared" ref="F9:F14" si="0">D9+(E9*D9)</f>
        <v>437.5</v>
      </c>
      <c r="G9" s="1242"/>
      <c r="H9" s="2523" t="s">
        <v>2199</v>
      </c>
      <c r="I9" s="1499"/>
      <c r="J9" s="1499"/>
      <c r="K9" s="1499"/>
      <c r="L9" s="1499"/>
      <c r="M9" s="1499"/>
      <c r="N9" s="1499"/>
      <c r="O9" s="1499"/>
      <c r="P9" s="1499"/>
      <c r="Q9" s="460"/>
    </row>
    <row r="10" spans="1:22" s="193" customFormat="1" ht="16.899999999999999" customHeight="1" x14ac:dyDescent="0.35">
      <c r="A10" s="1497"/>
      <c r="B10" s="6328" t="s">
        <v>583</v>
      </c>
      <c r="C10" s="6329"/>
      <c r="D10" s="1248">
        <v>150</v>
      </c>
      <c r="E10" s="1245">
        <v>0.75</v>
      </c>
      <c r="F10" s="1247">
        <f t="shared" si="0"/>
        <v>262.5</v>
      </c>
      <c r="G10" s="1242"/>
      <c r="H10" s="1499"/>
      <c r="I10" s="1499"/>
      <c r="J10" s="6346"/>
      <c r="K10" s="6346"/>
      <c r="L10" s="1499"/>
      <c r="M10" s="1499"/>
      <c r="N10" s="1499"/>
      <c r="O10" s="1499"/>
      <c r="P10" s="1499"/>
      <c r="Q10" s="460"/>
    </row>
    <row r="11" spans="1:22" s="193" customFormat="1" ht="16.899999999999999" customHeight="1" x14ac:dyDescent="0.35">
      <c r="A11" s="1497"/>
      <c r="B11" s="6340" t="s">
        <v>1307</v>
      </c>
      <c r="C11" s="6341"/>
      <c r="D11" s="1248">
        <v>250</v>
      </c>
      <c r="E11" s="1245">
        <v>0.75</v>
      </c>
      <c r="F11" s="1247">
        <f t="shared" si="0"/>
        <v>437.5</v>
      </c>
      <c r="G11" s="1242"/>
      <c r="H11" s="1499"/>
      <c r="I11" s="1499"/>
      <c r="J11" s="6346"/>
      <c r="K11" s="6346"/>
      <c r="L11" s="1499"/>
      <c r="M11" s="1499"/>
      <c r="N11" s="1499"/>
      <c r="O11" s="1499"/>
      <c r="P11" s="1499"/>
      <c r="Q11" s="460"/>
    </row>
    <row r="12" spans="1:22" s="193" customFormat="1" ht="16.899999999999999" customHeight="1" x14ac:dyDescent="0.35">
      <c r="A12" s="1497"/>
      <c r="B12" s="6340" t="s">
        <v>1308</v>
      </c>
      <c r="C12" s="6341"/>
      <c r="D12" s="1248">
        <v>250</v>
      </c>
      <c r="E12" s="1245">
        <v>0.75</v>
      </c>
      <c r="F12" s="1247">
        <f t="shared" si="0"/>
        <v>437.5</v>
      </c>
      <c r="G12" s="1242"/>
      <c r="H12" s="1499"/>
      <c r="I12" s="1499"/>
      <c r="J12" s="1499"/>
      <c r="K12" s="1499"/>
      <c r="L12" s="1499"/>
      <c r="M12" s="1499"/>
      <c r="N12" s="1499"/>
      <c r="O12" s="1499"/>
      <c r="P12" s="1499"/>
      <c r="Q12" s="460"/>
    </row>
    <row r="13" spans="1:22" s="193" customFormat="1" ht="16.899999999999999" customHeight="1" x14ac:dyDescent="0.35">
      <c r="A13" s="1497"/>
      <c r="B13" s="6328" t="s">
        <v>1645</v>
      </c>
      <c r="C13" s="6329"/>
      <c r="D13" s="1248">
        <v>200</v>
      </c>
      <c r="E13" s="1245">
        <v>0.75</v>
      </c>
      <c r="F13" s="1247">
        <f t="shared" si="0"/>
        <v>350</v>
      </c>
      <c r="G13" s="1242"/>
      <c r="H13" s="1499"/>
      <c r="I13" s="1499"/>
      <c r="J13" s="1499"/>
      <c r="K13" s="1499"/>
      <c r="L13" s="1499"/>
      <c r="M13" s="1499"/>
      <c r="N13" s="1499"/>
      <c r="O13" s="1499"/>
      <c r="P13" s="1499"/>
      <c r="Q13" s="460"/>
    </row>
    <row r="14" spans="1:22" s="193" customFormat="1" ht="16.899999999999999" customHeight="1" x14ac:dyDescent="0.35">
      <c r="A14" s="1497"/>
      <c r="B14" s="6328" t="s">
        <v>102</v>
      </c>
      <c r="C14" s="6329"/>
      <c r="D14" s="1248"/>
      <c r="E14" s="1245"/>
      <c r="F14" s="1247">
        <f t="shared" si="0"/>
        <v>0</v>
      </c>
      <c r="G14" s="1242"/>
      <c r="H14" s="1499"/>
      <c r="I14" s="1499"/>
      <c r="J14" s="1499"/>
      <c r="K14" s="1499"/>
      <c r="L14" s="1499"/>
      <c r="M14" s="1499"/>
      <c r="N14" s="1499"/>
      <c r="O14" s="1499"/>
      <c r="P14" s="1499"/>
      <c r="Q14" s="460"/>
    </row>
    <row r="15" spans="1:22" s="193" customFormat="1" ht="16.899999999999999" customHeight="1" thickBot="1" x14ac:dyDescent="0.4">
      <c r="A15" s="1497"/>
      <c r="B15" s="6330"/>
      <c r="C15" s="6331"/>
      <c r="D15" s="1249"/>
      <c r="E15" s="1246"/>
      <c r="F15" s="1699"/>
      <c r="G15" s="1243"/>
      <c r="H15" s="1499"/>
      <c r="I15" s="1499"/>
      <c r="J15" s="1499"/>
      <c r="K15" s="1499"/>
      <c r="L15" s="1499"/>
      <c r="M15" s="1499"/>
      <c r="N15" s="1499"/>
      <c r="O15" s="1499"/>
      <c r="P15" s="1499"/>
      <c r="Q15" s="460"/>
    </row>
    <row r="16" spans="1:22" s="193" customFormat="1" ht="25.5" customHeight="1" thickTop="1" thickBot="1" x14ac:dyDescent="0.4">
      <c r="A16" s="1497"/>
      <c r="B16" s="1497"/>
      <c r="C16" s="1499"/>
      <c r="D16" s="1499"/>
      <c r="E16" s="1499"/>
      <c r="F16" s="1499"/>
      <c r="G16" s="1499"/>
      <c r="H16" s="1499"/>
      <c r="I16" s="1499"/>
      <c r="J16" s="1499"/>
      <c r="K16" s="1499"/>
      <c r="L16" s="1499"/>
      <c r="M16" s="1499"/>
      <c r="N16" s="1499"/>
      <c r="O16" s="1499"/>
      <c r="P16" s="1499"/>
      <c r="Q16" s="460"/>
    </row>
    <row r="17" spans="1:17" s="158" customFormat="1" ht="33" customHeight="1" thickTop="1" x14ac:dyDescent="0.3">
      <c r="A17" s="675"/>
      <c r="B17" s="6332" t="s">
        <v>513</v>
      </c>
      <c r="C17" s="6333"/>
      <c r="D17" s="6333"/>
      <c r="E17" s="6333"/>
      <c r="F17" s="6333"/>
      <c r="G17" s="6333"/>
      <c r="H17" s="6333"/>
      <c r="I17" s="6333"/>
      <c r="J17" s="6333"/>
      <c r="K17" s="6333"/>
      <c r="L17" s="6333"/>
      <c r="M17" s="6334"/>
      <c r="N17" s="675"/>
      <c r="O17" s="675"/>
      <c r="P17" s="675"/>
      <c r="Q17" s="675"/>
    </row>
    <row r="18" spans="1:17" s="124" customFormat="1" ht="27" customHeight="1" x14ac:dyDescent="0.35">
      <c r="A18" s="858"/>
      <c r="B18" s="6335" t="s">
        <v>514</v>
      </c>
      <c r="C18" s="6336"/>
      <c r="D18" s="6336"/>
      <c r="E18" s="6336"/>
      <c r="F18" s="6336" t="s">
        <v>497</v>
      </c>
      <c r="G18" s="6336"/>
      <c r="H18" s="6336" t="s">
        <v>492</v>
      </c>
      <c r="I18" s="6337"/>
      <c r="J18" s="6338" t="s">
        <v>515</v>
      </c>
      <c r="K18" s="6337"/>
      <c r="L18" s="6338" t="s">
        <v>127</v>
      </c>
      <c r="M18" s="6339"/>
      <c r="N18" s="858"/>
      <c r="O18" s="858"/>
      <c r="P18" s="858"/>
      <c r="Q18" s="858"/>
    </row>
    <row r="19" spans="1:17" s="124" customFormat="1" ht="7.5" customHeight="1" thickBot="1" x14ac:dyDescent="0.4">
      <c r="A19" s="858"/>
      <c r="B19" s="969"/>
      <c r="C19" s="970"/>
      <c r="D19" s="970"/>
      <c r="E19" s="970"/>
      <c r="F19" s="970"/>
      <c r="G19" s="970"/>
      <c r="H19" s="970"/>
      <c r="I19" s="970"/>
      <c r="J19" s="970"/>
      <c r="K19" s="970"/>
      <c r="L19" s="970"/>
      <c r="M19" s="971"/>
      <c r="N19" s="858"/>
      <c r="O19" s="858"/>
      <c r="P19" s="858"/>
      <c r="Q19" s="858"/>
    </row>
    <row r="20" spans="1:17" s="158" customFormat="1" ht="16.899999999999999" customHeight="1" x14ac:dyDescent="0.3">
      <c r="A20" s="675"/>
      <c r="B20" s="6322" t="s">
        <v>496</v>
      </c>
      <c r="C20" s="6323"/>
      <c r="D20" s="6323"/>
      <c r="E20" s="6324"/>
      <c r="F20" s="1251"/>
      <c r="G20" s="1252"/>
      <c r="H20" s="1251"/>
      <c r="I20" s="1252"/>
      <c r="J20" s="1251"/>
      <c r="K20" s="1252"/>
      <c r="L20" s="6325"/>
      <c r="M20" s="6326"/>
      <c r="N20" s="675"/>
      <c r="O20" s="675"/>
      <c r="P20" s="675"/>
      <c r="Q20" s="675"/>
    </row>
    <row r="21" spans="1:17" s="116" customFormat="1" ht="16.899999999999999" customHeight="1" x14ac:dyDescent="0.3">
      <c r="A21" s="651"/>
      <c r="B21" s="6224" t="s">
        <v>495</v>
      </c>
      <c r="C21" s="6225"/>
      <c r="D21" s="6225"/>
      <c r="E21" s="6226"/>
      <c r="F21" s="6239"/>
      <c r="G21" s="6240"/>
      <c r="H21" s="6239"/>
      <c r="I21" s="6240"/>
      <c r="J21" s="6310">
        <f>F9</f>
        <v>437.5</v>
      </c>
      <c r="K21" s="6228"/>
      <c r="L21" s="6244">
        <f t="shared" ref="L21:L29" si="1">J21*H21*F21</f>
        <v>0</v>
      </c>
      <c r="M21" s="6327"/>
      <c r="N21" s="651"/>
      <c r="O21" s="651"/>
      <c r="P21" s="651"/>
      <c r="Q21" s="651"/>
    </row>
    <row r="22" spans="1:17" s="116" customFormat="1" ht="16.899999999999999" customHeight="1" x14ac:dyDescent="0.3">
      <c r="A22" s="651"/>
      <c r="B22" s="6315" t="s">
        <v>1314</v>
      </c>
      <c r="C22" s="6316"/>
      <c r="D22" s="6316"/>
      <c r="E22" s="6317"/>
      <c r="F22" s="6318"/>
      <c r="G22" s="6319"/>
      <c r="H22" s="6318"/>
      <c r="I22" s="6319"/>
      <c r="J22" s="6320">
        <f>F11</f>
        <v>437.5</v>
      </c>
      <c r="K22" s="6321"/>
      <c r="L22" s="6313">
        <f>J22*H22*F22</f>
        <v>0</v>
      </c>
      <c r="M22" s="6314"/>
      <c r="N22" s="651"/>
      <c r="O22" s="651"/>
      <c r="P22" s="651"/>
      <c r="Q22" s="651"/>
    </row>
    <row r="23" spans="1:17" s="116" customFormat="1" ht="16.899999999999999" customHeight="1" x14ac:dyDescent="0.3">
      <c r="A23" s="651"/>
      <c r="B23" s="6224" t="s">
        <v>1315</v>
      </c>
      <c r="C23" s="6225"/>
      <c r="D23" s="6225"/>
      <c r="E23" s="6226"/>
      <c r="F23" s="6239"/>
      <c r="G23" s="6240"/>
      <c r="H23" s="6239"/>
      <c r="I23" s="6240"/>
      <c r="J23" s="6310">
        <f>F12</f>
        <v>437.5</v>
      </c>
      <c r="K23" s="6228"/>
      <c r="L23" s="6313">
        <f t="shared" si="1"/>
        <v>0</v>
      </c>
      <c r="M23" s="6314"/>
      <c r="N23" s="651"/>
      <c r="O23" s="651"/>
      <c r="P23" s="651"/>
      <c r="Q23" s="651"/>
    </row>
    <row r="24" spans="1:17" s="116" customFormat="1" ht="16.899999999999999" customHeight="1" x14ac:dyDescent="0.3">
      <c r="A24" s="651"/>
      <c r="B24" s="6224" t="s">
        <v>1639</v>
      </c>
      <c r="C24" s="6225"/>
      <c r="D24" s="6225"/>
      <c r="E24" s="6226"/>
      <c r="F24" s="6239"/>
      <c r="G24" s="6240"/>
      <c r="H24" s="6239"/>
      <c r="I24" s="6240"/>
      <c r="J24" s="6310">
        <f>F13</f>
        <v>350</v>
      </c>
      <c r="K24" s="6228"/>
      <c r="L24" s="6313">
        <f>J24*H24*F24</f>
        <v>0</v>
      </c>
      <c r="M24" s="6314"/>
      <c r="N24" s="651"/>
      <c r="O24" s="651"/>
      <c r="P24" s="651"/>
      <c r="Q24" s="651"/>
    </row>
    <row r="25" spans="1:17" s="116" customFormat="1" ht="16.5" customHeight="1" x14ac:dyDescent="0.3">
      <c r="A25" s="651"/>
      <c r="B25" s="6224" t="s">
        <v>1640</v>
      </c>
      <c r="C25" s="6225"/>
      <c r="D25" s="6225"/>
      <c r="E25" s="6226"/>
      <c r="F25" s="6227"/>
      <c r="G25" s="6228"/>
      <c r="H25" s="6227"/>
      <c r="I25" s="6228"/>
      <c r="J25" s="6310"/>
      <c r="K25" s="6228"/>
      <c r="L25" s="6311">
        <f t="shared" si="1"/>
        <v>0</v>
      </c>
      <c r="M25" s="6312"/>
      <c r="N25" s="651"/>
      <c r="O25" s="651"/>
      <c r="P25" s="651"/>
      <c r="Q25" s="651"/>
    </row>
    <row r="26" spans="1:17" s="116" customFormat="1" ht="16.5" customHeight="1" x14ac:dyDescent="0.3">
      <c r="A26" s="651"/>
      <c r="B26" s="6224" t="s">
        <v>637</v>
      </c>
      <c r="C26" s="6225"/>
      <c r="D26" s="6225"/>
      <c r="E26" s="6226"/>
      <c r="F26" s="6227"/>
      <c r="G26" s="6228"/>
      <c r="H26" s="6227"/>
      <c r="I26" s="6228"/>
      <c r="J26" s="6310"/>
      <c r="K26" s="6228"/>
      <c r="L26" s="6311">
        <f t="shared" si="1"/>
        <v>0</v>
      </c>
      <c r="M26" s="6312"/>
      <c r="N26" s="651"/>
      <c r="O26" s="651"/>
      <c r="P26" s="651"/>
      <c r="Q26" s="651"/>
    </row>
    <row r="27" spans="1:17" s="116" customFormat="1" ht="16.5" customHeight="1" x14ac:dyDescent="0.3">
      <c r="A27" s="651"/>
      <c r="B27" s="6224" t="s">
        <v>897</v>
      </c>
      <c r="C27" s="6225"/>
      <c r="D27" s="6225"/>
      <c r="E27" s="6226"/>
      <c r="F27" s="6227">
        <v>0</v>
      </c>
      <c r="G27" s="6228"/>
      <c r="H27" s="6227">
        <v>0</v>
      </c>
      <c r="I27" s="6228"/>
      <c r="J27" s="6310">
        <v>0</v>
      </c>
      <c r="K27" s="6228"/>
      <c r="L27" s="6311">
        <f>J27*H27*F27</f>
        <v>0</v>
      </c>
      <c r="M27" s="6312"/>
      <c r="N27" s="651"/>
      <c r="O27" s="651"/>
      <c r="P27" s="651"/>
      <c r="Q27" s="651"/>
    </row>
    <row r="28" spans="1:17" s="116" customFormat="1" ht="16.5" customHeight="1" x14ac:dyDescent="0.3">
      <c r="A28" s="651"/>
      <c r="B28" s="6224" t="s">
        <v>1912</v>
      </c>
      <c r="C28" s="6225"/>
      <c r="D28" s="6225"/>
      <c r="E28" s="6226"/>
      <c r="F28" s="6227"/>
      <c r="G28" s="6228"/>
      <c r="H28" s="6227"/>
      <c r="I28" s="6228"/>
      <c r="J28" s="6310"/>
      <c r="K28" s="6228"/>
      <c r="L28" s="6311">
        <f t="shared" si="1"/>
        <v>0</v>
      </c>
      <c r="M28" s="6312"/>
      <c r="N28" s="651"/>
      <c r="O28" s="651"/>
      <c r="P28" s="651"/>
      <c r="Q28" s="651"/>
    </row>
    <row r="29" spans="1:17" s="116" customFormat="1" ht="16.5" customHeight="1" x14ac:dyDescent="0.3">
      <c r="A29" s="651"/>
      <c r="B29" s="6224" t="s">
        <v>898</v>
      </c>
      <c r="C29" s="6225"/>
      <c r="D29" s="6225"/>
      <c r="E29" s="6226"/>
      <c r="F29" s="6227"/>
      <c r="G29" s="6228"/>
      <c r="H29" s="6227"/>
      <c r="I29" s="6228"/>
      <c r="J29" s="6310"/>
      <c r="K29" s="6228"/>
      <c r="L29" s="6311">
        <f t="shared" si="1"/>
        <v>0</v>
      </c>
      <c r="M29" s="6312"/>
      <c r="N29" s="651"/>
      <c r="O29" s="651"/>
      <c r="P29" s="651"/>
      <c r="Q29" s="651"/>
    </row>
    <row r="30" spans="1:17" s="116" customFormat="1" ht="9.75" customHeight="1" thickBot="1" x14ac:dyDescent="0.35">
      <c r="A30" s="651"/>
      <c r="B30" s="972"/>
      <c r="C30" s="973"/>
      <c r="D30" s="973"/>
      <c r="E30" s="974"/>
      <c r="F30" s="975"/>
      <c r="G30" s="976"/>
      <c r="H30" s="975"/>
      <c r="I30" s="976"/>
      <c r="J30" s="975"/>
      <c r="K30" s="976"/>
      <c r="L30" s="977"/>
      <c r="M30" s="978"/>
      <c r="N30" s="651"/>
      <c r="O30" s="651"/>
      <c r="P30" s="651"/>
      <c r="Q30" s="651"/>
    </row>
    <row r="31" spans="1:17" s="118" customFormat="1" ht="19.5" thickTop="1" thickBot="1" x14ac:dyDescent="0.4">
      <c r="A31" s="979"/>
      <c r="B31" s="6301" t="s">
        <v>222</v>
      </c>
      <c r="C31" s="6302"/>
      <c r="D31" s="6302"/>
      <c r="E31" s="6302"/>
      <c r="F31" s="6303">
        <f>SUM(F21:F30)</f>
        <v>0</v>
      </c>
      <c r="G31" s="6304"/>
      <c r="H31" s="6303">
        <f>SUM(H21:H30)</f>
        <v>0</v>
      </c>
      <c r="I31" s="6304"/>
      <c r="J31" s="6303"/>
      <c r="K31" s="6304"/>
      <c r="L31" s="6305">
        <f>SUM(L20:M30)</f>
        <v>0</v>
      </c>
      <c r="M31" s="6306"/>
      <c r="N31" s="836"/>
      <c r="O31" s="836"/>
      <c r="P31" s="836"/>
      <c r="Q31" s="836"/>
    </row>
    <row r="32" spans="1:17" s="116" customFormat="1" ht="15.75" customHeight="1" thickTop="1" x14ac:dyDescent="0.3">
      <c r="A32" s="651"/>
      <c r="B32" s="651"/>
      <c r="C32" s="651"/>
      <c r="D32" s="651"/>
      <c r="E32" s="651"/>
      <c r="F32" s="651"/>
      <c r="G32" s="678"/>
      <c r="H32" s="678"/>
      <c r="I32" s="651"/>
      <c r="J32" s="651"/>
      <c r="K32" s="651"/>
      <c r="L32" s="651"/>
      <c r="M32" s="651"/>
      <c r="N32" s="651"/>
      <c r="O32" s="651"/>
      <c r="P32" s="651"/>
      <c r="Q32" s="651"/>
    </row>
    <row r="33" spans="1:17" s="116" customFormat="1" ht="16" thickBot="1" x14ac:dyDescent="0.4">
      <c r="A33" s="980"/>
      <c r="B33" s="981"/>
      <c r="C33" s="981"/>
      <c r="D33" s="981"/>
      <c r="E33" s="651"/>
      <c r="F33" s="651"/>
      <c r="G33" s="651"/>
      <c r="H33" s="651"/>
      <c r="I33" s="651"/>
      <c r="J33" s="651"/>
      <c r="K33" s="651"/>
      <c r="L33" s="651"/>
      <c r="M33" s="651"/>
      <c r="N33" s="651"/>
      <c r="O33" s="651"/>
      <c r="P33" s="651"/>
      <c r="Q33" s="651"/>
    </row>
    <row r="34" spans="1:17" s="116" customFormat="1" ht="32.25" customHeight="1" thickTop="1" thickBot="1" x14ac:dyDescent="0.35">
      <c r="A34" s="651"/>
      <c r="B34" s="6307" t="s">
        <v>899</v>
      </c>
      <c r="C34" s="6308"/>
      <c r="D34" s="6308"/>
      <c r="E34" s="6308"/>
      <c r="F34" s="6308"/>
      <c r="G34" s="6308"/>
      <c r="H34" s="6308"/>
      <c r="I34" s="6308"/>
      <c r="J34" s="6308"/>
      <c r="K34" s="6308"/>
      <c r="L34" s="6308"/>
      <c r="M34" s="6308"/>
      <c r="N34" s="6308"/>
      <c r="O34" s="6308"/>
      <c r="P34" s="6309"/>
      <c r="Q34" s="651"/>
    </row>
    <row r="35" spans="1:17" s="118" customFormat="1" ht="51" customHeight="1" thickTop="1" x14ac:dyDescent="0.35">
      <c r="A35" s="836"/>
      <c r="B35" s="6290" t="s">
        <v>494</v>
      </c>
      <c r="C35" s="6291"/>
      <c r="D35" s="6291"/>
      <c r="E35" s="6291"/>
      <c r="F35" s="6292" t="s">
        <v>493</v>
      </c>
      <c r="G35" s="6292"/>
      <c r="H35" s="6293" t="s">
        <v>1317</v>
      </c>
      <c r="I35" s="6293"/>
      <c r="J35" s="6293" t="s">
        <v>1480</v>
      </c>
      <c r="K35" s="6293"/>
      <c r="L35" s="6292" t="s">
        <v>18</v>
      </c>
      <c r="M35" s="6292"/>
      <c r="N35" s="6292"/>
      <c r="O35" s="6292"/>
      <c r="P35" s="6294"/>
      <c r="Q35" s="836"/>
    </row>
    <row r="36" spans="1:17" s="118" customFormat="1" ht="18.75" customHeight="1" x14ac:dyDescent="0.35">
      <c r="A36" s="836"/>
      <c r="B36" s="5588" t="str">
        <f>BUSINESSCARD!B9:F9</f>
        <v>Affaire moyenne: CA EQUINIX 2+2 racks</v>
      </c>
      <c r="C36" s="5589"/>
      <c r="D36" s="5589"/>
      <c r="E36" s="5589"/>
      <c r="F36" s="6281"/>
      <c r="G36" s="6282"/>
      <c r="H36" s="6275" t="s">
        <v>900</v>
      </c>
      <c r="I36" s="6275"/>
      <c r="J36" s="6295"/>
      <c r="K36" s="6296"/>
      <c r="L36" s="6281"/>
      <c r="M36" s="6297"/>
      <c r="N36" s="6297"/>
      <c r="O36" s="6297"/>
      <c r="P36" s="6298"/>
      <c r="Q36" s="836"/>
    </row>
    <row r="37" spans="1:17" s="118" customFormat="1" ht="16.899999999999999" customHeight="1" x14ac:dyDescent="0.35">
      <c r="A37" s="1529"/>
      <c r="B37" s="6170" t="str">
        <f>BUSINESSCARD!B10</f>
        <v xml:space="preserve">CA Upfront  / one time charge </v>
      </c>
      <c r="C37" s="6171"/>
      <c r="D37" s="6171"/>
      <c r="E37" s="6171"/>
      <c r="F37" s="6172">
        <f>BUSINESSCARD!G10</f>
        <v>0</v>
      </c>
      <c r="G37" s="6172"/>
      <c r="H37" s="6149">
        <f>BUSINESSCARD!J9</f>
        <v>0.06</v>
      </c>
      <c r="I37" s="6149"/>
      <c r="J37" s="6172">
        <f>BUSINESSCARD!K10</f>
        <v>0</v>
      </c>
      <c r="K37" s="6172"/>
      <c r="L37" s="6299"/>
      <c r="M37" s="6299"/>
      <c r="N37" s="6299"/>
      <c r="O37" s="6299"/>
      <c r="P37" s="6300"/>
      <c r="Q37" s="836"/>
    </row>
    <row r="38" spans="1:17" s="118" customFormat="1" ht="16.899999999999999" customHeight="1" x14ac:dyDescent="0.35">
      <c r="A38" s="982"/>
      <c r="B38" s="6146" t="str">
        <f>BUSINESSCARD!B11:F11</f>
        <v>Licence</v>
      </c>
      <c r="C38" s="6009"/>
      <c r="D38" s="6009"/>
      <c r="E38" s="6009"/>
      <c r="F38" s="6173">
        <f>BUSINESSCARD!G11</f>
        <v>0</v>
      </c>
      <c r="G38" s="6173"/>
      <c r="H38" s="6149">
        <f>BUSINESSCARD!J9</f>
        <v>0.06</v>
      </c>
      <c r="I38" s="6149"/>
      <c r="J38" s="6150">
        <f t="shared" ref="J38:J44" si="2">F38*H38</f>
        <v>0</v>
      </c>
      <c r="K38" s="6150"/>
      <c r="L38" s="6151"/>
      <c r="M38" s="6151"/>
      <c r="N38" s="6151"/>
      <c r="O38" s="6151"/>
      <c r="P38" s="6152"/>
      <c r="Q38" s="836"/>
    </row>
    <row r="39" spans="1:17" s="118" customFormat="1" ht="16.899999999999999" customHeight="1" x14ac:dyDescent="0.35">
      <c r="A39" s="982"/>
      <c r="B39" s="6146" t="str">
        <f>BUSINESSCARD!B12:F12</f>
        <v>Connecteur APIs</v>
      </c>
      <c r="C39" s="6009"/>
      <c r="D39" s="6009"/>
      <c r="E39" s="6009"/>
      <c r="F39" s="6173">
        <f>BUSINESSCARD!G12</f>
        <v>0</v>
      </c>
      <c r="G39" s="6173"/>
      <c r="H39" s="6149">
        <f>BUSINESSCARD!J9</f>
        <v>0.06</v>
      </c>
      <c r="I39" s="6149"/>
      <c r="J39" s="6150">
        <f t="shared" si="2"/>
        <v>0</v>
      </c>
      <c r="K39" s="6150"/>
      <c r="L39" s="2070"/>
      <c r="M39" s="2071"/>
      <c r="N39" s="2071"/>
      <c r="O39" s="2071"/>
      <c r="P39" s="2072"/>
      <c r="Q39" s="836"/>
    </row>
    <row r="40" spans="1:17" s="118" customFormat="1" ht="16.899999999999999" customHeight="1" x14ac:dyDescent="0.35">
      <c r="A40" s="982"/>
      <c r="B40" s="6146" t="str">
        <f>BUSINESSCARD!B13:F13</f>
        <v>Installation à distance</v>
      </c>
      <c r="C40" s="6009"/>
      <c r="D40" s="6009"/>
      <c r="E40" s="6009"/>
      <c r="F40" s="6173">
        <f>BUSINESSCARD!G13</f>
        <v>0</v>
      </c>
      <c r="G40" s="6173"/>
      <c r="H40" s="6149">
        <f>BUSINESSCARD!J9</f>
        <v>0.06</v>
      </c>
      <c r="I40" s="6149"/>
      <c r="J40" s="6150">
        <f t="shared" si="2"/>
        <v>0</v>
      </c>
      <c r="K40" s="6150"/>
      <c r="L40" s="2070"/>
      <c r="M40" s="2071"/>
      <c r="N40" s="2071"/>
      <c r="O40" s="2071"/>
      <c r="P40" s="2072"/>
      <c r="Q40" s="836"/>
    </row>
    <row r="41" spans="1:17" s="118" customFormat="1" ht="16.899999999999999" customHeight="1" x14ac:dyDescent="0.35">
      <c r="A41" s="982"/>
      <c r="B41" s="6146" t="str">
        <f>BUSINESSCARD!B14:F14</f>
        <v>Frais de set up</v>
      </c>
      <c r="C41" s="6009"/>
      <c r="D41" s="6009"/>
      <c r="E41" s="6009"/>
      <c r="F41" s="6173">
        <f>BUSINESSCARD!G14</f>
        <v>0</v>
      </c>
      <c r="G41" s="6173"/>
      <c r="H41" s="6149">
        <v>0</v>
      </c>
      <c r="I41" s="6149"/>
      <c r="J41" s="6150">
        <f t="shared" si="2"/>
        <v>0</v>
      </c>
      <c r="K41" s="6150"/>
      <c r="L41" s="2070"/>
      <c r="M41" s="2071"/>
      <c r="N41" s="2071"/>
      <c r="O41" s="2071"/>
      <c r="P41" s="2072"/>
      <c r="Q41" s="836"/>
    </row>
    <row r="42" spans="1:17" s="118" customFormat="1" ht="16.899999999999999" customHeight="1" x14ac:dyDescent="0.35">
      <c r="A42" s="982"/>
      <c r="B42" s="6146" t="str">
        <f>BUSINESSCARD!B15:F15</f>
        <v>Cadrage projet</v>
      </c>
      <c r="C42" s="6009"/>
      <c r="D42" s="6009"/>
      <c r="E42" s="6009"/>
      <c r="F42" s="6173">
        <f>BUSINESSCARD!G15</f>
        <v>0</v>
      </c>
      <c r="G42" s="6173"/>
      <c r="H42" s="6149">
        <f>BUSINESSCARD!J9</f>
        <v>0.06</v>
      </c>
      <c r="I42" s="6149"/>
      <c r="J42" s="6150">
        <f t="shared" si="2"/>
        <v>0</v>
      </c>
      <c r="K42" s="6150"/>
      <c r="L42" s="2070"/>
      <c r="M42" s="2071"/>
      <c r="N42" s="2071"/>
      <c r="O42" s="2071"/>
      <c r="P42" s="2072"/>
      <c r="Q42" s="836"/>
    </row>
    <row r="43" spans="1:17" s="118" customFormat="1" ht="16.899999999999999" customHeight="1" x14ac:dyDescent="0.35">
      <c r="A43" s="982"/>
      <c r="B43" s="6146" t="str">
        <f>BUSINESSCARD!B16:F16</f>
        <v xml:space="preserve">Licence PDA </v>
      </c>
      <c r="C43" s="6009"/>
      <c r="D43" s="6009"/>
      <c r="E43" s="6009"/>
      <c r="F43" s="6173">
        <f>BUSINESSCARD!G16</f>
        <v>0</v>
      </c>
      <c r="G43" s="6173"/>
      <c r="H43" s="6149">
        <f>BUSINESSCARD!J9</f>
        <v>0.06</v>
      </c>
      <c r="I43" s="6149"/>
      <c r="J43" s="6150">
        <f t="shared" si="2"/>
        <v>0</v>
      </c>
      <c r="K43" s="6150"/>
      <c r="L43" s="2070"/>
      <c r="M43" s="2071"/>
      <c r="N43" s="2071"/>
      <c r="O43" s="2071"/>
      <c r="P43" s="2072"/>
      <c r="Q43" s="836"/>
    </row>
    <row r="44" spans="1:17" s="118" customFormat="1" ht="16.899999999999999" customHeight="1" x14ac:dyDescent="0.35">
      <c r="A44" s="982"/>
      <c r="B44" s="6146">
        <f>BUSINESSCARD!B17:F17</f>
        <v>0</v>
      </c>
      <c r="C44" s="6009"/>
      <c r="D44" s="6009"/>
      <c r="E44" s="6009"/>
      <c r="F44" s="6173">
        <f>BUSINESSCARD!G17</f>
        <v>0</v>
      </c>
      <c r="G44" s="6173"/>
      <c r="H44" s="6149">
        <f>BUSINESSCARD!J9</f>
        <v>0.06</v>
      </c>
      <c r="I44" s="6149"/>
      <c r="J44" s="6150">
        <f t="shared" si="2"/>
        <v>0</v>
      </c>
      <c r="K44" s="6150"/>
      <c r="L44" s="2070"/>
      <c r="M44" s="2071"/>
      <c r="N44" s="2071"/>
      <c r="O44" s="2071"/>
      <c r="P44" s="2072"/>
      <c r="Q44" s="836"/>
    </row>
    <row r="45" spans="1:17" s="118" customFormat="1" ht="10.9" customHeight="1" x14ac:dyDescent="0.35">
      <c r="A45" s="1530" t="s">
        <v>1811</v>
      </c>
      <c r="B45" s="6162"/>
      <c r="C45" s="6163"/>
      <c r="D45" s="6163"/>
      <c r="E45" s="6164"/>
      <c r="F45" s="6165"/>
      <c r="G45" s="6166"/>
      <c r="H45" s="6160"/>
      <c r="I45" s="6161"/>
      <c r="J45" s="6165"/>
      <c r="K45" s="6166"/>
      <c r="L45" s="6167"/>
      <c r="M45" s="6168"/>
      <c r="N45" s="6168"/>
      <c r="O45" s="6168"/>
      <c r="P45" s="6169"/>
      <c r="Q45" s="836"/>
    </row>
    <row r="46" spans="1:17" s="118" customFormat="1" ht="16.899999999999999" customHeight="1" x14ac:dyDescent="0.35">
      <c r="A46" s="982"/>
      <c r="B46" s="6170" t="str">
        <f>BUSINESSCARD!B19</f>
        <v xml:space="preserve">CA annuel récurrent issu de la souscription / abonnement </v>
      </c>
      <c r="C46" s="6171"/>
      <c r="D46" s="6171"/>
      <c r="E46" s="6171"/>
      <c r="F46" s="6172">
        <f>BUSINESSCARD!G19</f>
        <v>92760</v>
      </c>
      <c r="G46" s="6172"/>
      <c r="H46" s="6149">
        <f>BUSINESSCARD!J9</f>
        <v>0.06</v>
      </c>
      <c r="I46" s="6149"/>
      <c r="J46" s="6172">
        <f>F46*H46</f>
        <v>5565.5999999999995</v>
      </c>
      <c r="K46" s="6172"/>
      <c r="L46" s="6151"/>
      <c r="M46" s="6151"/>
      <c r="N46" s="6151"/>
      <c r="O46" s="6151"/>
      <c r="P46" s="6152"/>
      <c r="Q46" s="836"/>
    </row>
    <row r="47" spans="1:17" s="118" customFormat="1" ht="19.149999999999999" customHeight="1" x14ac:dyDescent="0.35">
      <c r="A47" s="982"/>
      <c r="B47" s="6146" t="str">
        <f>BUSINESSCARD!B20:F20</f>
        <v>Souscription service hébergement</v>
      </c>
      <c r="C47" s="6009"/>
      <c r="D47" s="6009"/>
      <c r="E47" s="6009"/>
      <c r="F47" s="6147">
        <f>BUSINESSCARD!G20</f>
        <v>7200</v>
      </c>
      <c r="G47" s="6148"/>
      <c r="H47" s="6160">
        <f>BUSINESSCARD!J9</f>
        <v>0.06</v>
      </c>
      <c r="I47" s="6161"/>
      <c r="J47" s="6150">
        <f>F47*H47</f>
        <v>432</v>
      </c>
      <c r="K47" s="6150"/>
      <c r="L47" s="6151"/>
      <c r="M47" s="6151"/>
      <c r="N47" s="6151"/>
      <c r="O47" s="6151"/>
      <c r="P47" s="6152"/>
      <c r="Q47" s="836"/>
    </row>
    <row r="48" spans="1:17" s="118" customFormat="1" ht="16.899999999999999" customHeight="1" x14ac:dyDescent="0.35">
      <c r="A48" s="982"/>
      <c r="B48" s="6146" t="str">
        <f>BUSINESSCARD!B21:F21</f>
        <v>Cross connect</v>
      </c>
      <c r="C48" s="6009"/>
      <c r="D48" s="6009"/>
      <c r="E48" s="6009"/>
      <c r="F48" s="6147">
        <f>BUSINESSCARD!G21</f>
        <v>80</v>
      </c>
      <c r="G48" s="6148"/>
      <c r="H48" s="6149">
        <f>BUSINESSCARD!J9</f>
        <v>0.06</v>
      </c>
      <c r="I48" s="6149"/>
      <c r="J48" s="6150">
        <f t="shared" ref="J48:J53" si="3">F48*H48</f>
        <v>4.8</v>
      </c>
      <c r="K48" s="6150"/>
      <c r="L48" s="6151"/>
      <c r="M48" s="6151"/>
      <c r="N48" s="6151"/>
      <c r="O48" s="6151"/>
      <c r="P48" s="6152"/>
      <c r="Q48" s="836"/>
    </row>
    <row r="49" spans="1:17" s="118" customFormat="1" ht="16.899999999999999" customHeight="1" x14ac:dyDescent="0.35">
      <c r="A49" s="982"/>
      <c r="B49" s="6146" t="str">
        <f>BUSINESSCARD!B22:F22</f>
        <v>Cloud Exchange</v>
      </c>
      <c r="C49" s="6009"/>
      <c r="D49" s="6009"/>
      <c r="E49" s="6009"/>
      <c r="F49" s="6147">
        <f>BUSINESSCARD!G22</f>
        <v>450</v>
      </c>
      <c r="G49" s="6148"/>
      <c r="H49" s="6149">
        <f>BUSINESSCARD!J9</f>
        <v>0.06</v>
      </c>
      <c r="I49" s="6149"/>
      <c r="J49" s="6150">
        <f t="shared" si="3"/>
        <v>27</v>
      </c>
      <c r="K49" s="6150"/>
      <c r="L49" s="6151"/>
      <c r="M49" s="6151"/>
      <c r="N49" s="6151"/>
      <c r="O49" s="6151"/>
      <c r="P49" s="6152"/>
      <c r="Q49" s="836"/>
    </row>
    <row r="50" spans="1:17" s="118" customFormat="1" ht="16.899999999999999" customHeight="1" x14ac:dyDescent="0.35">
      <c r="A50" s="982"/>
      <c r="B50" s="6146">
        <f>BUSINESSCARD!B23:F23</f>
        <v>0</v>
      </c>
      <c r="C50" s="6009"/>
      <c r="D50" s="6009"/>
      <c r="E50" s="6009"/>
      <c r="F50" s="6147">
        <f>BUSINESSCARD!G23</f>
        <v>0</v>
      </c>
      <c r="G50" s="6148"/>
      <c r="H50" s="6149">
        <f>BUSINESSCARD!J9</f>
        <v>0.06</v>
      </c>
      <c r="I50" s="6149"/>
      <c r="J50" s="6150">
        <f t="shared" si="3"/>
        <v>0</v>
      </c>
      <c r="K50" s="6150"/>
      <c r="L50" s="6151"/>
      <c r="M50" s="6151"/>
      <c r="N50" s="6151"/>
      <c r="O50" s="6151"/>
      <c r="P50" s="6152"/>
      <c r="Q50" s="836"/>
    </row>
    <row r="51" spans="1:17" s="118" customFormat="1" ht="16.899999999999999" customHeight="1" x14ac:dyDescent="0.35">
      <c r="A51" s="982"/>
      <c r="B51" s="6146" t="e">
        <f>BUSINESSCARD!#REF!</f>
        <v>#REF!</v>
      </c>
      <c r="C51" s="6009"/>
      <c r="D51" s="6009"/>
      <c r="E51" s="6009"/>
      <c r="F51" s="6147" t="e">
        <f>BUSINESSCARD!#REF!</f>
        <v>#REF!</v>
      </c>
      <c r="G51" s="6148"/>
      <c r="H51" s="6149">
        <f>BUSINESSCARD!J9</f>
        <v>0.06</v>
      </c>
      <c r="I51" s="6149"/>
      <c r="J51" s="6150" t="e">
        <f t="shared" si="3"/>
        <v>#REF!</v>
      </c>
      <c r="K51" s="6150"/>
      <c r="L51" s="6151"/>
      <c r="M51" s="6151"/>
      <c r="N51" s="6151"/>
      <c r="O51" s="6151"/>
      <c r="P51" s="6152"/>
      <c r="Q51" s="836"/>
    </row>
    <row r="52" spans="1:17" s="118" customFormat="1" ht="16.899999999999999" customHeight="1" x14ac:dyDescent="0.35">
      <c r="A52" s="982"/>
      <c r="B52" s="6146" t="e">
        <f>BUSINESSCARD!#REF!</f>
        <v>#REF!</v>
      </c>
      <c r="C52" s="6009"/>
      <c r="D52" s="6009"/>
      <c r="E52" s="6009"/>
      <c r="F52" s="6147" t="e">
        <f>BUSINESSCARD!#REF!</f>
        <v>#REF!</v>
      </c>
      <c r="G52" s="6148"/>
      <c r="H52" s="6149">
        <f>BUSINESSCARD!J9</f>
        <v>0.06</v>
      </c>
      <c r="I52" s="6149"/>
      <c r="J52" s="6150" t="e">
        <f t="shared" si="3"/>
        <v>#REF!</v>
      </c>
      <c r="K52" s="6150"/>
      <c r="L52" s="6151"/>
      <c r="M52" s="6151"/>
      <c r="N52" s="6151"/>
      <c r="O52" s="6151"/>
      <c r="P52" s="6152"/>
      <c r="Q52" s="836"/>
    </row>
    <row r="53" spans="1:17" s="118" customFormat="1" ht="16.5" customHeight="1" x14ac:dyDescent="0.35">
      <c r="A53" s="982"/>
      <c r="B53" s="6146">
        <f>BUSINESSCARD!B24:F24</f>
        <v>0</v>
      </c>
      <c r="C53" s="6009"/>
      <c r="D53" s="6009"/>
      <c r="E53" s="6009"/>
      <c r="F53" s="6147">
        <f>BUSINESSCARD!G24</f>
        <v>0</v>
      </c>
      <c r="G53" s="6148"/>
      <c r="H53" s="6149">
        <f>BUSINESSCARD!J9</f>
        <v>0.06</v>
      </c>
      <c r="I53" s="6149"/>
      <c r="J53" s="6150">
        <f t="shared" si="3"/>
        <v>0</v>
      </c>
      <c r="K53" s="6150"/>
      <c r="L53" s="6151"/>
      <c r="M53" s="6151"/>
      <c r="N53" s="6151"/>
      <c r="O53" s="6151"/>
      <c r="P53" s="6152"/>
      <c r="Q53" s="836"/>
    </row>
    <row r="54" spans="1:17" s="118" customFormat="1" ht="16.899999999999999" customHeight="1" x14ac:dyDescent="0.35">
      <c r="A54" s="979"/>
      <c r="B54" s="6153" t="s">
        <v>535</v>
      </c>
      <c r="C54" s="6154"/>
      <c r="D54" s="6154"/>
      <c r="E54" s="6154"/>
      <c r="F54" s="6155">
        <f>SUM(F37,F46,)</f>
        <v>92760</v>
      </c>
      <c r="G54" s="6155"/>
      <c r="H54" s="6156"/>
      <c r="I54" s="6157"/>
      <c r="J54" s="6155">
        <f>SUM(J46+J37)</f>
        <v>5565.5999999999995</v>
      </c>
      <c r="K54" s="6155"/>
      <c r="L54" s="6158"/>
      <c r="M54" s="6158"/>
      <c r="N54" s="6158"/>
      <c r="O54" s="6158"/>
      <c r="P54" s="6159"/>
      <c r="Q54" s="836"/>
    </row>
    <row r="55" spans="1:17" s="118" customFormat="1" ht="6.75" customHeight="1" x14ac:dyDescent="0.35">
      <c r="A55" s="983"/>
      <c r="B55" s="6287"/>
      <c r="C55" s="6288"/>
      <c r="D55" s="6288"/>
      <c r="E55" s="6288"/>
      <c r="F55" s="6288"/>
      <c r="G55" s="6288"/>
      <c r="H55" s="6288"/>
      <c r="I55" s="6288"/>
      <c r="J55" s="6288"/>
      <c r="K55" s="6288"/>
      <c r="L55" s="6288"/>
      <c r="M55" s="6288"/>
      <c r="N55" s="6288"/>
      <c r="O55" s="6288"/>
      <c r="P55" s="6289"/>
      <c r="Q55" s="836"/>
    </row>
    <row r="56" spans="1:17" s="118" customFormat="1" ht="33" customHeight="1" x14ac:dyDescent="0.35">
      <c r="A56" s="979"/>
      <c r="B56" s="5588" t="s">
        <v>872</v>
      </c>
      <c r="C56" s="5589"/>
      <c r="D56" s="5589"/>
      <c r="E56" s="5589"/>
      <c r="F56" s="6281" t="s">
        <v>493</v>
      </c>
      <c r="G56" s="6282"/>
      <c r="H56" s="6275" t="s">
        <v>867</v>
      </c>
      <c r="I56" s="6275"/>
      <c r="J56" s="6283" t="s">
        <v>1316</v>
      </c>
      <c r="K56" s="6284"/>
      <c r="L56" s="6285"/>
      <c r="M56" s="6285"/>
      <c r="N56" s="6285"/>
      <c r="O56" s="6285"/>
      <c r="P56" s="6286"/>
      <c r="Q56" s="836"/>
    </row>
    <row r="57" spans="1:17" s="118" customFormat="1" ht="16.899999999999999" customHeight="1" x14ac:dyDescent="0.35">
      <c r="A57" s="836"/>
      <c r="B57" s="6146" t="str">
        <f>BUSINESSCARD!B32:F32</f>
        <v>MCO ( maintien conditions opérationnelles )</v>
      </c>
      <c r="C57" s="6009"/>
      <c r="D57" s="6009"/>
      <c r="E57" s="6009"/>
      <c r="F57" s="6267">
        <f>BUSINESSCARD!K32</f>
        <v>100000</v>
      </c>
      <c r="G57" s="6267"/>
      <c r="H57" s="6280">
        <f>BUSINESSCARD!I32</f>
        <v>0</v>
      </c>
      <c r="I57" s="6280"/>
      <c r="J57" s="6270">
        <f>F57-(H57*F11)</f>
        <v>100000</v>
      </c>
      <c r="K57" s="6270"/>
      <c r="L57" s="6271"/>
      <c r="M57" s="6271"/>
      <c r="N57" s="6271"/>
      <c r="O57" s="6271"/>
      <c r="P57" s="6272"/>
      <c r="Q57" s="836"/>
    </row>
    <row r="58" spans="1:17" s="118" customFormat="1" ht="16.899999999999999" customHeight="1" x14ac:dyDescent="0.35">
      <c r="A58" s="836"/>
      <c r="B58" s="6146" t="str">
        <f>BUSINESSCARD!B33:F33</f>
        <v xml:space="preserve">Set up ( OTC ) </v>
      </c>
      <c r="C58" s="6009"/>
      <c r="D58" s="6009"/>
      <c r="E58" s="6009"/>
      <c r="F58" s="6267">
        <f>BUSINESSCARD!K33</f>
        <v>25000</v>
      </c>
      <c r="G58" s="6267"/>
      <c r="H58" s="6280">
        <f>BUSINESSCARD!I33</f>
        <v>0</v>
      </c>
      <c r="I58" s="6280"/>
      <c r="J58" s="6270">
        <f>F58-(H58*F13)</f>
        <v>25000</v>
      </c>
      <c r="K58" s="6270"/>
      <c r="L58" s="6271"/>
      <c r="M58" s="6271"/>
      <c r="N58" s="6271"/>
      <c r="O58" s="6271"/>
      <c r="P58" s="6272"/>
      <c r="Q58" s="836"/>
    </row>
    <row r="59" spans="1:17" s="118" customFormat="1" ht="16.899999999999999" customHeight="1" x14ac:dyDescent="0.35">
      <c r="A59" s="836"/>
      <c r="B59" s="6146" t="str">
        <f>BUSINESSCARD!B34:F34</f>
        <v>IAAs</v>
      </c>
      <c r="C59" s="6009"/>
      <c r="D59" s="6009"/>
      <c r="E59" s="6009"/>
      <c r="F59" s="6267">
        <f>BUSINESSCARD!K34</f>
        <v>50000</v>
      </c>
      <c r="G59" s="6267"/>
      <c r="H59" s="6280">
        <f>BUSINESSCARD!I34</f>
        <v>0</v>
      </c>
      <c r="I59" s="6280"/>
      <c r="J59" s="6270">
        <f>F59-(H59*F12)</f>
        <v>50000</v>
      </c>
      <c r="K59" s="6270"/>
      <c r="L59" s="6271"/>
      <c r="M59" s="6271"/>
      <c r="N59" s="6271"/>
      <c r="O59" s="6271"/>
      <c r="P59" s="6272"/>
      <c r="Q59" s="836"/>
    </row>
    <row r="60" spans="1:17" s="118" customFormat="1" ht="16.899999999999999" customHeight="1" x14ac:dyDescent="0.35">
      <c r="A60" s="836"/>
      <c r="B60" s="6146" t="str">
        <f>BUSINESSCARD!B35:F35</f>
        <v>Audit de configuration</v>
      </c>
      <c r="C60" s="6009"/>
      <c r="D60" s="6009"/>
      <c r="E60" s="6009"/>
      <c r="F60" s="6267">
        <f>BUSINESSCARD!K35</f>
        <v>10000</v>
      </c>
      <c r="G60" s="6267"/>
      <c r="H60" s="6280">
        <f>BUSINESSCARD!I35</f>
        <v>10</v>
      </c>
      <c r="I60" s="6280"/>
      <c r="J60" s="6270">
        <f>F60-(H60*F13)</f>
        <v>6500</v>
      </c>
      <c r="K60" s="6270"/>
      <c r="L60" s="6271"/>
      <c r="M60" s="6271"/>
      <c r="N60" s="6271"/>
      <c r="O60" s="6271"/>
      <c r="P60" s="6272"/>
      <c r="Q60" s="836"/>
    </row>
    <row r="61" spans="1:17" s="118" customFormat="1" ht="16.899999999999999" customHeight="1" x14ac:dyDescent="0.35">
      <c r="A61" s="836"/>
      <c r="B61" s="6146" t="str">
        <f>BUSINESSCARD!B36:F36</f>
        <v>Intégration</v>
      </c>
      <c r="C61" s="6009"/>
      <c r="D61" s="6009"/>
      <c r="E61" s="6009"/>
      <c r="F61" s="6267">
        <f>BUSINESSCARD!K36</f>
        <v>0</v>
      </c>
      <c r="G61" s="6267"/>
      <c r="H61" s="6280">
        <f>BUSINESSCARD!I36</f>
        <v>0</v>
      </c>
      <c r="I61" s="6280"/>
      <c r="J61" s="6270">
        <f>F61-(H61*F12)</f>
        <v>0</v>
      </c>
      <c r="K61" s="6270"/>
      <c r="L61" s="6271"/>
      <c r="M61" s="6271"/>
      <c r="N61" s="6271"/>
      <c r="O61" s="6271"/>
      <c r="P61" s="6272"/>
      <c r="Q61" s="836"/>
    </row>
    <row r="62" spans="1:17" s="118" customFormat="1" ht="16.899999999999999" customHeight="1" x14ac:dyDescent="0.35">
      <c r="A62" s="836"/>
      <c r="B62" s="6146" t="e">
        <f>BUSINESSCARD!#REF!</f>
        <v>#REF!</v>
      </c>
      <c r="C62" s="6009"/>
      <c r="D62" s="6009"/>
      <c r="E62" s="6009"/>
      <c r="F62" s="6267" t="e">
        <f>BUSINESSCARD!#REF!</f>
        <v>#REF!</v>
      </c>
      <c r="G62" s="6267"/>
      <c r="H62" s="6280" t="e">
        <f>BUSINESSCARD!#REF!</f>
        <v>#REF!</v>
      </c>
      <c r="I62" s="6280"/>
      <c r="J62" s="6270" t="e">
        <f>F62-(H62*F12)</f>
        <v>#REF!</v>
      </c>
      <c r="K62" s="6270"/>
      <c r="L62" s="6271"/>
      <c r="M62" s="6271"/>
      <c r="N62" s="6271"/>
      <c r="O62" s="6271"/>
      <c r="P62" s="6272"/>
      <c r="Q62" s="836"/>
    </row>
    <row r="63" spans="1:17" s="118" customFormat="1" ht="16.899999999999999" customHeight="1" x14ac:dyDescent="0.35">
      <c r="A63" s="836"/>
      <c r="B63" s="6146" t="e">
        <f>BUSINESSCARD!#REF!</f>
        <v>#REF!</v>
      </c>
      <c r="C63" s="6009"/>
      <c r="D63" s="6009"/>
      <c r="E63" s="6009"/>
      <c r="F63" s="6267" t="e">
        <f>BUSINESSCARD!#REF!</f>
        <v>#REF!</v>
      </c>
      <c r="G63" s="6267"/>
      <c r="H63" s="6280" t="e">
        <f>BUSINESSCARD!#REF!</f>
        <v>#REF!</v>
      </c>
      <c r="I63" s="6280"/>
      <c r="J63" s="6270" t="e">
        <f>F63-(H63*F12)</f>
        <v>#REF!</v>
      </c>
      <c r="K63" s="6270"/>
      <c r="L63" s="6852"/>
      <c r="M63" s="6853"/>
      <c r="N63" s="6853"/>
      <c r="O63" s="6853"/>
      <c r="P63" s="6854"/>
      <c r="Q63" s="836"/>
    </row>
    <row r="64" spans="1:17" s="118" customFormat="1" ht="16.899999999999999" customHeight="1" x14ac:dyDescent="0.35">
      <c r="A64" s="836"/>
      <c r="B64" s="6146" t="e">
        <f>BUSINESSCARD!#REF!</f>
        <v>#REF!</v>
      </c>
      <c r="C64" s="6009"/>
      <c r="D64" s="6009"/>
      <c r="E64" s="6009"/>
      <c r="F64" s="6267" t="e">
        <f>BUSINESSCARD!#REF!</f>
        <v>#REF!</v>
      </c>
      <c r="G64" s="6267"/>
      <c r="H64" s="6280" t="e">
        <f>BUSINESSCARD!#REF!</f>
        <v>#REF!</v>
      </c>
      <c r="I64" s="6280"/>
      <c r="J64" s="6270" t="e">
        <f>F64-(H64*F12)</f>
        <v>#REF!</v>
      </c>
      <c r="K64" s="6270"/>
      <c r="L64" s="6271"/>
      <c r="M64" s="6271"/>
      <c r="N64" s="6271"/>
      <c r="O64" s="6271"/>
      <c r="P64" s="6272"/>
      <c r="Q64" s="836"/>
    </row>
    <row r="65" spans="1:17" s="118" customFormat="1" ht="16.899999999999999" customHeight="1" x14ac:dyDescent="0.35">
      <c r="A65" s="836"/>
      <c r="B65" s="6146" t="e">
        <f>BUSINESSCARD!#REF!</f>
        <v>#REF!</v>
      </c>
      <c r="C65" s="6009"/>
      <c r="D65" s="6009"/>
      <c r="E65" s="6009"/>
      <c r="F65" s="6267" t="e">
        <f>BUSINESSCARD!#REF!</f>
        <v>#REF!</v>
      </c>
      <c r="G65" s="6267"/>
      <c r="H65" s="6280" t="e">
        <f>BUSINESSCARD!#REF!</f>
        <v>#REF!</v>
      </c>
      <c r="I65" s="6280"/>
      <c r="J65" s="6270" t="e">
        <f>F65-(H65*F13)</f>
        <v>#REF!</v>
      </c>
      <c r="K65" s="6270"/>
      <c r="L65" s="1253"/>
      <c r="M65" s="1254"/>
      <c r="N65" s="1254"/>
      <c r="O65" s="1254"/>
      <c r="P65" s="1255"/>
      <c r="Q65" s="836"/>
    </row>
    <row r="66" spans="1:17" s="118" customFormat="1" ht="16.899999999999999" customHeight="1" x14ac:dyDescent="0.35">
      <c r="A66" s="836"/>
      <c r="B66" s="6146" t="e">
        <f>BUSINESSCARD!#REF!</f>
        <v>#REF!</v>
      </c>
      <c r="C66" s="6009"/>
      <c r="D66" s="6009"/>
      <c r="E66" s="6009"/>
      <c r="F66" s="6267" t="e">
        <f>BUSINESSCARD!#REF!</f>
        <v>#REF!</v>
      </c>
      <c r="G66" s="6267"/>
      <c r="H66" s="6280" t="e">
        <f>BUSINESSCARD!#REF!</f>
        <v>#REF!</v>
      </c>
      <c r="I66" s="6280"/>
      <c r="J66" s="6270" t="e">
        <f>F66-(H66*F12)</f>
        <v>#REF!</v>
      </c>
      <c r="K66" s="6270"/>
      <c r="L66" s="1253"/>
      <c r="M66" s="1254"/>
      <c r="N66" s="1254"/>
      <c r="O66" s="1254"/>
      <c r="P66" s="1255"/>
      <c r="Q66" s="836"/>
    </row>
    <row r="67" spans="1:17" s="118" customFormat="1" ht="15.75" customHeight="1" x14ac:dyDescent="0.35">
      <c r="A67" s="836"/>
      <c r="B67" s="6146" t="str">
        <f>BUSINESSCARD!B37:F37</f>
        <v xml:space="preserve">Formation </v>
      </c>
      <c r="C67" s="6009"/>
      <c r="D67" s="6009"/>
      <c r="E67" s="6009"/>
      <c r="F67" s="6267">
        <f>BUSINESSCARD!K37</f>
        <v>0</v>
      </c>
      <c r="G67" s="6267"/>
      <c r="H67" s="6280">
        <f>BUSINESSCARD!I37</f>
        <v>0</v>
      </c>
      <c r="I67" s="6280"/>
      <c r="J67" s="6270">
        <f>F67-(H67*F12)</f>
        <v>0</v>
      </c>
      <c r="K67" s="6270"/>
      <c r="L67" s="6277"/>
      <c r="M67" s="6278"/>
      <c r="N67" s="6278"/>
      <c r="O67" s="6278"/>
      <c r="P67" s="6279"/>
      <c r="Q67" s="836"/>
    </row>
    <row r="68" spans="1:17" s="118" customFormat="1" ht="15.75" customHeight="1" x14ac:dyDescent="0.35">
      <c r="A68" s="836"/>
      <c r="B68" s="6162" t="str">
        <f>BUSINESSCARD!B38:F38</f>
        <v xml:space="preserve">Prestations forfaitaires </v>
      </c>
      <c r="C68" s="6163"/>
      <c r="D68" s="6163"/>
      <c r="E68" s="6164"/>
      <c r="F68" s="6273"/>
      <c r="G68" s="6274"/>
      <c r="H68" s="6275" t="s">
        <v>1482</v>
      </c>
      <c r="I68" s="6275"/>
      <c r="J68" s="1676"/>
      <c r="K68" s="1677"/>
      <c r="L68" s="1678"/>
      <c r="M68" s="1679"/>
      <c r="N68" s="1679"/>
      <c r="O68" s="1679"/>
      <c r="P68" s="1680"/>
      <c r="Q68" s="836"/>
    </row>
    <row r="69" spans="1:17" s="118" customFormat="1" ht="16.5" customHeight="1" x14ac:dyDescent="0.35">
      <c r="A69" s="836"/>
      <c r="B69" s="6146" t="str">
        <f>BUSINESSCARD!B39:F39</f>
        <v>Support niveau 1 vav ses prestations</v>
      </c>
      <c r="C69" s="6009"/>
      <c r="D69" s="6009"/>
      <c r="E69" s="6009"/>
      <c r="F69" s="6267">
        <f>BUSINESSCARD!K39</f>
        <v>0</v>
      </c>
      <c r="G69" s="6267"/>
      <c r="H69" s="6268">
        <v>0.5</v>
      </c>
      <c r="I69" s="6269"/>
      <c r="J69" s="6270">
        <f>F69- (F69*H69)</f>
        <v>0</v>
      </c>
      <c r="K69" s="6270"/>
      <c r="L69" s="6271"/>
      <c r="M69" s="6271"/>
      <c r="N69" s="6271"/>
      <c r="O69" s="6271"/>
      <c r="P69" s="6272"/>
      <c r="Q69" s="836"/>
    </row>
    <row r="70" spans="1:17" s="118" customFormat="1" ht="16.5" customHeight="1" x14ac:dyDescent="0.35">
      <c r="A70" s="836"/>
      <c r="B70" s="6146" t="str">
        <f>BUSINESSCARD!B40:F40</f>
        <v xml:space="preserve">Ventes de prestations / produits complémentaires </v>
      </c>
      <c r="C70" s="6009"/>
      <c r="D70" s="6009"/>
      <c r="E70" s="6009"/>
      <c r="F70" s="6267">
        <f>BUSINESSCARD!K40</f>
        <v>0</v>
      </c>
      <c r="G70" s="6267"/>
      <c r="H70" s="6268">
        <v>0.5</v>
      </c>
      <c r="I70" s="6269"/>
      <c r="J70" s="6270">
        <f>F70- (F70*H70)</f>
        <v>0</v>
      </c>
      <c r="K70" s="6270"/>
      <c r="L70" s="6271"/>
      <c r="M70" s="6271"/>
      <c r="N70" s="6271"/>
      <c r="O70" s="6271"/>
      <c r="P70" s="6272"/>
      <c r="Q70" s="836"/>
    </row>
    <row r="71" spans="1:17" s="118" customFormat="1" ht="16.5" customHeight="1" x14ac:dyDescent="0.35">
      <c r="A71" s="836"/>
      <c r="B71" s="6146" t="str">
        <f>BUSINESSCARD!B41:F41</f>
        <v>Hébergement exploitation</v>
      </c>
      <c r="C71" s="6009"/>
      <c r="D71" s="6009"/>
      <c r="E71" s="6009"/>
      <c r="F71" s="6267">
        <f>BUSINESSCARD!K41</f>
        <v>0</v>
      </c>
      <c r="G71" s="6267"/>
      <c r="H71" s="6268">
        <v>0.5</v>
      </c>
      <c r="I71" s="6269"/>
      <c r="J71" s="6270">
        <f>F71- (F71*H71)</f>
        <v>0</v>
      </c>
      <c r="K71" s="6270"/>
      <c r="L71" s="6271"/>
      <c r="M71" s="6271"/>
      <c r="N71" s="6271"/>
      <c r="O71" s="6271"/>
      <c r="P71" s="6272"/>
      <c r="Q71" s="836"/>
    </row>
    <row r="72" spans="1:17" s="118" customFormat="1" ht="16.5" customHeight="1" x14ac:dyDescent="0.35">
      <c r="A72" s="836"/>
      <c r="B72" s="6146" t="str">
        <f>BUSINESSCARD!B42:F42</f>
        <v>Autres</v>
      </c>
      <c r="C72" s="6009"/>
      <c r="D72" s="6009"/>
      <c r="E72" s="6009"/>
      <c r="F72" s="6267">
        <f>BUSINESSCARD!K42</f>
        <v>0</v>
      </c>
      <c r="G72" s="6267"/>
      <c r="H72" s="6268">
        <v>0.5</v>
      </c>
      <c r="I72" s="6269"/>
      <c r="J72" s="6270">
        <f>F72- (F72*H72)</f>
        <v>0</v>
      </c>
      <c r="K72" s="6270"/>
      <c r="L72" s="6271"/>
      <c r="M72" s="6271"/>
      <c r="N72" s="6271"/>
      <c r="O72" s="6271"/>
      <c r="P72" s="6272"/>
      <c r="Q72" s="836"/>
    </row>
    <row r="73" spans="1:17" s="118" customFormat="1" ht="16.899999999999999" customHeight="1" x14ac:dyDescent="0.35">
      <c r="A73" s="836"/>
      <c r="B73" s="6153" t="s">
        <v>536</v>
      </c>
      <c r="C73" s="6154"/>
      <c r="D73" s="6154"/>
      <c r="E73" s="6154"/>
      <c r="F73" s="6155" t="e">
        <f>SUM(F57:G72)</f>
        <v>#REF!</v>
      </c>
      <c r="G73" s="6155"/>
      <c r="H73" s="6856" t="e">
        <f>SUM(H57:I67)</f>
        <v>#REF!</v>
      </c>
      <c r="I73" s="6856"/>
      <c r="J73" s="6857" t="e">
        <f>SUM(J57:K72)</f>
        <v>#REF!</v>
      </c>
      <c r="K73" s="6857"/>
      <c r="L73" s="6262"/>
      <c r="M73" s="6262"/>
      <c r="N73" s="6262"/>
      <c r="O73" s="6262"/>
      <c r="P73" s="6263"/>
      <c r="Q73" s="836"/>
    </row>
    <row r="74" spans="1:17" s="116" customFormat="1" ht="6.75" customHeight="1" x14ac:dyDescent="0.3">
      <c r="A74" s="651"/>
      <c r="B74" s="6264"/>
      <c r="C74" s="6265"/>
      <c r="D74" s="6265"/>
      <c r="E74" s="6265"/>
      <c r="F74" s="6265"/>
      <c r="G74" s="6265"/>
      <c r="H74" s="6265"/>
      <c r="I74" s="6265"/>
      <c r="J74" s="6265"/>
      <c r="K74" s="6265"/>
      <c r="L74" s="6265"/>
      <c r="M74" s="6265"/>
      <c r="N74" s="6265"/>
      <c r="O74" s="6265"/>
      <c r="P74" s="6266"/>
      <c r="Q74" s="651"/>
    </row>
    <row r="75" spans="1:17" s="118" customFormat="1" ht="22.5" customHeight="1" thickBot="1" x14ac:dyDescent="0.4">
      <c r="A75" s="836"/>
      <c r="B75" s="6248" t="s">
        <v>222</v>
      </c>
      <c r="C75" s="6249"/>
      <c r="D75" s="6249"/>
      <c r="E75" s="6249"/>
      <c r="F75" s="6435" t="e">
        <f>SUM(F54+F73)</f>
        <v>#REF!</v>
      </c>
      <c r="G75" s="6435"/>
      <c r="H75" s="6252"/>
      <c r="I75" s="6253"/>
      <c r="J75" s="6435" t="e">
        <f>SUM(J54+J73)</f>
        <v>#REF!</v>
      </c>
      <c r="K75" s="6435"/>
      <c r="L75" s="994" t="s">
        <v>639</v>
      </c>
      <c r="M75" s="995" t="e">
        <f>J75/F75</f>
        <v>#REF!</v>
      </c>
      <c r="N75" s="996" t="s">
        <v>640</v>
      </c>
      <c r="O75" s="997"/>
      <c r="P75" s="998"/>
      <c r="Q75" s="836"/>
    </row>
    <row r="76" spans="1:17" s="116" customFormat="1" ht="13.5" thickTop="1" x14ac:dyDescent="0.3">
      <c r="A76" s="651"/>
      <c r="B76" s="651"/>
      <c r="C76" s="651"/>
      <c r="D76" s="651"/>
      <c r="E76" s="675"/>
      <c r="F76" s="651"/>
      <c r="G76" s="651"/>
      <c r="H76" s="651"/>
      <c r="I76" s="651"/>
      <c r="J76" s="651"/>
      <c r="K76" s="651"/>
      <c r="L76" s="651"/>
      <c r="M76" s="651"/>
      <c r="N76" s="651"/>
      <c r="O76" s="651"/>
      <c r="P76" s="651"/>
      <c r="Q76" s="651"/>
    </row>
    <row r="77" spans="1:17" s="116" customFormat="1" ht="13.5" thickBot="1" x14ac:dyDescent="0.35">
      <c r="A77" s="651"/>
      <c r="B77" s="651"/>
      <c r="C77" s="651"/>
      <c r="D77" s="651"/>
      <c r="E77" s="651"/>
      <c r="F77" s="651"/>
      <c r="G77" s="651"/>
      <c r="H77" s="651"/>
      <c r="I77" s="651"/>
      <c r="J77" s="651"/>
      <c r="K77" s="651"/>
      <c r="L77" s="651"/>
      <c r="M77" s="651"/>
      <c r="N77" s="651"/>
      <c r="O77" s="651"/>
      <c r="P77" s="651"/>
      <c r="Q77" s="651"/>
    </row>
    <row r="78" spans="1:17" s="116" customFormat="1" ht="27" customHeight="1" thickTop="1" x14ac:dyDescent="0.3">
      <c r="A78" s="651"/>
      <c r="B78" s="6130" t="s">
        <v>516</v>
      </c>
      <c r="C78" s="6131"/>
      <c r="D78" s="6131"/>
      <c r="E78" s="6131"/>
      <c r="F78" s="6131"/>
      <c r="G78" s="6131"/>
      <c r="H78" s="6131"/>
      <c r="I78" s="6131"/>
      <c r="J78" s="6131"/>
      <c r="K78" s="6131"/>
      <c r="L78" s="6131"/>
      <c r="M78" s="6132"/>
      <c r="N78" s="651"/>
      <c r="O78" s="651"/>
      <c r="P78" s="651"/>
      <c r="Q78" s="651"/>
    </row>
    <row r="79" spans="1:17" s="116" customFormat="1" ht="24" customHeight="1" x14ac:dyDescent="0.3">
      <c r="A79" s="651"/>
      <c r="B79" s="6254" t="s">
        <v>1168</v>
      </c>
      <c r="C79" s="6255"/>
      <c r="D79" s="6255"/>
      <c r="E79" s="6256"/>
      <c r="F79" s="6257" t="s">
        <v>497</v>
      </c>
      <c r="G79" s="6256"/>
      <c r="H79" s="6257" t="s">
        <v>492</v>
      </c>
      <c r="I79" s="6256"/>
      <c r="J79" s="6257" t="s">
        <v>1312</v>
      </c>
      <c r="K79" s="6256"/>
      <c r="L79" s="6257" t="s">
        <v>127</v>
      </c>
      <c r="M79" s="6258"/>
      <c r="N79" s="651"/>
      <c r="O79" s="651"/>
      <c r="P79" s="651"/>
      <c r="Q79" s="651"/>
    </row>
    <row r="80" spans="1:17" s="116" customFormat="1" ht="16.899999999999999" customHeight="1" x14ac:dyDescent="0.3">
      <c r="A80" s="651"/>
      <c r="B80" s="6224" t="s">
        <v>491</v>
      </c>
      <c r="C80" s="6225"/>
      <c r="D80" s="6225"/>
      <c r="E80" s="6226"/>
      <c r="F80" s="6243"/>
      <c r="G80" s="6164"/>
      <c r="H80" s="6243"/>
      <c r="I80" s="6164"/>
      <c r="J80" s="6244"/>
      <c r="K80" s="6245"/>
      <c r="L80" s="6246">
        <v>0</v>
      </c>
      <c r="M80" s="6247"/>
      <c r="N80" s="651"/>
      <c r="O80" s="651"/>
      <c r="P80" s="651"/>
      <c r="Q80" s="651"/>
    </row>
    <row r="81" spans="1:17" s="116" customFormat="1" ht="16.899999999999999" customHeight="1" x14ac:dyDescent="0.3">
      <c r="A81" s="651"/>
      <c r="B81" s="6224" t="s">
        <v>490</v>
      </c>
      <c r="C81" s="6225"/>
      <c r="D81" s="6225"/>
      <c r="E81" s="6226"/>
      <c r="F81" s="6239"/>
      <c r="G81" s="6240"/>
      <c r="H81" s="6239"/>
      <c r="I81" s="6240"/>
      <c r="J81" s="6229">
        <f>F9</f>
        <v>437.5</v>
      </c>
      <c r="K81" s="6230"/>
      <c r="L81" s="6241">
        <f>J81*H81*F81</f>
        <v>0</v>
      </c>
      <c r="M81" s="6242"/>
      <c r="N81" s="651"/>
      <c r="O81" s="651"/>
      <c r="P81" s="651"/>
      <c r="Q81" s="651"/>
    </row>
    <row r="82" spans="1:17" s="116" customFormat="1" ht="16.899999999999999" customHeight="1" x14ac:dyDescent="0.3">
      <c r="A82" s="651"/>
      <c r="B82" s="6224" t="s">
        <v>489</v>
      </c>
      <c r="C82" s="6225"/>
      <c r="D82" s="6225"/>
      <c r="E82" s="6226"/>
      <c r="F82" s="6239"/>
      <c r="G82" s="6240"/>
      <c r="H82" s="6239"/>
      <c r="I82" s="6240"/>
      <c r="J82" s="6229">
        <f>F11</f>
        <v>437.5</v>
      </c>
      <c r="K82" s="6230"/>
      <c r="L82" s="6241">
        <f>J82*H82*F82</f>
        <v>0</v>
      </c>
      <c r="M82" s="6242"/>
      <c r="N82" s="651"/>
      <c r="O82" s="651"/>
      <c r="P82" s="651"/>
      <c r="Q82" s="651"/>
    </row>
    <row r="83" spans="1:17" s="116" customFormat="1" ht="16.899999999999999" customHeight="1" x14ac:dyDescent="0.3">
      <c r="A83" s="651"/>
      <c r="B83" s="1513" t="s">
        <v>1322</v>
      </c>
      <c r="C83" s="1514"/>
      <c r="D83" s="1514"/>
      <c r="E83" s="1515"/>
      <c r="F83" s="6239"/>
      <c r="G83" s="6240"/>
      <c r="H83" s="6239"/>
      <c r="I83" s="6240"/>
      <c r="J83" s="6229">
        <f>F83*H83*F12</f>
        <v>0</v>
      </c>
      <c r="K83" s="6230"/>
      <c r="L83" s="6241">
        <f>J83*H83*F83</f>
        <v>0</v>
      </c>
      <c r="M83" s="6242"/>
      <c r="N83" s="651"/>
      <c r="O83" s="651"/>
      <c r="P83" s="651"/>
      <c r="Q83" s="651"/>
    </row>
    <row r="84" spans="1:17" s="116" customFormat="1" ht="16.5" customHeight="1" x14ac:dyDescent="0.3">
      <c r="A84" s="651"/>
      <c r="B84" s="6224" t="s">
        <v>1321</v>
      </c>
      <c r="C84" s="6225"/>
      <c r="D84" s="6225"/>
      <c r="E84" s="6226"/>
      <c r="F84" s="6227"/>
      <c r="G84" s="6228"/>
      <c r="H84" s="6227"/>
      <c r="I84" s="6228"/>
      <c r="J84" s="6229"/>
      <c r="K84" s="6230"/>
      <c r="L84" s="6231"/>
      <c r="M84" s="6232"/>
      <c r="N84" s="651"/>
      <c r="O84" s="651"/>
      <c r="P84" s="651"/>
      <c r="Q84" s="651"/>
    </row>
    <row r="85" spans="1:17" s="116" customFormat="1" ht="16.5" customHeight="1" x14ac:dyDescent="0.3">
      <c r="A85" s="651"/>
      <c r="B85" s="6224" t="s">
        <v>102</v>
      </c>
      <c r="C85" s="6225"/>
      <c r="D85" s="6225"/>
      <c r="E85" s="6226"/>
      <c r="F85" s="6227"/>
      <c r="G85" s="6228"/>
      <c r="H85" s="6227"/>
      <c r="I85" s="6228"/>
      <c r="J85" s="6229"/>
      <c r="K85" s="6230"/>
      <c r="L85" s="6231"/>
      <c r="M85" s="6232"/>
      <c r="N85" s="651"/>
      <c r="O85" s="651"/>
      <c r="P85" s="651"/>
      <c r="Q85" s="651"/>
    </row>
    <row r="86" spans="1:17" s="116" customFormat="1" ht="16.5" customHeight="1" x14ac:dyDescent="0.3">
      <c r="A86" s="651"/>
      <c r="B86" s="6224"/>
      <c r="C86" s="6225"/>
      <c r="D86" s="6225"/>
      <c r="E86" s="6226"/>
      <c r="F86" s="6227"/>
      <c r="G86" s="6228"/>
      <c r="H86" s="6227"/>
      <c r="I86" s="6228"/>
      <c r="J86" s="6229"/>
      <c r="K86" s="6230"/>
      <c r="L86" s="6231"/>
      <c r="M86" s="6232"/>
      <c r="N86" s="651"/>
      <c r="O86" s="651"/>
      <c r="P86" s="651"/>
      <c r="Q86" s="651"/>
    </row>
    <row r="87" spans="1:17" s="116" customFormat="1" ht="16.899999999999999" customHeight="1" x14ac:dyDescent="0.3">
      <c r="A87" s="651"/>
      <c r="B87" s="6233" t="s">
        <v>517</v>
      </c>
      <c r="C87" s="6234"/>
      <c r="D87" s="6234"/>
      <c r="E87" s="6235"/>
      <c r="F87" s="6236">
        <f>SUM(F80:G86)</f>
        <v>0</v>
      </c>
      <c r="G87" s="6235"/>
      <c r="H87" s="6856">
        <f>SUM(H80:I86)</f>
        <v>0</v>
      </c>
      <c r="I87" s="6856"/>
      <c r="J87" s="6236"/>
      <c r="K87" s="6235"/>
      <c r="L87" s="6237">
        <f>SUM(L80:M86)</f>
        <v>0</v>
      </c>
      <c r="M87" s="6238"/>
      <c r="N87" s="651"/>
      <c r="O87" s="651"/>
      <c r="P87" s="651"/>
      <c r="Q87" s="651"/>
    </row>
    <row r="88" spans="1:17" s="116" customFormat="1" ht="16.899999999999999" customHeight="1" thickBot="1" x14ac:dyDescent="0.35">
      <c r="A88" s="651"/>
      <c r="B88" s="6212" t="s">
        <v>1169</v>
      </c>
      <c r="C88" s="6213"/>
      <c r="D88" s="6213"/>
      <c r="E88" s="6214"/>
      <c r="F88" s="6215">
        <v>0.4</v>
      </c>
      <c r="G88" s="6216"/>
      <c r="H88" s="6217"/>
      <c r="I88" s="6214"/>
      <c r="J88" s="6218"/>
      <c r="K88" s="6219"/>
      <c r="L88" s="6220">
        <f>L89-L87</f>
        <v>0</v>
      </c>
      <c r="M88" s="6221"/>
      <c r="N88" s="651"/>
      <c r="O88" s="651"/>
      <c r="P88" s="651"/>
      <c r="Q88" s="651"/>
    </row>
    <row r="89" spans="1:17" s="118" customFormat="1" ht="19.5" customHeight="1" thickTop="1" thickBot="1" x14ac:dyDescent="0.4">
      <c r="A89" s="836"/>
      <c r="B89" s="6222"/>
      <c r="C89" s="6222"/>
      <c r="D89" s="6222"/>
      <c r="E89" s="6222"/>
      <c r="F89" s="6222"/>
      <c r="G89" s="6222"/>
      <c r="H89" s="6222"/>
      <c r="I89" s="6223"/>
      <c r="J89" s="6126" t="s">
        <v>222</v>
      </c>
      <c r="K89" s="6127"/>
      <c r="L89" s="6128">
        <f>L87/F88</f>
        <v>0</v>
      </c>
      <c r="M89" s="6129"/>
      <c r="N89" s="999" t="s">
        <v>639</v>
      </c>
      <c r="O89" s="1000" t="e">
        <f>L89/F75</f>
        <v>#REF!</v>
      </c>
      <c r="P89" s="1001" t="s">
        <v>1067</v>
      </c>
      <c r="Q89" s="836"/>
    </row>
    <row r="90" spans="1:17" s="116" customFormat="1" ht="13.5" thickTop="1" x14ac:dyDescent="0.3">
      <c r="A90" s="651"/>
      <c r="B90" s="675"/>
      <c r="C90" s="651"/>
      <c r="D90" s="651"/>
      <c r="E90" s="651"/>
      <c r="F90" s="651"/>
      <c r="G90" s="651"/>
      <c r="H90" s="651"/>
      <c r="I90" s="651"/>
      <c r="J90" s="651"/>
      <c r="K90" s="651"/>
      <c r="L90" s="651"/>
      <c r="M90" s="651"/>
      <c r="N90" s="651"/>
      <c r="O90" s="651"/>
      <c r="P90" s="651"/>
      <c r="Q90" s="651"/>
    </row>
    <row r="91" spans="1:17" s="116" customFormat="1" ht="13.5" thickBot="1" x14ac:dyDescent="0.35">
      <c r="A91" s="651"/>
      <c r="B91" s="651"/>
      <c r="C91" s="651"/>
      <c r="D91" s="651"/>
      <c r="E91" s="651"/>
      <c r="F91" s="651"/>
      <c r="G91" s="651"/>
      <c r="H91" s="651"/>
      <c r="I91" s="651"/>
      <c r="J91" s="651"/>
      <c r="K91" s="651"/>
      <c r="L91" s="651"/>
      <c r="M91" s="651"/>
      <c r="N91" s="651"/>
      <c r="O91" s="651"/>
      <c r="P91" s="651"/>
      <c r="Q91" s="651"/>
    </row>
    <row r="92" spans="1:17" s="159" customFormat="1" ht="24" customHeight="1" thickTop="1" x14ac:dyDescent="0.35">
      <c r="A92" s="984"/>
      <c r="B92" s="6130" t="s">
        <v>486</v>
      </c>
      <c r="C92" s="6131"/>
      <c r="D92" s="6131"/>
      <c r="E92" s="6131"/>
      <c r="F92" s="6131"/>
      <c r="G92" s="6132"/>
      <c r="H92" s="984"/>
      <c r="I92" s="984"/>
      <c r="J92" s="984"/>
      <c r="K92" s="984"/>
      <c r="L92" s="984"/>
      <c r="M92" s="984"/>
      <c r="N92" s="984"/>
      <c r="O92" s="984"/>
      <c r="P92" s="984"/>
      <c r="Q92" s="984"/>
    </row>
    <row r="93" spans="1:17" s="116" customFormat="1" ht="6.75" customHeight="1" x14ac:dyDescent="0.3">
      <c r="A93" s="651"/>
      <c r="B93" s="6138"/>
      <c r="C93" s="6139"/>
      <c r="D93" s="6139"/>
      <c r="E93" s="6139"/>
      <c r="F93" s="6139"/>
      <c r="G93" s="6140"/>
      <c r="H93" s="651"/>
      <c r="I93" s="651"/>
      <c r="J93" s="651"/>
      <c r="K93" s="651"/>
      <c r="L93" s="651"/>
      <c r="M93" s="651"/>
      <c r="N93" s="651"/>
      <c r="O93" s="651"/>
      <c r="P93" s="651"/>
      <c r="Q93" s="651"/>
    </row>
    <row r="94" spans="1:17" s="116" customFormat="1" ht="15" customHeight="1" x14ac:dyDescent="0.3">
      <c r="A94" s="651"/>
      <c r="B94" s="6141" t="s">
        <v>638</v>
      </c>
      <c r="C94" s="6142"/>
      <c r="D94" s="6142"/>
      <c r="E94" s="6143"/>
      <c r="F94" s="6144" t="e">
        <f>J75</f>
        <v>#REF!</v>
      </c>
      <c r="G94" s="6145"/>
      <c r="H94" s="651"/>
      <c r="I94" s="651"/>
      <c r="J94" s="651"/>
      <c r="K94" s="651"/>
      <c r="L94" s="651"/>
      <c r="M94" s="651"/>
      <c r="N94" s="651"/>
      <c r="O94" s="651"/>
      <c r="P94" s="651"/>
      <c r="Q94" s="651"/>
    </row>
    <row r="95" spans="1:17" s="116" customFormat="1" ht="15" customHeight="1" x14ac:dyDescent="0.3">
      <c r="A95" s="651"/>
      <c r="B95" s="6141" t="s">
        <v>488</v>
      </c>
      <c r="C95" s="6142"/>
      <c r="D95" s="6142"/>
      <c r="E95" s="6143"/>
      <c r="F95" s="6144">
        <f>L89</f>
        <v>0</v>
      </c>
      <c r="G95" s="6145"/>
      <c r="H95" s="651"/>
      <c r="I95" s="651"/>
      <c r="J95" s="651"/>
      <c r="K95" s="651"/>
      <c r="L95" s="651"/>
      <c r="M95" s="651"/>
      <c r="N95" s="651"/>
      <c r="O95" s="651"/>
      <c r="P95" s="651"/>
      <c r="Q95" s="651"/>
    </row>
    <row r="96" spans="1:17" s="116" customFormat="1" ht="6" customHeight="1" thickBot="1" x14ac:dyDescent="0.35">
      <c r="A96" s="651"/>
      <c r="B96" s="6123"/>
      <c r="C96" s="6124"/>
      <c r="D96" s="6124"/>
      <c r="E96" s="6124"/>
      <c r="F96" s="6124"/>
      <c r="G96" s="6125"/>
      <c r="H96" s="651"/>
      <c r="I96" s="651"/>
      <c r="J96" s="651"/>
      <c r="K96" s="651"/>
      <c r="L96" s="651"/>
      <c r="M96" s="651"/>
      <c r="N96" s="651"/>
      <c r="O96" s="651"/>
      <c r="P96" s="651"/>
      <c r="Q96" s="651"/>
    </row>
    <row r="97" spans="1:17" s="160" customFormat="1" ht="19.5" thickTop="1" thickBot="1" x14ac:dyDescent="0.4">
      <c r="A97" s="985"/>
      <c r="B97" s="986"/>
      <c r="C97" s="987"/>
      <c r="D97" s="6126" t="s">
        <v>222</v>
      </c>
      <c r="E97" s="6127"/>
      <c r="F97" s="6128" t="e">
        <f>F94-F95</f>
        <v>#REF!</v>
      </c>
      <c r="G97" s="6129"/>
      <c r="H97" s="1002" t="s">
        <v>639</v>
      </c>
      <c r="I97" s="1003" t="e">
        <f>F97/F75</f>
        <v>#REF!</v>
      </c>
      <c r="J97" s="1004" t="s">
        <v>1067</v>
      </c>
      <c r="K97" s="985"/>
      <c r="L97" s="985"/>
      <c r="M97" s="985"/>
      <c r="N97" s="985"/>
      <c r="O97" s="985"/>
      <c r="P97" s="985"/>
      <c r="Q97" s="985"/>
    </row>
    <row r="98" spans="1:17" s="116" customFormat="1" ht="13.5" thickTop="1" x14ac:dyDescent="0.3">
      <c r="A98" s="651"/>
      <c r="B98" s="651"/>
      <c r="C98" s="651"/>
      <c r="D98" s="651"/>
      <c r="E98" s="651"/>
      <c r="F98" s="651"/>
      <c r="G98" s="651"/>
      <c r="H98" s="651"/>
      <c r="I98" s="651"/>
      <c r="J98" s="651"/>
      <c r="K98" s="651"/>
      <c r="L98" s="651"/>
      <c r="M98" s="651"/>
      <c r="N98" s="651"/>
      <c r="O98" s="651"/>
      <c r="P98" s="651"/>
      <c r="Q98" s="651"/>
    </row>
    <row r="99" spans="1:17" s="116" customFormat="1" ht="13.5" thickBot="1" x14ac:dyDescent="0.35">
      <c r="A99" s="651"/>
      <c r="B99" s="651"/>
      <c r="C99" s="651"/>
      <c r="D99" s="651"/>
      <c r="E99" s="651"/>
      <c r="F99" s="651"/>
      <c r="G99" s="651"/>
      <c r="H99" s="651"/>
      <c r="I99" s="651"/>
      <c r="J99" s="651"/>
      <c r="K99" s="651"/>
      <c r="L99" s="651"/>
      <c r="M99" s="651"/>
      <c r="N99" s="651"/>
      <c r="O99" s="651"/>
      <c r="P99" s="651"/>
      <c r="Q99" s="651"/>
    </row>
    <row r="100" spans="1:17" s="116" customFormat="1" ht="27.75" customHeight="1" thickTop="1" x14ac:dyDescent="0.3">
      <c r="A100" s="651"/>
      <c r="B100" s="6130" t="s">
        <v>518</v>
      </c>
      <c r="C100" s="6131"/>
      <c r="D100" s="6131"/>
      <c r="E100" s="6131"/>
      <c r="F100" s="6131"/>
      <c r="G100" s="6132"/>
      <c r="H100" s="651"/>
      <c r="I100" s="651"/>
      <c r="J100" s="651"/>
      <c r="K100" s="651"/>
      <c r="L100" s="651"/>
      <c r="M100" s="651"/>
      <c r="N100" s="651"/>
      <c r="O100" s="651"/>
      <c r="P100" s="651"/>
      <c r="Q100" s="651"/>
    </row>
    <row r="101" spans="1:17" s="116" customFormat="1" ht="6.75" customHeight="1" x14ac:dyDescent="0.3">
      <c r="A101" s="651"/>
      <c r="B101" s="6133"/>
      <c r="C101" s="6134"/>
      <c r="D101" s="6134"/>
      <c r="E101" s="6134"/>
      <c r="F101" s="6134"/>
      <c r="G101" s="6135"/>
      <c r="H101" s="651"/>
      <c r="I101" s="651"/>
      <c r="J101" s="651"/>
      <c r="K101" s="651"/>
      <c r="L101" s="651"/>
      <c r="M101" s="651"/>
      <c r="N101" s="651"/>
      <c r="O101" s="651"/>
      <c r="P101" s="651"/>
      <c r="Q101" s="651"/>
    </row>
    <row r="102" spans="1:17" s="116" customFormat="1" ht="15" customHeight="1" x14ac:dyDescent="0.3">
      <c r="A102" s="651"/>
      <c r="B102" s="988" t="s">
        <v>487</v>
      </c>
      <c r="C102" s="989"/>
      <c r="D102" s="989"/>
      <c r="E102" s="990"/>
      <c r="F102" s="6136">
        <f>L31</f>
        <v>0</v>
      </c>
      <c r="G102" s="6137"/>
      <c r="H102" s="651"/>
      <c r="I102" s="651"/>
      <c r="J102" s="651"/>
      <c r="K102" s="651"/>
      <c r="L102" s="651"/>
      <c r="M102" s="651"/>
      <c r="N102" s="651"/>
      <c r="O102" s="651"/>
      <c r="P102" s="651"/>
      <c r="Q102" s="651"/>
    </row>
    <row r="103" spans="1:17" s="116" customFormat="1" ht="15" customHeight="1" x14ac:dyDescent="0.3">
      <c r="A103" s="651"/>
      <c r="B103" s="988" t="s">
        <v>486</v>
      </c>
      <c r="C103" s="989"/>
      <c r="D103" s="989"/>
      <c r="E103" s="990"/>
      <c r="F103" s="6136" t="e">
        <f>F97</f>
        <v>#REF!</v>
      </c>
      <c r="G103" s="6137"/>
      <c r="H103" s="651"/>
      <c r="I103" s="651"/>
      <c r="J103" s="651"/>
      <c r="K103" s="651"/>
      <c r="L103" s="651"/>
      <c r="M103" s="651"/>
      <c r="N103" s="651"/>
      <c r="O103" s="651"/>
      <c r="P103" s="651"/>
      <c r="Q103" s="651"/>
    </row>
    <row r="104" spans="1:17" s="116" customFormat="1" ht="6.75" customHeight="1" x14ac:dyDescent="0.3">
      <c r="A104" s="651"/>
      <c r="B104" s="6187"/>
      <c r="C104" s="6188"/>
      <c r="D104" s="6188"/>
      <c r="E104" s="6188"/>
      <c r="F104" s="6188"/>
      <c r="G104" s="6189"/>
      <c r="H104" s="651"/>
      <c r="I104" s="651"/>
      <c r="J104" s="651"/>
      <c r="K104" s="651"/>
      <c r="L104" s="651"/>
      <c r="M104" s="651"/>
      <c r="N104" s="651"/>
      <c r="O104" s="651"/>
      <c r="P104" s="651"/>
      <c r="Q104" s="651"/>
    </row>
    <row r="105" spans="1:17" s="116" customFormat="1" ht="16.5" customHeight="1" thickBot="1" x14ac:dyDescent="0.35">
      <c r="A105" s="651"/>
      <c r="B105" s="6190" t="s">
        <v>1068</v>
      </c>
      <c r="C105" s="6191"/>
      <c r="D105" s="6191"/>
      <c r="E105" s="6192"/>
      <c r="F105" s="6193" t="e">
        <f>F103-F102</f>
        <v>#REF!</v>
      </c>
      <c r="G105" s="6194"/>
      <c r="H105" s="651"/>
      <c r="I105" s="651"/>
      <c r="J105" s="651"/>
      <c r="K105" s="651"/>
      <c r="L105" s="651"/>
      <c r="M105" s="651"/>
      <c r="N105" s="651"/>
      <c r="O105" s="651"/>
      <c r="P105" s="651"/>
      <c r="Q105" s="651"/>
    </row>
    <row r="106" spans="1:17" s="116" customFormat="1" ht="19.5" thickTop="1" thickBot="1" x14ac:dyDescent="0.35">
      <c r="A106" s="651"/>
      <c r="B106" s="991"/>
      <c r="C106" s="992"/>
      <c r="D106" s="6126" t="s">
        <v>901</v>
      </c>
      <c r="E106" s="6127"/>
      <c r="F106" s="6195" t="e">
        <f>(F102/F103)</f>
        <v>#REF!</v>
      </c>
      <c r="G106" s="6196"/>
      <c r="H106" s="651"/>
      <c r="I106" s="651" t="s">
        <v>1846</v>
      </c>
      <c r="J106" s="651"/>
      <c r="K106" s="651"/>
      <c r="L106" s="651"/>
      <c r="M106" s="651"/>
      <c r="N106" s="651"/>
      <c r="O106" s="651"/>
      <c r="P106" s="651"/>
      <c r="Q106" s="651"/>
    </row>
    <row r="107" spans="1:17" s="116" customFormat="1" ht="13.5" thickTop="1" x14ac:dyDescent="0.3">
      <c r="A107" s="678"/>
      <c r="B107" s="678"/>
      <c r="C107" s="678"/>
      <c r="D107" s="651"/>
      <c r="E107" s="651"/>
      <c r="F107" s="651"/>
      <c r="G107" s="651"/>
      <c r="H107" s="651"/>
      <c r="I107" s="651"/>
      <c r="J107" s="651"/>
      <c r="K107" s="651"/>
      <c r="L107" s="651"/>
      <c r="M107" s="651"/>
      <c r="N107" s="651"/>
      <c r="O107" s="651"/>
      <c r="P107" s="651"/>
      <c r="Q107" s="651"/>
    </row>
    <row r="108" spans="1:17" s="116" customFormat="1" ht="13" x14ac:dyDescent="0.3">
      <c r="A108" s="651"/>
      <c r="B108" s="651"/>
      <c r="C108" s="651"/>
      <c r="D108" s="651"/>
      <c r="E108" s="651"/>
      <c r="F108" s="651"/>
      <c r="G108" s="651"/>
      <c r="H108" s="651"/>
      <c r="I108" s="651"/>
      <c r="J108" s="651"/>
      <c r="K108" s="651"/>
      <c r="L108" s="651"/>
      <c r="M108" s="651"/>
      <c r="N108" s="651"/>
      <c r="O108" s="651"/>
      <c r="P108" s="651"/>
      <c r="Q108" s="651"/>
    </row>
    <row r="109" spans="1:17" s="116" customFormat="1" ht="13" x14ac:dyDescent="0.3">
      <c r="A109" s="651"/>
      <c r="B109" s="651"/>
      <c r="C109" s="651"/>
      <c r="D109" s="651"/>
      <c r="E109" s="651"/>
      <c r="F109" s="651"/>
      <c r="G109" s="651"/>
      <c r="H109" s="651"/>
      <c r="I109" s="651"/>
      <c r="J109" s="651"/>
      <c r="K109" s="651"/>
      <c r="L109" s="651"/>
      <c r="M109" s="651"/>
      <c r="N109" s="651"/>
      <c r="O109" s="651"/>
      <c r="P109" s="651"/>
      <c r="Q109" s="651"/>
    </row>
    <row r="110" spans="1:17" s="118" customFormat="1" ht="20.25" customHeight="1" thickBot="1" x14ac:dyDescent="0.4">
      <c r="A110" s="6197" t="s">
        <v>1247</v>
      </c>
      <c r="B110" s="6198"/>
      <c r="C110" s="6198"/>
      <c r="D110" s="6198"/>
      <c r="E110" s="6198"/>
      <c r="F110" s="6198"/>
      <c r="G110" s="6198"/>
      <c r="H110" s="6198"/>
      <c r="I110" s="6198"/>
      <c r="J110" s="6198"/>
      <c r="K110" s="6198"/>
      <c r="L110" s="6198"/>
      <c r="M110" s="836"/>
      <c r="N110" s="836"/>
      <c r="O110" s="836"/>
      <c r="P110" s="836"/>
      <c r="Q110" s="836"/>
    </row>
    <row r="111" spans="1:17" s="116" customFormat="1" ht="15" customHeight="1" thickTop="1" x14ac:dyDescent="0.3">
      <c r="A111" s="6199"/>
      <c r="B111" s="6200"/>
      <c r="C111" s="6200"/>
      <c r="D111" s="6201"/>
      <c r="E111" s="6202" t="s">
        <v>775</v>
      </c>
      <c r="F111" s="6202"/>
      <c r="G111" s="6202" t="s">
        <v>1171</v>
      </c>
      <c r="H111" s="6202"/>
      <c r="I111" s="6202" t="s">
        <v>1172</v>
      </c>
      <c r="J111" s="6203"/>
      <c r="K111" s="6204" t="s">
        <v>1254</v>
      </c>
      <c r="L111" s="6205"/>
      <c r="M111" s="651"/>
      <c r="N111" s="651"/>
      <c r="O111" s="651"/>
      <c r="P111" s="651"/>
      <c r="Q111" s="651"/>
    </row>
    <row r="112" spans="1:17" s="116" customFormat="1" ht="13" x14ac:dyDescent="0.3">
      <c r="A112" s="6206" t="s">
        <v>1245</v>
      </c>
      <c r="B112" s="6207"/>
      <c r="C112" s="6207"/>
      <c r="D112" s="6208"/>
      <c r="E112" s="6209">
        <v>0.3</v>
      </c>
      <c r="F112" s="6210"/>
      <c r="G112" s="6209">
        <v>0.1</v>
      </c>
      <c r="H112" s="6210"/>
      <c r="I112" s="6209">
        <v>0.1</v>
      </c>
      <c r="J112" s="6211"/>
      <c r="K112" s="1187"/>
      <c r="L112" s="1188"/>
      <c r="M112" s="651"/>
      <c r="N112" s="651"/>
      <c r="O112" s="651"/>
      <c r="P112" s="651"/>
      <c r="Q112" s="651"/>
    </row>
    <row r="113" spans="1:17" s="158" customFormat="1" ht="12.75" customHeight="1" x14ac:dyDescent="0.3">
      <c r="A113" s="6107" t="s">
        <v>641</v>
      </c>
      <c r="B113" s="6108"/>
      <c r="C113" s="6108"/>
      <c r="D113" s="6109"/>
      <c r="E113" s="6110">
        <v>1</v>
      </c>
      <c r="F113" s="6111"/>
      <c r="G113" s="6110">
        <v>1</v>
      </c>
      <c r="H113" s="6111"/>
      <c r="I113" s="6112">
        <v>1</v>
      </c>
      <c r="J113" s="6113"/>
      <c r="K113" s="6114">
        <f>SUM(E113:J113)</f>
        <v>3</v>
      </c>
      <c r="L113" s="6115"/>
      <c r="M113" s="675"/>
      <c r="N113" s="675"/>
      <c r="O113" s="675"/>
      <c r="P113" s="675"/>
      <c r="Q113" s="675"/>
    </row>
    <row r="114" spans="1:17" s="1534" customFormat="1" ht="4.9000000000000004" customHeight="1" x14ac:dyDescent="0.3">
      <c r="A114" s="6116"/>
      <c r="B114" s="6117"/>
      <c r="C114" s="6117"/>
      <c r="D114" s="6118"/>
      <c r="E114" s="6119"/>
      <c r="F114" s="6120"/>
      <c r="G114" s="6120"/>
      <c r="H114" s="6121"/>
      <c r="I114" s="6119"/>
      <c r="J114" s="6122"/>
      <c r="K114" s="1531"/>
      <c r="L114" s="1532"/>
      <c r="M114" s="1533"/>
      <c r="N114" s="1533"/>
      <c r="O114" s="1533"/>
      <c r="P114" s="1533"/>
      <c r="Q114" s="1533"/>
    </row>
    <row r="115" spans="1:17" s="116" customFormat="1" ht="15" customHeight="1" x14ac:dyDescent="0.3">
      <c r="A115" s="6104" t="s">
        <v>1483</v>
      </c>
      <c r="B115" s="6105"/>
      <c r="C115" s="6105"/>
      <c r="D115" s="6106"/>
      <c r="E115" s="6090"/>
      <c r="F115" s="6091"/>
      <c r="G115" s="6091"/>
      <c r="H115" s="6092"/>
      <c r="I115" s="6090"/>
      <c r="J115" s="6091"/>
      <c r="K115" s="1189"/>
      <c r="L115" s="1190"/>
      <c r="M115" s="651"/>
      <c r="N115" s="651"/>
      <c r="O115" s="651"/>
      <c r="P115" s="651"/>
      <c r="Q115" s="651"/>
    </row>
    <row r="116" spans="1:17" s="116" customFormat="1" ht="13" x14ac:dyDescent="0.3">
      <c r="A116" s="6090" t="str">
        <f>"CA ventes one shot (set up…) pour "&amp;NomClient</f>
        <v xml:space="preserve">CA ventes one shot (set up…) pour EQUINIX </v>
      </c>
      <c r="B116" s="6091"/>
      <c r="C116" s="6091"/>
      <c r="D116" s="6092"/>
      <c r="E116" s="6033">
        <f>BUSINESSCARD!G10*E113</f>
        <v>0</v>
      </c>
      <c r="F116" s="6033"/>
      <c r="G116" s="6033">
        <f>E116/E113*G113</f>
        <v>0</v>
      </c>
      <c r="H116" s="6033"/>
      <c r="I116" s="6016">
        <f>E116/E113*I113</f>
        <v>0</v>
      </c>
      <c r="J116" s="6064"/>
      <c r="K116" s="5992">
        <f>SUM(E116:J116)</f>
        <v>0</v>
      </c>
      <c r="L116" s="5993"/>
      <c r="M116" s="651"/>
      <c r="N116" s="651"/>
      <c r="O116" s="651"/>
      <c r="P116" s="651"/>
      <c r="Q116" s="651"/>
    </row>
    <row r="117" spans="1:17" s="116" customFormat="1" ht="7.5" customHeight="1" x14ac:dyDescent="0.3">
      <c r="A117" s="6090"/>
      <c r="B117" s="6091"/>
      <c r="C117" s="6091"/>
      <c r="D117" s="6092"/>
      <c r="E117" s="6016"/>
      <c r="F117" s="6017"/>
      <c r="G117" s="6016"/>
      <c r="H117" s="6017"/>
      <c r="I117" s="6016"/>
      <c r="J117" s="6064"/>
      <c r="K117" s="5998"/>
      <c r="L117" s="5999"/>
      <c r="M117" s="651"/>
      <c r="N117" s="651"/>
      <c r="O117" s="651"/>
      <c r="P117" s="651"/>
      <c r="Q117" s="651"/>
    </row>
    <row r="118" spans="1:17" s="116" customFormat="1" ht="28.5" customHeight="1" x14ac:dyDescent="0.3">
      <c r="A118" s="6101" t="str">
        <f>"CA vente récurrente 1° année ( SaaS, maintenance … ) pour "&amp;NomClient</f>
        <v xml:space="preserve">CA vente récurrente 1° année ( SaaS, maintenance … ) pour EQUINIX </v>
      </c>
      <c r="B118" s="6102"/>
      <c r="C118" s="6102"/>
      <c r="D118" s="6103"/>
      <c r="E118" s="6033">
        <f>BUSINESSCARD!G19*E113</f>
        <v>92760</v>
      </c>
      <c r="F118" s="6033"/>
      <c r="G118" s="6016">
        <f>E118/E113*G113</f>
        <v>92760</v>
      </c>
      <c r="H118" s="6017"/>
      <c r="I118" s="6016">
        <f>G118/G113*I113</f>
        <v>92760</v>
      </c>
      <c r="J118" s="6064"/>
      <c r="K118" s="5992">
        <f t="shared" ref="K118:K124" si="4">SUM(E118:J118)</f>
        <v>278280</v>
      </c>
      <c r="L118" s="5993"/>
      <c r="M118" s="651"/>
      <c r="N118" s="651"/>
      <c r="O118" s="651"/>
      <c r="P118" s="651"/>
      <c r="Q118" s="651"/>
    </row>
    <row r="119" spans="1:17" s="116" customFormat="1" ht="26.25" customHeight="1" x14ac:dyDescent="0.3">
      <c r="A119" s="6101" t="str">
        <f>"CA vente récurrente des années précédentes ( SaaS, maintenance … ) pour "&amp;NomClient</f>
        <v xml:space="preserve">CA vente récurrente des années précédentes ( SaaS, maintenance … ) pour EQUINIX </v>
      </c>
      <c r="B119" s="6102"/>
      <c r="C119" s="6102"/>
      <c r="D119" s="6103"/>
      <c r="E119" s="6016"/>
      <c r="F119" s="6017"/>
      <c r="G119" s="6016">
        <f>E118</f>
        <v>92760</v>
      </c>
      <c r="H119" s="6017"/>
      <c r="I119" s="6016">
        <f>G119+G118</f>
        <v>185520</v>
      </c>
      <c r="J119" s="6064"/>
      <c r="K119" s="5992">
        <f t="shared" si="4"/>
        <v>278280</v>
      </c>
      <c r="L119" s="5993"/>
      <c r="M119" s="651"/>
      <c r="N119" s="651"/>
      <c r="O119" s="651"/>
      <c r="P119" s="651"/>
      <c r="Q119" s="651"/>
    </row>
    <row r="120" spans="1:17" s="116" customFormat="1" ht="6" customHeight="1" x14ac:dyDescent="0.3">
      <c r="A120" s="6090"/>
      <c r="B120" s="6091"/>
      <c r="C120" s="6091"/>
      <c r="D120" s="6092"/>
      <c r="E120" s="6016"/>
      <c r="F120" s="6017"/>
      <c r="G120" s="6016"/>
      <c r="H120" s="6017"/>
      <c r="I120" s="6016"/>
      <c r="J120" s="6064"/>
      <c r="K120" s="5998"/>
      <c r="L120" s="5999"/>
      <c r="M120" s="651"/>
      <c r="N120" s="651"/>
      <c r="O120" s="651"/>
      <c r="P120" s="651"/>
      <c r="Q120" s="651"/>
    </row>
    <row r="121" spans="1:17" s="116" customFormat="1" ht="13" x14ac:dyDescent="0.3">
      <c r="A121" s="6090" t="s">
        <v>1855</v>
      </c>
      <c r="B121" s="6091"/>
      <c r="C121" s="6091"/>
      <c r="D121" s="6092"/>
      <c r="E121" s="6016">
        <f>BUSINESSCARD!K43*'09-PROFITPARTNER-OFR1'!E113:F113</f>
        <v>185000</v>
      </c>
      <c r="F121" s="6017"/>
      <c r="G121" s="6016" t="e">
        <f>F73*G113</f>
        <v>#REF!</v>
      </c>
      <c r="H121" s="6017"/>
      <c r="I121" s="6016" t="e">
        <f>F73*I113</f>
        <v>#REF!</v>
      </c>
      <c r="J121" s="6064"/>
      <c r="K121" s="5992" t="e">
        <f t="shared" si="4"/>
        <v>#REF!</v>
      </c>
      <c r="L121" s="5993"/>
      <c r="M121" s="651"/>
      <c r="N121" s="651"/>
      <c r="O121" s="651"/>
      <c r="P121" s="651"/>
      <c r="Q121" s="651"/>
    </row>
    <row r="122" spans="1:17" s="116" customFormat="1" ht="6" customHeight="1" x14ac:dyDescent="0.3">
      <c r="A122" s="6090"/>
      <c r="B122" s="6091"/>
      <c r="C122" s="6091"/>
      <c r="D122" s="6092"/>
      <c r="E122" s="6016"/>
      <c r="F122" s="6017"/>
      <c r="G122" s="6016"/>
      <c r="H122" s="6017"/>
      <c r="I122" s="6016"/>
      <c r="J122" s="6064"/>
      <c r="K122" s="5992"/>
      <c r="L122" s="6093"/>
      <c r="M122" s="651"/>
      <c r="N122" s="651"/>
      <c r="O122" s="651"/>
      <c r="P122" s="651"/>
      <c r="Q122" s="651"/>
    </row>
    <row r="123" spans="1:17" s="116" customFormat="1" ht="13" x14ac:dyDescent="0.3">
      <c r="A123" s="6090" t="s">
        <v>1850</v>
      </c>
      <c r="B123" s="6091"/>
      <c r="C123" s="6091"/>
      <c r="D123" s="6092"/>
      <c r="E123" s="6016"/>
      <c r="F123" s="6017"/>
      <c r="G123" s="6016">
        <f>((BUSINESSCARD!G51/2)+(BUSINESSCARD!G53/2))*'09-PROFITPARTNER-OFR1'!E113</f>
        <v>92000</v>
      </c>
      <c r="H123" s="6017"/>
      <c r="I123" s="6016">
        <f>G123+(G123/E113*G113)</f>
        <v>184000</v>
      </c>
      <c r="J123" s="6017"/>
      <c r="K123" s="5992">
        <f>SUM(E123:J123)</f>
        <v>276000</v>
      </c>
      <c r="L123" s="5993"/>
      <c r="M123" s="651"/>
      <c r="N123" s="651"/>
      <c r="O123" s="651"/>
      <c r="P123" s="651"/>
      <c r="Q123" s="651"/>
    </row>
    <row r="124" spans="1:17" s="116" customFormat="1" ht="13" x14ac:dyDescent="0.3">
      <c r="A124" s="6090" t="s">
        <v>1851</v>
      </c>
      <c r="B124" s="6091"/>
      <c r="C124" s="6091"/>
      <c r="D124" s="6092"/>
      <c r="E124" s="6016"/>
      <c r="F124" s="6017"/>
      <c r="G124" s="6016">
        <f>(BUSINESSCARD!G54/2*'09-PROFITPARTNER-OFR1'!E113)</f>
        <v>0</v>
      </c>
      <c r="H124" s="6017"/>
      <c r="I124" s="6016">
        <f>G124+(G124/E113*G113)</f>
        <v>0</v>
      </c>
      <c r="J124" s="6064"/>
      <c r="K124" s="5992">
        <f t="shared" si="4"/>
        <v>0</v>
      </c>
      <c r="L124" s="5993"/>
      <c r="M124" s="651"/>
      <c r="N124" s="651"/>
      <c r="O124" s="651"/>
      <c r="P124" s="651"/>
      <c r="Q124" s="651"/>
    </row>
    <row r="125" spans="1:17" s="116" customFormat="1" ht="3.75" customHeight="1" x14ac:dyDescent="0.3">
      <c r="A125" s="6019"/>
      <c r="B125" s="6020"/>
      <c r="C125" s="6020"/>
      <c r="D125" s="6020"/>
      <c r="E125" s="6020"/>
      <c r="F125" s="6020"/>
      <c r="G125" s="6020"/>
      <c r="H125" s="6020"/>
      <c r="I125" s="6020"/>
      <c r="J125" s="6055"/>
      <c r="K125" s="6080"/>
      <c r="L125" s="5999"/>
      <c r="M125" s="651"/>
      <c r="N125" s="651"/>
      <c r="O125" s="651"/>
      <c r="P125" s="651"/>
      <c r="Q125" s="651"/>
    </row>
    <row r="126" spans="1:17" s="116" customFormat="1" ht="13.5" thickBot="1" x14ac:dyDescent="0.35">
      <c r="A126" s="6094" t="s">
        <v>1488</v>
      </c>
      <c r="B126" s="6095"/>
      <c r="C126" s="6095"/>
      <c r="D126" s="6095"/>
      <c r="E126" s="6096">
        <f>SUM(E116:F124)</f>
        <v>277760</v>
      </c>
      <c r="F126" s="6097"/>
      <c r="G126" s="6096" t="e">
        <f>SUM(G116:H124)</f>
        <v>#REF!</v>
      </c>
      <c r="H126" s="6097"/>
      <c r="I126" s="6096" t="e">
        <f>SUM(I116:J124)</f>
        <v>#REF!</v>
      </c>
      <c r="J126" s="6098"/>
      <c r="K126" s="6099" t="e">
        <f>SUM(E126:J126)</f>
        <v>#REF!</v>
      </c>
      <c r="L126" s="6100"/>
      <c r="M126" s="651"/>
      <c r="N126" s="651"/>
      <c r="O126" s="651"/>
      <c r="P126" s="651"/>
      <c r="Q126" s="651"/>
    </row>
    <row r="127" spans="1:17" s="116" customFormat="1" ht="13.15" customHeight="1" thickBot="1" x14ac:dyDescent="0.35">
      <c r="A127" s="6073"/>
      <c r="B127" s="6074"/>
      <c r="C127" s="6074"/>
      <c r="D127" s="6075"/>
      <c r="E127" s="6076"/>
      <c r="F127" s="6077"/>
      <c r="G127" s="6076"/>
      <c r="H127" s="6077"/>
      <c r="I127" s="6078"/>
      <c r="J127" s="6079"/>
      <c r="K127" s="6080"/>
      <c r="L127" s="5999"/>
      <c r="M127" s="651"/>
      <c r="N127" s="651"/>
      <c r="O127" s="651"/>
      <c r="P127" s="651"/>
      <c r="Q127" s="651"/>
    </row>
    <row r="128" spans="1:17" s="116" customFormat="1" ht="17.25" customHeight="1" x14ac:dyDescent="0.3">
      <c r="A128" s="6081" t="s">
        <v>1489</v>
      </c>
      <c r="B128" s="6082"/>
      <c r="C128" s="6082"/>
      <c r="D128" s="6083"/>
      <c r="E128" s="6084"/>
      <c r="F128" s="6085"/>
      <c r="G128" s="6084"/>
      <c r="H128" s="6085"/>
      <c r="I128" s="6086"/>
      <c r="J128" s="6087"/>
      <c r="K128" s="6088"/>
      <c r="L128" s="6089"/>
      <c r="M128" s="651"/>
      <c r="N128" s="651"/>
      <c r="O128" s="651"/>
      <c r="P128" s="651"/>
      <c r="Q128" s="651"/>
    </row>
    <row r="129" spans="1:17" s="116" customFormat="1" ht="13" x14ac:dyDescent="0.3">
      <c r="A129" s="6070" t="s">
        <v>1848</v>
      </c>
      <c r="B129" s="6071"/>
      <c r="C129" s="6071"/>
      <c r="D129" s="6072"/>
      <c r="E129" s="6855">
        <f>BUSINESSCARD!K10*'09-PROFITPARTNER-OFR1'!E113</f>
        <v>0</v>
      </c>
      <c r="F129" s="6017"/>
      <c r="G129" s="6855">
        <f>BUSINESSCARD!K10*'09-PROFITPARTNER-OFR1'!G113</f>
        <v>0</v>
      </c>
      <c r="H129" s="6017"/>
      <c r="I129" s="6855">
        <f>BUSINESSCARD!K10*'09-PROFITPARTNER-OFR1'!I113</f>
        <v>0</v>
      </c>
      <c r="J129" s="6017"/>
      <c r="K129" s="5992">
        <f>SUM(E129:J129)</f>
        <v>0</v>
      </c>
      <c r="L129" s="5993"/>
      <c r="M129" s="651"/>
      <c r="N129" s="651"/>
      <c r="O129" s="651"/>
      <c r="P129" s="651"/>
      <c r="Q129" s="651"/>
    </row>
    <row r="130" spans="1:17" s="116" customFormat="1" ht="6" customHeight="1" x14ac:dyDescent="0.3">
      <c r="A130" s="1516"/>
      <c r="B130" s="1517"/>
      <c r="C130" s="1517"/>
      <c r="D130" s="1518"/>
      <c r="E130" s="1510"/>
      <c r="F130" s="1512"/>
      <c r="G130" s="1510"/>
      <c r="H130" s="1512"/>
      <c r="I130" s="1510"/>
      <c r="J130" s="1511"/>
      <c r="K130" s="6068"/>
      <c r="L130" s="6069"/>
      <c r="M130" s="651"/>
      <c r="N130" s="651"/>
      <c r="O130" s="651"/>
      <c r="P130" s="651"/>
      <c r="Q130" s="651"/>
    </row>
    <row r="131" spans="1:17" s="116" customFormat="1" ht="27" customHeight="1" x14ac:dyDescent="0.3">
      <c r="A131" s="6052" t="s">
        <v>1849</v>
      </c>
      <c r="B131" s="6053"/>
      <c r="C131" s="6053"/>
      <c r="D131" s="6054"/>
      <c r="E131" s="6016">
        <f>BUSINESSCARD!K19*E113</f>
        <v>5565.6</v>
      </c>
      <c r="F131" s="6017"/>
      <c r="G131" s="6016">
        <f>G118*E112</f>
        <v>27828</v>
      </c>
      <c r="H131" s="6017"/>
      <c r="I131" s="6016">
        <f>I118*E112</f>
        <v>27828</v>
      </c>
      <c r="J131" s="6064"/>
      <c r="K131" s="5992">
        <f>SUM(E131:J131)</f>
        <v>61221.599999999999</v>
      </c>
      <c r="L131" s="5993"/>
      <c r="M131" s="651"/>
      <c r="N131" s="651"/>
      <c r="O131" s="651"/>
      <c r="P131" s="651"/>
      <c r="Q131" s="651"/>
    </row>
    <row r="132" spans="1:17" s="116" customFormat="1" ht="27" customHeight="1" x14ac:dyDescent="0.3">
      <c r="A132" s="6052" t="s">
        <v>1856</v>
      </c>
      <c r="B132" s="6053"/>
      <c r="C132" s="6053"/>
      <c r="D132" s="6054"/>
      <c r="E132" s="6016"/>
      <c r="F132" s="6017"/>
      <c r="G132" s="6016">
        <f>E118*G112</f>
        <v>9276</v>
      </c>
      <c r="H132" s="6017"/>
      <c r="I132" s="6016">
        <f>(E118*I112)+(G118*G112)</f>
        <v>18552</v>
      </c>
      <c r="J132" s="6064"/>
      <c r="K132" s="5992">
        <f>SUM(E132:J132)</f>
        <v>27828</v>
      </c>
      <c r="L132" s="5993"/>
      <c r="M132" s="651"/>
      <c r="N132" s="651"/>
      <c r="O132" s="651"/>
      <c r="P132" s="651"/>
      <c r="Q132" s="651"/>
    </row>
    <row r="133" spans="1:17" s="117" customFormat="1" ht="4.5" customHeight="1" x14ac:dyDescent="0.3">
      <c r="A133" s="6065"/>
      <c r="B133" s="6066"/>
      <c r="C133" s="6066"/>
      <c r="D133" s="6067"/>
      <c r="E133" s="6016"/>
      <c r="F133" s="6017"/>
      <c r="G133" s="6016"/>
      <c r="H133" s="6017"/>
      <c r="I133" s="6016"/>
      <c r="J133" s="6064"/>
      <c r="K133" s="6068"/>
      <c r="L133" s="6069"/>
      <c r="M133" s="981"/>
      <c r="N133" s="981"/>
      <c r="O133" s="981"/>
      <c r="P133" s="981"/>
      <c r="Q133" s="981"/>
    </row>
    <row r="134" spans="1:17" s="116" customFormat="1" ht="24" customHeight="1" x14ac:dyDescent="0.3">
      <c r="A134" s="6052" t="s">
        <v>1852</v>
      </c>
      <c r="B134" s="6053"/>
      <c r="C134" s="6053"/>
      <c r="D134" s="6054"/>
      <c r="E134" s="6016"/>
      <c r="F134" s="6017"/>
      <c r="G134" s="6016">
        <f>E113*(BUSINESSCARD!K51+BUSINESSCARD!K53)/2</f>
        <v>10000</v>
      </c>
      <c r="H134" s="6017"/>
      <c r="I134" s="6016">
        <f>(G113*(BUSINESSCARD!K51+BUSINESSCARD!K53)/2)+G134</f>
        <v>20000</v>
      </c>
      <c r="J134" s="6017"/>
      <c r="K134" s="5992">
        <f>SUM(E134:J134)</f>
        <v>30000</v>
      </c>
      <c r="L134" s="5993"/>
      <c r="M134" s="651"/>
      <c r="N134" s="651"/>
      <c r="O134" s="651"/>
      <c r="P134" s="651"/>
      <c r="Q134" s="651"/>
    </row>
    <row r="135" spans="1:17" s="116" customFormat="1" ht="3.75" customHeight="1" x14ac:dyDescent="0.3">
      <c r="A135" s="6019"/>
      <c r="B135" s="6020"/>
      <c r="C135" s="6020"/>
      <c r="D135" s="6020"/>
      <c r="E135" s="6020"/>
      <c r="F135" s="6020"/>
      <c r="G135" s="6020"/>
      <c r="H135" s="6020"/>
      <c r="I135" s="6020"/>
      <c r="J135" s="6055"/>
      <c r="K135" s="5998"/>
      <c r="L135" s="5999"/>
      <c r="M135" s="651"/>
      <c r="N135" s="651"/>
      <c r="O135" s="651"/>
      <c r="P135" s="651"/>
      <c r="Q135" s="651"/>
    </row>
    <row r="136" spans="1:17" s="116" customFormat="1" ht="13.5" thickBot="1" x14ac:dyDescent="0.35">
      <c r="A136" s="6056" t="s">
        <v>1170</v>
      </c>
      <c r="B136" s="6057"/>
      <c r="C136" s="6057"/>
      <c r="D136" s="6058"/>
      <c r="E136" s="6059">
        <f>SUM(E129:F134)</f>
        <v>5565.6</v>
      </c>
      <c r="F136" s="6060"/>
      <c r="G136" s="6059">
        <f>SUM(G129:H134)</f>
        <v>47104</v>
      </c>
      <c r="H136" s="6060"/>
      <c r="I136" s="6059">
        <f>SUM(I129:J134)</f>
        <v>66380</v>
      </c>
      <c r="J136" s="6061"/>
      <c r="K136" s="6062">
        <f>SUM(E136:J136)</f>
        <v>119049.60000000001</v>
      </c>
      <c r="L136" s="6063"/>
      <c r="M136" s="651"/>
      <c r="N136" s="651"/>
      <c r="O136" s="651"/>
      <c r="P136" s="651"/>
      <c r="Q136" s="651"/>
    </row>
    <row r="137" spans="1:17" s="116" customFormat="1" ht="13.5" thickBot="1" x14ac:dyDescent="0.35">
      <c r="A137" s="1659" t="s">
        <v>1633</v>
      </c>
      <c r="B137" s="1660"/>
      <c r="C137" s="1660"/>
      <c r="D137" s="1661"/>
      <c r="E137" s="6042">
        <f>E136/E126</f>
        <v>2.0037442396313367E-2</v>
      </c>
      <c r="F137" s="6043"/>
      <c r="G137" s="6042" t="e">
        <f>G136/G126</f>
        <v>#REF!</v>
      </c>
      <c r="H137" s="6043"/>
      <c r="I137" s="6042" t="e">
        <f>I136/I126</f>
        <v>#REF!</v>
      </c>
      <c r="J137" s="6043"/>
      <c r="K137" s="6042" t="e">
        <f>K136/K126</f>
        <v>#REF!</v>
      </c>
      <c r="L137" s="6043"/>
      <c r="M137" s="651"/>
      <c r="N137" s="651"/>
      <c r="O137" s="651"/>
      <c r="P137" s="651"/>
      <c r="Q137" s="651"/>
    </row>
    <row r="138" spans="1:17" s="117" customFormat="1" ht="13" x14ac:dyDescent="0.3">
      <c r="A138" s="6044"/>
      <c r="B138" s="6045"/>
      <c r="C138" s="6045"/>
      <c r="D138" s="6046"/>
      <c r="E138" s="6047"/>
      <c r="F138" s="6048"/>
      <c r="G138" s="6047"/>
      <c r="H138" s="6048"/>
      <c r="I138" s="6047"/>
      <c r="J138" s="6049"/>
      <c r="K138" s="6050"/>
      <c r="L138" s="6051"/>
      <c r="M138" s="981"/>
      <c r="N138" s="981"/>
      <c r="O138" s="981"/>
      <c r="P138" s="981"/>
      <c r="Q138" s="981"/>
    </row>
    <row r="139" spans="1:17" s="116" customFormat="1" ht="16.899999999999999" customHeight="1" x14ac:dyDescent="0.3">
      <c r="A139" s="6034" t="s">
        <v>1490</v>
      </c>
      <c r="B139" s="6035"/>
      <c r="C139" s="6035"/>
      <c r="D139" s="6036"/>
      <c r="E139" s="6037"/>
      <c r="F139" s="6038"/>
      <c r="G139" s="6037"/>
      <c r="H139" s="6038"/>
      <c r="I139" s="6037"/>
      <c r="J139" s="6039"/>
      <c r="K139" s="6040"/>
      <c r="L139" s="6041"/>
      <c r="M139" s="651"/>
      <c r="N139" s="651"/>
      <c r="O139" s="651"/>
      <c r="P139" s="651"/>
      <c r="Q139" s="651"/>
    </row>
    <row r="140" spans="1:17" s="116" customFormat="1" ht="13" x14ac:dyDescent="0.3">
      <c r="A140" s="6031" t="s">
        <v>1255</v>
      </c>
      <c r="B140" s="6032"/>
      <c r="C140" s="6032"/>
      <c r="D140" s="6032"/>
      <c r="E140" s="6033" t="e">
        <f>E113*F97</f>
        <v>#REF!</v>
      </c>
      <c r="F140" s="6033"/>
      <c r="G140" s="6033" t="e">
        <f>G113*F97</f>
        <v>#REF!</v>
      </c>
      <c r="H140" s="6033"/>
      <c r="I140" s="6033" t="e">
        <f>I113*F97</f>
        <v>#REF!</v>
      </c>
      <c r="J140" s="6016"/>
      <c r="K140" s="6011" t="e">
        <f>SUM(E140:J140)</f>
        <v>#REF!</v>
      </c>
      <c r="L140" s="6012"/>
      <c r="M140" s="651"/>
      <c r="N140" s="651"/>
      <c r="O140" s="651"/>
      <c r="P140" s="651"/>
      <c r="Q140" s="651"/>
    </row>
    <row r="141" spans="1:17" s="116" customFormat="1" ht="13" x14ac:dyDescent="0.3">
      <c r="A141" s="6031" t="s">
        <v>1631</v>
      </c>
      <c r="B141" s="6032"/>
      <c r="C141" s="6032"/>
      <c r="D141" s="6032"/>
      <c r="E141" s="6033"/>
      <c r="F141" s="6033"/>
      <c r="G141" s="6033">
        <f>G124*50%</f>
        <v>0</v>
      </c>
      <c r="H141" s="6033"/>
      <c r="I141" s="6033">
        <f>I124*50%</f>
        <v>0</v>
      </c>
      <c r="J141" s="6016"/>
      <c r="K141" s="6011">
        <f>SUM(E141:J141)</f>
        <v>0</v>
      </c>
      <c r="L141" s="6012"/>
      <c r="M141" s="651" t="s">
        <v>1630</v>
      </c>
      <c r="N141" s="651"/>
      <c r="O141" s="651"/>
      <c r="P141" s="651"/>
      <c r="Q141" s="651"/>
    </row>
    <row r="142" spans="1:17" s="116" customFormat="1" ht="13" x14ac:dyDescent="0.3">
      <c r="A142" s="6031" t="s">
        <v>1857</v>
      </c>
      <c r="B142" s="6032"/>
      <c r="C142" s="6032"/>
      <c r="D142" s="6032"/>
      <c r="E142" s="6033"/>
      <c r="F142" s="6033"/>
      <c r="G142" s="6033">
        <f>G132</f>
        <v>9276</v>
      </c>
      <c r="H142" s="6033"/>
      <c r="I142" s="6033">
        <f>I132</f>
        <v>18552</v>
      </c>
      <c r="J142" s="6016"/>
      <c r="K142" s="6011">
        <f>SUM(E142:J142)</f>
        <v>27828</v>
      </c>
      <c r="L142" s="6012"/>
      <c r="M142" s="651"/>
      <c r="N142" s="651"/>
      <c r="O142" s="651"/>
      <c r="P142" s="651"/>
      <c r="Q142" s="651"/>
    </row>
    <row r="143" spans="1:17" s="116" customFormat="1" ht="13" x14ac:dyDescent="0.3">
      <c r="A143" s="6013" t="s">
        <v>1858</v>
      </c>
      <c r="B143" s="6014"/>
      <c r="C143" s="6014"/>
      <c r="D143" s="6015"/>
      <c r="E143" s="6016"/>
      <c r="F143" s="6017"/>
      <c r="G143" s="6016">
        <f>G134</f>
        <v>10000</v>
      </c>
      <c r="H143" s="6017"/>
      <c r="I143" s="6016">
        <f>I134</f>
        <v>20000</v>
      </c>
      <c r="J143" s="6018"/>
      <c r="K143" s="6011">
        <f>SUM(E143:J143)</f>
        <v>30000</v>
      </c>
      <c r="L143" s="6012"/>
      <c r="M143" s="651"/>
      <c r="N143" s="651"/>
      <c r="O143" s="651"/>
      <c r="P143" s="651"/>
      <c r="Q143" s="651"/>
    </row>
    <row r="144" spans="1:17" s="116" customFormat="1" ht="3.75" customHeight="1" x14ac:dyDescent="0.3">
      <c r="A144" s="6019"/>
      <c r="B144" s="6020"/>
      <c r="C144" s="6020"/>
      <c r="D144" s="6020"/>
      <c r="E144" s="6020"/>
      <c r="F144" s="6020"/>
      <c r="G144" s="6020"/>
      <c r="H144" s="6020"/>
      <c r="I144" s="6020"/>
      <c r="J144" s="6020"/>
      <c r="K144" s="6021"/>
      <c r="L144" s="6022"/>
      <c r="M144" s="651"/>
      <c r="N144" s="651"/>
      <c r="O144" s="651"/>
      <c r="P144" s="651"/>
      <c r="Q144" s="651"/>
    </row>
    <row r="145" spans="1:17" s="116" customFormat="1" ht="13" x14ac:dyDescent="0.3">
      <c r="A145" s="6023" t="s">
        <v>1252</v>
      </c>
      <c r="B145" s="6024"/>
      <c r="C145" s="6024"/>
      <c r="D145" s="6025"/>
      <c r="E145" s="6026" t="e">
        <f>SUM(E140:F143)</f>
        <v>#REF!</v>
      </c>
      <c r="F145" s="6027"/>
      <c r="G145" s="6026" t="e">
        <f>SUM(G140:H143)</f>
        <v>#REF!</v>
      </c>
      <c r="H145" s="6027"/>
      <c r="I145" s="6026" t="e">
        <f>SUM(I140:J143)</f>
        <v>#REF!</v>
      </c>
      <c r="J145" s="6028"/>
      <c r="K145" s="6029" t="e">
        <f>SUM(E145:J145)</f>
        <v>#REF!</v>
      </c>
      <c r="L145" s="6030"/>
      <c r="M145" s="651"/>
      <c r="N145" s="651"/>
      <c r="O145" s="651"/>
      <c r="P145" s="651"/>
      <c r="Q145" s="651"/>
    </row>
    <row r="146" spans="1:17" s="116" customFormat="1" ht="13" x14ac:dyDescent="0.3">
      <c r="A146" s="6000"/>
      <c r="B146" s="6001"/>
      <c r="C146" s="6001"/>
      <c r="D146" s="6002"/>
      <c r="E146" s="6003" t="e">
        <f>E145/E126</f>
        <v>#REF!</v>
      </c>
      <c r="F146" s="6004"/>
      <c r="G146" s="6003" t="e">
        <f>G145/G126</f>
        <v>#REF!</v>
      </c>
      <c r="H146" s="6004"/>
      <c r="I146" s="6003" t="e">
        <f>I145/I126</f>
        <v>#REF!</v>
      </c>
      <c r="J146" s="6005"/>
      <c r="K146" s="6006" t="e">
        <f>K145/K126</f>
        <v>#REF!</v>
      </c>
      <c r="L146" s="6007"/>
      <c r="M146" s="651"/>
      <c r="N146" s="651"/>
      <c r="O146" s="651"/>
      <c r="P146" s="651"/>
      <c r="Q146" s="651"/>
    </row>
    <row r="147" spans="1:17" s="116" customFormat="1" ht="13" x14ac:dyDescent="0.3">
      <c r="A147" s="1648"/>
      <c r="B147" s="1649"/>
      <c r="C147" s="1649"/>
      <c r="D147" s="1650"/>
      <c r="E147" s="1662"/>
      <c r="F147" s="1663"/>
      <c r="G147" s="1662"/>
      <c r="H147" s="1663"/>
      <c r="I147" s="1662"/>
      <c r="J147" s="1664"/>
      <c r="K147" s="1665"/>
      <c r="L147" s="1666"/>
      <c r="M147" s="651"/>
      <c r="N147" s="651"/>
      <c r="O147" s="651"/>
      <c r="P147" s="651"/>
      <c r="Q147" s="651"/>
    </row>
    <row r="148" spans="1:17" s="116" customFormat="1" ht="13" x14ac:dyDescent="0.3">
      <c r="A148" s="6008" t="s">
        <v>485</v>
      </c>
      <c r="B148" s="6009"/>
      <c r="C148" s="6009"/>
      <c r="D148" s="6009"/>
      <c r="E148" s="5990">
        <v>0</v>
      </c>
      <c r="F148" s="5990"/>
      <c r="G148" s="5990">
        <v>0</v>
      </c>
      <c r="H148" s="5990"/>
      <c r="I148" s="5990">
        <v>0</v>
      </c>
      <c r="J148" s="6010"/>
      <c r="K148" s="6011">
        <f>SUM(E148:J148)</f>
        <v>0</v>
      </c>
      <c r="L148" s="6012"/>
      <c r="M148" s="651"/>
      <c r="N148" s="651"/>
      <c r="O148" s="651"/>
      <c r="P148" s="651"/>
      <c r="Q148" s="651"/>
    </row>
    <row r="149" spans="1:17" s="117" customFormat="1" ht="12.75" customHeight="1" x14ac:dyDescent="0.3">
      <c r="A149" s="5988" t="s">
        <v>484</v>
      </c>
      <c r="B149" s="5989"/>
      <c r="C149" s="5989"/>
      <c r="D149" s="5989"/>
      <c r="E149" s="5990">
        <v>0</v>
      </c>
      <c r="F149" s="5990"/>
      <c r="G149" s="5990">
        <v>0</v>
      </c>
      <c r="H149" s="5990"/>
      <c r="I149" s="5990">
        <v>0</v>
      </c>
      <c r="J149" s="5991"/>
      <c r="K149" s="5992">
        <f>SUM(E149:J149)</f>
        <v>0</v>
      </c>
      <c r="L149" s="5993"/>
      <c r="M149" s="981"/>
      <c r="N149" s="981"/>
      <c r="O149" s="981"/>
      <c r="P149" s="981"/>
      <c r="Q149" s="981"/>
    </row>
    <row r="150" spans="1:17" s="117" customFormat="1" ht="13.5" thickBot="1" x14ac:dyDescent="0.35">
      <c r="A150" s="5994"/>
      <c r="B150" s="5995"/>
      <c r="C150" s="5995"/>
      <c r="D150" s="5995"/>
      <c r="E150" s="5996"/>
      <c r="F150" s="5996"/>
      <c r="G150" s="5996"/>
      <c r="H150" s="5996"/>
      <c r="I150" s="5996"/>
      <c r="J150" s="5997"/>
      <c r="K150" s="5998">
        <f>SUM(E150:J150)</f>
        <v>0</v>
      </c>
      <c r="L150" s="5999"/>
      <c r="M150" s="981"/>
      <c r="N150" s="981"/>
      <c r="O150" s="981"/>
      <c r="P150" s="981"/>
      <c r="Q150" s="981"/>
    </row>
    <row r="151" spans="1:17" s="117" customFormat="1" ht="16" thickBot="1" x14ac:dyDescent="0.35">
      <c r="A151" s="5974" t="s">
        <v>1632</v>
      </c>
      <c r="B151" s="5975"/>
      <c r="C151" s="5975"/>
      <c r="D151" s="5975"/>
      <c r="E151" s="5976">
        <f>E126</f>
        <v>277760</v>
      </c>
      <c r="F151" s="5977"/>
      <c r="G151" s="5976" t="e">
        <f>G126</f>
        <v>#REF!</v>
      </c>
      <c r="H151" s="5977"/>
      <c r="I151" s="5976" t="e">
        <f>I126</f>
        <v>#REF!</v>
      </c>
      <c r="J151" s="5977"/>
      <c r="K151" s="5986" t="e">
        <f>K126</f>
        <v>#REF!</v>
      </c>
      <c r="L151" s="5987"/>
      <c r="M151" s="981"/>
      <c r="N151" s="981"/>
      <c r="O151" s="981"/>
      <c r="P151" s="981"/>
      <c r="Q151" s="981"/>
    </row>
    <row r="152" spans="1:17" s="117" customFormat="1" ht="16" thickBot="1" x14ac:dyDescent="0.35">
      <c r="A152" s="5982" t="s">
        <v>1874</v>
      </c>
      <c r="B152" s="5983"/>
      <c r="C152" s="5983"/>
      <c r="D152" s="5983"/>
      <c r="E152" s="5984">
        <f>SUM(E116+E118)-(E136)</f>
        <v>87194.4</v>
      </c>
      <c r="F152" s="5985"/>
      <c r="G152" s="5984">
        <f>SUM(G116+G118+G123+G119)-G136</f>
        <v>230416</v>
      </c>
      <c r="H152" s="5985"/>
      <c r="I152" s="5984">
        <f>SUM(I116+I118+I123+I119)-I136</f>
        <v>395900</v>
      </c>
      <c r="J152" s="5985"/>
      <c r="K152" s="5984">
        <f>SUM(K116+K118)-(K136)</f>
        <v>159230.39999999999</v>
      </c>
      <c r="L152" s="5985"/>
      <c r="M152" s="981"/>
      <c r="N152" s="981"/>
      <c r="O152" s="981"/>
      <c r="P152" s="981"/>
      <c r="Q152" s="981"/>
    </row>
    <row r="153" spans="1:17" s="117" customFormat="1" ht="16" thickBot="1" x14ac:dyDescent="0.35">
      <c r="A153" s="5982" t="s">
        <v>1646</v>
      </c>
      <c r="B153" s="5983"/>
      <c r="C153" s="5983"/>
      <c r="D153" s="5983"/>
      <c r="E153" s="5984">
        <f>E136</f>
        <v>5565.6</v>
      </c>
      <c r="F153" s="5985"/>
      <c r="G153" s="5984">
        <f>G136</f>
        <v>47104</v>
      </c>
      <c r="H153" s="5985"/>
      <c r="I153" s="5984">
        <f>I136</f>
        <v>66380</v>
      </c>
      <c r="J153" s="5985"/>
      <c r="K153" s="5984">
        <f>K136</f>
        <v>119049.60000000001</v>
      </c>
      <c r="L153" s="5985"/>
      <c r="M153" s="981"/>
      <c r="N153" s="981"/>
      <c r="O153" s="981"/>
      <c r="P153" s="981"/>
      <c r="Q153" s="981"/>
    </row>
    <row r="154" spans="1:17" s="117" customFormat="1" ht="16" thickBot="1" x14ac:dyDescent="0.35">
      <c r="A154" s="5982" t="s">
        <v>1647</v>
      </c>
      <c r="B154" s="5983"/>
      <c r="C154" s="5983"/>
      <c r="D154" s="5983"/>
      <c r="E154" s="5984">
        <f>SUM(E121+E124)</f>
        <v>185000</v>
      </c>
      <c r="F154" s="5985"/>
      <c r="G154" s="5984" t="e">
        <f>SUM(G121+G124)</f>
        <v>#REF!</v>
      </c>
      <c r="H154" s="5985"/>
      <c r="I154" s="5984" t="e">
        <f>SUM(I121+I124)</f>
        <v>#REF!</v>
      </c>
      <c r="J154" s="5985"/>
      <c r="K154" s="5984" t="e">
        <f>SUM(K121+K124)</f>
        <v>#REF!</v>
      </c>
      <c r="L154" s="5985"/>
      <c r="M154" s="981"/>
      <c r="N154" s="981"/>
      <c r="O154" s="981"/>
      <c r="P154" s="981"/>
      <c r="Q154" s="981"/>
    </row>
    <row r="155" spans="1:17" s="117" customFormat="1" ht="16" thickBot="1" x14ac:dyDescent="0.35">
      <c r="A155" s="5968" t="s">
        <v>1648</v>
      </c>
      <c r="B155" s="5969"/>
      <c r="C155" s="5969"/>
      <c r="D155" s="5969"/>
      <c r="E155" s="5970">
        <f>SUM(E154+E153)/E151</f>
        <v>0.68608006912442399</v>
      </c>
      <c r="F155" s="5971"/>
      <c r="G155" s="5970" t="e">
        <f>SUM(G154+G153)/G151</f>
        <v>#REF!</v>
      </c>
      <c r="H155" s="5971"/>
      <c r="I155" s="5970" t="e">
        <f>SUM(I154+I153)/I151</f>
        <v>#REF!</v>
      </c>
      <c r="J155" s="5971"/>
      <c r="K155" s="5970" t="e">
        <f>SUM(K154+K153)/K151</f>
        <v>#REF!</v>
      </c>
      <c r="L155" s="5971"/>
      <c r="M155" s="981"/>
      <c r="N155" s="981"/>
      <c r="O155" s="981"/>
      <c r="P155" s="981"/>
      <c r="Q155" s="981"/>
    </row>
    <row r="156" spans="1:17" s="117" customFormat="1" ht="16" thickBot="1" x14ac:dyDescent="0.35">
      <c r="A156" s="5972"/>
      <c r="B156" s="5973"/>
      <c r="C156" s="5973"/>
      <c r="D156" s="5973"/>
      <c r="E156" s="5973"/>
      <c r="F156" s="5973"/>
      <c r="G156" s="5973"/>
      <c r="H156" s="5973"/>
      <c r="I156" s="5973"/>
      <c r="J156" s="5973"/>
      <c r="K156" s="5973"/>
      <c r="L156" s="5973"/>
      <c r="M156" s="981"/>
      <c r="N156" s="981"/>
      <c r="O156" s="981"/>
      <c r="P156" s="981"/>
      <c r="Q156" s="981"/>
    </row>
    <row r="157" spans="1:17" s="160" customFormat="1" ht="15.5" x14ac:dyDescent="0.35">
      <c r="A157" s="5974" t="s">
        <v>2109</v>
      </c>
      <c r="B157" s="5975"/>
      <c r="C157" s="5975"/>
      <c r="D157" s="5975"/>
      <c r="E157" s="5976" t="e">
        <f>E145-E148-E149</f>
        <v>#REF!</v>
      </c>
      <c r="F157" s="5977"/>
      <c r="G157" s="5978" t="e">
        <f>G145-G148-G149</f>
        <v>#REF!</v>
      </c>
      <c r="H157" s="5978"/>
      <c r="I157" s="5978" t="e">
        <f>I145-I148-I149</f>
        <v>#REF!</v>
      </c>
      <c r="J157" s="5979"/>
      <c r="K157" s="5980" t="e">
        <f>SUM(E157:J157)</f>
        <v>#REF!</v>
      </c>
      <c r="L157" s="5981"/>
      <c r="M157" s="985"/>
      <c r="N157" s="985"/>
      <c r="O157" s="985"/>
      <c r="P157" s="985"/>
      <c r="Q157" s="985"/>
    </row>
    <row r="158" spans="1:17" s="160" customFormat="1" ht="16" thickBot="1" x14ac:dyDescent="0.4">
      <c r="A158" s="5954" t="s">
        <v>642</v>
      </c>
      <c r="B158" s="5955"/>
      <c r="C158" s="5955"/>
      <c r="D158" s="5955"/>
      <c r="E158" s="5956" t="e">
        <f>E157/E126</f>
        <v>#REF!</v>
      </c>
      <c r="F158" s="5957"/>
      <c r="G158" s="5958" t="e">
        <f>G157/G126</f>
        <v>#REF!</v>
      </c>
      <c r="H158" s="5958"/>
      <c r="I158" s="5958" t="e">
        <f>I157/I126</f>
        <v>#REF!</v>
      </c>
      <c r="J158" s="5959"/>
      <c r="K158" s="5960" t="e">
        <f>K157/K126</f>
        <v>#REF!</v>
      </c>
      <c r="L158" s="5961"/>
      <c r="M158" s="985"/>
      <c r="N158" s="985"/>
      <c r="O158" s="985"/>
      <c r="P158" s="985"/>
      <c r="Q158" s="985"/>
    </row>
    <row r="159" spans="1:17" s="1952" customFormat="1" ht="16.5" thickTop="1" thickBot="1" x14ac:dyDescent="0.4">
      <c r="A159" s="1950"/>
      <c r="B159" s="1538"/>
      <c r="C159" s="1538"/>
      <c r="D159" s="1538"/>
      <c r="E159" s="1949"/>
      <c r="F159" s="1949"/>
      <c r="G159" s="1949"/>
      <c r="H159" s="1949"/>
      <c r="I159" s="1949"/>
      <c r="J159" s="1949"/>
      <c r="K159" s="1953"/>
      <c r="L159" s="1953"/>
      <c r="M159" s="1951"/>
      <c r="N159" s="1951"/>
      <c r="O159" s="1951"/>
      <c r="P159" s="1951"/>
      <c r="Q159" s="1951"/>
    </row>
    <row r="160" spans="1:17" s="116" customFormat="1" ht="16.5" thickTop="1" thickBot="1" x14ac:dyDescent="0.4">
      <c r="A160" s="5962" t="s">
        <v>1530</v>
      </c>
      <c r="B160" s="5963"/>
      <c r="C160" s="5963"/>
      <c r="D160" s="5963"/>
      <c r="E160" s="5964">
        <f>E119+E123+E124</f>
        <v>0</v>
      </c>
      <c r="F160" s="5965"/>
      <c r="G160" s="5964">
        <f>G119+G123+G124</f>
        <v>184760</v>
      </c>
      <c r="H160" s="5965"/>
      <c r="I160" s="5964">
        <f>I119+I123+I124</f>
        <v>369520</v>
      </c>
      <c r="J160" s="5965"/>
      <c r="K160" s="5966">
        <f>SUM(E160:J160)</f>
        <v>554280</v>
      </c>
      <c r="L160" s="5967"/>
      <c r="M160" s="651"/>
      <c r="N160" s="651"/>
      <c r="O160" s="651"/>
      <c r="P160" s="651"/>
      <c r="Q160" s="651"/>
    </row>
    <row r="161" spans="1:17" s="116" customFormat="1" ht="16" thickBot="1" x14ac:dyDescent="0.4">
      <c r="A161" s="5951" t="s">
        <v>1495</v>
      </c>
      <c r="B161" s="5952"/>
      <c r="C161" s="5952"/>
      <c r="D161" s="5952"/>
      <c r="E161" s="5953">
        <f>E160/E126</f>
        <v>0</v>
      </c>
      <c r="F161" s="5953"/>
      <c r="G161" s="5953" t="e">
        <f>G160/G126</f>
        <v>#REF!</v>
      </c>
      <c r="H161" s="5953"/>
      <c r="I161" s="5953" t="e">
        <f>I160/I126</f>
        <v>#REF!</v>
      </c>
      <c r="J161" s="5953"/>
      <c r="K161" s="5953" t="e">
        <f>K160/K126</f>
        <v>#REF!</v>
      </c>
      <c r="L161" s="5953"/>
      <c r="M161" s="651"/>
      <c r="N161" s="651"/>
      <c r="O161" s="651"/>
      <c r="P161" s="651"/>
      <c r="Q161" s="651"/>
    </row>
    <row r="162" spans="1:17" s="116" customFormat="1" ht="16" thickTop="1" x14ac:dyDescent="0.35">
      <c r="A162" s="1538"/>
      <c r="B162" s="1538"/>
      <c r="C162" s="1538"/>
      <c r="D162" s="1538"/>
      <c r="E162" s="1539"/>
      <c r="F162" s="1537"/>
      <c r="G162" s="1540"/>
      <c r="H162" s="1540"/>
      <c r="I162" s="1540"/>
      <c r="J162" s="1540"/>
      <c r="K162" s="651"/>
      <c r="L162" s="651"/>
      <c r="M162" s="651"/>
      <c r="N162" s="651"/>
      <c r="O162" s="651"/>
      <c r="P162" s="651"/>
      <c r="Q162" s="651"/>
    </row>
    <row r="163" spans="1:17" s="116" customFormat="1" ht="15.5" x14ac:dyDescent="0.35">
      <c r="A163" s="1538"/>
      <c r="B163" s="1538"/>
      <c r="C163" s="1538"/>
      <c r="D163" s="1538"/>
      <c r="E163" s="1539"/>
      <c r="F163" s="1537"/>
      <c r="G163" s="1540"/>
      <c r="H163" s="1540"/>
      <c r="I163" s="1540"/>
      <c r="J163" s="1540"/>
      <c r="K163" s="651"/>
      <c r="L163" s="651"/>
      <c r="M163" s="651"/>
      <c r="N163" s="651"/>
      <c r="O163" s="651"/>
      <c r="P163" s="651"/>
      <c r="Q163" s="651"/>
    </row>
    <row r="164" spans="1:17" s="116" customFormat="1" ht="13.5" thickBot="1" x14ac:dyDescent="0.35">
      <c r="A164" s="651"/>
      <c r="B164" s="651"/>
      <c r="C164" s="993"/>
      <c r="D164" s="651"/>
      <c r="E164" s="651"/>
      <c r="F164" s="651"/>
      <c r="G164" s="651"/>
      <c r="H164" s="651"/>
      <c r="I164" s="651"/>
      <c r="J164" s="651"/>
      <c r="K164" s="651"/>
      <c r="L164" s="651"/>
      <c r="M164" s="651"/>
      <c r="N164" s="651"/>
      <c r="O164" s="651"/>
      <c r="P164" s="651"/>
      <c r="Q164" s="651"/>
    </row>
    <row r="165" spans="1:17" ht="15.5" thickTop="1" thickBot="1" x14ac:dyDescent="0.4">
      <c r="A165" s="6179" t="s">
        <v>10</v>
      </c>
      <c r="B165" s="6180"/>
      <c r="C165" s="6180"/>
      <c r="D165" s="6180"/>
      <c r="E165" s="6180"/>
      <c r="F165" s="6180"/>
      <c r="G165" s="6180"/>
      <c r="H165" s="6180"/>
      <c r="I165" s="6180"/>
      <c r="J165" s="6180"/>
      <c r="K165" s="6180"/>
      <c r="L165" s="157"/>
      <c r="M165" s="3725" t="s">
        <v>748</v>
      </c>
      <c r="N165" s="3726"/>
      <c r="O165" s="3727"/>
      <c r="P165" s="31"/>
      <c r="Q165" s="64"/>
    </row>
    <row r="166" spans="1:17" ht="20.25" customHeight="1" x14ac:dyDescent="0.35">
      <c r="A166" s="6174" t="s">
        <v>1496</v>
      </c>
      <c r="B166" s="6181"/>
      <c r="C166" s="6181"/>
      <c r="D166" s="6181"/>
      <c r="E166" s="6181"/>
      <c r="F166" s="6181"/>
      <c r="G166" s="6181"/>
      <c r="H166" s="6181"/>
      <c r="I166" s="6181"/>
      <c r="J166" s="6181"/>
      <c r="K166" s="6181"/>
      <c r="L166" s="38"/>
      <c r="M166" s="3750" t="s">
        <v>835</v>
      </c>
      <c r="N166" s="5066"/>
      <c r="O166" s="5401"/>
      <c r="P166" s="33"/>
      <c r="Q166" s="64"/>
    </row>
    <row r="167" spans="1:17" ht="20.25" customHeight="1" x14ac:dyDescent="0.35">
      <c r="A167" s="6182"/>
      <c r="B167" s="6183"/>
      <c r="C167" s="6183"/>
      <c r="D167" s="6183"/>
      <c r="E167" s="6183"/>
      <c r="F167" s="6183"/>
      <c r="G167" s="6183"/>
      <c r="H167" s="6183"/>
      <c r="I167" s="6183"/>
      <c r="J167" s="6183"/>
      <c r="K167" s="6183"/>
      <c r="L167" s="38"/>
      <c r="M167" s="3753"/>
      <c r="N167" s="3754"/>
      <c r="O167" s="5067"/>
      <c r="P167" s="33"/>
      <c r="Q167" s="64"/>
    </row>
    <row r="168" spans="1:17" ht="20.25" customHeight="1" x14ac:dyDescent="0.35">
      <c r="A168" s="6182"/>
      <c r="B168" s="6183"/>
      <c r="C168" s="6183"/>
      <c r="D168" s="6183"/>
      <c r="E168" s="6183"/>
      <c r="F168" s="6183"/>
      <c r="G168" s="6183"/>
      <c r="H168" s="6183"/>
      <c r="I168" s="6183"/>
      <c r="J168" s="6183"/>
      <c r="K168" s="6183"/>
      <c r="L168" s="38"/>
      <c r="M168" s="3753"/>
      <c r="N168" s="3754"/>
      <c r="O168" s="5067"/>
      <c r="P168" s="33"/>
      <c r="Q168" s="64"/>
    </row>
    <row r="169" spans="1:17" ht="20.25" customHeight="1" thickBot="1" x14ac:dyDescent="0.4">
      <c r="A169" s="6184"/>
      <c r="B169" s="6185"/>
      <c r="C169" s="6185"/>
      <c r="D169" s="6185"/>
      <c r="E169" s="6185"/>
      <c r="F169" s="6185"/>
      <c r="G169" s="6185"/>
      <c r="H169" s="6185"/>
      <c r="I169" s="6185"/>
      <c r="J169" s="6185"/>
      <c r="K169" s="6185"/>
      <c r="L169" s="38"/>
      <c r="M169" s="5334"/>
      <c r="N169" s="3757"/>
      <c r="O169" s="3758"/>
      <c r="P169" s="33"/>
      <c r="Q169" s="64"/>
    </row>
    <row r="170" spans="1:17" ht="15.5" thickTop="1" thickBot="1" x14ac:dyDescent="0.4">
      <c r="A170" s="64"/>
      <c r="B170" s="64"/>
      <c r="C170" s="64"/>
      <c r="D170" s="64"/>
      <c r="E170" s="64"/>
      <c r="F170" s="64"/>
      <c r="G170" s="64"/>
      <c r="H170" s="64"/>
      <c r="I170" s="64"/>
      <c r="J170" s="64"/>
      <c r="K170" s="64"/>
      <c r="L170" s="64"/>
      <c r="M170" s="31"/>
      <c r="N170" s="31"/>
      <c r="O170" s="31"/>
      <c r="P170" s="64"/>
      <c r="Q170" s="64"/>
    </row>
    <row r="171" spans="1:17" ht="15.5" thickTop="1" thickBot="1" x14ac:dyDescent="0.4">
      <c r="A171" s="6179" t="s">
        <v>11</v>
      </c>
      <c r="B171" s="6186"/>
      <c r="C171" s="6186"/>
      <c r="D171" s="6186"/>
      <c r="E171" s="6186"/>
      <c r="F171" s="6186"/>
      <c r="G171" s="6186"/>
      <c r="H171" s="6186"/>
      <c r="I171" s="6186"/>
      <c r="J171" s="6186"/>
      <c r="K171" s="6186"/>
      <c r="L171" s="157"/>
      <c r="M171" s="3725" t="s">
        <v>748</v>
      </c>
      <c r="N171" s="3726"/>
      <c r="O171" s="3727"/>
      <c r="P171" s="31"/>
      <c r="Q171" s="64"/>
    </row>
    <row r="172" spans="1:17" ht="20.25" customHeight="1" x14ac:dyDescent="0.35">
      <c r="A172" s="6174" t="s">
        <v>643</v>
      </c>
      <c r="B172" s="6175"/>
      <c r="C172" s="6175"/>
      <c r="D172" s="6175"/>
      <c r="E172" s="6175"/>
      <c r="F172" s="6175"/>
      <c r="G172" s="6175"/>
      <c r="H172" s="6175"/>
      <c r="I172" s="6175"/>
      <c r="J172" s="6175"/>
      <c r="K172" s="6175"/>
      <c r="L172" s="38"/>
      <c r="M172" s="3750" t="s">
        <v>836</v>
      </c>
      <c r="N172" s="5066"/>
      <c r="O172" s="5401"/>
      <c r="P172" s="33"/>
      <c r="Q172" s="64"/>
    </row>
    <row r="173" spans="1:17" ht="20.25" customHeight="1" x14ac:dyDescent="0.35">
      <c r="A173" s="6176"/>
      <c r="B173" s="5165"/>
      <c r="C173" s="5165"/>
      <c r="D173" s="5165"/>
      <c r="E173" s="5165"/>
      <c r="F173" s="5165"/>
      <c r="G173" s="5165"/>
      <c r="H173" s="5165"/>
      <c r="I173" s="5165"/>
      <c r="J173" s="5165"/>
      <c r="K173" s="5166"/>
      <c r="L173" s="38"/>
      <c r="M173" s="3753"/>
      <c r="N173" s="3754"/>
      <c r="O173" s="5067"/>
      <c r="P173" s="33"/>
      <c r="Q173" s="64"/>
    </row>
    <row r="174" spans="1:17" ht="20.25" customHeight="1" x14ac:dyDescent="0.35">
      <c r="A174" s="6176"/>
      <c r="B174" s="5165"/>
      <c r="C174" s="5165"/>
      <c r="D174" s="5165"/>
      <c r="E174" s="5165"/>
      <c r="F174" s="5165"/>
      <c r="G174" s="5165"/>
      <c r="H174" s="5165"/>
      <c r="I174" s="5165"/>
      <c r="J174" s="5165"/>
      <c r="K174" s="5166"/>
      <c r="L174" s="38"/>
      <c r="M174" s="3753"/>
      <c r="N174" s="3754"/>
      <c r="O174" s="5067"/>
      <c r="P174" s="33"/>
      <c r="Q174" s="64"/>
    </row>
    <row r="175" spans="1:17" ht="20.25" customHeight="1" thickBot="1" x14ac:dyDescent="0.4">
      <c r="A175" s="6177"/>
      <c r="B175" s="6178"/>
      <c r="C175" s="6178"/>
      <c r="D175" s="6178"/>
      <c r="E175" s="6178"/>
      <c r="F175" s="6178"/>
      <c r="G175" s="6178"/>
      <c r="H175" s="6178"/>
      <c r="I175" s="6178"/>
      <c r="J175" s="6178"/>
      <c r="K175" s="6178"/>
      <c r="L175" s="38"/>
      <c r="M175" s="5334"/>
      <c r="N175" s="3757"/>
      <c r="O175" s="3758"/>
      <c r="P175" s="33"/>
      <c r="Q175" s="64"/>
    </row>
    <row r="176" spans="1:17" ht="15" thickTop="1" x14ac:dyDescent="0.35">
      <c r="A176" s="64"/>
      <c r="B176" s="64"/>
      <c r="C176" s="64"/>
      <c r="D176" s="64"/>
      <c r="E176" s="64"/>
      <c r="F176" s="64"/>
      <c r="G176" s="64"/>
      <c r="H176" s="64"/>
      <c r="I176" s="64"/>
      <c r="J176" s="64"/>
      <c r="K176" s="64"/>
      <c r="L176" s="64"/>
      <c r="M176" s="64"/>
      <c r="N176" s="64"/>
      <c r="O176" s="64"/>
      <c r="P176" s="64"/>
      <c r="Q176" s="64"/>
    </row>
    <row r="177" spans="1:17" x14ac:dyDescent="0.35">
      <c r="A177" s="64"/>
      <c r="B177" s="64"/>
      <c r="C177" s="64"/>
      <c r="D177" s="64"/>
      <c r="E177" s="64"/>
      <c r="F177" s="64"/>
      <c r="G177" s="64"/>
      <c r="H177" s="64"/>
      <c r="I177" s="64"/>
      <c r="J177" s="64"/>
      <c r="K177" s="64"/>
      <c r="L177" s="64"/>
      <c r="M177" s="64"/>
      <c r="N177" s="64"/>
      <c r="O177" s="64"/>
      <c r="P177" s="64"/>
      <c r="Q177" s="64"/>
    </row>
    <row r="178" spans="1:17" x14ac:dyDescent="0.35">
      <c r="A178" s="64"/>
      <c r="B178" s="64"/>
      <c r="C178" s="64"/>
      <c r="D178" s="64"/>
      <c r="E178" s="64"/>
      <c r="F178" s="64"/>
      <c r="G178" s="64"/>
      <c r="H178" s="64"/>
      <c r="I178" s="64"/>
      <c r="J178" s="64"/>
      <c r="K178" s="64"/>
      <c r="L178" s="64"/>
      <c r="M178" s="64"/>
      <c r="N178" s="64"/>
      <c r="O178" s="64"/>
      <c r="P178" s="64"/>
      <c r="Q178" s="64"/>
    </row>
    <row r="179" spans="1:17" x14ac:dyDescent="0.35">
      <c r="A179" s="64"/>
      <c r="B179" s="64"/>
      <c r="C179" s="64"/>
      <c r="D179" s="64"/>
      <c r="E179" s="64"/>
      <c r="F179" s="64"/>
      <c r="G179" s="64"/>
      <c r="H179" s="64"/>
      <c r="I179" s="64"/>
      <c r="J179" s="64"/>
      <c r="K179" s="64"/>
      <c r="L179" s="64"/>
      <c r="M179" s="64"/>
      <c r="N179" s="64"/>
      <c r="O179" s="64"/>
      <c r="P179" s="64"/>
      <c r="Q179" s="64"/>
    </row>
    <row r="180" spans="1:17" x14ac:dyDescent="0.35">
      <c r="A180" s="64"/>
      <c r="B180" s="64"/>
      <c r="C180" s="64"/>
      <c r="D180" s="64"/>
      <c r="E180" s="64"/>
      <c r="F180" s="64"/>
      <c r="G180" s="64"/>
      <c r="H180" s="64"/>
      <c r="I180" s="64"/>
      <c r="J180" s="64"/>
      <c r="K180" s="64"/>
      <c r="L180" s="64"/>
      <c r="M180" s="64"/>
      <c r="N180" s="64"/>
      <c r="O180" s="64"/>
      <c r="P180" s="64"/>
      <c r="Q180" s="64"/>
    </row>
    <row r="181" spans="1:17" x14ac:dyDescent="0.35">
      <c r="A181" s="64"/>
      <c r="B181" s="64"/>
      <c r="C181" s="64"/>
      <c r="D181" s="64"/>
      <c r="E181" s="64"/>
      <c r="F181" s="64"/>
      <c r="G181" s="64"/>
      <c r="H181" s="64"/>
      <c r="I181" s="64"/>
      <c r="J181" s="64"/>
      <c r="K181" s="64"/>
      <c r="L181" s="64"/>
      <c r="M181" s="64"/>
      <c r="N181" s="64"/>
      <c r="O181" s="64"/>
      <c r="P181" s="64"/>
      <c r="Q181" s="64"/>
    </row>
    <row r="182" spans="1:17" x14ac:dyDescent="0.35">
      <c r="A182" s="64"/>
      <c r="B182" s="64"/>
      <c r="C182" s="64"/>
      <c r="D182" s="64"/>
      <c r="E182" s="64"/>
      <c r="F182" s="64"/>
      <c r="G182" s="64"/>
      <c r="H182" s="64"/>
      <c r="I182" s="64"/>
      <c r="J182" s="64"/>
      <c r="K182" s="64"/>
      <c r="L182" s="64"/>
      <c r="M182" s="64"/>
      <c r="N182" s="64"/>
      <c r="O182" s="64"/>
      <c r="P182" s="64"/>
      <c r="Q182" s="64"/>
    </row>
    <row r="183" spans="1:17" x14ac:dyDescent="0.35">
      <c r="A183" s="64"/>
      <c r="B183" s="64"/>
      <c r="C183" s="64"/>
      <c r="D183" s="64"/>
      <c r="E183" s="64"/>
      <c r="F183" s="64"/>
      <c r="G183" s="64"/>
      <c r="H183" s="64"/>
      <c r="I183" s="64"/>
      <c r="J183" s="64"/>
      <c r="K183" s="64"/>
      <c r="L183" s="64"/>
      <c r="M183" s="64"/>
      <c r="N183" s="64"/>
      <c r="O183" s="64"/>
      <c r="P183" s="64"/>
      <c r="Q183" s="64"/>
    </row>
    <row r="184" spans="1:17" x14ac:dyDescent="0.35">
      <c r="A184" s="64"/>
      <c r="B184" s="64"/>
      <c r="C184" s="64"/>
      <c r="D184" s="64"/>
      <c r="E184" s="64"/>
      <c r="F184" s="64"/>
      <c r="G184" s="64"/>
      <c r="H184" s="64"/>
      <c r="I184" s="64"/>
      <c r="J184" s="64"/>
      <c r="K184" s="64"/>
      <c r="L184" s="64"/>
      <c r="M184" s="64"/>
      <c r="N184" s="64"/>
      <c r="O184" s="64"/>
      <c r="P184" s="64"/>
      <c r="Q184" s="64"/>
    </row>
    <row r="185" spans="1:17" x14ac:dyDescent="0.35">
      <c r="A185" s="64"/>
      <c r="B185" s="64"/>
      <c r="C185" s="64"/>
      <c r="D185" s="64"/>
      <c r="E185" s="64"/>
      <c r="F185" s="64"/>
      <c r="G185" s="64"/>
      <c r="H185" s="64"/>
      <c r="I185" s="64"/>
      <c r="J185" s="64"/>
      <c r="K185" s="64"/>
      <c r="L185" s="64"/>
      <c r="M185" s="64"/>
      <c r="N185" s="64"/>
      <c r="O185" s="64"/>
      <c r="P185" s="64"/>
      <c r="Q185" s="64"/>
    </row>
    <row r="186" spans="1:17" x14ac:dyDescent="0.35">
      <c r="A186" s="64"/>
      <c r="B186" s="64"/>
      <c r="C186" s="64"/>
      <c r="D186" s="64"/>
      <c r="E186" s="64"/>
      <c r="F186" s="64"/>
      <c r="G186" s="64"/>
      <c r="H186" s="64"/>
      <c r="I186" s="64"/>
      <c r="J186" s="64"/>
      <c r="K186" s="64"/>
      <c r="L186" s="64"/>
      <c r="M186" s="64"/>
      <c r="N186" s="64"/>
      <c r="O186" s="64"/>
      <c r="P186" s="64"/>
      <c r="Q186" s="64"/>
    </row>
    <row r="187" spans="1:17" x14ac:dyDescent="0.35">
      <c r="A187" s="64"/>
      <c r="B187" s="64"/>
      <c r="C187" s="64"/>
      <c r="D187" s="64"/>
      <c r="E187" s="64"/>
      <c r="F187" s="64"/>
      <c r="G187" s="64"/>
      <c r="H187" s="64"/>
      <c r="I187" s="64"/>
      <c r="J187" s="64"/>
      <c r="K187" s="64"/>
      <c r="L187" s="64"/>
      <c r="M187" s="64"/>
      <c r="N187" s="64"/>
      <c r="O187" s="64"/>
      <c r="P187" s="64"/>
      <c r="Q187" s="64"/>
    </row>
    <row r="188" spans="1:17" x14ac:dyDescent="0.35">
      <c r="A188" s="64"/>
      <c r="B188" s="64"/>
      <c r="C188" s="64"/>
      <c r="D188" s="64"/>
      <c r="E188" s="64"/>
      <c r="F188" s="64"/>
      <c r="G188" s="64"/>
      <c r="H188" s="64"/>
      <c r="I188" s="64"/>
      <c r="J188" s="64"/>
      <c r="K188" s="64"/>
      <c r="L188" s="64"/>
      <c r="M188" s="64"/>
      <c r="N188" s="64"/>
      <c r="O188" s="64"/>
      <c r="P188" s="64"/>
      <c r="Q188" s="64"/>
    </row>
    <row r="189" spans="1:17" x14ac:dyDescent="0.35">
      <c r="A189" s="64"/>
      <c r="B189" s="64"/>
      <c r="C189" s="64"/>
      <c r="D189" s="64"/>
      <c r="E189" s="64"/>
      <c r="F189" s="64"/>
      <c r="G189" s="64"/>
      <c r="H189" s="64"/>
      <c r="I189" s="64"/>
      <c r="J189" s="64"/>
      <c r="K189" s="64"/>
      <c r="L189" s="64"/>
      <c r="M189" s="64"/>
      <c r="N189" s="64"/>
      <c r="O189" s="64"/>
      <c r="P189" s="64"/>
      <c r="Q189" s="64"/>
    </row>
    <row r="190" spans="1:17" x14ac:dyDescent="0.35">
      <c r="A190" s="64"/>
      <c r="B190" s="64"/>
      <c r="C190" s="64"/>
      <c r="D190" s="64"/>
      <c r="E190" s="64"/>
      <c r="F190" s="64"/>
      <c r="G190" s="64"/>
      <c r="H190" s="64"/>
      <c r="I190" s="64"/>
      <c r="J190" s="64"/>
      <c r="K190" s="64"/>
      <c r="L190" s="64"/>
      <c r="M190" s="64"/>
      <c r="N190" s="64"/>
      <c r="O190" s="64"/>
      <c r="P190" s="64"/>
      <c r="Q190" s="64"/>
    </row>
    <row r="191" spans="1:17" x14ac:dyDescent="0.35">
      <c r="A191" s="64"/>
      <c r="B191" s="64"/>
      <c r="C191" s="64"/>
      <c r="D191" s="64"/>
      <c r="E191" s="64"/>
      <c r="F191" s="64"/>
      <c r="G191" s="64"/>
      <c r="H191" s="64"/>
      <c r="I191" s="64"/>
      <c r="J191" s="64"/>
      <c r="K191" s="64"/>
      <c r="L191" s="64"/>
      <c r="M191" s="64"/>
      <c r="N191" s="64"/>
      <c r="O191" s="64"/>
      <c r="P191" s="64"/>
      <c r="Q191" s="64"/>
    </row>
    <row r="192" spans="1:17" x14ac:dyDescent="0.35">
      <c r="A192" s="64"/>
      <c r="B192" s="64"/>
      <c r="C192" s="64"/>
      <c r="D192" s="64"/>
      <c r="E192" s="64"/>
      <c r="F192" s="64"/>
      <c r="G192" s="64"/>
      <c r="H192" s="64"/>
      <c r="I192" s="64"/>
      <c r="J192" s="64"/>
      <c r="K192" s="64"/>
      <c r="L192" s="64"/>
      <c r="M192" s="64"/>
      <c r="N192" s="64"/>
      <c r="O192" s="64"/>
      <c r="P192" s="64"/>
      <c r="Q192" s="64"/>
    </row>
    <row r="193" spans="1:17" x14ac:dyDescent="0.35">
      <c r="A193" s="64"/>
      <c r="B193" s="64"/>
      <c r="C193" s="64"/>
      <c r="D193" s="64"/>
      <c r="E193" s="64"/>
      <c r="F193" s="64"/>
      <c r="G193" s="64"/>
      <c r="H193" s="64"/>
      <c r="I193" s="64"/>
      <c r="J193" s="64"/>
      <c r="K193" s="64"/>
      <c r="L193" s="64"/>
      <c r="M193" s="64"/>
      <c r="N193" s="64"/>
      <c r="O193" s="64"/>
      <c r="P193" s="64"/>
      <c r="Q193" s="64"/>
    </row>
  </sheetData>
  <mergeCells count="570">
    <mergeCell ref="A140:D140"/>
    <mergeCell ref="A141:D141"/>
    <mergeCell ref="G140:H140"/>
    <mergeCell ref="G141:H141"/>
    <mergeCell ref="I141:J141"/>
    <mergeCell ref="E140:F140"/>
    <mergeCell ref="I140:J140"/>
    <mergeCell ref="B40:E40"/>
    <mergeCell ref="F40:G40"/>
    <mergeCell ref="H40:I40"/>
    <mergeCell ref="J40:K40"/>
    <mergeCell ref="B41:E41"/>
    <mergeCell ref="F41:G41"/>
    <mergeCell ref="H41:I41"/>
    <mergeCell ref="J41:K41"/>
    <mergeCell ref="B42:E42"/>
    <mergeCell ref="F42:G42"/>
    <mergeCell ref="H42:I42"/>
    <mergeCell ref="J42:K42"/>
    <mergeCell ref="I119:J119"/>
    <mergeCell ref="I115:J115"/>
    <mergeCell ref="I112:J112"/>
    <mergeCell ref="A112:D112"/>
    <mergeCell ref="E115:H115"/>
    <mergeCell ref="K150:L150"/>
    <mergeCell ref="G145:H145"/>
    <mergeCell ref="I145:J145"/>
    <mergeCell ref="K145:L145"/>
    <mergeCell ref="A146:D146"/>
    <mergeCell ref="G142:H142"/>
    <mergeCell ref="I142:J142"/>
    <mergeCell ref="E142:F142"/>
    <mergeCell ref="A142:D142"/>
    <mergeCell ref="A157:D157"/>
    <mergeCell ref="E157:F157"/>
    <mergeCell ref="G157:H157"/>
    <mergeCell ref="I157:J157"/>
    <mergeCell ref="K157:L157"/>
    <mergeCell ref="A152:D152"/>
    <mergeCell ref="A153:D153"/>
    <mergeCell ref="E152:F152"/>
    <mergeCell ref="G152:H152"/>
    <mergeCell ref="I152:J152"/>
    <mergeCell ref="K152:L152"/>
    <mergeCell ref="E153:F153"/>
    <mergeCell ref="G153:H153"/>
    <mergeCell ref="I153:J153"/>
    <mergeCell ref="K153:L153"/>
    <mergeCell ref="A156:L156"/>
    <mergeCell ref="A154:D154"/>
    <mergeCell ref="E154:F154"/>
    <mergeCell ref="G154:H154"/>
    <mergeCell ref="I154:J154"/>
    <mergeCell ref="K154:L154"/>
    <mergeCell ref="A155:D155"/>
    <mergeCell ref="E155:F155"/>
    <mergeCell ref="G155:H155"/>
    <mergeCell ref="D3:G3"/>
    <mergeCell ref="A151:D151"/>
    <mergeCell ref="E151:F151"/>
    <mergeCell ref="G151:H151"/>
    <mergeCell ref="I151:J151"/>
    <mergeCell ref="K151:L151"/>
    <mergeCell ref="E137:F137"/>
    <mergeCell ref="G137:H137"/>
    <mergeCell ref="I137:J137"/>
    <mergeCell ref="K137:L137"/>
    <mergeCell ref="A149:D149"/>
    <mergeCell ref="E149:F149"/>
    <mergeCell ref="G149:H149"/>
    <mergeCell ref="I149:J149"/>
    <mergeCell ref="K149:L149"/>
    <mergeCell ref="A150:D150"/>
    <mergeCell ref="E150:F150"/>
    <mergeCell ref="G150:H150"/>
    <mergeCell ref="I150:J150"/>
    <mergeCell ref="E145:F145"/>
    <mergeCell ref="A134:D134"/>
    <mergeCell ref="E134:F134"/>
    <mergeCell ref="G134:H134"/>
    <mergeCell ref="I134:J134"/>
    <mergeCell ref="A165:K165"/>
    <mergeCell ref="M165:O165"/>
    <mergeCell ref="A166:K169"/>
    <mergeCell ref="M166:O169"/>
    <mergeCell ref="A171:K171"/>
    <mergeCell ref="M171:O171"/>
    <mergeCell ref="A172:K175"/>
    <mergeCell ref="M172:O175"/>
    <mergeCell ref="A160:D160"/>
    <mergeCell ref="E160:F160"/>
    <mergeCell ref="G160:H160"/>
    <mergeCell ref="I160:J160"/>
    <mergeCell ref="I161:J161"/>
    <mergeCell ref="A161:D161"/>
    <mergeCell ref="G161:H161"/>
    <mergeCell ref="K160:L160"/>
    <mergeCell ref="K161:L161"/>
    <mergeCell ref="E161:F161"/>
    <mergeCell ref="A158:D158"/>
    <mergeCell ref="E158:F158"/>
    <mergeCell ref="G158:H158"/>
    <mergeCell ref="I158:J158"/>
    <mergeCell ref="K158:L158"/>
    <mergeCell ref="E141:F141"/>
    <mergeCell ref="K142:L142"/>
    <mergeCell ref="A143:D143"/>
    <mergeCell ref="E143:F143"/>
    <mergeCell ref="G143:H143"/>
    <mergeCell ref="I143:J143"/>
    <mergeCell ref="K143:L143"/>
    <mergeCell ref="A144:J144"/>
    <mergeCell ref="K144:L144"/>
    <mergeCell ref="G146:H146"/>
    <mergeCell ref="I146:J146"/>
    <mergeCell ref="K146:L146"/>
    <mergeCell ref="A148:D148"/>
    <mergeCell ref="E148:F148"/>
    <mergeCell ref="G148:H148"/>
    <mergeCell ref="I148:J148"/>
    <mergeCell ref="K148:L148"/>
    <mergeCell ref="A145:D145"/>
    <mergeCell ref="E146:F146"/>
    <mergeCell ref="F103:G103"/>
    <mergeCell ref="B104:G104"/>
    <mergeCell ref="G113:H113"/>
    <mergeCell ref="G111:H111"/>
    <mergeCell ref="E112:F112"/>
    <mergeCell ref="G112:H112"/>
    <mergeCell ref="G114:H114"/>
    <mergeCell ref="A113:D113"/>
    <mergeCell ref="A114:D114"/>
    <mergeCell ref="A117:D117"/>
    <mergeCell ref="E113:F113"/>
    <mergeCell ref="A115:D115"/>
    <mergeCell ref="G116:H116"/>
    <mergeCell ref="E117:F117"/>
    <mergeCell ref="B105:E105"/>
    <mergeCell ref="F105:G105"/>
    <mergeCell ref="D106:E106"/>
    <mergeCell ref="G138:H138"/>
    <mergeCell ref="E131:F131"/>
    <mergeCell ref="G119:H119"/>
    <mergeCell ref="A126:D126"/>
    <mergeCell ref="E126:F126"/>
    <mergeCell ref="E116:F116"/>
    <mergeCell ref="F106:G106"/>
    <mergeCell ref="E114:F114"/>
    <mergeCell ref="I139:J139"/>
    <mergeCell ref="A122:D122"/>
    <mergeCell ref="E118:F118"/>
    <mergeCell ref="I138:J138"/>
    <mergeCell ref="E139:F139"/>
    <mergeCell ref="E138:F138"/>
    <mergeCell ref="A128:D128"/>
    <mergeCell ref="A121:D121"/>
    <mergeCell ref="A120:D120"/>
    <mergeCell ref="E120:F120"/>
    <mergeCell ref="G120:H120"/>
    <mergeCell ref="I120:J120"/>
    <mergeCell ref="I131:J131"/>
    <mergeCell ref="A133:D133"/>
    <mergeCell ref="E133:F133"/>
    <mergeCell ref="G132:H132"/>
    <mergeCell ref="A132:D132"/>
    <mergeCell ref="I124:J124"/>
    <mergeCell ref="A125:J125"/>
    <mergeCell ref="I126:J126"/>
    <mergeCell ref="I132:J132"/>
    <mergeCell ref="E132:F132"/>
    <mergeCell ref="A127:D127"/>
    <mergeCell ref="A131:D131"/>
    <mergeCell ref="J84:K84"/>
    <mergeCell ref="L86:M86"/>
    <mergeCell ref="L83:M83"/>
    <mergeCell ref="L84:M84"/>
    <mergeCell ref="J80:K80"/>
    <mergeCell ref="J81:K81"/>
    <mergeCell ref="B73:E73"/>
    <mergeCell ref="F73:G73"/>
    <mergeCell ref="G139:H139"/>
    <mergeCell ref="I117:J117"/>
    <mergeCell ref="G122:H122"/>
    <mergeCell ref="E122:F122"/>
    <mergeCell ref="A135:J135"/>
    <mergeCell ref="G136:H136"/>
    <mergeCell ref="I136:J136"/>
    <mergeCell ref="A136:D136"/>
    <mergeCell ref="E136:F136"/>
    <mergeCell ref="A138:D138"/>
    <mergeCell ref="A139:D139"/>
    <mergeCell ref="E121:F121"/>
    <mergeCell ref="G121:H121"/>
    <mergeCell ref="I121:J121"/>
    <mergeCell ref="E119:F119"/>
    <mergeCell ref="A119:D119"/>
    <mergeCell ref="B85:E85"/>
    <mergeCell ref="F85:G85"/>
    <mergeCell ref="H85:I85"/>
    <mergeCell ref="L85:M85"/>
    <mergeCell ref="J85:K85"/>
    <mergeCell ref="J86:K86"/>
    <mergeCell ref="H87:I87"/>
    <mergeCell ref="J87:K87"/>
    <mergeCell ref="L87:M87"/>
    <mergeCell ref="B87:E87"/>
    <mergeCell ref="F87:G87"/>
    <mergeCell ref="J59:K59"/>
    <mergeCell ref="H62:I62"/>
    <mergeCell ref="H65:I65"/>
    <mergeCell ref="H66:I66"/>
    <mergeCell ref="H60:I60"/>
    <mergeCell ref="H61:I61"/>
    <mergeCell ref="L61:P61"/>
    <mergeCell ref="F69:G69"/>
    <mergeCell ref="L67:P67"/>
    <mergeCell ref="J69:K69"/>
    <mergeCell ref="H67:I67"/>
    <mergeCell ref="J62:K62"/>
    <mergeCell ref="J66:K66"/>
    <mergeCell ref="L62:P62"/>
    <mergeCell ref="L64:P64"/>
    <mergeCell ref="J67:K67"/>
    <mergeCell ref="F66:G66"/>
    <mergeCell ref="F68:G68"/>
    <mergeCell ref="J61:K61"/>
    <mergeCell ref="F63:G63"/>
    <mergeCell ref="J63:K63"/>
    <mergeCell ref="J64:K64"/>
    <mergeCell ref="H69:I69"/>
    <mergeCell ref="L69:P69"/>
    <mergeCell ref="J71:K71"/>
    <mergeCell ref="L71:P71"/>
    <mergeCell ref="L72:P72"/>
    <mergeCell ref="B74:P74"/>
    <mergeCell ref="B70:E70"/>
    <mergeCell ref="F81:G81"/>
    <mergeCell ref="F82:G82"/>
    <mergeCell ref="L79:M79"/>
    <mergeCell ref="B80:E80"/>
    <mergeCell ref="J79:K79"/>
    <mergeCell ref="J73:K73"/>
    <mergeCell ref="F79:G79"/>
    <mergeCell ref="F84:G84"/>
    <mergeCell ref="H64:I64"/>
    <mergeCell ref="F65:G65"/>
    <mergeCell ref="J83:K83"/>
    <mergeCell ref="J82:K82"/>
    <mergeCell ref="H70:I70"/>
    <mergeCell ref="H71:I71"/>
    <mergeCell ref="J70:K70"/>
    <mergeCell ref="F75:G75"/>
    <mergeCell ref="H75:I75"/>
    <mergeCell ref="J75:K75"/>
    <mergeCell ref="F80:G80"/>
    <mergeCell ref="B78:M78"/>
    <mergeCell ref="B79:E79"/>
    <mergeCell ref="H72:I72"/>
    <mergeCell ref="H79:I79"/>
    <mergeCell ref="H80:I80"/>
    <mergeCell ref="H73:I73"/>
    <mergeCell ref="J72:K72"/>
    <mergeCell ref="L81:M81"/>
    <mergeCell ref="L70:P70"/>
    <mergeCell ref="H81:I81"/>
    <mergeCell ref="H82:I82"/>
    <mergeCell ref="L80:M80"/>
    <mergeCell ref="L21:M21"/>
    <mergeCell ref="J65:K65"/>
    <mergeCell ref="B68:E68"/>
    <mergeCell ref="B63:E63"/>
    <mergeCell ref="H63:I63"/>
    <mergeCell ref="F56:G56"/>
    <mergeCell ref="J36:K36"/>
    <mergeCell ref="L54:P54"/>
    <mergeCell ref="L56:P56"/>
    <mergeCell ref="B50:E50"/>
    <mergeCell ref="L45:P45"/>
    <mergeCell ref="L46:P46"/>
    <mergeCell ref="L47:P47"/>
    <mergeCell ref="L38:P38"/>
    <mergeCell ref="B51:E51"/>
    <mergeCell ref="F54:G54"/>
    <mergeCell ref="B58:E58"/>
    <mergeCell ref="B59:E59"/>
    <mergeCell ref="B64:E64"/>
    <mergeCell ref="B65:E65"/>
    <mergeCell ref="F58:G58"/>
    <mergeCell ref="J58:K58"/>
    <mergeCell ref="F57:G57"/>
    <mergeCell ref="L49:P49"/>
    <mergeCell ref="B52:E52"/>
    <mergeCell ref="F52:G52"/>
    <mergeCell ref="H52:I52"/>
    <mergeCell ref="J52:K52"/>
    <mergeCell ref="L50:P50"/>
    <mergeCell ref="L52:P52"/>
    <mergeCell ref="L51:P51"/>
    <mergeCell ref="L48:P48"/>
    <mergeCell ref="H50:I50"/>
    <mergeCell ref="J50:K50"/>
    <mergeCell ref="J51:K51"/>
    <mergeCell ref="J49:K49"/>
    <mergeCell ref="F49:G49"/>
    <mergeCell ref="B48:E48"/>
    <mergeCell ref="B55:P55"/>
    <mergeCell ref="L60:P60"/>
    <mergeCell ref="F36:G36"/>
    <mergeCell ref="B53:E53"/>
    <mergeCell ref="B54:E54"/>
    <mergeCell ref="B56:E56"/>
    <mergeCell ref="B38:E38"/>
    <mergeCell ref="B45:E45"/>
    <mergeCell ref="L57:P57"/>
    <mergeCell ref="B49:E49"/>
    <mergeCell ref="J53:K53"/>
    <mergeCell ref="B57:E57"/>
    <mergeCell ref="J54:K54"/>
    <mergeCell ref="H54:I54"/>
    <mergeCell ref="J56:K56"/>
    <mergeCell ref="J57:K57"/>
    <mergeCell ref="H56:I56"/>
    <mergeCell ref="B46:E46"/>
    <mergeCell ref="H53:I53"/>
    <mergeCell ref="L53:P53"/>
    <mergeCell ref="H51:I51"/>
    <mergeCell ref="F53:G53"/>
    <mergeCell ref="H48:I48"/>
    <mergeCell ref="H49:I49"/>
    <mergeCell ref="L88:M88"/>
    <mergeCell ref="B88:E88"/>
    <mergeCell ref="L89:M89"/>
    <mergeCell ref="B93:G93"/>
    <mergeCell ref="B94:E94"/>
    <mergeCell ref="F94:G94"/>
    <mergeCell ref="B95:E95"/>
    <mergeCell ref="F95:G95"/>
    <mergeCell ref="B89:I89"/>
    <mergeCell ref="J89:K89"/>
    <mergeCell ref="J22:K22"/>
    <mergeCell ref="H45:I45"/>
    <mergeCell ref="F25:G25"/>
    <mergeCell ref="B47:E47"/>
    <mergeCell ref="H36:I36"/>
    <mergeCell ref="F31:G31"/>
    <mergeCell ref="H31:I31"/>
    <mergeCell ref="H29:I29"/>
    <mergeCell ref="J46:K46"/>
    <mergeCell ref="H46:I46"/>
    <mergeCell ref="H47:I47"/>
    <mergeCell ref="B43:E43"/>
    <mergeCell ref="F43:G43"/>
    <mergeCell ref="H43:I43"/>
    <mergeCell ref="J43:K43"/>
    <mergeCell ref="B44:E44"/>
    <mergeCell ref="F44:G44"/>
    <mergeCell ref="H44:I44"/>
    <mergeCell ref="J44:K44"/>
    <mergeCell ref="B27:E27"/>
    <mergeCell ref="B28:E28"/>
    <mergeCell ref="B29:E29"/>
    <mergeCell ref="B36:E36"/>
    <mergeCell ref="B26:E26"/>
    <mergeCell ref="H26:I26"/>
    <mergeCell ref="H27:I27"/>
    <mergeCell ref="F27:G27"/>
    <mergeCell ref="L23:M23"/>
    <mergeCell ref="L25:M25"/>
    <mergeCell ref="L26:M26"/>
    <mergeCell ref="L27:M27"/>
    <mergeCell ref="L28:M28"/>
    <mergeCell ref="L29:M29"/>
    <mergeCell ref="L37:P37"/>
    <mergeCell ref="J25:K25"/>
    <mergeCell ref="J26:K26"/>
    <mergeCell ref="J27:K27"/>
    <mergeCell ref="J28:K28"/>
    <mergeCell ref="J29:K29"/>
    <mergeCell ref="J24:K24"/>
    <mergeCell ref="L36:P36"/>
    <mergeCell ref="J31:K31"/>
    <mergeCell ref="L31:M31"/>
    <mergeCell ref="L35:P35"/>
    <mergeCell ref="D1:G1"/>
    <mergeCell ref="I1:J1"/>
    <mergeCell ref="F18:G18"/>
    <mergeCell ref="B18:E18"/>
    <mergeCell ref="B31:E31"/>
    <mergeCell ref="H28:I28"/>
    <mergeCell ref="H84:I84"/>
    <mergeCell ref="B92:G92"/>
    <mergeCell ref="B84:E84"/>
    <mergeCell ref="F83:G83"/>
    <mergeCell ref="H83:I83"/>
    <mergeCell ref="H57:I57"/>
    <mergeCell ref="F48:G48"/>
    <mergeCell ref="H58:I58"/>
    <mergeCell ref="J48:K48"/>
    <mergeCell ref="F59:G59"/>
    <mergeCell ref="J47:K47"/>
    <mergeCell ref="H21:I21"/>
    <mergeCell ref="B81:E81"/>
    <mergeCell ref="B72:E72"/>
    <mergeCell ref="F38:G38"/>
    <mergeCell ref="J38:K38"/>
    <mergeCell ref="J35:K35"/>
    <mergeCell ref="H37:I37"/>
    <mergeCell ref="L1:M1"/>
    <mergeCell ref="D2:G2"/>
    <mergeCell ref="I2:J2"/>
    <mergeCell ref="L2:M2"/>
    <mergeCell ref="H4:P4"/>
    <mergeCell ref="A4:G4"/>
    <mergeCell ref="G118:H118"/>
    <mergeCell ref="I118:J118"/>
    <mergeCell ref="F70:G70"/>
    <mergeCell ref="A5:B5"/>
    <mergeCell ref="C5:P5"/>
    <mergeCell ref="B34:P34"/>
    <mergeCell ref="F37:G37"/>
    <mergeCell ref="H35:I35"/>
    <mergeCell ref="F45:G45"/>
    <mergeCell ref="F46:G46"/>
    <mergeCell ref="F47:G47"/>
    <mergeCell ref="B35:E35"/>
    <mergeCell ref="H38:I38"/>
    <mergeCell ref="F35:G35"/>
    <mergeCell ref="L18:M18"/>
    <mergeCell ref="J21:K21"/>
    <mergeCell ref="J23:K23"/>
    <mergeCell ref="A118:D118"/>
    <mergeCell ref="K130:L130"/>
    <mergeCell ref="I122:J122"/>
    <mergeCell ref="G131:H131"/>
    <mergeCell ref="A124:D124"/>
    <mergeCell ref="E124:F124"/>
    <mergeCell ref="G124:H124"/>
    <mergeCell ref="E127:F127"/>
    <mergeCell ref="A129:D129"/>
    <mergeCell ref="K122:L122"/>
    <mergeCell ref="K129:L129"/>
    <mergeCell ref="G127:H127"/>
    <mergeCell ref="I127:J127"/>
    <mergeCell ref="G129:H129"/>
    <mergeCell ref="I129:J129"/>
    <mergeCell ref="K124:L124"/>
    <mergeCell ref="K125:L125"/>
    <mergeCell ref="K126:L126"/>
    <mergeCell ref="K127:L127"/>
    <mergeCell ref="K128:L128"/>
    <mergeCell ref="F62:G62"/>
    <mergeCell ref="F72:G72"/>
    <mergeCell ref="E129:F129"/>
    <mergeCell ref="G126:H126"/>
    <mergeCell ref="E128:F128"/>
    <mergeCell ref="I128:J128"/>
    <mergeCell ref="H25:I25"/>
    <mergeCell ref="B25:E25"/>
    <mergeCell ref="B37:E37"/>
    <mergeCell ref="I114:J114"/>
    <mergeCell ref="B66:E66"/>
    <mergeCell ref="B67:E67"/>
    <mergeCell ref="B69:E69"/>
    <mergeCell ref="F67:G67"/>
    <mergeCell ref="B71:E71"/>
    <mergeCell ref="F71:G71"/>
    <mergeCell ref="B60:E60"/>
    <mergeCell ref="F60:G60"/>
    <mergeCell ref="B61:E61"/>
    <mergeCell ref="F61:G61"/>
    <mergeCell ref="F64:G64"/>
    <mergeCell ref="B62:E62"/>
    <mergeCell ref="F88:G88"/>
    <mergeCell ref="J37:K37"/>
    <mergeCell ref="K119:L119"/>
    <mergeCell ref="K120:L120"/>
    <mergeCell ref="K121:L121"/>
    <mergeCell ref="B82:E82"/>
    <mergeCell ref="L82:M82"/>
    <mergeCell ref="J60:K60"/>
    <mergeCell ref="H59:I59"/>
    <mergeCell ref="L73:P73"/>
    <mergeCell ref="B75:E75"/>
    <mergeCell ref="K113:L113"/>
    <mergeCell ref="K116:L116"/>
    <mergeCell ref="H88:I88"/>
    <mergeCell ref="F102:G102"/>
    <mergeCell ref="B96:G96"/>
    <mergeCell ref="I111:J111"/>
    <mergeCell ref="A111:D111"/>
    <mergeCell ref="E111:F111"/>
    <mergeCell ref="A110:L110"/>
    <mergeCell ref="K111:L111"/>
    <mergeCell ref="D97:E97"/>
    <mergeCell ref="F97:G97"/>
    <mergeCell ref="B101:G101"/>
    <mergeCell ref="B100:G100"/>
    <mergeCell ref="J88:K88"/>
    <mergeCell ref="B7:G7"/>
    <mergeCell ref="B8:C8"/>
    <mergeCell ref="B15:C15"/>
    <mergeCell ref="B14:C14"/>
    <mergeCell ref="B22:E22"/>
    <mergeCell ref="B24:E24"/>
    <mergeCell ref="F22:G22"/>
    <mergeCell ref="H22:I22"/>
    <mergeCell ref="F24:G24"/>
    <mergeCell ref="H24:I24"/>
    <mergeCell ref="H18:I18"/>
    <mergeCell ref="B17:M17"/>
    <mergeCell ref="B20:E20"/>
    <mergeCell ref="B21:E21"/>
    <mergeCell ref="B23:E23"/>
    <mergeCell ref="J7:K8"/>
    <mergeCell ref="J10:K11"/>
    <mergeCell ref="B9:C9"/>
    <mergeCell ref="B10:C10"/>
    <mergeCell ref="L22:M22"/>
    <mergeCell ref="L24:M24"/>
    <mergeCell ref="J18:K18"/>
    <mergeCell ref="H23:I23"/>
    <mergeCell ref="L20:M20"/>
    <mergeCell ref="B11:C11"/>
    <mergeCell ref="B12:C12"/>
    <mergeCell ref="B13:C13"/>
    <mergeCell ref="H68:I68"/>
    <mergeCell ref="G128:H128"/>
    <mergeCell ref="I113:J113"/>
    <mergeCell ref="I116:J116"/>
    <mergeCell ref="B86:E86"/>
    <mergeCell ref="F86:G86"/>
    <mergeCell ref="H86:I86"/>
    <mergeCell ref="F50:G50"/>
    <mergeCell ref="F51:G51"/>
    <mergeCell ref="F28:G28"/>
    <mergeCell ref="A123:D123"/>
    <mergeCell ref="F29:G29"/>
    <mergeCell ref="A116:D116"/>
    <mergeCell ref="G123:H123"/>
    <mergeCell ref="I123:J123"/>
    <mergeCell ref="E123:F123"/>
    <mergeCell ref="G117:H117"/>
    <mergeCell ref="F21:G21"/>
    <mergeCell ref="F23:G23"/>
    <mergeCell ref="F26:G26"/>
    <mergeCell ref="J45:K45"/>
    <mergeCell ref="I155:J155"/>
    <mergeCell ref="K155:L155"/>
    <mergeCell ref="B39:E39"/>
    <mergeCell ref="F39:G39"/>
    <mergeCell ref="H39:I39"/>
    <mergeCell ref="J39:K39"/>
    <mergeCell ref="K139:L139"/>
    <mergeCell ref="K140:L140"/>
    <mergeCell ref="K141:L141"/>
    <mergeCell ref="K134:L134"/>
    <mergeCell ref="K135:L135"/>
    <mergeCell ref="K136:L136"/>
    <mergeCell ref="K138:L138"/>
    <mergeCell ref="G133:H133"/>
    <mergeCell ref="I133:J133"/>
    <mergeCell ref="K131:L131"/>
    <mergeCell ref="K132:L132"/>
    <mergeCell ref="K133:L133"/>
    <mergeCell ref="L63:P63"/>
    <mergeCell ref="K123:L123"/>
    <mergeCell ref="L58:P58"/>
    <mergeCell ref="L59:P59"/>
    <mergeCell ref="K117:L117"/>
    <mergeCell ref="K118:L118"/>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6900-000000000000}">
      <formula1>AvancementTheme</formula1>
    </dataValidation>
  </dataValidations>
  <hyperlinks>
    <hyperlink ref="O1" location="DPDV_09PP1" display="PdV" xr:uid="{00000000-0004-0000-6900-000000000000}"/>
    <hyperlink ref="P1" location="DKPI_09PP1" display="KPI's" xr:uid="{00000000-0004-0000-6900-000001000000}"/>
  </hyperlinks>
  <pageMargins left="0.70866141732283472" right="0.70866141732283472" top="0.74803149606299213" bottom="0.74803149606299213" header="0.31496062992125984" footer="0.31496062992125984"/>
  <pageSetup paperSize="9" scale="31" orientation="portrait" r:id="rId1"/>
  <headerFooter>
    <oddHeader>&amp;LPAD Methodology (c) 2013-2014&amp;RStrategic Management Workshop</oddHeader>
    <oddFooter>&amp;L&amp;F&amp;C&amp;A&amp;RSituation au : &amp;D - page : &amp;P/&amp;N</oddFooter>
  </headerFooter>
  <drawing r:id="rId2"/>
  <legacy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euil35">
    <tabColor theme="8" tint="0.59999389629810485"/>
    <pageSetUpPr fitToPage="1"/>
  </sheetPr>
  <dimension ref="A1:BZ41"/>
  <sheetViews>
    <sheetView showGridLines="0" showRowColHeaders="0" zoomScale="110" zoomScaleNormal="110" workbookViewId="0">
      <pane ySplit="5" topLeftCell="A6" activePane="bottomLeft" state="frozen"/>
      <selection activeCell="C5" sqref="C5:P5"/>
      <selection pane="bottomLeft" activeCell="C5" sqref="C5:P5"/>
    </sheetView>
  </sheetViews>
  <sheetFormatPr baseColWidth="10" defaultColWidth="11.453125" defaultRowHeight="14.5" x14ac:dyDescent="0.35"/>
  <cols>
    <col min="1" max="1" width="8.54296875" style="60" customWidth="1"/>
    <col min="2" max="2" width="14.1796875" style="60" customWidth="1"/>
    <col min="3" max="11" width="11.453125" style="60"/>
    <col min="12" max="12" width="12.81640625" style="60" customWidth="1"/>
    <col min="13" max="14" width="11.453125" style="60"/>
    <col min="15" max="15" width="11.453125" style="60" customWidth="1"/>
    <col min="16" max="16" width="11.453125" style="60"/>
    <col min="17" max="17" width="8.1796875" style="60" customWidth="1"/>
    <col min="18" max="16384" width="11.453125" style="60"/>
  </cols>
  <sheetData>
    <row r="1" spans="1:78" s="54" customFormat="1" ht="15" customHeight="1" x14ac:dyDescent="0.35">
      <c r="A1" s="389"/>
      <c r="B1" s="389"/>
      <c r="C1" s="389"/>
      <c r="D1" s="3341" t="s">
        <v>5</v>
      </c>
      <c r="E1" s="3341"/>
      <c r="F1" s="3341"/>
      <c r="G1" s="3341"/>
      <c r="H1" s="391"/>
      <c r="I1" s="3341" t="s">
        <v>6</v>
      </c>
      <c r="J1" s="3341"/>
      <c r="K1" s="389"/>
      <c r="L1" s="3341" t="s">
        <v>9</v>
      </c>
      <c r="M1" s="3341"/>
      <c r="N1" s="389"/>
      <c r="O1" s="479" t="s">
        <v>2</v>
      </c>
      <c r="P1" s="479" t="s">
        <v>3</v>
      </c>
      <c r="Q1" s="829"/>
      <c r="R1" s="458"/>
    </row>
    <row r="2" spans="1:78" s="58" customFormat="1" ht="18" customHeight="1" x14ac:dyDescent="0.35">
      <c r="A2" s="393"/>
      <c r="B2" s="393"/>
      <c r="C2" s="393"/>
      <c r="D2" s="3342" t="str">
        <f>NomClient</f>
        <v xml:space="preserve">EQUINIX </v>
      </c>
      <c r="E2" s="3343"/>
      <c r="F2" s="3343"/>
      <c r="G2" s="3344"/>
      <c r="H2" s="393"/>
      <c r="I2" s="3345" t="s">
        <v>407</v>
      </c>
      <c r="J2" s="3346"/>
      <c r="K2" s="393"/>
      <c r="L2" s="3347">
        <v>42534.869375000002</v>
      </c>
      <c r="M2" s="3348"/>
      <c r="N2" s="394"/>
      <c r="O2" s="451">
        <f>IF(LEN(DPDV_10TL1)&gt;0,LEN(DPDV_10TL1),0-PDV_NBmini)</f>
        <v>129</v>
      </c>
      <c r="P2" s="451">
        <f>IF(LEN(DKPI_10TL1)&gt;0,LEN(DKPI_10TL1),0-KPI_NBmini)</f>
        <v>18</v>
      </c>
      <c r="Q2" s="830"/>
      <c r="R2" s="459"/>
    </row>
    <row r="3" spans="1:78" ht="9.75" customHeight="1" thickBot="1" x14ac:dyDescent="0.4">
      <c r="A3" s="396"/>
      <c r="B3" s="396"/>
      <c r="C3" s="396"/>
      <c r="D3" s="3696" t="s">
        <v>1792</v>
      </c>
      <c r="E3" s="3696"/>
      <c r="F3" s="3696"/>
      <c r="G3" s="3696"/>
      <c r="H3" s="1960"/>
      <c r="I3" s="1960"/>
      <c r="J3" s="1960"/>
      <c r="K3" s="396"/>
      <c r="L3" s="396"/>
      <c r="M3" s="396"/>
      <c r="N3" s="396"/>
      <c r="O3" s="396"/>
      <c r="P3" s="396"/>
      <c r="Q3" s="831"/>
      <c r="R3" s="64"/>
      <c r="S3" s="64"/>
      <c r="T3" s="64"/>
      <c r="U3" s="64"/>
      <c r="V3" s="64"/>
    </row>
    <row r="4" spans="1:78" s="1" customFormat="1" ht="24.75" customHeight="1" thickBot="1" x14ac:dyDescent="0.4">
      <c r="A4" s="907"/>
      <c r="B4" s="4203" t="str">
        <f>Parametre!B32 &amp; "   : "</f>
        <v xml:space="preserve">Programmes partenaires   : </v>
      </c>
      <c r="C4" s="4203"/>
      <c r="D4" s="4203"/>
      <c r="E4" s="4203"/>
      <c r="F4" s="4203"/>
      <c r="G4" s="4203"/>
      <c r="H4" s="4204" t="str">
        <f xml:space="preserve"> "Taux de Lead nécessaire pour " &amp; NomProd1</f>
        <v>Taux de Lead nécessaire pour EQUINIX</v>
      </c>
      <c r="I4" s="4204"/>
      <c r="J4" s="4204"/>
      <c r="K4" s="4204"/>
      <c r="L4" s="4204"/>
      <c r="M4" s="4204"/>
      <c r="N4" s="4204"/>
      <c r="O4" s="4204"/>
      <c r="P4" s="4204"/>
      <c r="Q4" s="4205"/>
      <c r="R4" s="444"/>
    </row>
    <row r="5" spans="1:78" s="193" customFormat="1" ht="38.25" customHeight="1" x14ac:dyDescent="0.35">
      <c r="A5" s="3438" t="s">
        <v>14</v>
      </c>
      <c r="B5" s="3438"/>
      <c r="C5" s="3508" t="s">
        <v>2262</v>
      </c>
      <c r="D5" s="3508"/>
      <c r="E5" s="3508"/>
      <c r="F5" s="3508"/>
      <c r="G5" s="3508"/>
      <c r="H5" s="3508"/>
      <c r="I5" s="3508"/>
      <c r="J5" s="3508"/>
      <c r="K5" s="3508"/>
      <c r="L5" s="3508"/>
      <c r="M5" s="3508"/>
      <c r="N5" s="3508"/>
      <c r="O5" s="3508"/>
      <c r="P5" s="3508"/>
      <c r="Q5" s="3508"/>
      <c r="R5" s="460"/>
    </row>
    <row r="6" spans="1:78" s="47" customFormat="1" ht="15" thickBot="1" x14ac:dyDescent="0.4">
      <c r="A6" s="908"/>
      <c r="B6" s="909"/>
      <c r="C6" s="909"/>
      <c r="D6" s="909"/>
      <c r="E6" s="909"/>
      <c r="F6" s="909"/>
      <c r="G6" s="909"/>
      <c r="H6" s="6375"/>
      <c r="I6" s="6375"/>
      <c r="J6" s="909"/>
      <c r="K6" s="909"/>
      <c r="L6" s="909"/>
      <c r="M6" s="908"/>
      <c r="N6" s="908"/>
      <c r="O6" s="908"/>
      <c r="P6" s="908"/>
      <c r="Q6" s="908"/>
      <c r="R6" s="908"/>
    </row>
    <row r="7" spans="1:78" s="48" customFormat="1" ht="15" thickTop="1" x14ac:dyDescent="0.35">
      <c r="A7" s="6365" t="str">
        <f>"ETAPES CYCLE DE VENTE Offre " &amp; NomProd1</f>
        <v>ETAPES CYCLE DE VENTE Offre EQUINIX</v>
      </c>
      <c r="B7" s="6366"/>
      <c r="C7" s="6366"/>
      <c r="D7" s="6366"/>
      <c r="E7" s="6366"/>
      <c r="F7" s="6366"/>
      <c r="G7" s="6366"/>
      <c r="H7" s="910" t="s">
        <v>501</v>
      </c>
      <c r="I7" s="911" t="s">
        <v>500</v>
      </c>
      <c r="J7" s="6366" t="s">
        <v>499</v>
      </c>
      <c r="K7" s="6366"/>
      <c r="L7" s="6366"/>
      <c r="M7" s="6376"/>
      <c r="N7" s="912"/>
      <c r="O7" s="913"/>
      <c r="P7" s="913"/>
      <c r="Q7" s="913"/>
      <c r="R7" s="914"/>
    </row>
    <row r="8" spans="1:78" s="268" customFormat="1" ht="9" customHeight="1" x14ac:dyDescent="0.35">
      <c r="A8" s="6377"/>
      <c r="B8" s="6378"/>
      <c r="C8" s="6378"/>
      <c r="D8" s="6378"/>
      <c r="E8" s="6378"/>
      <c r="F8" s="6378"/>
      <c r="G8" s="6378"/>
      <c r="H8" s="6378"/>
      <c r="I8" s="6378"/>
      <c r="J8" s="6378"/>
      <c r="K8" s="6378"/>
      <c r="L8" s="6378"/>
      <c r="M8" s="6379"/>
      <c r="N8" s="915"/>
      <c r="O8" s="916"/>
      <c r="P8" s="916"/>
      <c r="Q8" s="916"/>
      <c r="R8" s="916"/>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row>
    <row r="9" spans="1:78" s="47" customFormat="1" ht="21" customHeight="1" x14ac:dyDescent="0.35">
      <c r="A9" s="6858" t="s">
        <v>1837</v>
      </c>
      <c r="B9" s="6350"/>
      <c r="C9" s="6350"/>
      <c r="D9" s="6350"/>
      <c r="E9" s="6350"/>
      <c r="F9" s="6350"/>
      <c r="G9" s="6350"/>
      <c r="H9" s="925"/>
      <c r="I9" s="906">
        <v>600</v>
      </c>
      <c r="J9" s="6380" t="s">
        <v>957</v>
      </c>
      <c r="K9" s="6355"/>
      <c r="L9" s="6355"/>
      <c r="M9" s="6356"/>
      <c r="N9" s="918"/>
      <c r="O9" s="919"/>
      <c r="P9" s="919"/>
      <c r="Q9" s="919"/>
      <c r="R9" s="908"/>
    </row>
    <row r="10" spans="1:78" s="47" customFormat="1" x14ac:dyDescent="0.35">
      <c r="A10" s="6858" t="s">
        <v>1838</v>
      </c>
      <c r="B10" s="6859"/>
      <c r="C10" s="6859"/>
      <c r="D10" s="6859"/>
      <c r="E10" s="6859"/>
      <c r="F10" s="6859"/>
      <c r="G10" s="6859"/>
      <c r="H10" s="921">
        <v>0.7</v>
      </c>
      <c r="I10" s="927">
        <f>I9*H10</f>
        <v>420</v>
      </c>
      <c r="J10" s="6380" t="s">
        <v>1911</v>
      </c>
      <c r="K10" s="6371"/>
      <c r="L10" s="6371"/>
      <c r="M10" s="6372"/>
      <c r="N10" s="918"/>
      <c r="O10" s="919"/>
      <c r="P10" s="919"/>
      <c r="Q10" s="919"/>
      <c r="R10" s="908"/>
    </row>
    <row r="11" spans="1:78" s="47" customFormat="1" ht="43.5" customHeight="1" x14ac:dyDescent="0.35">
      <c r="A11" s="6860" t="s">
        <v>1840</v>
      </c>
      <c r="B11" s="6863"/>
      <c r="C11" s="6863"/>
      <c r="D11" s="6863"/>
      <c r="E11" s="6863"/>
      <c r="F11" s="6863"/>
      <c r="G11" s="6864"/>
      <c r="H11" s="921">
        <v>0.3</v>
      </c>
      <c r="I11" s="927">
        <f>I10*H11</f>
        <v>126</v>
      </c>
      <c r="J11" s="6380" t="s">
        <v>1865</v>
      </c>
      <c r="K11" s="6355"/>
      <c r="L11" s="6355"/>
      <c r="M11" s="6356"/>
      <c r="N11" s="918"/>
      <c r="O11" s="919"/>
      <c r="P11" s="919"/>
      <c r="Q11" s="919"/>
      <c r="R11" s="908"/>
    </row>
    <row r="12" spans="1:78" s="47" customFormat="1" ht="30.75" customHeight="1" x14ac:dyDescent="0.35">
      <c r="A12" s="6860" t="s">
        <v>1841</v>
      </c>
      <c r="B12" s="6861"/>
      <c r="C12" s="6861"/>
      <c r="D12" s="6861"/>
      <c r="E12" s="6861"/>
      <c r="F12" s="6861"/>
      <c r="G12" s="6862"/>
      <c r="H12" s="921">
        <v>0.4</v>
      </c>
      <c r="I12" s="925">
        <f>I11*H12</f>
        <v>50.400000000000006</v>
      </c>
      <c r="J12" s="6380" t="s">
        <v>1866</v>
      </c>
      <c r="K12" s="6355"/>
      <c r="L12" s="6355"/>
      <c r="M12" s="6356"/>
      <c r="N12" s="918"/>
      <c r="O12" s="919"/>
      <c r="P12" s="919"/>
      <c r="Q12" s="919"/>
      <c r="R12" s="908"/>
    </row>
    <row r="13" spans="1:78" s="47" customFormat="1" ht="23.25" customHeight="1" x14ac:dyDescent="0.35">
      <c r="A13" s="6858" t="s">
        <v>1839</v>
      </c>
      <c r="B13" s="6859"/>
      <c r="C13" s="6859"/>
      <c r="D13" s="6859"/>
      <c r="E13" s="6859"/>
      <c r="F13" s="6859"/>
      <c r="G13" s="6859"/>
      <c r="H13" s="922">
        <v>0.3</v>
      </c>
      <c r="I13" s="928">
        <f>I12*H13</f>
        <v>15.120000000000001</v>
      </c>
      <c r="J13" s="6371"/>
      <c r="K13" s="6371"/>
      <c r="L13" s="6371"/>
      <c r="M13" s="6372"/>
      <c r="N13" s="918"/>
      <c r="O13" s="919"/>
      <c r="P13" s="919"/>
      <c r="Q13" s="919"/>
      <c r="R13" s="908"/>
    </row>
    <row r="14" spans="1:78" s="47" customFormat="1" x14ac:dyDescent="0.35">
      <c r="A14" s="6354"/>
      <c r="B14" s="6355"/>
      <c r="C14" s="6355"/>
      <c r="D14" s="6355"/>
      <c r="E14" s="6355"/>
      <c r="F14" s="6355"/>
      <c r="G14" s="6355"/>
      <c r="H14" s="923"/>
      <c r="I14" s="924"/>
      <c r="J14" s="6355"/>
      <c r="K14" s="6355"/>
      <c r="L14" s="6355"/>
      <c r="M14" s="6356"/>
      <c r="N14" s="918"/>
      <c r="O14" s="919"/>
      <c r="P14" s="919"/>
      <c r="Q14" s="919"/>
      <c r="R14" s="908"/>
    </row>
    <row r="15" spans="1:78" s="47" customFormat="1" x14ac:dyDescent="0.35">
      <c r="A15" s="6354"/>
      <c r="B15" s="6355"/>
      <c r="C15" s="6355"/>
      <c r="D15" s="6355"/>
      <c r="E15" s="6355"/>
      <c r="F15" s="6355"/>
      <c r="G15" s="6355"/>
      <c r="H15" s="925"/>
      <c r="I15" s="926"/>
      <c r="J15" s="6355"/>
      <c r="K15" s="6355"/>
      <c r="L15" s="6355"/>
      <c r="M15" s="6356"/>
      <c r="N15" s="918"/>
      <c r="O15" s="919"/>
      <c r="P15" s="919"/>
      <c r="Q15" s="919"/>
      <c r="R15" s="908"/>
    </row>
    <row r="16" spans="1:78" s="47" customFormat="1" ht="9" customHeight="1" thickBot="1" x14ac:dyDescent="0.4">
      <c r="A16" s="6357"/>
      <c r="B16" s="6358"/>
      <c r="C16" s="6358"/>
      <c r="D16" s="6358"/>
      <c r="E16" s="6358"/>
      <c r="F16" s="6358"/>
      <c r="G16" s="6358"/>
      <c r="H16" s="6358"/>
      <c r="I16" s="6358"/>
      <c r="J16" s="6358"/>
      <c r="K16" s="6358"/>
      <c r="L16" s="6358"/>
      <c r="M16" s="6359"/>
      <c r="N16" s="918"/>
      <c r="O16" s="919"/>
      <c r="P16" s="919"/>
      <c r="Q16" s="919"/>
      <c r="R16" s="908"/>
    </row>
    <row r="17" spans="1:76" ht="20.25" customHeight="1" thickTop="1" x14ac:dyDescent="0.35">
      <c r="A17" s="743"/>
      <c r="B17" s="743"/>
      <c r="C17" s="481"/>
      <c r="D17" s="481"/>
      <c r="E17" s="481"/>
      <c r="F17" s="481"/>
      <c r="G17" s="481"/>
      <c r="H17" s="481"/>
      <c r="I17" s="481"/>
      <c r="J17" s="481"/>
      <c r="K17" s="481"/>
      <c r="L17" s="481"/>
      <c r="M17" s="481"/>
      <c r="N17" s="481"/>
      <c r="O17" s="481"/>
      <c r="P17" s="481"/>
      <c r="Q17" s="743"/>
      <c r="R17" s="382"/>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row>
    <row r="18" spans="1:76" ht="20.25" customHeight="1" thickBot="1" x14ac:dyDescent="0.4">
      <c r="A18" s="743"/>
      <c r="B18" s="743"/>
      <c r="C18" s="481"/>
      <c r="D18" s="481"/>
      <c r="E18" s="481"/>
      <c r="F18" s="481"/>
      <c r="G18" s="481"/>
      <c r="H18" s="481"/>
      <c r="I18" s="481"/>
      <c r="J18" s="481"/>
      <c r="K18" s="481"/>
      <c r="L18" s="481"/>
      <c r="M18" s="481"/>
      <c r="N18" s="481"/>
      <c r="O18" s="481"/>
      <c r="P18" s="481"/>
      <c r="Q18" s="743"/>
      <c r="R18" s="382"/>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row>
    <row r="19" spans="1:76" ht="19.5" thickTop="1" thickBot="1" x14ac:dyDescent="0.4">
      <c r="A19" s="5169" t="s">
        <v>10</v>
      </c>
      <c r="B19" s="5170"/>
      <c r="C19" s="5170"/>
      <c r="D19" s="5170"/>
      <c r="E19" s="5170"/>
      <c r="F19" s="5170"/>
      <c r="G19" s="5170"/>
      <c r="H19" s="5170"/>
      <c r="I19" s="5170"/>
      <c r="J19" s="5170"/>
      <c r="K19" s="5170"/>
      <c r="L19" s="161"/>
      <c r="M19" s="3725" t="s">
        <v>748</v>
      </c>
      <c r="N19" s="3726"/>
      <c r="O19" s="3727"/>
      <c r="P19" s="31"/>
      <c r="Q19" s="64"/>
      <c r="R19" s="382"/>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row>
    <row r="20" spans="1:76" ht="20.25" customHeight="1" x14ac:dyDescent="0.35">
      <c r="A20" s="5164" t="s">
        <v>1518</v>
      </c>
      <c r="B20" s="5166"/>
      <c r="C20" s="5166"/>
      <c r="D20" s="5166"/>
      <c r="E20" s="5166"/>
      <c r="F20" s="5166"/>
      <c r="G20" s="5166"/>
      <c r="H20" s="5166"/>
      <c r="I20" s="5166"/>
      <c r="J20" s="5166"/>
      <c r="K20" s="5166"/>
      <c r="L20" s="39"/>
      <c r="M20" s="3750" t="s">
        <v>1281</v>
      </c>
      <c r="N20" s="3751"/>
      <c r="O20" s="3752"/>
      <c r="P20" s="33"/>
      <c r="Q20" s="64"/>
      <c r="R20" s="382"/>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row>
    <row r="21" spans="1:76" ht="20.25" customHeight="1" x14ac:dyDescent="0.35">
      <c r="A21" s="5164"/>
      <c r="B21" s="5166"/>
      <c r="C21" s="5166"/>
      <c r="D21" s="5166"/>
      <c r="E21" s="5166"/>
      <c r="F21" s="5166"/>
      <c r="G21" s="5166"/>
      <c r="H21" s="5166"/>
      <c r="I21" s="5166"/>
      <c r="J21" s="5166"/>
      <c r="K21" s="5166"/>
      <c r="L21" s="39"/>
      <c r="M21" s="3753"/>
      <c r="N21" s="3754"/>
      <c r="O21" s="3755"/>
      <c r="P21" s="33"/>
      <c r="Q21" s="64"/>
      <c r="R21" s="382"/>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row>
    <row r="22" spans="1:76" ht="20.25" customHeight="1" x14ac:dyDescent="0.35">
      <c r="A22" s="5164"/>
      <c r="B22" s="5166"/>
      <c r="C22" s="5166"/>
      <c r="D22" s="5166"/>
      <c r="E22" s="5166"/>
      <c r="F22" s="5166"/>
      <c r="G22" s="5166"/>
      <c r="H22" s="5166"/>
      <c r="I22" s="5166"/>
      <c r="J22" s="5166"/>
      <c r="K22" s="5166"/>
      <c r="L22" s="39"/>
      <c r="M22" s="3753"/>
      <c r="N22" s="3754"/>
      <c r="O22" s="3755"/>
      <c r="P22" s="33"/>
      <c r="Q22" s="64"/>
      <c r="R22" s="382"/>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row>
    <row r="23" spans="1:76" ht="20.25" customHeight="1" thickBot="1" x14ac:dyDescent="0.4">
      <c r="A23" s="5167"/>
      <c r="B23" s="5168"/>
      <c r="C23" s="5168"/>
      <c r="D23" s="5168"/>
      <c r="E23" s="5168"/>
      <c r="F23" s="5168"/>
      <c r="G23" s="5168"/>
      <c r="H23" s="5168"/>
      <c r="I23" s="5168"/>
      <c r="J23" s="5168"/>
      <c r="K23" s="5168"/>
      <c r="L23" s="39"/>
      <c r="M23" s="3756"/>
      <c r="N23" s="3757"/>
      <c r="O23" s="3758"/>
      <c r="P23" s="33"/>
      <c r="Q23" s="64"/>
      <c r="R23" s="382"/>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row>
    <row r="24" spans="1:76" ht="15.5" thickTop="1" thickBot="1" x14ac:dyDescent="0.4">
      <c r="A24" s="64"/>
      <c r="B24" s="64"/>
      <c r="C24" s="64"/>
      <c r="D24" s="64"/>
      <c r="E24" s="64"/>
      <c r="F24" s="64"/>
      <c r="G24" s="64"/>
      <c r="H24" s="64"/>
      <c r="I24" s="64"/>
      <c r="J24" s="64"/>
      <c r="K24" s="64"/>
      <c r="L24" s="64"/>
      <c r="M24" s="31"/>
      <c r="N24" s="31"/>
      <c r="O24" s="31"/>
      <c r="P24" s="64"/>
      <c r="Q24" s="64"/>
      <c r="R24" s="382"/>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row>
    <row r="25" spans="1:76" ht="19.5" thickTop="1" thickBot="1" x14ac:dyDescent="0.4">
      <c r="A25" s="5169" t="s">
        <v>11</v>
      </c>
      <c r="B25" s="5170"/>
      <c r="C25" s="5170"/>
      <c r="D25" s="5170"/>
      <c r="E25" s="5170"/>
      <c r="F25" s="5170"/>
      <c r="G25" s="5170"/>
      <c r="H25" s="5170"/>
      <c r="I25" s="5170"/>
      <c r="J25" s="5170"/>
      <c r="K25" s="5170"/>
      <c r="L25" s="161"/>
      <c r="M25" s="3725" t="s">
        <v>748</v>
      </c>
      <c r="N25" s="3726"/>
      <c r="O25" s="3727"/>
      <c r="P25" s="31"/>
      <c r="Q25" s="64"/>
      <c r="R25" s="382"/>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row>
    <row r="26" spans="1:76" ht="20.25" customHeight="1" x14ac:dyDescent="0.35">
      <c r="A26" s="5164" t="s">
        <v>1272</v>
      </c>
      <c r="B26" s="5165"/>
      <c r="C26" s="5165"/>
      <c r="D26" s="5165"/>
      <c r="E26" s="5165"/>
      <c r="F26" s="5165"/>
      <c r="G26" s="5165"/>
      <c r="H26" s="5165"/>
      <c r="I26" s="5165"/>
      <c r="J26" s="5165"/>
      <c r="K26" s="5166"/>
      <c r="L26" s="39"/>
      <c r="M26" s="3750" t="s">
        <v>1282</v>
      </c>
      <c r="N26" s="3751"/>
      <c r="O26" s="3752"/>
      <c r="P26" s="33"/>
      <c r="Q26" s="64"/>
      <c r="R26" s="382"/>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row>
    <row r="27" spans="1:76" ht="20.25" customHeight="1" x14ac:dyDescent="0.35">
      <c r="A27" s="5164"/>
      <c r="B27" s="5165"/>
      <c r="C27" s="5165"/>
      <c r="D27" s="5165"/>
      <c r="E27" s="5165"/>
      <c r="F27" s="5165"/>
      <c r="G27" s="5165"/>
      <c r="H27" s="5165"/>
      <c r="I27" s="5165"/>
      <c r="J27" s="5165"/>
      <c r="K27" s="5166"/>
      <c r="L27" s="39"/>
      <c r="M27" s="3753"/>
      <c r="N27" s="3754"/>
      <c r="O27" s="3755"/>
      <c r="P27" s="33"/>
      <c r="Q27" s="64"/>
      <c r="R27" s="382"/>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row>
    <row r="28" spans="1:76" ht="20.25" customHeight="1" x14ac:dyDescent="0.35">
      <c r="A28" s="5164"/>
      <c r="B28" s="5165"/>
      <c r="C28" s="5165"/>
      <c r="D28" s="5165"/>
      <c r="E28" s="5165"/>
      <c r="F28" s="5165"/>
      <c r="G28" s="5165"/>
      <c r="H28" s="5165"/>
      <c r="I28" s="5165"/>
      <c r="J28" s="5165"/>
      <c r="K28" s="5166"/>
      <c r="L28" s="39"/>
      <c r="M28" s="3753"/>
      <c r="N28" s="3754"/>
      <c r="O28" s="3755"/>
      <c r="P28" s="33"/>
      <c r="Q28" s="64"/>
      <c r="R28" s="382"/>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row>
    <row r="29" spans="1:76" ht="20.25" customHeight="1" thickBot="1" x14ac:dyDescent="0.4">
      <c r="A29" s="5167"/>
      <c r="B29" s="5168"/>
      <c r="C29" s="5168"/>
      <c r="D29" s="5168"/>
      <c r="E29" s="5168"/>
      <c r="F29" s="5168"/>
      <c r="G29" s="5168"/>
      <c r="H29" s="5168"/>
      <c r="I29" s="5168"/>
      <c r="J29" s="5168"/>
      <c r="K29" s="5168"/>
      <c r="L29" s="39"/>
      <c r="M29" s="3756"/>
      <c r="N29" s="3757"/>
      <c r="O29" s="3758"/>
      <c r="P29" s="33"/>
      <c r="Q29" s="64"/>
      <c r="R29" s="382"/>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row>
    <row r="30" spans="1:76" ht="15" thickTop="1" x14ac:dyDescent="0.35">
      <c r="A30" s="64"/>
      <c r="B30" s="64"/>
      <c r="C30" s="64"/>
      <c r="D30" s="64"/>
      <c r="E30" s="64"/>
      <c r="F30" s="64"/>
      <c r="G30" s="64"/>
      <c r="H30" s="64"/>
      <c r="I30" s="64"/>
      <c r="J30" s="64"/>
      <c r="K30" s="64"/>
      <c r="L30" s="64"/>
      <c r="M30" s="64"/>
      <c r="N30" s="64"/>
      <c r="O30" s="64"/>
      <c r="P30" s="64"/>
      <c r="Q30" s="64"/>
      <c r="R30" s="382"/>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row>
    <row r="31" spans="1:76" x14ac:dyDescent="0.35">
      <c r="A31" s="64"/>
      <c r="B31" s="64"/>
      <c r="C31" s="64"/>
      <c r="D31" s="64"/>
      <c r="E31" s="64"/>
      <c r="F31" s="64"/>
      <c r="G31" s="64"/>
      <c r="H31" s="64"/>
      <c r="I31" s="64"/>
      <c r="J31" s="64"/>
      <c r="K31" s="64"/>
      <c r="L31" s="64"/>
      <c r="M31" s="64"/>
      <c r="N31" s="64"/>
      <c r="O31" s="64"/>
      <c r="P31" s="64"/>
      <c r="Q31" s="64"/>
      <c r="R31" s="382"/>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row>
    <row r="32" spans="1:76" ht="15" thickBot="1" x14ac:dyDescent="0.4">
      <c r="A32" s="64"/>
      <c r="B32" s="64"/>
      <c r="C32" s="64"/>
      <c r="D32" s="64"/>
      <c r="E32" s="64"/>
      <c r="F32" s="64"/>
      <c r="G32" s="64"/>
      <c r="H32" s="64"/>
      <c r="I32" s="64"/>
      <c r="J32" s="64"/>
      <c r="K32" s="64"/>
      <c r="L32" s="64"/>
      <c r="M32" s="64"/>
      <c r="N32" s="64"/>
      <c r="O32" s="64"/>
      <c r="P32" s="64"/>
      <c r="Q32" s="64"/>
      <c r="R32" s="64"/>
    </row>
    <row r="33" spans="1:18" s="47" customFormat="1" ht="15" thickTop="1" x14ac:dyDescent="0.35">
      <c r="A33" s="908"/>
      <c r="B33" s="6365" t="s">
        <v>771</v>
      </c>
      <c r="C33" s="6366"/>
      <c r="D33" s="6366"/>
      <c r="E33" s="6366"/>
      <c r="F33" s="6366"/>
      <c r="G33" s="920"/>
      <c r="H33" s="908"/>
      <c r="I33" s="908"/>
      <c r="J33" s="908"/>
      <c r="K33" s="908"/>
      <c r="L33" s="908"/>
      <c r="M33" s="908"/>
      <c r="N33" s="908"/>
      <c r="O33" s="908"/>
      <c r="P33" s="908"/>
      <c r="Q33" s="908"/>
      <c r="R33" s="908"/>
    </row>
    <row r="34" spans="1:18" s="47" customFormat="1" x14ac:dyDescent="0.35">
      <c r="A34" s="908"/>
      <c r="B34" s="6349" t="s">
        <v>907</v>
      </c>
      <c r="C34" s="6350"/>
      <c r="D34" s="6350"/>
      <c r="E34" s="6350"/>
      <c r="F34" s="6350"/>
      <c r="G34" s="1203">
        <v>1000</v>
      </c>
      <c r="H34" s="908"/>
      <c r="I34" s="908"/>
      <c r="J34" s="908"/>
      <c r="K34" s="908"/>
      <c r="L34" s="908"/>
      <c r="M34" s="908"/>
      <c r="N34" s="908"/>
      <c r="O34" s="908"/>
      <c r="P34" s="908"/>
      <c r="Q34" s="908"/>
      <c r="R34" s="908"/>
    </row>
    <row r="35" spans="1:18" s="47" customFormat="1" x14ac:dyDescent="0.35">
      <c r="A35" s="908"/>
      <c r="B35" s="6349" t="s">
        <v>908</v>
      </c>
      <c r="C35" s="6350"/>
      <c r="D35" s="6350"/>
      <c r="E35" s="6350"/>
      <c r="F35" s="6350"/>
      <c r="G35" s="1219">
        <f>H10</f>
        <v>0.7</v>
      </c>
      <c r="H35" s="908"/>
      <c r="I35" s="908"/>
      <c r="J35" s="908"/>
      <c r="K35" s="908"/>
      <c r="L35" s="908"/>
      <c r="M35" s="908"/>
      <c r="N35" s="908"/>
      <c r="O35" s="908"/>
      <c r="P35" s="908"/>
      <c r="Q35" s="908"/>
      <c r="R35" s="908"/>
    </row>
    <row r="36" spans="1:18" s="47" customFormat="1" x14ac:dyDescent="0.35">
      <c r="A36" s="908"/>
      <c r="B36" s="6349" t="s">
        <v>909</v>
      </c>
      <c r="C36" s="6350"/>
      <c r="D36" s="6350"/>
      <c r="E36" s="6350"/>
      <c r="F36" s="6350"/>
      <c r="G36" s="1219">
        <f>H11</f>
        <v>0.3</v>
      </c>
      <c r="H36" s="908"/>
      <c r="I36" s="908"/>
      <c r="J36" s="908"/>
      <c r="K36" s="908"/>
      <c r="L36" s="908"/>
      <c r="M36" s="908"/>
      <c r="N36" s="908"/>
      <c r="O36" s="908"/>
      <c r="P36" s="908"/>
      <c r="Q36" s="908"/>
      <c r="R36" s="908"/>
    </row>
    <row r="37" spans="1:18" s="47" customFormat="1" x14ac:dyDescent="0.35">
      <c r="A37" s="908"/>
      <c r="B37" s="6349" t="s">
        <v>910</v>
      </c>
      <c r="C37" s="6350"/>
      <c r="D37" s="6350"/>
      <c r="E37" s="6350"/>
      <c r="F37" s="6350"/>
      <c r="G37" s="1219">
        <f>H13</f>
        <v>0.3</v>
      </c>
      <c r="H37" s="908"/>
      <c r="I37" s="908"/>
      <c r="J37" s="908"/>
      <c r="K37" s="908"/>
      <c r="L37" s="908"/>
      <c r="M37" s="908"/>
      <c r="N37" s="908"/>
      <c r="O37" s="908"/>
      <c r="P37" s="908"/>
      <c r="Q37" s="908"/>
      <c r="R37" s="908"/>
    </row>
    <row r="38" spans="1:18" s="47" customFormat="1" x14ac:dyDescent="0.35">
      <c r="A38" s="908"/>
      <c r="B38" s="6349" t="s">
        <v>911</v>
      </c>
      <c r="C38" s="6350"/>
      <c r="D38" s="6350"/>
      <c r="E38" s="6350"/>
      <c r="F38" s="6350"/>
      <c r="G38" s="1220" t="s">
        <v>1273</v>
      </c>
      <c r="H38" s="908"/>
      <c r="I38" s="908"/>
      <c r="J38" s="908"/>
      <c r="K38" s="908"/>
      <c r="L38" s="908"/>
      <c r="M38" s="908"/>
      <c r="N38" s="908"/>
      <c r="O38" s="908"/>
      <c r="P38" s="908"/>
      <c r="Q38" s="908"/>
      <c r="R38" s="908"/>
    </row>
    <row r="39" spans="1:18" s="47" customFormat="1" ht="15" thickBot="1" x14ac:dyDescent="0.4">
      <c r="A39" s="908"/>
      <c r="B39" s="6351"/>
      <c r="C39" s="6352"/>
      <c r="D39" s="6352"/>
      <c r="E39" s="6352"/>
      <c r="F39" s="6352"/>
      <c r="G39" s="6353"/>
      <c r="H39" s="908"/>
      <c r="I39" s="908"/>
      <c r="J39" s="908"/>
      <c r="K39" s="908"/>
      <c r="L39" s="908"/>
      <c r="M39" s="908"/>
      <c r="N39" s="908"/>
      <c r="O39" s="908"/>
      <c r="P39" s="908"/>
      <c r="Q39" s="908"/>
      <c r="R39" s="908"/>
    </row>
    <row r="40" spans="1:18" ht="15" thickTop="1" x14ac:dyDescent="0.35">
      <c r="A40" s="64"/>
      <c r="B40" s="64"/>
      <c r="C40" s="64"/>
      <c r="D40" s="64"/>
      <c r="E40" s="64"/>
      <c r="F40" s="64"/>
      <c r="G40" s="64"/>
      <c r="H40" s="64"/>
      <c r="I40" s="64"/>
      <c r="J40" s="64"/>
      <c r="K40" s="64"/>
      <c r="L40" s="64"/>
      <c r="M40" s="64"/>
      <c r="N40" s="64"/>
      <c r="O40" s="64"/>
      <c r="P40" s="64"/>
      <c r="Q40" s="64"/>
      <c r="R40" s="64"/>
    </row>
    <row r="41" spans="1:18" x14ac:dyDescent="0.35">
      <c r="A41" s="64"/>
      <c r="B41" s="64"/>
      <c r="C41" s="64"/>
      <c r="D41" s="64"/>
      <c r="E41" s="64"/>
      <c r="F41" s="64"/>
      <c r="G41" s="64"/>
      <c r="H41" s="64"/>
      <c r="I41" s="64"/>
      <c r="J41" s="64"/>
      <c r="K41" s="64"/>
      <c r="L41" s="64"/>
      <c r="M41" s="64"/>
      <c r="N41" s="64"/>
      <c r="O41" s="64"/>
      <c r="P41" s="64"/>
      <c r="Q41" s="64"/>
      <c r="R41" s="64"/>
    </row>
  </sheetData>
  <mergeCells count="45">
    <mergeCell ref="B4:G4"/>
    <mergeCell ref="H4:Q4"/>
    <mergeCell ref="A5:B5"/>
    <mergeCell ref="C5:Q5"/>
    <mergeCell ref="D1:G1"/>
    <mergeCell ref="I1:J1"/>
    <mergeCell ref="L1:M1"/>
    <mergeCell ref="D2:G2"/>
    <mergeCell ref="I2:J2"/>
    <mergeCell ref="L2:M2"/>
    <mergeCell ref="D3:G3"/>
    <mergeCell ref="H6:I6"/>
    <mergeCell ref="B39:G39"/>
    <mergeCell ref="A26:K29"/>
    <mergeCell ref="M26:O29"/>
    <mergeCell ref="A19:K19"/>
    <mergeCell ref="M19:O19"/>
    <mergeCell ref="A20:K23"/>
    <mergeCell ref="M20:O23"/>
    <mergeCell ref="A25:K25"/>
    <mergeCell ref="M25:O25"/>
    <mergeCell ref="J7:M7"/>
    <mergeCell ref="J9:M9"/>
    <mergeCell ref="J10:M10"/>
    <mergeCell ref="J12:M12"/>
    <mergeCell ref="J13:M13"/>
    <mergeCell ref="A7:G7"/>
    <mergeCell ref="B38:F38"/>
    <mergeCell ref="A14:G14"/>
    <mergeCell ref="A15:G15"/>
    <mergeCell ref="B34:F34"/>
    <mergeCell ref="B35:F35"/>
    <mergeCell ref="B36:F36"/>
    <mergeCell ref="B37:F37"/>
    <mergeCell ref="A8:M8"/>
    <mergeCell ref="A16:M16"/>
    <mergeCell ref="J14:M14"/>
    <mergeCell ref="J15:M15"/>
    <mergeCell ref="B33:F33"/>
    <mergeCell ref="A9:G9"/>
    <mergeCell ref="A10:G10"/>
    <mergeCell ref="A12:G12"/>
    <mergeCell ref="A13:G13"/>
    <mergeCell ref="A11:G11"/>
    <mergeCell ref="J11:M11"/>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6B00-000000000000}">
      <formula1>AvancementTheme</formula1>
    </dataValidation>
  </dataValidations>
  <hyperlinks>
    <hyperlink ref="O1" location="DPDV_10TL1" display="PdV" xr:uid="{00000000-0004-0000-6B00-000000000000}"/>
    <hyperlink ref="P1" location="DKPI_10TL1" display="KPI's" xr:uid="{00000000-0004-0000-6B00-000001000000}"/>
  </hyperlinks>
  <pageMargins left="0.70866141732283472" right="0.70866141732283472" top="0.74803149606299213" bottom="0.74803149606299213" header="0.31496062992125984" footer="0.31496062992125984"/>
  <pageSetup paperSize="9" scale="45" orientation="portrait" r:id="rId1"/>
  <headerFooter>
    <oddHeader>&amp;LPAD Methodology (c) 2013-2014&amp;RStrategic Management Workshop</oddHeader>
    <oddFooter>&amp;L&amp;F&amp;C&amp;A&amp;RSituation au : &amp;D - page : &amp;P/&amp;N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euil31">
    <tabColor theme="2" tint="-0.249977111117893"/>
    <pageSetUpPr fitToPage="1"/>
  </sheetPr>
  <dimension ref="A1:V43"/>
  <sheetViews>
    <sheetView showGridLines="0" showRowColHeaders="0" zoomScaleNormal="100" workbookViewId="0">
      <pane ySplit="6" topLeftCell="A13" activePane="bottomLeft" state="frozen"/>
      <selection activeCell="C5" sqref="C5:P5"/>
      <selection pane="bottomLeft" activeCell="C5" sqref="C5:P5"/>
    </sheetView>
  </sheetViews>
  <sheetFormatPr baseColWidth="10" defaultColWidth="11.453125" defaultRowHeight="14.5" x14ac:dyDescent="0.35"/>
  <cols>
    <col min="1" max="3" width="11.453125" style="60"/>
    <col min="4" max="16" width="10.7265625" style="60" customWidth="1"/>
    <col min="17"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479" t="s">
        <v>2</v>
      </c>
      <c r="P1" s="450" t="s">
        <v>3</v>
      </c>
      <c r="Q1" s="458"/>
    </row>
    <row r="2" spans="1:22" s="58" customFormat="1" ht="17.25" customHeight="1" x14ac:dyDescent="0.35">
      <c r="A2" s="393"/>
      <c r="B2" s="393"/>
      <c r="C2" s="393"/>
      <c r="D2" s="3342" t="str">
        <f>NomClient</f>
        <v xml:space="preserve">EQUINIX </v>
      </c>
      <c r="E2" s="3343"/>
      <c r="F2" s="3343"/>
      <c r="G2" s="3344"/>
      <c r="H2" s="393"/>
      <c r="I2" s="3345" t="s">
        <v>406</v>
      </c>
      <c r="J2" s="3346"/>
      <c r="K2" s="393"/>
      <c r="L2" s="3347">
        <v>42428.940023148149</v>
      </c>
      <c r="M2" s="3348"/>
      <c r="N2" s="394"/>
      <c r="O2" s="451">
        <f>IF(LEN(DPDV_08SR)&gt;0,LEN(DPDV_08SR),0-PDV_NBmini)</f>
        <v>58</v>
      </c>
      <c r="P2" s="451">
        <f>IF(LEN(DKPI_08SR)&gt;0,LEN(DKPI_08SR),0-KPI_NBmini)</f>
        <v>64</v>
      </c>
      <c r="Q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6870" t="str">
        <f>Parametre!B30 &amp; "   : "</f>
        <v xml:space="preserve">Proposition de valeur   : </v>
      </c>
      <c r="B4" s="6870"/>
      <c r="C4" s="6870"/>
      <c r="D4" s="6870"/>
      <c r="E4" s="6870"/>
      <c r="F4" s="6870"/>
      <c r="G4" s="6870"/>
      <c r="H4" s="5144" t="s">
        <v>839</v>
      </c>
      <c r="I4" s="5144"/>
      <c r="J4" s="5144"/>
      <c r="K4" s="5144"/>
      <c r="L4" s="5144"/>
      <c r="M4" s="5144"/>
      <c r="N4" s="5144"/>
      <c r="O4" s="5144"/>
      <c r="P4" s="5145"/>
      <c r="Q4" s="444"/>
    </row>
    <row r="5" spans="1:22" s="25" customFormat="1" ht="25.5" customHeight="1" thickBot="1" x14ac:dyDescent="0.4">
      <c r="A5" s="3438" t="s">
        <v>14</v>
      </c>
      <c r="B5" s="3438"/>
      <c r="C5" s="3439" t="s">
        <v>2260</v>
      </c>
      <c r="D5" s="3439"/>
      <c r="E5" s="3439"/>
      <c r="F5" s="3439"/>
      <c r="G5" s="3439"/>
      <c r="H5" s="3439"/>
      <c r="I5" s="3439"/>
      <c r="J5" s="3439"/>
      <c r="K5" s="3439"/>
      <c r="L5" s="3439"/>
      <c r="M5" s="3439"/>
      <c r="N5" s="3439"/>
      <c r="O5" s="3439"/>
      <c r="P5" s="3439"/>
      <c r="Q5" s="767"/>
    </row>
    <row r="6" spans="1:22" s="106" customFormat="1" ht="41.25" customHeight="1" thickTop="1" x14ac:dyDescent="0.35">
      <c r="A6" s="5136" t="s">
        <v>313</v>
      </c>
      <c r="B6" s="5137"/>
      <c r="C6" s="5137"/>
      <c r="D6" s="5137"/>
      <c r="E6" s="5137"/>
      <c r="F6" s="6868" t="str">
        <f>NomProd1</f>
        <v>EQUINIX</v>
      </c>
      <c r="G6" s="6869"/>
      <c r="H6" s="5140" t="str">
        <f>NomProd2</f>
        <v>ASEMA</v>
      </c>
      <c r="I6" s="5140"/>
      <c r="J6" s="5140">
        <f>NomProd3</f>
        <v>0</v>
      </c>
      <c r="K6" s="5140"/>
      <c r="L6" s="5140" t="s">
        <v>18</v>
      </c>
      <c r="M6" s="5140"/>
      <c r="N6" s="5140"/>
      <c r="O6" s="5140"/>
      <c r="P6" s="5141"/>
      <c r="Q6" s="758"/>
    </row>
    <row r="7" spans="1:22" s="264" customFormat="1" ht="12.75" customHeight="1" x14ac:dyDescent="0.35">
      <c r="A7" s="5161"/>
      <c r="B7" s="5162"/>
      <c r="C7" s="5162"/>
      <c r="D7" s="5162"/>
      <c r="E7" s="5162"/>
      <c r="F7" s="5162"/>
      <c r="G7" s="5162"/>
      <c r="H7" s="5162"/>
      <c r="I7" s="5162"/>
      <c r="J7" s="5162"/>
      <c r="K7" s="5162"/>
      <c r="L7" s="5162"/>
      <c r="M7" s="5162"/>
      <c r="N7" s="5162"/>
      <c r="O7" s="5162"/>
      <c r="P7" s="5163"/>
      <c r="Q7" s="903"/>
    </row>
    <row r="8" spans="1:22" s="21" customFormat="1" ht="23.25" customHeight="1" x14ac:dyDescent="0.35">
      <c r="A8" s="5127" t="s">
        <v>1525</v>
      </c>
      <c r="B8" s="5134"/>
      <c r="C8" s="5134"/>
      <c r="D8" s="5134"/>
      <c r="E8" s="5134"/>
      <c r="F8" s="5134"/>
      <c r="G8" s="5134"/>
      <c r="H8" s="5134"/>
      <c r="I8" s="5134"/>
      <c r="J8" s="5134"/>
      <c r="K8" s="5134"/>
      <c r="L8" s="5134"/>
      <c r="M8" s="5134"/>
      <c r="N8" s="5134"/>
      <c r="O8" s="5134"/>
      <c r="P8" s="5135"/>
      <c r="Q8" s="901"/>
    </row>
    <row r="9" spans="1:22" ht="37.5" customHeight="1" x14ac:dyDescent="0.35">
      <c r="A9" s="5110" t="s">
        <v>1464</v>
      </c>
      <c r="B9" s="5111"/>
      <c r="C9" s="5111"/>
      <c r="D9" s="5111"/>
      <c r="E9" s="5111"/>
      <c r="F9" s="6866"/>
      <c r="G9" s="6866"/>
      <c r="H9" s="6866"/>
      <c r="I9" s="6866"/>
      <c r="J9" s="6866"/>
      <c r="K9" s="6866"/>
      <c r="L9" s="6867"/>
      <c r="M9" s="5106"/>
      <c r="N9" s="5106"/>
      <c r="O9" s="5106"/>
      <c r="P9" s="5107"/>
      <c r="Q9" s="64"/>
    </row>
    <row r="10" spans="1:22" ht="31.9" customHeight="1" x14ac:dyDescent="0.35">
      <c r="A10" s="5110" t="s">
        <v>1465</v>
      </c>
      <c r="B10" s="5111"/>
      <c r="C10" s="5111"/>
      <c r="D10" s="5111"/>
      <c r="E10" s="5111"/>
      <c r="F10" s="6866"/>
      <c r="G10" s="6866"/>
      <c r="H10" s="6866"/>
      <c r="I10" s="6866"/>
      <c r="J10" s="6866"/>
      <c r="K10" s="6866"/>
      <c r="L10" s="5106"/>
      <c r="M10" s="5106"/>
      <c r="N10" s="5106"/>
      <c r="O10" s="5106"/>
      <c r="P10" s="5107"/>
      <c r="Q10" s="64"/>
    </row>
    <row r="11" spans="1:22" ht="29.25" customHeight="1" x14ac:dyDescent="0.35">
      <c r="A11" s="5110" t="s">
        <v>1466</v>
      </c>
      <c r="B11" s="5111"/>
      <c r="C11" s="5111"/>
      <c r="D11" s="5111"/>
      <c r="E11" s="5111"/>
      <c r="F11" s="6866"/>
      <c r="G11" s="6866"/>
      <c r="H11" s="6866"/>
      <c r="I11" s="6866"/>
      <c r="J11" s="6866"/>
      <c r="K11" s="6866"/>
      <c r="L11" s="5106"/>
      <c r="M11" s="5106"/>
      <c r="N11" s="5106"/>
      <c r="O11" s="5106"/>
      <c r="P11" s="5107"/>
      <c r="Q11" s="64"/>
      <c r="R11" s="65"/>
    </row>
    <row r="12" spans="1:22" ht="31.9" customHeight="1" x14ac:dyDescent="0.35">
      <c r="A12" s="5110" t="s">
        <v>315</v>
      </c>
      <c r="B12" s="5111"/>
      <c r="C12" s="5111"/>
      <c r="D12" s="5111"/>
      <c r="E12" s="5111"/>
      <c r="F12" s="6866"/>
      <c r="G12" s="6866"/>
      <c r="H12" s="6866"/>
      <c r="I12" s="6866"/>
      <c r="J12" s="6866"/>
      <c r="K12" s="6866"/>
      <c r="L12" s="5106"/>
      <c r="M12" s="5106"/>
      <c r="N12" s="5106"/>
      <c r="O12" s="5106"/>
      <c r="P12" s="5107"/>
      <c r="Q12" s="64"/>
    </row>
    <row r="13" spans="1:22" ht="15" customHeight="1" x14ac:dyDescent="0.35">
      <c r="A13" s="5132"/>
      <c r="B13" s="5133"/>
      <c r="C13" s="5133"/>
      <c r="D13" s="5133"/>
      <c r="E13" s="5133"/>
      <c r="F13" s="5113"/>
      <c r="G13" s="5113"/>
      <c r="H13" s="5113"/>
      <c r="I13" s="5113"/>
      <c r="J13" s="5113"/>
      <c r="K13" s="5113"/>
      <c r="L13" s="5114"/>
      <c r="M13" s="5114"/>
      <c r="N13" s="5114"/>
      <c r="O13" s="5114"/>
      <c r="P13" s="5115"/>
      <c r="Q13" s="64"/>
    </row>
    <row r="14" spans="1:22" s="21" customFormat="1" ht="23.25" customHeight="1" x14ac:dyDescent="0.35">
      <c r="A14" s="5127" t="s">
        <v>316</v>
      </c>
      <c r="B14" s="5119"/>
      <c r="C14" s="5119"/>
      <c r="D14" s="5119"/>
      <c r="E14" s="5119"/>
      <c r="F14" s="5119"/>
      <c r="G14" s="5119"/>
      <c r="H14" s="5119"/>
      <c r="I14" s="5119"/>
      <c r="J14" s="5119"/>
      <c r="K14" s="5119"/>
      <c r="L14" s="5119"/>
      <c r="M14" s="5119"/>
      <c r="N14" s="5119"/>
      <c r="O14" s="5119"/>
      <c r="P14" s="5120"/>
      <c r="Q14" s="901"/>
    </row>
    <row r="15" spans="1:22" ht="31.9" customHeight="1" x14ac:dyDescent="0.35">
      <c r="A15" s="5128" t="s">
        <v>635</v>
      </c>
      <c r="B15" s="5129"/>
      <c r="C15" s="5129"/>
      <c r="D15" s="5129"/>
      <c r="E15" s="5129"/>
      <c r="F15" s="6871"/>
      <c r="G15" s="6866"/>
      <c r="H15" s="6866"/>
      <c r="I15" s="6866"/>
      <c r="J15" s="6866"/>
      <c r="K15" s="6866"/>
      <c r="L15" s="5106"/>
      <c r="M15" s="5106"/>
      <c r="N15" s="5106"/>
      <c r="O15" s="5106"/>
      <c r="P15" s="5107"/>
      <c r="Q15" s="64"/>
    </row>
    <row r="16" spans="1:22" ht="31.9" customHeight="1" x14ac:dyDescent="0.35">
      <c r="A16" s="5128" t="s">
        <v>636</v>
      </c>
      <c r="B16" s="5129"/>
      <c r="C16" s="5129"/>
      <c r="D16" s="5129"/>
      <c r="E16" s="5129"/>
      <c r="F16" s="6866"/>
      <c r="G16" s="6866"/>
      <c r="H16" s="6866"/>
      <c r="I16" s="6866"/>
      <c r="J16" s="6866"/>
      <c r="K16" s="6866"/>
      <c r="L16" s="5106"/>
      <c r="M16" s="5106"/>
      <c r="N16" s="5106"/>
      <c r="O16" s="5106"/>
      <c r="P16" s="5107"/>
      <c r="Q16" s="64"/>
    </row>
    <row r="17" spans="1:18" ht="31.9" customHeight="1" x14ac:dyDescent="0.35">
      <c r="A17" s="5128" t="s">
        <v>317</v>
      </c>
      <c r="B17" s="5129"/>
      <c r="C17" s="5129"/>
      <c r="D17" s="5129"/>
      <c r="E17" s="5129"/>
      <c r="F17" s="6866"/>
      <c r="G17" s="6866"/>
      <c r="H17" s="6866"/>
      <c r="I17" s="6866"/>
      <c r="J17" s="6866"/>
      <c r="K17" s="6866"/>
      <c r="L17" s="5106"/>
      <c r="M17" s="5106"/>
      <c r="N17" s="5106"/>
      <c r="O17" s="5106"/>
      <c r="P17" s="5107"/>
      <c r="Q17" s="64"/>
    </row>
    <row r="18" spans="1:18" ht="31.9" customHeight="1" x14ac:dyDescent="0.35">
      <c r="A18" s="5128" t="s">
        <v>896</v>
      </c>
      <c r="B18" s="5129"/>
      <c r="C18" s="5129"/>
      <c r="D18" s="5129"/>
      <c r="E18" s="5129"/>
      <c r="F18" s="6866"/>
      <c r="G18" s="6866"/>
      <c r="H18" s="6866"/>
      <c r="I18" s="6866"/>
      <c r="J18" s="6866"/>
      <c r="K18" s="6866"/>
      <c r="L18" s="5106"/>
      <c r="M18" s="5106"/>
      <c r="N18" s="5106"/>
      <c r="O18" s="5106"/>
      <c r="P18" s="5107"/>
      <c r="Q18" s="64"/>
    </row>
    <row r="19" spans="1:18" ht="15" customHeight="1" thickBot="1" x14ac:dyDescent="0.4">
      <c r="A19" s="5123"/>
      <c r="B19" s="5124"/>
      <c r="C19" s="5124"/>
      <c r="D19" s="5124"/>
      <c r="E19" s="5124"/>
      <c r="F19" s="5125"/>
      <c r="G19" s="5125"/>
      <c r="H19" s="5125"/>
      <c r="I19" s="5125"/>
      <c r="J19" s="5125"/>
      <c r="K19" s="5125"/>
      <c r="L19" s="5108"/>
      <c r="M19" s="5108"/>
      <c r="N19" s="5108"/>
      <c r="O19" s="5108"/>
      <c r="P19" s="5109"/>
      <c r="Q19" s="64"/>
    </row>
    <row r="20" spans="1:18" ht="13.5" customHeight="1" thickTop="1" x14ac:dyDescent="0.35">
      <c r="A20" s="902"/>
      <c r="B20" s="1501"/>
      <c r="C20" s="1501"/>
      <c r="D20" s="1501"/>
      <c r="E20" s="1501"/>
      <c r="F20" s="1500"/>
      <c r="G20" s="1500"/>
      <c r="H20" s="1500"/>
      <c r="I20" s="1500"/>
      <c r="J20" s="1500"/>
      <c r="K20" s="1500"/>
      <c r="L20" s="1500"/>
      <c r="M20" s="1500"/>
      <c r="N20" s="1500"/>
      <c r="O20" s="1500"/>
      <c r="P20" s="1500"/>
      <c r="Q20" s="64"/>
    </row>
    <row r="21" spans="1:18" s="21" customFormat="1" ht="23.25" customHeight="1" x14ac:dyDescent="0.35">
      <c r="A21" s="5127" t="s">
        <v>1467</v>
      </c>
      <c r="B21" s="5134"/>
      <c r="C21" s="5134"/>
      <c r="D21" s="5134"/>
      <c r="E21" s="5134"/>
      <c r="F21" s="5134"/>
      <c r="G21" s="5134"/>
      <c r="H21" s="5134"/>
      <c r="I21" s="5134"/>
      <c r="J21" s="5134"/>
      <c r="K21" s="5134"/>
      <c r="L21" s="5134"/>
      <c r="M21" s="5134"/>
      <c r="N21" s="5134"/>
      <c r="O21" s="5134"/>
      <c r="P21" s="5135"/>
      <c r="Q21" s="901"/>
    </row>
    <row r="22" spans="1:18" s="1527" customFormat="1" ht="8.25" customHeight="1" x14ac:dyDescent="0.35">
      <c r="A22" s="1524"/>
      <c r="B22" s="1525"/>
      <c r="C22" s="1525"/>
      <c r="D22" s="1525"/>
      <c r="E22" s="1525"/>
      <c r="F22" s="1525"/>
      <c r="G22" s="1525"/>
      <c r="H22" s="1525"/>
      <c r="I22" s="1525"/>
      <c r="J22" s="1525"/>
      <c r="K22" s="1525"/>
      <c r="L22" s="1525"/>
      <c r="M22" s="1525"/>
      <c r="N22" s="1525"/>
      <c r="O22" s="1525"/>
      <c r="P22" s="1525"/>
      <c r="Q22" s="1526"/>
    </row>
    <row r="23" spans="1:18" ht="52.5" customHeight="1" x14ac:dyDescent="0.35">
      <c r="A23" s="5110" t="s">
        <v>1468</v>
      </c>
      <c r="B23" s="5111"/>
      <c r="C23" s="5111"/>
      <c r="D23" s="5111"/>
      <c r="E23" s="5111"/>
      <c r="F23" s="6866"/>
      <c r="G23" s="6866"/>
      <c r="H23" s="6866"/>
      <c r="I23" s="6866"/>
      <c r="J23" s="6866"/>
      <c r="K23" s="6866"/>
      <c r="L23" s="6867"/>
      <c r="M23" s="5106"/>
      <c r="N23" s="5106"/>
      <c r="O23" s="5106"/>
      <c r="P23" s="5107"/>
      <c r="Q23" s="64"/>
    </row>
    <row r="24" spans="1:18" ht="37.5" customHeight="1" x14ac:dyDescent="0.35">
      <c r="A24" s="5110" t="s">
        <v>1469</v>
      </c>
      <c r="B24" s="5111"/>
      <c r="C24" s="5111"/>
      <c r="D24" s="5111"/>
      <c r="E24" s="5111"/>
      <c r="F24" s="6866"/>
      <c r="G24" s="6866"/>
      <c r="H24" s="6866"/>
      <c r="I24" s="6866"/>
      <c r="J24" s="6866"/>
      <c r="K24" s="6866"/>
      <c r="L24" s="6867"/>
      <c r="M24" s="5106"/>
      <c r="N24" s="5106"/>
      <c r="O24" s="5106"/>
      <c r="P24" s="5107"/>
      <c r="Q24" s="64"/>
    </row>
    <row r="25" spans="1:18" ht="43.5" customHeight="1" x14ac:dyDescent="0.35">
      <c r="A25" s="5110" t="s">
        <v>1470</v>
      </c>
      <c r="B25" s="5111"/>
      <c r="C25" s="5111"/>
      <c r="D25" s="5111"/>
      <c r="E25" s="5111"/>
      <c r="F25" s="6866"/>
      <c r="G25" s="6866"/>
      <c r="H25" s="6866"/>
      <c r="I25" s="6866"/>
      <c r="J25" s="6866"/>
      <c r="K25" s="6866"/>
      <c r="L25" s="5106"/>
      <c r="M25" s="5106"/>
      <c r="N25" s="5106"/>
      <c r="O25" s="5106"/>
      <c r="P25" s="5107"/>
      <c r="Q25" s="64"/>
    </row>
    <row r="26" spans="1:18" ht="39" customHeight="1" x14ac:dyDescent="0.35">
      <c r="A26" s="5110" t="s">
        <v>1471</v>
      </c>
      <c r="B26" s="5111"/>
      <c r="C26" s="5111"/>
      <c r="D26" s="5111"/>
      <c r="E26" s="5111"/>
      <c r="F26" s="6866"/>
      <c r="G26" s="6866"/>
      <c r="H26" s="6866"/>
      <c r="I26" s="6866"/>
      <c r="J26" s="6866"/>
      <c r="K26" s="6866"/>
      <c r="L26" s="5106"/>
      <c r="M26" s="5106"/>
      <c r="N26" s="5106"/>
      <c r="O26" s="5106"/>
      <c r="P26" s="5107"/>
      <c r="Q26" s="64"/>
      <c r="R26" s="65"/>
    </row>
    <row r="27" spans="1:18" ht="37.5" customHeight="1" x14ac:dyDescent="0.35">
      <c r="A27" s="5110" t="s">
        <v>1472</v>
      </c>
      <c r="B27" s="5111"/>
      <c r="C27" s="5111"/>
      <c r="D27" s="5111"/>
      <c r="E27" s="5111"/>
      <c r="F27" s="6866"/>
      <c r="G27" s="6866"/>
      <c r="H27" s="6866"/>
      <c r="I27" s="6866"/>
      <c r="J27" s="6866"/>
      <c r="K27" s="6866"/>
      <c r="L27" s="6867"/>
      <c r="M27" s="5106"/>
      <c r="N27" s="5106"/>
      <c r="O27" s="5106"/>
      <c r="P27" s="5107"/>
      <c r="Q27" s="64"/>
    </row>
    <row r="28" spans="1:18" ht="31.9" customHeight="1" x14ac:dyDescent="0.35">
      <c r="A28" s="5110" t="s">
        <v>1473</v>
      </c>
      <c r="B28" s="5111"/>
      <c r="C28" s="5111"/>
      <c r="D28" s="5111"/>
      <c r="E28" s="5111"/>
      <c r="F28" s="6866"/>
      <c r="G28" s="6866"/>
      <c r="H28" s="6866"/>
      <c r="I28" s="6866"/>
      <c r="J28" s="6866"/>
      <c r="K28" s="6866"/>
      <c r="L28" s="5106"/>
      <c r="M28" s="5106"/>
      <c r="N28" s="5106"/>
      <c r="O28" s="5106"/>
      <c r="P28" s="5107"/>
      <c r="Q28" s="64"/>
    </row>
    <row r="29" spans="1:18" ht="29.25" customHeight="1" x14ac:dyDescent="0.35">
      <c r="A29" s="5110" t="s">
        <v>1474</v>
      </c>
      <c r="B29" s="5111"/>
      <c r="C29" s="5111"/>
      <c r="D29" s="5111"/>
      <c r="E29" s="5111"/>
      <c r="F29" s="6866"/>
      <c r="G29" s="6866"/>
      <c r="H29" s="6866"/>
      <c r="I29" s="6866"/>
      <c r="J29" s="6866"/>
      <c r="K29" s="6866"/>
      <c r="L29" s="5106"/>
      <c r="M29" s="5106"/>
      <c r="N29" s="5106"/>
      <c r="O29" s="5106"/>
      <c r="P29" s="5107"/>
      <c r="Q29" s="64"/>
      <c r="R29" s="65"/>
    </row>
    <row r="30" spans="1:18" ht="31.9" customHeight="1" x14ac:dyDescent="0.35">
      <c r="A30" s="5110"/>
      <c r="B30" s="5111"/>
      <c r="C30" s="5111"/>
      <c r="D30" s="5111"/>
      <c r="E30" s="5111"/>
      <c r="F30" s="6866"/>
      <c r="G30" s="6866"/>
      <c r="H30" s="6866"/>
      <c r="I30" s="6866"/>
      <c r="J30" s="6866"/>
      <c r="K30" s="6866"/>
      <c r="L30" s="5106"/>
      <c r="M30" s="5106"/>
      <c r="N30" s="5106"/>
      <c r="O30" s="5106"/>
      <c r="P30" s="5107"/>
      <c r="Q30" s="64"/>
    </row>
    <row r="31" spans="1:18" ht="15" thickBot="1" x14ac:dyDescent="0.4">
      <c r="A31" s="64"/>
      <c r="B31" s="64"/>
      <c r="C31" s="64"/>
      <c r="D31" s="64"/>
      <c r="E31" s="64"/>
      <c r="F31" s="64"/>
      <c r="G31" s="64"/>
      <c r="H31" s="64"/>
      <c r="I31" s="64"/>
      <c r="J31" s="64"/>
      <c r="K31" s="64"/>
      <c r="L31" s="64"/>
      <c r="M31" s="64"/>
      <c r="N31" s="64"/>
      <c r="O31" s="64"/>
      <c r="P31" s="64"/>
      <c r="Q31" s="64"/>
    </row>
    <row r="32" spans="1:18" ht="19" thickBot="1" x14ac:dyDescent="0.4">
      <c r="A32" s="6865" t="s">
        <v>10</v>
      </c>
      <c r="B32" s="6865"/>
      <c r="C32" s="6865"/>
      <c r="D32" s="6865"/>
      <c r="E32" s="6865"/>
      <c r="F32" s="6865"/>
      <c r="G32" s="6865"/>
      <c r="H32" s="6865"/>
      <c r="I32" s="6865"/>
      <c r="J32" s="6865"/>
      <c r="K32" s="6865"/>
      <c r="L32" s="157"/>
      <c r="M32" s="3725" t="s">
        <v>748</v>
      </c>
      <c r="N32" s="3726"/>
      <c r="O32" s="3727"/>
      <c r="P32" s="31"/>
      <c r="Q32" s="64"/>
    </row>
    <row r="33" spans="1:17" ht="20.25" customHeight="1" x14ac:dyDescent="0.35">
      <c r="A33" s="6174" t="s">
        <v>1475</v>
      </c>
      <c r="B33" s="6181"/>
      <c r="C33" s="6181"/>
      <c r="D33" s="6181"/>
      <c r="E33" s="6181"/>
      <c r="F33" s="6181"/>
      <c r="G33" s="6181"/>
      <c r="H33" s="6181"/>
      <c r="I33" s="6181"/>
      <c r="J33" s="6181"/>
      <c r="K33" s="6181"/>
      <c r="L33" s="38"/>
      <c r="M33" s="3750" t="s">
        <v>833</v>
      </c>
      <c r="N33" s="3751"/>
      <c r="O33" s="3752"/>
      <c r="P33" s="33"/>
      <c r="Q33" s="64"/>
    </row>
    <row r="34" spans="1:17" ht="20.25" customHeight="1" x14ac:dyDescent="0.35">
      <c r="A34" s="6182"/>
      <c r="B34" s="6183"/>
      <c r="C34" s="6183"/>
      <c r="D34" s="6183"/>
      <c r="E34" s="6183"/>
      <c r="F34" s="6183"/>
      <c r="G34" s="6183"/>
      <c r="H34" s="6183"/>
      <c r="I34" s="6183"/>
      <c r="J34" s="6183"/>
      <c r="K34" s="6183"/>
      <c r="L34" s="38"/>
      <c r="M34" s="3753"/>
      <c r="N34" s="3754"/>
      <c r="O34" s="3755"/>
      <c r="P34" s="33"/>
      <c r="Q34" s="64"/>
    </row>
    <row r="35" spans="1:17" ht="20.25" customHeight="1" x14ac:dyDescent="0.35">
      <c r="A35" s="6182"/>
      <c r="B35" s="6183"/>
      <c r="C35" s="6183"/>
      <c r="D35" s="6183"/>
      <c r="E35" s="6183"/>
      <c r="F35" s="6183"/>
      <c r="G35" s="6183"/>
      <c r="H35" s="6183"/>
      <c r="I35" s="6183"/>
      <c r="J35" s="6183"/>
      <c r="K35" s="6183"/>
      <c r="L35" s="38"/>
      <c r="M35" s="3753"/>
      <c r="N35" s="3754"/>
      <c r="O35" s="3755"/>
      <c r="P35" s="33"/>
      <c r="Q35" s="64"/>
    </row>
    <row r="36" spans="1:17" ht="20.25" customHeight="1" thickBot="1" x14ac:dyDescent="0.4">
      <c r="A36" s="6184"/>
      <c r="B36" s="6185"/>
      <c r="C36" s="6185"/>
      <c r="D36" s="6185"/>
      <c r="E36" s="6185"/>
      <c r="F36" s="6185"/>
      <c r="G36" s="6185"/>
      <c r="H36" s="6185"/>
      <c r="I36" s="6185"/>
      <c r="J36" s="6185"/>
      <c r="K36" s="6185"/>
      <c r="L36" s="38"/>
      <c r="M36" s="3756"/>
      <c r="N36" s="3757"/>
      <c r="O36" s="3758"/>
      <c r="P36" s="33"/>
      <c r="Q36" s="64"/>
    </row>
    <row r="37" spans="1:17" ht="15.5" thickTop="1" thickBot="1" x14ac:dyDescent="0.4">
      <c r="A37" s="64"/>
      <c r="B37" s="64"/>
      <c r="C37" s="64"/>
      <c r="D37" s="64"/>
      <c r="E37" s="64"/>
      <c r="F37" s="64"/>
      <c r="G37" s="64"/>
      <c r="H37" s="64"/>
      <c r="I37" s="64"/>
      <c r="J37" s="64"/>
      <c r="K37" s="64"/>
      <c r="L37" s="64"/>
      <c r="M37" s="31"/>
      <c r="N37" s="31"/>
      <c r="O37" s="31"/>
      <c r="P37" s="64"/>
      <c r="Q37" s="64"/>
    </row>
    <row r="38" spans="1:17" ht="19" thickBot="1" x14ac:dyDescent="0.4">
      <c r="A38" s="6865" t="s">
        <v>11</v>
      </c>
      <c r="B38" s="6865"/>
      <c r="C38" s="6865"/>
      <c r="D38" s="6865"/>
      <c r="E38" s="6865"/>
      <c r="F38" s="6865"/>
      <c r="G38" s="6865"/>
      <c r="H38" s="6865"/>
      <c r="I38" s="6865"/>
      <c r="J38" s="6865"/>
      <c r="K38" s="6865"/>
      <c r="L38" s="157"/>
      <c r="M38" s="3725" t="s">
        <v>748</v>
      </c>
      <c r="N38" s="3726"/>
      <c r="O38" s="3727"/>
      <c r="P38" s="31"/>
      <c r="Q38" s="64"/>
    </row>
    <row r="39" spans="1:17" ht="20.25" customHeight="1" x14ac:dyDescent="0.35">
      <c r="A39" s="6174" t="s">
        <v>1476</v>
      </c>
      <c r="B39" s="6175"/>
      <c r="C39" s="6175"/>
      <c r="D39" s="6175"/>
      <c r="E39" s="6175"/>
      <c r="F39" s="6175"/>
      <c r="G39" s="6175"/>
      <c r="H39" s="6175"/>
      <c r="I39" s="6175"/>
      <c r="J39" s="6175"/>
      <c r="K39" s="6175"/>
      <c r="L39" s="38"/>
      <c r="M39" s="3750" t="s">
        <v>834</v>
      </c>
      <c r="N39" s="3751"/>
      <c r="O39" s="3752"/>
      <c r="P39" s="33"/>
      <c r="Q39" s="64"/>
    </row>
    <row r="40" spans="1:17" ht="20.25" customHeight="1" x14ac:dyDescent="0.35">
      <c r="A40" s="6176"/>
      <c r="B40" s="5165"/>
      <c r="C40" s="5165"/>
      <c r="D40" s="5165"/>
      <c r="E40" s="5165"/>
      <c r="F40" s="5165"/>
      <c r="G40" s="5165"/>
      <c r="H40" s="5165"/>
      <c r="I40" s="5165"/>
      <c r="J40" s="5165"/>
      <c r="K40" s="5166"/>
      <c r="L40" s="38"/>
      <c r="M40" s="3753"/>
      <c r="N40" s="3754"/>
      <c r="O40" s="3755"/>
      <c r="P40" s="33"/>
      <c r="Q40" s="64"/>
    </row>
    <row r="41" spans="1:17" ht="20.25" customHeight="1" x14ac:dyDescent="0.35">
      <c r="A41" s="6176"/>
      <c r="B41" s="5165"/>
      <c r="C41" s="5165"/>
      <c r="D41" s="5165"/>
      <c r="E41" s="5165"/>
      <c r="F41" s="5165"/>
      <c r="G41" s="5165"/>
      <c r="H41" s="5165"/>
      <c r="I41" s="5165"/>
      <c r="J41" s="5165"/>
      <c r="K41" s="5166"/>
      <c r="L41" s="38"/>
      <c r="M41" s="3753"/>
      <c r="N41" s="3754"/>
      <c r="O41" s="3755"/>
      <c r="P41" s="33"/>
      <c r="Q41" s="64"/>
    </row>
    <row r="42" spans="1:17" ht="20.25" customHeight="1" thickBot="1" x14ac:dyDescent="0.4">
      <c r="A42" s="6177"/>
      <c r="B42" s="6178"/>
      <c r="C42" s="6178"/>
      <c r="D42" s="6178"/>
      <c r="E42" s="6178"/>
      <c r="F42" s="6178"/>
      <c r="G42" s="6178"/>
      <c r="H42" s="6178"/>
      <c r="I42" s="6178"/>
      <c r="J42" s="6178"/>
      <c r="K42" s="6178"/>
      <c r="L42" s="38"/>
      <c r="M42" s="3756"/>
      <c r="N42" s="3757"/>
      <c r="O42" s="3758"/>
      <c r="P42" s="33"/>
      <c r="Q42" s="64"/>
    </row>
    <row r="43" spans="1:17" ht="15" thickTop="1" x14ac:dyDescent="0.35">
      <c r="A43" s="64"/>
      <c r="B43" s="64"/>
      <c r="C43" s="64"/>
      <c r="D43" s="64"/>
      <c r="E43" s="64"/>
      <c r="F43" s="64"/>
      <c r="G43" s="64"/>
      <c r="H43" s="64"/>
      <c r="I43" s="64"/>
      <c r="J43" s="64"/>
      <c r="K43" s="64"/>
      <c r="L43" s="64"/>
      <c r="M43" s="64"/>
      <c r="N43" s="64"/>
      <c r="O43" s="64"/>
      <c r="P43" s="64"/>
      <c r="Q43" s="64"/>
    </row>
  </sheetData>
  <mergeCells count="120">
    <mergeCell ref="A30:E30"/>
    <mergeCell ref="F30:G30"/>
    <mergeCell ref="H30:I30"/>
    <mergeCell ref="J30:K30"/>
    <mergeCell ref="L30:P30"/>
    <mergeCell ref="A29:E29"/>
    <mergeCell ref="F29:G29"/>
    <mergeCell ref="H29:I29"/>
    <mergeCell ref="J29:K29"/>
    <mergeCell ref="L29:P29"/>
    <mergeCell ref="A28:E28"/>
    <mergeCell ref="F28:G28"/>
    <mergeCell ref="H28:I28"/>
    <mergeCell ref="J28:K28"/>
    <mergeCell ref="L28:P28"/>
    <mergeCell ref="A27:E27"/>
    <mergeCell ref="F27:G27"/>
    <mergeCell ref="H27:I27"/>
    <mergeCell ref="J27:K27"/>
    <mergeCell ref="L27:P27"/>
    <mergeCell ref="A26:E26"/>
    <mergeCell ref="F26:G26"/>
    <mergeCell ref="H26:I26"/>
    <mergeCell ref="J26:K26"/>
    <mergeCell ref="L26:P26"/>
    <mergeCell ref="A25:E25"/>
    <mergeCell ref="F25:G25"/>
    <mergeCell ref="H25:I25"/>
    <mergeCell ref="J25:K25"/>
    <mergeCell ref="L25:P25"/>
    <mergeCell ref="A24:E24"/>
    <mergeCell ref="F24:G24"/>
    <mergeCell ref="H24:I24"/>
    <mergeCell ref="J24:K24"/>
    <mergeCell ref="L24:P24"/>
    <mergeCell ref="A21:P21"/>
    <mergeCell ref="A23:E23"/>
    <mergeCell ref="F23:G23"/>
    <mergeCell ref="H23:I23"/>
    <mergeCell ref="J23:K23"/>
    <mergeCell ref="L23:P23"/>
    <mergeCell ref="A19:E19"/>
    <mergeCell ref="F19:G19"/>
    <mergeCell ref="H19:I19"/>
    <mergeCell ref="J19:K19"/>
    <mergeCell ref="L19:P19"/>
    <mergeCell ref="A18:E18"/>
    <mergeCell ref="F18:G18"/>
    <mergeCell ref="H18:I18"/>
    <mergeCell ref="J18:K18"/>
    <mergeCell ref="L18:P18"/>
    <mergeCell ref="A17:E17"/>
    <mergeCell ref="F17:G17"/>
    <mergeCell ref="H17:I17"/>
    <mergeCell ref="J17:K17"/>
    <mergeCell ref="L17:P17"/>
    <mergeCell ref="A16:E16"/>
    <mergeCell ref="F16:G16"/>
    <mergeCell ref="H16:I16"/>
    <mergeCell ref="J16:K16"/>
    <mergeCell ref="L16:P16"/>
    <mergeCell ref="A14:P14"/>
    <mergeCell ref="A15:E15"/>
    <mergeCell ref="F15:G15"/>
    <mergeCell ref="H15:I15"/>
    <mergeCell ref="J15:K15"/>
    <mergeCell ref="L15:P15"/>
    <mergeCell ref="A13:E13"/>
    <mergeCell ref="F13:G13"/>
    <mergeCell ref="H13:I13"/>
    <mergeCell ref="J13:K13"/>
    <mergeCell ref="L13:P13"/>
    <mergeCell ref="A12:E12"/>
    <mergeCell ref="F12:G12"/>
    <mergeCell ref="H12:I12"/>
    <mergeCell ref="J12:K12"/>
    <mergeCell ref="L12:P12"/>
    <mergeCell ref="A11:E11"/>
    <mergeCell ref="F11:G11"/>
    <mergeCell ref="H11:I11"/>
    <mergeCell ref="J11:K11"/>
    <mergeCell ref="L11:P11"/>
    <mergeCell ref="L1:M1"/>
    <mergeCell ref="D2:G2"/>
    <mergeCell ref="I2:J2"/>
    <mergeCell ref="L2:M2"/>
    <mergeCell ref="A6:E6"/>
    <mergeCell ref="L6:P6"/>
    <mergeCell ref="A5:B5"/>
    <mergeCell ref="C5:P5"/>
    <mergeCell ref="D1:G1"/>
    <mergeCell ref="I1:J1"/>
    <mergeCell ref="F6:G6"/>
    <mergeCell ref="H6:I6"/>
    <mergeCell ref="J6:K6"/>
    <mergeCell ref="H4:P4"/>
    <mergeCell ref="A4:G4"/>
    <mergeCell ref="D3:G3"/>
    <mergeCell ref="A7:P7"/>
    <mergeCell ref="A8:P8"/>
    <mergeCell ref="A9:E9"/>
    <mergeCell ref="F9:G9"/>
    <mergeCell ref="H9:I9"/>
    <mergeCell ref="J9:K9"/>
    <mergeCell ref="L9:P9"/>
    <mergeCell ref="A10:E10"/>
    <mergeCell ref="F10:G10"/>
    <mergeCell ref="H10:I10"/>
    <mergeCell ref="J10:K10"/>
    <mergeCell ref="L10:P10"/>
    <mergeCell ref="M39:O42"/>
    <mergeCell ref="A32:I32"/>
    <mergeCell ref="J32:K32"/>
    <mergeCell ref="A38:I38"/>
    <mergeCell ref="J38:K38"/>
    <mergeCell ref="M32:O32"/>
    <mergeCell ref="M33:O36"/>
    <mergeCell ref="M38:O38"/>
    <mergeCell ref="A33:K36"/>
    <mergeCell ref="A39:K4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6C00-000000000000}">
      <formula1>AvancementTheme</formula1>
    </dataValidation>
  </dataValidations>
  <hyperlinks>
    <hyperlink ref="O1" location="DPDV_08SR" display="PdV" xr:uid="{00000000-0004-0000-6C00-000000000000}"/>
    <hyperlink ref="P1" location="DKPI_08SR" display="KPI's" xr:uid="{00000000-0004-0000-6C00-000001000000}"/>
  </hyperlinks>
  <pageMargins left="0.70866141732283472" right="0.70866141732283472" top="0.74803149606299213" bottom="0.74803149606299213" header="0.31496062992125984" footer="0.31496062992125984"/>
  <pageSetup paperSize="9" scale="50" orientation="portrait" r:id="rId1"/>
  <headerFooter>
    <oddHeader>&amp;LPAD Methodology (c) 2013-2014&amp;RStrategic Management Workshop</oddHeader>
    <oddFooter>&amp;L&amp;F&amp;C&amp;A&amp;RSituation au : &amp;D - page : &amp;P/&amp;N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euil22">
    <tabColor theme="4" tint="0.39997558519241921"/>
    <pageSetUpPr fitToPage="1"/>
  </sheetPr>
  <dimension ref="A1:V66"/>
  <sheetViews>
    <sheetView showGridLines="0" showRowColHeaders="0" zoomScale="120" zoomScaleNormal="120" workbookViewId="0">
      <pane ySplit="6" topLeftCell="A13" activePane="bottomLeft" state="frozen"/>
      <selection activeCell="C5" sqref="C5:P5"/>
      <selection pane="bottomLeft" activeCell="C5" sqref="C5:P5"/>
    </sheetView>
  </sheetViews>
  <sheetFormatPr baseColWidth="10" defaultColWidth="11.453125" defaultRowHeight="14.5" x14ac:dyDescent="0.35"/>
  <cols>
    <col min="1" max="3" width="11.453125" style="60"/>
    <col min="4" max="16" width="10.7265625" style="60" customWidth="1"/>
    <col min="17" max="16384" width="11.453125" style="60"/>
  </cols>
  <sheetData>
    <row r="1" spans="1:22" s="54" customFormat="1" ht="15" customHeight="1" x14ac:dyDescent="0.35">
      <c r="A1" s="389"/>
      <c r="B1" s="389"/>
      <c r="C1" s="389"/>
      <c r="D1" s="3341" t="s">
        <v>5</v>
      </c>
      <c r="E1" s="3341"/>
      <c r="F1" s="3341"/>
      <c r="G1" s="3341"/>
      <c r="H1" s="391"/>
      <c r="I1" s="3341" t="s">
        <v>6</v>
      </c>
      <c r="J1" s="3341"/>
      <c r="K1" s="389"/>
      <c r="L1" s="3341" t="s">
        <v>9</v>
      </c>
      <c r="M1" s="3341"/>
      <c r="N1" s="389"/>
      <c r="O1" s="450" t="s">
        <v>2</v>
      </c>
      <c r="P1" s="479" t="s">
        <v>3</v>
      </c>
      <c r="Q1" s="458"/>
      <c r="R1" s="458"/>
    </row>
    <row r="2" spans="1:22" s="58" customFormat="1" ht="18" customHeight="1" x14ac:dyDescent="0.35">
      <c r="A2" s="393"/>
      <c r="B2" s="393"/>
      <c r="C2" s="393"/>
      <c r="D2" s="3342" t="str">
        <f>NomClient</f>
        <v xml:space="preserve">EQUINIX </v>
      </c>
      <c r="E2" s="3343"/>
      <c r="F2" s="3343"/>
      <c r="G2" s="3344"/>
      <c r="H2" s="393"/>
      <c r="I2" s="3345" t="s">
        <v>406</v>
      </c>
      <c r="J2" s="3346"/>
      <c r="K2" s="393"/>
      <c r="L2" s="3347">
        <v>42534.86215277778</v>
      </c>
      <c r="M2" s="3348"/>
      <c r="N2" s="394"/>
      <c r="O2" s="451">
        <f>IF(LEN(DPDV_05SC)&gt;0,LEN(DPDV_05SC),0-PDV_NBmini)</f>
        <v>57</v>
      </c>
      <c r="P2" s="451">
        <f>IF(LEN(DKPI_05SC)&gt;0,LEN(DKPI_05SC),0-KPI_NBmini)</f>
        <v>93</v>
      </c>
      <c r="Q2" s="459"/>
      <c r="R2" s="459"/>
    </row>
    <row r="3" spans="1:22" ht="9.75" customHeight="1" thickBot="1" x14ac:dyDescent="0.4">
      <c r="A3" s="396"/>
      <c r="B3" s="396"/>
      <c r="C3" s="396"/>
      <c r="D3" s="3696" t="s">
        <v>1792</v>
      </c>
      <c r="E3" s="3696"/>
      <c r="F3" s="3696"/>
      <c r="G3" s="3696"/>
      <c r="H3" s="1960"/>
      <c r="I3" s="1960"/>
      <c r="J3" s="1960"/>
      <c r="K3" s="396"/>
      <c r="L3" s="396"/>
      <c r="M3" s="396"/>
      <c r="N3" s="396"/>
      <c r="O3" s="396"/>
      <c r="P3" s="396"/>
      <c r="Q3" s="64"/>
      <c r="R3" s="64"/>
      <c r="S3" s="64"/>
      <c r="T3" s="64"/>
      <c r="U3" s="64"/>
      <c r="V3" s="64"/>
    </row>
    <row r="4" spans="1:22" s="1" customFormat="1" ht="24.75" customHeight="1" thickBot="1" x14ac:dyDescent="0.4">
      <c r="A4" s="5049" t="str">
        <f>Parametre!B27 &amp; "   : "</f>
        <v xml:space="preserve">Organisation commerciale   : </v>
      </c>
      <c r="B4" s="5049"/>
      <c r="C4" s="5049"/>
      <c r="D4" s="5049"/>
      <c r="E4" s="5049"/>
      <c r="F4" s="5049"/>
      <c r="G4" s="5049"/>
      <c r="H4" s="5050" t="s">
        <v>186</v>
      </c>
      <c r="I4" s="5050"/>
      <c r="J4" s="5050"/>
      <c r="K4" s="5050"/>
      <c r="L4" s="5050"/>
      <c r="M4" s="5050"/>
      <c r="N4" s="5050"/>
      <c r="O4" s="5050"/>
      <c r="P4" s="5051"/>
      <c r="Q4" s="444"/>
      <c r="R4" s="444"/>
    </row>
    <row r="5" spans="1:22" s="26" customFormat="1" ht="22.5" customHeight="1" thickBot="1" x14ac:dyDescent="0.4">
      <c r="A5" s="3438" t="s">
        <v>14</v>
      </c>
      <c r="B5" s="3438"/>
      <c r="C5" s="3439" t="s">
        <v>2249</v>
      </c>
      <c r="D5" s="3439"/>
      <c r="E5" s="3439"/>
      <c r="F5" s="3439"/>
      <c r="G5" s="3439"/>
      <c r="H5" s="3439"/>
      <c r="I5" s="3439"/>
      <c r="J5" s="3439"/>
      <c r="K5" s="3439"/>
      <c r="L5" s="3439"/>
      <c r="M5" s="3439"/>
      <c r="N5" s="3439"/>
      <c r="O5" s="3439"/>
      <c r="P5" s="3439"/>
      <c r="Q5" s="460"/>
      <c r="R5" s="460"/>
    </row>
    <row r="6" spans="1:22" s="25" customFormat="1" ht="25.5" customHeight="1" thickTop="1" x14ac:dyDescent="0.35">
      <c r="A6" s="6892" t="s">
        <v>187</v>
      </c>
      <c r="B6" s="6893"/>
      <c r="C6" s="6893"/>
      <c r="D6" s="6893"/>
      <c r="E6" s="6893"/>
      <c r="F6" s="6893"/>
      <c r="G6" s="6893"/>
      <c r="H6" s="6891" t="s">
        <v>188</v>
      </c>
      <c r="I6" s="6891"/>
      <c r="J6" s="6891"/>
      <c r="K6" s="6891"/>
      <c r="L6" s="6891"/>
      <c r="M6" s="6891" t="s">
        <v>189</v>
      </c>
      <c r="N6" s="6891"/>
      <c r="O6" s="6891" t="s">
        <v>190</v>
      </c>
      <c r="P6" s="6894"/>
      <c r="Q6" s="767"/>
      <c r="R6" s="767"/>
    </row>
    <row r="7" spans="1:22" ht="15" customHeight="1" x14ac:dyDescent="0.35">
      <c r="A7" s="6889"/>
      <c r="B7" s="6890"/>
      <c r="C7" s="6890"/>
      <c r="D7" s="6890"/>
      <c r="E7" s="6890"/>
      <c r="F7" s="6890"/>
      <c r="G7" s="6890"/>
      <c r="H7" s="6898"/>
      <c r="I7" s="6898"/>
      <c r="J7" s="6898"/>
      <c r="K7" s="6898"/>
      <c r="L7" s="6898"/>
      <c r="M7" s="6887"/>
      <c r="N7" s="6887"/>
      <c r="O7" s="6887"/>
      <c r="P7" s="6895"/>
      <c r="Q7" s="64"/>
      <c r="R7" s="64"/>
    </row>
    <row r="8" spans="1:22" ht="32.25" customHeight="1" x14ac:dyDescent="0.35">
      <c r="A8" s="6878" t="s">
        <v>600</v>
      </c>
      <c r="B8" s="6879"/>
      <c r="C8" s="6879"/>
      <c r="D8" s="6879"/>
      <c r="E8" s="6879"/>
      <c r="F8" s="6879"/>
      <c r="G8" s="6879"/>
      <c r="H8" s="6877" t="s">
        <v>601</v>
      </c>
      <c r="I8" s="6877"/>
      <c r="J8" s="6877"/>
      <c r="K8" s="6877"/>
      <c r="L8" s="6877"/>
      <c r="M8" s="6872"/>
      <c r="N8" s="6872"/>
      <c r="O8" s="6896">
        <v>10</v>
      </c>
      <c r="P8" s="6897"/>
      <c r="Q8" s="64"/>
      <c r="R8" s="64"/>
    </row>
    <row r="9" spans="1:22" ht="32.25" customHeight="1" x14ac:dyDescent="0.35">
      <c r="A9" s="6878" t="s">
        <v>191</v>
      </c>
      <c r="B9" s="6879"/>
      <c r="C9" s="6879"/>
      <c r="D9" s="6879"/>
      <c r="E9" s="6879"/>
      <c r="F9" s="6879"/>
      <c r="G9" s="6879"/>
      <c r="H9" s="6874" t="s">
        <v>602</v>
      </c>
      <c r="I9" s="6875"/>
      <c r="J9" s="6875"/>
      <c r="K9" s="6875"/>
      <c r="L9" s="6876"/>
      <c r="M9" s="6888"/>
      <c r="N9" s="6872"/>
      <c r="O9" s="6896">
        <v>10</v>
      </c>
      <c r="P9" s="6897"/>
      <c r="Q9" s="64"/>
      <c r="R9" s="64"/>
    </row>
    <row r="10" spans="1:22" ht="32.25" customHeight="1" x14ac:dyDescent="0.35">
      <c r="A10" s="6878" t="s">
        <v>192</v>
      </c>
      <c r="B10" s="6879"/>
      <c r="C10" s="6879"/>
      <c r="D10" s="6879"/>
      <c r="E10" s="6879"/>
      <c r="F10" s="6879"/>
      <c r="G10" s="6879"/>
      <c r="H10" s="6873" t="s">
        <v>603</v>
      </c>
      <c r="I10" s="6873"/>
      <c r="J10" s="6873"/>
      <c r="K10" s="6873"/>
      <c r="L10" s="6873"/>
      <c r="M10" s="6872"/>
      <c r="N10" s="6872"/>
      <c r="O10" s="6896">
        <v>10</v>
      </c>
      <c r="P10" s="6897"/>
      <c r="Q10" s="64"/>
      <c r="R10" s="64"/>
    </row>
    <row r="11" spans="1:22" ht="32.25" customHeight="1" x14ac:dyDescent="0.35">
      <c r="A11" s="6878" t="s">
        <v>193</v>
      </c>
      <c r="B11" s="6879"/>
      <c r="C11" s="6879"/>
      <c r="D11" s="6879"/>
      <c r="E11" s="6879"/>
      <c r="F11" s="6879"/>
      <c r="G11" s="6879"/>
      <c r="H11" s="6873" t="s">
        <v>604</v>
      </c>
      <c r="I11" s="6873"/>
      <c r="J11" s="6873"/>
      <c r="K11" s="6873"/>
      <c r="L11" s="6873"/>
      <c r="M11" s="6872"/>
      <c r="N11" s="6872"/>
      <c r="O11" s="6896">
        <v>10</v>
      </c>
      <c r="P11" s="6897"/>
      <c r="Q11" s="64"/>
      <c r="R11" s="64"/>
    </row>
    <row r="12" spans="1:22" ht="32.25" customHeight="1" x14ac:dyDescent="0.35">
      <c r="A12" s="6878" t="s">
        <v>194</v>
      </c>
      <c r="B12" s="6879"/>
      <c r="C12" s="6879"/>
      <c r="D12" s="6879"/>
      <c r="E12" s="6879"/>
      <c r="F12" s="6879"/>
      <c r="G12" s="6879"/>
      <c r="H12" s="6873" t="s">
        <v>195</v>
      </c>
      <c r="I12" s="6873"/>
      <c r="J12" s="6873"/>
      <c r="K12" s="6873"/>
      <c r="L12" s="6873"/>
      <c r="M12" s="6872"/>
      <c r="N12" s="6872"/>
      <c r="O12" s="6896">
        <v>10</v>
      </c>
      <c r="P12" s="6897"/>
      <c r="Q12" s="64"/>
      <c r="R12" s="64"/>
    </row>
    <row r="13" spans="1:22" ht="32.25" customHeight="1" x14ac:dyDescent="0.35">
      <c r="A13" s="6878" t="s">
        <v>196</v>
      </c>
      <c r="B13" s="6879"/>
      <c r="C13" s="6879"/>
      <c r="D13" s="6879"/>
      <c r="E13" s="6879"/>
      <c r="F13" s="6879"/>
      <c r="G13" s="6879"/>
      <c r="H13" s="6873" t="s">
        <v>605</v>
      </c>
      <c r="I13" s="6873"/>
      <c r="J13" s="6873"/>
      <c r="K13" s="6873"/>
      <c r="L13" s="6873"/>
      <c r="M13" s="6872"/>
      <c r="N13" s="6872"/>
      <c r="O13" s="6896">
        <v>10</v>
      </c>
      <c r="P13" s="6897"/>
      <c r="Q13" s="64"/>
      <c r="R13" s="64"/>
    </row>
    <row r="14" spans="1:22" ht="32.25" customHeight="1" x14ac:dyDescent="0.35">
      <c r="A14" s="6878" t="s">
        <v>197</v>
      </c>
      <c r="B14" s="6879"/>
      <c r="C14" s="6879"/>
      <c r="D14" s="6879"/>
      <c r="E14" s="6879"/>
      <c r="F14" s="6879"/>
      <c r="G14" s="6879"/>
      <c r="H14" s="6874" t="s">
        <v>606</v>
      </c>
      <c r="I14" s="6875"/>
      <c r="J14" s="6875"/>
      <c r="K14" s="6875"/>
      <c r="L14" s="6876"/>
      <c r="M14" s="6872"/>
      <c r="N14" s="6872"/>
      <c r="O14" s="6896">
        <v>10</v>
      </c>
      <c r="P14" s="6897"/>
      <c r="Q14" s="64"/>
      <c r="R14" s="64"/>
    </row>
    <row r="15" spans="1:22" ht="32.25" customHeight="1" x14ac:dyDescent="0.35">
      <c r="A15" s="6878" t="s">
        <v>198</v>
      </c>
      <c r="B15" s="6879"/>
      <c r="C15" s="6879"/>
      <c r="D15" s="6879"/>
      <c r="E15" s="6879"/>
      <c r="F15" s="6879"/>
      <c r="G15" s="6879"/>
      <c r="H15" s="6877" t="s">
        <v>607</v>
      </c>
      <c r="I15" s="6877"/>
      <c r="J15" s="6877"/>
      <c r="K15" s="6877"/>
      <c r="L15" s="6877"/>
      <c r="M15" s="6872"/>
      <c r="N15" s="6872"/>
      <c r="O15" s="6896">
        <v>10</v>
      </c>
      <c r="P15" s="6897"/>
      <c r="Q15" s="64"/>
      <c r="R15" s="64"/>
    </row>
    <row r="16" spans="1:22" ht="32.25" customHeight="1" x14ac:dyDescent="0.35">
      <c r="A16" s="6878" t="s">
        <v>199</v>
      </c>
      <c r="B16" s="6879"/>
      <c r="C16" s="6879"/>
      <c r="D16" s="6879"/>
      <c r="E16" s="6879"/>
      <c r="F16" s="6879"/>
      <c r="G16" s="6879"/>
      <c r="H16" s="6874" t="s">
        <v>617</v>
      </c>
      <c r="I16" s="6875"/>
      <c r="J16" s="6875"/>
      <c r="K16" s="6875"/>
      <c r="L16" s="6876"/>
      <c r="M16" s="6872"/>
      <c r="N16" s="6872"/>
      <c r="O16" s="6896">
        <v>10</v>
      </c>
      <c r="P16" s="6897"/>
      <c r="Q16" s="64"/>
      <c r="R16" s="64"/>
    </row>
    <row r="17" spans="1:18" ht="32.25" customHeight="1" x14ac:dyDescent="0.35">
      <c r="A17" s="6878" t="s">
        <v>200</v>
      </c>
      <c r="B17" s="6879"/>
      <c r="C17" s="6879"/>
      <c r="D17" s="6879"/>
      <c r="E17" s="6879"/>
      <c r="F17" s="6879"/>
      <c r="G17" s="6879"/>
      <c r="H17" s="6874" t="s">
        <v>608</v>
      </c>
      <c r="I17" s="6875"/>
      <c r="J17" s="6875"/>
      <c r="K17" s="6875"/>
      <c r="L17" s="6876"/>
      <c r="M17" s="6872"/>
      <c r="N17" s="6872"/>
      <c r="O17" s="6896">
        <v>10</v>
      </c>
      <c r="P17" s="6897"/>
      <c r="Q17" s="64"/>
      <c r="R17" s="64"/>
    </row>
    <row r="18" spans="1:18" ht="32.25" customHeight="1" x14ac:dyDescent="0.35">
      <c r="A18" s="6878" t="s">
        <v>201</v>
      </c>
      <c r="B18" s="6879"/>
      <c r="C18" s="6879"/>
      <c r="D18" s="6879"/>
      <c r="E18" s="6879"/>
      <c r="F18" s="6879"/>
      <c r="G18" s="6879"/>
      <c r="H18" s="6873" t="s">
        <v>609</v>
      </c>
      <c r="I18" s="6873"/>
      <c r="J18" s="6873"/>
      <c r="K18" s="6873"/>
      <c r="L18" s="6873"/>
      <c r="M18" s="6872"/>
      <c r="N18" s="6872"/>
      <c r="O18" s="6896">
        <v>10</v>
      </c>
      <c r="P18" s="6897"/>
      <c r="Q18" s="64"/>
      <c r="R18" s="64"/>
    </row>
    <row r="19" spans="1:18" ht="32.25" customHeight="1" x14ac:dyDescent="0.35">
      <c r="A19" s="6878" t="s">
        <v>202</v>
      </c>
      <c r="B19" s="6879"/>
      <c r="C19" s="6879"/>
      <c r="D19" s="6879"/>
      <c r="E19" s="6879"/>
      <c r="F19" s="6879"/>
      <c r="G19" s="6879"/>
      <c r="H19" s="6877" t="s">
        <v>203</v>
      </c>
      <c r="I19" s="6877"/>
      <c r="J19" s="6877"/>
      <c r="K19" s="6877"/>
      <c r="L19" s="6877"/>
      <c r="M19" s="6872"/>
      <c r="N19" s="6872"/>
      <c r="O19" s="6896">
        <v>10</v>
      </c>
      <c r="P19" s="6897"/>
      <c r="Q19" s="64"/>
      <c r="R19" s="64"/>
    </row>
    <row r="20" spans="1:18" ht="32.25" customHeight="1" x14ac:dyDescent="0.35">
      <c r="A20" s="6878" t="s">
        <v>204</v>
      </c>
      <c r="B20" s="6879"/>
      <c r="C20" s="6879"/>
      <c r="D20" s="6879"/>
      <c r="E20" s="6879"/>
      <c r="F20" s="6879"/>
      <c r="G20" s="6879"/>
      <c r="H20" s="6873" t="s">
        <v>205</v>
      </c>
      <c r="I20" s="6873"/>
      <c r="J20" s="6873"/>
      <c r="K20" s="6873"/>
      <c r="L20" s="6873"/>
      <c r="M20" s="6872"/>
      <c r="N20" s="6872"/>
      <c r="O20" s="6896">
        <v>10</v>
      </c>
      <c r="P20" s="6897"/>
      <c r="Q20" s="64"/>
      <c r="R20" s="64"/>
    </row>
    <row r="21" spans="1:18" ht="32.25" customHeight="1" x14ac:dyDescent="0.35">
      <c r="A21" s="6878" t="s">
        <v>206</v>
      </c>
      <c r="B21" s="6879"/>
      <c r="C21" s="6879"/>
      <c r="D21" s="6879"/>
      <c r="E21" s="6879"/>
      <c r="F21" s="6879"/>
      <c r="G21" s="6879"/>
      <c r="H21" s="6877" t="s">
        <v>207</v>
      </c>
      <c r="I21" s="6877"/>
      <c r="J21" s="6877"/>
      <c r="K21" s="6877"/>
      <c r="L21" s="6877"/>
      <c r="M21" s="6872"/>
      <c r="N21" s="6872"/>
      <c r="O21" s="6896">
        <v>10</v>
      </c>
      <c r="P21" s="6897"/>
      <c r="Q21" s="64"/>
      <c r="R21" s="64"/>
    </row>
    <row r="22" spans="1:18" ht="32.25" customHeight="1" x14ac:dyDescent="0.35">
      <c r="A22" s="6878" t="s">
        <v>208</v>
      </c>
      <c r="B22" s="6879"/>
      <c r="C22" s="6879"/>
      <c r="D22" s="6879"/>
      <c r="E22" s="6879"/>
      <c r="F22" s="6879"/>
      <c r="G22" s="6879"/>
      <c r="H22" s="6873" t="s">
        <v>209</v>
      </c>
      <c r="I22" s="6873"/>
      <c r="J22" s="6873"/>
      <c r="K22" s="6873"/>
      <c r="L22" s="6873"/>
      <c r="M22" s="6872"/>
      <c r="N22" s="6872"/>
      <c r="O22" s="6896">
        <v>10</v>
      </c>
      <c r="P22" s="6897"/>
      <c r="Q22" s="64"/>
      <c r="R22" s="64"/>
    </row>
    <row r="23" spans="1:18" ht="12.75" customHeight="1" thickBot="1" x14ac:dyDescent="0.4">
      <c r="A23" s="6885"/>
      <c r="B23" s="6886"/>
      <c r="C23" s="6886"/>
      <c r="D23" s="6886"/>
      <c r="E23" s="6886"/>
      <c r="F23" s="6886"/>
      <c r="G23" s="6886"/>
      <c r="H23" s="6882"/>
      <c r="I23" s="6882"/>
      <c r="J23" s="6882"/>
      <c r="K23" s="6882"/>
      <c r="L23" s="6882"/>
      <c r="M23" s="6900"/>
      <c r="N23" s="6900"/>
      <c r="O23" s="6900"/>
      <c r="P23" s="6901"/>
      <c r="Q23" s="64"/>
      <c r="R23" s="64"/>
    </row>
    <row r="24" spans="1:18" s="65" customFormat="1" ht="20.25" customHeight="1" thickTop="1" x14ac:dyDescent="0.35">
      <c r="A24" s="835"/>
      <c r="B24" s="836"/>
      <c r="C24" s="836"/>
      <c r="D24" s="836"/>
      <c r="E24" s="398"/>
      <c r="F24" s="836"/>
      <c r="G24" s="836"/>
      <c r="H24" s="836"/>
      <c r="I24" s="398"/>
      <c r="J24" s="398"/>
      <c r="K24" s="6883" t="s">
        <v>222</v>
      </c>
      <c r="L24" s="6884"/>
      <c r="M24" s="6884">
        <f>SUM(M7:M23)</f>
        <v>0</v>
      </c>
      <c r="N24" s="6884"/>
      <c r="O24" s="6903">
        <f>SUM(O7:O23)</f>
        <v>150</v>
      </c>
      <c r="P24" s="6904"/>
      <c r="Q24" s="398"/>
      <c r="R24" s="398"/>
    </row>
    <row r="25" spans="1:18" s="65" customFormat="1" ht="20.25" customHeight="1" thickBot="1" x14ac:dyDescent="0.4">
      <c r="A25" s="835"/>
      <c r="B25" s="836"/>
      <c r="C25" s="836"/>
      <c r="D25" s="836"/>
      <c r="E25" s="398"/>
      <c r="F25" s="836"/>
      <c r="G25" s="836"/>
      <c r="H25" s="836"/>
      <c r="I25" s="398"/>
      <c r="J25" s="398"/>
      <c r="K25" s="6880" t="s">
        <v>261</v>
      </c>
      <c r="L25" s="6881"/>
      <c r="M25" s="6902">
        <f>M24/O24</f>
        <v>0</v>
      </c>
      <c r="N25" s="6902"/>
      <c r="O25" s="6905"/>
      <c r="P25" s="6906"/>
      <c r="Q25" s="398"/>
      <c r="R25" s="398"/>
    </row>
    <row r="26" spans="1:18" ht="13.5" customHeight="1" thickTop="1" x14ac:dyDescent="0.35">
      <c r="A26" s="764"/>
      <c r="B26" s="764"/>
      <c r="C26" s="480"/>
      <c r="D26" s="480"/>
      <c r="E26" s="480"/>
      <c r="F26" s="480"/>
      <c r="G26" s="480"/>
      <c r="H26" s="480"/>
      <c r="I26" s="480"/>
      <c r="J26" s="480"/>
      <c r="K26" s="480"/>
      <c r="L26" s="480"/>
      <c r="M26" s="480"/>
      <c r="N26" s="64"/>
      <c r="O26" s="64"/>
      <c r="P26" s="480"/>
      <c r="Q26" s="64"/>
      <c r="R26" s="64"/>
    </row>
    <row r="27" spans="1:18" ht="15" thickBot="1" x14ac:dyDescent="0.4">
      <c r="A27" s="64"/>
      <c r="B27" s="64"/>
      <c r="C27" s="64"/>
      <c r="D27" s="64"/>
      <c r="E27" s="64"/>
      <c r="F27" s="64"/>
      <c r="G27" s="64"/>
      <c r="H27" s="64"/>
      <c r="I27" s="64"/>
      <c r="J27" s="64"/>
      <c r="K27" s="64"/>
      <c r="L27" s="64"/>
      <c r="M27" s="64"/>
      <c r="N27" s="64"/>
      <c r="O27" s="64"/>
      <c r="P27" s="64"/>
      <c r="Q27" s="64"/>
      <c r="R27" s="64"/>
    </row>
    <row r="28" spans="1:18" ht="19.5" thickTop="1" thickBot="1" x14ac:dyDescent="0.4">
      <c r="A28" s="5002" t="s">
        <v>10</v>
      </c>
      <c r="B28" s="5003"/>
      <c r="C28" s="5003"/>
      <c r="D28" s="5003"/>
      <c r="E28" s="5003"/>
      <c r="F28" s="5003"/>
      <c r="G28" s="5003"/>
      <c r="H28" s="5003"/>
      <c r="I28" s="5003"/>
      <c r="J28" s="5003"/>
      <c r="K28" s="5003"/>
      <c r="L28" s="119"/>
      <c r="M28" s="3725" t="s">
        <v>748</v>
      </c>
      <c r="N28" s="3726"/>
      <c r="O28" s="3727"/>
      <c r="P28" s="31"/>
      <c r="Q28" s="64"/>
      <c r="R28" s="64"/>
    </row>
    <row r="29" spans="1:18" ht="20.25" customHeight="1" x14ac:dyDescent="0.35">
      <c r="A29" s="5004" t="s">
        <v>892</v>
      </c>
      <c r="B29" s="5012"/>
      <c r="C29" s="5012"/>
      <c r="D29" s="5012"/>
      <c r="E29" s="5012"/>
      <c r="F29" s="5012"/>
      <c r="G29" s="5012"/>
      <c r="H29" s="5012"/>
      <c r="I29" s="5012"/>
      <c r="J29" s="5012"/>
      <c r="K29" s="5012"/>
      <c r="L29" s="37"/>
      <c r="M29" s="3750" t="s">
        <v>809</v>
      </c>
      <c r="N29" s="3751"/>
      <c r="O29" s="3752"/>
      <c r="P29" s="33"/>
      <c r="Q29" s="64"/>
      <c r="R29" s="64"/>
    </row>
    <row r="30" spans="1:18" ht="20.25" customHeight="1" x14ac:dyDescent="0.35">
      <c r="A30" s="5013"/>
      <c r="B30" s="4578"/>
      <c r="C30" s="4578"/>
      <c r="D30" s="4578"/>
      <c r="E30" s="4578"/>
      <c r="F30" s="4578"/>
      <c r="G30" s="4578"/>
      <c r="H30" s="4578"/>
      <c r="I30" s="4578"/>
      <c r="J30" s="4578"/>
      <c r="K30" s="4578"/>
      <c r="L30" s="37"/>
      <c r="M30" s="3753"/>
      <c r="N30" s="3754"/>
      <c r="O30" s="3755"/>
      <c r="P30" s="33"/>
      <c r="Q30" s="64"/>
      <c r="R30" s="64"/>
    </row>
    <row r="31" spans="1:18" ht="20.25" customHeight="1" x14ac:dyDescent="0.35">
      <c r="A31" s="5013"/>
      <c r="B31" s="4578"/>
      <c r="C31" s="4578"/>
      <c r="D31" s="4578"/>
      <c r="E31" s="4578"/>
      <c r="F31" s="4578"/>
      <c r="G31" s="4578"/>
      <c r="H31" s="4578"/>
      <c r="I31" s="4578"/>
      <c r="J31" s="4578"/>
      <c r="K31" s="4578"/>
      <c r="L31" s="37"/>
      <c r="M31" s="3753"/>
      <c r="N31" s="3754"/>
      <c r="O31" s="3755"/>
      <c r="P31" s="33"/>
      <c r="Q31" s="64"/>
      <c r="R31" s="64"/>
    </row>
    <row r="32" spans="1:18" ht="20.25" customHeight="1" thickBot="1" x14ac:dyDescent="0.4">
      <c r="A32" s="5014"/>
      <c r="B32" s="5015"/>
      <c r="C32" s="5015"/>
      <c r="D32" s="5015"/>
      <c r="E32" s="5015"/>
      <c r="F32" s="5015"/>
      <c r="G32" s="5015"/>
      <c r="H32" s="5015"/>
      <c r="I32" s="5015"/>
      <c r="J32" s="5015"/>
      <c r="K32" s="5015"/>
      <c r="L32" s="37"/>
      <c r="M32" s="3756"/>
      <c r="N32" s="3757"/>
      <c r="O32" s="3758"/>
      <c r="P32" s="33"/>
      <c r="Q32" s="64"/>
      <c r="R32" s="64"/>
    </row>
    <row r="33" spans="1:18" ht="15.5" thickTop="1" thickBot="1" x14ac:dyDescent="0.4">
      <c r="A33" s="64"/>
      <c r="B33" s="64"/>
      <c r="C33" s="64"/>
      <c r="D33" s="64"/>
      <c r="E33" s="64"/>
      <c r="F33" s="64"/>
      <c r="G33" s="64"/>
      <c r="H33" s="64"/>
      <c r="I33" s="64"/>
      <c r="J33" s="64"/>
      <c r="K33" s="64"/>
      <c r="L33" s="64"/>
      <c r="M33" s="31"/>
      <c r="N33" s="31"/>
      <c r="O33" s="31"/>
      <c r="P33" s="64"/>
      <c r="Q33" s="64"/>
      <c r="R33" s="64"/>
    </row>
    <row r="34" spans="1:18" ht="19.5" thickTop="1" thickBot="1" x14ac:dyDescent="0.4">
      <c r="A34" s="5002" t="s">
        <v>11</v>
      </c>
      <c r="B34" s="6899"/>
      <c r="C34" s="6899"/>
      <c r="D34" s="6899"/>
      <c r="E34" s="6899"/>
      <c r="F34" s="6899"/>
      <c r="G34" s="6899"/>
      <c r="H34" s="6899"/>
      <c r="I34" s="6899"/>
      <c r="J34" s="6899"/>
      <c r="K34" s="6899"/>
      <c r="L34" s="119"/>
      <c r="M34" s="3725" t="s">
        <v>748</v>
      </c>
      <c r="N34" s="3726"/>
      <c r="O34" s="3727"/>
      <c r="P34" s="31"/>
      <c r="Q34" s="64"/>
      <c r="R34" s="64"/>
    </row>
    <row r="35" spans="1:18" ht="20.25" customHeight="1" x14ac:dyDescent="0.35">
      <c r="A35" s="5004" t="s">
        <v>2248</v>
      </c>
      <c r="B35" s="5005"/>
      <c r="C35" s="5005"/>
      <c r="D35" s="5005"/>
      <c r="E35" s="5005"/>
      <c r="F35" s="5005"/>
      <c r="G35" s="5005"/>
      <c r="H35" s="5005"/>
      <c r="I35" s="5005"/>
      <c r="J35" s="5005"/>
      <c r="K35" s="5005"/>
      <c r="L35" s="37"/>
      <c r="M35" s="3750" t="s">
        <v>808</v>
      </c>
      <c r="N35" s="3751"/>
      <c r="O35" s="3752"/>
      <c r="P35" s="33"/>
      <c r="Q35" s="64"/>
      <c r="R35" s="64"/>
    </row>
    <row r="36" spans="1:18" ht="20.25" customHeight="1" x14ac:dyDescent="0.35">
      <c r="A36" s="5006"/>
      <c r="B36" s="3882"/>
      <c r="C36" s="3882"/>
      <c r="D36" s="3882"/>
      <c r="E36" s="3882"/>
      <c r="F36" s="3882"/>
      <c r="G36" s="3882"/>
      <c r="H36" s="3882"/>
      <c r="I36" s="3882"/>
      <c r="J36" s="3882"/>
      <c r="K36" s="3879"/>
      <c r="L36" s="37"/>
      <c r="M36" s="3753"/>
      <c r="N36" s="3754"/>
      <c r="O36" s="3755"/>
      <c r="P36" s="33"/>
      <c r="Q36" s="64"/>
      <c r="R36" s="64"/>
    </row>
    <row r="37" spans="1:18" ht="20.25" customHeight="1" x14ac:dyDescent="0.35">
      <c r="A37" s="5006"/>
      <c r="B37" s="3882"/>
      <c r="C37" s="3882"/>
      <c r="D37" s="3882"/>
      <c r="E37" s="3882"/>
      <c r="F37" s="3882"/>
      <c r="G37" s="3882"/>
      <c r="H37" s="3882"/>
      <c r="I37" s="3882"/>
      <c r="J37" s="3882"/>
      <c r="K37" s="3879"/>
      <c r="L37" s="37"/>
      <c r="M37" s="3753"/>
      <c r="N37" s="3754"/>
      <c r="O37" s="3755"/>
      <c r="P37" s="33"/>
      <c r="Q37" s="64"/>
      <c r="R37" s="64"/>
    </row>
    <row r="38" spans="1:18" ht="20.25" customHeight="1" thickBot="1" x14ac:dyDescent="0.4">
      <c r="A38" s="5007"/>
      <c r="B38" s="5008"/>
      <c r="C38" s="5008"/>
      <c r="D38" s="5008"/>
      <c r="E38" s="5008"/>
      <c r="F38" s="5008"/>
      <c r="G38" s="5008"/>
      <c r="H38" s="5008"/>
      <c r="I38" s="5008"/>
      <c r="J38" s="5008"/>
      <c r="K38" s="5008"/>
      <c r="L38" s="37"/>
      <c r="M38" s="3756"/>
      <c r="N38" s="3757"/>
      <c r="O38" s="3758"/>
      <c r="P38" s="33"/>
      <c r="Q38" s="64"/>
      <c r="R38" s="64"/>
    </row>
    <row r="39" spans="1:18" ht="15" thickTop="1" x14ac:dyDescent="0.35">
      <c r="A39" s="64"/>
      <c r="B39" s="64"/>
      <c r="C39" s="64"/>
      <c r="D39" s="64"/>
      <c r="E39" s="64"/>
      <c r="F39" s="64"/>
      <c r="G39" s="64"/>
      <c r="H39" s="64"/>
      <c r="I39" s="64"/>
      <c r="J39" s="64"/>
      <c r="K39" s="64"/>
      <c r="L39" s="64"/>
      <c r="M39" s="64"/>
      <c r="N39" s="64"/>
      <c r="O39" s="64"/>
      <c r="P39" s="64"/>
      <c r="Q39" s="64"/>
      <c r="R39" s="64"/>
    </row>
    <row r="40" spans="1:18" x14ac:dyDescent="0.35">
      <c r="A40" s="64"/>
      <c r="B40" s="64"/>
      <c r="C40" s="64"/>
      <c r="D40" s="64"/>
      <c r="E40" s="64"/>
      <c r="F40" s="64"/>
      <c r="G40" s="64"/>
      <c r="H40" s="64"/>
      <c r="I40" s="64"/>
      <c r="J40" s="64"/>
      <c r="K40" s="64"/>
      <c r="L40" s="64"/>
      <c r="M40" s="64"/>
      <c r="N40" s="64"/>
      <c r="O40" s="64"/>
      <c r="P40" s="64"/>
      <c r="Q40" s="64"/>
      <c r="R40" s="64"/>
    </row>
    <row r="41" spans="1:18" x14ac:dyDescent="0.35">
      <c r="A41" s="64"/>
      <c r="B41" s="64"/>
      <c r="C41" s="64"/>
      <c r="D41" s="64"/>
      <c r="E41" s="64"/>
      <c r="F41" s="64"/>
      <c r="G41" s="64"/>
      <c r="H41" s="64"/>
      <c r="I41" s="64"/>
      <c r="J41" s="64"/>
      <c r="K41" s="64"/>
      <c r="L41" s="64"/>
      <c r="M41" s="64"/>
      <c r="N41" s="64"/>
      <c r="O41" s="64"/>
      <c r="P41" s="64"/>
      <c r="Q41" s="64"/>
      <c r="R41" s="64"/>
    </row>
    <row r="42" spans="1:18" x14ac:dyDescent="0.35">
      <c r="A42" s="64"/>
      <c r="B42" s="64"/>
      <c r="C42" s="64"/>
      <c r="D42" s="64"/>
      <c r="E42" s="64"/>
      <c r="F42" s="64"/>
      <c r="G42" s="64"/>
      <c r="H42" s="64"/>
      <c r="I42" s="64"/>
      <c r="J42" s="64"/>
      <c r="K42" s="64"/>
      <c r="L42" s="64"/>
      <c r="M42" s="64"/>
      <c r="N42" s="64"/>
      <c r="O42" s="64"/>
      <c r="P42" s="64"/>
      <c r="Q42" s="64"/>
      <c r="R42" s="64"/>
    </row>
    <row r="43" spans="1:18" x14ac:dyDescent="0.35">
      <c r="A43" s="64"/>
      <c r="B43" s="64"/>
      <c r="C43" s="64"/>
      <c r="D43" s="64"/>
      <c r="E43" s="64"/>
      <c r="F43" s="64"/>
      <c r="G43" s="64"/>
      <c r="H43" s="64"/>
      <c r="I43" s="64"/>
      <c r="J43" s="64"/>
      <c r="K43" s="64"/>
      <c r="L43" s="64"/>
      <c r="M43" s="64"/>
      <c r="N43" s="64"/>
      <c r="O43" s="64"/>
      <c r="P43" s="64"/>
      <c r="Q43" s="64"/>
      <c r="R43" s="64"/>
    </row>
    <row r="44" spans="1:18" x14ac:dyDescent="0.35">
      <c r="A44" s="64"/>
      <c r="B44" s="64"/>
      <c r="C44" s="64"/>
      <c r="D44" s="64"/>
      <c r="E44" s="64"/>
      <c r="F44" s="64"/>
      <c r="G44" s="64"/>
      <c r="H44" s="64"/>
      <c r="I44" s="64"/>
      <c r="J44" s="64"/>
      <c r="K44" s="64"/>
      <c r="L44" s="64"/>
      <c r="M44" s="64"/>
      <c r="N44" s="64"/>
      <c r="O44" s="64"/>
      <c r="P44" s="64"/>
      <c r="Q44" s="64"/>
      <c r="R44" s="64"/>
    </row>
    <row r="45" spans="1:18" x14ac:dyDescent="0.35">
      <c r="A45" s="64"/>
      <c r="B45" s="64"/>
      <c r="C45" s="64"/>
      <c r="D45" s="64"/>
      <c r="E45" s="64"/>
      <c r="F45" s="64"/>
      <c r="G45" s="64"/>
      <c r="H45" s="64"/>
      <c r="I45" s="64"/>
      <c r="J45" s="64"/>
      <c r="K45" s="64"/>
      <c r="L45" s="64"/>
      <c r="M45" s="64"/>
      <c r="N45" s="64"/>
      <c r="O45" s="64"/>
      <c r="P45" s="64"/>
      <c r="Q45" s="64"/>
      <c r="R45" s="64"/>
    </row>
    <row r="46" spans="1:18" x14ac:dyDescent="0.35">
      <c r="A46" s="64"/>
      <c r="B46" s="64"/>
      <c r="C46" s="64"/>
      <c r="D46" s="64"/>
      <c r="E46" s="64"/>
      <c r="F46" s="64"/>
      <c r="G46" s="64"/>
      <c r="H46" s="64"/>
      <c r="I46" s="64"/>
      <c r="J46" s="64"/>
      <c r="K46" s="64"/>
      <c r="L46" s="64"/>
      <c r="M46" s="64"/>
      <c r="N46" s="64"/>
      <c r="O46" s="64"/>
      <c r="P46" s="64"/>
      <c r="Q46" s="64"/>
      <c r="R46" s="64"/>
    </row>
    <row r="47" spans="1:18" x14ac:dyDescent="0.35">
      <c r="A47" s="64"/>
      <c r="B47" s="64"/>
      <c r="C47" s="64"/>
      <c r="D47" s="64"/>
      <c r="E47" s="64"/>
      <c r="F47" s="64"/>
      <c r="G47" s="64"/>
      <c r="H47" s="64"/>
      <c r="I47" s="64"/>
      <c r="J47" s="64"/>
      <c r="K47" s="64"/>
      <c r="L47" s="64"/>
      <c r="M47" s="64"/>
      <c r="N47" s="64"/>
      <c r="O47" s="64"/>
      <c r="P47" s="64"/>
      <c r="Q47" s="64"/>
      <c r="R47" s="64"/>
    </row>
    <row r="48" spans="1:18" x14ac:dyDescent="0.35">
      <c r="A48" s="64"/>
      <c r="B48" s="64"/>
      <c r="C48" s="64"/>
      <c r="D48" s="64"/>
      <c r="E48" s="64"/>
      <c r="F48" s="64"/>
      <c r="G48" s="64"/>
      <c r="H48" s="64"/>
      <c r="I48" s="64"/>
      <c r="J48" s="64"/>
      <c r="K48" s="64"/>
      <c r="L48" s="64"/>
      <c r="M48" s="64"/>
      <c r="N48" s="64"/>
      <c r="O48" s="64"/>
      <c r="P48" s="64"/>
      <c r="Q48" s="64"/>
      <c r="R48" s="64"/>
    </row>
    <row r="49" spans="1:18" x14ac:dyDescent="0.35">
      <c r="A49" s="64"/>
      <c r="B49" s="64"/>
      <c r="C49" s="64"/>
      <c r="D49" s="64"/>
      <c r="E49" s="64"/>
      <c r="F49" s="64"/>
      <c r="G49" s="64"/>
      <c r="H49" s="64"/>
      <c r="I49" s="64"/>
      <c r="J49" s="64"/>
      <c r="K49" s="64"/>
      <c r="L49" s="64"/>
      <c r="M49" s="64"/>
      <c r="N49" s="64"/>
      <c r="O49" s="64"/>
      <c r="P49" s="64"/>
      <c r="Q49" s="64"/>
      <c r="R49" s="64"/>
    </row>
    <row r="50" spans="1:18" x14ac:dyDescent="0.35">
      <c r="A50" s="64"/>
      <c r="B50" s="64"/>
      <c r="C50" s="64"/>
      <c r="D50" s="64"/>
      <c r="E50" s="64"/>
      <c r="F50" s="64"/>
      <c r="G50" s="64"/>
      <c r="H50" s="64"/>
      <c r="I50" s="64"/>
      <c r="J50" s="64"/>
      <c r="K50" s="64"/>
      <c r="L50" s="64"/>
      <c r="M50" s="64"/>
      <c r="N50" s="64"/>
      <c r="O50" s="64"/>
      <c r="P50" s="64"/>
      <c r="Q50" s="64"/>
      <c r="R50" s="64"/>
    </row>
    <row r="51" spans="1:18" x14ac:dyDescent="0.35">
      <c r="A51" s="64"/>
      <c r="B51" s="64"/>
      <c r="C51" s="64"/>
      <c r="D51" s="64"/>
      <c r="E51" s="64"/>
      <c r="F51" s="64"/>
      <c r="G51" s="64"/>
      <c r="H51" s="64"/>
      <c r="I51" s="64"/>
      <c r="J51" s="64"/>
      <c r="K51" s="64"/>
      <c r="L51" s="64"/>
      <c r="M51" s="64"/>
      <c r="N51" s="64"/>
      <c r="O51" s="64"/>
      <c r="P51" s="64"/>
      <c r="Q51" s="64"/>
      <c r="R51" s="64"/>
    </row>
    <row r="52" spans="1:18" x14ac:dyDescent="0.35">
      <c r="A52" s="64"/>
      <c r="B52" s="64"/>
      <c r="C52" s="64"/>
      <c r="D52" s="64"/>
      <c r="E52" s="64"/>
      <c r="F52" s="64"/>
      <c r="G52" s="64"/>
      <c r="H52" s="64"/>
      <c r="I52" s="64"/>
      <c r="J52" s="64"/>
      <c r="K52" s="64"/>
      <c r="L52" s="64"/>
      <c r="M52" s="64"/>
      <c r="N52" s="64"/>
      <c r="O52" s="64"/>
      <c r="P52" s="64"/>
      <c r="Q52" s="64"/>
      <c r="R52" s="64"/>
    </row>
    <row r="53" spans="1:18" x14ac:dyDescent="0.35">
      <c r="A53" s="64"/>
      <c r="B53" s="64"/>
      <c r="C53" s="64"/>
      <c r="D53" s="64"/>
      <c r="E53" s="64"/>
      <c r="F53" s="64"/>
      <c r="G53" s="64"/>
      <c r="H53" s="64"/>
      <c r="I53" s="64"/>
      <c r="J53" s="64"/>
      <c r="K53" s="64"/>
      <c r="L53" s="64"/>
      <c r="M53" s="64"/>
      <c r="N53" s="64"/>
      <c r="O53" s="64"/>
      <c r="P53" s="64"/>
      <c r="Q53" s="64"/>
      <c r="R53" s="64"/>
    </row>
    <row r="54" spans="1:18" x14ac:dyDescent="0.35">
      <c r="A54" s="64"/>
      <c r="B54" s="64"/>
      <c r="C54" s="64"/>
      <c r="D54" s="64"/>
      <c r="E54" s="64"/>
      <c r="F54" s="64"/>
      <c r="G54" s="64"/>
      <c r="H54" s="64"/>
      <c r="I54" s="64"/>
      <c r="J54" s="64"/>
      <c r="K54" s="64"/>
      <c r="L54" s="64"/>
      <c r="M54" s="64"/>
      <c r="N54" s="64"/>
      <c r="O54" s="64"/>
      <c r="P54" s="64"/>
      <c r="Q54" s="64"/>
      <c r="R54" s="64"/>
    </row>
    <row r="55" spans="1:18" x14ac:dyDescent="0.35">
      <c r="A55" s="64"/>
      <c r="B55" s="64"/>
      <c r="C55" s="64"/>
      <c r="D55" s="64"/>
      <c r="E55" s="64"/>
      <c r="F55" s="64"/>
      <c r="G55" s="64"/>
      <c r="H55" s="64"/>
      <c r="I55" s="64"/>
      <c r="J55" s="64"/>
      <c r="K55" s="64"/>
      <c r="L55" s="64"/>
      <c r="M55" s="64"/>
      <c r="N55" s="64"/>
      <c r="O55" s="64"/>
      <c r="P55" s="64"/>
      <c r="Q55" s="64"/>
      <c r="R55" s="64"/>
    </row>
    <row r="56" spans="1:18" x14ac:dyDescent="0.35">
      <c r="A56" s="64"/>
      <c r="B56" s="64"/>
      <c r="C56" s="64"/>
      <c r="D56" s="64"/>
      <c r="E56" s="64"/>
      <c r="F56" s="64"/>
      <c r="G56" s="64"/>
      <c r="H56" s="64"/>
      <c r="I56" s="64"/>
      <c r="J56" s="64"/>
      <c r="K56" s="64"/>
      <c r="L56" s="64"/>
      <c r="M56" s="64"/>
      <c r="N56" s="64"/>
      <c r="O56" s="64"/>
      <c r="P56" s="64"/>
      <c r="Q56" s="64"/>
      <c r="R56" s="64"/>
    </row>
    <row r="57" spans="1:18" x14ac:dyDescent="0.35">
      <c r="A57" s="64"/>
      <c r="B57" s="64"/>
      <c r="C57" s="64"/>
      <c r="D57" s="64"/>
      <c r="E57" s="64"/>
      <c r="F57" s="64"/>
      <c r="G57" s="64"/>
      <c r="H57" s="64"/>
      <c r="I57" s="64"/>
      <c r="J57" s="64"/>
      <c r="K57" s="64"/>
      <c r="L57" s="64"/>
      <c r="M57" s="64"/>
      <c r="N57" s="64"/>
      <c r="O57" s="64"/>
      <c r="P57" s="64"/>
      <c r="Q57" s="64"/>
      <c r="R57" s="64"/>
    </row>
    <row r="58" spans="1:18" x14ac:dyDescent="0.35">
      <c r="A58" s="64"/>
      <c r="B58" s="64"/>
      <c r="C58" s="64"/>
      <c r="D58" s="64"/>
      <c r="E58" s="64"/>
      <c r="F58" s="64"/>
      <c r="G58" s="64"/>
      <c r="H58" s="64"/>
      <c r="I58" s="64"/>
      <c r="J58" s="64"/>
      <c r="K58" s="64"/>
      <c r="L58" s="64"/>
      <c r="M58" s="64"/>
      <c r="N58" s="64"/>
      <c r="O58" s="64"/>
      <c r="P58" s="64"/>
      <c r="Q58" s="64"/>
      <c r="R58" s="64"/>
    </row>
    <row r="59" spans="1:18" x14ac:dyDescent="0.35">
      <c r="A59" s="64"/>
      <c r="B59" s="64"/>
      <c r="C59" s="64"/>
      <c r="D59" s="64"/>
      <c r="E59" s="64"/>
      <c r="F59" s="64"/>
      <c r="G59" s="64"/>
      <c r="H59" s="64"/>
      <c r="I59" s="64"/>
      <c r="J59" s="64"/>
      <c r="K59" s="64"/>
      <c r="L59" s="64"/>
      <c r="M59" s="64"/>
      <c r="N59" s="64"/>
      <c r="O59" s="64"/>
      <c r="P59" s="64"/>
      <c r="Q59" s="64"/>
      <c r="R59" s="64"/>
    </row>
    <row r="60" spans="1:18" x14ac:dyDescent="0.35">
      <c r="A60" s="64"/>
      <c r="B60" s="64"/>
      <c r="C60" s="64"/>
      <c r="D60" s="64"/>
      <c r="E60" s="64"/>
      <c r="F60" s="64"/>
      <c r="G60" s="64"/>
      <c r="H60" s="64"/>
      <c r="I60" s="64"/>
      <c r="J60" s="64"/>
      <c r="K60" s="64"/>
      <c r="L60" s="64"/>
      <c r="M60" s="64"/>
      <c r="N60" s="64"/>
      <c r="O60" s="64"/>
      <c r="P60" s="64"/>
      <c r="Q60" s="64"/>
      <c r="R60" s="64"/>
    </row>
    <row r="61" spans="1:18" x14ac:dyDescent="0.35">
      <c r="A61" s="64"/>
      <c r="B61" s="64"/>
      <c r="C61" s="64"/>
      <c r="D61" s="64"/>
      <c r="E61" s="64"/>
      <c r="F61" s="64"/>
      <c r="G61" s="64"/>
      <c r="H61" s="64"/>
      <c r="I61" s="64"/>
      <c r="J61" s="64"/>
      <c r="K61" s="64"/>
      <c r="L61" s="64"/>
      <c r="M61" s="64"/>
      <c r="N61" s="64"/>
      <c r="O61" s="64"/>
      <c r="P61" s="64"/>
      <c r="Q61" s="64"/>
      <c r="R61" s="64"/>
    </row>
    <row r="62" spans="1:18" x14ac:dyDescent="0.35">
      <c r="A62" s="64"/>
      <c r="B62" s="64"/>
      <c r="C62" s="64"/>
      <c r="D62" s="64"/>
      <c r="E62" s="64"/>
      <c r="F62" s="64"/>
      <c r="G62" s="64"/>
      <c r="H62" s="64"/>
      <c r="I62" s="64"/>
      <c r="J62" s="64"/>
      <c r="K62" s="64"/>
      <c r="L62" s="64"/>
      <c r="M62" s="64"/>
      <c r="N62" s="64"/>
      <c r="O62" s="64"/>
      <c r="P62" s="64"/>
      <c r="Q62" s="64"/>
      <c r="R62" s="64"/>
    </row>
    <row r="63" spans="1:18" x14ac:dyDescent="0.35">
      <c r="A63" s="64"/>
      <c r="B63" s="64"/>
      <c r="C63" s="64"/>
      <c r="D63" s="64"/>
      <c r="E63" s="64"/>
      <c r="F63" s="64"/>
      <c r="G63" s="64"/>
      <c r="H63" s="64"/>
      <c r="I63" s="64"/>
      <c r="J63" s="64"/>
      <c r="K63" s="64"/>
      <c r="L63" s="64"/>
      <c r="M63" s="64"/>
      <c r="N63" s="64"/>
      <c r="O63" s="64"/>
      <c r="P63" s="64"/>
      <c r="Q63" s="64"/>
      <c r="R63" s="64"/>
    </row>
    <row r="64" spans="1:18" x14ac:dyDescent="0.35">
      <c r="A64" s="64"/>
      <c r="B64" s="64"/>
      <c r="C64" s="64"/>
      <c r="D64" s="64"/>
      <c r="E64" s="64"/>
      <c r="F64" s="64"/>
      <c r="G64" s="64"/>
      <c r="H64" s="64"/>
      <c r="I64" s="64"/>
      <c r="J64" s="64"/>
      <c r="K64" s="64"/>
      <c r="L64" s="64"/>
      <c r="M64" s="64"/>
      <c r="N64" s="64"/>
      <c r="O64" s="64"/>
      <c r="P64" s="64"/>
      <c r="Q64" s="64"/>
      <c r="R64" s="64"/>
    </row>
    <row r="65" spans="1:18" x14ac:dyDescent="0.35">
      <c r="A65" s="64"/>
      <c r="B65" s="64"/>
      <c r="C65" s="64"/>
      <c r="D65" s="64"/>
      <c r="E65" s="64"/>
      <c r="F65" s="64"/>
      <c r="G65" s="64"/>
      <c r="H65" s="64"/>
      <c r="I65" s="64"/>
      <c r="J65" s="64"/>
      <c r="K65" s="64"/>
      <c r="L65" s="64"/>
      <c r="M65" s="64"/>
      <c r="N65" s="64"/>
      <c r="O65" s="64"/>
      <c r="P65" s="64"/>
      <c r="Q65" s="64"/>
      <c r="R65" s="64"/>
    </row>
    <row r="66" spans="1:18" x14ac:dyDescent="0.35">
      <c r="A66" s="64"/>
      <c r="B66" s="64"/>
      <c r="C66" s="64"/>
      <c r="D66" s="64"/>
      <c r="E66" s="64"/>
      <c r="F66" s="64"/>
      <c r="G66" s="64"/>
      <c r="H66" s="64"/>
      <c r="I66" s="64"/>
      <c r="J66" s="64"/>
      <c r="K66" s="64"/>
      <c r="L66" s="64"/>
      <c r="M66" s="64"/>
      <c r="N66" s="64"/>
      <c r="O66" s="64"/>
      <c r="P66" s="64"/>
      <c r="Q66" s="64"/>
      <c r="R66" s="64"/>
    </row>
  </sheetData>
  <mergeCells count="96">
    <mergeCell ref="A35:K38"/>
    <mergeCell ref="M22:N22"/>
    <mergeCell ref="M23:N23"/>
    <mergeCell ref="M24:N24"/>
    <mergeCell ref="M25:N25"/>
    <mergeCell ref="M28:O28"/>
    <mergeCell ref="M29:O32"/>
    <mergeCell ref="M34:O34"/>
    <mergeCell ref="M35:O38"/>
    <mergeCell ref="O24:P25"/>
    <mergeCell ref="O13:P13"/>
    <mergeCell ref="O19:P19"/>
    <mergeCell ref="O20:P20"/>
    <mergeCell ref="A28:K28"/>
    <mergeCell ref="A34:K34"/>
    <mergeCell ref="A29:K32"/>
    <mergeCell ref="O21:P21"/>
    <mergeCell ref="O22:P22"/>
    <mergeCell ref="O23:P23"/>
    <mergeCell ref="O14:P14"/>
    <mergeCell ref="O15:P15"/>
    <mergeCell ref="O16:P16"/>
    <mergeCell ref="O17:P17"/>
    <mergeCell ref="O18:P18"/>
    <mergeCell ref="A18:G18"/>
    <mergeCell ref="A19:G19"/>
    <mergeCell ref="M12:N12"/>
    <mergeCell ref="O11:P11"/>
    <mergeCell ref="O12:P12"/>
    <mergeCell ref="H6:L6"/>
    <mergeCell ref="H7:L7"/>
    <mergeCell ref="H8:L8"/>
    <mergeCell ref="H9:L9"/>
    <mergeCell ref="O8:P8"/>
    <mergeCell ref="O9:P9"/>
    <mergeCell ref="O10:P10"/>
    <mergeCell ref="M10:N10"/>
    <mergeCell ref="M11:N11"/>
    <mergeCell ref="A13:G13"/>
    <mergeCell ref="A14:G14"/>
    <mergeCell ref="A15:G15"/>
    <mergeCell ref="A16:G16"/>
    <mergeCell ref="A17:G17"/>
    <mergeCell ref="A5:B5"/>
    <mergeCell ref="C5:P5"/>
    <mergeCell ref="A7:G7"/>
    <mergeCell ref="M6:N6"/>
    <mergeCell ref="A6:G6"/>
    <mergeCell ref="O6:P6"/>
    <mergeCell ref="O7:P7"/>
    <mergeCell ref="A8:G8"/>
    <mergeCell ref="M7:N7"/>
    <mergeCell ref="M8:N8"/>
    <mergeCell ref="M9:N9"/>
    <mergeCell ref="A9:G9"/>
    <mergeCell ref="A20:G20"/>
    <mergeCell ref="K25:L25"/>
    <mergeCell ref="H21:L21"/>
    <mergeCell ref="H22:L22"/>
    <mergeCell ref="H23:L23"/>
    <mergeCell ref="K24:L24"/>
    <mergeCell ref="A21:G21"/>
    <mergeCell ref="A22:G22"/>
    <mergeCell ref="A23:G23"/>
    <mergeCell ref="H20:L20"/>
    <mergeCell ref="A10:G10"/>
    <mergeCell ref="A11:G11"/>
    <mergeCell ref="H10:L10"/>
    <mergeCell ref="H11:L11"/>
    <mergeCell ref="A12:G12"/>
    <mergeCell ref="H12:L12"/>
    <mergeCell ref="M20:N20"/>
    <mergeCell ref="M21:N21"/>
    <mergeCell ref="H13:L13"/>
    <mergeCell ref="H14:L14"/>
    <mergeCell ref="H16:L16"/>
    <mergeCell ref="H17:L17"/>
    <mergeCell ref="H18:L18"/>
    <mergeCell ref="H19:L19"/>
    <mergeCell ref="M19:N19"/>
    <mergeCell ref="M18:N18"/>
    <mergeCell ref="M17:N17"/>
    <mergeCell ref="H15:L15"/>
    <mergeCell ref="M14:N14"/>
    <mergeCell ref="M15:N15"/>
    <mergeCell ref="M16:N16"/>
    <mergeCell ref="M13:N13"/>
    <mergeCell ref="H4:P4"/>
    <mergeCell ref="A4:G4"/>
    <mergeCell ref="D1:G1"/>
    <mergeCell ref="I1:J1"/>
    <mergeCell ref="L1:M1"/>
    <mergeCell ref="D2:G2"/>
    <mergeCell ref="I2:J2"/>
    <mergeCell ref="L2:M2"/>
    <mergeCell ref="D3:G3"/>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6D00-000000000000}">
      <formula1>AvancementTheme</formula1>
    </dataValidation>
  </dataValidations>
  <hyperlinks>
    <hyperlink ref="O1" location="DPDV_05SC" display="PdV" xr:uid="{00000000-0004-0000-6D00-000000000000}"/>
    <hyperlink ref="P1" location="DKPI_05SC" display="KPI's" xr:uid="{00000000-0004-0000-6D00-000001000000}"/>
  </hyperlinks>
  <pageMargins left="0.70866141732283472" right="0.70866141732283472" top="0.74803149606299213" bottom="0.74803149606299213" header="0.31496062992125984" footer="0.31496062992125984"/>
  <pageSetup paperSize="9" scale="50" orientation="portrait" r:id="rId1"/>
  <headerFooter>
    <oddHeader>&amp;LPAD Methodology (c) 2013-2014&amp;RStrategic Management Workshop</oddHeader>
    <oddFooter>&amp;L&amp;F&amp;C&amp;A&amp;RSituation au : &amp;D - page : &amp;P/&amp;N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euil84">
    <tabColor theme="5" tint="0.59999389629810485"/>
    <pageSetUpPr fitToPage="1"/>
  </sheetPr>
  <dimension ref="A1:P110"/>
  <sheetViews>
    <sheetView showGridLines="0" showRowColHeaders="0" zoomScale="110" zoomScaleNormal="110" workbookViewId="0">
      <pane ySplit="6" topLeftCell="A34" activePane="bottomLeft" state="frozen"/>
      <selection activeCell="C5" sqref="C5:P5"/>
      <selection pane="bottomLeft" activeCell="C5" sqref="C5:P5"/>
    </sheetView>
  </sheetViews>
  <sheetFormatPr baseColWidth="10" defaultColWidth="11.453125" defaultRowHeight="14.5" x14ac:dyDescent="0.35"/>
  <cols>
    <col min="1" max="3" width="11.453125" style="60"/>
    <col min="4" max="4" width="10.7265625" style="60" customWidth="1"/>
    <col min="5" max="5" width="23" style="60" customWidth="1"/>
    <col min="6" max="6" width="13.1796875" style="372" customWidth="1"/>
    <col min="7" max="7" width="11.81640625" style="372" customWidth="1"/>
    <col min="8" max="8" width="10.7265625" style="372" customWidth="1"/>
    <col min="9" max="9" width="10.453125" style="372" customWidth="1"/>
    <col min="10" max="16" width="10.7265625" style="60" customWidth="1"/>
    <col min="17" max="16384" width="11.453125" style="60"/>
  </cols>
  <sheetData>
    <row r="1" spans="1:16" s="54" customFormat="1" ht="15" customHeight="1" x14ac:dyDescent="0.35">
      <c r="A1" s="1930"/>
      <c r="B1" s="1930"/>
      <c r="C1" s="1930"/>
      <c r="D1" s="3341" t="s">
        <v>5</v>
      </c>
      <c r="E1" s="3341"/>
      <c r="F1" s="3341"/>
      <c r="G1" s="3341"/>
      <c r="H1" s="1930"/>
      <c r="I1" s="3341" t="s">
        <v>6</v>
      </c>
      <c r="J1" s="3341"/>
      <c r="K1" s="1930"/>
      <c r="L1" s="3341" t="s">
        <v>9</v>
      </c>
      <c r="M1" s="3341"/>
      <c r="N1" s="1930"/>
      <c r="O1" s="2304"/>
      <c r="P1" s="2304"/>
    </row>
    <row r="2" spans="1:16" s="58" customFormat="1" ht="18" customHeight="1" x14ac:dyDescent="0.35">
      <c r="A2" s="393"/>
      <c r="B2" s="393"/>
      <c r="C2" s="393"/>
      <c r="D2" s="3342" t="s">
        <v>1924</v>
      </c>
      <c r="E2" s="3343"/>
      <c r="F2" s="3343"/>
      <c r="G2" s="3344"/>
      <c r="H2" s="395"/>
      <c r="I2" s="3345" t="s">
        <v>407</v>
      </c>
      <c r="J2" s="3346"/>
      <c r="K2" s="393"/>
      <c r="L2" s="3347">
        <v>42421.937881944446</v>
      </c>
      <c r="M2" s="3348"/>
      <c r="N2" s="394"/>
      <c r="O2" s="395"/>
      <c r="P2" s="395"/>
    </row>
    <row r="3" spans="1:16" ht="10.5" customHeight="1" thickBot="1" x14ac:dyDescent="0.4">
      <c r="A3" s="396"/>
      <c r="B3" s="396"/>
      <c r="C3" s="396"/>
      <c r="D3" s="396"/>
      <c r="E3" s="3332" t="s">
        <v>1791</v>
      </c>
      <c r="F3" s="3332"/>
      <c r="G3" s="739"/>
      <c r="H3" s="739"/>
      <c r="I3" s="739"/>
      <c r="J3" s="396"/>
      <c r="K3" s="396"/>
      <c r="L3" s="396"/>
      <c r="M3" s="396"/>
      <c r="N3" s="396"/>
      <c r="O3" s="396"/>
      <c r="P3" s="396"/>
    </row>
    <row r="4" spans="1:16" s="1" customFormat="1" ht="25.5" customHeight="1" thickBot="1" x14ac:dyDescent="0.4">
      <c r="A4" s="936"/>
      <c r="B4" s="936"/>
      <c r="C4" s="6921" t="s">
        <v>1949</v>
      </c>
      <c r="D4" s="6921"/>
      <c r="E4" s="6921"/>
      <c r="F4" s="6921"/>
      <c r="G4" s="6921"/>
      <c r="H4" s="6922" t="s">
        <v>1700</v>
      </c>
      <c r="I4" s="6922"/>
      <c r="J4" s="6922"/>
      <c r="K4" s="6922"/>
      <c r="L4" s="6922"/>
      <c r="M4" s="6922"/>
      <c r="N4" s="6922"/>
      <c r="O4" s="6922"/>
      <c r="P4" s="6923"/>
    </row>
    <row r="5" spans="1:16" s="1238" customFormat="1" ht="24.75" customHeight="1" thickBot="1" x14ac:dyDescent="0.4">
      <c r="A5" s="3439" t="s">
        <v>14</v>
      </c>
      <c r="B5" s="3439"/>
      <c r="C5" s="6924" t="s">
        <v>2246</v>
      </c>
      <c r="D5" s="6925"/>
      <c r="E5" s="6925"/>
      <c r="F5" s="6925"/>
      <c r="G5" s="6925"/>
      <c r="H5" s="6925"/>
      <c r="I5" s="6925"/>
      <c r="J5" s="6925"/>
      <c r="K5" s="6925"/>
      <c r="L5" s="6925"/>
      <c r="M5" s="6925"/>
      <c r="N5" s="6925"/>
      <c r="O5" s="6925"/>
      <c r="P5" s="6925"/>
    </row>
    <row r="6" spans="1:16" s="106" customFormat="1" ht="34.5" customHeight="1" thickTop="1" x14ac:dyDescent="0.35">
      <c r="A6" s="4243" t="s">
        <v>1701</v>
      </c>
      <c r="B6" s="4244"/>
      <c r="C6" s="4244"/>
      <c r="D6" s="4244"/>
      <c r="E6" s="4244"/>
      <c r="F6" s="1954" t="s">
        <v>1674</v>
      </c>
      <c r="G6" s="1955" t="s">
        <v>1675</v>
      </c>
      <c r="H6" s="1956" t="s">
        <v>1676</v>
      </c>
      <c r="I6" s="1956" t="s">
        <v>1677</v>
      </c>
      <c r="J6" s="6926" t="s">
        <v>18</v>
      </c>
      <c r="K6" s="6927"/>
      <c r="L6" s="6927"/>
      <c r="M6" s="6927"/>
      <c r="N6" s="6927"/>
      <c r="O6" s="6927"/>
      <c r="P6" s="6928"/>
    </row>
    <row r="7" spans="1:16" s="1937" customFormat="1" ht="6.75" customHeight="1" thickBot="1" x14ac:dyDescent="0.4">
      <c r="A7" s="4255"/>
      <c r="B7" s="4256"/>
      <c r="C7" s="4256"/>
      <c r="D7" s="4256"/>
      <c r="E7" s="4256"/>
      <c r="F7" s="4256"/>
      <c r="G7" s="4257"/>
      <c r="H7" s="4257"/>
      <c r="I7" s="4257"/>
      <c r="J7" s="4257"/>
      <c r="K7" s="4257"/>
      <c r="L7" s="4257"/>
      <c r="M7" s="4257"/>
      <c r="N7" s="4257"/>
      <c r="O7" s="1936"/>
      <c r="P7" s="833"/>
    </row>
    <row r="8" spans="1:16" s="1933" customFormat="1" ht="18" customHeight="1" thickBot="1" x14ac:dyDescent="0.4">
      <c r="A8" s="6911" t="s">
        <v>1702</v>
      </c>
      <c r="B8" s="6912"/>
      <c r="C8" s="6912"/>
      <c r="D8" s="6912"/>
      <c r="E8" s="6913"/>
      <c r="F8" s="1932"/>
      <c r="G8" s="1938"/>
      <c r="H8" s="1938"/>
      <c r="I8" s="1938"/>
      <c r="J8" s="6914"/>
      <c r="K8" s="6915"/>
      <c r="L8" s="6915"/>
      <c r="M8" s="6915"/>
      <c r="N8" s="6915"/>
      <c r="O8" s="6915"/>
      <c r="P8" s="6916"/>
    </row>
    <row r="9" spans="1:16" s="65" customFormat="1" ht="37.5" customHeight="1" x14ac:dyDescent="0.35">
      <c r="A9" s="6917" t="s">
        <v>1703</v>
      </c>
      <c r="B9" s="6918"/>
      <c r="C9" s="6918"/>
      <c r="D9" s="6918"/>
      <c r="E9" s="6918"/>
      <c r="F9" s="1940" t="s">
        <v>595</v>
      </c>
      <c r="G9" s="1939"/>
      <c r="H9" s="1939"/>
      <c r="I9" s="1940" t="s">
        <v>850</v>
      </c>
      <c r="J9" s="4215" t="s">
        <v>1704</v>
      </c>
      <c r="K9" s="4216"/>
      <c r="L9" s="4216"/>
      <c r="M9" s="4216"/>
      <c r="N9" s="4216"/>
      <c r="O9" s="4216"/>
      <c r="P9" s="4217"/>
    </row>
    <row r="10" spans="1:16" s="65" customFormat="1" ht="25.5" customHeight="1" x14ac:dyDescent="0.35">
      <c r="A10" s="6919" t="s">
        <v>1705</v>
      </c>
      <c r="B10" s="6920"/>
      <c r="C10" s="6920"/>
      <c r="D10" s="6920"/>
      <c r="E10" s="6920"/>
      <c r="F10" s="1957" t="s">
        <v>1706</v>
      </c>
      <c r="G10" s="1958"/>
      <c r="H10" s="1958"/>
      <c r="I10" s="1957"/>
      <c r="J10" s="4247" t="s">
        <v>586</v>
      </c>
      <c r="K10" s="4248"/>
      <c r="L10" s="4248"/>
      <c r="M10" s="4248"/>
      <c r="N10" s="4248"/>
      <c r="O10" s="4248"/>
      <c r="P10" s="4249"/>
    </row>
    <row r="11" spans="1:16" s="63" customFormat="1" ht="6.75" customHeight="1" x14ac:dyDescent="0.35">
      <c r="A11" s="4250"/>
      <c r="B11" s="4251"/>
      <c r="C11" s="4251"/>
      <c r="D11" s="4251"/>
      <c r="E11" s="4251"/>
      <c r="F11" s="4251"/>
      <c r="G11" s="4251"/>
      <c r="H11" s="4251"/>
      <c r="I11" s="4251"/>
      <c r="J11" s="4251"/>
      <c r="K11" s="4251"/>
      <c r="L11" s="4251"/>
      <c r="M11" s="4251"/>
      <c r="N11" s="4251"/>
      <c r="O11" s="4251"/>
      <c r="P11" s="4251"/>
    </row>
    <row r="12" spans="1:16" s="193" customFormat="1" ht="30.75" customHeight="1" x14ac:dyDescent="0.35">
      <c r="A12" s="4252" t="s">
        <v>1707</v>
      </c>
      <c r="B12" s="4253"/>
      <c r="C12" s="4253"/>
      <c r="D12" s="4253"/>
      <c r="E12" s="4254"/>
      <c r="F12" s="1946"/>
      <c r="G12" s="1946"/>
      <c r="H12" s="1946"/>
      <c r="I12" s="1946"/>
      <c r="J12" s="4235"/>
      <c r="K12" s="4236"/>
      <c r="L12" s="4236"/>
      <c r="M12" s="4236"/>
      <c r="N12" s="4236"/>
      <c r="O12" s="4236"/>
      <c r="P12" s="4237"/>
    </row>
    <row r="13" spans="1:16" s="63" customFormat="1" ht="33" customHeight="1" x14ac:dyDescent="0.35">
      <c r="A13" s="6907" t="s">
        <v>1708</v>
      </c>
      <c r="B13" s="6908"/>
      <c r="C13" s="6908"/>
      <c r="D13" s="6908"/>
      <c r="E13" s="6908"/>
      <c r="F13" s="1942"/>
      <c r="G13" s="1942"/>
      <c r="H13" s="1942"/>
      <c r="I13" s="1943"/>
      <c r="J13" s="4215"/>
      <c r="K13" s="4216"/>
      <c r="L13" s="4216"/>
      <c r="M13" s="4216"/>
      <c r="N13" s="4216"/>
      <c r="O13" s="4216"/>
      <c r="P13" s="4217"/>
    </row>
    <row r="14" spans="1:16" s="63" customFormat="1" ht="33" customHeight="1" x14ac:dyDescent="0.35">
      <c r="A14" s="6907" t="s">
        <v>1709</v>
      </c>
      <c r="B14" s="6908"/>
      <c r="C14" s="6908"/>
      <c r="D14" s="6908"/>
      <c r="E14" s="6908"/>
      <c r="F14" s="1943" t="s">
        <v>595</v>
      </c>
      <c r="G14" s="1942"/>
      <c r="H14" s="1942"/>
      <c r="I14" s="1943" t="s">
        <v>850</v>
      </c>
      <c r="J14" s="4215" t="s">
        <v>2201</v>
      </c>
      <c r="K14" s="4216"/>
      <c r="L14" s="4216"/>
      <c r="M14" s="4216"/>
      <c r="N14" s="4216"/>
      <c r="O14" s="4216"/>
      <c r="P14" s="4217"/>
    </row>
    <row r="15" spans="1:16" s="63" customFormat="1" ht="17.149999999999999" customHeight="1" x14ac:dyDescent="0.35">
      <c r="A15" s="4218" t="s">
        <v>1710</v>
      </c>
      <c r="B15" s="4219"/>
      <c r="C15" s="4219"/>
      <c r="D15" s="4219"/>
      <c r="E15" s="4219"/>
      <c r="F15" s="1942" t="s">
        <v>1711</v>
      </c>
      <c r="G15" s="1942"/>
      <c r="H15" s="1942"/>
      <c r="I15" s="1943"/>
      <c r="J15" s="4215" t="s">
        <v>1712</v>
      </c>
      <c r="K15" s="4216"/>
      <c r="L15" s="4216"/>
      <c r="M15" s="4216"/>
      <c r="N15" s="4216"/>
      <c r="O15" s="4216"/>
      <c r="P15" s="4217"/>
    </row>
    <row r="16" spans="1:16" s="63" customFormat="1" ht="33.75" customHeight="1" x14ac:dyDescent="0.35">
      <c r="A16" s="6909" t="s">
        <v>1713</v>
      </c>
      <c r="B16" s="6910"/>
      <c r="C16" s="6910"/>
      <c r="D16" s="6910"/>
      <c r="E16" s="6910"/>
      <c r="F16" s="1942" t="s">
        <v>1711</v>
      </c>
      <c r="G16" s="1942"/>
      <c r="H16" s="1942"/>
      <c r="I16" s="1943" t="s">
        <v>2198</v>
      </c>
      <c r="J16" s="4215" t="s">
        <v>2247</v>
      </c>
      <c r="K16" s="4216"/>
      <c r="L16" s="4216"/>
      <c r="M16" s="4216"/>
      <c r="N16" s="4216"/>
      <c r="O16" s="4216"/>
      <c r="P16" s="4217"/>
    </row>
    <row r="17" spans="1:16" s="63" customFormat="1" ht="17.149999999999999" customHeight="1" x14ac:dyDescent="0.35">
      <c r="A17" s="4218" t="s">
        <v>1714</v>
      </c>
      <c r="B17" s="4219"/>
      <c r="C17" s="4219"/>
      <c r="D17" s="4219"/>
      <c r="E17" s="4219"/>
      <c r="F17" s="1942" t="s">
        <v>1711</v>
      </c>
      <c r="G17" s="1942"/>
      <c r="H17" s="1942"/>
      <c r="I17" s="1943" t="s">
        <v>850</v>
      </c>
      <c r="J17" s="4215" t="s">
        <v>1715</v>
      </c>
      <c r="K17" s="4216"/>
      <c r="L17" s="4216"/>
      <c r="M17" s="4216"/>
      <c r="N17" s="4216"/>
      <c r="O17" s="4216"/>
      <c r="P17" s="4217"/>
    </row>
    <row r="18" spans="1:16" s="63" customFormat="1" ht="17.149999999999999" customHeight="1" x14ac:dyDescent="0.35">
      <c r="A18" s="4218" t="s">
        <v>1716</v>
      </c>
      <c r="B18" s="4219"/>
      <c r="C18" s="4219"/>
      <c r="D18" s="4219"/>
      <c r="E18" s="4219"/>
      <c r="F18" s="1942" t="s">
        <v>1711</v>
      </c>
      <c r="G18" s="1942"/>
      <c r="H18" s="1942"/>
      <c r="I18" s="1943" t="s">
        <v>850</v>
      </c>
      <c r="J18" s="4215" t="s">
        <v>1717</v>
      </c>
      <c r="K18" s="4216"/>
      <c r="L18" s="4216"/>
      <c r="M18" s="4216"/>
      <c r="N18" s="4216"/>
      <c r="O18" s="4216"/>
      <c r="P18" s="4217"/>
    </row>
    <row r="19" spans="1:16" s="63" customFormat="1" ht="17.149999999999999" customHeight="1" x14ac:dyDescent="0.35">
      <c r="A19" s="4218" t="s">
        <v>1718</v>
      </c>
      <c r="B19" s="4219"/>
      <c r="C19" s="4219"/>
      <c r="D19" s="4219"/>
      <c r="E19" s="4219"/>
      <c r="F19" s="1942" t="s">
        <v>1711</v>
      </c>
      <c r="G19" s="1942"/>
      <c r="H19" s="1942"/>
      <c r="I19" s="1943" t="s">
        <v>850</v>
      </c>
      <c r="J19" s="4215" t="s">
        <v>1719</v>
      </c>
      <c r="K19" s="4216"/>
      <c r="L19" s="4216"/>
      <c r="M19" s="4216"/>
      <c r="N19" s="4216"/>
      <c r="O19" s="4216"/>
      <c r="P19" s="4217"/>
    </row>
    <row r="20" spans="1:16" s="63" customFormat="1" ht="17.149999999999999" customHeight="1" x14ac:dyDescent="0.35">
      <c r="A20" s="4218" t="s">
        <v>1720</v>
      </c>
      <c r="B20" s="4219"/>
      <c r="C20" s="4219"/>
      <c r="D20" s="4219"/>
      <c r="E20" s="4219"/>
      <c r="F20" s="1942" t="s">
        <v>1711</v>
      </c>
      <c r="G20" s="1942"/>
      <c r="H20" s="1942"/>
      <c r="I20" s="1943" t="s">
        <v>850</v>
      </c>
      <c r="J20" s="4215" t="s">
        <v>1721</v>
      </c>
      <c r="K20" s="4216"/>
      <c r="L20" s="4216"/>
      <c r="M20" s="4216"/>
      <c r="N20" s="4216"/>
      <c r="O20" s="4216"/>
      <c r="P20" s="4217"/>
    </row>
    <row r="21" spans="1:16" s="1933" customFormat="1" ht="18" customHeight="1" x14ac:dyDescent="0.35">
      <c r="A21" s="4238" t="s">
        <v>1722</v>
      </c>
      <c r="B21" s="4239"/>
      <c r="C21" s="4239"/>
      <c r="D21" s="4239"/>
      <c r="E21" s="4240"/>
      <c r="F21" s="1942" t="s">
        <v>1711</v>
      </c>
      <c r="G21" s="1942"/>
      <c r="H21" s="1942"/>
      <c r="I21" s="1943" t="s">
        <v>850</v>
      </c>
      <c r="J21" s="4215" t="s">
        <v>1723</v>
      </c>
      <c r="K21" s="4216"/>
      <c r="L21" s="4216"/>
      <c r="M21" s="4216"/>
      <c r="N21" s="4216"/>
      <c r="O21" s="4216"/>
      <c r="P21" s="4217"/>
    </row>
    <row r="22" spans="1:16" s="63" customFormat="1" ht="17.149999999999999" customHeight="1" x14ac:dyDescent="0.35">
      <c r="A22" s="4241"/>
      <c r="B22" s="4242"/>
      <c r="C22" s="4242"/>
      <c r="D22" s="4242"/>
      <c r="E22" s="4242"/>
      <c r="F22" s="1942"/>
      <c r="G22" s="1942"/>
      <c r="H22" s="1942"/>
      <c r="I22" s="1943"/>
      <c r="J22" s="4215"/>
      <c r="K22" s="4216"/>
      <c r="L22" s="4216"/>
      <c r="M22" s="4216"/>
      <c r="N22" s="4216"/>
      <c r="O22" s="4216"/>
      <c r="P22" s="4217"/>
    </row>
    <row r="23" spans="1:16" s="63" customFormat="1" ht="6.75" customHeight="1" thickBot="1" x14ac:dyDescent="0.4">
      <c r="A23" s="4223"/>
      <c r="B23" s="4224"/>
      <c r="C23" s="4224"/>
      <c r="D23" s="4224"/>
      <c r="E23" s="4224"/>
      <c r="F23" s="4224"/>
      <c r="G23" s="4224"/>
      <c r="H23" s="4224"/>
      <c r="I23" s="4224"/>
      <c r="J23" s="4224"/>
      <c r="K23" s="4224"/>
      <c r="L23" s="4224"/>
      <c r="M23" s="4224"/>
      <c r="N23" s="4224"/>
      <c r="O23" s="4224"/>
      <c r="P23" s="4224"/>
    </row>
    <row r="24" spans="1:16" s="106" customFormat="1" ht="25.5" customHeight="1" thickTop="1" x14ac:dyDescent="0.35">
      <c r="A24" s="4243" t="s">
        <v>1724</v>
      </c>
      <c r="B24" s="4244"/>
      <c r="C24" s="4244"/>
      <c r="D24" s="4244"/>
      <c r="E24" s="4244"/>
      <c r="F24" s="1946"/>
      <c r="G24" s="1946"/>
      <c r="H24" s="1946"/>
      <c r="I24" s="1946"/>
      <c r="J24" s="4235"/>
      <c r="K24" s="4236"/>
      <c r="L24" s="4236"/>
      <c r="M24" s="4236"/>
      <c r="N24" s="4236"/>
      <c r="O24" s="4236"/>
      <c r="P24" s="4237"/>
    </row>
    <row r="25" spans="1:16" s="63" customFormat="1" ht="33" customHeight="1" x14ac:dyDescent="0.35">
      <c r="A25" s="6907" t="s">
        <v>1708</v>
      </c>
      <c r="B25" s="6908"/>
      <c r="C25" s="6908"/>
      <c r="D25" s="6908"/>
      <c r="E25" s="6908"/>
      <c r="F25" s="1942"/>
      <c r="G25" s="1942"/>
      <c r="H25" s="1942"/>
      <c r="I25" s="1943"/>
      <c r="J25" s="4215"/>
      <c r="K25" s="4216"/>
      <c r="L25" s="4216"/>
      <c r="M25" s="4216"/>
      <c r="N25" s="4216"/>
      <c r="O25" s="4216"/>
      <c r="P25" s="4217"/>
    </row>
    <row r="26" spans="1:16" s="63" customFormat="1" ht="21" customHeight="1" x14ac:dyDescent="0.35">
      <c r="A26" s="6909" t="s">
        <v>1725</v>
      </c>
      <c r="B26" s="6910"/>
      <c r="C26" s="6910"/>
      <c r="D26" s="6910"/>
      <c r="E26" s="6910"/>
      <c r="F26" s="1942" t="s">
        <v>1711</v>
      </c>
      <c r="G26" s="1942"/>
      <c r="H26" s="1942"/>
      <c r="I26" s="1943" t="s">
        <v>850</v>
      </c>
      <c r="J26" s="4215" t="s">
        <v>1726</v>
      </c>
      <c r="K26" s="4216"/>
      <c r="L26" s="4216"/>
      <c r="M26" s="4216"/>
      <c r="N26" s="4216"/>
      <c r="O26" s="4216"/>
      <c r="P26" s="4217"/>
    </row>
    <row r="27" spans="1:16" s="63" customFormat="1" ht="17.149999999999999" customHeight="1" x14ac:dyDescent="0.35">
      <c r="A27" s="4218" t="s">
        <v>1727</v>
      </c>
      <c r="B27" s="4219"/>
      <c r="C27" s="4219"/>
      <c r="D27" s="4219"/>
      <c r="E27" s="4219"/>
      <c r="F27" s="1942" t="s">
        <v>1711</v>
      </c>
      <c r="G27" s="1942"/>
      <c r="H27" s="1942"/>
      <c r="I27" s="1943" t="s">
        <v>850</v>
      </c>
      <c r="J27" s="4215" t="s">
        <v>1728</v>
      </c>
      <c r="K27" s="4216"/>
      <c r="L27" s="4216"/>
      <c r="M27" s="4216"/>
      <c r="N27" s="4216"/>
      <c r="O27" s="4216"/>
      <c r="P27" s="4217"/>
    </row>
    <row r="28" spans="1:16" s="63" customFormat="1" ht="17.149999999999999" customHeight="1" x14ac:dyDescent="0.35">
      <c r="A28" s="4218" t="s">
        <v>1729</v>
      </c>
      <c r="B28" s="4219"/>
      <c r="C28" s="4219"/>
      <c r="D28" s="4219"/>
      <c r="E28" s="4219"/>
      <c r="F28" s="1942" t="s">
        <v>1711</v>
      </c>
      <c r="G28" s="1942"/>
      <c r="H28" s="1942"/>
      <c r="I28" s="1943" t="s">
        <v>850</v>
      </c>
      <c r="J28" s="4215" t="s">
        <v>1730</v>
      </c>
      <c r="K28" s="4216"/>
      <c r="L28" s="4216"/>
      <c r="M28" s="4216"/>
      <c r="N28" s="4216"/>
      <c r="O28" s="4216"/>
      <c r="P28" s="4217"/>
    </row>
    <row r="29" spans="1:16" s="63" customFormat="1" ht="17.149999999999999" customHeight="1" x14ac:dyDescent="0.35">
      <c r="A29" s="4218" t="s">
        <v>1731</v>
      </c>
      <c r="B29" s="4219"/>
      <c r="C29" s="4219"/>
      <c r="D29" s="4219"/>
      <c r="E29" s="4219"/>
      <c r="F29" s="1942" t="s">
        <v>1711</v>
      </c>
      <c r="G29" s="1942"/>
      <c r="H29" s="1942"/>
      <c r="I29" s="1943" t="s">
        <v>850</v>
      </c>
      <c r="J29" s="4215" t="s">
        <v>1730</v>
      </c>
      <c r="K29" s="4216"/>
      <c r="L29" s="4216"/>
      <c r="M29" s="4216"/>
      <c r="N29" s="4216"/>
      <c r="O29" s="4216"/>
      <c r="P29" s="4217"/>
    </row>
    <row r="30" spans="1:16" s="63" customFormat="1" ht="17.149999999999999" customHeight="1" x14ac:dyDescent="0.35">
      <c r="A30" s="4218" t="s">
        <v>1732</v>
      </c>
      <c r="B30" s="4219"/>
      <c r="C30" s="4219"/>
      <c r="D30" s="4219"/>
      <c r="E30" s="4219"/>
      <c r="F30" s="1942" t="s">
        <v>1711</v>
      </c>
      <c r="G30" s="1942"/>
      <c r="H30" s="1942"/>
      <c r="I30" s="1943"/>
      <c r="J30" s="4215" t="s">
        <v>1733</v>
      </c>
      <c r="K30" s="4216"/>
      <c r="L30" s="4216"/>
      <c r="M30" s="4216"/>
      <c r="N30" s="4216"/>
      <c r="O30" s="4216"/>
      <c r="P30" s="4217"/>
    </row>
    <row r="31" spans="1:16" s="63" customFormat="1" ht="17.149999999999999" customHeight="1" x14ac:dyDescent="0.35">
      <c r="A31" s="4218" t="s">
        <v>1734</v>
      </c>
      <c r="B31" s="4219"/>
      <c r="C31" s="4219"/>
      <c r="D31" s="4219"/>
      <c r="E31" s="4219"/>
      <c r="F31" s="1942" t="s">
        <v>1711</v>
      </c>
      <c r="G31" s="1942"/>
      <c r="H31" s="1942"/>
      <c r="I31" s="1943"/>
      <c r="J31" s="4215" t="s">
        <v>1735</v>
      </c>
      <c r="K31" s="4216"/>
      <c r="L31" s="4216"/>
      <c r="M31" s="4216"/>
      <c r="N31" s="4216"/>
      <c r="O31" s="4216"/>
      <c r="P31" s="4217"/>
    </row>
    <row r="32" spans="1:16" s="63" customFormat="1" ht="17.149999999999999" customHeight="1" x14ac:dyDescent="0.35">
      <c r="A32" s="4218" t="s">
        <v>1736</v>
      </c>
      <c r="B32" s="4219"/>
      <c r="C32" s="4219"/>
      <c r="D32" s="4219"/>
      <c r="E32" s="4219"/>
      <c r="F32" s="1942" t="s">
        <v>1711</v>
      </c>
      <c r="G32" s="1942"/>
      <c r="H32" s="1942"/>
      <c r="I32" s="1943"/>
      <c r="J32" s="4215" t="s">
        <v>1737</v>
      </c>
      <c r="K32" s="4216"/>
      <c r="L32" s="4216"/>
      <c r="M32" s="4216"/>
      <c r="N32" s="4216"/>
      <c r="O32" s="4216"/>
      <c r="P32" s="4217"/>
    </row>
    <row r="33" spans="1:16" s="63" customFormat="1" ht="17.149999999999999" customHeight="1" x14ac:dyDescent="0.35">
      <c r="A33" s="4218"/>
      <c r="B33" s="4219"/>
      <c r="C33" s="4219"/>
      <c r="D33" s="4219"/>
      <c r="E33" s="4219"/>
      <c r="F33" s="1942"/>
      <c r="G33" s="1942"/>
      <c r="H33" s="1942"/>
      <c r="I33" s="1943"/>
      <c r="J33" s="4215"/>
      <c r="K33" s="4216"/>
      <c r="L33" s="4216"/>
      <c r="M33" s="4216"/>
      <c r="N33" s="4216"/>
      <c r="O33" s="4216"/>
      <c r="P33" s="4217"/>
    </row>
    <row r="34" spans="1:16" s="63" customFormat="1" ht="17.149999999999999" customHeight="1" x14ac:dyDescent="0.35">
      <c r="A34" s="4218"/>
      <c r="B34" s="4219"/>
      <c r="C34" s="4219"/>
      <c r="D34" s="4219"/>
      <c r="E34" s="4219"/>
      <c r="F34" s="1942"/>
      <c r="G34" s="1942"/>
      <c r="H34" s="1942"/>
      <c r="I34" s="1943"/>
      <c r="J34" s="4215"/>
      <c r="K34" s="4216"/>
      <c r="L34" s="4216"/>
      <c r="M34" s="4216"/>
      <c r="N34" s="4216"/>
      <c r="O34" s="4216"/>
      <c r="P34" s="4217"/>
    </row>
    <row r="35" spans="1:16" s="63" customFormat="1" ht="17.149999999999999" customHeight="1" x14ac:dyDescent="0.35">
      <c r="A35" s="4218"/>
      <c r="B35" s="4219"/>
      <c r="C35" s="4219"/>
      <c r="D35" s="4219"/>
      <c r="E35" s="4219"/>
      <c r="F35" s="1942"/>
      <c r="G35" s="1942"/>
      <c r="H35" s="1942"/>
      <c r="I35" s="1943"/>
      <c r="J35" s="1947"/>
      <c r="K35" s="1941"/>
      <c r="L35" s="1941"/>
      <c r="M35" s="1941"/>
      <c r="N35" s="1941"/>
      <c r="O35" s="1941"/>
      <c r="P35" s="1948"/>
    </row>
    <row r="36" spans="1:16" s="63" customFormat="1" ht="17.149999999999999" customHeight="1" x14ac:dyDescent="0.35">
      <c r="A36" s="4218"/>
      <c r="B36" s="4219"/>
      <c r="C36" s="4219"/>
      <c r="D36" s="4219"/>
      <c r="E36" s="4219"/>
      <c r="F36" s="1942"/>
      <c r="G36" s="1942"/>
      <c r="H36" s="1944"/>
      <c r="I36" s="1945"/>
      <c r="J36" s="4220"/>
      <c r="K36" s="4221"/>
      <c r="L36" s="4221"/>
      <c r="M36" s="4221"/>
      <c r="N36" s="4221"/>
      <c r="O36" s="4221"/>
      <c r="P36" s="4222"/>
    </row>
    <row r="37" spans="1:16" s="63" customFormat="1" ht="6.75" customHeight="1" thickBot="1" x14ac:dyDescent="0.4">
      <c r="A37" s="4223"/>
      <c r="B37" s="4224"/>
      <c r="C37" s="4224"/>
      <c r="D37" s="4224"/>
      <c r="E37" s="4224"/>
      <c r="F37" s="4224"/>
      <c r="G37" s="4224"/>
      <c r="H37" s="4224"/>
      <c r="I37" s="4224"/>
      <c r="J37" s="4224"/>
      <c r="K37" s="4224"/>
      <c r="L37" s="4224"/>
      <c r="M37" s="4224"/>
      <c r="N37" s="4224"/>
      <c r="O37" s="4224"/>
      <c r="P37" s="4224"/>
    </row>
    <row r="38" spans="1:16" s="1933" customFormat="1" ht="18" customHeight="1" x14ac:dyDescent="0.35">
      <c r="A38" s="4225" t="s">
        <v>1738</v>
      </c>
      <c r="B38" s="4226"/>
      <c r="C38" s="4226"/>
      <c r="D38" s="4226"/>
      <c r="E38" s="4226"/>
      <c r="F38" s="4226"/>
      <c r="G38" s="4226"/>
      <c r="H38" s="4226"/>
      <c r="I38" s="4226"/>
      <c r="J38" s="4226"/>
      <c r="K38" s="4226"/>
      <c r="L38" s="4226"/>
      <c r="M38" s="4226"/>
      <c r="N38" s="4226"/>
      <c r="O38" s="4226"/>
      <c r="P38" s="4227"/>
    </row>
    <row r="39" spans="1:16" s="63" customFormat="1" ht="33" customHeight="1" x14ac:dyDescent="0.35">
      <c r="A39" s="6907" t="s">
        <v>1708</v>
      </c>
      <c r="B39" s="6908"/>
      <c r="C39" s="6908"/>
      <c r="D39" s="6908"/>
      <c r="E39" s="6908"/>
      <c r="F39" s="1942"/>
      <c r="G39" s="1942"/>
      <c r="H39" s="1942"/>
      <c r="I39" s="1943"/>
      <c r="J39" s="4215"/>
      <c r="K39" s="4216"/>
      <c r="L39" s="4216"/>
      <c r="M39" s="4216"/>
      <c r="N39" s="4216"/>
      <c r="O39" s="4216"/>
      <c r="P39" s="4217"/>
    </row>
    <row r="40" spans="1:16" s="63" customFormat="1" ht="17.149999999999999" customHeight="1" x14ac:dyDescent="0.35">
      <c r="A40" s="4218" t="s">
        <v>1691</v>
      </c>
      <c r="B40" s="4228"/>
      <c r="C40" s="4228"/>
      <c r="D40" s="4228"/>
      <c r="E40" s="4228"/>
      <c r="F40" s="1942" t="s">
        <v>1706</v>
      </c>
      <c r="G40" s="1942"/>
      <c r="H40" s="1942"/>
      <c r="I40" s="1943" t="s">
        <v>850</v>
      </c>
      <c r="J40" s="4215" t="s">
        <v>2202</v>
      </c>
      <c r="K40" s="4216"/>
      <c r="L40" s="4216"/>
      <c r="M40" s="4216"/>
      <c r="N40" s="4216"/>
      <c r="O40" s="4216"/>
      <c r="P40" s="4229"/>
    </row>
    <row r="41" spans="1:16" s="63" customFormat="1" ht="17.149999999999999" customHeight="1" x14ac:dyDescent="0.35">
      <c r="A41" s="4218" t="s">
        <v>962</v>
      </c>
      <c r="B41" s="4228"/>
      <c r="C41" s="4228"/>
      <c r="D41" s="4228"/>
      <c r="E41" s="4228"/>
      <c r="F41" s="1942" t="s">
        <v>1706</v>
      </c>
      <c r="G41" s="1942"/>
      <c r="H41" s="1942"/>
      <c r="I41" s="1943" t="s">
        <v>850</v>
      </c>
      <c r="J41" s="4215" t="s">
        <v>1692</v>
      </c>
      <c r="K41" s="4216"/>
      <c r="L41" s="4216"/>
      <c r="M41" s="4216"/>
      <c r="N41" s="4216"/>
      <c r="O41" s="4216"/>
      <c r="P41" s="4229"/>
    </row>
    <row r="42" spans="1:16" s="63" customFormat="1" ht="17.149999999999999" customHeight="1" x14ac:dyDescent="0.35">
      <c r="A42" s="4218" t="s">
        <v>1739</v>
      </c>
      <c r="B42" s="4228"/>
      <c r="C42" s="4228"/>
      <c r="D42" s="4228"/>
      <c r="E42" s="4228"/>
      <c r="F42" s="1942" t="s">
        <v>1706</v>
      </c>
      <c r="G42" s="1942"/>
      <c r="H42" s="1942"/>
      <c r="I42" s="1943" t="s">
        <v>850</v>
      </c>
      <c r="J42" s="4215" t="s">
        <v>1694</v>
      </c>
      <c r="K42" s="4216"/>
      <c r="L42" s="4216"/>
      <c r="M42" s="4216"/>
      <c r="N42" s="4216"/>
      <c r="O42" s="4216"/>
      <c r="P42" s="4229"/>
    </row>
    <row r="43" spans="1:16" s="63" customFormat="1" ht="17.149999999999999" customHeight="1" x14ac:dyDescent="0.35">
      <c r="A43" s="4218" t="s">
        <v>1740</v>
      </c>
      <c r="B43" s="4228"/>
      <c r="C43" s="4228"/>
      <c r="D43" s="4228"/>
      <c r="E43" s="4228"/>
      <c r="F43" s="1942" t="s">
        <v>1706</v>
      </c>
      <c r="G43" s="1942"/>
      <c r="H43" s="1942"/>
      <c r="I43" s="1943" t="s">
        <v>850</v>
      </c>
      <c r="J43" s="4215" t="s">
        <v>1694</v>
      </c>
      <c r="K43" s="4216"/>
      <c r="L43" s="4216"/>
      <c r="M43" s="4216"/>
      <c r="N43" s="4216"/>
      <c r="O43" s="4216"/>
      <c r="P43" s="4229"/>
    </row>
    <row r="44" spans="1:16" s="63" customFormat="1" ht="17.149999999999999" customHeight="1" x14ac:dyDescent="0.35">
      <c r="A44" s="4232" t="s">
        <v>1625</v>
      </c>
      <c r="B44" s="4233"/>
      <c r="C44" s="4233"/>
      <c r="D44" s="4233"/>
      <c r="E44" s="4233"/>
      <c r="F44" s="1942" t="s">
        <v>1706</v>
      </c>
      <c r="G44" s="1942"/>
      <c r="H44" s="1942"/>
      <c r="I44" s="1943"/>
      <c r="J44" s="4215"/>
      <c r="K44" s="4216"/>
      <c r="L44" s="4216"/>
      <c r="M44" s="4216"/>
      <c r="N44" s="4216"/>
      <c r="O44" s="4216"/>
      <c r="P44" s="4229"/>
    </row>
    <row r="45" spans="1:16" s="63" customFormat="1" ht="18.75" customHeight="1" x14ac:dyDescent="0.35">
      <c r="A45" s="6907" t="s">
        <v>1367</v>
      </c>
      <c r="B45" s="6908"/>
      <c r="C45" s="6908"/>
      <c r="D45" s="6908"/>
      <c r="E45" s="6908"/>
      <c r="F45" s="1942" t="s">
        <v>1706</v>
      </c>
      <c r="G45" s="1942"/>
      <c r="H45" s="1942"/>
      <c r="I45" s="1943"/>
      <c r="J45" s="4215"/>
      <c r="K45" s="4216"/>
      <c r="L45" s="4216"/>
      <c r="M45" s="4216"/>
      <c r="N45" s="4216"/>
      <c r="O45" s="4216"/>
      <c r="P45" s="4217"/>
    </row>
    <row r="46" spans="1:16" s="63" customFormat="1" ht="17.149999999999999" customHeight="1" x14ac:dyDescent="0.35">
      <c r="A46" s="4218" t="s">
        <v>1741</v>
      </c>
      <c r="B46" s="4228"/>
      <c r="C46" s="4228"/>
      <c r="D46" s="4228"/>
      <c r="E46" s="4228"/>
      <c r="F46" s="1942" t="s">
        <v>1706</v>
      </c>
      <c r="G46" s="1942"/>
      <c r="H46" s="1942"/>
      <c r="I46" s="1943" t="s">
        <v>850</v>
      </c>
      <c r="J46" s="4215" t="s">
        <v>1694</v>
      </c>
      <c r="K46" s="4216"/>
      <c r="L46" s="4216"/>
      <c r="M46" s="4216"/>
      <c r="N46" s="4216"/>
      <c r="O46" s="4216"/>
      <c r="P46" s="4229"/>
    </row>
    <row r="47" spans="1:16" s="63" customFormat="1" ht="17.149999999999999" customHeight="1" x14ac:dyDescent="0.35">
      <c r="A47" s="4218" t="s">
        <v>1629</v>
      </c>
      <c r="B47" s="4228"/>
      <c r="C47" s="4228"/>
      <c r="D47" s="4228"/>
      <c r="E47" s="4228"/>
      <c r="F47" s="1942" t="s">
        <v>1706</v>
      </c>
      <c r="G47" s="1942"/>
      <c r="H47" s="1942"/>
      <c r="I47" s="1943"/>
      <c r="J47" s="4215" t="s">
        <v>1692</v>
      </c>
      <c r="K47" s="4216"/>
      <c r="L47" s="4216"/>
      <c r="M47" s="4216"/>
      <c r="N47" s="4216"/>
      <c r="O47" s="4216"/>
      <c r="P47" s="4229"/>
    </row>
    <row r="48" spans="1:16" s="63" customFormat="1" ht="17.149999999999999" customHeight="1" x14ac:dyDescent="0.35">
      <c r="A48" s="4218" t="s">
        <v>1742</v>
      </c>
      <c r="B48" s="4228"/>
      <c r="C48" s="4228"/>
      <c r="D48" s="4228"/>
      <c r="E48" s="4228"/>
      <c r="F48" s="1959" t="s">
        <v>1743</v>
      </c>
      <c r="G48" s="1942"/>
      <c r="H48" s="1942"/>
      <c r="I48" s="1943"/>
      <c r="J48" s="4215"/>
      <c r="K48" s="4216"/>
      <c r="L48" s="4216"/>
      <c r="M48" s="4216"/>
      <c r="N48" s="4216"/>
      <c r="O48" s="4216"/>
      <c r="P48" s="4229"/>
    </row>
    <row r="49" spans="1:16" s="63" customFormat="1" ht="17.149999999999999" customHeight="1" x14ac:dyDescent="0.35">
      <c r="A49" s="4218" t="s">
        <v>1744</v>
      </c>
      <c r="B49" s="4228"/>
      <c r="C49" s="4228"/>
      <c r="D49" s="4228"/>
      <c r="E49" s="4228"/>
      <c r="F49" s="1959" t="s">
        <v>1743</v>
      </c>
      <c r="G49" s="1942"/>
      <c r="H49" s="1942"/>
      <c r="I49" s="1943"/>
      <c r="J49" s="4215"/>
      <c r="K49" s="4216"/>
      <c r="L49" s="4216"/>
      <c r="M49" s="4216"/>
      <c r="N49" s="4216"/>
      <c r="O49" s="4216"/>
      <c r="P49" s="4229"/>
    </row>
    <row r="50" spans="1:16" s="63" customFormat="1" ht="17.149999999999999" customHeight="1" x14ac:dyDescent="0.35">
      <c r="A50" s="4232"/>
      <c r="B50" s="4233"/>
      <c r="C50" s="4233"/>
      <c r="D50" s="4233"/>
      <c r="E50" s="4233"/>
      <c r="F50" s="1944"/>
      <c r="G50" s="1944"/>
      <c r="H50" s="1944"/>
      <c r="I50" s="1945"/>
      <c r="J50" s="4220"/>
      <c r="K50" s="4221"/>
      <c r="L50" s="4221"/>
      <c r="M50" s="4221"/>
      <c r="N50" s="4221"/>
      <c r="O50" s="4221"/>
      <c r="P50" s="4234"/>
    </row>
    <row r="51" spans="1:16" s="63" customFormat="1" ht="6.75" customHeight="1" x14ac:dyDescent="0.35">
      <c r="A51" s="4230"/>
      <c r="B51" s="4231"/>
      <c r="C51" s="4231"/>
      <c r="D51" s="4231"/>
      <c r="E51" s="4231"/>
      <c r="F51" s="4231"/>
      <c r="G51" s="4231"/>
      <c r="H51" s="4231"/>
      <c r="I51" s="4231"/>
      <c r="J51" s="4231"/>
      <c r="K51" s="4231"/>
      <c r="L51" s="4231"/>
      <c r="M51" s="4231"/>
      <c r="N51" s="4231"/>
      <c r="O51" s="4231"/>
      <c r="P51" s="4231"/>
    </row>
    <row r="52" spans="1:16" s="63" customFormat="1" x14ac:dyDescent="0.35">
      <c r="A52" s="463"/>
      <c r="B52" s="463"/>
      <c r="C52" s="463"/>
      <c r="D52" s="463"/>
      <c r="E52" s="463"/>
      <c r="F52" s="1931"/>
      <c r="G52" s="1931"/>
      <c r="H52" s="1931"/>
      <c r="I52" s="1931"/>
      <c r="J52" s="463"/>
      <c r="K52" s="463"/>
      <c r="L52" s="463"/>
      <c r="M52" s="463"/>
      <c r="N52" s="463"/>
      <c r="O52" s="463"/>
      <c r="P52" s="463"/>
    </row>
    <row r="53" spans="1:16" s="63" customFormat="1" x14ac:dyDescent="0.35">
      <c r="A53" s="463"/>
      <c r="B53" s="463"/>
      <c r="C53" s="463"/>
      <c r="D53" s="463"/>
      <c r="E53" s="463"/>
      <c r="F53" s="1931"/>
      <c r="G53" s="1931"/>
      <c r="H53" s="1931"/>
      <c r="I53" s="1931"/>
      <c r="J53" s="463"/>
      <c r="K53" s="463"/>
      <c r="L53" s="463"/>
      <c r="M53" s="463"/>
      <c r="N53" s="463"/>
      <c r="O53" s="463"/>
      <c r="P53" s="463"/>
    </row>
    <row r="54" spans="1:16" s="63" customFormat="1" x14ac:dyDescent="0.35">
      <c r="A54" s="463"/>
      <c r="B54" s="463"/>
      <c r="C54" s="463"/>
      <c r="D54" s="463"/>
      <c r="E54" s="463"/>
      <c r="F54" s="1931"/>
      <c r="G54" s="1931"/>
      <c r="H54" s="1931"/>
      <c r="I54" s="1931"/>
      <c r="J54" s="463"/>
      <c r="K54" s="463"/>
      <c r="L54" s="463"/>
      <c r="M54" s="463"/>
      <c r="N54" s="463"/>
      <c r="O54" s="463"/>
      <c r="P54" s="463"/>
    </row>
    <row r="55" spans="1:16" s="63" customFormat="1" x14ac:dyDescent="0.35">
      <c r="A55" s="463"/>
      <c r="B55" s="463"/>
      <c r="C55" s="463"/>
      <c r="D55" s="463"/>
      <c r="E55" s="463"/>
      <c r="F55" s="1931"/>
      <c r="G55" s="1931"/>
      <c r="H55" s="1931"/>
      <c r="I55" s="1931"/>
      <c r="J55" s="463"/>
      <c r="K55" s="463"/>
      <c r="L55" s="463"/>
      <c r="M55" s="463"/>
      <c r="N55" s="463"/>
      <c r="O55" s="463"/>
      <c r="P55" s="463"/>
    </row>
    <row r="56" spans="1:16" s="63" customFormat="1" x14ac:dyDescent="0.35">
      <c r="A56" s="463"/>
      <c r="B56" s="463"/>
      <c r="C56" s="463"/>
      <c r="D56" s="463"/>
      <c r="E56" s="463"/>
      <c r="F56" s="1931"/>
      <c r="G56" s="1931"/>
      <c r="H56" s="1931"/>
      <c r="I56" s="1931"/>
      <c r="J56" s="463"/>
      <c r="K56" s="463"/>
      <c r="L56" s="463"/>
      <c r="M56" s="463"/>
      <c r="N56" s="463"/>
      <c r="O56" s="463"/>
      <c r="P56" s="463"/>
    </row>
    <row r="57" spans="1:16" s="63" customFormat="1" x14ac:dyDescent="0.35">
      <c r="A57" s="463"/>
      <c r="B57" s="463"/>
      <c r="C57" s="463"/>
      <c r="D57" s="463"/>
      <c r="E57" s="463"/>
      <c r="F57" s="1931"/>
      <c r="G57" s="1931"/>
      <c r="H57" s="1931"/>
      <c r="I57" s="1931"/>
      <c r="J57" s="463"/>
      <c r="K57" s="463"/>
      <c r="L57" s="463"/>
      <c r="M57" s="463"/>
      <c r="N57" s="463"/>
      <c r="O57" s="463"/>
      <c r="P57" s="463"/>
    </row>
    <row r="58" spans="1:16" s="63" customFormat="1" x14ac:dyDescent="0.35">
      <c r="A58" s="463"/>
      <c r="B58" s="463"/>
      <c r="C58" s="463"/>
      <c r="D58" s="463"/>
      <c r="E58" s="463"/>
      <c r="F58" s="1931"/>
      <c r="G58" s="1931"/>
      <c r="H58" s="1931"/>
      <c r="I58" s="1931"/>
      <c r="J58" s="463"/>
      <c r="K58" s="463"/>
      <c r="L58" s="463"/>
      <c r="M58" s="463"/>
      <c r="N58" s="463"/>
      <c r="O58" s="463"/>
      <c r="P58" s="463"/>
    </row>
    <row r="59" spans="1:16" s="63" customFormat="1" x14ac:dyDescent="0.35">
      <c r="A59" s="463"/>
      <c r="B59" s="463"/>
      <c r="C59" s="463"/>
      <c r="D59" s="463"/>
      <c r="E59" s="463"/>
      <c r="F59" s="1931"/>
      <c r="G59" s="1931"/>
      <c r="H59" s="1931"/>
      <c r="I59" s="1931"/>
      <c r="J59" s="463"/>
      <c r="K59" s="463"/>
      <c r="L59" s="463"/>
      <c r="M59" s="463"/>
      <c r="N59" s="463"/>
      <c r="O59" s="463"/>
      <c r="P59" s="463"/>
    </row>
    <row r="60" spans="1:16" s="63" customFormat="1" x14ac:dyDescent="0.35">
      <c r="A60" s="463"/>
      <c r="B60" s="463"/>
      <c r="C60" s="463"/>
      <c r="D60" s="463"/>
      <c r="E60" s="463"/>
      <c r="F60" s="1931"/>
      <c r="G60" s="1931"/>
      <c r="H60" s="1931"/>
      <c r="I60" s="1931"/>
      <c r="J60" s="463"/>
      <c r="K60" s="463"/>
      <c r="L60" s="463"/>
      <c r="M60" s="463"/>
      <c r="N60" s="463"/>
      <c r="O60" s="463"/>
      <c r="P60" s="463"/>
    </row>
    <row r="61" spans="1:16" s="63" customFormat="1" x14ac:dyDescent="0.35">
      <c r="A61" s="463"/>
      <c r="B61" s="463"/>
      <c r="C61" s="463"/>
      <c r="D61" s="463"/>
      <c r="E61" s="463"/>
      <c r="F61" s="1931"/>
      <c r="G61" s="1931"/>
      <c r="H61" s="1931"/>
      <c r="I61" s="1931"/>
      <c r="J61" s="463"/>
      <c r="K61" s="463"/>
      <c r="L61" s="463"/>
      <c r="M61" s="463"/>
      <c r="N61" s="463"/>
      <c r="O61" s="463"/>
      <c r="P61" s="463"/>
    </row>
    <row r="62" spans="1:16" s="63" customFormat="1" x14ac:dyDescent="0.35">
      <c r="A62" s="463"/>
      <c r="B62" s="463"/>
      <c r="C62" s="463"/>
      <c r="D62" s="463"/>
      <c r="E62" s="463"/>
      <c r="F62" s="1931"/>
      <c r="G62" s="1931"/>
      <c r="H62" s="1931"/>
      <c r="I62" s="1931"/>
      <c r="J62" s="463"/>
      <c r="K62" s="463"/>
      <c r="L62" s="463"/>
      <c r="M62" s="463"/>
      <c r="N62" s="463"/>
      <c r="O62" s="463"/>
      <c r="P62" s="463"/>
    </row>
    <row r="63" spans="1:16" s="63" customFormat="1" x14ac:dyDescent="0.35">
      <c r="A63" s="463"/>
      <c r="B63" s="463"/>
      <c r="C63" s="463"/>
      <c r="D63" s="463"/>
      <c r="E63" s="463"/>
      <c r="F63" s="1931"/>
      <c r="G63" s="1931"/>
      <c r="H63" s="1931"/>
      <c r="I63" s="1931"/>
      <c r="J63" s="463"/>
      <c r="K63" s="463"/>
      <c r="L63" s="463"/>
      <c r="M63" s="463"/>
      <c r="N63" s="463"/>
      <c r="O63" s="463"/>
      <c r="P63" s="463"/>
    </row>
    <row r="64" spans="1:16" s="63" customFormat="1" x14ac:dyDescent="0.35">
      <c r="A64" s="463"/>
      <c r="B64" s="463"/>
      <c r="C64" s="463"/>
      <c r="D64" s="463"/>
      <c r="E64" s="463"/>
      <c r="F64" s="1931"/>
      <c r="G64" s="1931"/>
      <c r="H64" s="1931"/>
      <c r="I64" s="1931"/>
      <c r="J64" s="463"/>
      <c r="K64" s="463"/>
      <c r="L64" s="463"/>
      <c r="M64" s="463"/>
      <c r="N64" s="463"/>
      <c r="O64" s="463"/>
      <c r="P64" s="463"/>
    </row>
    <row r="65" spans="1:16" s="63" customFormat="1" x14ac:dyDescent="0.35">
      <c r="A65" s="463"/>
      <c r="B65" s="463"/>
      <c r="C65" s="463"/>
      <c r="D65" s="463"/>
      <c r="E65" s="463"/>
      <c r="F65" s="1931"/>
      <c r="G65" s="1931"/>
      <c r="H65" s="1931"/>
      <c r="I65" s="1931"/>
      <c r="J65" s="463"/>
      <c r="K65" s="463"/>
      <c r="L65" s="463"/>
      <c r="M65" s="463"/>
      <c r="N65" s="463"/>
      <c r="O65" s="463"/>
      <c r="P65" s="463"/>
    </row>
    <row r="66" spans="1:16" s="63" customFormat="1" x14ac:dyDescent="0.35">
      <c r="A66" s="463"/>
      <c r="B66" s="463"/>
      <c r="C66" s="463"/>
      <c r="D66" s="463"/>
      <c r="E66" s="463"/>
      <c r="F66" s="1931"/>
      <c r="G66" s="1931"/>
      <c r="H66" s="1931"/>
      <c r="I66" s="1931"/>
      <c r="J66" s="463"/>
      <c r="K66" s="463"/>
      <c r="L66" s="463"/>
      <c r="M66" s="463"/>
      <c r="N66" s="463"/>
      <c r="O66" s="463"/>
      <c r="P66" s="463"/>
    </row>
    <row r="67" spans="1:16" s="63" customFormat="1" x14ac:dyDescent="0.35">
      <c r="A67" s="463"/>
      <c r="B67" s="463"/>
      <c r="C67" s="463"/>
      <c r="D67" s="463"/>
      <c r="E67" s="463"/>
      <c r="F67" s="1931"/>
      <c r="G67" s="1931"/>
      <c r="H67" s="1931"/>
      <c r="I67" s="1931"/>
      <c r="J67" s="463"/>
      <c r="K67" s="463"/>
      <c r="L67" s="463"/>
      <c r="M67" s="463"/>
      <c r="N67" s="463"/>
      <c r="O67" s="463"/>
      <c r="P67" s="463"/>
    </row>
    <row r="68" spans="1:16" s="63" customFormat="1" x14ac:dyDescent="0.35">
      <c r="A68" s="463"/>
      <c r="B68" s="463"/>
      <c r="C68" s="463"/>
      <c r="D68" s="463"/>
      <c r="E68" s="463"/>
      <c r="F68" s="1931"/>
      <c r="G68" s="1931"/>
      <c r="H68" s="1931"/>
      <c r="I68" s="1931"/>
      <c r="J68" s="463"/>
      <c r="K68" s="463"/>
      <c r="L68" s="463"/>
      <c r="M68" s="463"/>
      <c r="N68" s="463"/>
      <c r="O68" s="463"/>
      <c r="P68" s="463"/>
    </row>
    <row r="69" spans="1:16" s="63" customFormat="1" x14ac:dyDescent="0.35">
      <c r="A69" s="463"/>
      <c r="B69" s="463"/>
      <c r="C69" s="463"/>
      <c r="D69" s="463"/>
      <c r="E69" s="463"/>
      <c r="F69" s="1931"/>
      <c r="G69" s="1931"/>
      <c r="H69" s="1931"/>
      <c r="I69" s="1931"/>
      <c r="J69" s="463"/>
      <c r="K69" s="463"/>
      <c r="L69" s="463"/>
      <c r="M69" s="463"/>
      <c r="N69" s="463"/>
      <c r="O69" s="463"/>
      <c r="P69" s="463"/>
    </row>
    <row r="70" spans="1:16" s="63" customFormat="1" x14ac:dyDescent="0.35">
      <c r="A70" s="463"/>
      <c r="B70" s="463"/>
      <c r="C70" s="463"/>
      <c r="D70" s="463"/>
      <c r="E70" s="463"/>
      <c r="F70" s="1931"/>
      <c r="G70" s="1931"/>
      <c r="H70" s="1931"/>
      <c r="I70" s="1931"/>
      <c r="J70" s="463"/>
      <c r="K70" s="463"/>
      <c r="L70" s="463"/>
      <c r="M70" s="463"/>
      <c r="N70" s="463"/>
      <c r="O70" s="463"/>
      <c r="P70" s="463"/>
    </row>
    <row r="71" spans="1:16" s="63" customFormat="1" x14ac:dyDescent="0.35">
      <c r="A71" s="463"/>
      <c r="B71" s="463"/>
      <c r="C71" s="463"/>
      <c r="D71" s="463"/>
      <c r="E71" s="463"/>
      <c r="F71" s="1931"/>
      <c r="G71" s="1931"/>
      <c r="H71" s="1931"/>
      <c r="I71" s="1931"/>
      <c r="J71" s="463"/>
      <c r="K71" s="463"/>
      <c r="L71" s="463"/>
      <c r="M71" s="463"/>
      <c r="N71" s="463"/>
      <c r="O71" s="463"/>
      <c r="P71" s="463"/>
    </row>
    <row r="72" spans="1:16" s="63" customFormat="1" x14ac:dyDescent="0.35">
      <c r="A72" s="463"/>
      <c r="B72" s="463"/>
      <c r="C72" s="463"/>
      <c r="D72" s="463"/>
      <c r="E72" s="463"/>
      <c r="F72" s="1931"/>
      <c r="G72" s="1931"/>
      <c r="H72" s="1931"/>
      <c r="I72" s="1931"/>
      <c r="J72" s="463"/>
      <c r="K72" s="463"/>
      <c r="L72" s="463"/>
      <c r="M72" s="463"/>
      <c r="N72" s="463"/>
      <c r="O72" s="463"/>
      <c r="P72" s="463"/>
    </row>
    <row r="73" spans="1:16" s="63" customFormat="1" x14ac:dyDescent="0.35">
      <c r="A73" s="463"/>
      <c r="B73" s="463"/>
      <c r="C73" s="463"/>
      <c r="D73" s="463"/>
      <c r="E73" s="463"/>
      <c r="F73" s="1931"/>
      <c r="G73" s="1931"/>
      <c r="H73" s="1931"/>
      <c r="I73" s="1931"/>
      <c r="J73" s="463"/>
      <c r="K73" s="463"/>
      <c r="L73" s="463"/>
      <c r="M73" s="463"/>
      <c r="N73" s="463"/>
      <c r="O73" s="463"/>
      <c r="P73" s="463"/>
    </row>
    <row r="74" spans="1:16" s="63" customFormat="1" x14ac:dyDescent="0.35">
      <c r="A74" s="463"/>
      <c r="B74" s="463"/>
      <c r="C74" s="463"/>
      <c r="D74" s="463"/>
      <c r="E74" s="463"/>
      <c r="F74" s="1931"/>
      <c r="G74" s="1931"/>
      <c r="H74" s="1931"/>
      <c r="I74" s="1931"/>
      <c r="J74" s="463"/>
      <c r="K74" s="463"/>
      <c r="L74" s="463"/>
      <c r="M74" s="463"/>
      <c r="N74" s="463"/>
      <c r="O74" s="463"/>
      <c r="P74" s="463"/>
    </row>
    <row r="75" spans="1:16" s="63" customFormat="1" x14ac:dyDescent="0.35">
      <c r="A75" s="463"/>
      <c r="B75" s="463"/>
      <c r="C75" s="463"/>
      <c r="D75" s="463"/>
      <c r="E75" s="463"/>
      <c r="F75" s="1931"/>
      <c r="G75" s="1931"/>
      <c r="H75" s="1931"/>
      <c r="I75" s="1931"/>
      <c r="J75" s="463"/>
      <c r="K75" s="463"/>
      <c r="L75" s="463"/>
      <c r="M75" s="463"/>
      <c r="N75" s="463"/>
      <c r="O75" s="463"/>
      <c r="P75" s="463"/>
    </row>
    <row r="76" spans="1:16" s="63" customFormat="1" x14ac:dyDescent="0.35">
      <c r="A76" s="463"/>
      <c r="B76" s="463"/>
      <c r="C76" s="463"/>
      <c r="D76" s="463"/>
      <c r="E76" s="463"/>
      <c r="F76" s="1931"/>
      <c r="G76" s="1931"/>
      <c r="H76" s="1931"/>
      <c r="I76" s="1931"/>
      <c r="J76" s="463"/>
      <c r="K76" s="463"/>
      <c r="L76" s="463"/>
      <c r="M76" s="463"/>
      <c r="N76" s="463"/>
      <c r="O76" s="463"/>
      <c r="P76" s="463"/>
    </row>
    <row r="77" spans="1:16" s="63" customFormat="1" x14ac:dyDescent="0.35">
      <c r="A77" s="463"/>
      <c r="B77" s="463"/>
      <c r="C77" s="463"/>
      <c r="D77" s="463"/>
      <c r="E77" s="463"/>
      <c r="F77" s="1931"/>
      <c r="G77" s="1931"/>
      <c r="H77" s="1931"/>
      <c r="I77" s="1931"/>
      <c r="J77" s="463"/>
      <c r="K77" s="463"/>
      <c r="L77" s="463"/>
      <c r="M77" s="463"/>
      <c r="N77" s="463"/>
      <c r="O77" s="463"/>
      <c r="P77" s="463"/>
    </row>
    <row r="78" spans="1:16" s="63" customFormat="1" x14ac:dyDescent="0.35">
      <c r="A78" s="463"/>
      <c r="B78" s="463"/>
      <c r="C78" s="463"/>
      <c r="D78" s="463"/>
      <c r="E78" s="463"/>
      <c r="F78" s="1931"/>
      <c r="G78" s="1931"/>
      <c r="H78" s="1931"/>
      <c r="I78" s="1931"/>
      <c r="J78" s="463"/>
      <c r="K78" s="463"/>
      <c r="L78" s="463"/>
      <c r="M78" s="463"/>
      <c r="N78" s="463"/>
      <c r="O78" s="463"/>
      <c r="P78" s="463"/>
    </row>
    <row r="79" spans="1:16" s="63" customFormat="1" x14ac:dyDescent="0.35">
      <c r="A79" s="463"/>
      <c r="B79" s="463"/>
      <c r="C79" s="463"/>
      <c r="D79" s="463"/>
      <c r="E79" s="463"/>
      <c r="F79" s="1931"/>
      <c r="G79" s="1931"/>
      <c r="H79" s="1931"/>
      <c r="I79" s="1931"/>
      <c r="J79" s="463"/>
      <c r="K79" s="463"/>
      <c r="L79" s="463"/>
      <c r="M79" s="463"/>
      <c r="N79" s="463"/>
      <c r="O79" s="463"/>
      <c r="P79" s="463"/>
    </row>
    <row r="80" spans="1:16" s="63" customFormat="1" x14ac:dyDescent="0.35">
      <c r="A80" s="463"/>
      <c r="B80" s="463"/>
      <c r="C80" s="463"/>
      <c r="D80" s="463"/>
      <c r="E80" s="463"/>
      <c r="F80" s="1931"/>
      <c r="G80" s="1931"/>
      <c r="H80" s="1931"/>
      <c r="I80" s="1931"/>
      <c r="J80" s="463"/>
      <c r="K80" s="463"/>
      <c r="L80" s="463"/>
      <c r="M80" s="463"/>
      <c r="N80" s="463"/>
      <c r="O80" s="463"/>
      <c r="P80" s="463"/>
    </row>
    <row r="81" spans="1:16" s="63" customFormat="1" x14ac:dyDescent="0.35">
      <c r="A81" s="463"/>
      <c r="B81" s="463"/>
      <c r="C81" s="463"/>
      <c r="D81" s="463"/>
      <c r="E81" s="463"/>
      <c r="F81" s="1931"/>
      <c r="G81" s="1931"/>
      <c r="H81" s="1931"/>
      <c r="I81" s="1931"/>
      <c r="J81" s="463"/>
      <c r="K81" s="463"/>
      <c r="L81" s="463"/>
      <c r="M81" s="463"/>
      <c r="N81" s="463"/>
      <c r="O81" s="463"/>
      <c r="P81" s="463"/>
    </row>
    <row r="82" spans="1:16" s="63" customFormat="1" x14ac:dyDescent="0.35">
      <c r="A82" s="463"/>
      <c r="B82" s="463"/>
      <c r="C82" s="463"/>
      <c r="D82" s="463"/>
      <c r="E82" s="463"/>
      <c r="F82" s="1931"/>
      <c r="G82" s="1931"/>
      <c r="H82" s="1931"/>
      <c r="I82" s="1931"/>
      <c r="J82" s="463"/>
      <c r="K82" s="463"/>
      <c r="L82" s="463"/>
      <c r="M82" s="463"/>
      <c r="N82" s="463"/>
      <c r="O82" s="463"/>
      <c r="P82" s="463"/>
    </row>
    <row r="83" spans="1:16" s="63" customFormat="1" x14ac:dyDescent="0.35">
      <c r="A83" s="463"/>
      <c r="B83" s="463"/>
      <c r="C83" s="463"/>
      <c r="D83" s="463"/>
      <c r="E83" s="463"/>
      <c r="F83" s="1931"/>
      <c r="G83" s="1931"/>
      <c r="H83" s="1931"/>
      <c r="I83" s="1931"/>
      <c r="J83" s="463"/>
      <c r="K83" s="463"/>
      <c r="L83" s="463"/>
      <c r="M83" s="463"/>
      <c r="N83" s="463"/>
      <c r="O83" s="463"/>
      <c r="P83" s="463"/>
    </row>
    <row r="84" spans="1:16" s="63" customFormat="1" x14ac:dyDescent="0.35">
      <c r="A84" s="463"/>
      <c r="B84" s="463"/>
      <c r="C84" s="463"/>
      <c r="D84" s="463"/>
      <c r="E84" s="463"/>
      <c r="F84" s="1931"/>
      <c r="G84" s="1931"/>
      <c r="H84" s="1931"/>
      <c r="I84" s="1931"/>
      <c r="J84" s="463"/>
      <c r="K84" s="463"/>
      <c r="L84" s="463"/>
      <c r="M84" s="463"/>
      <c r="N84" s="463"/>
      <c r="O84" s="463"/>
      <c r="P84" s="463"/>
    </row>
    <row r="85" spans="1:16" s="63" customFormat="1" x14ac:dyDescent="0.35">
      <c r="A85" s="463"/>
      <c r="B85" s="463"/>
      <c r="C85" s="463"/>
      <c r="D85" s="463"/>
      <c r="E85" s="463"/>
      <c r="F85" s="1931"/>
      <c r="G85" s="1931"/>
      <c r="H85" s="1931"/>
      <c r="I85" s="1931"/>
      <c r="J85" s="463"/>
      <c r="K85" s="463"/>
      <c r="L85" s="463"/>
      <c r="M85" s="463"/>
      <c r="N85" s="463"/>
      <c r="O85" s="463"/>
      <c r="P85" s="463"/>
    </row>
    <row r="86" spans="1:16" s="63" customFormat="1" x14ac:dyDescent="0.35">
      <c r="A86" s="463"/>
      <c r="B86" s="463"/>
      <c r="C86" s="463"/>
      <c r="D86" s="463"/>
      <c r="E86" s="463"/>
      <c r="F86" s="1931"/>
      <c r="G86" s="1931"/>
      <c r="H86" s="1931"/>
      <c r="I86" s="1931"/>
      <c r="J86" s="463"/>
      <c r="K86" s="463"/>
      <c r="L86" s="463"/>
      <c r="M86" s="463"/>
      <c r="N86" s="463"/>
      <c r="O86" s="463"/>
      <c r="P86" s="463"/>
    </row>
    <row r="87" spans="1:16" s="63" customFormat="1" x14ac:dyDescent="0.35">
      <c r="A87" s="463"/>
      <c r="B87" s="463"/>
      <c r="C87" s="463"/>
      <c r="D87" s="463"/>
      <c r="E87" s="463"/>
      <c r="F87" s="1931"/>
      <c r="G87" s="1931"/>
      <c r="H87" s="1931"/>
      <c r="I87" s="1931"/>
      <c r="J87" s="463"/>
      <c r="K87" s="463"/>
      <c r="L87" s="463"/>
      <c r="M87" s="463"/>
      <c r="N87" s="463"/>
      <c r="O87" s="463"/>
      <c r="P87" s="463"/>
    </row>
    <row r="88" spans="1:16" s="63" customFormat="1" x14ac:dyDescent="0.35">
      <c r="A88" s="463"/>
      <c r="B88" s="463"/>
      <c r="C88" s="463"/>
      <c r="D88" s="463"/>
      <c r="E88" s="463"/>
      <c r="F88" s="1931"/>
      <c r="G88" s="1931"/>
      <c r="H88" s="1931"/>
      <c r="I88" s="1931"/>
      <c r="J88" s="463"/>
      <c r="K88" s="463"/>
      <c r="L88" s="463"/>
      <c r="M88" s="463"/>
      <c r="N88" s="463"/>
      <c r="O88" s="463"/>
      <c r="P88" s="463"/>
    </row>
    <row r="89" spans="1:16" s="63" customFormat="1" x14ac:dyDescent="0.35">
      <c r="A89" s="463"/>
      <c r="B89" s="463"/>
      <c r="C89" s="463"/>
      <c r="D89" s="463"/>
      <c r="E89" s="463"/>
      <c r="F89" s="1931"/>
      <c r="G89" s="1931"/>
      <c r="H89" s="1931"/>
      <c r="I89" s="1931"/>
      <c r="J89" s="463"/>
      <c r="K89" s="463"/>
      <c r="L89" s="463"/>
      <c r="M89" s="463"/>
      <c r="N89" s="463"/>
      <c r="O89" s="463"/>
      <c r="P89" s="463"/>
    </row>
    <row r="90" spans="1:16" s="63" customFormat="1" x14ac:dyDescent="0.35">
      <c r="A90" s="463"/>
      <c r="B90" s="463"/>
      <c r="C90" s="463"/>
      <c r="D90" s="463"/>
      <c r="E90" s="463"/>
      <c r="F90" s="1931"/>
      <c r="G90" s="1931"/>
      <c r="H90" s="1931"/>
      <c r="I90" s="1931"/>
      <c r="J90" s="463"/>
      <c r="K90" s="463"/>
      <c r="L90" s="463"/>
      <c r="M90" s="463"/>
      <c r="N90" s="463"/>
      <c r="O90" s="463"/>
      <c r="P90" s="463"/>
    </row>
    <row r="91" spans="1:16" s="63" customFormat="1" x14ac:dyDescent="0.35">
      <c r="A91" s="463"/>
      <c r="B91" s="463"/>
      <c r="C91" s="463"/>
      <c r="D91" s="463"/>
      <c r="E91" s="463"/>
      <c r="F91" s="1931"/>
      <c r="G91" s="1931"/>
      <c r="H91" s="1931"/>
      <c r="I91" s="1931"/>
      <c r="J91" s="463"/>
      <c r="K91" s="463"/>
      <c r="L91" s="463"/>
      <c r="M91" s="463"/>
      <c r="N91" s="463"/>
      <c r="O91" s="463"/>
      <c r="P91" s="463"/>
    </row>
    <row r="92" spans="1:16" s="63" customFormat="1" x14ac:dyDescent="0.35">
      <c r="A92" s="463"/>
      <c r="B92" s="463"/>
      <c r="C92" s="463"/>
      <c r="D92" s="463"/>
      <c r="E92" s="463"/>
      <c r="F92" s="1931"/>
      <c r="G92" s="1931"/>
      <c r="H92" s="1931"/>
      <c r="I92" s="1931"/>
      <c r="J92" s="463"/>
      <c r="K92" s="463"/>
      <c r="L92" s="463"/>
      <c r="M92" s="463"/>
      <c r="N92" s="463"/>
      <c r="O92" s="463"/>
      <c r="P92" s="463"/>
    </row>
    <row r="93" spans="1:16" s="63" customFormat="1" x14ac:dyDescent="0.35">
      <c r="A93" s="463"/>
      <c r="B93" s="463"/>
      <c r="C93" s="463"/>
      <c r="D93" s="463"/>
      <c r="E93" s="463"/>
      <c r="F93" s="1931"/>
      <c r="G93" s="1931"/>
      <c r="H93" s="1931"/>
      <c r="I93" s="1931"/>
      <c r="J93" s="463"/>
      <c r="K93" s="463"/>
      <c r="L93" s="463"/>
      <c r="M93" s="463"/>
      <c r="N93" s="463"/>
      <c r="O93" s="463"/>
      <c r="P93" s="463"/>
    </row>
    <row r="94" spans="1:16" s="63" customFormat="1" x14ac:dyDescent="0.35">
      <c r="A94" s="463"/>
      <c r="B94" s="463"/>
      <c r="C94" s="463"/>
      <c r="D94" s="463"/>
      <c r="E94" s="463"/>
      <c r="F94" s="1931"/>
      <c r="G94" s="1931"/>
      <c r="H94" s="1931"/>
      <c r="I94" s="1931"/>
      <c r="J94" s="463"/>
      <c r="K94" s="463"/>
      <c r="L94" s="463"/>
      <c r="M94" s="463"/>
      <c r="N94" s="463"/>
      <c r="O94" s="463"/>
      <c r="P94" s="463"/>
    </row>
    <row r="95" spans="1:16" s="63" customFormat="1" x14ac:dyDescent="0.35">
      <c r="A95" s="463"/>
      <c r="B95" s="463"/>
      <c r="C95" s="463"/>
      <c r="D95" s="463"/>
      <c r="E95" s="463"/>
      <c r="F95" s="1931"/>
      <c r="G95" s="1931"/>
      <c r="H95" s="1931"/>
      <c r="I95" s="1931"/>
      <c r="J95" s="463"/>
      <c r="K95" s="463"/>
      <c r="L95" s="463"/>
      <c r="M95" s="463"/>
      <c r="N95" s="463"/>
      <c r="O95" s="463"/>
      <c r="P95" s="463"/>
    </row>
    <row r="96" spans="1:16" s="63" customFormat="1" x14ac:dyDescent="0.35">
      <c r="A96" s="463"/>
      <c r="B96" s="463"/>
      <c r="C96" s="463"/>
      <c r="D96" s="463"/>
      <c r="E96" s="463"/>
      <c r="F96" s="1931"/>
      <c r="G96" s="1931"/>
      <c r="H96" s="1931"/>
      <c r="I96" s="1931"/>
      <c r="J96" s="463"/>
      <c r="K96" s="463"/>
      <c r="L96" s="463"/>
      <c r="M96" s="463"/>
      <c r="N96" s="463"/>
      <c r="O96" s="463"/>
      <c r="P96" s="463"/>
    </row>
    <row r="97" spans="1:16" s="63" customFormat="1" x14ac:dyDescent="0.35">
      <c r="A97" s="463"/>
      <c r="B97" s="463"/>
      <c r="C97" s="463"/>
      <c r="D97" s="463"/>
      <c r="E97" s="463"/>
      <c r="F97" s="1931"/>
      <c r="G97" s="1931"/>
      <c r="H97" s="1931"/>
      <c r="I97" s="1931"/>
      <c r="J97" s="463"/>
      <c r="K97" s="463"/>
      <c r="L97" s="463"/>
      <c r="M97" s="463"/>
      <c r="N97" s="463"/>
      <c r="O97" s="463"/>
      <c r="P97" s="463"/>
    </row>
    <row r="98" spans="1:16" s="63" customFormat="1" x14ac:dyDescent="0.35">
      <c r="A98" s="463"/>
      <c r="B98" s="463"/>
      <c r="C98" s="463"/>
      <c r="D98" s="463"/>
      <c r="E98" s="463"/>
      <c r="F98" s="1931"/>
      <c r="G98" s="1931"/>
      <c r="H98" s="1931"/>
      <c r="I98" s="1931"/>
      <c r="J98" s="463"/>
      <c r="K98" s="463"/>
      <c r="L98" s="463"/>
      <c r="M98" s="463"/>
      <c r="N98" s="463"/>
      <c r="O98" s="463"/>
      <c r="P98" s="463"/>
    </row>
    <row r="99" spans="1:16" s="63" customFormat="1" x14ac:dyDescent="0.35">
      <c r="A99" s="463"/>
      <c r="B99" s="463"/>
      <c r="C99" s="463"/>
      <c r="D99" s="463"/>
      <c r="E99" s="463"/>
      <c r="F99" s="1931"/>
      <c r="G99" s="1931"/>
      <c r="H99" s="1931"/>
      <c r="I99" s="1931"/>
      <c r="J99" s="463"/>
      <c r="K99" s="463"/>
      <c r="L99" s="463"/>
      <c r="M99" s="463"/>
      <c r="N99" s="463"/>
      <c r="O99" s="463"/>
      <c r="P99" s="463"/>
    </row>
    <row r="100" spans="1:16" s="63" customFormat="1" x14ac:dyDescent="0.35">
      <c r="A100" s="463"/>
      <c r="B100" s="463"/>
      <c r="C100" s="463"/>
      <c r="D100" s="463"/>
      <c r="E100" s="463"/>
      <c r="F100" s="1931"/>
      <c r="G100" s="1931"/>
      <c r="H100" s="1931"/>
      <c r="I100" s="1931"/>
      <c r="J100" s="463"/>
      <c r="K100" s="463"/>
      <c r="L100" s="463"/>
      <c r="M100" s="463"/>
      <c r="N100" s="463"/>
      <c r="O100" s="463"/>
      <c r="P100" s="463"/>
    </row>
    <row r="101" spans="1:16" s="63" customFormat="1" x14ac:dyDescent="0.35">
      <c r="F101" s="372"/>
      <c r="G101" s="372"/>
      <c r="H101" s="372"/>
      <c r="I101" s="372"/>
    </row>
    <row r="102" spans="1:16" s="63" customFormat="1" x14ac:dyDescent="0.35">
      <c r="F102" s="372"/>
      <c r="G102" s="372"/>
      <c r="H102" s="372"/>
      <c r="I102" s="372"/>
    </row>
    <row r="103" spans="1:16" s="63" customFormat="1" x14ac:dyDescent="0.35">
      <c r="F103" s="372"/>
      <c r="G103" s="372"/>
      <c r="H103" s="372"/>
      <c r="I103" s="372"/>
    </row>
    <row r="104" spans="1:16" s="63" customFormat="1" x14ac:dyDescent="0.35">
      <c r="F104" s="372"/>
      <c r="G104" s="372"/>
      <c r="H104" s="372"/>
      <c r="I104" s="372"/>
    </row>
    <row r="105" spans="1:16" s="63" customFormat="1" x14ac:dyDescent="0.35">
      <c r="F105" s="372"/>
      <c r="G105" s="372"/>
      <c r="H105" s="372"/>
      <c r="I105" s="372"/>
    </row>
    <row r="106" spans="1:16" s="63" customFormat="1" x14ac:dyDescent="0.35">
      <c r="F106" s="372"/>
      <c r="G106" s="372"/>
      <c r="H106" s="372"/>
      <c r="I106" s="372"/>
    </row>
    <row r="107" spans="1:16" s="63" customFormat="1" x14ac:dyDescent="0.35">
      <c r="F107" s="372"/>
      <c r="G107" s="372"/>
      <c r="H107" s="372"/>
      <c r="I107" s="372"/>
    </row>
    <row r="108" spans="1:16" s="63" customFormat="1" x14ac:dyDescent="0.35">
      <c r="F108" s="372"/>
      <c r="G108" s="372"/>
      <c r="H108" s="372"/>
      <c r="I108" s="372"/>
    </row>
    <row r="109" spans="1:16" s="63" customFormat="1" x14ac:dyDescent="0.35">
      <c r="F109" s="372"/>
      <c r="G109" s="372"/>
      <c r="H109" s="372"/>
      <c r="I109" s="372"/>
    </row>
    <row r="110" spans="1:16" s="63" customFormat="1" x14ac:dyDescent="0.35">
      <c r="F110" s="372"/>
      <c r="G110" s="372"/>
      <c r="H110" s="372"/>
      <c r="I110" s="372"/>
    </row>
  </sheetData>
  <mergeCells count="96">
    <mergeCell ref="E3:F3"/>
    <mergeCell ref="D1:G1"/>
    <mergeCell ref="I1:J1"/>
    <mergeCell ref="L1:M1"/>
    <mergeCell ref="D2:G2"/>
    <mergeCell ref="I2:J2"/>
    <mergeCell ref="L2:M2"/>
    <mergeCell ref="C4:G4"/>
    <mergeCell ref="H4:P4"/>
    <mergeCell ref="A5:B5"/>
    <mergeCell ref="C5:P5"/>
    <mergeCell ref="A6:E6"/>
    <mergeCell ref="J6:P6"/>
    <mergeCell ref="A14:E14"/>
    <mergeCell ref="J14:P14"/>
    <mergeCell ref="A7:N7"/>
    <mergeCell ref="A8:E8"/>
    <mergeCell ref="J8:P8"/>
    <mergeCell ref="A9:E9"/>
    <mergeCell ref="J9:P9"/>
    <mergeCell ref="A10:E10"/>
    <mergeCell ref="J10:P10"/>
    <mergeCell ref="A11:P11"/>
    <mergeCell ref="A12:E12"/>
    <mergeCell ref="J12:P12"/>
    <mergeCell ref="A13:E13"/>
    <mergeCell ref="J13:P13"/>
    <mergeCell ref="A15:E15"/>
    <mergeCell ref="J15:P15"/>
    <mergeCell ref="A16:E16"/>
    <mergeCell ref="J16:P16"/>
    <mergeCell ref="A17:E17"/>
    <mergeCell ref="J17:P17"/>
    <mergeCell ref="A24:E24"/>
    <mergeCell ref="J24:P24"/>
    <mergeCell ref="A18:E18"/>
    <mergeCell ref="J18:P18"/>
    <mergeCell ref="A19:E19"/>
    <mergeCell ref="J19:P19"/>
    <mergeCell ref="A20:E20"/>
    <mergeCell ref="J20:P20"/>
    <mergeCell ref="A21:E21"/>
    <mergeCell ref="J21:P21"/>
    <mergeCell ref="A22:E22"/>
    <mergeCell ref="J22:P22"/>
    <mergeCell ref="A23:P23"/>
    <mergeCell ref="A25:E25"/>
    <mergeCell ref="J25:P25"/>
    <mergeCell ref="A26:E26"/>
    <mergeCell ref="J26:P26"/>
    <mergeCell ref="A27:E27"/>
    <mergeCell ref="J27:P27"/>
    <mergeCell ref="A28:E28"/>
    <mergeCell ref="J28:P28"/>
    <mergeCell ref="A29:E29"/>
    <mergeCell ref="J29:P29"/>
    <mergeCell ref="A30:E30"/>
    <mergeCell ref="J30:P30"/>
    <mergeCell ref="A31:E31"/>
    <mergeCell ref="J31:P31"/>
    <mergeCell ref="A32:E32"/>
    <mergeCell ref="J32:P32"/>
    <mergeCell ref="A33:E33"/>
    <mergeCell ref="J33:P33"/>
    <mergeCell ref="A41:E41"/>
    <mergeCell ref="J41:P41"/>
    <mergeCell ref="A34:E34"/>
    <mergeCell ref="J34:P34"/>
    <mergeCell ref="A35:E35"/>
    <mergeCell ref="A36:E36"/>
    <mergeCell ref="J36:P36"/>
    <mergeCell ref="A37:P37"/>
    <mergeCell ref="A38:P38"/>
    <mergeCell ref="A39:E39"/>
    <mergeCell ref="J39:P39"/>
    <mergeCell ref="A40:E40"/>
    <mergeCell ref="J40:P40"/>
    <mergeCell ref="A42:E42"/>
    <mergeCell ref="J42:P42"/>
    <mergeCell ref="A43:E43"/>
    <mergeCell ref="J43:P43"/>
    <mergeCell ref="A44:E44"/>
    <mergeCell ref="J44:P44"/>
    <mergeCell ref="A45:E45"/>
    <mergeCell ref="J45:P45"/>
    <mergeCell ref="A46:E46"/>
    <mergeCell ref="J46:P46"/>
    <mergeCell ref="A47:E47"/>
    <mergeCell ref="J47:P47"/>
    <mergeCell ref="A51:P51"/>
    <mergeCell ref="A48:E48"/>
    <mergeCell ref="J48:P48"/>
    <mergeCell ref="A49:E49"/>
    <mergeCell ref="J49:P49"/>
    <mergeCell ref="A50:E50"/>
    <mergeCell ref="J50:P50"/>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6F00-000000000000}">
      <formula1>AvancementTheme</formula1>
    </dataValidation>
  </dataValidations>
  <pageMargins left="0.70866141732283472" right="0.70866141732283472" top="0.74803149606299213" bottom="0.74803149606299213" header="0.31496062992125984" footer="0.31496062992125984"/>
  <pageSetup paperSize="9" scale="40" orientation="portrait" r:id="rId1"/>
  <headerFooter>
    <oddHeader>&amp;LPAD Methodology (c) 2013-2014&amp;RStrategic Management Workshop</oddHeader>
    <oddFooter>&amp;L&amp;F&amp;C&amp;A&amp;RSituation au : &amp;D - page : &amp;P/&amp;N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Feuil16">
    <tabColor theme="5" tint="0.59999389629810485"/>
    <pageSetUpPr fitToPage="1"/>
  </sheetPr>
  <dimension ref="A1:V62"/>
  <sheetViews>
    <sheetView showGridLines="0" showRowColHeaders="0" zoomScaleNormal="100" workbookViewId="0">
      <pane ySplit="5" topLeftCell="A15" activePane="bottomLeft" state="frozen"/>
      <selection activeCell="C5" sqref="C5:P5"/>
      <selection pane="bottomLeft" activeCell="C5" sqref="C5:P5"/>
    </sheetView>
  </sheetViews>
  <sheetFormatPr baseColWidth="10" defaultColWidth="11.453125" defaultRowHeight="14.5" x14ac:dyDescent="0.35"/>
  <cols>
    <col min="1" max="1" width="10.54296875" style="60" customWidth="1"/>
    <col min="2" max="2" width="11.453125" style="60"/>
    <col min="3" max="3" width="12.1796875" style="60" customWidth="1"/>
    <col min="4" max="4" width="10.54296875" style="60" customWidth="1"/>
    <col min="5" max="8" width="11.453125" style="60"/>
    <col min="9" max="9" width="10.81640625" style="60" customWidth="1"/>
    <col min="10" max="10" width="11.453125" style="60"/>
    <col min="11" max="11" width="10.26953125" style="60" customWidth="1"/>
    <col min="12" max="12" width="11.81640625" style="60" customWidth="1"/>
    <col min="13" max="13" width="10.54296875" style="60" customWidth="1"/>
    <col min="14" max="14" width="13.26953125" style="60" customWidth="1"/>
    <col min="15" max="15" width="10.54296875" style="60" customWidth="1"/>
    <col min="16" max="16384" width="11.453125" style="60"/>
  </cols>
  <sheetData>
    <row r="1" spans="1:22" s="54" customFormat="1" ht="15" customHeight="1" x14ac:dyDescent="0.35">
      <c r="A1" s="1113"/>
      <c r="B1" s="1113"/>
      <c r="C1" s="1113"/>
      <c r="D1" s="3341" t="s">
        <v>5</v>
      </c>
      <c r="E1" s="3341"/>
      <c r="F1" s="3341"/>
      <c r="G1" s="3341"/>
      <c r="H1" s="391"/>
      <c r="I1" s="3341" t="s">
        <v>6</v>
      </c>
      <c r="J1" s="3341"/>
      <c r="K1" s="1113"/>
      <c r="L1" s="3341" t="s">
        <v>9</v>
      </c>
      <c r="M1" s="3341"/>
      <c r="N1" s="1113"/>
      <c r="O1" s="392"/>
      <c r="P1" s="97"/>
      <c r="Q1" s="97"/>
      <c r="R1" s="97"/>
    </row>
    <row r="2" spans="1:22" s="58" customFormat="1" ht="18" customHeight="1" x14ac:dyDescent="0.35">
      <c r="A2" s="393"/>
      <c r="B2" s="393"/>
      <c r="C2" s="393"/>
      <c r="D2" s="3342" t="str">
        <f>NomClient</f>
        <v xml:space="preserve">EQUINIX </v>
      </c>
      <c r="E2" s="3343"/>
      <c r="F2" s="3343"/>
      <c r="G2" s="3344"/>
      <c r="H2" s="393"/>
      <c r="I2" s="3345" t="s">
        <v>406</v>
      </c>
      <c r="J2" s="3346"/>
      <c r="K2" s="393"/>
      <c r="L2" s="3347">
        <v>42534.860729166663</v>
      </c>
      <c r="M2" s="3348"/>
      <c r="N2" s="394"/>
      <c r="O2" s="395"/>
      <c r="P2" s="98"/>
      <c r="Q2" s="98"/>
      <c r="R2" s="98"/>
    </row>
    <row r="3" spans="1:22" ht="9.75" customHeight="1" thickBot="1" x14ac:dyDescent="0.4">
      <c r="A3" s="396"/>
      <c r="B3" s="396"/>
      <c r="C3" s="396"/>
      <c r="D3" s="3696" t="s">
        <v>1792</v>
      </c>
      <c r="E3" s="3696"/>
      <c r="F3" s="3696"/>
      <c r="G3" s="3696"/>
      <c r="H3" s="1960"/>
      <c r="I3" s="1960"/>
      <c r="J3" s="1960"/>
      <c r="K3" s="396"/>
      <c r="L3" s="396"/>
      <c r="M3" s="396"/>
      <c r="N3" s="396"/>
      <c r="O3" s="396"/>
      <c r="P3" s="112"/>
      <c r="Q3" s="64"/>
      <c r="R3" s="64"/>
      <c r="S3" s="64"/>
      <c r="T3" s="64"/>
      <c r="U3" s="64"/>
      <c r="V3" s="64"/>
    </row>
    <row r="4" spans="1:22" s="1" customFormat="1" ht="24.75" customHeight="1" thickBot="1" x14ac:dyDescent="0.4">
      <c r="A4" s="6960" t="str">
        <f>Parametre!B34 &amp; "  : "</f>
        <v xml:space="preserve">Plan d'Action  : </v>
      </c>
      <c r="B4" s="6961"/>
      <c r="C4" s="6961"/>
      <c r="D4" s="6961"/>
      <c r="E4" s="6961"/>
      <c r="F4" s="6961"/>
      <c r="G4" s="6961"/>
      <c r="H4" s="6958" t="s">
        <v>845</v>
      </c>
      <c r="I4" s="6958"/>
      <c r="J4" s="6958"/>
      <c r="K4" s="6958"/>
      <c r="L4" s="6958"/>
      <c r="M4" s="6958"/>
      <c r="N4" s="6958"/>
      <c r="O4" s="6959"/>
      <c r="P4" s="27"/>
      <c r="Q4" s="27"/>
      <c r="R4" s="27"/>
    </row>
    <row r="5" spans="1:22" s="65" customFormat="1" ht="21" customHeight="1" thickBot="1" x14ac:dyDescent="0.4">
      <c r="A5" s="3438" t="s">
        <v>14</v>
      </c>
      <c r="B5" s="3438"/>
      <c r="C5" s="3439" t="s">
        <v>745</v>
      </c>
      <c r="D5" s="3439"/>
      <c r="E5" s="3439"/>
      <c r="F5" s="3439"/>
      <c r="G5" s="3439"/>
      <c r="H5" s="3439"/>
      <c r="I5" s="3439"/>
      <c r="J5" s="3439"/>
      <c r="K5" s="3439"/>
      <c r="L5" s="3439"/>
      <c r="M5" s="3439"/>
      <c r="N5" s="3439"/>
      <c r="O5" s="3439"/>
      <c r="P5" s="197"/>
      <c r="Q5" s="197"/>
      <c r="R5" s="197"/>
    </row>
    <row r="6" spans="1:22" ht="52.5" customHeight="1" thickTop="1" thickBot="1" x14ac:dyDescent="0.4">
      <c r="A6" s="6962" t="s">
        <v>1182</v>
      </c>
      <c r="B6" s="6963"/>
      <c r="C6" s="6963"/>
      <c r="D6" s="6963"/>
      <c r="E6" s="6963"/>
      <c r="F6" s="6963"/>
      <c r="G6" s="6963"/>
      <c r="H6" s="6963"/>
      <c r="I6" s="6964"/>
      <c r="J6" s="6957" t="s">
        <v>153</v>
      </c>
      <c r="K6" s="6957"/>
      <c r="L6" s="6957"/>
      <c r="M6" s="6957"/>
      <c r="N6" s="1114" t="s">
        <v>1181</v>
      </c>
      <c r="O6" s="382"/>
      <c r="P6" s="99"/>
      <c r="Q6" s="99"/>
      <c r="R6" s="99"/>
    </row>
    <row r="7" spans="1:22" ht="15" thickBot="1" x14ac:dyDescent="0.4">
      <c r="A7" s="6938" t="s">
        <v>1352</v>
      </c>
      <c r="B7" s="6939"/>
      <c r="C7" s="6939"/>
      <c r="D7" s="6939"/>
      <c r="E7" s="6939"/>
      <c r="F7" s="6939"/>
      <c r="G7" s="6939"/>
      <c r="H7" s="6939"/>
      <c r="I7" s="6939"/>
      <c r="J7" s="6939"/>
      <c r="K7" s="6939"/>
      <c r="L7" s="6939"/>
      <c r="M7" s="6939"/>
      <c r="N7" s="6940"/>
      <c r="O7" s="382"/>
      <c r="P7" s="99"/>
      <c r="Q7" s="99"/>
      <c r="R7" s="99"/>
    </row>
    <row r="8" spans="1:22" x14ac:dyDescent="0.35">
      <c r="A8" s="1115"/>
      <c r="B8" s="6929" t="s">
        <v>1332</v>
      </c>
      <c r="C8" s="6930"/>
      <c r="D8" s="6930"/>
      <c r="E8" s="6930"/>
      <c r="F8" s="6930"/>
      <c r="G8" s="6930"/>
      <c r="H8" s="6930"/>
      <c r="I8" s="6930"/>
      <c r="J8" s="6953" t="s">
        <v>158</v>
      </c>
      <c r="K8" s="6953"/>
      <c r="L8" s="6953"/>
      <c r="M8" s="6953"/>
      <c r="N8" s="1119"/>
      <c r="O8" s="382"/>
      <c r="P8" s="99"/>
      <c r="Q8" s="99"/>
      <c r="R8" s="99"/>
    </row>
    <row r="9" spans="1:22" ht="16.5" customHeight="1" thickBot="1" x14ac:dyDescent="0.4">
      <c r="A9" s="1115"/>
      <c r="B9" s="6929" t="s">
        <v>1333</v>
      </c>
      <c r="C9" s="6930"/>
      <c r="D9" s="6930"/>
      <c r="E9" s="6930"/>
      <c r="F9" s="6930"/>
      <c r="G9" s="6930"/>
      <c r="H9" s="6930"/>
      <c r="I9" s="6930"/>
      <c r="J9" s="6946" t="s">
        <v>154</v>
      </c>
      <c r="K9" s="6946"/>
      <c r="L9" s="6946"/>
      <c r="M9" s="6946"/>
      <c r="N9" s="1119"/>
      <c r="O9" s="382"/>
      <c r="P9" s="99"/>
      <c r="Q9" s="99"/>
      <c r="R9" s="99"/>
    </row>
    <row r="10" spans="1:22" ht="16.5" customHeight="1" thickBot="1" x14ac:dyDescent="0.4">
      <c r="A10" s="6938" t="s">
        <v>155</v>
      </c>
      <c r="B10" s="6939"/>
      <c r="C10" s="6939"/>
      <c r="D10" s="6939"/>
      <c r="E10" s="6939"/>
      <c r="F10" s="6939"/>
      <c r="G10" s="6939"/>
      <c r="H10" s="6939"/>
      <c r="I10" s="6939"/>
      <c r="J10" s="6939"/>
      <c r="K10" s="6939"/>
      <c r="L10" s="6939"/>
      <c r="M10" s="6939"/>
      <c r="N10" s="6940"/>
      <c r="O10" s="382"/>
      <c r="P10" s="99"/>
      <c r="Q10" s="99"/>
      <c r="R10" s="99"/>
    </row>
    <row r="11" spans="1:22" ht="16.5" customHeight="1" thickBot="1" x14ac:dyDescent="0.4">
      <c r="A11" s="1320"/>
      <c r="B11" s="6929" t="s">
        <v>1353</v>
      </c>
      <c r="C11" s="6930"/>
      <c r="D11" s="6930"/>
      <c r="E11" s="6930"/>
      <c r="F11" s="6930"/>
      <c r="G11" s="6930"/>
      <c r="H11" s="6930"/>
      <c r="I11" s="6930"/>
      <c r="J11" s="6952" t="s">
        <v>1354</v>
      </c>
      <c r="K11" s="6952"/>
      <c r="L11" s="6952"/>
      <c r="M11" s="6952"/>
      <c r="N11" s="1117"/>
      <c r="O11" s="382"/>
      <c r="P11" s="99"/>
      <c r="Q11" s="99"/>
      <c r="R11" s="99"/>
    </row>
    <row r="12" spans="1:22" ht="15.75" customHeight="1" thickBot="1" x14ac:dyDescent="0.4">
      <c r="A12" s="1115"/>
      <c r="B12" s="6929" t="s">
        <v>1336</v>
      </c>
      <c r="C12" s="6930"/>
      <c r="D12" s="6930"/>
      <c r="E12" s="6930"/>
      <c r="F12" s="6930"/>
      <c r="G12" s="6930"/>
      <c r="H12" s="6930"/>
      <c r="I12" s="6930"/>
      <c r="J12" s="6954" t="s">
        <v>156</v>
      </c>
      <c r="K12" s="6954"/>
      <c r="L12" s="6954"/>
      <c r="M12" s="6954"/>
      <c r="N12" s="1117"/>
      <c r="O12" s="382"/>
      <c r="P12" s="99"/>
      <c r="Q12" s="99"/>
      <c r="R12" s="99"/>
    </row>
    <row r="13" spans="1:22" ht="20.25" customHeight="1" thickBot="1" x14ac:dyDescent="0.4">
      <c r="A13" s="1115"/>
      <c r="B13" s="6929" t="s">
        <v>1335</v>
      </c>
      <c r="C13" s="6930"/>
      <c r="D13" s="6930"/>
      <c r="E13" s="6930"/>
      <c r="F13" s="6930"/>
      <c r="G13" s="6930"/>
      <c r="H13" s="6930"/>
      <c r="I13" s="6930"/>
      <c r="J13" s="1279" t="s">
        <v>1334</v>
      </c>
      <c r="K13" s="1277"/>
      <c r="L13" s="1277"/>
      <c r="M13" s="1277"/>
      <c r="N13" s="1278"/>
      <c r="O13" s="382"/>
      <c r="P13" s="99"/>
      <c r="Q13" s="99"/>
      <c r="R13" s="99"/>
    </row>
    <row r="14" spans="1:22" ht="20.25" customHeight="1" thickBot="1" x14ac:dyDescent="0.4">
      <c r="A14" s="1115"/>
      <c r="B14" s="6929"/>
      <c r="C14" s="6930"/>
      <c r="D14" s="6930"/>
      <c r="E14" s="6930"/>
      <c r="F14" s="6930"/>
      <c r="G14" s="6930"/>
      <c r="H14" s="6930"/>
      <c r="I14" s="6930"/>
      <c r="J14" s="1279"/>
      <c r="K14" s="1277"/>
      <c r="L14" s="1277"/>
      <c r="M14" s="1277"/>
      <c r="N14" s="1278"/>
      <c r="O14" s="382"/>
      <c r="P14" s="99"/>
      <c r="Q14" s="99"/>
      <c r="R14" s="99"/>
    </row>
    <row r="15" spans="1:22" ht="15" thickBot="1" x14ac:dyDescent="0.4">
      <c r="A15" s="6938" t="s">
        <v>1351</v>
      </c>
      <c r="B15" s="6939"/>
      <c r="C15" s="6939"/>
      <c r="D15" s="6939"/>
      <c r="E15" s="6939"/>
      <c r="F15" s="6939"/>
      <c r="G15" s="6939"/>
      <c r="H15" s="6939"/>
      <c r="I15" s="6939"/>
      <c r="J15" s="6939"/>
      <c r="K15" s="6939"/>
      <c r="L15" s="6939"/>
      <c r="M15" s="6939"/>
      <c r="N15" s="6940"/>
      <c r="O15" s="382"/>
      <c r="P15" s="99"/>
      <c r="Q15" s="99"/>
      <c r="R15" s="99"/>
    </row>
    <row r="16" spans="1:22" x14ac:dyDescent="0.35">
      <c r="A16" s="1295"/>
      <c r="B16" s="6955" t="s">
        <v>157</v>
      </c>
      <c r="C16" s="6956"/>
      <c r="D16" s="6956"/>
      <c r="E16" s="6956"/>
      <c r="F16" s="6956"/>
      <c r="G16" s="6956"/>
      <c r="H16" s="6956"/>
      <c r="I16" s="6956"/>
      <c r="J16" s="1288" t="s">
        <v>158</v>
      </c>
      <c r="K16" s="1286"/>
      <c r="L16" s="1285" t="s">
        <v>162</v>
      </c>
      <c r="M16" s="1309" t="s">
        <v>1355</v>
      </c>
      <c r="N16" s="1118"/>
      <c r="O16" s="382"/>
      <c r="P16" s="99"/>
      <c r="Q16" s="99"/>
      <c r="R16" s="99"/>
    </row>
    <row r="17" spans="1:18" ht="15" customHeight="1" x14ac:dyDescent="0.35">
      <c r="A17" s="1296"/>
      <c r="B17" s="6934" t="s">
        <v>159</v>
      </c>
      <c r="C17" s="6935"/>
      <c r="D17" s="6935"/>
      <c r="E17" s="6935"/>
      <c r="F17" s="6935"/>
      <c r="G17" s="6935"/>
      <c r="H17" s="6935"/>
      <c r="I17" s="6935"/>
      <c r="J17" s="6946" t="s">
        <v>160</v>
      </c>
      <c r="K17" s="6946"/>
      <c r="L17" s="6946"/>
      <c r="M17" s="6946"/>
      <c r="N17" s="1119"/>
      <c r="O17" s="382"/>
      <c r="P17" s="99"/>
      <c r="Q17" s="99"/>
      <c r="R17" s="99"/>
    </row>
    <row r="18" spans="1:18" ht="15" customHeight="1" thickBot="1" x14ac:dyDescent="0.4">
      <c r="A18" s="1296"/>
      <c r="B18" s="6934" t="s">
        <v>1362</v>
      </c>
      <c r="C18" s="6935"/>
      <c r="D18" s="6935"/>
      <c r="E18" s="6935"/>
      <c r="F18" s="6935"/>
      <c r="G18" s="6935"/>
      <c r="H18" s="6935"/>
      <c r="I18" s="6935"/>
      <c r="J18" s="1321"/>
      <c r="K18" s="1322"/>
      <c r="L18" s="1322"/>
      <c r="M18" s="1323"/>
      <c r="N18" s="1119"/>
      <c r="O18" s="382"/>
      <c r="P18" s="99"/>
      <c r="Q18" s="99"/>
      <c r="R18" s="99"/>
    </row>
    <row r="19" spans="1:18" ht="15" thickBot="1" x14ac:dyDescent="0.4">
      <c r="A19" s="6938" t="s">
        <v>166</v>
      </c>
      <c r="B19" s="6939"/>
      <c r="C19" s="6939"/>
      <c r="D19" s="6939"/>
      <c r="E19" s="6939"/>
      <c r="F19" s="6939"/>
      <c r="G19" s="6939"/>
      <c r="H19" s="6939"/>
      <c r="I19" s="6939"/>
      <c r="J19" s="6939"/>
      <c r="K19" s="6939"/>
      <c r="L19" s="6939"/>
      <c r="M19" s="6939"/>
      <c r="N19" s="6940"/>
      <c r="O19" s="382"/>
      <c r="P19" s="99"/>
      <c r="Q19" s="99"/>
      <c r="R19" s="99"/>
    </row>
    <row r="20" spans="1:18" ht="15" customHeight="1" x14ac:dyDescent="0.35">
      <c r="A20" s="1295"/>
      <c r="B20" s="6941" t="s">
        <v>167</v>
      </c>
      <c r="C20" s="6942"/>
      <c r="D20" s="6942"/>
      <c r="E20" s="6942"/>
      <c r="F20" s="6942"/>
      <c r="G20" s="6942"/>
      <c r="H20" s="6942"/>
      <c r="I20" s="6942"/>
      <c r="J20" s="1288" t="s">
        <v>1340</v>
      </c>
      <c r="K20" s="1286"/>
      <c r="L20" s="1286"/>
      <c r="M20" s="1287"/>
      <c r="N20" s="1118"/>
      <c r="O20" s="382"/>
      <c r="P20" s="99"/>
      <c r="Q20" s="99"/>
      <c r="R20" s="99"/>
    </row>
    <row r="21" spans="1:18" ht="15" customHeight="1" x14ac:dyDescent="0.35">
      <c r="A21" s="1296"/>
      <c r="B21" s="6929" t="s">
        <v>1345</v>
      </c>
      <c r="C21" s="6930"/>
      <c r="D21" s="6930"/>
      <c r="E21" s="6930"/>
      <c r="F21" s="6930"/>
      <c r="G21" s="6930"/>
      <c r="H21" s="6930"/>
      <c r="I21" s="6930"/>
      <c r="J21" s="1291" t="s">
        <v>1346</v>
      </c>
      <c r="K21" s="1292"/>
      <c r="L21" s="1292"/>
      <c r="M21" s="1293"/>
      <c r="N21" s="1294"/>
      <c r="O21" s="382"/>
      <c r="P21" s="99"/>
      <c r="Q21" s="99"/>
      <c r="R21" s="99"/>
    </row>
    <row r="22" spans="1:18" ht="15" customHeight="1" x14ac:dyDescent="0.35">
      <c r="A22" s="1296"/>
      <c r="B22" s="6929" t="s">
        <v>1347</v>
      </c>
      <c r="C22" s="6930"/>
      <c r="D22" s="6930"/>
      <c r="E22" s="6930"/>
      <c r="F22" s="6930"/>
      <c r="G22" s="6930"/>
      <c r="H22" s="6930"/>
      <c r="I22" s="6930"/>
      <c r="J22" s="1285" t="s">
        <v>1348</v>
      </c>
      <c r="K22" s="1282"/>
      <c r="L22" s="1282"/>
      <c r="M22" s="1283"/>
      <c r="N22" s="1119"/>
      <c r="O22" s="382"/>
      <c r="P22" s="99"/>
      <c r="Q22" s="99"/>
      <c r="R22" s="99"/>
    </row>
    <row r="23" spans="1:18" ht="15" customHeight="1" x14ac:dyDescent="0.35">
      <c r="A23" s="1296"/>
      <c r="B23" s="6929" t="s">
        <v>168</v>
      </c>
      <c r="C23" s="6930"/>
      <c r="D23" s="6930"/>
      <c r="E23" s="6930"/>
      <c r="F23" s="6930"/>
      <c r="G23" s="6930"/>
      <c r="H23" s="6930"/>
      <c r="I23" s="6930"/>
      <c r="J23" s="1285" t="s">
        <v>1341</v>
      </c>
      <c r="K23" s="1282"/>
      <c r="L23" s="1282"/>
      <c r="M23" s="1283"/>
      <c r="N23" s="1119"/>
      <c r="O23" s="382"/>
      <c r="P23" s="99"/>
      <c r="Q23" s="99"/>
      <c r="R23" s="99"/>
    </row>
    <row r="24" spans="1:18" x14ac:dyDescent="0.35">
      <c r="A24" s="1296"/>
      <c r="B24" s="6929" t="s">
        <v>163</v>
      </c>
      <c r="C24" s="6930"/>
      <c r="D24" s="6930"/>
      <c r="E24" s="6930"/>
      <c r="F24" s="6930"/>
      <c r="G24" s="6930"/>
      <c r="H24" s="6930"/>
      <c r="I24" s="6930"/>
      <c r="J24" s="6946" t="s">
        <v>164</v>
      </c>
      <c r="K24" s="6946"/>
      <c r="L24" s="6946"/>
      <c r="M24" s="6946"/>
      <c r="N24" s="1119"/>
      <c r="O24" s="382"/>
      <c r="P24" s="99"/>
      <c r="Q24" s="99"/>
      <c r="R24" s="99"/>
    </row>
    <row r="25" spans="1:18" ht="15" customHeight="1" thickBot="1" x14ac:dyDescent="0.4">
      <c r="A25" s="1297"/>
      <c r="B25" s="6929" t="s">
        <v>1363</v>
      </c>
      <c r="C25" s="6930"/>
      <c r="D25" s="6930"/>
      <c r="E25" s="6930"/>
      <c r="F25" s="6930"/>
      <c r="G25" s="6930"/>
      <c r="H25" s="6930"/>
      <c r="I25" s="6930"/>
      <c r="J25" s="1285" t="s">
        <v>1342</v>
      </c>
      <c r="K25" s="1289"/>
      <c r="L25" s="1289"/>
      <c r="M25" s="1283"/>
      <c r="N25" s="1119"/>
      <c r="O25" s="382"/>
      <c r="P25" s="99"/>
      <c r="Q25" s="99"/>
      <c r="R25" s="99"/>
    </row>
    <row r="26" spans="1:18" ht="15" thickBot="1" x14ac:dyDescent="0.4">
      <c r="A26" s="6938" t="s">
        <v>63</v>
      </c>
      <c r="B26" s="6939"/>
      <c r="C26" s="6939"/>
      <c r="D26" s="6939"/>
      <c r="E26" s="6939"/>
      <c r="F26" s="6939"/>
      <c r="G26" s="6939"/>
      <c r="H26" s="6939"/>
      <c r="I26" s="6939"/>
      <c r="J26" s="6939"/>
      <c r="K26" s="6939"/>
      <c r="L26" s="6939"/>
      <c r="M26" s="6939"/>
      <c r="N26" s="6940"/>
      <c r="O26" s="382"/>
      <c r="P26" s="99"/>
      <c r="Q26" s="99"/>
      <c r="R26" s="99"/>
    </row>
    <row r="27" spans="1:18" x14ac:dyDescent="0.35">
      <c r="A27" s="1296"/>
      <c r="B27" s="6929" t="s">
        <v>161</v>
      </c>
      <c r="C27" s="6930"/>
      <c r="D27" s="6930"/>
      <c r="E27" s="6930"/>
      <c r="F27" s="6930"/>
      <c r="G27" s="6930"/>
      <c r="H27" s="6930"/>
      <c r="I27" s="6930"/>
      <c r="J27" s="1306" t="s">
        <v>162</v>
      </c>
      <c r="K27" s="1307"/>
      <c r="L27" s="1307"/>
      <c r="M27" s="1308"/>
      <c r="N27" s="1119"/>
      <c r="O27" s="382"/>
      <c r="P27" s="99"/>
      <c r="Q27" s="99"/>
      <c r="R27" s="99"/>
    </row>
    <row r="28" spans="1:18" ht="15" customHeight="1" x14ac:dyDescent="0.35">
      <c r="A28" s="1296"/>
      <c r="B28" s="6929" t="s">
        <v>165</v>
      </c>
      <c r="C28" s="6930"/>
      <c r="D28" s="6930"/>
      <c r="E28" s="6930"/>
      <c r="F28" s="6930"/>
      <c r="G28" s="6930"/>
      <c r="H28" s="6930"/>
      <c r="I28" s="6930"/>
      <c r="J28" s="1285" t="s">
        <v>1338</v>
      </c>
      <c r="K28" s="1282"/>
      <c r="L28" s="1282"/>
      <c r="M28" s="1283"/>
      <c r="N28" s="1119"/>
      <c r="O28" s="382"/>
      <c r="P28" s="99"/>
      <c r="Q28" s="99"/>
      <c r="R28" s="99"/>
    </row>
    <row r="29" spans="1:18" ht="15" thickBot="1" x14ac:dyDescent="0.4">
      <c r="A29" s="1296"/>
      <c r="B29" s="6936"/>
      <c r="C29" s="6937"/>
      <c r="D29" s="6937"/>
      <c r="E29" s="6937"/>
      <c r="F29" s="6937"/>
      <c r="G29" s="6937"/>
      <c r="H29" s="6937"/>
      <c r="I29" s="6937"/>
      <c r="J29" s="1284" t="s">
        <v>1339</v>
      </c>
      <c r="K29" s="1280"/>
      <c r="L29" s="1280"/>
      <c r="M29" s="1281"/>
      <c r="N29" s="1120"/>
      <c r="O29" s="382"/>
      <c r="P29" s="99"/>
      <c r="Q29" s="99"/>
      <c r="R29" s="99"/>
    </row>
    <row r="30" spans="1:18" ht="15" customHeight="1" thickBot="1" x14ac:dyDescent="0.4">
      <c r="A30" s="1296"/>
      <c r="B30" s="6931" t="s">
        <v>1364</v>
      </c>
      <c r="C30" s="6932"/>
      <c r="D30" s="6932"/>
      <c r="E30" s="6932"/>
      <c r="F30" s="6932"/>
      <c r="G30" s="6932"/>
      <c r="H30" s="6932"/>
      <c r="I30" s="6933"/>
      <c r="J30" s="1279" t="s">
        <v>1337</v>
      </c>
      <c r="K30" s="1282"/>
      <c r="L30" s="1282"/>
      <c r="M30" s="1283"/>
      <c r="N30" s="1119"/>
      <c r="O30" s="382"/>
      <c r="P30" s="99"/>
      <c r="Q30" s="99"/>
      <c r="R30" s="99"/>
    </row>
    <row r="31" spans="1:18" ht="15.75" customHeight="1" x14ac:dyDescent="0.35">
      <c r="A31" s="1296"/>
      <c r="B31" s="6929" t="s">
        <v>1344</v>
      </c>
      <c r="C31" s="6930"/>
      <c r="D31" s="6930"/>
      <c r="E31" s="6930"/>
      <c r="F31" s="6930"/>
      <c r="G31" s="6930"/>
      <c r="H31" s="6930"/>
      <c r="I31" s="6930"/>
      <c r="J31" s="1285" t="s">
        <v>1343</v>
      </c>
      <c r="K31" s="1282"/>
      <c r="L31" s="1282"/>
      <c r="M31" s="1290"/>
      <c r="N31" s="1119"/>
      <c r="O31" s="382"/>
      <c r="P31" s="99"/>
      <c r="Q31" s="99"/>
      <c r="R31" s="99"/>
    </row>
    <row r="32" spans="1:18" ht="15.75" customHeight="1" thickBot="1" x14ac:dyDescent="0.4">
      <c r="A32" s="1301"/>
      <c r="B32" s="6943" t="s">
        <v>1349</v>
      </c>
      <c r="C32" s="6944"/>
      <c r="D32" s="6944"/>
      <c r="E32" s="6944"/>
      <c r="F32" s="6944"/>
      <c r="G32" s="6944"/>
      <c r="H32" s="6944"/>
      <c r="I32" s="6945"/>
      <c r="J32" s="1302" t="s">
        <v>1350</v>
      </c>
      <c r="K32" s="1303"/>
      <c r="L32" s="1303"/>
      <c r="M32" s="1304"/>
      <c r="N32" s="1305"/>
      <c r="O32" s="382"/>
      <c r="P32" s="99"/>
      <c r="Q32" s="99"/>
      <c r="R32" s="99"/>
    </row>
    <row r="33" spans="1:18" ht="15" customHeight="1" thickBot="1" x14ac:dyDescent="0.4">
      <c r="A33" s="1116"/>
      <c r="B33" s="6965" t="s">
        <v>63</v>
      </c>
      <c r="C33" s="6966"/>
      <c r="D33" s="6966"/>
      <c r="E33" s="6966"/>
      <c r="F33" s="6966"/>
      <c r="G33" s="6966"/>
      <c r="H33" s="6966"/>
      <c r="I33" s="6966"/>
      <c r="J33" s="1300" t="s">
        <v>169</v>
      </c>
      <c r="K33" s="1298"/>
      <c r="L33" s="1298"/>
      <c r="M33" s="1299"/>
      <c r="N33" s="1117"/>
      <c r="O33" s="382"/>
      <c r="P33" s="99"/>
      <c r="Q33" s="99"/>
      <c r="R33" s="99"/>
    </row>
    <row r="34" spans="1:18" ht="15" thickBot="1" x14ac:dyDescent="0.4">
      <c r="A34" s="6938" t="s">
        <v>1356</v>
      </c>
      <c r="B34" s="6939"/>
      <c r="C34" s="6939"/>
      <c r="D34" s="6939"/>
      <c r="E34" s="6939"/>
      <c r="F34" s="6939"/>
      <c r="G34" s="6939"/>
      <c r="H34" s="6939"/>
      <c r="I34" s="6939"/>
      <c r="J34" s="6939"/>
      <c r="K34" s="6939"/>
      <c r="L34" s="6939"/>
      <c r="M34" s="6939"/>
      <c r="N34" s="6940"/>
      <c r="O34" s="382"/>
      <c r="P34" s="99"/>
      <c r="Q34" s="99"/>
      <c r="R34" s="99"/>
    </row>
    <row r="35" spans="1:18" ht="15" customHeight="1" thickBot="1" x14ac:dyDescent="0.4">
      <c r="A35" s="1296"/>
      <c r="B35" s="6931" t="s">
        <v>1359</v>
      </c>
      <c r="C35" s="6932"/>
      <c r="D35" s="6932"/>
      <c r="E35" s="6932"/>
      <c r="F35" s="6932"/>
      <c r="G35" s="6932"/>
      <c r="H35" s="6932"/>
      <c r="I35" s="6933"/>
      <c r="J35" s="1300" t="s">
        <v>1357</v>
      </c>
      <c r="K35" s="1310"/>
      <c r="M35" s="1311"/>
      <c r="N35" s="1119"/>
      <c r="O35" s="382"/>
      <c r="P35" s="99"/>
      <c r="Q35" s="99"/>
      <c r="R35" s="99"/>
    </row>
    <row r="36" spans="1:18" ht="15" customHeight="1" thickBot="1" x14ac:dyDescent="0.4">
      <c r="A36" s="6947"/>
      <c r="B36" s="6929" t="s">
        <v>1360</v>
      </c>
      <c r="C36" s="6930"/>
      <c r="D36" s="6930"/>
      <c r="E36" s="6930"/>
      <c r="F36" s="6930"/>
      <c r="G36" s="6930"/>
      <c r="H36" s="6930"/>
      <c r="I36" s="6930"/>
      <c r="J36" s="1312" t="s">
        <v>1358</v>
      </c>
      <c r="K36" s="1313"/>
      <c r="L36" s="1313"/>
      <c r="M36" s="1314"/>
      <c r="N36" s="1118"/>
      <c r="O36" s="382"/>
      <c r="P36" s="99"/>
      <c r="Q36" s="99"/>
      <c r="R36" s="99"/>
    </row>
    <row r="37" spans="1:18" ht="15" customHeight="1" x14ac:dyDescent="0.35">
      <c r="A37" s="6947"/>
      <c r="B37" s="6929" t="s">
        <v>170</v>
      </c>
      <c r="C37" s="6930"/>
      <c r="D37" s="6930"/>
      <c r="E37" s="6930"/>
      <c r="F37" s="6930"/>
      <c r="G37" s="6930"/>
      <c r="H37" s="6930"/>
      <c r="I37" s="6930"/>
      <c r="J37" s="1291" t="s">
        <v>1361</v>
      </c>
      <c r="K37" s="1318"/>
      <c r="L37" s="1318"/>
      <c r="M37" s="1319"/>
      <c r="N37" s="1119"/>
      <c r="O37" s="382"/>
      <c r="P37" s="99"/>
      <c r="Q37" s="99"/>
      <c r="R37" s="99"/>
    </row>
    <row r="38" spans="1:18" ht="15" customHeight="1" x14ac:dyDescent="0.35">
      <c r="A38" s="6947"/>
      <c r="B38" s="6929" t="s">
        <v>1366</v>
      </c>
      <c r="C38" s="6930"/>
      <c r="D38" s="6930"/>
      <c r="E38" s="6930"/>
      <c r="F38" s="6930"/>
      <c r="G38" s="6930"/>
      <c r="H38" s="6930"/>
      <c r="I38" s="6930"/>
      <c r="J38" s="1302"/>
      <c r="K38" s="1303"/>
      <c r="L38" s="1303"/>
      <c r="M38" s="1304"/>
      <c r="N38" s="1324"/>
      <c r="O38" s="382"/>
      <c r="P38" s="99"/>
      <c r="Q38" s="99"/>
      <c r="R38" s="99"/>
    </row>
    <row r="39" spans="1:18" ht="15" customHeight="1" thickBot="1" x14ac:dyDescent="0.4">
      <c r="A39" s="6948"/>
      <c r="B39" s="1315" t="s">
        <v>1365</v>
      </c>
      <c r="C39" s="1316"/>
      <c r="D39" s="1316"/>
      <c r="E39" s="1316"/>
      <c r="F39" s="1316"/>
      <c r="G39" s="1316"/>
      <c r="H39" s="1316"/>
      <c r="I39" s="1317"/>
      <c r="J39" s="6949"/>
      <c r="K39" s="6950"/>
      <c r="L39" s="6950"/>
      <c r="M39" s="6951"/>
      <c r="N39" s="1121"/>
      <c r="O39" s="382"/>
      <c r="P39" s="99"/>
      <c r="Q39" s="99"/>
      <c r="R39" s="99"/>
    </row>
    <row r="40" spans="1:18" ht="15" thickTop="1" x14ac:dyDescent="0.35">
      <c r="A40" s="382"/>
      <c r="B40" s="382"/>
      <c r="C40" s="382"/>
      <c r="D40" s="382"/>
      <c r="E40" s="382"/>
      <c r="F40" s="382"/>
      <c r="G40" s="382"/>
      <c r="H40" s="382"/>
      <c r="I40" s="382"/>
      <c r="J40" s="382"/>
      <c r="K40" s="382"/>
      <c r="L40" s="382"/>
      <c r="M40" s="382"/>
      <c r="N40" s="382"/>
      <c r="O40" s="382"/>
      <c r="P40" s="99"/>
      <c r="Q40" s="99"/>
      <c r="R40" s="99"/>
    </row>
    <row r="41" spans="1:18" x14ac:dyDescent="0.35">
      <c r="A41" s="99"/>
      <c r="B41" s="99"/>
      <c r="C41" s="99"/>
      <c r="D41" s="99"/>
      <c r="E41" s="99"/>
      <c r="F41" s="99"/>
      <c r="G41" s="99"/>
      <c r="H41" s="99"/>
      <c r="I41" s="99"/>
      <c r="J41" s="99"/>
      <c r="K41" s="99"/>
      <c r="L41" s="99"/>
      <c r="M41" s="99"/>
      <c r="N41" s="99"/>
      <c r="O41" s="99"/>
      <c r="P41" s="99"/>
      <c r="Q41" s="99"/>
      <c r="R41" s="99"/>
    </row>
    <row r="42" spans="1:18" x14ac:dyDescent="0.35">
      <c r="A42" s="99"/>
      <c r="B42" s="99"/>
      <c r="C42" s="99"/>
      <c r="D42" s="99"/>
      <c r="E42" s="99"/>
      <c r="F42" s="99"/>
      <c r="G42" s="99"/>
      <c r="H42" s="99"/>
      <c r="I42" s="99"/>
      <c r="J42" s="99"/>
      <c r="K42" s="99"/>
      <c r="L42" s="99"/>
      <c r="M42" s="99"/>
      <c r="N42" s="99"/>
      <c r="O42" s="99"/>
      <c r="P42" s="99"/>
      <c r="Q42" s="99"/>
      <c r="R42" s="99"/>
    </row>
    <row r="43" spans="1:18" x14ac:dyDescent="0.35">
      <c r="A43" s="99"/>
      <c r="B43" s="99"/>
      <c r="C43" s="99"/>
      <c r="D43" s="99"/>
      <c r="E43" s="99"/>
      <c r="F43" s="99"/>
      <c r="G43" s="99"/>
      <c r="H43" s="99"/>
      <c r="I43" s="99"/>
      <c r="J43" s="99"/>
      <c r="K43" s="99"/>
      <c r="L43" s="99"/>
      <c r="M43" s="99"/>
      <c r="N43" s="99"/>
      <c r="O43" s="99"/>
      <c r="P43" s="99"/>
      <c r="Q43" s="99"/>
      <c r="R43" s="99"/>
    </row>
    <row r="44" spans="1:18" x14ac:dyDescent="0.35">
      <c r="A44" s="99"/>
      <c r="B44" s="99"/>
      <c r="C44" s="99"/>
      <c r="D44" s="99"/>
      <c r="E44" s="99"/>
      <c r="F44" s="99"/>
      <c r="G44" s="99"/>
      <c r="H44" s="99"/>
      <c r="I44" s="99"/>
      <c r="J44" s="99"/>
      <c r="K44" s="99"/>
      <c r="L44" s="99"/>
      <c r="M44" s="99"/>
      <c r="N44" s="99"/>
      <c r="O44" s="99"/>
      <c r="P44" s="99"/>
      <c r="Q44" s="99"/>
      <c r="R44" s="99"/>
    </row>
    <row r="45" spans="1:18" x14ac:dyDescent="0.35">
      <c r="A45" s="99"/>
      <c r="B45" s="99"/>
      <c r="C45" s="99"/>
      <c r="D45" s="99"/>
      <c r="E45" s="99"/>
      <c r="F45" s="99"/>
      <c r="G45" s="99"/>
      <c r="H45" s="99"/>
      <c r="I45" s="99"/>
      <c r="J45" s="99"/>
      <c r="K45" s="99"/>
      <c r="L45" s="99"/>
      <c r="M45" s="99"/>
      <c r="N45" s="99"/>
      <c r="O45" s="99"/>
      <c r="P45" s="99"/>
      <c r="Q45" s="99"/>
      <c r="R45" s="99"/>
    </row>
    <row r="46" spans="1:18" x14ac:dyDescent="0.35">
      <c r="A46" s="99"/>
      <c r="B46" s="99"/>
      <c r="C46" s="99"/>
      <c r="D46" s="99"/>
      <c r="E46" s="99"/>
      <c r="F46" s="99"/>
      <c r="G46" s="99"/>
      <c r="H46" s="99"/>
      <c r="I46" s="99"/>
      <c r="J46" s="99"/>
      <c r="K46" s="99"/>
      <c r="L46" s="99"/>
      <c r="M46" s="99"/>
      <c r="N46" s="99"/>
      <c r="O46" s="99"/>
      <c r="P46" s="99"/>
      <c r="Q46" s="99"/>
      <c r="R46" s="99"/>
    </row>
    <row r="47" spans="1:18" x14ac:dyDescent="0.35">
      <c r="A47" s="99"/>
      <c r="B47" s="99"/>
      <c r="C47" s="99"/>
      <c r="D47" s="99"/>
      <c r="E47" s="99"/>
      <c r="F47" s="99"/>
      <c r="G47" s="99"/>
      <c r="H47" s="99"/>
      <c r="I47" s="99"/>
      <c r="J47" s="99"/>
      <c r="K47" s="99"/>
      <c r="L47" s="99"/>
      <c r="M47" s="99"/>
      <c r="N47" s="99"/>
      <c r="O47" s="99"/>
      <c r="P47" s="99"/>
      <c r="Q47" s="99"/>
      <c r="R47" s="99"/>
    </row>
    <row r="48" spans="1:18" x14ac:dyDescent="0.35">
      <c r="A48" s="99"/>
      <c r="B48" s="99"/>
      <c r="C48" s="99"/>
      <c r="D48" s="99"/>
      <c r="E48" s="99"/>
      <c r="F48" s="99"/>
      <c r="G48" s="99"/>
      <c r="H48" s="99"/>
      <c r="I48" s="99"/>
      <c r="J48" s="99"/>
      <c r="K48" s="99"/>
      <c r="L48" s="99"/>
      <c r="M48" s="99"/>
      <c r="N48" s="99"/>
      <c r="O48" s="99"/>
      <c r="P48" s="99"/>
      <c r="Q48" s="99"/>
      <c r="R48" s="99"/>
    </row>
    <row r="49" spans="1:18" x14ac:dyDescent="0.35">
      <c r="A49" s="99"/>
      <c r="B49" s="99"/>
      <c r="C49" s="99"/>
      <c r="D49" s="99"/>
      <c r="E49" s="99"/>
      <c r="F49" s="99"/>
      <c r="G49" s="99"/>
      <c r="H49" s="99"/>
      <c r="I49" s="99"/>
      <c r="J49" s="99"/>
      <c r="K49" s="99"/>
      <c r="L49" s="99"/>
      <c r="M49" s="99"/>
      <c r="N49" s="99"/>
      <c r="O49" s="99"/>
      <c r="P49" s="99"/>
      <c r="Q49" s="99"/>
      <c r="R49" s="99"/>
    </row>
    <row r="50" spans="1:18" x14ac:dyDescent="0.35">
      <c r="A50" s="99"/>
      <c r="B50" s="99"/>
      <c r="C50" s="99"/>
      <c r="D50" s="99"/>
      <c r="E50" s="99"/>
      <c r="F50" s="99"/>
      <c r="G50" s="99"/>
      <c r="H50" s="99"/>
      <c r="I50" s="99"/>
      <c r="J50" s="99"/>
      <c r="K50" s="99"/>
      <c r="L50" s="99"/>
      <c r="M50" s="99"/>
      <c r="N50" s="99"/>
      <c r="O50" s="99"/>
      <c r="P50" s="99"/>
      <c r="Q50" s="99"/>
      <c r="R50" s="99"/>
    </row>
    <row r="51" spans="1:18" x14ac:dyDescent="0.35">
      <c r="A51" s="99"/>
      <c r="B51" s="99"/>
      <c r="C51" s="99"/>
      <c r="D51" s="99"/>
      <c r="E51" s="99"/>
      <c r="F51" s="99"/>
      <c r="G51" s="99"/>
      <c r="H51" s="99"/>
      <c r="I51" s="99"/>
      <c r="J51" s="99"/>
      <c r="K51" s="99"/>
      <c r="L51" s="99"/>
      <c r="M51" s="99"/>
      <c r="N51" s="99"/>
      <c r="O51" s="99"/>
      <c r="P51" s="99"/>
      <c r="Q51" s="99"/>
      <c r="R51" s="99"/>
    </row>
    <row r="52" spans="1:18" x14ac:dyDescent="0.35">
      <c r="A52" s="99"/>
      <c r="B52" s="99"/>
      <c r="C52" s="99"/>
      <c r="D52" s="99"/>
      <c r="E52" s="99"/>
      <c r="F52" s="99"/>
      <c r="G52" s="99"/>
      <c r="H52" s="99"/>
      <c r="I52" s="99"/>
      <c r="J52" s="99"/>
      <c r="K52" s="99"/>
      <c r="L52" s="99"/>
      <c r="M52" s="99"/>
      <c r="N52" s="99"/>
      <c r="O52" s="99"/>
      <c r="P52" s="99"/>
      <c r="Q52" s="99"/>
      <c r="R52" s="99"/>
    </row>
    <row r="53" spans="1:18" x14ac:dyDescent="0.35">
      <c r="A53" s="99"/>
      <c r="B53" s="99"/>
      <c r="C53" s="99"/>
      <c r="D53" s="99"/>
      <c r="E53" s="99"/>
      <c r="F53" s="99"/>
      <c r="G53" s="99"/>
      <c r="H53" s="99"/>
      <c r="I53" s="99"/>
      <c r="J53" s="99"/>
      <c r="K53" s="99"/>
      <c r="L53" s="99"/>
      <c r="M53" s="99"/>
      <c r="N53" s="99"/>
      <c r="O53" s="99"/>
      <c r="P53" s="99"/>
      <c r="Q53" s="99"/>
      <c r="R53" s="99"/>
    </row>
    <row r="54" spans="1:18" x14ac:dyDescent="0.35">
      <c r="A54" s="99"/>
      <c r="B54" s="99"/>
      <c r="C54" s="99"/>
      <c r="D54" s="99"/>
      <c r="E54" s="99"/>
      <c r="F54" s="99"/>
      <c r="G54" s="99"/>
      <c r="H54" s="99"/>
      <c r="I54" s="99"/>
      <c r="J54" s="99"/>
      <c r="K54" s="99"/>
      <c r="L54" s="99"/>
      <c r="M54" s="99"/>
      <c r="N54" s="99"/>
      <c r="O54" s="99"/>
      <c r="P54" s="99"/>
      <c r="Q54" s="99"/>
      <c r="R54" s="99"/>
    </row>
    <row r="55" spans="1:18" x14ac:dyDescent="0.35">
      <c r="A55" s="99"/>
      <c r="B55" s="99"/>
      <c r="C55" s="99"/>
      <c r="D55" s="99"/>
      <c r="E55" s="99"/>
      <c r="F55" s="99"/>
      <c r="G55" s="99"/>
      <c r="H55" s="99"/>
      <c r="I55" s="99"/>
      <c r="J55" s="99"/>
      <c r="K55" s="99"/>
      <c r="L55" s="99"/>
      <c r="M55" s="99"/>
      <c r="N55" s="99"/>
      <c r="O55" s="99"/>
      <c r="P55" s="99"/>
      <c r="Q55" s="99"/>
      <c r="R55" s="99"/>
    </row>
    <row r="56" spans="1:18" x14ac:dyDescent="0.35">
      <c r="A56" s="99"/>
      <c r="B56" s="99"/>
      <c r="C56" s="99"/>
      <c r="D56" s="99"/>
      <c r="E56" s="99"/>
      <c r="F56" s="99"/>
      <c r="G56" s="99"/>
      <c r="H56" s="99"/>
      <c r="I56" s="99"/>
      <c r="J56" s="99"/>
      <c r="K56" s="99"/>
      <c r="L56" s="99"/>
      <c r="M56" s="99"/>
      <c r="N56" s="99"/>
      <c r="O56" s="99"/>
      <c r="P56" s="99"/>
      <c r="Q56" s="99"/>
      <c r="R56" s="99"/>
    </row>
    <row r="57" spans="1:18" x14ac:dyDescent="0.35">
      <c r="A57" s="99"/>
      <c r="B57" s="99"/>
      <c r="C57" s="99"/>
      <c r="D57" s="99"/>
      <c r="E57" s="99"/>
      <c r="F57" s="99"/>
      <c r="G57" s="99"/>
      <c r="H57" s="99"/>
      <c r="I57" s="99"/>
      <c r="J57" s="99"/>
      <c r="K57" s="99"/>
      <c r="L57" s="99"/>
      <c r="M57" s="99"/>
      <c r="N57" s="99"/>
      <c r="O57" s="99"/>
      <c r="P57" s="99"/>
      <c r="Q57" s="99"/>
      <c r="R57" s="99"/>
    </row>
    <row r="58" spans="1:18" x14ac:dyDescent="0.35">
      <c r="A58" s="99"/>
      <c r="B58" s="99"/>
      <c r="C58" s="99"/>
      <c r="D58" s="99"/>
      <c r="E58" s="99"/>
      <c r="F58" s="99"/>
      <c r="G58" s="99"/>
      <c r="H58" s="99"/>
      <c r="I58" s="99"/>
      <c r="J58" s="99"/>
      <c r="K58" s="99"/>
      <c r="L58" s="99"/>
      <c r="M58" s="99"/>
      <c r="N58" s="99"/>
      <c r="O58" s="99"/>
      <c r="P58" s="99"/>
      <c r="Q58" s="99"/>
      <c r="R58" s="99"/>
    </row>
    <row r="59" spans="1:18" x14ac:dyDescent="0.35">
      <c r="A59" s="99"/>
      <c r="B59" s="99"/>
      <c r="C59" s="99"/>
      <c r="D59" s="99"/>
      <c r="E59" s="99"/>
      <c r="F59" s="99"/>
      <c r="G59" s="99"/>
      <c r="H59" s="99"/>
      <c r="I59" s="99"/>
      <c r="J59" s="99"/>
      <c r="K59" s="99"/>
      <c r="L59" s="99"/>
      <c r="M59" s="99"/>
      <c r="N59" s="99"/>
      <c r="O59" s="99"/>
      <c r="P59" s="99"/>
      <c r="Q59" s="99"/>
      <c r="R59" s="99"/>
    </row>
    <row r="60" spans="1:18" x14ac:dyDescent="0.35">
      <c r="A60" s="99"/>
      <c r="B60" s="99"/>
      <c r="C60" s="99"/>
      <c r="D60" s="99"/>
      <c r="E60" s="99"/>
      <c r="F60" s="99"/>
      <c r="G60" s="99"/>
      <c r="H60" s="99"/>
      <c r="I60" s="99"/>
      <c r="J60" s="99"/>
      <c r="K60" s="99"/>
      <c r="L60" s="99"/>
      <c r="M60" s="99"/>
      <c r="N60" s="99"/>
      <c r="O60" s="99"/>
      <c r="P60" s="99"/>
      <c r="Q60" s="99"/>
      <c r="R60" s="99"/>
    </row>
    <row r="61" spans="1:18" x14ac:dyDescent="0.35">
      <c r="A61" s="99"/>
      <c r="B61" s="99"/>
      <c r="C61" s="99"/>
      <c r="D61" s="99"/>
      <c r="E61" s="99"/>
      <c r="F61" s="99"/>
      <c r="G61" s="99"/>
      <c r="H61" s="99"/>
      <c r="I61" s="99"/>
      <c r="J61" s="99"/>
      <c r="K61" s="99"/>
      <c r="L61" s="99"/>
      <c r="M61" s="99"/>
      <c r="N61" s="99"/>
      <c r="O61" s="99"/>
      <c r="P61" s="99"/>
      <c r="Q61" s="99"/>
      <c r="R61" s="99"/>
    </row>
    <row r="62" spans="1:18" x14ac:dyDescent="0.35">
      <c r="A62" s="99"/>
      <c r="B62" s="99"/>
      <c r="C62" s="99"/>
      <c r="D62" s="99"/>
      <c r="E62" s="99"/>
      <c r="F62" s="99"/>
      <c r="G62" s="99"/>
      <c r="H62" s="99"/>
      <c r="I62" s="99"/>
      <c r="J62" s="99"/>
      <c r="K62" s="99"/>
      <c r="L62" s="99"/>
      <c r="M62" s="99"/>
      <c r="N62" s="99"/>
      <c r="O62" s="99"/>
      <c r="P62" s="99"/>
      <c r="Q62" s="99"/>
      <c r="R62" s="99"/>
    </row>
  </sheetData>
  <mergeCells count="52">
    <mergeCell ref="B17:I17"/>
    <mergeCell ref="B27:I27"/>
    <mergeCell ref="B25:I25"/>
    <mergeCell ref="B31:I31"/>
    <mergeCell ref="B33:I33"/>
    <mergeCell ref="A26:N26"/>
    <mergeCell ref="L1:M1"/>
    <mergeCell ref="D2:G2"/>
    <mergeCell ref="I2:J2"/>
    <mergeCell ref="L2:M2"/>
    <mergeCell ref="J6:M6"/>
    <mergeCell ref="H4:O4"/>
    <mergeCell ref="C5:O5"/>
    <mergeCell ref="A4:G4"/>
    <mergeCell ref="A6:I6"/>
    <mergeCell ref="D3:G3"/>
    <mergeCell ref="B14:I14"/>
    <mergeCell ref="B30:I30"/>
    <mergeCell ref="B22:I22"/>
    <mergeCell ref="D1:G1"/>
    <mergeCell ref="I1:J1"/>
    <mergeCell ref="A5:B5"/>
    <mergeCell ref="B24:I24"/>
    <mergeCell ref="J9:M9"/>
    <mergeCell ref="J12:M12"/>
    <mergeCell ref="B9:I9"/>
    <mergeCell ref="B12:I12"/>
    <mergeCell ref="J17:M17"/>
    <mergeCell ref="A7:N7"/>
    <mergeCell ref="A10:N10"/>
    <mergeCell ref="A15:N15"/>
    <mergeCell ref="B16:I16"/>
    <mergeCell ref="B11:I11"/>
    <mergeCell ref="J11:M11"/>
    <mergeCell ref="B8:I8"/>
    <mergeCell ref="J8:M8"/>
    <mergeCell ref="B13:I13"/>
    <mergeCell ref="B38:I38"/>
    <mergeCell ref="B35:I35"/>
    <mergeCell ref="B36:I36"/>
    <mergeCell ref="B37:I37"/>
    <mergeCell ref="B18:I18"/>
    <mergeCell ref="B28:I29"/>
    <mergeCell ref="A19:N19"/>
    <mergeCell ref="B20:I20"/>
    <mergeCell ref="B21:I21"/>
    <mergeCell ref="B23:I23"/>
    <mergeCell ref="B32:I32"/>
    <mergeCell ref="J24:M24"/>
    <mergeCell ref="A36:A39"/>
    <mergeCell ref="J39:M39"/>
    <mergeCell ref="A34:N34"/>
  </mergeCells>
  <conditionalFormatting sqref="O2">
    <cfRule type="iconSet" priority="3">
      <iconSet iconSet="3Symbols2" showValue="0">
        <cfvo type="percent" val="0"/>
        <cfvo type="num" val="0"/>
        <cfvo type="num" val="10"/>
      </iconSet>
    </cfRule>
  </conditionalFormatting>
  <dataValidations count="1">
    <dataValidation type="list" allowBlank="1" showInputMessage="1" showErrorMessage="1" sqref="I2" xr:uid="{00000000-0002-0000-7000-000000000000}">
      <formula1>AvancementTheme</formula1>
    </dataValidation>
  </dataValidations>
  <hyperlinks>
    <hyperlink ref="J9:M9" location="'04-MARKETSPECIFICITIES'!A1" display="N° 7 . Market environment" xr:uid="{00000000-0004-0000-7000-000000000000}"/>
    <hyperlink ref="J12:M12" location="'02-VISION'!A1" display="N°3 . Vision" xr:uid="{00000000-0004-0000-7000-000001000000}"/>
    <hyperlink ref="J17:M17" location="'03-COMPETITION-OFR1'!A1" display="N°12.  Concurrence" xr:uid="{00000000-0004-0000-7000-000002000000}"/>
    <hyperlink ref="J27:M27" location="'03-BUSSINCARD-OFR1'!A1" display="N°4 . BIC" xr:uid="{00000000-0004-0000-7000-000003000000}"/>
    <hyperlink ref="J24:M24" location="'03-CHANNELREADY-OFR1'!A1" display="N°10 Channel ready" xr:uid="{00000000-0004-0000-7000-000004000000}"/>
    <hyperlink ref="J8:M8" location="'03-CRITICITY-OFR1'!A1" display="N° 11. Criticité" xr:uid="{00000000-0004-0000-7000-000005000000}"/>
    <hyperlink ref="J13" location="'02-SALESPLAN-OFR1'!Zone_d_impression" display="N°21. Modelvente" xr:uid="{00000000-0004-0000-7000-000006000000}"/>
    <hyperlink ref="J25" location="'02-SALESPLAN-OFR1'!Zone_d_impression" display="N°21. Modèle de vente" xr:uid="{00000000-0004-0000-7000-000007000000}"/>
    <hyperlink ref="J30" location="'02-BUSINESS4PARTNER-OFR1'!Zone_d_impression" display="N°22. OpportuniteBP" xr:uid="{00000000-0004-0000-7000-000008000000}"/>
    <hyperlink ref="J31" location="'08-VALUEAD4PARTNER-OFR1'!Zone_d_impression" display="'08-VALUEAD4PARTNER-OFR1'!Zone_d_impression" xr:uid="{00000000-0004-0000-7000-000009000000}"/>
    <hyperlink ref="J33" location="'09-PROFITPARTNER-OFR1'!Zone_d_impression" display="N°18 Profitabilité partenaires" xr:uid="{00000000-0004-0000-7000-00000A000000}"/>
    <hyperlink ref="J22" location="'06-RESPONSABPARTNER-OFR1'!Zone_d_impression" display="N°18  Rôle des partenaires" xr:uid="{00000000-0004-0000-7000-00000B000000}"/>
    <hyperlink ref="J32" location="'10-PROGRAMPARTNER'!Zone_d_impression" display="N°31 Programme partenaire" xr:uid="{00000000-0004-0000-7000-00000C000000}"/>
    <hyperlink ref="L16" location="'03-BUSINESSCARD-OFR1'!A1" display="N°4 . BIC" xr:uid="{00000000-0004-0000-7000-00000D000000}"/>
    <hyperlink ref="M16" location="'03-POSITIONING-OFR1'!Zone_d_impression" display="N°7 Positionnement" xr:uid="{00000000-0004-0000-7000-00000E000000}"/>
    <hyperlink ref="J35" location="'06-PROFILPARTNER-OFR1'!Zone_d_impression" display="N°19 Profil idéal" xr:uid="{00000000-0004-0000-7000-00000F000000}"/>
    <hyperlink ref="J36" location="'07-RECRUITMENTPLAN-OFR1'!Zone_d_impression" display="N°20 Nbre de BPs" xr:uid="{00000000-0004-0000-7000-000010000000}"/>
    <hyperlink ref="J37" location="'10-FASTSTART'!Zone_d_impression" display="N° 32. Fast Start Program" xr:uid="{00000000-0004-0000-7000-000011000000}"/>
    <hyperlink ref="J29" location="'03-INTERLOCUTORS'!Zone_d_impression" display="N° 8. Interlocuteurs à cibler" xr:uid="{00000000-0004-0000-7000-000012000000}"/>
    <hyperlink ref="J28" location="'04-SECTORMARKET-OFR1'!Zone_d_impression" display="N° 13. Marchés cibles" xr:uid="{00000000-0004-0000-7000-000013000000}"/>
    <hyperlink ref="J20:M20" location="'02-ATTENTE'!A1" display="N°1 Attentes" xr:uid="{00000000-0004-0000-7000-000014000000}"/>
    <hyperlink ref="J20" location="'02-EXPECTATIONS'!Zone_d_impression" display="N°4  Attentes" xr:uid="{00000000-0004-0000-7000-000015000000}"/>
    <hyperlink ref="J23" location="'06-TYPOPARTNER-OFR1'!Zone_d_impression" display="N°17. Type de distribution" xr:uid="{00000000-0004-0000-7000-000016000000}"/>
    <hyperlink ref="J21" location="'02-CHANNELSTRATEGY'!Zone_d_impression" display="N°16 Stratégie" xr:uid="{00000000-0004-0000-7000-000017000000}"/>
    <hyperlink ref="J16" location="'03-CRITICITY-OFR1'!A1" display="N° 11. Criticité" xr:uid="{00000000-0004-0000-7000-000018000000}"/>
  </hyperlinks>
  <pageMargins left="0.70866141732283472" right="0.70866141732283472" top="0.74803149606299213" bottom="0.74803149606299213" header="0.31496062992125984" footer="0.31496062992125984"/>
  <pageSetup paperSize="9" scale="51" orientation="portrait" r:id="rId1"/>
  <headerFooter>
    <oddHeader>&amp;LPAD Methodology (c) 2013-2014&amp;RStrategic Management Workshop</oddHeader>
    <oddFooter>&amp;L&amp;F&amp;C&amp;A&amp;RSituation au : &amp;D - page :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000-000001000000}">
          <x14:formula1>
            <xm:f>Parametre!$B$10:$B$12</xm:f>
          </x14:formula1>
          <xm:sqref>N9 N11:N14 N35:N39 N16:N18 N27:N33 N20:N25</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Feuil1">
    <pageSetUpPr fitToPage="1"/>
  </sheetPr>
  <dimension ref="A1:Q139"/>
  <sheetViews>
    <sheetView showGridLines="0" showRowColHeaders="0" zoomScale="90" zoomScaleNormal="90" zoomScaleSheetLayoutView="80" workbookViewId="0">
      <pane ySplit="4" topLeftCell="A23" activePane="bottomLeft" state="frozen"/>
      <selection activeCell="C5" sqref="C5:P5"/>
      <selection pane="bottomLeft" activeCell="C5" sqref="C5:P5"/>
    </sheetView>
  </sheetViews>
  <sheetFormatPr baseColWidth="10" defaultColWidth="11.453125" defaultRowHeight="14.5" x14ac:dyDescent="0.35"/>
  <cols>
    <col min="1" max="1" width="4.81640625" style="65" customWidth="1"/>
    <col min="2" max="2" width="3" style="65" customWidth="1"/>
    <col min="3" max="4" width="11.453125" style="65"/>
    <col min="5" max="5" width="49.81640625" style="65" customWidth="1"/>
    <col min="6" max="6" width="45.81640625" style="65" customWidth="1"/>
    <col min="7" max="7" width="6.81640625" style="65" hidden="1" customWidth="1"/>
    <col min="8" max="8" width="11.453125" style="65" customWidth="1"/>
    <col min="9" max="9" width="15" style="65" customWidth="1"/>
    <col min="10" max="10" width="21.7265625" style="65" customWidth="1"/>
    <col min="11" max="11" width="8.81640625" style="65" customWidth="1"/>
    <col min="12" max="12" width="7.81640625" style="65" customWidth="1"/>
    <col min="13" max="15" width="11.453125" style="65"/>
    <col min="16" max="16" width="26.1796875" style="65" customWidth="1"/>
    <col min="17" max="16384" width="11.453125" style="65"/>
  </cols>
  <sheetData>
    <row r="1" spans="1:17" x14ac:dyDescent="0.35">
      <c r="A1" s="65" t="s">
        <v>1940</v>
      </c>
      <c r="N1" s="6992" t="s">
        <v>1173</v>
      </c>
      <c r="O1" s="6992"/>
      <c r="P1" s="373">
        <v>1</v>
      </c>
      <c r="Q1" s="2262" t="str">
        <f>IF(P1=NbProduit,"","NB Produit Non alligné avec Parametre")</f>
        <v/>
      </c>
    </row>
    <row r="2" spans="1:17" ht="26" x14ac:dyDescent="0.35">
      <c r="E2" s="6982" t="s">
        <v>720</v>
      </c>
      <c r="F2" s="6982"/>
      <c r="G2" s="6982"/>
      <c r="H2" s="6982"/>
      <c r="I2" s="6982"/>
      <c r="J2" s="6982"/>
      <c r="K2" s="6982"/>
      <c r="L2" s="6982"/>
      <c r="M2" s="6982"/>
      <c r="N2" s="6982"/>
      <c r="O2" s="6982"/>
    </row>
    <row r="3" spans="1:17" ht="24.75" customHeight="1" x14ac:dyDescent="0.35">
      <c r="E3" s="6987" t="str">
        <f>NomClient</f>
        <v xml:space="preserve">EQUINIX </v>
      </c>
      <c r="F3" s="6987"/>
      <c r="G3" s="6987"/>
      <c r="H3" s="6987"/>
      <c r="I3" s="6987"/>
      <c r="J3" s="6987"/>
      <c r="K3" s="6987"/>
      <c r="L3" s="6987"/>
      <c r="M3" s="6987"/>
      <c r="N3" s="6987"/>
      <c r="O3" s="6987"/>
    </row>
    <row r="4" spans="1:17" s="331" customFormat="1" ht="21" x14ac:dyDescent="0.35">
      <c r="B4" s="6983" t="s">
        <v>1613</v>
      </c>
      <c r="C4" s="6983"/>
      <c r="D4" s="6983"/>
      <c r="E4" s="6983"/>
      <c r="F4" s="1633" t="s">
        <v>1556</v>
      </c>
      <c r="G4" s="330"/>
      <c r="H4" s="330" t="s">
        <v>7</v>
      </c>
      <c r="J4" s="367" t="s">
        <v>8</v>
      </c>
      <c r="K4" s="367" t="s">
        <v>2</v>
      </c>
      <c r="L4" s="367" t="s">
        <v>3</v>
      </c>
      <c r="M4" s="6983" t="s">
        <v>729</v>
      </c>
      <c r="N4" s="6983"/>
      <c r="O4" s="6983"/>
      <c r="P4" s="6983"/>
      <c r="Q4" s="367"/>
    </row>
    <row r="5" spans="1:17" s="1011" customFormat="1" ht="3" customHeight="1" x14ac:dyDescent="0.35">
      <c r="B5" s="1012"/>
      <c r="C5" s="1012"/>
      <c r="D5" s="1012"/>
      <c r="E5" s="1012"/>
      <c r="F5" s="1012"/>
      <c r="G5" s="1013"/>
      <c r="H5" s="12"/>
      <c r="J5" s="1012"/>
      <c r="K5" s="1012"/>
      <c r="L5" s="1012"/>
      <c r="M5" s="1012"/>
      <c r="N5" s="1012"/>
      <c r="O5" s="1012"/>
      <c r="P5" s="1012"/>
      <c r="Q5" s="1012"/>
    </row>
    <row r="6" spans="1:17" s="1011" customFormat="1" ht="3" customHeight="1" x14ac:dyDescent="0.35">
      <c r="B6" s="1012"/>
      <c r="C6" s="1012"/>
      <c r="D6" s="1012"/>
      <c r="E6" s="1012"/>
      <c r="F6" s="1012"/>
      <c r="G6" s="1013"/>
      <c r="H6" s="12"/>
      <c r="J6" s="1012"/>
      <c r="K6" s="1012"/>
      <c r="L6" s="1012"/>
      <c r="M6" s="1012"/>
      <c r="N6" s="1012"/>
      <c r="O6" s="1012"/>
      <c r="P6" s="1012"/>
      <c r="Q6" s="1012"/>
    </row>
    <row r="7" spans="1:17" ht="12" customHeight="1" x14ac:dyDescent="0.35">
      <c r="A7" s="403"/>
      <c r="B7" s="6985" t="str">
        <f>Parametre!A22 &amp; " - " &amp; Parametre!B22</f>
        <v>00 - Logistique du WorkShop</v>
      </c>
      <c r="C7" s="6986"/>
      <c r="D7" s="6986"/>
      <c r="E7" s="6986"/>
      <c r="F7" s="1634"/>
      <c r="G7" s="399"/>
      <c r="H7" s="400"/>
      <c r="I7" s="401"/>
      <c r="J7" s="402"/>
      <c r="K7" s="402"/>
      <c r="L7" s="402"/>
      <c r="M7" s="403"/>
      <c r="N7" s="403"/>
      <c r="O7" s="403"/>
      <c r="P7" s="403"/>
      <c r="Q7" s="398"/>
    </row>
    <row r="8" spans="1:17" s="80" customFormat="1" ht="7.5" customHeight="1" x14ac:dyDescent="0.35">
      <c r="A8" s="403"/>
      <c r="B8" s="404"/>
      <c r="C8" s="405"/>
      <c r="D8" s="405"/>
      <c r="E8" s="405"/>
      <c r="F8" s="405"/>
      <c r="G8" s="400"/>
      <c r="H8" s="400"/>
      <c r="I8" s="401"/>
      <c r="J8" s="402"/>
      <c r="K8" s="402"/>
      <c r="L8" s="402"/>
      <c r="M8" s="403"/>
      <c r="N8" s="403"/>
      <c r="O8" s="403"/>
      <c r="P8" s="403"/>
      <c r="Q8" s="403"/>
    </row>
    <row r="9" spans="1:17" ht="17.25" customHeight="1" x14ac:dyDescent="0.35">
      <c r="A9" s="403"/>
      <c r="B9" s="404"/>
      <c r="C9" s="6984" t="s">
        <v>1536</v>
      </c>
      <c r="D9" s="6984"/>
      <c r="E9" s="6984"/>
      <c r="F9" s="6984" t="s">
        <v>1557</v>
      </c>
      <c r="G9" s="6984"/>
      <c r="H9" s="6984"/>
      <c r="I9" s="407" t="str">
        <f>'00-PARAMETERS'!$I$2</f>
        <v>4-Validé</v>
      </c>
      <c r="J9" s="408">
        <f>'00-PARAMETERS'!$L$2</f>
        <v>41721.649074074077</v>
      </c>
      <c r="K9" s="165"/>
      <c r="L9" s="165"/>
      <c r="M9" s="6977" t="s">
        <v>719</v>
      </c>
      <c r="N9" s="6977"/>
      <c r="O9" s="6977"/>
      <c r="P9" s="6977"/>
      <c r="Q9" s="398"/>
    </row>
    <row r="10" spans="1:17" ht="17.25" customHeight="1" x14ac:dyDescent="0.35">
      <c r="A10" s="403"/>
      <c r="B10" s="409"/>
      <c r="C10" s="6984" t="s">
        <v>1537</v>
      </c>
      <c r="D10" s="6984"/>
      <c r="E10" s="6984"/>
      <c r="F10" s="1645" t="s">
        <v>1558</v>
      </c>
      <c r="G10" s="406" t="str">
        <f>TEXT(LEFT(I10,1),"0")</f>
        <v>4</v>
      </c>
      <c r="H10" s="1014">
        <f>ABS(G10)</f>
        <v>4</v>
      </c>
      <c r="I10" s="407" t="str">
        <f>'KEY FIGURES'!$I$2</f>
        <v>4-Validé</v>
      </c>
      <c r="J10" s="408">
        <f>'KEY FIGURES'!$L$2</f>
        <v>42971.837476851855</v>
      </c>
      <c r="K10" s="165"/>
      <c r="L10" s="165"/>
      <c r="M10" s="6977" t="s">
        <v>718</v>
      </c>
      <c r="N10" s="6977"/>
      <c r="O10" s="6977"/>
      <c r="P10" s="6977"/>
      <c r="Q10" s="398"/>
    </row>
    <row r="11" spans="1:17" ht="7.5" customHeight="1" x14ac:dyDescent="0.35">
      <c r="A11" s="403"/>
      <c r="B11" s="409"/>
      <c r="C11" s="410"/>
      <c r="D11" s="410"/>
      <c r="E11" s="410"/>
      <c r="F11" s="410"/>
      <c r="G11" s="403"/>
      <c r="H11" s="403"/>
      <c r="I11" s="403"/>
      <c r="J11" s="403"/>
      <c r="K11" s="403"/>
      <c r="L11" s="403"/>
      <c r="M11" s="410"/>
      <c r="N11" s="410"/>
      <c r="O11" s="410"/>
      <c r="P11" s="410"/>
      <c r="Q11" s="398"/>
    </row>
    <row r="12" spans="1:17" ht="15.75" customHeight="1" x14ac:dyDescent="0.35">
      <c r="A12" s="403"/>
      <c r="B12" s="6990" t="str">
        <f>Parametre!A23 &amp; " - " &amp; Parametre!B23</f>
        <v>01 - Bilan des partenariats actuels</v>
      </c>
      <c r="C12" s="6991"/>
      <c r="D12" s="6991"/>
      <c r="E12" s="6991"/>
      <c r="F12" s="1632"/>
      <c r="G12" s="411"/>
      <c r="H12" s="400"/>
      <c r="I12" s="401"/>
      <c r="J12" s="402"/>
      <c r="K12" s="402"/>
      <c r="L12" s="402"/>
      <c r="M12" s="410"/>
      <c r="N12" s="410"/>
      <c r="O12" s="410"/>
      <c r="P12" s="410"/>
      <c r="Q12" s="398"/>
    </row>
    <row r="13" spans="1:17" s="80" customFormat="1" ht="7.5" customHeight="1" x14ac:dyDescent="0.35">
      <c r="A13" s="403"/>
      <c r="B13" s="1015"/>
      <c r="C13" s="1016"/>
      <c r="D13" s="1016"/>
      <c r="E13" s="1016"/>
      <c r="F13" s="1016"/>
      <c r="G13" s="400"/>
      <c r="H13" s="400"/>
      <c r="I13" s="401"/>
      <c r="J13" s="402"/>
      <c r="K13" s="402"/>
      <c r="L13" s="402"/>
      <c r="M13" s="403"/>
      <c r="N13" s="403"/>
      <c r="O13" s="403"/>
      <c r="P13" s="403"/>
      <c r="Q13" s="403"/>
    </row>
    <row r="14" spans="1:17" ht="17.25" customHeight="1" x14ac:dyDescent="0.35">
      <c r="A14" s="403"/>
      <c r="B14" s="412"/>
      <c r="C14" s="6976" t="s">
        <v>1538</v>
      </c>
      <c r="D14" s="6976"/>
      <c r="E14" s="6976"/>
      <c r="F14" s="1646" t="s">
        <v>1370</v>
      </c>
      <c r="G14" s="406" t="str">
        <f>TEXT(LEFT(I14,1),"0")</f>
        <v>1</v>
      </c>
      <c r="H14" s="1014">
        <f>ABS(G14)</f>
        <v>1</v>
      </c>
      <c r="I14" s="407" t="str">
        <f>SWOT!$I$2</f>
        <v>1-A traiter</v>
      </c>
      <c r="J14" s="408">
        <f>SWOT!$L$2</f>
        <v>42534.906504629631</v>
      </c>
      <c r="K14" s="165" t="e">
        <f>SWOT!$O$2</f>
        <v>#REF!</v>
      </c>
      <c r="L14" s="165" t="e">
        <f>SWOT!$P$2</f>
        <v>#REF!</v>
      </c>
      <c r="M14" s="6977" t="s">
        <v>716</v>
      </c>
      <c r="N14" s="6977"/>
      <c r="O14" s="6977"/>
      <c r="P14" s="6977"/>
      <c r="Q14" s="398"/>
    </row>
    <row r="15" spans="1:17" ht="17.25" customHeight="1" x14ac:dyDescent="0.35">
      <c r="A15" s="403"/>
      <c r="B15" s="412"/>
      <c r="C15" s="6976" t="s">
        <v>1539</v>
      </c>
      <c r="D15" s="6976"/>
      <c r="E15" s="6976"/>
      <c r="F15" s="1646" t="s">
        <v>1540</v>
      </c>
      <c r="G15" s="406" t="str">
        <f>TEXT(LEFT(I15,1),"0")</f>
        <v>4</v>
      </c>
      <c r="H15" s="1014">
        <f>ABS(G15)</f>
        <v>4</v>
      </c>
      <c r="I15" s="407" t="str">
        <f>'ADDED VALUE'!$I$2</f>
        <v>4-Validé</v>
      </c>
      <c r="J15" s="408">
        <f>EXPECTATIONS!$L$2</f>
        <v>42965.891921296294</v>
      </c>
      <c r="K15" s="165">
        <f>'ADDED VALUE'!$O$2</f>
        <v>0</v>
      </c>
      <c r="L15" s="165">
        <f>'ADDED VALUE'!$P$2</f>
        <v>0</v>
      </c>
      <c r="M15" s="6967" t="s">
        <v>717</v>
      </c>
      <c r="N15" s="6967"/>
      <c r="O15" s="6967"/>
      <c r="P15" s="6967"/>
      <c r="Q15" s="398"/>
    </row>
    <row r="16" spans="1:17" ht="7.5" customHeight="1" x14ac:dyDescent="0.35">
      <c r="A16" s="403"/>
      <c r="B16" s="412"/>
      <c r="C16" s="413"/>
      <c r="D16" s="413"/>
      <c r="E16" s="413"/>
      <c r="F16" s="413"/>
      <c r="G16" s="403"/>
      <c r="H16" s="403"/>
      <c r="I16" s="403"/>
      <c r="J16" s="403"/>
      <c r="K16" s="403"/>
      <c r="L16" s="403"/>
      <c r="M16" s="410"/>
      <c r="N16" s="410"/>
      <c r="O16" s="410"/>
      <c r="P16" s="410"/>
      <c r="Q16" s="398"/>
    </row>
    <row r="17" spans="1:17" ht="15.75" customHeight="1" x14ac:dyDescent="0.35">
      <c r="A17" s="403"/>
      <c r="B17" s="6988" t="str">
        <f>Parametre!A24 &amp; " - " &amp; Parametre!B24</f>
        <v>02 - Vision, Attente &amp; Stratégie</v>
      </c>
      <c r="C17" s="6989"/>
      <c r="D17" s="6989"/>
      <c r="E17" s="6989"/>
      <c r="F17" s="1631"/>
      <c r="G17" s="414"/>
      <c r="H17" s="400"/>
      <c r="I17" s="401"/>
      <c r="J17" s="402"/>
      <c r="K17" s="402"/>
      <c r="L17" s="402"/>
      <c r="M17" s="410"/>
      <c r="N17" s="410"/>
      <c r="O17" s="410"/>
      <c r="P17" s="410"/>
      <c r="Q17" s="398"/>
    </row>
    <row r="18" spans="1:17" s="80" customFormat="1" ht="7.5" customHeight="1" x14ac:dyDescent="0.35">
      <c r="A18" s="403"/>
      <c r="B18" s="415"/>
      <c r="C18" s="416"/>
      <c r="D18" s="416"/>
      <c r="E18" s="416"/>
      <c r="F18" s="416"/>
      <c r="G18" s="417"/>
      <c r="H18" s="400"/>
      <c r="I18" s="401"/>
      <c r="J18" s="402"/>
      <c r="K18" s="402"/>
      <c r="L18" s="402"/>
      <c r="M18" s="410"/>
      <c r="N18" s="410"/>
      <c r="O18" s="410"/>
      <c r="P18" s="410"/>
      <c r="Q18" s="403"/>
    </row>
    <row r="19" spans="1:17" ht="17.25" customHeight="1" x14ac:dyDescent="0.35">
      <c r="A19" s="403"/>
      <c r="B19" s="418"/>
      <c r="C19" s="6971" t="str">
        <f xml:space="preserve"> "Vision à " &amp; NbAnVision &amp; " ans de la Société"</f>
        <v>Vision à 3 ans de la Société</v>
      </c>
      <c r="D19" s="6971"/>
      <c r="E19" s="6971"/>
      <c r="F19" s="1646" t="s">
        <v>1180</v>
      </c>
      <c r="G19" s="406" t="str">
        <f t="shared" ref="G19:G33" si="0">TEXT(LEFT(I19,1),"0")</f>
        <v>1</v>
      </c>
      <c r="H19" s="1014">
        <f t="shared" ref="H19:H33" si="1">ABS(G19)</f>
        <v>1</v>
      </c>
      <c r="I19" s="407" t="str">
        <f>VISION!$I$2</f>
        <v>1-A traiter</v>
      </c>
      <c r="J19" s="408">
        <f>VISION!$L$2</f>
        <v>42967.415023148147</v>
      </c>
      <c r="K19" s="165" t="e">
        <f>VISION!$O$2</f>
        <v>#REF!</v>
      </c>
      <c r="L19" s="165" t="e">
        <f>VISION!$P$2</f>
        <v>#REF!</v>
      </c>
      <c r="M19" s="6977" t="str">
        <f>"Définition du Cap à " &amp; NbAnVision &amp;" ans"</f>
        <v>Définition du Cap à 3 ans</v>
      </c>
      <c r="N19" s="6977"/>
      <c r="O19" s="6977"/>
      <c r="P19" s="6977"/>
      <c r="Q19" s="398"/>
    </row>
    <row r="20" spans="1:17" ht="17.25" customHeight="1" x14ac:dyDescent="0.35">
      <c r="A20" s="403"/>
      <c r="B20" s="418"/>
      <c r="C20" s="6971" t="s">
        <v>1534</v>
      </c>
      <c r="D20" s="6971"/>
      <c r="E20" s="6971"/>
      <c r="F20" s="1646" t="s">
        <v>1542</v>
      </c>
      <c r="G20" s="406" t="str">
        <f t="shared" si="0"/>
        <v>0</v>
      </c>
      <c r="H20" s="1014">
        <f t="shared" si="1"/>
        <v>0</v>
      </c>
      <c r="I20" s="407" t="str">
        <f>EXPECTATIONS!$I$2</f>
        <v>0-Non nécessaire</v>
      </c>
      <c r="J20" s="408">
        <f>EXPECTATIONS!$L$2</f>
        <v>42965.891921296294</v>
      </c>
      <c r="K20" s="165">
        <f>EXPECTATIONS!$O$2</f>
        <v>0</v>
      </c>
      <c r="L20" s="165">
        <f>EXPECTATIONS!$P$2</f>
        <v>0</v>
      </c>
      <c r="M20" s="6967" t="s">
        <v>722</v>
      </c>
      <c r="N20" s="6967"/>
      <c r="O20" s="6967"/>
      <c r="P20" s="6967"/>
      <c r="Q20" s="398"/>
    </row>
    <row r="21" spans="1:17" ht="17.25" customHeight="1" x14ac:dyDescent="0.35">
      <c r="A21" s="403"/>
      <c r="B21" s="418"/>
      <c r="C21" s="6971" t="s">
        <v>1541</v>
      </c>
      <c r="D21" s="6971"/>
      <c r="E21" s="6971"/>
      <c r="F21" s="1646" t="s">
        <v>1543</v>
      </c>
      <c r="G21" s="406" t="str">
        <f t="shared" si="0"/>
        <v>1</v>
      </c>
      <c r="H21" s="1014">
        <f t="shared" si="1"/>
        <v>1</v>
      </c>
      <c r="I21" s="407" t="str">
        <f>'02-CHANNELSTRATEGY'!$I$2</f>
        <v>1-A traiter</v>
      </c>
      <c r="J21" s="408">
        <f>'02-CHANNELSTRATEGY'!$L$2</f>
        <v>42534.904039351852</v>
      </c>
      <c r="K21" s="165">
        <f>'02-CHANNELSTRATEGY'!$O$2</f>
        <v>105</v>
      </c>
      <c r="L21" s="165">
        <f>'02-CHANNELSTRATEGY'!$P$2</f>
        <v>37</v>
      </c>
      <c r="M21" s="6967" t="s">
        <v>723</v>
      </c>
      <c r="N21" s="6967"/>
      <c r="O21" s="6967"/>
      <c r="P21" s="6967"/>
      <c r="Q21" s="398"/>
    </row>
    <row r="22" spans="1:17" ht="17.25" customHeight="1" x14ac:dyDescent="0.35">
      <c r="A22" s="403"/>
      <c r="B22" s="418"/>
      <c r="C22" s="6971" t="str">
        <f xml:space="preserve"> "Plan de vente à " &amp; NbAnVision &amp; " ans par canal " &amp; NomProd1</f>
        <v>Plan de vente à 3 ans par canal EQUINIX</v>
      </c>
      <c r="D22" s="6971"/>
      <c r="E22" s="6971"/>
      <c r="F22" s="1646" t="s">
        <v>1544</v>
      </c>
      <c r="G22" s="406" t="str">
        <f t="shared" si="0"/>
        <v>4</v>
      </c>
      <c r="H22" s="1014">
        <f t="shared" si="1"/>
        <v>4</v>
      </c>
      <c r="I22" s="407" t="str">
        <f>'SALESPLAN 3Y'!$I$2</f>
        <v>4-Validé</v>
      </c>
      <c r="J22" s="408">
        <f>'SALESPLAN 3Y'!$L$2</f>
        <v>42971.895219907405</v>
      </c>
      <c r="K22" s="165">
        <f>'SALESPLAN 3Y'!$O$2</f>
        <v>0</v>
      </c>
      <c r="L22" s="165">
        <f>'SALESPLAN 3Y'!$P$2</f>
        <v>0</v>
      </c>
      <c r="M22" s="6967" t="str">
        <f>"CA à " &amp; NbAnVision &amp; " ans ventilé par canal de distribution"</f>
        <v>CA à 3 ans ventilé par canal de distribution</v>
      </c>
      <c r="N22" s="6967"/>
      <c r="O22" s="6967"/>
      <c r="P22" s="6967"/>
      <c r="Q22" s="398"/>
    </row>
    <row r="23" spans="1:17" ht="17.25" customHeight="1" x14ac:dyDescent="0.35">
      <c r="A23" s="403"/>
      <c r="B23" s="418"/>
      <c r="C23" s="6971" t="str">
        <f>"Revenus dégagés par les partenaires à " &amp;NbAnVision &amp; " ans " &amp; NomProd1</f>
        <v>Revenus dégagés par les partenaires à 3 ans EQUINIX</v>
      </c>
      <c r="D23" s="6971"/>
      <c r="E23" s="6971"/>
      <c r="F23" s="1646" t="s">
        <v>1545</v>
      </c>
      <c r="G23" s="406" t="str">
        <f t="shared" si="0"/>
        <v>1</v>
      </c>
      <c r="H23" s="1014">
        <f t="shared" si="1"/>
        <v>1</v>
      </c>
      <c r="I23" s="407" t="str">
        <f>'02-BUSINESS4PARTNER-OFR1'!$I$2</f>
        <v>1-A traiter</v>
      </c>
      <c r="J23" s="408">
        <f>'02-BUSINESS4PARTNER-OFR1'!$L$2</f>
        <v>42534.882395833331</v>
      </c>
      <c r="K23" s="165">
        <f>'02-BUSINESS4PARTNER-OFR1'!$O$2</f>
        <v>190</v>
      </c>
      <c r="L23" s="165">
        <f>'02-BUSINESS4PARTNER-OFR1'!$P$2</f>
        <v>101</v>
      </c>
      <c r="M23" s="6967" t="str">
        <f xml:space="preserve"> "CA encaissé par les partenaires sur " &amp; NbAnVision &amp; " ans"</f>
        <v>CA encaissé par les partenaires sur 3 ans</v>
      </c>
      <c r="N23" s="6967"/>
      <c r="O23" s="6967"/>
      <c r="P23" s="6967"/>
      <c r="Q23" s="398"/>
    </row>
    <row r="24" spans="1:17" ht="17.25" customHeight="1" x14ac:dyDescent="0.35">
      <c r="A24" s="403"/>
      <c r="B24" s="418"/>
      <c r="C24" s="6971" t="str">
        <f>"SaaS # new clients et # partenaires correspondants " &amp; NomProd1</f>
        <v>SaaS # new clients et # partenaires correspondants EQUINIX</v>
      </c>
      <c r="D24" s="6971"/>
      <c r="E24" s="6971"/>
      <c r="F24" s="1646" t="s">
        <v>1546</v>
      </c>
      <c r="G24" s="406" t="str">
        <f t="shared" si="0"/>
        <v>1</v>
      </c>
      <c r="H24" s="1014">
        <f t="shared" si="1"/>
        <v>1</v>
      </c>
      <c r="I24" s="1920" t="str">
        <f>'02-CHANNELCAPACITY-SAAS-OFR1'!$I$2</f>
        <v>1-A traiter</v>
      </c>
      <c r="J24" s="408">
        <f>'02-CHANNELCAPACITY-SAAS-OFR1'!$L$2</f>
        <v>42534.890960648147</v>
      </c>
      <c r="K24" s="2305">
        <f>'02-CHANNELCAPACITY-SAAS-OFR1'!$O$2</f>
        <v>75</v>
      </c>
      <c r="L24" s="2305">
        <f>'02-CHANNELCAPACITY-SAAS-OFR1'!$P$2</f>
        <v>211</v>
      </c>
      <c r="M24" s="6967" t="s">
        <v>1201</v>
      </c>
      <c r="N24" s="6967"/>
      <c r="O24" s="6967"/>
      <c r="P24" s="6967"/>
      <c r="Q24" s="398"/>
    </row>
    <row r="25" spans="1:17" ht="17.25" hidden="1" customHeight="1" x14ac:dyDescent="0.35">
      <c r="A25" s="403"/>
      <c r="B25" s="418"/>
      <c r="C25" s="6971" t="str">
        <f>"Licence # new clients et partenaires correspondants " &amp; NomProd1</f>
        <v>Licence # new clients et partenaires correspondants EQUINIX</v>
      </c>
      <c r="D25" s="6971"/>
      <c r="E25" s="6971"/>
      <c r="F25" s="1646" t="s">
        <v>1548</v>
      </c>
      <c r="G25" s="406" t="str">
        <f t="shared" si="0"/>
        <v>1</v>
      </c>
      <c r="H25" s="1014">
        <f t="shared" si="1"/>
        <v>1</v>
      </c>
      <c r="I25" s="407" t="str">
        <f>'02-CHANNELCAPACITY-LIC-OFR1'!$I$2</f>
        <v>1-A traiter</v>
      </c>
      <c r="J25" s="408">
        <f>'02-CHANNELCAPACITY-LIC-OFR1'!$L$2</f>
        <v>42419.879444444443</v>
      </c>
      <c r="K25" s="165">
        <f>'02-CHANNELCAPACITY-LIC-OFR1'!$O$2</f>
        <v>10</v>
      </c>
      <c r="L25" s="165">
        <f>'02-CHANNELCAPACITY-LIC-OFR1'!$P$2</f>
        <v>21</v>
      </c>
      <c r="M25" s="6967" t="s">
        <v>1201</v>
      </c>
      <c r="N25" s="6967"/>
      <c r="O25" s="6967"/>
      <c r="P25" s="6967"/>
      <c r="Q25" s="398"/>
    </row>
    <row r="26" spans="1:17" ht="17.25" hidden="1" customHeight="1" x14ac:dyDescent="0.35">
      <c r="A26" s="403"/>
      <c r="B26" s="418"/>
      <c r="C26" s="6971" t="str">
        <f xml:space="preserve"> "Plan de vente à " &amp; NbAnVision &amp; " ans par canal " &amp; NomProd2</f>
        <v>Plan de vente à 3 ans par canal ASEMA</v>
      </c>
      <c r="D26" s="6971"/>
      <c r="E26" s="6971"/>
      <c r="F26" s="1646" t="s">
        <v>1549</v>
      </c>
      <c r="G26" s="406" t="str">
        <f t="shared" si="0"/>
        <v>0</v>
      </c>
      <c r="H26" s="1014">
        <f t="shared" si="1"/>
        <v>0</v>
      </c>
      <c r="I26" s="407" t="str">
        <f>'02-SALESPLAN-OFR2'!$I$2</f>
        <v>0-Non nécessaire</v>
      </c>
      <c r="J26" s="408">
        <f>'02-SALESPLAN-OFR2'!$L$2</f>
        <v>42419.891724537039</v>
      </c>
      <c r="K26" s="1644">
        <f>'02-SALESPLAN-OFR2'!$O$2</f>
        <v>-10</v>
      </c>
      <c r="L26" s="165">
        <f>'02-SALESPLAN-OFR2'!$P$2</f>
        <v>44</v>
      </c>
      <c r="M26" s="6967" t="str">
        <f>"CA à " &amp; NbAnVision &amp; " ans ventilé par canal de distribution"</f>
        <v>CA à 3 ans ventilé par canal de distribution</v>
      </c>
      <c r="N26" s="6967"/>
      <c r="O26" s="6967"/>
      <c r="P26" s="6967"/>
      <c r="Q26" s="398"/>
    </row>
    <row r="27" spans="1:17" ht="17.25" hidden="1" customHeight="1" x14ac:dyDescent="0.35">
      <c r="A27" s="403"/>
      <c r="B27" s="418"/>
      <c r="C27" s="6971" t="str">
        <f>"Revenus dégagés par les partenaires à " &amp; NbAnVision &amp; " ans " &amp; NomProd2</f>
        <v>Revenus dégagés par les partenaires à 3 ans ASEMA</v>
      </c>
      <c r="D27" s="6971"/>
      <c r="E27" s="6971"/>
      <c r="F27" s="1646" t="s">
        <v>1550</v>
      </c>
      <c r="G27" s="406" t="str">
        <f t="shared" si="0"/>
        <v>0</v>
      </c>
      <c r="H27" s="1014">
        <f t="shared" si="1"/>
        <v>0</v>
      </c>
      <c r="I27" s="407" t="str">
        <f>'02-BUSINESS4PARTNER-OFR2'!$I$2</f>
        <v>0-Non nécessaire</v>
      </c>
      <c r="J27" s="408">
        <f>'02-BUSINESS4PARTNER-OFR2'!$L$2</f>
        <v>42419.899629629632</v>
      </c>
      <c r="K27" s="165">
        <f>'02-BUSINESS4PARTNER-OFR2'!$O$2</f>
        <v>141</v>
      </c>
      <c r="L27" s="165">
        <f>'02-BUSINESS4PARTNER-OFR2'!$P$2</f>
        <v>101</v>
      </c>
      <c r="M27" s="6967" t="str">
        <f xml:space="preserve"> "CA encaissé par les partenaires sur " &amp; NbAnVision &amp; " ans"</f>
        <v>CA encaissé par les partenaires sur 3 ans</v>
      </c>
      <c r="N27" s="6967"/>
      <c r="O27" s="6967"/>
      <c r="P27" s="6967"/>
      <c r="Q27" s="398"/>
    </row>
    <row r="28" spans="1:17" ht="17.25" hidden="1" customHeight="1" x14ac:dyDescent="0.35">
      <c r="A28" s="403"/>
      <c r="B28" s="418"/>
      <c r="C28" s="6971" t="str">
        <f>"SaaS # new clients et # partenaires correspondants " &amp; NomProd2</f>
        <v>SaaS # new clients et # partenaires correspondants ASEMA</v>
      </c>
      <c r="D28" s="6971"/>
      <c r="E28" s="6971"/>
      <c r="F28" s="1646" t="s">
        <v>1547</v>
      </c>
      <c r="G28" s="406" t="str">
        <f t="shared" si="0"/>
        <v>0</v>
      </c>
      <c r="H28" s="1014">
        <f t="shared" si="1"/>
        <v>0</v>
      </c>
      <c r="I28" s="407" t="str">
        <f>'02-CHANNELCAPACITY-SAAS-OFR2'!$I$2</f>
        <v>0-Non nécessaire</v>
      </c>
      <c r="J28" s="408">
        <f>'02-CHANNELCAPACITY-SAAS-OFR2'!$L$2</f>
        <v>42419.907141203701</v>
      </c>
      <c r="K28" s="165">
        <f>'02-CHANNELCAPACITY-SAAS-OFR2'!$O$2</f>
        <v>-10</v>
      </c>
      <c r="L28" s="165">
        <f>'02-CHANNELCAPACITY-SAAS-OFR2'!$P$2</f>
        <v>24</v>
      </c>
      <c r="M28" s="6967" t="s">
        <v>1201</v>
      </c>
      <c r="N28" s="6967"/>
      <c r="O28" s="6967"/>
      <c r="P28" s="6967"/>
      <c r="Q28" s="398"/>
    </row>
    <row r="29" spans="1:17" ht="17.25" hidden="1" customHeight="1" x14ac:dyDescent="0.35">
      <c r="A29" s="403"/>
      <c r="B29" s="418"/>
      <c r="C29" s="6971" t="str">
        <f>"Licence. # new clients &amp; # partenaires correspondants " &amp; NomProd2</f>
        <v>Licence. # new clients &amp; # partenaires correspondants ASEMA</v>
      </c>
      <c r="D29" s="6971"/>
      <c r="E29" s="6971"/>
      <c r="F29" s="1646" t="s">
        <v>1551</v>
      </c>
      <c r="G29" s="406" t="str">
        <f t="shared" si="0"/>
        <v>0</v>
      </c>
      <c r="H29" s="1014">
        <f t="shared" si="1"/>
        <v>0</v>
      </c>
      <c r="I29" s="407" t="str">
        <f>'02-CHANNELCAPACITY-LIC-OFR2'!$I$2</f>
        <v>0-Non nécessaire</v>
      </c>
      <c r="J29" s="408">
        <f>'02-CHANNELCAPACITY-LIC-OFR2'!$L$2</f>
        <v>42419.90960648148</v>
      </c>
      <c r="K29" s="165">
        <f>'02-CHANNELCAPACITY-LIC-OFR2'!$O$2</f>
        <v>10</v>
      </c>
      <c r="L29" s="165">
        <f>'02-CHANNELCAPACITY-LIC-OFR2'!$P$2</f>
        <v>21</v>
      </c>
      <c r="M29" s="6967" t="s">
        <v>1201</v>
      </c>
      <c r="N29" s="6967"/>
      <c r="O29" s="6967"/>
      <c r="P29" s="6967"/>
      <c r="Q29" s="398"/>
    </row>
    <row r="30" spans="1:17" ht="17.25" hidden="1" customHeight="1" x14ac:dyDescent="0.35">
      <c r="A30" s="403"/>
      <c r="B30" s="418"/>
      <c r="C30" s="6971" t="str">
        <f xml:space="preserve"> "Plan de vente à " &amp; NbAnVision &amp; " ans par canal " &amp; NomProd3</f>
        <v xml:space="preserve">Plan de vente à 3 ans par canal </v>
      </c>
      <c r="D30" s="6971"/>
      <c r="E30" s="6971"/>
      <c r="F30" s="1646" t="s">
        <v>1552</v>
      </c>
      <c r="G30" s="406" t="str">
        <f t="shared" si="0"/>
        <v>0</v>
      </c>
      <c r="H30" s="1014">
        <f t="shared" si="1"/>
        <v>0</v>
      </c>
      <c r="I30" s="407" t="str">
        <f>'02-SALESPLAN-OFR3'!$I$2</f>
        <v>0-Non nécessaire</v>
      </c>
      <c r="J30" s="408">
        <f>'02-SALESPLAN-OFR3'!$L$2</f>
        <v>42419.915243055555</v>
      </c>
      <c r="K30" s="165">
        <f>'02-SALESPLAN-OFR3'!$O$2</f>
        <v>106</v>
      </c>
      <c r="L30" s="165">
        <f>'02-SALESPLAN-OFR3'!$P$2</f>
        <v>45</v>
      </c>
      <c r="M30" s="6967" t="str">
        <f>"CA à " &amp; NbAnVision &amp; " ans ventilé par canal de distribution"</f>
        <v>CA à 3 ans ventilé par canal de distribution</v>
      </c>
      <c r="N30" s="6967"/>
      <c r="O30" s="6967"/>
      <c r="P30" s="6967"/>
      <c r="Q30" s="398"/>
    </row>
    <row r="31" spans="1:17" ht="17.25" hidden="1" customHeight="1" x14ac:dyDescent="0.35">
      <c r="A31" s="403"/>
      <c r="B31" s="418"/>
      <c r="C31" s="6971" t="str">
        <f>"Revenus dégagés par les partenaires à " &amp; NbAnVision &amp; " ans " &amp; NomProd3</f>
        <v xml:space="preserve">Revenus dégagés par les partenaires à 3 ans </v>
      </c>
      <c r="D31" s="6971"/>
      <c r="E31" s="6971"/>
      <c r="F31" s="1646" t="s">
        <v>1553</v>
      </c>
      <c r="G31" s="406" t="str">
        <f t="shared" si="0"/>
        <v>0</v>
      </c>
      <c r="H31" s="1014">
        <f t="shared" si="1"/>
        <v>0</v>
      </c>
      <c r="I31" s="407" t="str">
        <f>'02-BUSINESS4PARTNER-OFR3'!$I$2</f>
        <v>0-Non nécessaire</v>
      </c>
      <c r="J31" s="408">
        <f>'02-BUSINESS4PARTNER-OFR3'!$L$2</f>
        <v>42419.917893518519</v>
      </c>
      <c r="K31" s="165">
        <f>'02-BUSINESS4PARTNER-OFR3'!$O$2</f>
        <v>141</v>
      </c>
      <c r="L31" s="165">
        <f>'02-BUSINESS4PARTNER-OFR3'!$P$2</f>
        <v>101</v>
      </c>
      <c r="M31" s="6967" t="str">
        <f xml:space="preserve"> "CA encaissé par les partenaires sur " &amp; NbAnVision &amp; " ans"</f>
        <v>CA encaissé par les partenaires sur 3 ans</v>
      </c>
      <c r="N31" s="6967"/>
      <c r="O31" s="6967"/>
      <c r="P31" s="6967"/>
      <c r="Q31" s="398"/>
    </row>
    <row r="32" spans="1:17" ht="17.25" hidden="1" customHeight="1" x14ac:dyDescent="0.35">
      <c r="A32" s="403"/>
      <c r="B32" s="418"/>
      <c r="C32" s="6971" t="str">
        <f>"SaaS.  # new clients &amp; # partenaires correspondants " &amp; NomProd3</f>
        <v xml:space="preserve">SaaS.  # new clients &amp; # partenaires correspondants </v>
      </c>
      <c r="D32" s="6971"/>
      <c r="E32" s="6971"/>
      <c r="F32" s="1646" t="s">
        <v>1554</v>
      </c>
      <c r="G32" s="406" t="str">
        <f t="shared" si="0"/>
        <v>0</v>
      </c>
      <c r="H32" s="1014">
        <f t="shared" si="1"/>
        <v>0</v>
      </c>
      <c r="I32" s="407" t="str">
        <f>'02-CHANNELCAPACITY-SAAS-OFR3'!$I$2</f>
        <v>0-Non nécessaire</v>
      </c>
      <c r="J32" s="408">
        <f>'02-CHANNELCAPACITY-SAAS-OFR3'!$L$2</f>
        <v>42419.922754629632</v>
      </c>
      <c r="K32" s="165">
        <f>'02-CHANNELCAPACITY-SAAS-OFR3'!$O$2</f>
        <v>-10</v>
      </c>
      <c r="L32" s="165">
        <f>'02-CHANNELCAPACITY-SAAS-OFR3'!$P$2</f>
        <v>24</v>
      </c>
      <c r="M32" s="6967" t="s">
        <v>1201</v>
      </c>
      <c r="N32" s="6967"/>
      <c r="O32" s="6967"/>
      <c r="P32" s="6967"/>
      <c r="Q32" s="398"/>
    </row>
    <row r="33" spans="1:17" ht="17.25" hidden="1" customHeight="1" x14ac:dyDescent="0.35">
      <c r="A33" s="403"/>
      <c r="B33" s="418"/>
      <c r="C33" s="6971" t="str">
        <f>"Licence. # new clients &amp; # partenaires " &amp; NomProd3</f>
        <v xml:space="preserve">Licence. # new clients &amp; # partenaires </v>
      </c>
      <c r="D33" s="6971"/>
      <c r="E33" s="6971"/>
      <c r="F33" s="1646" t="s">
        <v>1555</v>
      </c>
      <c r="G33" s="406" t="str">
        <f t="shared" si="0"/>
        <v>0</v>
      </c>
      <c r="H33" s="1014">
        <f t="shared" si="1"/>
        <v>0</v>
      </c>
      <c r="I33" s="407" t="str">
        <f>'02-CHANNELCAPACITY-LIC-OFR3'!$I$2</f>
        <v>0-Non nécessaire</v>
      </c>
      <c r="J33" s="408">
        <f>'02-CHANNELCAPACITY-LIC-OFR3'!$L$2</f>
        <v>42419.925127314818</v>
      </c>
      <c r="K33" s="165">
        <f>'02-CHANNELCAPACITY-LIC-OFR3'!$O$2</f>
        <v>10</v>
      </c>
      <c r="L33" s="165">
        <f>'02-CHANNELCAPACITY-LIC-OFR3'!$P$2</f>
        <v>21</v>
      </c>
      <c r="M33" s="6967" t="s">
        <v>1201</v>
      </c>
      <c r="N33" s="6967"/>
      <c r="O33" s="6967"/>
      <c r="P33" s="6967"/>
      <c r="Q33" s="398"/>
    </row>
    <row r="34" spans="1:17" ht="7.5" customHeight="1" x14ac:dyDescent="0.35">
      <c r="A34" s="403"/>
      <c r="B34" s="418"/>
      <c r="C34" s="413"/>
      <c r="D34" s="413"/>
      <c r="E34" s="413"/>
      <c r="F34" s="413"/>
      <c r="G34" s="403"/>
      <c r="H34" s="403"/>
      <c r="I34" s="403"/>
      <c r="J34" s="403"/>
      <c r="K34" s="403"/>
      <c r="L34" s="403"/>
      <c r="M34" s="410"/>
      <c r="N34" s="410"/>
      <c r="O34" s="410"/>
      <c r="P34" s="410"/>
      <c r="Q34" s="398"/>
    </row>
    <row r="35" spans="1:17" ht="15.75" customHeight="1" x14ac:dyDescent="0.35">
      <c r="A35" s="403"/>
      <c r="B35" s="7001" t="str">
        <f>Parametre!A25 &amp; " - " &amp; Parametre!B25</f>
        <v>03 - Positionnement de l'offre</v>
      </c>
      <c r="C35" s="7002"/>
      <c r="D35" s="7002"/>
      <c r="E35" s="7002"/>
      <c r="F35" s="1629"/>
      <c r="G35" s="419"/>
      <c r="H35" s="400"/>
      <c r="I35" s="401"/>
      <c r="J35" s="402"/>
      <c r="K35" s="402"/>
      <c r="L35" s="402"/>
      <c r="M35" s="410"/>
      <c r="N35" s="410"/>
      <c r="O35" s="410"/>
      <c r="P35" s="410"/>
      <c r="Q35" s="398"/>
    </row>
    <row r="36" spans="1:17" s="80" customFormat="1" ht="7.5" customHeight="1" x14ac:dyDescent="0.35">
      <c r="A36" s="403"/>
      <c r="B36" s="420"/>
      <c r="C36" s="416"/>
      <c r="D36" s="416"/>
      <c r="E36" s="416"/>
      <c r="F36" s="416"/>
      <c r="G36" s="417"/>
      <c r="H36" s="400"/>
      <c r="I36" s="401"/>
      <c r="J36" s="402"/>
      <c r="K36" s="402"/>
      <c r="L36" s="402"/>
      <c r="M36" s="410"/>
      <c r="N36" s="410"/>
      <c r="O36" s="410"/>
      <c r="P36" s="410"/>
      <c r="Q36" s="403"/>
    </row>
    <row r="37" spans="1:17" ht="17.25" customHeight="1" x14ac:dyDescent="0.35">
      <c r="A37" s="403"/>
      <c r="B37" s="421"/>
      <c r="C37" s="6971" t="s">
        <v>1564</v>
      </c>
      <c r="D37" s="6971"/>
      <c r="E37" s="6971"/>
      <c r="F37" s="1646" t="s">
        <v>1559</v>
      </c>
      <c r="G37" s="406" t="str">
        <f>TEXT(LEFT(I37,1),"0")</f>
        <v>1</v>
      </c>
      <c r="H37" s="1014">
        <f>ABS(G37)</f>
        <v>1</v>
      </c>
      <c r="I37" s="407" t="str">
        <f>INTERLOCUTORS!$L$2</f>
        <v>1-A traiter</v>
      </c>
      <c r="J37" s="408">
        <f>INTERLOCUTORS!$R$2</f>
        <v>42534.903437499997</v>
      </c>
      <c r="K37" s="165" t="e">
        <f>INTERLOCUTORS!$X$2</f>
        <v>#REF!</v>
      </c>
      <c r="L37" s="165" t="e">
        <f>INTERLOCUTORS!$Y$2</f>
        <v>#REF!</v>
      </c>
      <c r="M37" s="6967" t="s">
        <v>1202</v>
      </c>
      <c r="N37" s="6967"/>
      <c r="O37" s="6967"/>
      <c r="P37" s="6967"/>
      <c r="Q37" s="398"/>
    </row>
    <row r="38" spans="1:17" ht="17.25" customHeight="1" x14ac:dyDescent="0.35">
      <c r="A38" s="403"/>
      <c r="B38" s="421"/>
      <c r="C38" s="6971" t="str">
        <f>"Caractéristiques commerciales pour " &amp; NomProd1</f>
        <v>Caractéristiques commerciales pour EQUINIX</v>
      </c>
      <c r="D38" s="6971"/>
      <c r="E38" s="6971"/>
      <c r="F38" s="1646" t="s">
        <v>1560</v>
      </c>
      <c r="G38" s="406" t="str">
        <f t="shared" ref="G38:G54" si="2">TEXT(LEFT(I38,1),"0")</f>
        <v>4</v>
      </c>
      <c r="H38" s="1014">
        <f t="shared" ref="H38:H54" si="3">ABS(G38)</f>
        <v>4</v>
      </c>
      <c r="I38" s="407" t="str">
        <f>BUSINESSCARD!$I$2</f>
        <v>4-Validé</v>
      </c>
      <c r="J38" s="408">
        <f>BUSINESSCARD!$L$2</f>
        <v>42971.838171296295</v>
      </c>
      <c r="K38" s="165">
        <f>BUSINESSCARD!$O$2</f>
        <v>0</v>
      </c>
      <c r="L38" s="165">
        <f>BUSINESSCARD!$P$2</f>
        <v>0</v>
      </c>
      <c r="M38" s="6967" t="s">
        <v>724</v>
      </c>
      <c r="N38" s="6967"/>
      <c r="O38" s="6967"/>
      <c r="P38" s="6967"/>
      <c r="Q38" s="398"/>
    </row>
    <row r="39" spans="1:17" ht="17.25" customHeight="1" x14ac:dyDescent="0.35">
      <c r="A39" s="403"/>
      <c r="B39" s="421"/>
      <c r="C39" s="6971" t="str">
        <f>"Réponses aux attentes des partenaires " &amp; NomProd1</f>
        <v>Réponses aux attentes des partenaires EQUINIX</v>
      </c>
      <c r="D39" s="6971"/>
      <c r="E39" s="6971"/>
      <c r="F39" s="1646" t="s">
        <v>1561</v>
      </c>
      <c r="G39" s="406" t="str">
        <f t="shared" si="2"/>
        <v>1</v>
      </c>
      <c r="H39" s="1014">
        <f t="shared" si="3"/>
        <v>1</v>
      </c>
      <c r="I39" s="407" t="str">
        <f>CHANNELREADY!$I$2</f>
        <v>1-A traiter</v>
      </c>
      <c r="J39" s="408">
        <f>CHANNELREADY!$L$2</f>
        <v>42534.902453703704</v>
      </c>
      <c r="K39" s="165" t="e">
        <f>CHANNELREADY!$O$2</f>
        <v>#REF!</v>
      </c>
      <c r="L39" s="165" t="e">
        <f>CHANNELREADY!$P$2</f>
        <v>#REF!</v>
      </c>
      <c r="M39" s="6967" t="s">
        <v>725</v>
      </c>
      <c r="N39" s="6967"/>
      <c r="O39" s="6967"/>
      <c r="P39" s="6967"/>
      <c r="Q39" s="398"/>
    </row>
    <row r="40" spans="1:17" ht="17.25" customHeight="1" x14ac:dyDescent="0.35">
      <c r="A40" s="403"/>
      <c r="B40" s="421"/>
      <c r="C40" s="6971" t="str">
        <f>"Marketing adapté au channel " &amp; NomProd1</f>
        <v>Marketing adapté au channel EQUINIX</v>
      </c>
      <c r="D40" s="6971"/>
      <c r="E40" s="6971"/>
      <c r="F40" s="1646" t="s">
        <v>1563</v>
      </c>
      <c r="G40" s="406" t="str">
        <f>TEXT(LEFT(I40,1),"0")</f>
        <v>1</v>
      </c>
      <c r="H40" s="1014">
        <f>ABS(G40)</f>
        <v>1</v>
      </c>
      <c r="I40" s="407" t="str">
        <f>'03-MARKETREADY-OFR1'!$L$2</f>
        <v>1-A traiter</v>
      </c>
      <c r="J40" s="408">
        <f>'03-MARKETREADY-OFR1'!$O$2</f>
        <v>42534.903136574074</v>
      </c>
      <c r="K40" s="165">
        <f>'03-MARKETREADY-OFR1'!$R$2</f>
        <v>41</v>
      </c>
      <c r="L40" s="165">
        <f>'03-MARKETREADY-OFR1'!$S$2</f>
        <v>10</v>
      </c>
      <c r="M40" s="6967" t="s">
        <v>1204</v>
      </c>
      <c r="N40" s="6967"/>
      <c r="O40" s="6967"/>
      <c r="P40" s="6967"/>
      <c r="Q40" s="398"/>
    </row>
    <row r="41" spans="1:17" ht="17.25" customHeight="1" x14ac:dyDescent="0.35">
      <c r="A41" s="403"/>
      <c r="B41" s="421"/>
      <c r="C41" s="6971" t="str">
        <f>"Criticité Must Have vs besoins " &amp; NomProd1</f>
        <v>Criticité Must Have vs besoins EQUINIX</v>
      </c>
      <c r="D41" s="6971"/>
      <c r="E41" s="6971"/>
      <c r="F41" s="1646" t="s">
        <v>1565</v>
      </c>
      <c r="G41" s="406" t="str">
        <f t="shared" si="2"/>
        <v>1</v>
      </c>
      <c r="H41" s="1014">
        <f t="shared" si="3"/>
        <v>1</v>
      </c>
      <c r="I41" s="407" t="str">
        <f>CRITICITY!$I$2</f>
        <v>1-A traiter</v>
      </c>
      <c r="J41" s="408">
        <f>CRITICITY!$L$2</f>
        <v>42971.839131944442</v>
      </c>
      <c r="K41" s="165">
        <f>CRITICITY!$O$2</f>
        <v>0</v>
      </c>
      <c r="L41" s="165">
        <f>CRITICITY!$P$2</f>
        <v>0</v>
      </c>
      <c r="M41" s="6967" t="s">
        <v>727</v>
      </c>
      <c r="N41" s="6967"/>
      <c r="O41" s="6967"/>
      <c r="P41" s="6967"/>
      <c r="Q41" s="398"/>
    </row>
    <row r="42" spans="1:17" ht="17.25" customHeight="1" x14ac:dyDescent="0.35">
      <c r="A42" s="403"/>
      <c r="B42" s="421"/>
      <c r="C42" s="6971" t="str">
        <f>"Positionnement Concurence pour " &amp; NomProd1</f>
        <v>Positionnement Concurence pour EQUINIX</v>
      </c>
      <c r="D42" s="6971"/>
      <c r="E42" s="6971"/>
      <c r="F42" s="1646" t="s">
        <v>1566</v>
      </c>
      <c r="G42" s="406" t="str">
        <f t="shared" si="2"/>
        <v>1</v>
      </c>
      <c r="H42" s="1014">
        <f t="shared" si="3"/>
        <v>1</v>
      </c>
      <c r="I42" s="407" t="str">
        <f>COMPETITION!$I$2</f>
        <v>1-A traiter</v>
      </c>
      <c r="J42" s="408">
        <f>COMPETITION!$L$2</f>
        <v>42441.713819444441</v>
      </c>
      <c r="K42" s="165">
        <f>COMPETITION!$O$2</f>
        <v>0</v>
      </c>
      <c r="L42" s="165">
        <f>COMPETITION!$P$2</f>
        <v>0</v>
      </c>
      <c r="M42" s="6967" t="s">
        <v>1205</v>
      </c>
      <c r="N42" s="6967"/>
      <c r="O42" s="6967"/>
      <c r="P42" s="6967"/>
      <c r="Q42" s="398"/>
    </row>
    <row r="43" spans="1:17" ht="17.25" customHeight="1" x14ac:dyDescent="0.35">
      <c r="A43" s="403"/>
      <c r="B43" s="421"/>
      <c r="C43" s="6971" t="str">
        <f>"Elevator Pitch pour " &amp; NomProd1</f>
        <v>Elevator Pitch pour EQUINIX</v>
      </c>
      <c r="D43" s="6971"/>
      <c r="E43" s="6971"/>
      <c r="F43" s="1646" t="s">
        <v>1567</v>
      </c>
      <c r="G43" s="406" t="str">
        <f>TEXT(LEFT(I43,1),"0")</f>
        <v>4</v>
      </c>
      <c r="H43" s="1014">
        <f>ABS(G43)</f>
        <v>4</v>
      </c>
      <c r="I43" s="407" t="str">
        <f>'POSITIONING-OFR1'!$I$2</f>
        <v>4-Validé</v>
      </c>
      <c r="J43" s="408">
        <f>'POSITIONING-OFR1'!$L$2</f>
        <v>42971.837881944448</v>
      </c>
      <c r="K43" s="165">
        <f>'POSITIONING-OFR1'!$P$2</f>
        <v>0</v>
      </c>
      <c r="L43" s="165">
        <f>'POSITIONING-OFR1'!$Q$2</f>
        <v>0</v>
      </c>
      <c r="M43" s="6967" t="s">
        <v>1203</v>
      </c>
      <c r="N43" s="6967"/>
      <c r="O43" s="6967"/>
      <c r="P43" s="6967"/>
      <c r="Q43" s="398"/>
    </row>
    <row r="44" spans="1:17" ht="17.25" hidden="1" customHeight="1" x14ac:dyDescent="0.35">
      <c r="A44" s="403"/>
      <c r="B44" s="421"/>
      <c r="C44" s="6971" t="str">
        <f>"Caractéristiques commerciales pour " &amp; NomProd2</f>
        <v>Caractéristiques commerciales pour ASEMA</v>
      </c>
      <c r="D44" s="6971"/>
      <c r="E44" s="6971"/>
      <c r="F44" s="1646" t="s">
        <v>1568</v>
      </c>
      <c r="G44" s="406" t="str">
        <f t="shared" si="2"/>
        <v>4</v>
      </c>
      <c r="H44" s="1014">
        <f t="shared" si="3"/>
        <v>4</v>
      </c>
      <c r="I44" s="407" t="str">
        <f>'03-BUSINESSCARD-OFR2'!$I$2</f>
        <v>4-Validé</v>
      </c>
      <c r="J44" s="408">
        <f>'03-BUSINESSCARD-OFR2'!$L$2</f>
        <v>42420.643773148149</v>
      </c>
      <c r="K44" s="165">
        <f>'03-BUSINESSCARD-OFR2'!$P$2</f>
        <v>63</v>
      </c>
      <c r="L44" s="165">
        <f>'03-BUSINESSCARD-OFR2'!$O$2</f>
        <v>184</v>
      </c>
      <c r="M44" s="6967" t="s">
        <v>724</v>
      </c>
      <c r="N44" s="6967"/>
      <c r="O44" s="6967"/>
      <c r="P44" s="6967"/>
      <c r="Q44" s="398"/>
    </row>
    <row r="45" spans="1:17" ht="17.25" hidden="1" customHeight="1" x14ac:dyDescent="0.35">
      <c r="A45" s="403"/>
      <c r="B45" s="421"/>
      <c r="C45" s="6971" t="str">
        <f>"Réponses aux attentes des partenaires " &amp; NomProd2</f>
        <v>Réponses aux attentes des partenaires ASEMA</v>
      </c>
      <c r="D45" s="6971"/>
      <c r="E45" s="6971"/>
      <c r="F45" s="1646" t="s">
        <v>1562</v>
      </c>
      <c r="G45" s="406" t="str">
        <f t="shared" si="2"/>
        <v>0</v>
      </c>
      <c r="H45" s="1014">
        <f t="shared" si="3"/>
        <v>0</v>
      </c>
      <c r="I45" s="407" t="str">
        <f>'03-CHANNELREADY-OFR2'!$I$2</f>
        <v>0-Non nécessaire</v>
      </c>
      <c r="J45" s="408">
        <f>'03-CHANNELREADY-OFR2'!$L$2</f>
        <v>42420.644988425927</v>
      </c>
      <c r="K45" s="165">
        <f>'03-CHANNELREADY-OFR2'!$O$2</f>
        <v>6</v>
      </c>
      <c r="L45" s="165">
        <f>'03-CHANNELREADY-OFR2'!$P$2</f>
        <v>31</v>
      </c>
      <c r="M45" s="6967" t="s">
        <v>725</v>
      </c>
      <c r="N45" s="6967"/>
      <c r="O45" s="6967"/>
      <c r="P45" s="6967"/>
      <c r="Q45" s="398"/>
    </row>
    <row r="46" spans="1:17" ht="17.25" hidden="1" customHeight="1" x14ac:dyDescent="0.35">
      <c r="A46" s="403"/>
      <c r="B46" s="421"/>
      <c r="C46" s="6971" t="str">
        <f>"Marketing adapté au channel " &amp; NomProd2</f>
        <v>Marketing adapté au channel ASEMA</v>
      </c>
      <c r="D46" s="6971"/>
      <c r="E46" s="6971"/>
      <c r="F46" s="1646" t="s">
        <v>1569</v>
      </c>
      <c r="G46" s="406" t="str">
        <f t="shared" si="2"/>
        <v>4</v>
      </c>
      <c r="H46" s="1014">
        <f t="shared" si="3"/>
        <v>4</v>
      </c>
      <c r="I46" s="407" t="str">
        <f>'03-MARKETREADY-OFR2'!$L$2</f>
        <v>4-Validé</v>
      </c>
      <c r="J46" s="408">
        <f>'03-MARKETREADY-OFR2'!$O$2</f>
        <v>42420.64603009259</v>
      </c>
      <c r="K46" s="165">
        <f>'03-MARKETREADY-OFR2'!$R$2</f>
        <v>101</v>
      </c>
      <c r="L46" s="165">
        <f>'03-MARKETREADY-OFR2'!$S$2</f>
        <v>70</v>
      </c>
      <c r="M46" s="6967" t="s">
        <v>726</v>
      </c>
      <c r="N46" s="6967"/>
      <c r="O46" s="6967"/>
      <c r="P46" s="6967"/>
      <c r="Q46" s="398"/>
    </row>
    <row r="47" spans="1:17" ht="17.25" hidden="1" customHeight="1" x14ac:dyDescent="0.35">
      <c r="A47" s="403"/>
      <c r="B47" s="421"/>
      <c r="C47" s="6971" t="str">
        <f>"Criticité Must Have vs besoins " &amp; NomProd2</f>
        <v>Criticité Must Have vs besoins ASEMA</v>
      </c>
      <c r="D47" s="6971"/>
      <c r="E47" s="6971"/>
      <c r="F47" s="1646" t="s">
        <v>1570</v>
      </c>
      <c r="G47" s="406" t="str">
        <f t="shared" si="2"/>
        <v>0</v>
      </c>
      <c r="H47" s="1014">
        <f t="shared" si="3"/>
        <v>0</v>
      </c>
      <c r="I47" s="407" t="str">
        <f>'03-CRITICITY-OFR2'!$I$2</f>
        <v>0-Non nécessaire</v>
      </c>
      <c r="J47" s="408">
        <f>'03-CRITICITY-OFR2'!$L$2</f>
        <v>42420.647476851853</v>
      </c>
      <c r="K47" s="165">
        <f>'03-CRITICITY-OFR2'!$O$2</f>
        <v>30</v>
      </c>
      <c r="L47" s="165">
        <f>'03-CRITICITY-OFR2'!$P$2</f>
        <v>63</v>
      </c>
      <c r="M47" s="6967" t="s">
        <v>727</v>
      </c>
      <c r="N47" s="6967"/>
      <c r="O47" s="6967"/>
      <c r="P47" s="6967"/>
      <c r="Q47" s="398"/>
    </row>
    <row r="48" spans="1:17" ht="17.25" hidden="1" customHeight="1" x14ac:dyDescent="0.35">
      <c r="A48" s="403"/>
      <c r="B48" s="421"/>
      <c r="C48" s="6971" t="str">
        <f>"Positionnement Concurence pour " &amp; NomProd2</f>
        <v>Positionnement Concurence pour ASEMA</v>
      </c>
      <c r="D48" s="6971"/>
      <c r="E48" s="6971"/>
      <c r="F48" s="1646" t="s">
        <v>1571</v>
      </c>
      <c r="G48" s="406" t="str">
        <f t="shared" si="2"/>
        <v>0</v>
      </c>
      <c r="H48" s="1014">
        <f t="shared" si="3"/>
        <v>0</v>
      </c>
      <c r="I48" s="407" t="str">
        <f>'03-COMPETITION-OFR2'!$I$2</f>
        <v>0-Non nécessaire</v>
      </c>
      <c r="J48" s="408">
        <f>'03-COMPETITION-OFR2'!$L$2</f>
        <v>42420.648935185185</v>
      </c>
      <c r="K48" s="165">
        <f>'03-COMPETITION-OFR2'!$O$2</f>
        <v>98</v>
      </c>
      <c r="L48" s="165">
        <f>'03-COMPETITION-OFR2'!$P$2</f>
        <v>105</v>
      </c>
      <c r="M48" s="6967" t="s">
        <v>728</v>
      </c>
      <c r="N48" s="6967"/>
      <c r="O48" s="6967"/>
      <c r="P48" s="6967"/>
      <c r="Q48" s="398"/>
    </row>
    <row r="49" spans="1:17" ht="17.25" hidden="1" customHeight="1" x14ac:dyDescent="0.35">
      <c r="A49" s="403"/>
      <c r="B49" s="421"/>
      <c r="C49" s="6971" t="str">
        <f>"Elevator pitch pour " &amp; NomProd2</f>
        <v>Elevator pitch pour ASEMA</v>
      </c>
      <c r="D49" s="6971"/>
      <c r="E49" s="6971"/>
      <c r="F49" s="1646" t="s">
        <v>1572</v>
      </c>
      <c r="G49" s="406" t="str">
        <f t="shared" si="2"/>
        <v>0</v>
      </c>
      <c r="H49" s="1014">
        <f t="shared" si="3"/>
        <v>0</v>
      </c>
      <c r="I49" s="407" t="str">
        <f>'03-POSITIONING-OFR2'!$I$2</f>
        <v>0-Non nécessaire</v>
      </c>
      <c r="J49" s="408">
        <f>'03-POSITIONING-OFR2'!$L$2</f>
        <v>42420.650358796294</v>
      </c>
      <c r="K49" s="165">
        <f>'03-POSITIONING-OFR2'!$Q$2</f>
        <v>30</v>
      </c>
      <c r="L49" s="165">
        <f>'03-POSITIONING-OFR2'!$R$2</f>
        <v>63</v>
      </c>
      <c r="M49" s="6967" t="s">
        <v>728</v>
      </c>
      <c r="N49" s="6967"/>
      <c r="O49" s="6967"/>
      <c r="P49" s="6967"/>
      <c r="Q49" s="398"/>
    </row>
    <row r="50" spans="1:17" ht="17.25" hidden="1" customHeight="1" x14ac:dyDescent="0.35">
      <c r="A50" s="403"/>
      <c r="B50" s="421"/>
      <c r="C50" s="6971" t="str">
        <f>"Caractéristiques commerciales pour " &amp; NomProd3</f>
        <v xml:space="preserve">Caractéristiques commerciales pour </v>
      </c>
      <c r="D50" s="6971"/>
      <c r="E50" s="6971"/>
      <c r="F50" s="1646" t="s">
        <v>1573</v>
      </c>
      <c r="G50" s="406" t="str">
        <f t="shared" si="2"/>
        <v>4</v>
      </c>
      <c r="H50" s="1014">
        <f t="shared" si="3"/>
        <v>4</v>
      </c>
      <c r="I50" s="407" t="str">
        <f>'03-BUSINESSCARD-OFR3'!$I$2</f>
        <v>4-Validé</v>
      </c>
      <c r="J50" s="408">
        <f>'03-BUSINESSCARD-OFR3'!$L$2</f>
        <v>42420.656099537038</v>
      </c>
      <c r="K50" s="165">
        <f>'03-BUSINESSCARD-OFR3'!$O$2</f>
        <v>184</v>
      </c>
      <c r="L50" s="165">
        <f>'03-BUSINESSCARD-OFR3'!$P$2</f>
        <v>63</v>
      </c>
      <c r="M50" s="6967" t="s">
        <v>724</v>
      </c>
      <c r="N50" s="6967"/>
      <c r="O50" s="6967"/>
      <c r="P50" s="6967"/>
      <c r="Q50" s="398"/>
    </row>
    <row r="51" spans="1:17" ht="17.25" hidden="1" customHeight="1" x14ac:dyDescent="0.35">
      <c r="A51" s="403"/>
      <c r="B51" s="421"/>
      <c r="C51" s="6971" t="str">
        <f>"Réponses aux attentes des partenaires  " &amp; NomProd3</f>
        <v xml:space="preserve">Réponses aux attentes des partenaires  </v>
      </c>
      <c r="D51" s="6971"/>
      <c r="E51" s="6971"/>
      <c r="F51" s="1646" t="s">
        <v>1574</v>
      </c>
      <c r="G51" s="406" t="str">
        <f t="shared" si="2"/>
        <v>4</v>
      </c>
      <c r="H51" s="1014">
        <f t="shared" si="3"/>
        <v>4</v>
      </c>
      <c r="I51" s="407" t="str">
        <f>'03-CHANNELREADY-OFR3'!$I$2</f>
        <v>4-Validé</v>
      </c>
      <c r="J51" s="408">
        <f>'03-CHANNELREADY-OFR3'!$L$2</f>
        <v>42420.657604166663</v>
      </c>
      <c r="K51" s="165">
        <f>'03-CHANNELREADY-OFR3'!$O$2</f>
        <v>58</v>
      </c>
      <c r="L51" s="165">
        <f>'03-CHANNELREADY-OFR3'!$P$2</f>
        <v>31</v>
      </c>
      <c r="M51" s="6967" t="s">
        <v>725</v>
      </c>
      <c r="N51" s="6967"/>
      <c r="O51" s="6967"/>
      <c r="P51" s="6967"/>
      <c r="Q51" s="398"/>
    </row>
    <row r="52" spans="1:17" ht="17.25" hidden="1" customHeight="1" x14ac:dyDescent="0.35">
      <c r="A52" s="403"/>
      <c r="B52" s="421"/>
      <c r="C52" s="6971" t="str">
        <f>"Marketing adapté au channel " &amp; NomProd3</f>
        <v xml:space="preserve">Marketing adapté au channel </v>
      </c>
      <c r="D52" s="6971"/>
      <c r="E52" s="6971"/>
      <c r="F52" s="1646" t="s">
        <v>1575</v>
      </c>
      <c r="G52" s="406" t="str">
        <f>TEXT(LEFT(I52,1),"0")</f>
        <v>0</v>
      </c>
      <c r="H52" s="1014">
        <f>ABS(G52)</f>
        <v>0</v>
      </c>
      <c r="I52" s="407" t="str">
        <f>'03-MARKETREADY-OFR3'!$L$2</f>
        <v>0-Non nécessaire</v>
      </c>
      <c r="J52" s="408">
        <f>'03-MARKETREADY-OFR3'!$O$2</f>
        <v>42420.658865740741</v>
      </c>
      <c r="K52" s="165">
        <f>'03-MARKETREADY-OFR3'!$R$2</f>
        <v>101</v>
      </c>
      <c r="L52" s="165">
        <f>'03-MARKETREADY-OFR3'!$S$2</f>
        <v>70</v>
      </c>
      <c r="M52" s="6967" t="s">
        <v>726</v>
      </c>
      <c r="N52" s="6967"/>
      <c r="O52" s="6967"/>
      <c r="P52" s="6967"/>
      <c r="Q52" s="398"/>
    </row>
    <row r="53" spans="1:17" ht="17.25" hidden="1" customHeight="1" x14ac:dyDescent="0.35">
      <c r="A53" s="403"/>
      <c r="B53" s="421"/>
      <c r="C53" s="6971" t="str">
        <f>"Criticité Must Have vs besoins " &amp; NomProd3</f>
        <v xml:space="preserve">Criticité Must Have vs besoins </v>
      </c>
      <c r="D53" s="6971"/>
      <c r="E53" s="6971"/>
      <c r="F53" s="1646" t="s">
        <v>1576</v>
      </c>
      <c r="G53" s="406" t="str">
        <f t="shared" si="2"/>
        <v>0</v>
      </c>
      <c r="H53" s="1014">
        <f t="shared" si="3"/>
        <v>0</v>
      </c>
      <c r="I53" s="407" t="str">
        <f>'03-CRITICITY-OFR3'!$I$2</f>
        <v>0-Non nécessaire</v>
      </c>
      <c r="J53" s="408">
        <f>'03-CRITICITY-OFR3'!$L$2</f>
        <v>42420.659560185188</v>
      </c>
      <c r="K53" s="165">
        <f>'03-CRITICITY-OFR3'!$O$2</f>
        <v>30</v>
      </c>
      <c r="L53" s="165">
        <f>'03-CRITICITY-OFR3'!$P$2</f>
        <v>63</v>
      </c>
      <c r="M53" s="6967" t="s">
        <v>727</v>
      </c>
      <c r="N53" s="6967"/>
      <c r="O53" s="6967"/>
      <c r="P53" s="6967"/>
      <c r="Q53" s="398"/>
    </row>
    <row r="54" spans="1:17" ht="17.25" hidden="1" customHeight="1" x14ac:dyDescent="0.35">
      <c r="A54" s="403"/>
      <c r="B54" s="421"/>
      <c r="C54" s="6971" t="str">
        <f>"Positionnement Concurence pour " &amp; NomProd3</f>
        <v xml:space="preserve">Positionnement Concurence pour </v>
      </c>
      <c r="D54" s="6971"/>
      <c r="E54" s="6971"/>
      <c r="F54" s="1646" t="s">
        <v>1577</v>
      </c>
      <c r="G54" s="406" t="str">
        <f t="shared" si="2"/>
        <v>0</v>
      </c>
      <c r="H54" s="1014">
        <f t="shared" si="3"/>
        <v>0</v>
      </c>
      <c r="I54" s="407" t="str">
        <f>'03-COMPETITION-OFR3'!$I$2</f>
        <v>0-Non nécessaire</v>
      </c>
      <c r="J54" s="408">
        <f>'03-COMPETITION-OFR3'!$L$2</f>
        <v>42420.663159722222</v>
      </c>
      <c r="K54" s="165">
        <f>'03-COMPETITION-OFR3'!$O$2</f>
        <v>98</v>
      </c>
      <c r="L54" s="165">
        <f>'03-COMPETITION-OFR3'!$P$2</f>
        <v>105</v>
      </c>
      <c r="M54" s="6967" t="s">
        <v>728</v>
      </c>
      <c r="N54" s="6967"/>
      <c r="O54" s="6967"/>
      <c r="P54" s="6967"/>
      <c r="Q54" s="398"/>
    </row>
    <row r="55" spans="1:17" ht="17.25" hidden="1" customHeight="1" x14ac:dyDescent="0.35">
      <c r="A55" s="403"/>
      <c r="B55" s="421"/>
      <c r="C55" s="6971" t="str">
        <f>"Elevator Pitch pour " &amp; NomProd3</f>
        <v xml:space="preserve">Elevator Pitch pour </v>
      </c>
      <c r="D55" s="6971"/>
      <c r="E55" s="6971"/>
      <c r="F55" s="1646" t="s">
        <v>1578</v>
      </c>
      <c r="G55" s="406" t="str">
        <f>TEXT(LEFT(I55,1),"0")</f>
        <v>0</v>
      </c>
      <c r="H55" s="1014">
        <f>ABS(G55)</f>
        <v>0</v>
      </c>
      <c r="I55" s="407" t="str">
        <f>'03-POSITIONING-OFR3'!$I$2</f>
        <v>0-Non nécessaire</v>
      </c>
      <c r="J55" s="408">
        <f>'03-POSITIONING-OFR3'!$L$2</f>
        <v>42420.665046296293</v>
      </c>
      <c r="K55" s="165">
        <f>'03-POSITIONING-OFR3'!$Q$2</f>
        <v>30</v>
      </c>
      <c r="L55" s="165">
        <f>'03-POSITIONING-OFR3'!$R$2</f>
        <v>63</v>
      </c>
      <c r="M55" s="6967" t="s">
        <v>728</v>
      </c>
      <c r="N55" s="6967"/>
      <c r="O55" s="6967"/>
      <c r="P55" s="6967"/>
      <c r="Q55" s="398"/>
    </row>
    <row r="56" spans="1:17" ht="7.5" customHeight="1" x14ac:dyDescent="0.35">
      <c r="A56" s="403"/>
      <c r="B56" s="421"/>
      <c r="C56" s="413"/>
      <c r="D56" s="413"/>
      <c r="E56" s="413"/>
      <c r="F56" s="413"/>
      <c r="G56" s="403"/>
      <c r="H56" s="403"/>
      <c r="I56" s="403"/>
      <c r="J56" s="410"/>
      <c r="K56" s="403"/>
      <c r="L56" s="403"/>
      <c r="M56" s="410"/>
      <c r="N56" s="410"/>
      <c r="O56" s="410"/>
      <c r="P56" s="410"/>
      <c r="Q56" s="398"/>
    </row>
    <row r="57" spans="1:17" ht="15.75" customHeight="1" x14ac:dyDescent="0.35">
      <c r="A57" s="403"/>
      <c r="B57" s="7003" t="str">
        <f>Parametre!A26 &amp; " - " &amp; Parametre!B26</f>
        <v>04 - Marchés cibles</v>
      </c>
      <c r="C57" s="7004"/>
      <c r="D57" s="7004"/>
      <c r="E57" s="7004"/>
      <c r="F57" s="1630"/>
      <c r="G57" s="422"/>
      <c r="H57" s="400"/>
      <c r="I57" s="401"/>
      <c r="J57" s="423"/>
      <c r="K57" s="402"/>
      <c r="L57" s="402"/>
      <c r="M57" s="410"/>
      <c r="N57" s="410"/>
      <c r="O57" s="410"/>
      <c r="P57" s="410"/>
      <c r="Q57" s="398"/>
    </row>
    <row r="58" spans="1:17" s="80" customFormat="1" ht="7.5" customHeight="1" x14ac:dyDescent="0.35">
      <c r="A58" s="403"/>
      <c r="B58" s="424"/>
      <c r="C58" s="425"/>
      <c r="D58" s="425"/>
      <c r="E58" s="425"/>
      <c r="F58" s="425"/>
      <c r="G58" s="417"/>
      <c r="H58" s="400"/>
      <c r="I58" s="401"/>
      <c r="J58" s="423"/>
      <c r="K58" s="402"/>
      <c r="L58" s="402"/>
      <c r="M58" s="410"/>
      <c r="N58" s="410"/>
      <c r="O58" s="410"/>
      <c r="P58" s="410"/>
      <c r="Q58" s="403"/>
    </row>
    <row r="59" spans="1:17" ht="17.25" customHeight="1" x14ac:dyDescent="0.35">
      <c r="A59" s="403"/>
      <c r="B59" s="426"/>
      <c r="C59" s="6971" t="s">
        <v>1535</v>
      </c>
      <c r="D59" s="6971"/>
      <c r="E59" s="6971"/>
      <c r="F59" s="1646" t="s">
        <v>1579</v>
      </c>
      <c r="G59" s="406" t="str">
        <f t="shared" ref="G59:G68" si="4">TEXT(LEFT(I59,1),"0")</f>
        <v>3</v>
      </c>
      <c r="H59" s="1014">
        <f t="shared" ref="H59:H68" si="5">ABS(G59)</f>
        <v>3</v>
      </c>
      <c r="I59" s="407" t="str">
        <f>MARKETSPECIFICITIES!$I$2</f>
        <v>3-A revalider</v>
      </c>
      <c r="J59" s="408">
        <f>MARKETSPECIFICITIES!$L$2</f>
        <v>42971.841180555559</v>
      </c>
      <c r="K59" s="165">
        <f>MARKETSPECIFICITIES!$O$2</f>
        <v>0</v>
      </c>
      <c r="L59" s="165">
        <f>MARKETSPECIFICITIES!$P$2</f>
        <v>0</v>
      </c>
      <c r="M59" s="6967" t="s">
        <v>1206</v>
      </c>
      <c r="N59" s="6967"/>
      <c r="O59" s="6967"/>
      <c r="P59" s="6967"/>
      <c r="Q59" s="398"/>
    </row>
    <row r="60" spans="1:17" ht="17.25" customHeight="1" x14ac:dyDescent="0.35">
      <c r="A60" s="403"/>
      <c r="B60" s="426"/>
      <c r="C60" s="6971" t="str">
        <f>"Secteurs verticaux prioritaires à cibler " &amp; NomProd1</f>
        <v>Secteurs verticaux prioritaires à cibler EQUINIX</v>
      </c>
      <c r="D60" s="6971"/>
      <c r="E60" s="6971"/>
      <c r="F60" s="1646" t="s">
        <v>1580</v>
      </c>
      <c r="G60" s="406" t="str">
        <f t="shared" si="4"/>
        <v>4</v>
      </c>
      <c r="H60" s="1014">
        <f t="shared" si="5"/>
        <v>4</v>
      </c>
      <c r="I60" s="407" t="str">
        <f>SECTORMARKET!$L$2</f>
        <v>4-Validé</v>
      </c>
      <c r="J60" s="408">
        <f>SECTORMARKET!$R$2</f>
        <v>42426.396874999999</v>
      </c>
      <c r="K60" s="165">
        <f>SECTORMARKET!$X$2</f>
        <v>0</v>
      </c>
      <c r="L60" s="165">
        <f>SECTORMARKET!$Y$2</f>
        <v>0</v>
      </c>
      <c r="M60" s="6967" t="s">
        <v>730</v>
      </c>
      <c r="N60" s="6967"/>
      <c r="O60" s="6967"/>
      <c r="P60" s="6967"/>
      <c r="Q60" s="398"/>
    </row>
    <row r="61" spans="1:17" ht="17.25" customHeight="1" x14ac:dyDescent="0.35">
      <c r="A61" s="403"/>
      <c r="B61" s="426"/>
      <c r="C61" s="6971" t="str">
        <f>"Régions France prioritaires à cibler  " &amp; NomProd1</f>
        <v>Régions France prioritaires à cibler  EQUINIX</v>
      </c>
      <c r="D61" s="6971"/>
      <c r="E61" s="6971"/>
      <c r="F61" s="1646" t="s">
        <v>1581</v>
      </c>
      <c r="G61" s="406" t="str">
        <f t="shared" si="4"/>
        <v>1</v>
      </c>
      <c r="H61" s="1014">
        <f t="shared" si="5"/>
        <v>1</v>
      </c>
      <c r="I61" s="407" t="str">
        <f>DOMESTICMARKET!$L$2</f>
        <v>1-A traiter</v>
      </c>
      <c r="J61" s="408">
        <f>DOMESTICMARKET!$R$2</f>
        <v>42534.898958333331</v>
      </c>
      <c r="K61" s="165">
        <f>DOMESTICMARKET!$X$2</f>
        <v>18</v>
      </c>
      <c r="L61" s="165">
        <f>DOMESTICMARKET!$Y$2</f>
        <v>18</v>
      </c>
      <c r="M61" s="6967" t="s">
        <v>731</v>
      </c>
      <c r="N61" s="6967"/>
      <c r="O61" s="6967"/>
      <c r="P61" s="6967"/>
      <c r="Q61" s="398"/>
    </row>
    <row r="62" spans="1:17" ht="17.25" customHeight="1" x14ac:dyDescent="0.35">
      <c r="A62" s="403"/>
      <c r="B62" s="426"/>
      <c r="C62" s="6971" t="str">
        <f>"Pays prioritaires à l'international " &amp; NomProd1</f>
        <v>Pays prioritaires à l'international EQUINIX</v>
      </c>
      <c r="D62" s="6971"/>
      <c r="E62" s="6971"/>
      <c r="F62" s="1646" t="s">
        <v>1585</v>
      </c>
      <c r="G62" s="406" t="str">
        <f t="shared" si="4"/>
        <v>1</v>
      </c>
      <c r="H62" s="1014">
        <f t="shared" si="5"/>
        <v>1</v>
      </c>
      <c r="I62" s="407" t="str">
        <f>FOREIGNMARKET!$L$2</f>
        <v>1-A traiter</v>
      </c>
      <c r="J62" s="408">
        <f>FOREIGNMARKET!$R$2</f>
        <v>42534.898877314816</v>
      </c>
      <c r="K62" s="165">
        <f>FOREIGNMARKET!$X$2</f>
        <v>37</v>
      </c>
      <c r="L62" s="165">
        <f>FOREIGNMARKET!$Y$2</f>
        <v>37</v>
      </c>
      <c r="M62" s="6967" t="s">
        <v>732</v>
      </c>
      <c r="N62" s="6967"/>
      <c r="O62" s="6967"/>
      <c r="P62" s="6967"/>
      <c r="Q62" s="398"/>
    </row>
    <row r="63" spans="1:17" ht="17.25" hidden="1" customHeight="1" x14ac:dyDescent="0.35">
      <c r="A63" s="403"/>
      <c r="B63" s="426"/>
      <c r="C63" s="6971" t="str">
        <f>"Secteurs verticaux prioritaires " &amp; NomProd2</f>
        <v>Secteurs verticaux prioritaires ASEMA</v>
      </c>
      <c r="D63" s="6971"/>
      <c r="E63" s="6971"/>
      <c r="F63" s="1646" t="s">
        <v>1582</v>
      </c>
      <c r="G63" s="406" t="str">
        <f t="shared" si="4"/>
        <v>0</v>
      </c>
      <c r="H63" s="1014">
        <f t="shared" si="5"/>
        <v>0</v>
      </c>
      <c r="I63" s="407" t="str">
        <f>'04-SECTORMARKET-OFR2'!$L$2</f>
        <v>0-Non nécessaire</v>
      </c>
      <c r="J63" s="408">
        <f>'04-SECTORMARKET-OFR2'!$R$2</f>
        <v>42420.669212962966</v>
      </c>
      <c r="K63" s="165">
        <f>'04-SECTORMARKET-OFR2'!$X$2</f>
        <v>37</v>
      </c>
      <c r="L63" s="165">
        <f>'04-SECTORMARKET-OFR2'!$Y$2</f>
        <v>38</v>
      </c>
      <c r="M63" s="6967" t="s">
        <v>730</v>
      </c>
      <c r="N63" s="6967"/>
      <c r="O63" s="6967"/>
      <c r="P63" s="6967"/>
      <c r="Q63" s="398"/>
    </row>
    <row r="64" spans="1:17" ht="17.25" hidden="1" customHeight="1" x14ac:dyDescent="0.35">
      <c r="A64" s="403"/>
      <c r="B64" s="426"/>
      <c r="C64" s="6971" t="str">
        <f>"Régions France prioritaires " &amp; NomProd2</f>
        <v>Régions France prioritaires ASEMA</v>
      </c>
      <c r="D64" s="6971"/>
      <c r="E64" s="6971"/>
      <c r="F64" s="1646" t="s">
        <v>1583</v>
      </c>
      <c r="G64" s="406" t="str">
        <f t="shared" si="4"/>
        <v>1</v>
      </c>
      <c r="H64" s="1014">
        <f t="shared" si="5"/>
        <v>1</v>
      </c>
      <c r="I64" s="407" t="str">
        <f>'04-DOMESTICMARKET-OFR2'!$L$2</f>
        <v>1-A traiter</v>
      </c>
      <c r="J64" s="408">
        <f>'04-DOMESTICMARKET-OFR2'!$R$2</f>
        <v>42420.670358796298</v>
      </c>
      <c r="K64" s="165">
        <f>'04-DOMESTICMARKET-OFR2'!$X$2</f>
        <v>18</v>
      </c>
      <c r="L64" s="165">
        <f>'04-DOMESTICMARKET-OFR2'!$Y$2</f>
        <v>18</v>
      </c>
      <c r="M64" s="6967" t="s">
        <v>731</v>
      </c>
      <c r="N64" s="6967"/>
      <c r="O64" s="6967"/>
      <c r="P64" s="6967"/>
      <c r="Q64" s="398"/>
    </row>
    <row r="65" spans="1:17" ht="17.25" hidden="1" customHeight="1" x14ac:dyDescent="0.35">
      <c r="A65" s="403"/>
      <c r="B65" s="426"/>
      <c r="C65" s="6971" t="str">
        <f>"Pays prioritaires à l'international " &amp; NomProd2</f>
        <v>Pays prioritaires à l'international ASEMA</v>
      </c>
      <c r="D65" s="6971"/>
      <c r="E65" s="6971"/>
      <c r="F65" s="1646" t="s">
        <v>1584</v>
      </c>
      <c r="G65" s="406" t="str">
        <f t="shared" si="4"/>
        <v>0</v>
      </c>
      <c r="H65" s="1014">
        <f t="shared" si="5"/>
        <v>0</v>
      </c>
      <c r="I65" s="407" t="str">
        <f>'04-FOREIGNMARKET-OFR2'!$L$2</f>
        <v>0-Non nécessaire</v>
      </c>
      <c r="J65" s="408">
        <f>'04-FOREIGNMARKET-OFR2'!$R$2</f>
        <v>42420.671412037038</v>
      </c>
      <c r="K65" s="165">
        <f>'04-FOREIGNMARKET-OFR2'!$X$2</f>
        <v>37</v>
      </c>
      <c r="L65" s="165">
        <f>'04-FOREIGNMARKET-OFR2'!$Y$2</f>
        <v>37</v>
      </c>
      <c r="M65" s="6967" t="s">
        <v>732</v>
      </c>
      <c r="N65" s="6967"/>
      <c r="O65" s="6967"/>
      <c r="P65" s="6967"/>
      <c r="Q65" s="398"/>
    </row>
    <row r="66" spans="1:17" ht="17.25" hidden="1" customHeight="1" x14ac:dyDescent="0.35">
      <c r="A66" s="403"/>
      <c r="B66" s="426"/>
      <c r="C66" s="6971" t="str">
        <f>"Secteurs verticaux prioritaires à cibler " &amp; NomProd3</f>
        <v xml:space="preserve">Secteurs verticaux prioritaires à cibler </v>
      </c>
      <c r="D66" s="6971"/>
      <c r="E66" s="6971"/>
      <c r="F66" s="1646" t="s">
        <v>1586</v>
      </c>
      <c r="G66" s="406" t="str">
        <f t="shared" si="4"/>
        <v>3</v>
      </c>
      <c r="H66" s="1014">
        <f t="shared" si="5"/>
        <v>3</v>
      </c>
      <c r="I66" s="407" t="str">
        <f>'04-SECTORMARKET-OFR3'!$L$2</f>
        <v>3-A revalider</v>
      </c>
      <c r="J66" s="408">
        <f>'04-SECTORMARKET-OFR3'!$R$2</f>
        <v>42420.672546296293</v>
      </c>
      <c r="K66" s="165">
        <f>'04-SECTORMARKET-OFR3'!$X$2</f>
        <v>37</v>
      </c>
      <c r="L66" s="165">
        <f>'04-SECTORMARKET-OFR3'!$Y$2</f>
        <v>38</v>
      </c>
      <c r="M66" s="6967" t="s">
        <v>730</v>
      </c>
      <c r="N66" s="6967"/>
      <c r="O66" s="6967"/>
      <c r="P66" s="6967"/>
      <c r="Q66" s="398"/>
    </row>
    <row r="67" spans="1:17" ht="17.25" hidden="1" customHeight="1" x14ac:dyDescent="0.35">
      <c r="A67" s="403"/>
      <c r="B67" s="426"/>
      <c r="C67" s="6971" t="str">
        <f>"Régions France prioritaires à cibler " &amp; NomProd3</f>
        <v xml:space="preserve">Régions France prioritaires à cibler </v>
      </c>
      <c r="D67" s="6971"/>
      <c r="E67" s="6971"/>
      <c r="F67" s="1646" t="s">
        <v>1587</v>
      </c>
      <c r="G67" s="406" t="str">
        <f t="shared" si="4"/>
        <v>3</v>
      </c>
      <c r="H67" s="1014">
        <f t="shared" si="5"/>
        <v>3</v>
      </c>
      <c r="I67" s="407" t="str">
        <f>'04-DOMESTICMARKET-OFR3'!$L$2</f>
        <v>3-A revalider</v>
      </c>
      <c r="J67" s="408">
        <f>'04-DOMESTICMARKET-OFR3'!$R$2</f>
        <v>42420.673310185186</v>
      </c>
      <c r="K67" s="165">
        <f>'04-DOMESTICMARKET-OFR3'!$X$2</f>
        <v>18</v>
      </c>
      <c r="L67" s="165">
        <f>'04-DOMESTICMARKET-OFR3'!$Y$2</f>
        <v>18</v>
      </c>
      <c r="M67" s="6967" t="s">
        <v>731</v>
      </c>
      <c r="N67" s="6967"/>
      <c r="O67" s="6967"/>
      <c r="P67" s="6967"/>
      <c r="Q67" s="398"/>
    </row>
    <row r="68" spans="1:17" ht="17.25" hidden="1" customHeight="1" x14ac:dyDescent="0.35">
      <c r="A68" s="403"/>
      <c r="B68" s="426"/>
      <c r="C68" s="6971" t="str">
        <f>"Pays prioritaires à l'International  " &amp; NomProd3</f>
        <v xml:space="preserve">Pays prioritaires à l'International  </v>
      </c>
      <c r="D68" s="6971"/>
      <c r="E68" s="6971"/>
      <c r="F68" s="1646" t="s">
        <v>1588</v>
      </c>
      <c r="G68" s="406" t="str">
        <f t="shared" si="4"/>
        <v>3</v>
      </c>
      <c r="H68" s="1014">
        <f t="shared" si="5"/>
        <v>3</v>
      </c>
      <c r="I68" s="407" t="str">
        <f>'04-FOREIGNMARKET-OFR3'!$L$2</f>
        <v>3-A revalider</v>
      </c>
      <c r="J68" s="408">
        <f>'04-FOREIGNMARKET-OFR3'!$R$2</f>
        <v>42420.674131944441</v>
      </c>
      <c r="K68" s="165">
        <f>'04-FOREIGNMARKET-OFR3'!$X$2</f>
        <v>37</v>
      </c>
      <c r="L68" s="165">
        <f>'04-FOREIGNMARKET-OFR3'!$Y$2</f>
        <v>37</v>
      </c>
      <c r="M68" s="6967" t="s">
        <v>732</v>
      </c>
      <c r="N68" s="6967"/>
      <c r="O68" s="6967"/>
      <c r="P68" s="6967"/>
      <c r="Q68" s="398"/>
    </row>
    <row r="69" spans="1:17" ht="7.5" customHeight="1" x14ac:dyDescent="0.35">
      <c r="A69" s="403"/>
      <c r="B69" s="426"/>
      <c r="C69" s="413"/>
      <c r="D69" s="413"/>
      <c r="E69" s="413"/>
      <c r="F69" s="413"/>
      <c r="G69" s="403"/>
      <c r="H69" s="403"/>
      <c r="I69" s="403"/>
      <c r="J69" s="408"/>
      <c r="K69" s="403"/>
      <c r="L69" s="403"/>
      <c r="M69" s="410"/>
      <c r="N69" s="410"/>
      <c r="O69" s="410"/>
      <c r="P69" s="410"/>
      <c r="Q69" s="398"/>
    </row>
    <row r="70" spans="1:17" ht="15.75" customHeight="1" x14ac:dyDescent="0.35">
      <c r="A70" s="403"/>
      <c r="B70" s="6978" t="str">
        <f>Parametre!A27 &amp; " - " &amp; Parametre!B27</f>
        <v>05 - Organisation commerciale</v>
      </c>
      <c r="C70" s="6979"/>
      <c r="D70" s="6979"/>
      <c r="E70" s="6979"/>
      <c r="F70" s="1635"/>
      <c r="G70" s="1009"/>
      <c r="H70" s="400"/>
      <c r="I70" s="401"/>
      <c r="J70" s="408"/>
      <c r="K70" s="402"/>
      <c r="L70" s="402"/>
      <c r="M70" s="410"/>
      <c r="N70" s="410"/>
      <c r="O70" s="410"/>
      <c r="P70" s="410"/>
      <c r="Q70" s="398"/>
    </row>
    <row r="71" spans="1:17" s="80" customFormat="1" ht="7.5" customHeight="1" x14ac:dyDescent="0.35">
      <c r="A71" s="403"/>
      <c r="B71" s="427"/>
      <c r="C71" s="1651"/>
      <c r="D71" s="1651"/>
      <c r="E71" s="1651"/>
      <c r="F71" s="425"/>
      <c r="G71" s="428"/>
      <c r="H71" s="400"/>
      <c r="I71" s="401"/>
      <c r="J71" s="408"/>
      <c r="K71" s="402"/>
      <c r="L71" s="402"/>
      <c r="M71" s="410"/>
      <c r="N71" s="410"/>
      <c r="O71" s="410"/>
      <c r="P71" s="410"/>
      <c r="Q71" s="403"/>
    </row>
    <row r="72" spans="1:17" ht="17.25" customHeight="1" x14ac:dyDescent="0.35">
      <c r="A72" s="403"/>
      <c r="B72" s="429"/>
      <c r="C72" s="6971" t="s">
        <v>1590</v>
      </c>
      <c r="D72" s="6971"/>
      <c r="E72" s="6971"/>
      <c r="F72" s="1646" t="s">
        <v>1936</v>
      </c>
      <c r="G72" s="406" t="str">
        <f>TEXT(LEFT(I72,1),"0")</f>
        <v>1</v>
      </c>
      <c r="H72" s="1014">
        <f>ABS(G72)</f>
        <v>1</v>
      </c>
      <c r="I72" s="407" t="str">
        <f>'05-GOTOMARKET'!$I$2</f>
        <v>1-A traiter</v>
      </c>
      <c r="J72" s="408">
        <f>'05-GOTOMARKET'!$L$2</f>
        <v>42534.879548611112</v>
      </c>
      <c r="K72" s="165">
        <f>'05-GOTOMARKET'!$O$2</f>
        <v>97</v>
      </c>
      <c r="L72" s="165">
        <f>'05-GOTOMARKET'!$P$2</f>
        <v>33</v>
      </c>
      <c r="M72" s="6967" t="s">
        <v>1207</v>
      </c>
      <c r="N72" s="6967"/>
      <c r="O72" s="6967"/>
      <c r="P72" s="6967"/>
      <c r="Q72" s="398"/>
    </row>
    <row r="73" spans="1:17" ht="17.25" customHeight="1" x14ac:dyDescent="0.35">
      <c r="A73" s="403"/>
      <c r="B73" s="429"/>
      <c r="C73" s="6971" t="str">
        <f>"Organisation et dimensionnement de l'équipe indirecte pour " &amp; NomProd1</f>
        <v>Organisation et dimensionnement de l'équipe indirecte pour EQUINIX</v>
      </c>
      <c r="D73" s="6971"/>
      <c r="E73" s="6971"/>
      <c r="F73" s="1646" t="s">
        <v>1935</v>
      </c>
      <c r="G73" s="406" t="str">
        <f>TEXT(LEFT(I73,1),"0")</f>
        <v>1</v>
      </c>
      <c r="H73" s="1014">
        <f>ABS(G73)</f>
        <v>1</v>
      </c>
      <c r="I73" s="407" t="str">
        <f>'05-CHANNELTEAM-OFR1'!$I$2</f>
        <v>1-A traiter</v>
      </c>
      <c r="J73" s="408">
        <f>'05-CHANNELTEAM-OFR1'!$L$2</f>
        <v>42534.873298611114</v>
      </c>
      <c r="K73" s="165">
        <f>'05-CHANNELTEAM-OFR1'!$O$2</f>
        <v>97</v>
      </c>
      <c r="L73" s="165">
        <f>'05-CHANNELTEAM-OFR1'!$P$2</f>
        <v>33</v>
      </c>
      <c r="M73" s="6967" t="s">
        <v>1939</v>
      </c>
      <c r="N73" s="6967"/>
      <c r="O73" s="6967"/>
      <c r="P73" s="6967"/>
      <c r="Q73" s="398"/>
    </row>
    <row r="74" spans="1:17" ht="17.25" hidden="1" customHeight="1" x14ac:dyDescent="0.35">
      <c r="A74" s="403"/>
      <c r="B74" s="429"/>
      <c r="C74" s="6971" t="str">
        <f>"Organisation et dimensionnement de l'équipe indirecte pour " &amp; NomProd2</f>
        <v>Organisation et dimensionnement de l'équipe indirecte pour ASEMA</v>
      </c>
      <c r="D74" s="6971"/>
      <c r="E74" s="6971"/>
      <c r="F74" s="1646" t="s">
        <v>1937</v>
      </c>
      <c r="G74" s="406" t="str">
        <f>TEXT(LEFT(I74,1),"0")</f>
        <v>3</v>
      </c>
      <c r="H74" s="1014">
        <f>ABS(G74)</f>
        <v>3</v>
      </c>
      <c r="I74" s="407" t="str">
        <f>'05-CHANNELTEAM-OFR2'!$I$2</f>
        <v>3-A revalider</v>
      </c>
      <c r="J74" s="408">
        <f>'05-CHANNELTEAM-OFR2'!$L$2</f>
        <v>42420.704363425924</v>
      </c>
      <c r="K74" s="165">
        <f>'05-CHANNELTEAM-OFR2'!$O$2</f>
        <v>97</v>
      </c>
      <c r="L74" s="165">
        <f>'05-CHANNELTEAM-OFR2'!$P$2</f>
        <v>33</v>
      </c>
      <c r="M74" s="6967" t="s">
        <v>1939</v>
      </c>
      <c r="N74" s="6967"/>
      <c r="O74" s="6967"/>
      <c r="P74" s="6967"/>
      <c r="Q74" s="398"/>
    </row>
    <row r="75" spans="1:17" ht="17.25" hidden="1" customHeight="1" x14ac:dyDescent="0.35">
      <c r="A75" s="403"/>
      <c r="B75" s="429"/>
      <c r="C75" s="6971" t="str">
        <f>"Organisation et dimensionnement de l'équipe indirecte pour " &amp; NomProd3</f>
        <v xml:space="preserve">Organisation et dimensionnement de l'équipe indirecte pour </v>
      </c>
      <c r="D75" s="6971"/>
      <c r="E75" s="6971"/>
      <c r="F75" s="1646" t="s">
        <v>1938</v>
      </c>
      <c r="G75" s="406" t="str">
        <f>TEXT(LEFT(I75,1),"0")</f>
        <v>3</v>
      </c>
      <c r="H75" s="1014">
        <f>ABS(G75)</f>
        <v>3</v>
      </c>
      <c r="I75" s="407" t="str">
        <f>'05-CHANNELTEAM-OFR3'!$I$2</f>
        <v>3-A revalider</v>
      </c>
      <c r="J75" s="408">
        <f>'05-CHANNELTEAM-OFR3'!$L$2</f>
        <v>42420.710868055554</v>
      </c>
      <c r="K75" s="165">
        <f>'05-CHANNELTEAM-OFR3'!$O$2</f>
        <v>97</v>
      </c>
      <c r="L75" s="165">
        <f>'05-CHANNELTEAM-OFR3'!$P$2</f>
        <v>33</v>
      </c>
      <c r="M75" s="6967" t="s">
        <v>1939</v>
      </c>
      <c r="N75" s="6967"/>
      <c r="O75" s="6967"/>
      <c r="P75" s="6967"/>
      <c r="Q75" s="398"/>
    </row>
    <row r="76" spans="1:17" ht="17.25" customHeight="1" x14ac:dyDescent="0.35">
      <c r="A76" s="403"/>
      <c r="B76" s="429"/>
      <c r="C76" s="6971" t="s">
        <v>1591</v>
      </c>
      <c r="D76" s="6971"/>
      <c r="E76" s="6971"/>
      <c r="F76" s="1646" t="s">
        <v>1589</v>
      </c>
      <c r="G76" s="406" t="str">
        <f>TEXT(LEFT(I76,1),"0")</f>
        <v>0</v>
      </c>
      <c r="H76" s="1014">
        <f>ABS(G76)</f>
        <v>0</v>
      </c>
      <c r="I76" s="407" t="str">
        <f>'05-SOURCECONFLICT'!$I$2</f>
        <v>0-Non nécessaire</v>
      </c>
      <c r="J76" s="408">
        <f>'05-SOURCECONFLICT'!$L$2</f>
        <v>42534.86215277778</v>
      </c>
      <c r="K76" s="165">
        <f>'05-SOURCECONFLICT'!$O$2</f>
        <v>57</v>
      </c>
      <c r="L76" s="165">
        <f>'05-SOURCECONFLICT'!$P$2</f>
        <v>93</v>
      </c>
      <c r="M76" s="6967" t="s">
        <v>1213</v>
      </c>
      <c r="N76" s="6967"/>
      <c r="O76" s="6967"/>
      <c r="P76" s="6967"/>
      <c r="Q76" s="398"/>
    </row>
    <row r="77" spans="1:17" ht="7.5" customHeight="1" x14ac:dyDescent="0.35">
      <c r="A77" s="403"/>
      <c r="B77" s="429"/>
      <c r="C77" s="413"/>
      <c r="D77" s="413"/>
      <c r="E77" s="413"/>
      <c r="F77" s="413"/>
      <c r="G77" s="403"/>
      <c r="H77" s="403"/>
      <c r="I77" s="403"/>
      <c r="J77" s="408"/>
      <c r="K77" s="403"/>
      <c r="L77" s="403"/>
      <c r="M77" s="410"/>
      <c r="N77" s="410"/>
      <c r="O77" s="410"/>
      <c r="P77" s="410"/>
      <c r="Q77" s="398"/>
    </row>
    <row r="78" spans="1:17" ht="15.75" customHeight="1" x14ac:dyDescent="0.35">
      <c r="A78" s="403"/>
      <c r="B78" s="6972" t="str">
        <f>Parametre!A28 &amp; " - " &amp; Parametre!B28</f>
        <v>06 - Typologie des partenaires</v>
      </c>
      <c r="C78" s="6973"/>
      <c r="D78" s="6973"/>
      <c r="E78" s="6973"/>
      <c r="F78" s="1636"/>
      <c r="G78" s="430"/>
      <c r="H78" s="400"/>
      <c r="I78" s="401"/>
      <c r="J78" s="408"/>
      <c r="K78" s="402"/>
      <c r="L78" s="402"/>
      <c r="M78" s="403"/>
      <c r="N78" s="403"/>
      <c r="O78" s="403"/>
      <c r="P78" s="403"/>
      <c r="Q78" s="398"/>
    </row>
    <row r="79" spans="1:17" s="80" customFormat="1" ht="7.5" customHeight="1" x14ac:dyDescent="0.35">
      <c r="A79" s="403"/>
      <c r="B79" s="431"/>
      <c r="C79" s="425"/>
      <c r="D79" s="425"/>
      <c r="E79" s="425"/>
      <c r="F79" s="425"/>
      <c r="G79" s="417"/>
      <c r="H79" s="400"/>
      <c r="I79" s="401"/>
      <c r="J79" s="408"/>
      <c r="K79" s="402"/>
      <c r="L79" s="402"/>
      <c r="M79" s="403"/>
      <c r="N79" s="403"/>
      <c r="O79" s="403"/>
      <c r="P79" s="403"/>
      <c r="Q79" s="403"/>
    </row>
    <row r="80" spans="1:17" ht="17.25" customHeight="1" x14ac:dyDescent="0.35">
      <c r="A80" s="403"/>
      <c r="B80" s="432"/>
      <c r="C80" s="6971" t="str">
        <f>"Typologie des partenaires pour " &amp; NomProd1</f>
        <v>Typologie des partenaires pour EQUINIX</v>
      </c>
      <c r="D80" s="6971"/>
      <c r="E80" s="6971"/>
      <c r="F80" s="1646" t="s">
        <v>1592</v>
      </c>
      <c r="G80" s="406" t="str">
        <f t="shared" ref="G80:G88" si="6">TEXT(LEFT(I80,1),"0")</f>
        <v>1</v>
      </c>
      <c r="H80" s="1014">
        <f t="shared" ref="H80:H88" si="7">ABS(G80)</f>
        <v>1</v>
      </c>
      <c r="I80" s="407" t="str">
        <f>TYPOPARTNER!$I$2</f>
        <v>1-A traiter</v>
      </c>
      <c r="J80" s="408">
        <f>TYPOPARTNER!$L$2</f>
        <v>42534.898796296293</v>
      </c>
      <c r="K80" s="165">
        <f>TYPOPARTNER!$P$2</f>
        <v>99</v>
      </c>
      <c r="L80" s="165">
        <f>TYPOPARTNER!$Q$2</f>
        <v>-10</v>
      </c>
      <c r="M80" s="6967" t="s">
        <v>1157</v>
      </c>
      <c r="N80" s="6967"/>
      <c r="O80" s="6967"/>
      <c r="P80" s="6967"/>
      <c r="Q80" s="398"/>
    </row>
    <row r="81" spans="1:17" ht="17.25" customHeight="1" x14ac:dyDescent="0.35">
      <c r="A81" s="403"/>
      <c r="B81" s="432"/>
      <c r="C81" s="6971" t="str">
        <f>"Rôles et Responsabilités des partenaires pour " &amp; NomProd1</f>
        <v>Rôles et Responsabilités des partenaires pour EQUINIX</v>
      </c>
      <c r="D81" s="6971"/>
      <c r="E81" s="6971"/>
      <c r="F81" s="1646" t="s">
        <v>1593</v>
      </c>
      <c r="G81" s="406" t="str">
        <f t="shared" si="6"/>
        <v>1</v>
      </c>
      <c r="H81" s="1014">
        <f t="shared" si="7"/>
        <v>1</v>
      </c>
      <c r="I81" s="407" t="str">
        <f>RESPONSABPARTNER!$G$2</f>
        <v>1-A traiter</v>
      </c>
      <c r="J81" s="408">
        <f>RESPONSABPARTNER!$J$2</f>
        <v>42534.898726851854</v>
      </c>
      <c r="K81" s="165">
        <f>RESPONSABPARTNER!$N$2</f>
        <v>0</v>
      </c>
      <c r="L81" s="165">
        <f>RESPONSABPARTNER!$O$2</f>
        <v>0</v>
      </c>
      <c r="M81" s="6967" t="s">
        <v>733</v>
      </c>
      <c r="N81" s="6967"/>
      <c r="O81" s="6967"/>
      <c r="P81" s="6967"/>
      <c r="Q81" s="398"/>
    </row>
    <row r="82" spans="1:17" ht="17.25" hidden="1" customHeight="1" x14ac:dyDescent="0.35">
      <c r="A82" s="403"/>
      <c r="B82" s="432"/>
      <c r="C82" s="6971" t="str">
        <f>"Profil et critères de recrutement des partenaires  " &amp; NomProd1</f>
        <v>Profil et critères de recrutement des partenaires  EQUINIX</v>
      </c>
      <c r="D82" s="6971"/>
      <c r="E82" s="6971"/>
      <c r="F82" s="1646" t="s">
        <v>1594</v>
      </c>
      <c r="G82" s="406" t="str">
        <f t="shared" si="6"/>
        <v>1</v>
      </c>
      <c r="H82" s="1014">
        <f t="shared" si="7"/>
        <v>1</v>
      </c>
      <c r="I82" s="407" t="str">
        <f>PROFILPARTNER!$I$2</f>
        <v>1-A traiter</v>
      </c>
      <c r="J82" s="408">
        <f>PROFILPARTNER!$L$2</f>
        <v>42534.898657407408</v>
      </c>
      <c r="K82" s="165">
        <f>PROFILPARTNER!$P$2</f>
        <v>64</v>
      </c>
      <c r="L82" s="165">
        <f>PROFILPARTNER!$Q$2</f>
        <v>100</v>
      </c>
      <c r="M82" s="6967" t="s">
        <v>734</v>
      </c>
      <c r="N82" s="6967"/>
      <c r="O82" s="6967"/>
      <c r="P82" s="6967"/>
      <c r="Q82" s="398"/>
    </row>
    <row r="83" spans="1:17" ht="17.25" hidden="1" customHeight="1" x14ac:dyDescent="0.35">
      <c r="A83" s="403"/>
      <c r="B83" s="432"/>
      <c r="C83" s="6971" t="str">
        <f>"Typologie des partenaires pour " &amp; NomProd2</f>
        <v>Typologie des partenaires pour ASEMA</v>
      </c>
      <c r="D83" s="6971"/>
      <c r="E83" s="6971"/>
      <c r="F83" s="1646" t="s">
        <v>1595</v>
      </c>
      <c r="G83" s="406" t="str">
        <f t="shared" si="6"/>
        <v>0</v>
      </c>
      <c r="H83" s="1014">
        <f t="shared" si="7"/>
        <v>0</v>
      </c>
      <c r="I83" s="407" t="str">
        <f>'06-TYPOPARTNER-OFR2'!$I$2</f>
        <v>0-Non nécessaire</v>
      </c>
      <c r="J83" s="408">
        <f>'06-TYPOPARTNER-OFR2'!$L$2</f>
        <v>42420.719247685185</v>
      </c>
      <c r="K83" s="165">
        <f>'06-TYPOPARTNER-OFR2'!$P$2</f>
        <v>62</v>
      </c>
      <c r="L83" s="165">
        <f>'06-TYPOPARTNER-OFR2'!$Q$2</f>
        <v>-10</v>
      </c>
      <c r="M83" s="6967" t="s">
        <v>1157</v>
      </c>
      <c r="N83" s="6967"/>
      <c r="O83" s="6967"/>
      <c r="P83" s="6967"/>
      <c r="Q83" s="398"/>
    </row>
    <row r="84" spans="1:17" ht="17.25" hidden="1" customHeight="1" x14ac:dyDescent="0.35">
      <c r="A84" s="403"/>
      <c r="B84" s="432"/>
      <c r="C84" s="6971" t="str">
        <f>"Rôles et Responsabilités des partenaires pour " &amp; NomProd2</f>
        <v>Rôles et Responsabilités des partenaires pour ASEMA</v>
      </c>
      <c r="D84" s="6971"/>
      <c r="E84" s="6971"/>
      <c r="F84" s="1646" t="s">
        <v>1596</v>
      </c>
      <c r="G84" s="406" t="str">
        <f t="shared" si="6"/>
        <v>0</v>
      </c>
      <c r="H84" s="1014">
        <f t="shared" si="7"/>
        <v>0</v>
      </c>
      <c r="I84" s="407" t="str">
        <f>'06-RESPONSABPARTNER-OFR2'!$I$2</f>
        <v>0-Non nécessaire</v>
      </c>
      <c r="J84" s="408">
        <f>'06-RESPONSABPARTNER-OFR2'!$L$2</f>
        <v>42420.719756944447</v>
      </c>
      <c r="K84" s="165">
        <f>'06-RESPONSABPARTNER-OFR2'!$P$2</f>
        <v>-10</v>
      </c>
      <c r="L84" s="165">
        <f>'06-RESPONSABPARTNER-OFR2'!$Q$2</f>
        <v>57</v>
      </c>
      <c r="M84" s="6967" t="s">
        <v>733</v>
      </c>
      <c r="N84" s="6967"/>
      <c r="O84" s="6967"/>
      <c r="P84" s="6967"/>
      <c r="Q84" s="398"/>
    </row>
    <row r="85" spans="1:17" ht="17.25" hidden="1" customHeight="1" x14ac:dyDescent="0.35">
      <c r="A85" s="403"/>
      <c r="B85" s="432"/>
      <c r="C85" s="6971" t="str">
        <f>"Profil et critères de recrutement des partenaires " &amp; NomProd2</f>
        <v>Profil et critères de recrutement des partenaires ASEMA</v>
      </c>
      <c r="D85" s="6971"/>
      <c r="E85" s="6971"/>
      <c r="F85" s="1646" t="s">
        <v>1597</v>
      </c>
      <c r="G85" s="406" t="str">
        <f t="shared" si="6"/>
        <v>4</v>
      </c>
      <c r="H85" s="1014">
        <f t="shared" si="7"/>
        <v>4</v>
      </c>
      <c r="I85" s="407" t="str">
        <f>'06-PROFILPARTNER-OFR2'!$I$2</f>
        <v>4-Validé</v>
      </c>
      <c r="J85" s="408">
        <f>'06-PROFILPARTNER-OFR2'!$L$2</f>
        <v>42420.721180555556</v>
      </c>
      <c r="K85" s="165">
        <f>'06-PROFILPARTNER-OFR2'!$P$2</f>
        <v>-10</v>
      </c>
      <c r="L85" s="165">
        <f>'06-PROFILPARTNER-OFR2'!$Q$2</f>
        <v>40</v>
      </c>
      <c r="M85" s="6967" t="s">
        <v>734</v>
      </c>
      <c r="N85" s="6967"/>
      <c r="O85" s="6967"/>
      <c r="P85" s="6967"/>
      <c r="Q85" s="398"/>
    </row>
    <row r="86" spans="1:17" ht="17.25" hidden="1" customHeight="1" x14ac:dyDescent="0.35">
      <c r="A86" s="403"/>
      <c r="B86" s="432"/>
      <c r="C86" s="6971" t="str">
        <f>"Typologie des partenaires pour " &amp; NomProd3</f>
        <v xml:space="preserve">Typologie des partenaires pour </v>
      </c>
      <c r="D86" s="6971"/>
      <c r="E86" s="6971"/>
      <c r="F86" s="1646" t="s">
        <v>1598</v>
      </c>
      <c r="G86" s="406" t="str">
        <f t="shared" si="6"/>
        <v>0</v>
      </c>
      <c r="H86" s="1014">
        <f t="shared" si="7"/>
        <v>0</v>
      </c>
      <c r="I86" s="407" t="str">
        <f>'06-TYPOPARTNER-OFR3'!$I$2</f>
        <v>0-Non nécessaire</v>
      </c>
      <c r="J86" s="408">
        <f>'06-TYPOPARTNER-OFR3'!$L$2</f>
        <v>42420.721608796295</v>
      </c>
      <c r="K86" s="165">
        <f>'06-TYPOPARTNER-OFR3'!$P$2</f>
        <v>62</v>
      </c>
      <c r="L86" s="165">
        <f>'06-TYPOPARTNER-OFR3'!$Q$2</f>
        <v>-10</v>
      </c>
      <c r="M86" s="6967" t="s">
        <v>1157</v>
      </c>
      <c r="N86" s="6967"/>
      <c r="O86" s="6967"/>
      <c r="P86" s="6967"/>
      <c r="Q86" s="398"/>
    </row>
    <row r="87" spans="1:17" ht="17.25" hidden="1" customHeight="1" x14ac:dyDescent="0.35">
      <c r="A87" s="403"/>
      <c r="B87" s="432"/>
      <c r="C87" s="6971" t="str">
        <f>"Rôles et Responsabilités des partenaires pour " &amp; NomProd3</f>
        <v xml:space="preserve">Rôles et Responsabilités des partenaires pour </v>
      </c>
      <c r="D87" s="6971"/>
      <c r="E87" s="6971"/>
      <c r="F87" s="1646" t="s">
        <v>1599</v>
      </c>
      <c r="G87" s="406" t="str">
        <f t="shared" si="6"/>
        <v>0</v>
      </c>
      <c r="H87" s="1014">
        <f t="shared" si="7"/>
        <v>0</v>
      </c>
      <c r="I87" s="407" t="str">
        <f>'06-RESPONSABPARTNER-OFR3'!$I$2</f>
        <v>0-Non nécessaire</v>
      </c>
      <c r="J87" s="408">
        <f>'06-RESPONSABPARTNER-OFR3'!$L$2</f>
        <v>42420.722118055557</v>
      </c>
      <c r="K87" s="165">
        <f>'06-RESPONSABPARTNER-OFR3'!$P$2</f>
        <v>-10</v>
      </c>
      <c r="L87" s="165">
        <f>'06-RESPONSABPARTNER-OFR3'!$Q$2</f>
        <v>57</v>
      </c>
      <c r="M87" s="6967" t="s">
        <v>733</v>
      </c>
      <c r="N87" s="6967"/>
      <c r="O87" s="6967"/>
      <c r="P87" s="6967"/>
      <c r="Q87" s="398"/>
    </row>
    <row r="88" spans="1:17" ht="17.25" hidden="1" customHeight="1" x14ac:dyDescent="0.35">
      <c r="A88" s="403"/>
      <c r="B88" s="432"/>
      <c r="C88" s="6971" t="str">
        <f>"Profil et critères de recrutement des partenaires " &amp; NomProd3</f>
        <v xml:space="preserve">Profil et critères de recrutement des partenaires </v>
      </c>
      <c r="D88" s="6971"/>
      <c r="E88" s="6971"/>
      <c r="F88" s="1646" t="s">
        <v>1600</v>
      </c>
      <c r="G88" s="406" t="str">
        <f t="shared" si="6"/>
        <v>4</v>
      </c>
      <c r="H88" s="1014">
        <f t="shared" si="7"/>
        <v>4</v>
      </c>
      <c r="I88" s="407" t="str">
        <f>'06-PROFILPARTNER-OFR3'!$I$2</f>
        <v>4-Validé</v>
      </c>
      <c r="J88" s="408">
        <f>'06-PROFILPARTNER-OFR3'!$L$2</f>
        <v>42420.722685185188</v>
      </c>
      <c r="K88" s="165">
        <f>'06-PROFILPARTNER-OFR3'!$P$2</f>
        <v>27</v>
      </c>
      <c r="L88" s="165">
        <f>'06-PROFILPARTNER-OFR3'!$Q$2</f>
        <v>61</v>
      </c>
      <c r="M88" s="6967" t="s">
        <v>734</v>
      </c>
      <c r="N88" s="6967"/>
      <c r="O88" s="6967"/>
      <c r="P88" s="6967"/>
      <c r="Q88" s="398"/>
    </row>
    <row r="89" spans="1:17" ht="15.75" customHeight="1" x14ac:dyDescent="0.35">
      <c r="A89" s="403"/>
      <c r="B89" s="432"/>
      <c r="C89" s="413"/>
      <c r="D89" s="413"/>
      <c r="E89" s="413"/>
      <c r="F89" s="413"/>
      <c r="G89" s="403"/>
      <c r="H89" s="403"/>
      <c r="I89" s="403"/>
      <c r="J89" s="408"/>
      <c r="K89" s="403"/>
      <c r="L89" s="403"/>
      <c r="M89" s="403"/>
      <c r="N89" s="403"/>
      <c r="O89" s="403"/>
      <c r="P89" s="403"/>
      <c r="Q89" s="398"/>
    </row>
    <row r="90" spans="1:17" ht="15.75" customHeight="1" x14ac:dyDescent="0.35">
      <c r="A90" s="403"/>
      <c r="B90" s="6969" t="str">
        <f>Parametre!A29 &amp; " - " &amp; Parametre!B29</f>
        <v>07 - Dimentionnement du réseau</v>
      </c>
      <c r="C90" s="6970"/>
      <c r="D90" s="6970"/>
      <c r="E90" s="6970"/>
      <c r="F90" s="1638"/>
      <c r="G90" s="433"/>
      <c r="H90" s="400"/>
      <c r="I90" s="401"/>
      <c r="J90" s="408"/>
      <c r="K90" s="402"/>
      <c r="L90" s="402"/>
      <c r="M90" s="403"/>
      <c r="N90" s="403"/>
      <c r="O90" s="403"/>
      <c r="P90" s="403"/>
      <c r="Q90" s="398"/>
    </row>
    <row r="91" spans="1:17" s="80" customFormat="1" ht="7.5" customHeight="1" x14ac:dyDescent="0.35">
      <c r="A91" s="403"/>
      <c r="B91" s="434"/>
      <c r="C91" s="416"/>
      <c r="D91" s="416"/>
      <c r="E91" s="416"/>
      <c r="F91" s="416"/>
      <c r="G91" s="417"/>
      <c r="H91" s="400"/>
      <c r="I91" s="401"/>
      <c r="J91" s="408"/>
      <c r="K91" s="402"/>
      <c r="L91" s="402"/>
      <c r="M91" s="403"/>
      <c r="N91" s="403"/>
      <c r="O91" s="403"/>
      <c r="P91" s="403"/>
      <c r="Q91" s="403"/>
    </row>
    <row r="92" spans="1:17" ht="17.25" customHeight="1" x14ac:dyDescent="0.35">
      <c r="A92" s="403"/>
      <c r="B92" s="435"/>
      <c r="C92" s="6968" t="str">
        <f xml:space="preserve"> "Plan de recrutement pour " &amp; NomProd1</f>
        <v>Plan de recrutement pour EQUINIX</v>
      </c>
      <c r="D92" s="6968"/>
      <c r="E92" s="6968"/>
      <c r="F92" s="1646" t="s">
        <v>1601</v>
      </c>
      <c r="G92" s="406" t="str">
        <f t="shared" ref="G92:G94" si="8">TEXT(LEFT(I92,1),"0")</f>
        <v>4</v>
      </c>
      <c r="H92" s="1014">
        <f t="shared" ref="H92:H94" si="9">ABS(G92)</f>
        <v>4</v>
      </c>
      <c r="I92" s="407" t="str">
        <f>'07-RECRUITMENTPLAN-OFR1'!$I$2</f>
        <v>4-Validé</v>
      </c>
      <c r="J92" s="408">
        <f>'07-RECRUITMENTPLAN-OFR1'!$L$2</f>
        <v>42426.397650462961</v>
      </c>
      <c r="K92" s="165">
        <f>'07-RECRUITMENTPLAN-OFR1'!$O$2</f>
        <v>167</v>
      </c>
      <c r="L92" s="165">
        <f>'07-RECRUITMENTPLAN-OFR1'!$P$2</f>
        <v>67</v>
      </c>
      <c r="M92" s="6967" t="s">
        <v>735</v>
      </c>
      <c r="N92" s="6967"/>
      <c r="O92" s="6967"/>
      <c r="P92" s="6967"/>
      <c r="Q92" s="398"/>
    </row>
    <row r="93" spans="1:17" ht="17.25" hidden="1" customHeight="1" x14ac:dyDescent="0.35">
      <c r="A93" s="403"/>
      <c r="B93" s="435"/>
      <c r="C93" s="6968" t="str">
        <f xml:space="preserve"> "Plan de recrutement pour " &amp; NomProd2</f>
        <v>Plan de recrutement pour ASEMA</v>
      </c>
      <c r="D93" s="6968"/>
      <c r="E93" s="6968"/>
      <c r="F93" s="1646" t="s">
        <v>1602</v>
      </c>
      <c r="G93" s="406" t="str">
        <f t="shared" si="8"/>
        <v>4</v>
      </c>
      <c r="H93" s="1014">
        <f t="shared" si="9"/>
        <v>4</v>
      </c>
      <c r="I93" s="407" t="str">
        <f>'07-RECRUITMENTPLAN-OFR2'!$I$2</f>
        <v>4-Validé</v>
      </c>
      <c r="J93" s="408">
        <f>'07-RECRUITMENTPLAN-OFR2'!$L$2</f>
        <v>42420.723634259259</v>
      </c>
      <c r="K93" s="165">
        <f>'07-RECRUITMENTPLAN-OFR2'!$O$2</f>
        <v>132</v>
      </c>
      <c r="L93" s="165">
        <f>'07-RECRUITMENTPLAN-OFR2'!$P$2</f>
        <v>51</v>
      </c>
      <c r="M93" s="6967" t="s">
        <v>735</v>
      </c>
      <c r="N93" s="6967"/>
      <c r="O93" s="6967"/>
      <c r="P93" s="6967"/>
      <c r="Q93" s="398"/>
    </row>
    <row r="94" spans="1:17" ht="17.25" hidden="1" customHeight="1" x14ac:dyDescent="0.35">
      <c r="A94" s="403"/>
      <c r="B94" s="435"/>
      <c r="C94" s="6968" t="str">
        <f xml:space="preserve"> "Plan de recrutement pour " &amp; NomProd3</f>
        <v xml:space="preserve">Plan de recrutement pour </v>
      </c>
      <c r="D94" s="6968"/>
      <c r="E94" s="6968"/>
      <c r="F94" s="1646" t="s">
        <v>1603</v>
      </c>
      <c r="G94" s="406" t="str">
        <f t="shared" si="8"/>
        <v>3</v>
      </c>
      <c r="H94" s="1014">
        <f t="shared" si="9"/>
        <v>3</v>
      </c>
      <c r="I94" s="407" t="str">
        <f>'07-RECRUITMENTPLAN-OFR3'!$I$2</f>
        <v>3-A revalider</v>
      </c>
      <c r="J94" s="408">
        <f>'07-RECRUITMENTPLAN-OFR3'!$L$2</f>
        <v>42420.723958333336</v>
      </c>
      <c r="K94" s="165">
        <f>'07-RECRUITMENTPLAN-OFR3'!$O$2</f>
        <v>132</v>
      </c>
      <c r="L94" s="165">
        <f>'07-RECRUITMENTPLAN-OFR3'!$P$2</f>
        <v>51</v>
      </c>
      <c r="M94" s="6967" t="s">
        <v>735</v>
      </c>
      <c r="N94" s="6967"/>
      <c r="O94" s="6967"/>
      <c r="P94" s="6967"/>
      <c r="Q94" s="398"/>
    </row>
    <row r="95" spans="1:17" ht="17.25" customHeight="1" x14ac:dyDescent="0.35">
      <c r="A95" s="403"/>
      <c r="B95" s="435"/>
      <c r="C95" s="6968" t="s">
        <v>1932</v>
      </c>
      <c r="D95" s="6968"/>
      <c r="E95" s="6968"/>
      <c r="F95" s="1646" t="s">
        <v>1933</v>
      </c>
      <c r="G95" s="406" t="str">
        <f t="shared" ref="G95" si="10">TEXT(LEFT(I95,1),"0")</f>
        <v>1</v>
      </c>
      <c r="H95" s="1014">
        <f t="shared" ref="H95" si="11">ABS(G95)</f>
        <v>1</v>
      </c>
      <c r="I95" s="407" t="str">
        <f>'PLAN D''ACTIONS'!$I$2</f>
        <v>1-A traiter</v>
      </c>
      <c r="J95" s="408">
        <f>'PLAN D''ACTIONS'!$L$2</f>
        <v>42534.881932870368</v>
      </c>
      <c r="K95" s="165">
        <f>'PLAN D''ACTIONS'!$O$2</f>
        <v>0</v>
      </c>
      <c r="L95" s="165">
        <f>'PLAN D''ACTIONS'!$P$2</f>
        <v>0</v>
      </c>
      <c r="M95" s="6967" t="s">
        <v>1934</v>
      </c>
      <c r="N95" s="6967"/>
      <c r="O95" s="6967"/>
      <c r="P95" s="6967"/>
      <c r="Q95" s="398"/>
    </row>
    <row r="96" spans="1:17" ht="7.5" customHeight="1" x14ac:dyDescent="0.35">
      <c r="A96" s="403"/>
      <c r="B96" s="435"/>
      <c r="C96" s="413"/>
      <c r="D96" s="413"/>
      <c r="E96" s="413"/>
      <c r="F96" s="413"/>
      <c r="G96" s="403"/>
      <c r="H96" s="403"/>
      <c r="I96" s="410"/>
      <c r="J96" s="408"/>
      <c r="K96" s="403"/>
      <c r="L96" s="403"/>
      <c r="M96" s="403"/>
      <c r="N96" s="403"/>
      <c r="O96" s="403"/>
      <c r="P96" s="403"/>
      <c r="Q96" s="398"/>
    </row>
    <row r="97" spans="1:17" ht="15.75" customHeight="1" x14ac:dyDescent="0.35">
      <c r="A97" s="403"/>
      <c r="B97" s="6980" t="str">
        <f>Parametre!A30 &amp; " - " &amp; Parametre!B30</f>
        <v>08 - Proposition de valeur</v>
      </c>
      <c r="C97" s="6981"/>
      <c r="D97" s="6981"/>
      <c r="E97" s="6981"/>
      <c r="F97" s="1637"/>
      <c r="G97" s="430"/>
      <c r="H97" s="400"/>
      <c r="I97" s="436"/>
      <c r="J97" s="408"/>
      <c r="K97" s="402"/>
      <c r="L97" s="402"/>
      <c r="M97" s="403"/>
      <c r="N97" s="403"/>
      <c r="O97" s="403"/>
      <c r="P97" s="403"/>
      <c r="Q97" s="398"/>
    </row>
    <row r="98" spans="1:17" s="80" customFormat="1" ht="7.5" customHeight="1" x14ac:dyDescent="0.35">
      <c r="A98" s="403"/>
      <c r="B98" s="437"/>
      <c r="C98" s="416"/>
      <c r="D98" s="416"/>
      <c r="E98" s="416"/>
      <c r="F98" s="416"/>
      <c r="G98" s="417"/>
      <c r="H98" s="400"/>
      <c r="I98" s="436"/>
      <c r="J98" s="408"/>
      <c r="K98" s="402"/>
      <c r="L98" s="402"/>
      <c r="M98" s="403"/>
      <c r="N98" s="403"/>
      <c r="O98" s="403"/>
      <c r="P98" s="403"/>
      <c r="Q98" s="403"/>
    </row>
    <row r="99" spans="1:17" ht="17.25" customHeight="1" x14ac:dyDescent="0.35">
      <c r="A99" s="403"/>
      <c r="B99" s="432"/>
      <c r="C99" s="6968" t="s">
        <v>312</v>
      </c>
      <c r="D99" s="6968"/>
      <c r="E99" s="6968"/>
      <c r="F99" s="1647" t="s">
        <v>1604</v>
      </c>
      <c r="G99" s="406" t="str">
        <f>TEXT(LEFT(I99,1),"0")</f>
        <v>0</v>
      </c>
      <c r="H99" s="1014">
        <f>ABS(G99)</f>
        <v>0</v>
      </c>
      <c r="I99" s="407" t="str">
        <f>PRICINGSTRATEGY!$I$2</f>
        <v>0-Non nécessaire</v>
      </c>
      <c r="J99" s="408">
        <f>PRICINGSTRATEGY!$L$2</f>
        <v>42428.93990740741</v>
      </c>
      <c r="K99" s="165">
        <f>PRICINGSTRATEGY!$O$2</f>
        <v>109</v>
      </c>
      <c r="L99" s="165">
        <f>PRICINGSTRATEGY!$P$2</f>
        <v>63</v>
      </c>
      <c r="M99" s="6967" t="s">
        <v>737</v>
      </c>
      <c r="N99" s="6967"/>
      <c r="O99" s="6967"/>
      <c r="P99" s="6967"/>
      <c r="Q99" s="398"/>
    </row>
    <row r="100" spans="1:17" ht="17.25" customHeight="1" x14ac:dyDescent="0.35">
      <c r="A100" s="403"/>
      <c r="B100" s="432"/>
      <c r="C100" s="6968" t="s">
        <v>1606</v>
      </c>
      <c r="D100" s="6968"/>
      <c r="E100" s="6968"/>
      <c r="F100" s="1647" t="s">
        <v>1605</v>
      </c>
      <c r="G100" s="406" t="str">
        <f>TEXT(LEFT(I100,1),"0")</f>
        <v>0</v>
      </c>
      <c r="H100" s="1014">
        <f>ABS(G100)</f>
        <v>0</v>
      </c>
      <c r="I100" s="407" t="str">
        <f>'08-DISCOUNTSTRATEGY'!$I$2</f>
        <v>0-Non nécessaire</v>
      </c>
      <c r="J100" s="408">
        <f>'08-DISCOUNTSTRATEGY'!$L$2</f>
        <v>42428.940023148149</v>
      </c>
      <c r="K100" s="165">
        <f>'08-DISCOUNTSTRATEGY'!$O$2</f>
        <v>58</v>
      </c>
      <c r="L100" s="165">
        <f>'08-DISCOUNTSTRATEGY'!$P$2</f>
        <v>64</v>
      </c>
      <c r="M100" s="6967" t="s">
        <v>840</v>
      </c>
      <c r="N100" s="6967"/>
      <c r="O100" s="6967"/>
      <c r="P100" s="6967"/>
      <c r="Q100" s="398"/>
    </row>
    <row r="101" spans="1:17" ht="17.25" customHeight="1" x14ac:dyDescent="0.35">
      <c r="A101" s="403"/>
      <c r="B101" s="432"/>
      <c r="C101" s="6968" t="str">
        <f>"Attractivité de l'offre vis-à-vis des partenaires " &amp; NomProd1</f>
        <v>Attractivité de l'offre vis-à-vis des partenaires EQUINIX</v>
      </c>
      <c r="D101" s="6968"/>
      <c r="E101" s="6968"/>
      <c r="F101" s="1647" t="s">
        <v>1607</v>
      </c>
      <c r="G101" s="406" t="str">
        <f>TEXT(LEFT(I101,1),"0")</f>
        <v>1</v>
      </c>
      <c r="H101" s="1014">
        <f>ABS(G101)</f>
        <v>1</v>
      </c>
      <c r="I101" s="407" t="str">
        <f>'08-VALUEAD4PARTNER-OFR1'!$I$2</f>
        <v>1-A traiter</v>
      </c>
      <c r="J101" s="408">
        <f>'08-VALUEAD4PARTNER-OFR1'!$L$2</f>
        <v>42421.93613425926</v>
      </c>
      <c r="K101" s="165">
        <f>'08-VALUEAD4PARTNER-OFR1'!$O$2</f>
        <v>81</v>
      </c>
      <c r="L101" s="165">
        <f>'08-VALUEAD4PARTNER-OFR1'!$P$2</f>
        <v>96</v>
      </c>
      <c r="M101" s="6967" t="s">
        <v>736</v>
      </c>
      <c r="N101" s="6967"/>
      <c r="O101" s="6967"/>
      <c r="P101" s="6967"/>
      <c r="Q101" s="398"/>
    </row>
    <row r="102" spans="1:17" ht="17.25" hidden="1" customHeight="1" x14ac:dyDescent="0.35">
      <c r="A102" s="403"/>
      <c r="B102" s="432"/>
      <c r="C102" s="6968" t="str">
        <f>"Attractivité de l'offre vis-à-vis des partenaires  " &amp; NomProd2</f>
        <v>Attractivité de l'offre vis-à-vis des partenaires  ASEMA</v>
      </c>
      <c r="D102" s="6968"/>
      <c r="E102" s="6968"/>
      <c r="F102" s="1647" t="s">
        <v>1608</v>
      </c>
      <c r="G102" s="406" t="str">
        <f>TEXT(LEFT(I102,1),"0")</f>
        <v>0</v>
      </c>
      <c r="H102" s="1014">
        <f>ABS(G102)</f>
        <v>0</v>
      </c>
      <c r="I102" s="407" t="str">
        <f>'08-VALUEAD4PARTNER-OFR2'!$I$2</f>
        <v>0-Non nécessaire</v>
      </c>
      <c r="J102" s="408">
        <f>'08-VALUEAD4PARTNER-OFR2'!$L$2</f>
        <v>42420.730798611112</v>
      </c>
      <c r="K102" s="165">
        <f>'08-VALUEAD4PARTNER-OFR2'!$O$2</f>
        <v>72</v>
      </c>
      <c r="L102" s="165">
        <f>'08-VALUEAD4PARTNER-OFR2'!$P$2</f>
        <v>46</v>
      </c>
      <c r="M102" s="6967" t="s">
        <v>736</v>
      </c>
      <c r="N102" s="6967"/>
      <c r="O102" s="6967"/>
      <c r="P102" s="6967"/>
      <c r="Q102" s="398"/>
    </row>
    <row r="103" spans="1:17" ht="17.25" hidden="1" customHeight="1" x14ac:dyDescent="0.35">
      <c r="A103" s="403"/>
      <c r="B103" s="432"/>
      <c r="C103" s="6968" t="str">
        <f>"Attractivité de l'offre vis-à-vis des partenaires  " &amp; NomProd3</f>
        <v xml:space="preserve">Attractivité de l'offre vis-à-vis des partenaires  </v>
      </c>
      <c r="D103" s="6968"/>
      <c r="E103" s="6968"/>
      <c r="F103" s="1647" t="s">
        <v>1609</v>
      </c>
      <c r="G103" s="406" t="str">
        <f>TEXT(LEFT(I103,1),"0")</f>
        <v>3</v>
      </c>
      <c r="H103" s="1014">
        <f>ABS(G103)</f>
        <v>3</v>
      </c>
      <c r="I103" s="407" t="str">
        <f>'08-VALUEAD4PARTNER-OFR3'!$I$2</f>
        <v>3-A revalider</v>
      </c>
      <c r="J103" s="408">
        <f>'08-VALUEAD4PARTNER-OFR3'!$L$2</f>
        <v>42420.73133101852</v>
      </c>
      <c r="K103" s="165">
        <f>'08-VALUEAD4PARTNER-OFR3'!$O$2</f>
        <v>72</v>
      </c>
      <c r="L103" s="165">
        <f>'08-VALUEAD4PARTNER-OFR3'!$P$2</f>
        <v>46</v>
      </c>
      <c r="M103" s="6967" t="s">
        <v>736</v>
      </c>
      <c r="N103" s="6967"/>
      <c r="O103" s="6967"/>
      <c r="P103" s="6967"/>
      <c r="Q103" s="398"/>
    </row>
    <row r="104" spans="1:17" ht="7.5" customHeight="1" x14ac:dyDescent="0.35">
      <c r="A104" s="403"/>
      <c r="B104" s="432"/>
      <c r="C104" s="413"/>
      <c r="D104" s="413"/>
      <c r="E104" s="413"/>
      <c r="F104" s="413"/>
      <c r="G104" s="403"/>
      <c r="H104" s="403"/>
      <c r="I104" s="410"/>
      <c r="J104" s="408"/>
      <c r="K104" s="403"/>
      <c r="L104" s="403"/>
      <c r="M104" s="403"/>
      <c r="N104" s="403"/>
      <c r="O104" s="403"/>
      <c r="P104" s="403"/>
      <c r="Q104" s="398"/>
    </row>
    <row r="105" spans="1:17" ht="15.75" customHeight="1" x14ac:dyDescent="0.35">
      <c r="A105" s="403"/>
      <c r="B105" s="6995" t="str">
        <f>Parametre!A31 &amp; " - " &amp; Parametre!B31</f>
        <v>09 - Profitabilité des partenaires</v>
      </c>
      <c r="C105" s="6996"/>
      <c r="D105" s="6996"/>
      <c r="E105" s="6996"/>
      <c r="F105" s="1626"/>
      <c r="G105" s="438"/>
      <c r="H105" s="400"/>
      <c r="I105" s="436"/>
      <c r="J105" s="408"/>
      <c r="K105" s="402"/>
      <c r="L105" s="402"/>
      <c r="M105" s="403"/>
      <c r="N105" s="403"/>
      <c r="O105" s="403"/>
      <c r="P105" s="403"/>
      <c r="Q105" s="398"/>
    </row>
    <row r="106" spans="1:17" s="80" customFormat="1" ht="7.5" customHeight="1" x14ac:dyDescent="0.35">
      <c r="A106" s="403"/>
      <c r="B106" s="956"/>
      <c r="C106" s="425"/>
      <c r="D106" s="425"/>
      <c r="E106" s="425"/>
      <c r="F106" s="425"/>
      <c r="G106" s="417"/>
      <c r="H106" s="400"/>
      <c r="I106" s="436"/>
      <c r="J106" s="408"/>
      <c r="K106" s="402"/>
      <c r="L106" s="402"/>
      <c r="M106" s="403"/>
      <c r="N106" s="403"/>
      <c r="O106" s="403"/>
      <c r="P106" s="403"/>
      <c r="Q106" s="403"/>
    </row>
    <row r="107" spans="1:17" ht="17.25" customHeight="1" x14ac:dyDescent="0.35">
      <c r="A107" s="403"/>
      <c r="B107" s="957"/>
      <c r="C107" s="6968" t="str">
        <f>"ROI, CA et Marges 3 ans des partenaires " &amp; NomProd1</f>
        <v>ROI, CA et Marges 3 ans des partenaires EQUINIX</v>
      </c>
      <c r="D107" s="6968"/>
      <c r="E107" s="6968"/>
      <c r="F107" s="1647" t="s">
        <v>1610</v>
      </c>
      <c r="G107" s="406" t="str">
        <f>TEXT(LEFT(I107,1),"0")</f>
        <v>1</v>
      </c>
      <c r="H107" s="1014">
        <f>ABS(G107)</f>
        <v>1</v>
      </c>
      <c r="I107" s="407" t="str">
        <f>'09-PROFITPARTNER-OFR1'!$I$2</f>
        <v>1-A traiter</v>
      </c>
      <c r="J107" s="408">
        <f>'09-PROFITPARTNER-OFR1'!$L$2</f>
        <v>42534.870578703703</v>
      </c>
      <c r="K107" s="165">
        <f>'09-PROFITPARTNER-OFR1'!$O$2</f>
        <v>167</v>
      </c>
      <c r="L107" s="165">
        <f>'09-PROFITPARTNER-OFR1'!$P$2</f>
        <v>171</v>
      </c>
      <c r="M107" s="6967" t="s">
        <v>1211</v>
      </c>
      <c r="N107" s="6967"/>
      <c r="O107" s="6967"/>
      <c r="P107" s="6967"/>
      <c r="Q107" s="398"/>
    </row>
    <row r="108" spans="1:17" ht="17.25" hidden="1" customHeight="1" x14ac:dyDescent="0.35">
      <c r="A108" s="403"/>
      <c r="B108" s="957"/>
      <c r="C108" s="6968" t="str">
        <f>"ROI, CA et Marges 3 ans des partenaires " &amp; NomProd2</f>
        <v>ROI, CA et Marges 3 ans des partenaires ASEMA</v>
      </c>
      <c r="D108" s="6968"/>
      <c r="E108" s="6968"/>
      <c r="F108" s="1647" t="s">
        <v>1611</v>
      </c>
      <c r="G108" s="406" t="str">
        <f>TEXT(LEFT(I108,1),"0")</f>
        <v>4</v>
      </c>
      <c r="H108" s="1014">
        <f>ABS(G108)</f>
        <v>4</v>
      </c>
      <c r="I108" s="407" t="str">
        <f>'09-PROFITPARTNER-OFR2'!$I$2</f>
        <v>4-Validé</v>
      </c>
      <c r="J108" s="408">
        <f>'09-PROFITPARTNER-OFR2'!$L$2</f>
        <v>42420.733101851853</v>
      </c>
      <c r="K108" s="165">
        <f>'09-PROFITPARTNER-OFR2'!$O$2</f>
        <v>167</v>
      </c>
      <c r="L108" s="165">
        <f>'09-PROFITPARTNER-OFR2'!$P$2</f>
        <v>171</v>
      </c>
      <c r="M108" s="6967" t="s">
        <v>738</v>
      </c>
      <c r="N108" s="6967"/>
      <c r="O108" s="6967"/>
      <c r="P108" s="6967"/>
      <c r="Q108" s="398"/>
    </row>
    <row r="109" spans="1:17" ht="17.25" hidden="1" customHeight="1" x14ac:dyDescent="0.35">
      <c r="A109" s="403"/>
      <c r="B109" s="957"/>
      <c r="C109" s="6968" t="str">
        <f>"ROI, CA et Marges 3 ans des partenaires " &amp; NomProd3</f>
        <v xml:space="preserve">ROI, CA et Marges 3 ans des partenaires </v>
      </c>
      <c r="D109" s="6968"/>
      <c r="E109" s="6968"/>
      <c r="F109" s="1647" t="s">
        <v>1612</v>
      </c>
      <c r="G109" s="406" t="str">
        <f>TEXT(LEFT(I109,1),"0")</f>
        <v>4</v>
      </c>
      <c r="H109" s="1014">
        <f>ABS(G109)</f>
        <v>4</v>
      </c>
      <c r="I109" s="407" t="str">
        <f>'09-PROFITPARTNER-OFR3'!$I$2</f>
        <v>4-Validé</v>
      </c>
      <c r="J109" s="408">
        <f>'09-PROFITPARTNER-OFR3'!$L$2</f>
        <v>42420.734166666669</v>
      </c>
      <c r="K109" s="165">
        <f>'09-PROFITPARTNER-OFR3'!$O$2</f>
        <v>167</v>
      </c>
      <c r="L109" s="165">
        <f>'09-PROFITPARTNER-OFR3'!$P$2</f>
        <v>171</v>
      </c>
      <c r="M109" s="6967" t="s">
        <v>738</v>
      </c>
      <c r="N109" s="6967"/>
      <c r="O109" s="6967"/>
      <c r="P109" s="6967"/>
      <c r="Q109" s="398"/>
    </row>
    <row r="110" spans="1:17" ht="7.5" customHeight="1" x14ac:dyDescent="0.35">
      <c r="A110" s="403"/>
      <c r="B110" s="957"/>
      <c r="C110" s="413"/>
      <c r="D110" s="413"/>
      <c r="E110" s="413"/>
      <c r="F110" s="413"/>
      <c r="G110" s="403"/>
      <c r="H110" s="403"/>
      <c r="I110" s="410"/>
      <c r="J110" s="408"/>
      <c r="K110" s="403"/>
      <c r="L110" s="403"/>
      <c r="M110" s="403"/>
      <c r="N110" s="403"/>
      <c r="O110" s="403"/>
      <c r="P110" s="403"/>
      <c r="Q110" s="398"/>
    </row>
    <row r="111" spans="1:17" ht="15.75" customHeight="1" x14ac:dyDescent="0.35">
      <c r="A111" s="403"/>
      <c r="B111" s="6997" t="str">
        <f>Parametre!A32 &amp; " - " &amp; Parametre!B32</f>
        <v>10 - Programmes partenaires</v>
      </c>
      <c r="C111" s="6998"/>
      <c r="D111" s="6998"/>
      <c r="E111" s="6998"/>
      <c r="F111" s="1627"/>
      <c r="G111" s="439"/>
      <c r="H111" s="400"/>
      <c r="I111" s="436"/>
      <c r="J111" s="408"/>
      <c r="K111" s="402"/>
      <c r="L111" s="402"/>
      <c r="M111" s="403"/>
      <c r="N111" s="403"/>
      <c r="O111" s="403"/>
      <c r="P111" s="403"/>
      <c r="Q111" s="398"/>
    </row>
    <row r="112" spans="1:17" s="80" customFormat="1" ht="7.5" customHeight="1" x14ac:dyDescent="0.35">
      <c r="A112" s="403"/>
      <c r="B112" s="1005"/>
      <c r="C112" s="1652"/>
      <c r="D112" s="1652"/>
      <c r="E112" s="1652"/>
      <c r="F112" s="416"/>
      <c r="G112" s="440"/>
      <c r="H112" s="400"/>
      <c r="I112" s="436"/>
      <c r="J112" s="408"/>
      <c r="K112" s="402"/>
      <c r="L112" s="402"/>
      <c r="M112" s="403"/>
      <c r="N112" s="403"/>
      <c r="O112" s="403"/>
      <c r="P112" s="403"/>
      <c r="Q112" s="403"/>
    </row>
    <row r="113" spans="1:17" ht="17.25" customHeight="1" x14ac:dyDescent="0.35">
      <c r="A113" s="403"/>
      <c r="B113" s="1006"/>
      <c r="C113" s="6974" t="s">
        <v>1212</v>
      </c>
      <c r="D113" s="6974"/>
      <c r="E113" s="6974"/>
      <c r="F113" s="406" t="s">
        <v>1614</v>
      </c>
      <c r="G113" s="406" t="str">
        <f t="shared" ref="G113:G122" si="12">TEXT(LEFT(I113,1),"0")</f>
        <v>1</v>
      </c>
      <c r="H113" s="1014">
        <f t="shared" ref="H113:H122" si="13">ABS(G113)</f>
        <v>1</v>
      </c>
      <c r="I113" s="407" t="str">
        <f>PROGRAMPARTNER!$I$2</f>
        <v>1-A traiter</v>
      </c>
      <c r="J113" s="408">
        <f>PROGRAMPARTNER!$L$2</f>
        <v>42534.869479166664</v>
      </c>
      <c r="K113" s="165" t="e">
        <f>PROGRAMPARTNER!$O$2</f>
        <v>#REF!</v>
      </c>
      <c r="L113" s="165" t="e">
        <f>PROGRAMPARTNER!$P$2</f>
        <v>#REF!</v>
      </c>
      <c r="M113" s="6967" t="s">
        <v>739</v>
      </c>
      <c r="N113" s="6967"/>
      <c r="O113" s="6967"/>
      <c r="P113" s="6967"/>
      <c r="Q113" s="398"/>
    </row>
    <row r="114" spans="1:17" ht="17.25" customHeight="1" x14ac:dyDescent="0.35">
      <c r="A114" s="403"/>
      <c r="B114" s="1006"/>
      <c r="C114" s="6974" t="str">
        <f>"Budget et point mort du programme pour " &amp; NomProd1</f>
        <v>Budget et point mort du programme pour EQUINIX</v>
      </c>
      <c r="D114" s="6974"/>
      <c r="E114" s="6974"/>
      <c r="F114" s="406" t="s">
        <v>1941</v>
      </c>
      <c r="G114" s="406" t="str">
        <f t="shared" si="12"/>
        <v>1</v>
      </c>
      <c r="H114" s="1014">
        <f t="shared" si="13"/>
        <v>1</v>
      </c>
      <c r="I114" s="407" t="str">
        <f>BUDGETPROGRAM!$I$2</f>
        <v>1-A traiter</v>
      </c>
      <c r="J114" s="408">
        <f>BUDGETPROGRAM!$L$2</f>
        <v>42534.866863425923</v>
      </c>
      <c r="K114" s="165">
        <f>BUDGETPROGRAM!$S$2</f>
        <v>132</v>
      </c>
      <c r="L114" s="165">
        <f>BUDGETPROGRAM!$T$2</f>
        <v>61</v>
      </c>
      <c r="M114" s="6967" t="s">
        <v>1208</v>
      </c>
      <c r="N114" s="6967"/>
      <c r="O114" s="6967"/>
      <c r="P114" s="6967"/>
      <c r="Q114" s="398"/>
    </row>
    <row r="115" spans="1:17" ht="17.25" hidden="1" customHeight="1" x14ac:dyDescent="0.35">
      <c r="A115" s="403"/>
      <c r="B115" s="1006"/>
      <c r="C115" s="6974" t="str">
        <f>"Budget et point mort du programme pour " &amp; NomProd2</f>
        <v>Budget et point mort du programme pour ASEMA</v>
      </c>
      <c r="D115" s="6974"/>
      <c r="E115" s="6974"/>
      <c r="F115" s="406" t="s">
        <v>1942</v>
      </c>
      <c r="G115" s="406" t="str">
        <f t="shared" ref="G115" si="14">TEXT(LEFT(I115,1),"0")</f>
        <v>3</v>
      </c>
      <c r="H115" s="1014">
        <f t="shared" ref="H115" si="15">ABS(G115)</f>
        <v>3</v>
      </c>
      <c r="I115" s="407" t="str">
        <f>'10-BUDGETPROGRAM-OFR2'!$I$2</f>
        <v>3-A revalider</v>
      </c>
      <c r="J115" s="408">
        <f>'10-BUDGETPROGRAM-OFR2'!$L$2</f>
        <v>42420.745844907404</v>
      </c>
      <c r="K115" s="165">
        <f>'10-BUDGETPROGRAM-OFR2'!$S$2</f>
        <v>132</v>
      </c>
      <c r="L115" s="165">
        <f>'10-BUDGETPROGRAM-OFR2'!$T$2</f>
        <v>61</v>
      </c>
      <c r="M115" s="6967" t="s">
        <v>1208</v>
      </c>
      <c r="N115" s="6967"/>
      <c r="O115" s="6967"/>
      <c r="P115" s="6967"/>
      <c r="Q115" s="398"/>
    </row>
    <row r="116" spans="1:17" ht="17.25" hidden="1" customHeight="1" x14ac:dyDescent="0.35">
      <c r="A116" s="403"/>
      <c r="B116" s="1006"/>
      <c r="C116" s="6974" t="str">
        <f>"Budget et point mort du programme pour " &amp; NomProd3</f>
        <v xml:space="preserve">Budget et point mort du programme pour </v>
      </c>
      <c r="D116" s="6974"/>
      <c r="E116" s="6974"/>
      <c r="F116" s="406" t="s">
        <v>1943</v>
      </c>
      <c r="G116" s="406" t="str">
        <f t="shared" ref="G116" si="16">TEXT(LEFT(I116,1),"0")</f>
        <v>3</v>
      </c>
      <c r="H116" s="1014">
        <f t="shared" ref="H116" si="17">ABS(G116)</f>
        <v>3</v>
      </c>
      <c r="I116" s="407" t="str">
        <f>'10-BUDGETPROGRAM-OFR3'!$I$2</f>
        <v>3-A revalider</v>
      </c>
      <c r="J116" s="408">
        <f>'10-BUDGETPROGRAM-OFR3'!$L$2</f>
        <v>42420.749895833331</v>
      </c>
      <c r="K116" s="165">
        <f>'10-BUDGETPROGRAM-OFR3'!$S$2</f>
        <v>132</v>
      </c>
      <c r="L116" s="165">
        <f>'10-BUDGETPROGRAM-OFR3'!$T$2</f>
        <v>61</v>
      </c>
      <c r="M116" s="6967" t="s">
        <v>1208</v>
      </c>
      <c r="N116" s="6967"/>
      <c r="O116" s="6967"/>
      <c r="P116" s="6967"/>
      <c r="Q116" s="398"/>
    </row>
    <row r="117" spans="1:17" ht="17.25" customHeight="1" x14ac:dyDescent="0.35">
      <c r="A117" s="403"/>
      <c r="B117" s="1006"/>
      <c r="C117" s="6974" t="str">
        <f>"Taux de couverture du CA par les leads " &amp; NomProd1</f>
        <v>Taux de couverture du CA par les leads EQUINIX</v>
      </c>
      <c r="D117" s="6974"/>
      <c r="E117" s="6974"/>
      <c r="F117" s="406" t="s">
        <v>1615</v>
      </c>
      <c r="G117" s="406" t="str">
        <f t="shared" si="12"/>
        <v>1</v>
      </c>
      <c r="H117" s="1014">
        <f t="shared" si="13"/>
        <v>1</v>
      </c>
      <c r="I117" s="407" t="str">
        <f>'10-LEADSCOVERAGE-OFR1'!$I$2</f>
        <v>1-A traiter</v>
      </c>
      <c r="J117" s="408">
        <f>'10-LEADSCOVERAGE-OFR1'!$L$2</f>
        <v>42534.869375000002</v>
      </c>
      <c r="K117" s="165">
        <f>'10-LEADSCOVERAGE-OFR1'!$O$2</f>
        <v>129</v>
      </c>
      <c r="L117" s="165">
        <f>'10-LEADSCOVERAGE-OFR1'!$P$2</f>
        <v>18</v>
      </c>
      <c r="M117" s="6967" t="s">
        <v>1209</v>
      </c>
      <c r="N117" s="6967"/>
      <c r="O117" s="6967"/>
      <c r="P117" s="6967"/>
      <c r="Q117" s="398"/>
    </row>
    <row r="118" spans="1:17" ht="17.25" hidden="1" customHeight="1" x14ac:dyDescent="0.35">
      <c r="A118" s="403"/>
      <c r="B118" s="1006"/>
      <c r="C118" s="6974" t="str">
        <f>"Taux de couverture du CA par les leads " &amp; NomProd2</f>
        <v>Taux de couverture du CA par les leads ASEMA</v>
      </c>
      <c r="D118" s="6974"/>
      <c r="E118" s="6974"/>
      <c r="F118" s="406" t="s">
        <v>1616</v>
      </c>
      <c r="G118" s="406" t="str">
        <f t="shared" si="12"/>
        <v>1</v>
      </c>
      <c r="H118" s="1014">
        <f t="shared" si="13"/>
        <v>1</v>
      </c>
      <c r="I118" s="407" t="str">
        <f>'10-LEADSCOVERAGE-OFR2'!$I$2</f>
        <v>1-A traiter</v>
      </c>
      <c r="J118" s="408">
        <f>'10-LEADSCOVERAGE-OFR2'!$L$2</f>
        <v>42420.75199074074</v>
      </c>
      <c r="K118" s="165">
        <f>'10-LEADSCOVERAGE-OFR2'!$O$2</f>
        <v>-10</v>
      </c>
      <c r="L118" s="165">
        <f>'10-LEADSCOVERAGE-OFR2'!$P$2</f>
        <v>-10</v>
      </c>
      <c r="M118" s="6967"/>
      <c r="N118" s="6967"/>
      <c r="O118" s="6967"/>
      <c r="P118" s="6967"/>
      <c r="Q118" s="398"/>
    </row>
    <row r="119" spans="1:17" ht="17.25" hidden="1" customHeight="1" x14ac:dyDescent="0.35">
      <c r="A119" s="403"/>
      <c r="B119" s="1006"/>
      <c r="C119" s="6974" t="str">
        <f>"Taux de couverture du CA par les leads " &amp; NomProd3</f>
        <v xml:space="preserve">Taux de couverture du CA par les leads </v>
      </c>
      <c r="D119" s="6974"/>
      <c r="E119" s="6974"/>
      <c r="F119" s="406" t="s">
        <v>1617</v>
      </c>
      <c r="G119" s="406" t="str">
        <f t="shared" si="12"/>
        <v>1</v>
      </c>
      <c r="H119" s="1014">
        <f t="shared" si="13"/>
        <v>1</v>
      </c>
      <c r="I119" s="407" t="str">
        <f>'10-LEADSCOVERAGE-OFR3'!$I$2</f>
        <v>1-A traiter</v>
      </c>
      <c r="J119" s="408">
        <f>'10-LEADSCOVERAGE-OFR3'!$L$2</f>
        <v>42420.752372685187</v>
      </c>
      <c r="K119" s="165">
        <f>'10-LEADSCOVERAGE-OFR3'!$O$2</f>
        <v>-10</v>
      </c>
      <c r="L119" s="165">
        <f>'10-LEADSCOVERAGE-OFR3'!$P$2</f>
        <v>-10</v>
      </c>
      <c r="M119" s="6967"/>
      <c r="N119" s="6967"/>
      <c r="O119" s="6967"/>
      <c r="P119" s="6967"/>
      <c r="Q119" s="398"/>
    </row>
    <row r="120" spans="1:17" ht="17.25" customHeight="1" x14ac:dyDescent="0.35">
      <c r="A120" s="403"/>
      <c r="B120" s="1006"/>
      <c r="C120" s="6974" t="str">
        <f>"Partner Sales Kit pour " &amp; NomProd1</f>
        <v>Partner Sales Kit pour EQUINIX</v>
      </c>
      <c r="D120" s="6974"/>
      <c r="E120" s="6974"/>
      <c r="F120" s="406" t="s">
        <v>1944</v>
      </c>
      <c r="G120" s="406" t="str">
        <f t="shared" si="12"/>
        <v>1</v>
      </c>
      <c r="H120" s="1014">
        <f t="shared" si="13"/>
        <v>1</v>
      </c>
      <c r="I120" s="407" t="str">
        <f>PARTNERSALESKIT!$I$2</f>
        <v>1-A traiter</v>
      </c>
      <c r="J120" s="408">
        <f>PARTNERSALESKIT!$L$2</f>
        <v>42534.88082175926</v>
      </c>
      <c r="K120" s="165" t="e">
        <f>PARTNERSALESKIT!$O$2</f>
        <v>#REF!</v>
      </c>
      <c r="L120" s="165" t="e">
        <f>PARTNERSALESKIT!$P$2</f>
        <v>#REF!</v>
      </c>
      <c r="M120" s="6967" t="s">
        <v>1210</v>
      </c>
      <c r="N120" s="6967"/>
      <c r="O120" s="6967"/>
      <c r="P120" s="6967"/>
      <c r="Q120" s="398"/>
    </row>
    <row r="121" spans="1:17" ht="17.25" hidden="1" customHeight="1" x14ac:dyDescent="0.35">
      <c r="A121" s="403"/>
      <c r="B121" s="1006"/>
      <c r="C121" s="6974" t="str">
        <f>"Partner Sales Kit pour " &amp; NomProd2</f>
        <v>Partner Sales Kit pour ASEMA</v>
      </c>
      <c r="D121" s="6974"/>
      <c r="E121" s="6974"/>
      <c r="F121" s="406" t="s">
        <v>1945</v>
      </c>
      <c r="G121" s="406" t="str">
        <f t="shared" ref="G121" si="18">TEXT(LEFT(I121,1),"0")</f>
        <v>4</v>
      </c>
      <c r="H121" s="1014">
        <f t="shared" ref="H121" si="19">ABS(G121)</f>
        <v>4</v>
      </c>
      <c r="I121" s="407" t="str">
        <f>'10-PARTNERSALESKIT-OFR2'!$I$2</f>
        <v>4-Validé</v>
      </c>
      <c r="J121" s="408">
        <f>'10-PARTNERSALESKIT-OFR2'!$L$2</f>
        <v>42420.759965277779</v>
      </c>
      <c r="K121" s="165">
        <f>'10-PARTNERSALESKIT-OFR2'!$O$2</f>
        <v>245</v>
      </c>
      <c r="L121" s="165">
        <f>'10-PARTNERSALESKIT-OFR2'!$P$2</f>
        <v>57</v>
      </c>
      <c r="M121" s="6967" t="s">
        <v>1210</v>
      </c>
      <c r="N121" s="6967"/>
      <c r="O121" s="6967"/>
      <c r="P121" s="6967"/>
      <c r="Q121" s="398"/>
    </row>
    <row r="122" spans="1:17" ht="17.25" hidden="1" customHeight="1" x14ac:dyDescent="0.35">
      <c r="A122" s="403"/>
      <c r="B122" s="1006"/>
      <c r="C122" s="6974" t="str">
        <f>"Partner Sales Kit pour " &amp; NomProd3</f>
        <v xml:space="preserve">Partner Sales Kit pour </v>
      </c>
      <c r="D122" s="6974"/>
      <c r="E122" s="6974"/>
      <c r="F122" s="406" t="s">
        <v>1946</v>
      </c>
      <c r="G122" s="406" t="str">
        <f t="shared" si="12"/>
        <v>4</v>
      </c>
      <c r="H122" s="1014">
        <f t="shared" si="13"/>
        <v>4</v>
      </c>
      <c r="I122" s="407" t="str">
        <f>'10-PARTNERSALESKIT-OFR3'!$I$2</f>
        <v>4-Validé</v>
      </c>
      <c r="J122" s="408">
        <f>'10-PARTNERSALESKIT-OFR3'!$L$2</f>
        <v>42420.762708333335</v>
      </c>
      <c r="K122" s="165">
        <f>'10-PARTNERSALESKIT-OFR3'!$O$2</f>
        <v>245</v>
      </c>
      <c r="L122" s="165">
        <f>'10-PARTNERSALESKIT-OFR3'!$P$2</f>
        <v>57</v>
      </c>
      <c r="M122" s="6967" t="s">
        <v>1210</v>
      </c>
      <c r="N122" s="6967"/>
      <c r="O122" s="6967"/>
      <c r="P122" s="6967"/>
      <c r="Q122" s="398"/>
    </row>
    <row r="123" spans="1:17" ht="7.5" customHeight="1" x14ac:dyDescent="0.35">
      <c r="A123" s="403"/>
      <c r="B123" s="1006"/>
      <c r="C123" s="410"/>
      <c r="D123" s="410"/>
      <c r="E123" s="410"/>
      <c r="F123" s="410"/>
      <c r="G123" s="403"/>
      <c r="H123" s="403"/>
      <c r="I123" s="403"/>
      <c r="J123" s="408"/>
      <c r="K123" s="403"/>
      <c r="L123" s="403"/>
      <c r="M123" s="403"/>
      <c r="N123" s="403"/>
      <c r="O123" s="403"/>
      <c r="P123" s="403"/>
      <c r="Q123" s="398"/>
    </row>
    <row r="124" spans="1:17" ht="15.75" customHeight="1" x14ac:dyDescent="0.35">
      <c r="A124" s="403"/>
      <c r="B124" s="6999" t="str">
        <f>Parametre!A33 &amp; " - " &amp; Parametre!B33</f>
        <v>11 - Bilan du Workshop</v>
      </c>
      <c r="C124" s="7000"/>
      <c r="D124" s="7000"/>
      <c r="E124" s="7000"/>
      <c r="F124" s="1628"/>
      <c r="G124" s="441"/>
      <c r="H124" s="400"/>
      <c r="I124" s="401"/>
      <c r="J124" s="408"/>
      <c r="K124" s="402"/>
      <c r="L124" s="402"/>
      <c r="M124" s="403"/>
      <c r="N124" s="403"/>
      <c r="O124" s="403"/>
      <c r="P124" s="403"/>
      <c r="Q124" s="398"/>
    </row>
    <row r="125" spans="1:17" s="80" customFormat="1" ht="7.5" customHeight="1" x14ac:dyDescent="0.35">
      <c r="A125" s="403"/>
      <c r="B125" s="1007"/>
      <c r="C125" s="1653"/>
      <c r="D125" s="1653"/>
      <c r="E125" s="1653"/>
      <c r="F125" s="442"/>
      <c r="G125" s="417"/>
      <c r="H125" s="400"/>
      <c r="I125" s="401"/>
      <c r="J125" s="408"/>
      <c r="K125" s="402"/>
      <c r="L125" s="402"/>
      <c r="M125" s="403"/>
      <c r="N125" s="403"/>
      <c r="O125" s="403"/>
      <c r="P125" s="403"/>
      <c r="Q125" s="403"/>
    </row>
    <row r="126" spans="1:17" ht="17.25" customHeight="1" x14ac:dyDescent="0.35">
      <c r="A126" s="403"/>
      <c r="B126" s="2312"/>
      <c r="C126" s="6976" t="s">
        <v>1620</v>
      </c>
      <c r="D126" s="6976"/>
      <c r="E126" s="6976"/>
      <c r="F126" s="1646" t="s">
        <v>1927</v>
      </c>
      <c r="G126" s="406" t="str">
        <f>TEXT(LEFT(I126,1),"0")</f>
        <v>1</v>
      </c>
      <c r="H126" s="1014">
        <f>ABS(G126)</f>
        <v>1</v>
      </c>
      <c r="I126" s="407" t="str">
        <f>TODO!$I$2</f>
        <v>1-A traiter</v>
      </c>
      <c r="J126" s="408">
        <f>TODO!$L$2</f>
        <v>42534.862002314818</v>
      </c>
      <c r="K126" s="1024"/>
      <c r="L126" s="1024"/>
      <c r="M126" s="6977" t="s">
        <v>721</v>
      </c>
      <c r="N126" s="6977"/>
      <c r="O126" s="6977"/>
      <c r="P126" s="6977"/>
      <c r="Q126" s="398"/>
    </row>
    <row r="127" spans="1:17" ht="17.25" customHeight="1" x14ac:dyDescent="0.35">
      <c r="A127" s="403"/>
      <c r="B127" s="2312"/>
      <c r="C127" s="6976" t="s">
        <v>1925</v>
      </c>
      <c r="D127" s="6976"/>
      <c r="E127" s="6976"/>
      <c r="F127" s="1646" t="s">
        <v>1926</v>
      </c>
      <c r="G127" s="406" t="str">
        <f>TEXT(LEFT(I127,1),"0")</f>
        <v>1</v>
      </c>
      <c r="H127" s="1014">
        <f>ABS(G127)</f>
        <v>1</v>
      </c>
      <c r="I127" s="407" t="str">
        <f>GOVERNANCE!$I$2</f>
        <v>1-A traiter</v>
      </c>
      <c r="J127" s="408">
        <f>GOVERNANCE!$L$2</f>
        <v>42967.416192129633</v>
      </c>
      <c r="K127" s="1024"/>
      <c r="L127" s="1024"/>
      <c r="M127" s="6977" t="s">
        <v>721</v>
      </c>
      <c r="N127" s="6977"/>
      <c r="O127" s="6977"/>
      <c r="P127" s="6977"/>
      <c r="Q127" s="398"/>
    </row>
    <row r="128" spans="1:17" ht="17.25" customHeight="1" x14ac:dyDescent="0.35">
      <c r="A128" s="403"/>
      <c r="B128" s="2312"/>
      <c r="C128" s="6976" t="s">
        <v>1928</v>
      </c>
      <c r="D128" s="6976"/>
      <c r="E128" s="6976"/>
      <c r="F128" s="1646" t="s">
        <v>1929</v>
      </c>
      <c r="G128" s="406" t="str">
        <f>TEXT(LEFT(I128,1),"0")</f>
        <v>1</v>
      </c>
      <c r="H128" s="1014">
        <f>ABS(G128)</f>
        <v>1</v>
      </c>
      <c r="I128" s="407" t="str">
        <f>'11-KPIsFOLLOWUP'!$I$2</f>
        <v>1-A traiter</v>
      </c>
      <c r="J128" s="408">
        <f>'11-KPIsFOLLOWUP'!$L$2</f>
        <v>42421.937881944446</v>
      </c>
      <c r="K128" s="1024"/>
      <c r="L128" s="1024"/>
      <c r="M128" s="6977" t="s">
        <v>1930</v>
      </c>
      <c r="N128" s="6977"/>
      <c r="O128" s="6977"/>
      <c r="P128" s="6977"/>
      <c r="Q128" s="398"/>
    </row>
    <row r="129" spans="1:17" ht="17.25" customHeight="1" x14ac:dyDescent="0.35">
      <c r="A129" s="403"/>
      <c r="B129" s="2312"/>
      <c r="C129" s="6976" t="s">
        <v>1621</v>
      </c>
      <c r="D129" s="6976"/>
      <c r="E129" s="6976"/>
      <c r="F129" s="1646" t="s">
        <v>1931</v>
      </c>
      <c r="G129" s="406" t="str">
        <f>TEXT(LEFT(I129,1),"0")</f>
        <v>0</v>
      </c>
      <c r="H129" s="1014">
        <f>ABS(G129)</f>
        <v>0</v>
      </c>
      <c r="I129" s="407" t="str">
        <f>'11-GUIDE4VALUEPROP'!$I$2</f>
        <v>0-Non nécessaire</v>
      </c>
      <c r="J129" s="408">
        <f>'11-GUIDE4VALUEPROP'!$L$2</f>
        <v>42534.860729166663</v>
      </c>
      <c r="K129" s="1024"/>
      <c r="L129" s="1024"/>
      <c r="M129" s="6977" t="s">
        <v>1178</v>
      </c>
      <c r="N129" s="6977"/>
      <c r="O129" s="6977"/>
      <c r="P129" s="6977"/>
      <c r="Q129" s="398"/>
    </row>
    <row r="130" spans="1:17" ht="7.5" customHeight="1" x14ac:dyDescent="0.35">
      <c r="A130" s="403"/>
      <c r="B130" s="1008"/>
      <c r="C130" s="443"/>
      <c r="D130" s="443"/>
      <c r="E130" s="443"/>
      <c r="F130" s="443"/>
      <c r="G130" s="398"/>
      <c r="H130" s="398"/>
      <c r="I130" s="398"/>
      <c r="J130" s="408"/>
      <c r="K130" s="398"/>
      <c r="L130" s="398"/>
      <c r="M130" s="398"/>
      <c r="N130" s="398"/>
      <c r="O130" s="398"/>
      <c r="P130" s="398"/>
      <c r="Q130" s="398"/>
    </row>
    <row r="131" spans="1:17" ht="15.75" customHeight="1" x14ac:dyDescent="0.35">
      <c r="A131" s="403"/>
      <c r="B131" s="6993" t="s">
        <v>1179</v>
      </c>
      <c r="C131" s="6994"/>
      <c r="D131" s="6994"/>
      <c r="E131" s="6994"/>
      <c r="F131" s="1625"/>
      <c r="G131" s="2316"/>
      <c r="H131" s="400"/>
      <c r="I131" s="401"/>
      <c r="J131" s="408"/>
      <c r="K131" s="402"/>
      <c r="L131" s="402"/>
      <c r="M131" s="403"/>
      <c r="N131" s="403"/>
      <c r="O131" s="403"/>
      <c r="P131" s="403"/>
      <c r="Q131" s="398"/>
    </row>
    <row r="132" spans="1:17" s="80" customFormat="1" ht="7.5" customHeight="1" x14ac:dyDescent="0.35">
      <c r="A132" s="403"/>
      <c r="B132" s="1025"/>
      <c r="C132" s="1653"/>
      <c r="D132" s="1653"/>
      <c r="E132" s="1653"/>
      <c r="F132" s="442"/>
      <c r="G132" s="417"/>
      <c r="H132" s="400"/>
      <c r="I132" s="401"/>
      <c r="J132" s="408"/>
      <c r="K132" s="402"/>
      <c r="L132" s="402"/>
      <c r="M132" s="403"/>
      <c r="N132" s="403"/>
      <c r="O132" s="403"/>
      <c r="P132" s="403"/>
      <c r="Q132" s="403"/>
    </row>
    <row r="133" spans="1:17" ht="17.25" customHeight="1" x14ac:dyDescent="0.35">
      <c r="A133" s="403"/>
      <c r="B133" s="1026"/>
      <c r="C133" s="6975" t="s">
        <v>1619</v>
      </c>
      <c r="D133" s="6975"/>
      <c r="E133" s="6975"/>
      <c r="F133" s="1647" t="s">
        <v>1947</v>
      </c>
      <c r="G133" s="406" t="str">
        <f>TEXT(LEFT(I133,1),"0")</f>
        <v>1</v>
      </c>
      <c r="H133" s="1014">
        <f>ABS(G133)</f>
        <v>1</v>
      </c>
      <c r="I133" s="407" t="str">
        <f>CRITICALFACTORS!$I$2</f>
        <v>1-A traiter</v>
      </c>
      <c r="J133" s="408">
        <f>CRITICALFACTORS!$L$2</f>
        <v>42534.859467592592</v>
      </c>
      <c r="K133" s="165">
        <f>CRITICALFACTORS!$O$2</f>
        <v>74</v>
      </c>
      <c r="L133" s="165">
        <f>CRITICALFACTORS!$P$2</f>
        <v>60</v>
      </c>
      <c r="M133" s="6967" t="s">
        <v>740</v>
      </c>
      <c r="N133" s="6967"/>
      <c r="O133" s="6967"/>
      <c r="P133" s="6967"/>
      <c r="Q133" s="398"/>
    </row>
    <row r="134" spans="1:17" ht="17.25" customHeight="1" x14ac:dyDescent="0.35">
      <c r="A134" s="403"/>
      <c r="B134" s="1026"/>
      <c r="C134" s="6975" t="s">
        <v>1618</v>
      </c>
      <c r="D134" s="6975"/>
      <c r="E134" s="6975"/>
      <c r="F134" s="1647" t="s">
        <v>1948</v>
      </c>
      <c r="G134" s="406" t="str">
        <f>TEXT(LEFT(I134,1),"0")</f>
        <v>1</v>
      </c>
      <c r="H134" s="1014">
        <f>ABS(G134)</f>
        <v>1</v>
      </c>
      <c r="I134" s="407" t="str">
        <f>EVALUATION!$I$2</f>
        <v>1-A traiter</v>
      </c>
      <c r="J134" s="408">
        <f>EVALUATION!$L$2</f>
        <v>42534.859363425923</v>
      </c>
      <c r="K134" s="165"/>
      <c r="L134" s="165"/>
      <c r="M134" s="6967" t="s">
        <v>716</v>
      </c>
      <c r="N134" s="6967"/>
      <c r="O134" s="6967"/>
      <c r="P134" s="6967"/>
      <c r="Q134" s="398"/>
    </row>
    <row r="135" spans="1:17" ht="7.5" customHeight="1" x14ac:dyDescent="0.35">
      <c r="A135" s="403"/>
      <c r="B135" s="1026"/>
      <c r="C135" s="443"/>
      <c r="D135" s="443"/>
      <c r="E135" s="443"/>
      <c r="F135" s="443"/>
      <c r="G135" s="1654"/>
      <c r="H135" s="1654"/>
      <c r="I135" s="1654"/>
      <c r="J135" s="1655"/>
      <c r="K135" s="1654"/>
      <c r="L135" s="1654"/>
      <c r="M135" s="1654"/>
      <c r="N135" s="1654"/>
      <c r="O135" s="1654"/>
      <c r="P135" s="1654"/>
      <c r="Q135" s="398"/>
    </row>
    <row r="136" spans="1:17" ht="12" customHeight="1" thickBot="1" x14ac:dyDescent="0.4">
      <c r="A136" s="403"/>
      <c r="B136" s="1656"/>
      <c r="C136" s="1657"/>
      <c r="D136" s="1657"/>
      <c r="E136" s="1657"/>
      <c r="F136" s="1657"/>
      <c r="G136" s="1657"/>
      <c r="H136" s="1657"/>
      <c r="I136" s="1657"/>
      <c r="J136" s="1658"/>
      <c r="K136" s="1657"/>
      <c r="L136" s="1657"/>
      <c r="M136" s="1657"/>
      <c r="N136" s="1657"/>
      <c r="O136" s="1657"/>
      <c r="P136" s="1657"/>
      <c r="Q136" s="398"/>
    </row>
    <row r="137" spans="1:17" ht="12" customHeight="1" thickTop="1" x14ac:dyDescent="0.35">
      <c r="A137" s="80"/>
      <c r="J137" s="408"/>
    </row>
    <row r="138" spans="1:17" ht="12" customHeight="1" x14ac:dyDescent="0.35">
      <c r="A138" s="80"/>
      <c r="I138" s="1"/>
      <c r="J138" s="408"/>
    </row>
    <row r="139" spans="1:17" x14ac:dyDescent="0.35">
      <c r="J139" s="408"/>
    </row>
  </sheetData>
  <sheetProtection formatCells="0" formatColumns="0" formatRows="0" insertColumns="0" insertRows="0" insertHyperlinks="0" deleteColumns="0" deleteRows="0" selectLockedCells="1" sort="0" autoFilter="0" pivotTables="0"/>
  <mergeCells count="199">
    <mergeCell ref="C114:E114"/>
    <mergeCell ref="C117:E117"/>
    <mergeCell ref="C109:E109"/>
    <mergeCell ref="M109:P109"/>
    <mergeCell ref="C108:E108"/>
    <mergeCell ref="M108:P108"/>
    <mergeCell ref="C100:E100"/>
    <mergeCell ref="C99:E99"/>
    <mergeCell ref="C102:E102"/>
    <mergeCell ref="M102:P102"/>
    <mergeCell ref="C103:E103"/>
    <mergeCell ref="M103:P103"/>
    <mergeCell ref="C101:E101"/>
    <mergeCell ref="M128:P128"/>
    <mergeCell ref="C129:E129"/>
    <mergeCell ref="M129:P129"/>
    <mergeCell ref="C121:E121"/>
    <mergeCell ref="M121:P121"/>
    <mergeCell ref="C120:E120"/>
    <mergeCell ref="M120:P120"/>
    <mergeCell ref="C115:E115"/>
    <mergeCell ref="M115:P115"/>
    <mergeCell ref="C116:E116"/>
    <mergeCell ref="M116:P116"/>
    <mergeCell ref="C118:E118"/>
    <mergeCell ref="M118:P118"/>
    <mergeCell ref="C119:E119"/>
    <mergeCell ref="M119:P119"/>
    <mergeCell ref="N1:O1"/>
    <mergeCell ref="B131:E131"/>
    <mergeCell ref="C134:E134"/>
    <mergeCell ref="B105:E105"/>
    <mergeCell ref="B111:E111"/>
    <mergeCell ref="C113:E113"/>
    <mergeCell ref="B124:E124"/>
    <mergeCell ref="C24:E24"/>
    <mergeCell ref="M24:P24"/>
    <mergeCell ref="C25:E25"/>
    <mergeCell ref="M25:P25"/>
    <mergeCell ref="B35:E35"/>
    <mergeCell ref="B57:E57"/>
    <mergeCell ref="C63:E63"/>
    <mergeCell ref="C38:E38"/>
    <mergeCell ref="M38:P38"/>
    <mergeCell ref="C44:E44"/>
    <mergeCell ref="M44:P44"/>
    <mergeCell ref="C41:E41"/>
    <mergeCell ref="C39:E39"/>
    <mergeCell ref="M39:P39"/>
    <mergeCell ref="M41:P41"/>
    <mergeCell ref="M42:P42"/>
    <mergeCell ref="M45:P45"/>
    <mergeCell ref="C31:E31"/>
    <mergeCell ref="M31:P31"/>
    <mergeCell ref="C32:E32"/>
    <mergeCell ref="M32:P32"/>
    <mergeCell ref="C33:E33"/>
    <mergeCell ref="M33:P33"/>
    <mergeCell ref="C21:E21"/>
    <mergeCell ref="M21:P21"/>
    <mergeCell ref="F9:H9"/>
    <mergeCell ref="B17:E17"/>
    <mergeCell ref="C19:E19"/>
    <mergeCell ref="C23:E23"/>
    <mergeCell ref="M23:P23"/>
    <mergeCell ref="C22:E22"/>
    <mergeCell ref="M22:P22"/>
    <mergeCell ref="C15:E15"/>
    <mergeCell ref="M15:P15"/>
    <mergeCell ref="B12:E12"/>
    <mergeCell ref="C14:E14"/>
    <mergeCell ref="M19:P19"/>
    <mergeCell ref="M14:P14"/>
    <mergeCell ref="C20:E20"/>
    <mergeCell ref="M20:P20"/>
    <mergeCell ref="C26:E26"/>
    <mergeCell ref="M26:P26"/>
    <mergeCell ref="C27:E27"/>
    <mergeCell ref="M27:P27"/>
    <mergeCell ref="C28:E28"/>
    <mergeCell ref="M28:P28"/>
    <mergeCell ref="C29:E29"/>
    <mergeCell ref="M29:P29"/>
    <mergeCell ref="C30:E30"/>
    <mergeCell ref="M30:P30"/>
    <mergeCell ref="E2:O2"/>
    <mergeCell ref="M10:P10"/>
    <mergeCell ref="M4:P4"/>
    <mergeCell ref="C10:E10"/>
    <mergeCell ref="B7:E7"/>
    <mergeCell ref="B4:E4"/>
    <mergeCell ref="M9:P9"/>
    <mergeCell ref="C9:E9"/>
    <mergeCell ref="E3:O3"/>
    <mergeCell ref="B97:E97"/>
    <mergeCell ref="C82:E82"/>
    <mergeCell ref="C87:E87"/>
    <mergeCell ref="C88:E88"/>
    <mergeCell ref="C81:E81"/>
    <mergeCell ref="C64:E64"/>
    <mergeCell ref="C65:E65"/>
    <mergeCell ref="C67:E67"/>
    <mergeCell ref="C68:E68"/>
    <mergeCell ref="C66:E66"/>
    <mergeCell ref="C80:E80"/>
    <mergeCell ref="C83:E83"/>
    <mergeCell ref="C84:E84"/>
    <mergeCell ref="C85:E85"/>
    <mergeCell ref="C86:E86"/>
    <mergeCell ref="C94:E94"/>
    <mergeCell ref="C42:E42"/>
    <mergeCell ref="M53:P53"/>
    <mergeCell ref="M54:P54"/>
    <mergeCell ref="C48:E48"/>
    <mergeCell ref="C52:E52"/>
    <mergeCell ref="M52:P52"/>
    <mergeCell ref="C47:E47"/>
    <mergeCell ref="C37:E37"/>
    <mergeCell ref="M37:P37"/>
    <mergeCell ref="C45:E45"/>
    <mergeCell ref="C54:E54"/>
    <mergeCell ref="C51:E51"/>
    <mergeCell ref="C53:E53"/>
    <mergeCell ref="C43:E43"/>
    <mergeCell ref="M43:P43"/>
    <mergeCell ref="C49:E49"/>
    <mergeCell ref="M51:P51"/>
    <mergeCell ref="C46:E46"/>
    <mergeCell ref="M46:P46"/>
    <mergeCell ref="C50:E50"/>
    <mergeCell ref="C40:E40"/>
    <mergeCell ref="M40:P40"/>
    <mergeCell ref="M50:P50"/>
    <mergeCell ref="M47:P47"/>
    <mergeCell ref="M48:P48"/>
    <mergeCell ref="M49:P49"/>
    <mergeCell ref="M55:P55"/>
    <mergeCell ref="M66:P66"/>
    <mergeCell ref="M67:P67"/>
    <mergeCell ref="C75:E75"/>
    <mergeCell ref="C73:E73"/>
    <mergeCell ref="C74:E74"/>
    <mergeCell ref="C59:E59"/>
    <mergeCell ref="C61:E61"/>
    <mergeCell ref="C62:E62"/>
    <mergeCell ref="C60:E60"/>
    <mergeCell ref="B70:E70"/>
    <mergeCell ref="C72:E72"/>
    <mergeCell ref="M59:P59"/>
    <mergeCell ref="M60:P60"/>
    <mergeCell ref="M61:P61"/>
    <mergeCell ref="M62:P62"/>
    <mergeCell ref="M63:P63"/>
    <mergeCell ref="M64:P64"/>
    <mergeCell ref="M65:P65"/>
    <mergeCell ref="C55:E55"/>
    <mergeCell ref="M134:P134"/>
    <mergeCell ref="M113:P113"/>
    <mergeCell ref="M114:P114"/>
    <mergeCell ref="M117:P117"/>
    <mergeCell ref="M107:P107"/>
    <mergeCell ref="C122:E122"/>
    <mergeCell ref="M122:P122"/>
    <mergeCell ref="M86:P86"/>
    <mergeCell ref="M87:P87"/>
    <mergeCell ref="M88:P88"/>
    <mergeCell ref="M92:P92"/>
    <mergeCell ref="M93:P93"/>
    <mergeCell ref="M95:P95"/>
    <mergeCell ref="M101:P101"/>
    <mergeCell ref="M99:P99"/>
    <mergeCell ref="M100:P100"/>
    <mergeCell ref="C107:E107"/>
    <mergeCell ref="C133:E133"/>
    <mergeCell ref="M133:P133"/>
    <mergeCell ref="C126:E126"/>
    <mergeCell ref="M126:P126"/>
    <mergeCell ref="C127:E127"/>
    <mergeCell ref="M127:P127"/>
    <mergeCell ref="C128:E128"/>
    <mergeCell ref="M83:P83"/>
    <mergeCell ref="M84:P84"/>
    <mergeCell ref="M85:P85"/>
    <mergeCell ref="C92:E92"/>
    <mergeCell ref="C95:E95"/>
    <mergeCell ref="C93:E93"/>
    <mergeCell ref="B90:E90"/>
    <mergeCell ref="M68:P68"/>
    <mergeCell ref="M72:P72"/>
    <mergeCell ref="M76:P76"/>
    <mergeCell ref="M80:P80"/>
    <mergeCell ref="M81:P81"/>
    <mergeCell ref="M82:P82"/>
    <mergeCell ref="M75:P75"/>
    <mergeCell ref="M73:P73"/>
    <mergeCell ref="M74:P74"/>
    <mergeCell ref="C76:E76"/>
    <mergeCell ref="M94:P94"/>
    <mergeCell ref="B78:E78"/>
  </mergeCells>
  <conditionalFormatting sqref="K10">
    <cfRule type="iconSet" priority="1315">
      <iconSet iconSet="3Symbols2" showValue="0">
        <cfvo type="percent" val="0"/>
        <cfvo type="num" val="0"/>
        <cfvo type="num" val="10"/>
      </iconSet>
    </cfRule>
  </conditionalFormatting>
  <conditionalFormatting sqref="L10">
    <cfRule type="iconSet" priority="1314">
      <iconSet iconSet="3Symbols2" showValue="0">
        <cfvo type="percent" val="0"/>
        <cfvo type="num" val="0"/>
        <cfvo type="num" val="10"/>
      </iconSet>
    </cfRule>
  </conditionalFormatting>
  <conditionalFormatting sqref="K14">
    <cfRule type="iconSet" priority="1298">
      <iconSet iconSet="3Symbols2" showValue="0">
        <cfvo type="percent" val="0"/>
        <cfvo type="num" val="0"/>
        <cfvo type="num" val="10"/>
      </iconSet>
    </cfRule>
  </conditionalFormatting>
  <conditionalFormatting sqref="L14">
    <cfRule type="iconSet" priority="1297">
      <iconSet iconSet="3Symbols2" showValue="0">
        <cfvo type="percent" val="0"/>
        <cfvo type="num" val="0"/>
        <cfvo type="num" val="10"/>
      </iconSet>
    </cfRule>
  </conditionalFormatting>
  <conditionalFormatting sqref="K15">
    <cfRule type="iconSet" priority="1291">
      <iconSet iconSet="3Symbols2" showValue="0">
        <cfvo type="percent" val="0"/>
        <cfvo type="num" val="0"/>
        <cfvo type="num" val="10"/>
      </iconSet>
    </cfRule>
  </conditionalFormatting>
  <conditionalFormatting sqref="L15">
    <cfRule type="iconSet" priority="1290">
      <iconSet iconSet="3Symbols2" showValue="0">
        <cfvo type="percent" val="0"/>
        <cfvo type="num" val="0"/>
        <cfvo type="num" val="10"/>
      </iconSet>
    </cfRule>
  </conditionalFormatting>
  <conditionalFormatting sqref="K19">
    <cfRule type="iconSet" priority="1283">
      <iconSet iconSet="3Symbols2" showValue="0">
        <cfvo type="percent" val="0"/>
        <cfvo type="num" val="0"/>
        <cfvo type="num" val="10"/>
      </iconSet>
    </cfRule>
  </conditionalFormatting>
  <conditionalFormatting sqref="K20">
    <cfRule type="iconSet" priority="1276">
      <iconSet iconSet="3Symbols2" showValue="0">
        <cfvo type="percent" val="0"/>
        <cfvo type="num" val="0"/>
        <cfvo type="num" val="10"/>
      </iconSet>
    </cfRule>
  </conditionalFormatting>
  <conditionalFormatting sqref="L19">
    <cfRule type="iconSet" priority="1267">
      <iconSet iconSet="3Symbols2" showValue="0">
        <cfvo type="percent" val="0"/>
        <cfvo type="num" val="0"/>
        <cfvo type="num" val="10"/>
      </iconSet>
    </cfRule>
  </conditionalFormatting>
  <conditionalFormatting sqref="L20">
    <cfRule type="iconSet" priority="1266">
      <iconSet iconSet="3Symbols2" showValue="0">
        <cfvo type="percent" val="0"/>
        <cfvo type="num" val="0"/>
        <cfvo type="num" val="10"/>
      </iconSet>
    </cfRule>
  </conditionalFormatting>
  <conditionalFormatting sqref="K38">
    <cfRule type="iconSet" priority="1251">
      <iconSet iconSet="3Symbols2" showValue="0">
        <cfvo type="percent" val="0"/>
        <cfvo type="num" val="0"/>
        <cfvo type="num" val="10"/>
      </iconSet>
    </cfRule>
  </conditionalFormatting>
  <conditionalFormatting sqref="L38">
    <cfRule type="iconSet" priority="1250">
      <iconSet iconSet="3Symbols2" showValue="0">
        <cfvo type="percent" val="0"/>
        <cfvo type="num" val="0"/>
        <cfvo type="num" val="10"/>
      </iconSet>
    </cfRule>
  </conditionalFormatting>
  <conditionalFormatting sqref="L23">
    <cfRule type="iconSet" priority="1207">
      <iconSet iconSet="3Symbols2" showValue="0">
        <cfvo type="percent" val="0"/>
        <cfvo type="num" val="0"/>
        <cfvo type="num" val="10"/>
      </iconSet>
    </cfRule>
  </conditionalFormatting>
  <conditionalFormatting sqref="K23">
    <cfRule type="iconSet" priority="1208">
      <iconSet iconSet="3Symbols2" showValue="0">
        <cfvo type="percent" val="0"/>
        <cfvo type="num" val="0"/>
        <cfvo type="num" val="10"/>
      </iconSet>
    </cfRule>
  </conditionalFormatting>
  <conditionalFormatting sqref="K9">
    <cfRule type="iconSet" priority="1174">
      <iconSet iconSet="3Symbols2" showValue="0">
        <cfvo type="percent" val="0"/>
        <cfvo type="num" val="0"/>
        <cfvo type="num" val="10"/>
      </iconSet>
    </cfRule>
  </conditionalFormatting>
  <conditionalFormatting sqref="L9">
    <cfRule type="iconSet" priority="1173">
      <iconSet iconSet="3Symbols2" showValue="0">
        <cfvo type="percent" val="0"/>
        <cfvo type="num" val="0"/>
        <cfvo type="num" val="10"/>
      </iconSet>
    </cfRule>
  </conditionalFormatting>
  <conditionalFormatting sqref="K41">
    <cfRule type="iconSet" priority="1143">
      <iconSet iconSet="3Symbols2" showValue="0">
        <cfvo type="percent" val="0"/>
        <cfvo type="num" val="0"/>
        <cfvo type="num" val="10"/>
      </iconSet>
    </cfRule>
  </conditionalFormatting>
  <conditionalFormatting sqref="L41">
    <cfRule type="iconSet" priority="1142">
      <iconSet iconSet="3Symbols2" showValue="0">
        <cfvo type="percent" val="0"/>
        <cfvo type="num" val="0"/>
        <cfvo type="num" val="10"/>
      </iconSet>
    </cfRule>
  </conditionalFormatting>
  <conditionalFormatting sqref="K59">
    <cfRule type="iconSet" priority="1108">
      <iconSet iconSet="3Symbols2" showValue="0">
        <cfvo type="percent" val="0"/>
        <cfvo type="num" val="0"/>
        <cfvo type="num" val="10"/>
      </iconSet>
    </cfRule>
  </conditionalFormatting>
  <conditionalFormatting sqref="L59">
    <cfRule type="iconSet" priority="1107">
      <iconSet iconSet="3Symbols2" showValue="0">
        <cfvo type="percent" val="0"/>
        <cfvo type="num" val="0"/>
        <cfvo type="num" val="10"/>
      </iconSet>
    </cfRule>
  </conditionalFormatting>
  <conditionalFormatting sqref="K72">
    <cfRule type="iconSet" priority="1086">
      <iconSet iconSet="3Symbols2" showValue="0">
        <cfvo type="percent" val="0"/>
        <cfvo type="num" val="0"/>
        <cfvo type="num" val="10"/>
      </iconSet>
    </cfRule>
  </conditionalFormatting>
  <conditionalFormatting sqref="L72">
    <cfRule type="iconSet" priority="1085">
      <iconSet iconSet="3Symbols2" showValue="0">
        <cfvo type="percent" val="0"/>
        <cfvo type="num" val="0"/>
        <cfvo type="num" val="10"/>
      </iconSet>
    </cfRule>
  </conditionalFormatting>
  <conditionalFormatting sqref="K76">
    <cfRule type="iconSet" priority="1079">
      <iconSet iconSet="3Symbols2" showValue="0">
        <cfvo type="percent" val="0"/>
        <cfvo type="num" val="0"/>
        <cfvo type="num" val="10"/>
      </iconSet>
    </cfRule>
  </conditionalFormatting>
  <conditionalFormatting sqref="L76">
    <cfRule type="iconSet" priority="1078">
      <iconSet iconSet="3Symbols2" showValue="0">
        <cfvo type="percent" val="0"/>
        <cfvo type="num" val="0"/>
        <cfvo type="num" val="10"/>
      </iconSet>
    </cfRule>
  </conditionalFormatting>
  <conditionalFormatting sqref="K113">
    <cfRule type="iconSet" priority="1056">
      <iconSet iconSet="3Symbols2" showValue="0">
        <cfvo type="percent" val="0"/>
        <cfvo type="num" val="0"/>
        <cfvo type="num" val="10"/>
      </iconSet>
    </cfRule>
  </conditionalFormatting>
  <conditionalFormatting sqref="L113">
    <cfRule type="iconSet" priority="1055">
      <iconSet iconSet="3Symbols2" showValue="0">
        <cfvo type="percent" val="0"/>
        <cfvo type="num" val="0"/>
        <cfvo type="num" val="10"/>
      </iconSet>
    </cfRule>
  </conditionalFormatting>
  <conditionalFormatting sqref="K134">
    <cfRule type="iconSet" priority="1042">
      <iconSet iconSet="3Symbols2" showValue="0">
        <cfvo type="percent" val="0"/>
        <cfvo type="num" val="0"/>
        <cfvo type="num" val="10"/>
      </iconSet>
    </cfRule>
  </conditionalFormatting>
  <conditionalFormatting sqref="L134">
    <cfRule type="iconSet" priority="1041">
      <iconSet iconSet="3Symbols2" showValue="0">
        <cfvo type="percent" val="0"/>
        <cfvo type="num" val="0"/>
        <cfvo type="num" val="10"/>
      </iconSet>
    </cfRule>
  </conditionalFormatting>
  <conditionalFormatting sqref="K101">
    <cfRule type="iconSet" priority="1026">
      <iconSet iconSet="3Symbols2" showValue="0">
        <cfvo type="percent" val="0"/>
        <cfvo type="num" val="0"/>
        <cfvo type="num" val="10"/>
      </iconSet>
    </cfRule>
  </conditionalFormatting>
  <conditionalFormatting sqref="L101">
    <cfRule type="iconSet" priority="1025">
      <iconSet iconSet="3Symbols2" showValue="0">
        <cfvo type="percent" val="0"/>
        <cfvo type="num" val="0"/>
        <cfvo type="num" val="10"/>
      </iconSet>
    </cfRule>
  </conditionalFormatting>
  <conditionalFormatting sqref="K99">
    <cfRule type="iconSet" priority="968">
      <iconSet iconSet="3Symbols2" showValue="0">
        <cfvo type="percent" val="0"/>
        <cfvo type="num" val="0"/>
        <cfvo type="num" val="10"/>
      </iconSet>
    </cfRule>
  </conditionalFormatting>
  <conditionalFormatting sqref="L99">
    <cfRule type="iconSet" priority="967">
      <iconSet iconSet="3Symbols2" showValue="0">
        <cfvo type="percent" val="0"/>
        <cfvo type="num" val="0"/>
        <cfvo type="num" val="10"/>
      </iconSet>
    </cfRule>
  </conditionalFormatting>
  <conditionalFormatting sqref="K107">
    <cfRule type="iconSet" priority="961">
      <iconSet iconSet="3Symbols2" showValue="0">
        <cfvo type="percent" val="0"/>
        <cfvo type="num" val="0"/>
        <cfvo type="num" val="10"/>
      </iconSet>
    </cfRule>
  </conditionalFormatting>
  <conditionalFormatting sqref="L107:L108 K108 K109:L109">
    <cfRule type="iconSet" priority="960">
      <iconSet iconSet="3Symbols2" showValue="0">
        <cfvo type="percent" val="0"/>
        <cfvo type="num" val="0"/>
        <cfvo type="num" val="10"/>
      </iconSet>
    </cfRule>
  </conditionalFormatting>
  <conditionalFormatting sqref="K42">
    <cfRule type="iconSet" priority="954">
      <iconSet iconSet="3Symbols2" showValue="0">
        <cfvo type="percent" val="0"/>
        <cfvo type="num" val="0"/>
        <cfvo type="num" val="10"/>
      </iconSet>
    </cfRule>
  </conditionalFormatting>
  <conditionalFormatting sqref="L42">
    <cfRule type="iconSet" priority="953">
      <iconSet iconSet="3Symbols2" showValue="0">
        <cfvo type="percent" val="0"/>
        <cfvo type="num" val="0"/>
        <cfvo type="num" val="10"/>
      </iconSet>
    </cfRule>
  </conditionalFormatting>
  <conditionalFormatting sqref="K60">
    <cfRule type="iconSet" priority="933">
      <iconSet iconSet="3Symbols2" showValue="0">
        <cfvo type="percent" val="0"/>
        <cfvo type="num" val="0"/>
        <cfvo type="num" val="10"/>
      </iconSet>
    </cfRule>
  </conditionalFormatting>
  <conditionalFormatting sqref="L60">
    <cfRule type="iconSet" priority="932">
      <iconSet iconSet="3Symbols2" showValue="0">
        <cfvo type="percent" val="0"/>
        <cfvo type="num" val="0"/>
        <cfvo type="num" val="10"/>
      </iconSet>
    </cfRule>
  </conditionalFormatting>
  <conditionalFormatting sqref="K61">
    <cfRule type="iconSet" priority="912">
      <iconSet iconSet="3Symbols2" showValue="0">
        <cfvo type="percent" val="0"/>
        <cfvo type="num" val="0"/>
        <cfvo type="num" val="10"/>
      </iconSet>
    </cfRule>
  </conditionalFormatting>
  <conditionalFormatting sqref="K62">
    <cfRule type="iconSet" priority="905">
      <iconSet iconSet="3Symbols2" showValue="0">
        <cfvo type="percent" val="0"/>
        <cfvo type="num" val="0"/>
        <cfvo type="num" val="10"/>
      </iconSet>
    </cfRule>
  </conditionalFormatting>
  <conditionalFormatting sqref="L62">
    <cfRule type="iconSet" priority="904">
      <iconSet iconSet="3Symbols2" showValue="0">
        <cfvo type="percent" val="0"/>
        <cfvo type="num" val="0"/>
        <cfvo type="num" val="10"/>
      </iconSet>
    </cfRule>
  </conditionalFormatting>
  <conditionalFormatting sqref="G14">
    <cfRule type="iconSet" priority="870">
      <iconSet iconSet="5Quarters">
        <cfvo type="percent" val="0"/>
        <cfvo type="num" val="1"/>
        <cfvo type="num" val="2"/>
        <cfvo type="num" val="3"/>
        <cfvo type="num" val="4"/>
      </iconSet>
    </cfRule>
  </conditionalFormatting>
  <conditionalFormatting sqref="H14">
    <cfRule type="iconSet" priority="869">
      <iconSet iconSet="5Quarters" showValue="0">
        <cfvo type="percent" val="0"/>
        <cfvo type="num" val="1"/>
        <cfvo type="num" val="2"/>
        <cfvo type="num" val="3"/>
        <cfvo type="num" val="4"/>
      </iconSet>
    </cfRule>
  </conditionalFormatting>
  <conditionalFormatting sqref="G15">
    <cfRule type="iconSet" priority="868">
      <iconSet iconSet="5Quarters">
        <cfvo type="percent" val="0"/>
        <cfvo type="num" val="1"/>
        <cfvo type="num" val="2"/>
        <cfvo type="num" val="3"/>
        <cfvo type="num" val="4"/>
      </iconSet>
    </cfRule>
  </conditionalFormatting>
  <conditionalFormatting sqref="H15">
    <cfRule type="iconSet" priority="867">
      <iconSet iconSet="5Quarters" showValue="0">
        <cfvo type="percent" val="0"/>
        <cfvo type="num" val="1"/>
        <cfvo type="num" val="2"/>
        <cfvo type="num" val="3"/>
        <cfvo type="num" val="4"/>
      </iconSet>
    </cfRule>
  </conditionalFormatting>
  <conditionalFormatting sqref="G19:G23">
    <cfRule type="iconSet" priority="866">
      <iconSet iconSet="5Quarters">
        <cfvo type="percent" val="0"/>
        <cfvo type="num" val="1"/>
        <cfvo type="num" val="2"/>
        <cfvo type="num" val="3"/>
        <cfvo type="num" val="4"/>
      </iconSet>
    </cfRule>
  </conditionalFormatting>
  <conditionalFormatting sqref="H19:H23">
    <cfRule type="iconSet" priority="865">
      <iconSet iconSet="5Quarters" showValue="0">
        <cfvo type="percent" val="0"/>
        <cfvo type="num" val="1"/>
        <cfvo type="num" val="2"/>
        <cfvo type="num" val="3"/>
        <cfvo type="num" val="4"/>
      </iconSet>
    </cfRule>
  </conditionalFormatting>
  <conditionalFormatting sqref="G38:G39 G41:G42 G47:G48 G53:G54 G44:G45 G50:G51">
    <cfRule type="iconSet" priority="864">
      <iconSet iconSet="5Quarters">
        <cfvo type="percent" val="0"/>
        <cfvo type="num" val="1"/>
        <cfvo type="num" val="2"/>
        <cfvo type="num" val="3"/>
        <cfvo type="num" val="4"/>
      </iconSet>
    </cfRule>
  </conditionalFormatting>
  <conditionalFormatting sqref="H38:H39 H41:H42 H47:H48 H53:H54 H44:H45 H50:H51">
    <cfRule type="iconSet" priority="863">
      <iconSet iconSet="5Quarters" showValue="0">
        <cfvo type="percent" val="0"/>
        <cfvo type="num" val="1"/>
        <cfvo type="num" val="2"/>
        <cfvo type="num" val="3"/>
        <cfvo type="num" val="4"/>
      </iconSet>
    </cfRule>
  </conditionalFormatting>
  <conditionalFormatting sqref="G72 G76">
    <cfRule type="iconSet" priority="860">
      <iconSet iconSet="5Quarters">
        <cfvo type="percent" val="0"/>
        <cfvo type="num" val="1"/>
        <cfvo type="num" val="2"/>
        <cfvo type="num" val="3"/>
        <cfvo type="num" val="4"/>
      </iconSet>
    </cfRule>
  </conditionalFormatting>
  <conditionalFormatting sqref="H72 H76">
    <cfRule type="iconSet" priority="859">
      <iconSet iconSet="5Quarters" showValue="0">
        <cfvo type="percent" val="0"/>
        <cfvo type="num" val="1"/>
        <cfvo type="num" val="2"/>
        <cfvo type="num" val="3"/>
        <cfvo type="num" val="4"/>
      </iconSet>
    </cfRule>
  </conditionalFormatting>
  <conditionalFormatting sqref="G113">
    <cfRule type="iconSet" priority="856">
      <iconSet iconSet="5Quarters">
        <cfvo type="percent" val="0"/>
        <cfvo type="num" val="1"/>
        <cfvo type="num" val="2"/>
        <cfvo type="num" val="3"/>
        <cfvo type="num" val="4"/>
      </iconSet>
    </cfRule>
  </conditionalFormatting>
  <conditionalFormatting sqref="H113">
    <cfRule type="iconSet" priority="855">
      <iconSet iconSet="5Quarters" showValue="0">
        <cfvo type="percent" val="0"/>
        <cfvo type="num" val="1"/>
        <cfvo type="num" val="2"/>
        <cfvo type="num" val="3"/>
        <cfvo type="num" val="4"/>
      </iconSet>
    </cfRule>
  </conditionalFormatting>
  <conditionalFormatting sqref="G134">
    <cfRule type="iconSet" priority="854">
      <iconSet iconSet="5Quarters">
        <cfvo type="percent" val="0"/>
        <cfvo type="num" val="1"/>
        <cfvo type="num" val="2"/>
        <cfvo type="num" val="3"/>
        <cfvo type="num" val="4"/>
      </iconSet>
    </cfRule>
  </conditionalFormatting>
  <conditionalFormatting sqref="H134">
    <cfRule type="iconSet" priority="853">
      <iconSet iconSet="5Quarters" showValue="0">
        <cfvo type="percent" val="0"/>
        <cfvo type="num" val="1"/>
        <cfvo type="num" val="2"/>
        <cfvo type="num" val="3"/>
        <cfvo type="num" val="4"/>
      </iconSet>
    </cfRule>
  </conditionalFormatting>
  <conditionalFormatting sqref="K40">
    <cfRule type="iconSet" priority="847">
      <iconSet iconSet="3Symbols2" showValue="0">
        <cfvo type="percent" val="0"/>
        <cfvo type="num" val="0"/>
        <cfvo type="num" val="10"/>
      </iconSet>
    </cfRule>
  </conditionalFormatting>
  <conditionalFormatting sqref="L40">
    <cfRule type="iconSet" priority="846">
      <iconSet iconSet="3Symbols2" showValue="0">
        <cfvo type="percent" val="0"/>
        <cfvo type="num" val="0"/>
        <cfvo type="num" val="10"/>
      </iconSet>
    </cfRule>
  </conditionalFormatting>
  <conditionalFormatting sqref="G40">
    <cfRule type="iconSet" priority="845">
      <iconSet iconSet="5Quarters">
        <cfvo type="percent" val="0"/>
        <cfvo type="num" val="1"/>
        <cfvo type="num" val="2"/>
        <cfvo type="num" val="3"/>
        <cfvo type="num" val="4"/>
      </iconSet>
    </cfRule>
  </conditionalFormatting>
  <conditionalFormatting sqref="H40">
    <cfRule type="iconSet" priority="844">
      <iconSet iconSet="5Quarters" showValue="0">
        <cfvo type="percent" val="0"/>
        <cfvo type="num" val="1"/>
        <cfvo type="num" val="2"/>
        <cfvo type="num" val="3"/>
        <cfvo type="num" val="4"/>
      </iconSet>
    </cfRule>
  </conditionalFormatting>
  <conditionalFormatting sqref="K21">
    <cfRule type="iconSet" priority="843">
      <iconSet iconSet="3Symbols2" showValue="0">
        <cfvo type="percent" val="0"/>
        <cfvo type="num" val="0"/>
        <cfvo type="num" val="10"/>
      </iconSet>
    </cfRule>
  </conditionalFormatting>
  <conditionalFormatting sqref="L21">
    <cfRule type="iconSet" priority="842">
      <iconSet iconSet="3Symbols2" showValue="0">
        <cfvo type="percent" val="0"/>
        <cfvo type="num" val="0"/>
        <cfvo type="num" val="10"/>
      </iconSet>
    </cfRule>
  </conditionalFormatting>
  <conditionalFormatting sqref="I7:I8">
    <cfRule type="iconSet" priority="1331">
      <iconSet iconSet="4TrafficLights">
        <cfvo type="percent" val="0"/>
        <cfvo type="percent" val="25"/>
        <cfvo type="percent" val="50"/>
        <cfvo type="percent" val="75"/>
      </iconSet>
    </cfRule>
  </conditionalFormatting>
  <conditionalFormatting sqref="G46">
    <cfRule type="iconSet" priority="834">
      <iconSet iconSet="5Quarters">
        <cfvo type="percent" val="0"/>
        <cfvo type="num" val="1"/>
        <cfvo type="num" val="2"/>
        <cfvo type="num" val="3"/>
        <cfvo type="num" val="4"/>
      </iconSet>
    </cfRule>
  </conditionalFormatting>
  <conditionalFormatting sqref="H46">
    <cfRule type="iconSet" priority="833">
      <iconSet iconSet="5Quarters" showValue="0">
        <cfvo type="percent" val="0"/>
        <cfvo type="num" val="1"/>
        <cfvo type="num" val="2"/>
        <cfvo type="num" val="3"/>
        <cfvo type="num" val="4"/>
      </iconSet>
    </cfRule>
  </conditionalFormatting>
  <conditionalFormatting sqref="G52">
    <cfRule type="iconSet" priority="825">
      <iconSet iconSet="5Quarters">
        <cfvo type="percent" val="0"/>
        <cfvo type="num" val="1"/>
        <cfvo type="num" val="2"/>
        <cfvo type="num" val="3"/>
        <cfvo type="num" val="4"/>
      </iconSet>
    </cfRule>
  </conditionalFormatting>
  <conditionalFormatting sqref="H52">
    <cfRule type="iconSet" priority="824">
      <iconSet iconSet="5Quarters" showValue="0">
        <cfvo type="percent" val="0"/>
        <cfvo type="num" val="1"/>
        <cfvo type="num" val="2"/>
        <cfvo type="num" val="3"/>
        <cfvo type="num" val="4"/>
      </iconSet>
    </cfRule>
  </conditionalFormatting>
  <conditionalFormatting sqref="K80">
    <cfRule type="iconSet" priority="818">
      <iconSet iconSet="3Symbols2" showValue="0">
        <cfvo type="percent" val="0"/>
        <cfvo type="num" val="0"/>
        <cfvo type="num" val="10"/>
      </iconSet>
    </cfRule>
  </conditionalFormatting>
  <conditionalFormatting sqref="L80">
    <cfRule type="iconSet" priority="817">
      <iconSet iconSet="3Symbols2" showValue="0">
        <cfvo type="percent" val="0"/>
        <cfvo type="num" val="0"/>
        <cfvo type="num" val="10"/>
      </iconSet>
    </cfRule>
  </conditionalFormatting>
  <conditionalFormatting sqref="G80">
    <cfRule type="iconSet" priority="816">
      <iconSet iconSet="5Quarters">
        <cfvo type="percent" val="0"/>
        <cfvo type="num" val="1"/>
        <cfvo type="num" val="2"/>
        <cfvo type="num" val="3"/>
        <cfvo type="num" val="4"/>
      </iconSet>
    </cfRule>
  </conditionalFormatting>
  <conditionalFormatting sqref="H80">
    <cfRule type="iconSet" priority="815">
      <iconSet iconSet="5Quarters" showValue="0">
        <cfvo type="percent" val="0"/>
        <cfvo type="num" val="1"/>
        <cfvo type="num" val="2"/>
        <cfvo type="num" val="3"/>
        <cfvo type="num" val="4"/>
      </iconSet>
    </cfRule>
  </conditionalFormatting>
  <conditionalFormatting sqref="L61">
    <cfRule type="iconSet" priority="814">
      <iconSet iconSet="3Symbols2" showValue="0">
        <cfvo type="percent" val="0"/>
        <cfvo type="num" val="0"/>
        <cfvo type="num" val="10"/>
      </iconSet>
    </cfRule>
  </conditionalFormatting>
  <conditionalFormatting sqref="K92">
    <cfRule type="iconSet" priority="808">
      <iconSet iconSet="3Symbols2" showValue="0">
        <cfvo type="percent" val="0"/>
        <cfvo type="num" val="0"/>
        <cfvo type="num" val="10"/>
      </iconSet>
    </cfRule>
  </conditionalFormatting>
  <conditionalFormatting sqref="L92">
    <cfRule type="iconSet" priority="807">
      <iconSet iconSet="3Symbols2" showValue="0">
        <cfvo type="percent" val="0"/>
        <cfvo type="num" val="0"/>
        <cfvo type="num" val="10"/>
      </iconSet>
    </cfRule>
  </conditionalFormatting>
  <conditionalFormatting sqref="K81">
    <cfRule type="iconSet" priority="799">
      <iconSet iconSet="3Symbols2" showValue="0">
        <cfvo type="percent" val="0"/>
        <cfvo type="num" val="0"/>
        <cfvo type="num" val="10"/>
      </iconSet>
    </cfRule>
  </conditionalFormatting>
  <conditionalFormatting sqref="L81">
    <cfRule type="iconSet" priority="798">
      <iconSet iconSet="3Symbols2" showValue="0">
        <cfvo type="percent" val="0"/>
        <cfvo type="num" val="0"/>
        <cfvo type="num" val="10"/>
      </iconSet>
    </cfRule>
  </conditionalFormatting>
  <conditionalFormatting sqref="G81">
    <cfRule type="iconSet" priority="797">
      <iconSet iconSet="5Quarters">
        <cfvo type="percent" val="0"/>
        <cfvo type="num" val="1"/>
        <cfvo type="num" val="2"/>
        <cfvo type="num" val="3"/>
        <cfvo type="num" val="4"/>
      </iconSet>
    </cfRule>
  </conditionalFormatting>
  <conditionalFormatting sqref="H81">
    <cfRule type="iconSet" priority="796">
      <iconSet iconSet="5Quarters" showValue="0">
        <cfvo type="percent" val="0"/>
        <cfvo type="num" val="1"/>
        <cfvo type="num" val="2"/>
        <cfvo type="num" val="3"/>
        <cfvo type="num" val="4"/>
      </iconSet>
    </cfRule>
  </conditionalFormatting>
  <conditionalFormatting sqref="K82">
    <cfRule type="iconSet" priority="790">
      <iconSet iconSet="3Symbols2" showValue="0">
        <cfvo type="percent" val="0"/>
        <cfvo type="num" val="0"/>
        <cfvo type="num" val="10"/>
      </iconSet>
    </cfRule>
  </conditionalFormatting>
  <conditionalFormatting sqref="L82">
    <cfRule type="iconSet" priority="789">
      <iconSet iconSet="3Symbols2" showValue="0">
        <cfvo type="percent" val="0"/>
        <cfvo type="num" val="0"/>
        <cfvo type="num" val="10"/>
      </iconSet>
    </cfRule>
  </conditionalFormatting>
  <conditionalFormatting sqref="G82">
    <cfRule type="iconSet" priority="788">
      <iconSet iconSet="5Quarters">
        <cfvo type="percent" val="0"/>
        <cfvo type="num" val="1"/>
        <cfvo type="num" val="2"/>
        <cfvo type="num" val="3"/>
        <cfvo type="num" val="4"/>
      </iconSet>
    </cfRule>
  </conditionalFormatting>
  <conditionalFormatting sqref="H82">
    <cfRule type="iconSet" priority="787">
      <iconSet iconSet="5Quarters" showValue="0">
        <cfvo type="percent" val="0"/>
        <cfvo type="num" val="1"/>
        <cfvo type="num" val="2"/>
        <cfvo type="num" val="3"/>
        <cfvo type="num" val="4"/>
      </iconSet>
    </cfRule>
  </conditionalFormatting>
  <conditionalFormatting sqref="G107 G99 G101">
    <cfRule type="iconSet" priority="1343">
      <iconSet iconSet="5Quarters">
        <cfvo type="percent" val="0"/>
        <cfvo type="num" val="1"/>
        <cfvo type="num" val="2"/>
        <cfvo type="num" val="3"/>
        <cfvo type="num" val="4"/>
      </iconSet>
    </cfRule>
  </conditionalFormatting>
  <conditionalFormatting sqref="H107 H99 H101">
    <cfRule type="iconSet" priority="1345">
      <iconSet iconSet="5Quarters" showValue="0">
        <cfvo type="percent" val="0"/>
        <cfvo type="num" val="1"/>
        <cfvo type="num" val="2"/>
        <cfvo type="num" val="3"/>
        <cfvo type="num" val="4"/>
      </iconSet>
    </cfRule>
  </conditionalFormatting>
  <conditionalFormatting sqref="I12:I13">
    <cfRule type="iconSet" priority="768">
      <iconSet iconSet="4TrafficLights">
        <cfvo type="percent" val="0"/>
        <cfvo type="percent" val="25"/>
        <cfvo type="percent" val="50"/>
        <cfvo type="percent" val="75"/>
      </iconSet>
    </cfRule>
  </conditionalFormatting>
  <conditionalFormatting sqref="I17:I18">
    <cfRule type="iconSet" priority="767">
      <iconSet iconSet="4TrafficLights">
        <cfvo type="percent" val="0"/>
        <cfvo type="percent" val="25"/>
        <cfvo type="percent" val="50"/>
        <cfvo type="percent" val="75"/>
      </iconSet>
    </cfRule>
  </conditionalFormatting>
  <conditionalFormatting sqref="I35:I36">
    <cfRule type="iconSet" priority="766">
      <iconSet iconSet="4TrafficLights">
        <cfvo type="percent" val="0"/>
        <cfvo type="percent" val="25"/>
        <cfvo type="percent" val="50"/>
        <cfvo type="percent" val="75"/>
      </iconSet>
    </cfRule>
  </conditionalFormatting>
  <conditionalFormatting sqref="I57:I58">
    <cfRule type="iconSet" priority="765">
      <iconSet iconSet="4TrafficLights">
        <cfvo type="percent" val="0"/>
        <cfvo type="percent" val="25"/>
        <cfvo type="percent" val="50"/>
        <cfvo type="percent" val="75"/>
      </iconSet>
    </cfRule>
  </conditionalFormatting>
  <conditionalFormatting sqref="I70:I71">
    <cfRule type="iconSet" priority="764">
      <iconSet iconSet="4TrafficLights">
        <cfvo type="percent" val="0"/>
        <cfvo type="percent" val="25"/>
        <cfvo type="percent" val="50"/>
        <cfvo type="percent" val="75"/>
      </iconSet>
    </cfRule>
  </conditionalFormatting>
  <conditionalFormatting sqref="I78:I79">
    <cfRule type="iconSet" priority="763">
      <iconSet iconSet="4TrafficLights">
        <cfvo type="percent" val="0"/>
        <cfvo type="percent" val="25"/>
        <cfvo type="percent" val="50"/>
        <cfvo type="percent" val="75"/>
      </iconSet>
    </cfRule>
  </conditionalFormatting>
  <conditionalFormatting sqref="I90:I91">
    <cfRule type="iconSet" priority="762">
      <iconSet iconSet="4TrafficLights">
        <cfvo type="percent" val="0"/>
        <cfvo type="percent" val="25"/>
        <cfvo type="percent" val="50"/>
        <cfvo type="percent" val="75"/>
      </iconSet>
    </cfRule>
  </conditionalFormatting>
  <conditionalFormatting sqref="I97:I98">
    <cfRule type="iconSet" priority="761">
      <iconSet iconSet="4TrafficLights">
        <cfvo type="percent" val="0"/>
        <cfvo type="percent" val="25"/>
        <cfvo type="percent" val="50"/>
        <cfvo type="percent" val="75"/>
      </iconSet>
    </cfRule>
  </conditionalFormatting>
  <conditionalFormatting sqref="I105:I106">
    <cfRule type="iconSet" priority="760">
      <iconSet iconSet="4TrafficLights">
        <cfvo type="percent" val="0"/>
        <cfvo type="percent" val="25"/>
        <cfvo type="percent" val="50"/>
        <cfvo type="percent" val="75"/>
      </iconSet>
    </cfRule>
  </conditionalFormatting>
  <conditionalFormatting sqref="I111:I112">
    <cfRule type="iconSet" priority="759">
      <iconSet iconSet="4TrafficLights">
        <cfvo type="percent" val="0"/>
        <cfvo type="percent" val="25"/>
        <cfvo type="percent" val="50"/>
        <cfvo type="percent" val="75"/>
      </iconSet>
    </cfRule>
  </conditionalFormatting>
  <conditionalFormatting sqref="I124:I125">
    <cfRule type="iconSet" priority="758">
      <iconSet iconSet="4TrafficLights">
        <cfvo type="percent" val="0"/>
        <cfvo type="percent" val="25"/>
        <cfvo type="percent" val="50"/>
        <cfvo type="percent" val="75"/>
      </iconSet>
    </cfRule>
  </conditionalFormatting>
  <conditionalFormatting sqref="K83">
    <cfRule type="iconSet" priority="752">
      <iconSet iconSet="3Symbols2" showValue="0">
        <cfvo type="percent" val="0"/>
        <cfvo type="num" val="0"/>
        <cfvo type="num" val="10"/>
      </iconSet>
    </cfRule>
  </conditionalFormatting>
  <conditionalFormatting sqref="L83">
    <cfRule type="iconSet" priority="751">
      <iconSet iconSet="3Symbols2" showValue="0">
        <cfvo type="percent" val="0"/>
        <cfvo type="num" val="0"/>
        <cfvo type="num" val="10"/>
      </iconSet>
    </cfRule>
  </conditionalFormatting>
  <conditionalFormatting sqref="G83">
    <cfRule type="iconSet" priority="750">
      <iconSet iconSet="5Quarters">
        <cfvo type="percent" val="0"/>
        <cfvo type="num" val="1"/>
        <cfvo type="num" val="2"/>
        <cfvo type="num" val="3"/>
        <cfvo type="num" val="4"/>
      </iconSet>
    </cfRule>
  </conditionalFormatting>
  <conditionalFormatting sqref="H83">
    <cfRule type="iconSet" priority="749">
      <iconSet iconSet="5Quarters" showValue="0">
        <cfvo type="percent" val="0"/>
        <cfvo type="num" val="1"/>
        <cfvo type="num" val="2"/>
        <cfvo type="num" val="3"/>
        <cfvo type="num" val="4"/>
      </iconSet>
    </cfRule>
  </conditionalFormatting>
  <conditionalFormatting sqref="K84">
    <cfRule type="iconSet" priority="743">
      <iconSet iconSet="3Symbols2" showValue="0">
        <cfvo type="percent" val="0"/>
        <cfvo type="num" val="0"/>
        <cfvo type="num" val="10"/>
      </iconSet>
    </cfRule>
  </conditionalFormatting>
  <conditionalFormatting sqref="L84">
    <cfRule type="iconSet" priority="742">
      <iconSet iconSet="3Symbols2" showValue="0">
        <cfvo type="percent" val="0"/>
        <cfvo type="num" val="0"/>
        <cfvo type="num" val="10"/>
      </iconSet>
    </cfRule>
  </conditionalFormatting>
  <conditionalFormatting sqref="G84">
    <cfRule type="iconSet" priority="741">
      <iconSet iconSet="5Quarters">
        <cfvo type="percent" val="0"/>
        <cfvo type="num" val="1"/>
        <cfvo type="num" val="2"/>
        <cfvo type="num" val="3"/>
        <cfvo type="num" val="4"/>
      </iconSet>
    </cfRule>
  </conditionalFormatting>
  <conditionalFormatting sqref="H84">
    <cfRule type="iconSet" priority="740">
      <iconSet iconSet="5Quarters" showValue="0">
        <cfvo type="percent" val="0"/>
        <cfvo type="num" val="1"/>
        <cfvo type="num" val="2"/>
        <cfvo type="num" val="3"/>
        <cfvo type="num" val="4"/>
      </iconSet>
    </cfRule>
  </conditionalFormatting>
  <conditionalFormatting sqref="G85">
    <cfRule type="iconSet" priority="732">
      <iconSet iconSet="5Quarters">
        <cfvo type="percent" val="0"/>
        <cfvo type="num" val="1"/>
        <cfvo type="num" val="2"/>
        <cfvo type="num" val="3"/>
        <cfvo type="num" val="4"/>
      </iconSet>
    </cfRule>
  </conditionalFormatting>
  <conditionalFormatting sqref="H85">
    <cfRule type="iconSet" priority="731">
      <iconSet iconSet="5Quarters" showValue="0">
        <cfvo type="percent" val="0"/>
        <cfvo type="num" val="1"/>
        <cfvo type="num" val="2"/>
        <cfvo type="num" val="3"/>
        <cfvo type="num" val="4"/>
      </iconSet>
    </cfRule>
  </conditionalFormatting>
  <conditionalFormatting sqref="K86">
    <cfRule type="iconSet" priority="725">
      <iconSet iconSet="3Symbols2" showValue="0">
        <cfvo type="percent" val="0"/>
        <cfvo type="num" val="0"/>
        <cfvo type="num" val="10"/>
      </iconSet>
    </cfRule>
  </conditionalFormatting>
  <conditionalFormatting sqref="L86">
    <cfRule type="iconSet" priority="724">
      <iconSet iconSet="3Symbols2" showValue="0">
        <cfvo type="percent" val="0"/>
        <cfvo type="num" val="0"/>
        <cfvo type="num" val="10"/>
      </iconSet>
    </cfRule>
  </conditionalFormatting>
  <conditionalFormatting sqref="G86">
    <cfRule type="iconSet" priority="723">
      <iconSet iconSet="5Quarters">
        <cfvo type="percent" val="0"/>
        <cfvo type="num" val="1"/>
        <cfvo type="num" val="2"/>
        <cfvo type="num" val="3"/>
        <cfvo type="num" val="4"/>
      </iconSet>
    </cfRule>
  </conditionalFormatting>
  <conditionalFormatting sqref="H86">
    <cfRule type="iconSet" priority="722">
      <iconSet iconSet="5Quarters" showValue="0">
        <cfvo type="percent" val="0"/>
        <cfvo type="num" val="1"/>
        <cfvo type="num" val="2"/>
        <cfvo type="num" val="3"/>
        <cfvo type="num" val="4"/>
      </iconSet>
    </cfRule>
  </conditionalFormatting>
  <conditionalFormatting sqref="K87">
    <cfRule type="iconSet" priority="716">
      <iconSet iconSet="3Symbols2" showValue="0">
        <cfvo type="percent" val="0"/>
        <cfvo type="num" val="0"/>
        <cfvo type="num" val="10"/>
      </iconSet>
    </cfRule>
  </conditionalFormatting>
  <conditionalFormatting sqref="L87">
    <cfRule type="iconSet" priority="715">
      <iconSet iconSet="3Symbols2" showValue="0">
        <cfvo type="percent" val="0"/>
        <cfvo type="num" val="0"/>
        <cfvo type="num" val="10"/>
      </iconSet>
    </cfRule>
  </conditionalFormatting>
  <conditionalFormatting sqref="G87">
    <cfRule type="iconSet" priority="714">
      <iconSet iconSet="5Quarters">
        <cfvo type="percent" val="0"/>
        <cfvo type="num" val="1"/>
        <cfvo type="num" val="2"/>
        <cfvo type="num" val="3"/>
        <cfvo type="num" val="4"/>
      </iconSet>
    </cfRule>
  </conditionalFormatting>
  <conditionalFormatting sqref="H87">
    <cfRule type="iconSet" priority="713">
      <iconSet iconSet="5Quarters" showValue="0">
        <cfvo type="percent" val="0"/>
        <cfvo type="num" val="1"/>
        <cfvo type="num" val="2"/>
        <cfvo type="num" val="3"/>
        <cfvo type="num" val="4"/>
      </iconSet>
    </cfRule>
  </conditionalFormatting>
  <conditionalFormatting sqref="G88">
    <cfRule type="iconSet" priority="705">
      <iconSet iconSet="5Quarters">
        <cfvo type="percent" val="0"/>
        <cfvo type="num" val="1"/>
        <cfvo type="num" val="2"/>
        <cfvo type="num" val="3"/>
        <cfvo type="num" val="4"/>
      </iconSet>
    </cfRule>
  </conditionalFormatting>
  <conditionalFormatting sqref="H88">
    <cfRule type="iconSet" priority="704">
      <iconSet iconSet="5Quarters" showValue="0">
        <cfvo type="percent" val="0"/>
        <cfvo type="num" val="1"/>
        <cfvo type="num" val="2"/>
        <cfvo type="num" val="3"/>
        <cfvo type="num" val="4"/>
      </iconSet>
    </cfRule>
  </conditionalFormatting>
  <conditionalFormatting sqref="K100">
    <cfRule type="iconSet" priority="687">
      <iconSet iconSet="3Symbols2" showValue="0">
        <cfvo type="percent" val="0"/>
        <cfvo type="num" val="0"/>
        <cfvo type="num" val="10"/>
      </iconSet>
    </cfRule>
  </conditionalFormatting>
  <conditionalFormatting sqref="L100">
    <cfRule type="iconSet" priority="686">
      <iconSet iconSet="3Symbols2" showValue="0">
        <cfvo type="percent" val="0"/>
        <cfvo type="num" val="0"/>
        <cfvo type="num" val="10"/>
      </iconSet>
    </cfRule>
  </conditionalFormatting>
  <conditionalFormatting sqref="G100">
    <cfRule type="iconSet" priority="693">
      <iconSet iconSet="5Quarters">
        <cfvo type="percent" val="0"/>
        <cfvo type="num" val="1"/>
        <cfvo type="num" val="2"/>
        <cfvo type="num" val="3"/>
        <cfvo type="num" val="4"/>
      </iconSet>
    </cfRule>
  </conditionalFormatting>
  <conditionalFormatting sqref="H100">
    <cfRule type="iconSet" priority="694">
      <iconSet iconSet="5Quarters" showValue="0">
        <cfvo type="percent" val="0"/>
        <cfvo type="num" val="1"/>
        <cfvo type="num" val="2"/>
        <cfvo type="num" val="3"/>
        <cfvo type="num" val="4"/>
      </iconSet>
    </cfRule>
  </conditionalFormatting>
  <conditionalFormatting sqref="K37">
    <cfRule type="iconSet" priority="680">
      <iconSet iconSet="3Symbols2" showValue="0">
        <cfvo type="percent" val="0"/>
        <cfvo type="num" val="0"/>
        <cfvo type="num" val="10"/>
      </iconSet>
    </cfRule>
  </conditionalFormatting>
  <conditionalFormatting sqref="L37">
    <cfRule type="iconSet" priority="679">
      <iconSet iconSet="3Symbols2" showValue="0">
        <cfvo type="percent" val="0"/>
        <cfvo type="num" val="0"/>
        <cfvo type="num" val="10"/>
      </iconSet>
    </cfRule>
  </conditionalFormatting>
  <conditionalFormatting sqref="G37">
    <cfRule type="iconSet" priority="678">
      <iconSet iconSet="5Quarters">
        <cfvo type="percent" val="0"/>
        <cfvo type="num" val="1"/>
        <cfvo type="num" val="2"/>
        <cfvo type="num" val="3"/>
        <cfvo type="num" val="4"/>
      </iconSet>
    </cfRule>
  </conditionalFormatting>
  <conditionalFormatting sqref="H37">
    <cfRule type="iconSet" priority="677">
      <iconSet iconSet="5Quarters" showValue="0">
        <cfvo type="percent" val="0"/>
        <cfvo type="num" val="1"/>
        <cfvo type="num" val="2"/>
        <cfvo type="num" val="3"/>
        <cfvo type="num" val="4"/>
      </iconSet>
    </cfRule>
  </conditionalFormatting>
  <conditionalFormatting sqref="L24">
    <cfRule type="iconSet" priority="600">
      <iconSet iconSet="3Symbols2" showValue="0">
        <cfvo type="percent" val="0"/>
        <cfvo type="num" val="0"/>
        <cfvo type="num" val="10"/>
      </iconSet>
    </cfRule>
  </conditionalFormatting>
  <conditionalFormatting sqref="K24">
    <cfRule type="iconSet" priority="601">
      <iconSet iconSet="3Symbols2" showValue="0">
        <cfvo type="percent" val="0"/>
        <cfvo type="num" val="0"/>
        <cfvo type="num" val="10"/>
      </iconSet>
    </cfRule>
  </conditionalFormatting>
  <conditionalFormatting sqref="G24">
    <cfRule type="iconSet" priority="599">
      <iconSet iconSet="5Quarters">
        <cfvo type="percent" val="0"/>
        <cfvo type="num" val="1"/>
        <cfvo type="num" val="2"/>
        <cfvo type="num" val="3"/>
        <cfvo type="num" val="4"/>
      </iconSet>
    </cfRule>
  </conditionalFormatting>
  <conditionalFormatting sqref="H24">
    <cfRule type="iconSet" priority="598">
      <iconSet iconSet="5Quarters" showValue="0">
        <cfvo type="percent" val="0"/>
        <cfvo type="num" val="1"/>
        <cfvo type="num" val="2"/>
        <cfvo type="num" val="3"/>
        <cfvo type="num" val="4"/>
      </iconSet>
    </cfRule>
  </conditionalFormatting>
  <conditionalFormatting sqref="K25:L26">
    <cfRule type="iconSet" priority="591">
      <iconSet iconSet="3Symbols2" showValue="0">
        <cfvo type="percent" val="0"/>
        <cfvo type="num" val="0"/>
        <cfvo type="num" val="10"/>
      </iconSet>
    </cfRule>
  </conditionalFormatting>
  <conditionalFormatting sqref="G25">
    <cfRule type="iconSet" priority="590">
      <iconSet iconSet="5Quarters">
        <cfvo type="percent" val="0"/>
        <cfvo type="num" val="1"/>
        <cfvo type="num" val="2"/>
        <cfvo type="num" val="3"/>
        <cfvo type="num" val="4"/>
      </iconSet>
    </cfRule>
  </conditionalFormatting>
  <conditionalFormatting sqref="H25:H26">
    <cfRule type="iconSet" priority="589">
      <iconSet iconSet="5Quarters" showValue="0">
        <cfvo type="percent" val="0"/>
        <cfvo type="num" val="1"/>
        <cfvo type="num" val="2"/>
        <cfvo type="num" val="3"/>
        <cfvo type="num" val="4"/>
      </iconSet>
    </cfRule>
  </conditionalFormatting>
  <conditionalFormatting sqref="K114">
    <cfRule type="iconSet" priority="583">
      <iconSet iconSet="3Symbols2" showValue="0">
        <cfvo type="percent" val="0"/>
        <cfvo type="num" val="0"/>
        <cfvo type="num" val="10"/>
      </iconSet>
    </cfRule>
  </conditionalFormatting>
  <conditionalFormatting sqref="L114">
    <cfRule type="iconSet" priority="582">
      <iconSet iconSet="3Symbols2" showValue="0">
        <cfvo type="percent" val="0"/>
        <cfvo type="num" val="0"/>
        <cfvo type="num" val="10"/>
      </iconSet>
    </cfRule>
  </conditionalFormatting>
  <conditionalFormatting sqref="G114">
    <cfRule type="iconSet" priority="581">
      <iconSet iconSet="5Quarters">
        <cfvo type="percent" val="0"/>
        <cfvo type="num" val="1"/>
        <cfvo type="num" val="2"/>
        <cfvo type="num" val="3"/>
        <cfvo type="num" val="4"/>
      </iconSet>
    </cfRule>
  </conditionalFormatting>
  <conditionalFormatting sqref="H114">
    <cfRule type="iconSet" priority="580">
      <iconSet iconSet="5Quarters" showValue="0">
        <cfvo type="percent" val="0"/>
        <cfvo type="num" val="1"/>
        <cfvo type="num" val="2"/>
        <cfvo type="num" val="3"/>
        <cfvo type="num" val="4"/>
      </iconSet>
    </cfRule>
  </conditionalFormatting>
  <conditionalFormatting sqref="K117">
    <cfRule type="iconSet" priority="574">
      <iconSet iconSet="3Symbols2" showValue="0">
        <cfvo type="percent" val="0"/>
        <cfvo type="num" val="0"/>
        <cfvo type="num" val="10"/>
      </iconSet>
    </cfRule>
  </conditionalFormatting>
  <conditionalFormatting sqref="L117">
    <cfRule type="iconSet" priority="573">
      <iconSet iconSet="3Symbols2" showValue="0">
        <cfvo type="percent" val="0"/>
        <cfvo type="num" val="0"/>
        <cfvo type="num" val="10"/>
      </iconSet>
    </cfRule>
  </conditionalFormatting>
  <conditionalFormatting sqref="G117">
    <cfRule type="iconSet" priority="572">
      <iconSet iconSet="5Quarters">
        <cfvo type="percent" val="0"/>
        <cfvo type="num" val="1"/>
        <cfvo type="num" val="2"/>
        <cfvo type="num" val="3"/>
        <cfvo type="num" val="4"/>
      </iconSet>
    </cfRule>
  </conditionalFormatting>
  <conditionalFormatting sqref="H117">
    <cfRule type="iconSet" priority="571">
      <iconSet iconSet="5Quarters" showValue="0">
        <cfvo type="percent" val="0"/>
        <cfvo type="num" val="1"/>
        <cfvo type="num" val="2"/>
        <cfvo type="num" val="3"/>
        <cfvo type="num" val="4"/>
      </iconSet>
    </cfRule>
  </conditionalFormatting>
  <conditionalFormatting sqref="H27">
    <cfRule type="iconSet" priority="555">
      <iconSet iconSet="5Quarters" showValue="0">
        <cfvo type="percent" val="0"/>
        <cfvo type="num" val="1"/>
        <cfvo type="num" val="2"/>
        <cfvo type="num" val="3"/>
        <cfvo type="num" val="4"/>
      </iconSet>
    </cfRule>
  </conditionalFormatting>
  <conditionalFormatting sqref="H28">
    <cfRule type="iconSet" priority="546">
      <iconSet iconSet="5Quarters" showValue="0">
        <cfvo type="percent" val="0"/>
        <cfvo type="num" val="1"/>
        <cfvo type="num" val="2"/>
        <cfvo type="num" val="3"/>
        <cfvo type="num" val="4"/>
      </iconSet>
    </cfRule>
  </conditionalFormatting>
  <conditionalFormatting sqref="H29">
    <cfRule type="iconSet" priority="537">
      <iconSet iconSet="5Quarters" showValue="0">
        <cfvo type="percent" val="0"/>
        <cfvo type="num" val="1"/>
        <cfvo type="num" val="2"/>
        <cfvo type="num" val="3"/>
        <cfvo type="num" val="4"/>
      </iconSet>
    </cfRule>
  </conditionalFormatting>
  <conditionalFormatting sqref="G30:G31">
    <cfRule type="iconSet" priority="522">
      <iconSet iconSet="5Quarters">
        <cfvo type="percent" val="0"/>
        <cfvo type="num" val="1"/>
        <cfvo type="num" val="2"/>
        <cfvo type="num" val="3"/>
        <cfvo type="num" val="4"/>
      </iconSet>
    </cfRule>
  </conditionalFormatting>
  <conditionalFormatting sqref="H30:H31">
    <cfRule type="iconSet" priority="521">
      <iconSet iconSet="5Quarters" showValue="0">
        <cfvo type="percent" val="0"/>
        <cfvo type="num" val="1"/>
        <cfvo type="num" val="2"/>
        <cfvo type="num" val="3"/>
        <cfvo type="num" val="4"/>
      </iconSet>
    </cfRule>
  </conditionalFormatting>
  <conditionalFormatting sqref="G32">
    <cfRule type="iconSet" priority="513">
      <iconSet iconSet="5Quarters">
        <cfvo type="percent" val="0"/>
        <cfvo type="num" val="1"/>
        <cfvo type="num" val="2"/>
        <cfvo type="num" val="3"/>
        <cfvo type="num" val="4"/>
      </iconSet>
    </cfRule>
  </conditionalFormatting>
  <conditionalFormatting sqref="H32">
    <cfRule type="iconSet" priority="512">
      <iconSet iconSet="5Quarters" showValue="0">
        <cfvo type="percent" val="0"/>
        <cfvo type="num" val="1"/>
        <cfvo type="num" val="2"/>
        <cfvo type="num" val="3"/>
        <cfvo type="num" val="4"/>
      </iconSet>
    </cfRule>
  </conditionalFormatting>
  <conditionalFormatting sqref="G33">
    <cfRule type="iconSet" priority="504">
      <iconSet iconSet="5Quarters">
        <cfvo type="percent" val="0"/>
        <cfvo type="num" val="1"/>
        <cfvo type="num" val="2"/>
        <cfvo type="num" val="3"/>
        <cfvo type="num" val="4"/>
      </iconSet>
    </cfRule>
  </conditionalFormatting>
  <conditionalFormatting sqref="H33">
    <cfRule type="iconSet" priority="503">
      <iconSet iconSet="5Quarters" showValue="0">
        <cfvo type="percent" val="0"/>
        <cfvo type="num" val="1"/>
        <cfvo type="num" val="2"/>
        <cfvo type="num" val="3"/>
        <cfvo type="num" val="4"/>
      </iconSet>
    </cfRule>
  </conditionalFormatting>
  <conditionalFormatting sqref="L22">
    <cfRule type="iconSet" priority="496">
      <iconSet iconSet="3Symbols2" showValue="0">
        <cfvo type="percent" val="0"/>
        <cfvo type="num" val="0"/>
        <cfvo type="num" val="10"/>
      </iconSet>
    </cfRule>
  </conditionalFormatting>
  <conditionalFormatting sqref="K22">
    <cfRule type="iconSet" priority="497">
      <iconSet iconSet="3Symbols2" showValue="0">
        <cfvo type="percent" val="0"/>
        <cfvo type="num" val="0"/>
        <cfvo type="num" val="10"/>
      </iconSet>
    </cfRule>
  </conditionalFormatting>
  <conditionalFormatting sqref="G26">
    <cfRule type="iconSet" priority="494">
      <iconSet iconSet="5Quarters">
        <cfvo type="percent" val="0"/>
        <cfvo type="num" val="1"/>
        <cfvo type="num" val="2"/>
        <cfvo type="num" val="3"/>
        <cfvo type="num" val="4"/>
      </iconSet>
    </cfRule>
  </conditionalFormatting>
  <conditionalFormatting sqref="G27">
    <cfRule type="iconSet" priority="493">
      <iconSet iconSet="5Quarters">
        <cfvo type="percent" val="0"/>
        <cfvo type="num" val="1"/>
        <cfvo type="num" val="2"/>
        <cfvo type="num" val="3"/>
        <cfvo type="num" val="4"/>
      </iconSet>
    </cfRule>
  </conditionalFormatting>
  <conditionalFormatting sqref="G28">
    <cfRule type="iconSet" priority="492">
      <iconSet iconSet="5Quarters">
        <cfvo type="percent" val="0"/>
        <cfvo type="num" val="1"/>
        <cfvo type="num" val="2"/>
        <cfvo type="num" val="3"/>
        <cfvo type="num" val="4"/>
      </iconSet>
    </cfRule>
  </conditionalFormatting>
  <conditionalFormatting sqref="G29">
    <cfRule type="iconSet" priority="491">
      <iconSet iconSet="5Quarters">
        <cfvo type="percent" val="0"/>
        <cfvo type="num" val="1"/>
        <cfvo type="num" val="2"/>
        <cfvo type="num" val="3"/>
        <cfvo type="num" val="4"/>
      </iconSet>
    </cfRule>
  </conditionalFormatting>
  <conditionalFormatting sqref="K27:L27">
    <cfRule type="iconSet" priority="484">
      <iconSet iconSet="3Symbols2" showValue="0">
        <cfvo type="percent" val="0"/>
        <cfvo type="num" val="0"/>
        <cfvo type="num" val="10"/>
      </iconSet>
    </cfRule>
  </conditionalFormatting>
  <conditionalFormatting sqref="K28:L28">
    <cfRule type="iconSet" priority="477">
      <iconSet iconSet="3Symbols2" showValue="0">
        <cfvo type="percent" val="0"/>
        <cfvo type="num" val="0"/>
        <cfvo type="num" val="10"/>
      </iconSet>
    </cfRule>
  </conditionalFormatting>
  <conditionalFormatting sqref="K29:L29">
    <cfRule type="iconSet" priority="470">
      <iconSet iconSet="3Symbols2" showValue="0">
        <cfvo type="percent" val="0"/>
        <cfvo type="num" val="0"/>
        <cfvo type="num" val="10"/>
      </iconSet>
    </cfRule>
  </conditionalFormatting>
  <conditionalFormatting sqref="K30:L30">
    <cfRule type="iconSet" priority="463">
      <iconSet iconSet="3Symbols2" showValue="0">
        <cfvo type="percent" val="0"/>
        <cfvo type="num" val="0"/>
        <cfvo type="num" val="10"/>
      </iconSet>
    </cfRule>
  </conditionalFormatting>
  <conditionalFormatting sqref="K31:L31">
    <cfRule type="iconSet" priority="456">
      <iconSet iconSet="3Symbols2" showValue="0">
        <cfvo type="percent" val="0"/>
        <cfvo type="num" val="0"/>
        <cfvo type="num" val="10"/>
      </iconSet>
    </cfRule>
  </conditionalFormatting>
  <conditionalFormatting sqref="K32:L32">
    <cfRule type="iconSet" priority="442">
      <iconSet iconSet="3Symbols2" showValue="0">
        <cfvo type="percent" val="0"/>
        <cfvo type="num" val="0"/>
        <cfvo type="num" val="10"/>
      </iconSet>
    </cfRule>
  </conditionalFormatting>
  <conditionalFormatting sqref="K33:L33">
    <cfRule type="iconSet" priority="435">
      <iconSet iconSet="3Symbols2" showValue="0">
        <cfvo type="percent" val="0"/>
        <cfvo type="num" val="0"/>
        <cfvo type="num" val="10"/>
      </iconSet>
    </cfRule>
  </conditionalFormatting>
  <conditionalFormatting sqref="K43">
    <cfRule type="iconSet" priority="429">
      <iconSet iconSet="3Symbols2" showValue="0">
        <cfvo type="percent" val="0"/>
        <cfvo type="num" val="0"/>
        <cfvo type="num" val="10"/>
      </iconSet>
    </cfRule>
  </conditionalFormatting>
  <conditionalFormatting sqref="L43">
    <cfRule type="iconSet" priority="428">
      <iconSet iconSet="3Symbols2" showValue="0">
        <cfvo type="percent" val="0"/>
        <cfvo type="num" val="0"/>
        <cfvo type="num" val="10"/>
      </iconSet>
    </cfRule>
  </conditionalFormatting>
  <conditionalFormatting sqref="G43">
    <cfRule type="iconSet" priority="427">
      <iconSet iconSet="5Quarters">
        <cfvo type="percent" val="0"/>
        <cfvo type="num" val="1"/>
        <cfvo type="num" val="2"/>
        <cfvo type="num" val="3"/>
        <cfvo type="num" val="4"/>
      </iconSet>
    </cfRule>
  </conditionalFormatting>
  <conditionalFormatting sqref="H43">
    <cfRule type="iconSet" priority="426">
      <iconSet iconSet="5Quarters" showValue="0">
        <cfvo type="percent" val="0"/>
        <cfvo type="num" val="1"/>
        <cfvo type="num" val="2"/>
        <cfvo type="num" val="3"/>
        <cfvo type="num" val="4"/>
      </iconSet>
    </cfRule>
  </conditionalFormatting>
  <conditionalFormatting sqref="G49">
    <cfRule type="iconSet" priority="418">
      <iconSet iconSet="5Quarters">
        <cfvo type="percent" val="0"/>
        <cfvo type="num" val="1"/>
        <cfvo type="num" val="2"/>
        <cfvo type="num" val="3"/>
        <cfvo type="num" val="4"/>
      </iconSet>
    </cfRule>
  </conditionalFormatting>
  <conditionalFormatting sqref="H49">
    <cfRule type="iconSet" priority="417">
      <iconSet iconSet="5Quarters" showValue="0">
        <cfvo type="percent" val="0"/>
        <cfvo type="num" val="1"/>
        <cfvo type="num" val="2"/>
        <cfvo type="num" val="3"/>
        <cfvo type="num" val="4"/>
      </iconSet>
    </cfRule>
  </conditionalFormatting>
  <conditionalFormatting sqref="G55">
    <cfRule type="iconSet" priority="409">
      <iconSet iconSet="5Quarters">
        <cfvo type="percent" val="0"/>
        <cfvo type="num" val="1"/>
        <cfvo type="num" val="2"/>
        <cfvo type="num" val="3"/>
        <cfvo type="num" val="4"/>
      </iconSet>
    </cfRule>
  </conditionalFormatting>
  <conditionalFormatting sqref="H55">
    <cfRule type="iconSet" priority="408">
      <iconSet iconSet="5Quarters" showValue="0">
        <cfvo type="percent" val="0"/>
        <cfvo type="num" val="1"/>
        <cfvo type="num" val="2"/>
        <cfvo type="num" val="3"/>
        <cfvo type="num" val="4"/>
      </iconSet>
    </cfRule>
  </conditionalFormatting>
  <conditionalFormatting sqref="K44:L44">
    <cfRule type="iconSet" priority="402">
      <iconSet iconSet="3Symbols2" showValue="0">
        <cfvo type="percent" val="0"/>
        <cfvo type="num" val="0"/>
        <cfvo type="num" val="10"/>
      </iconSet>
    </cfRule>
  </conditionalFormatting>
  <conditionalFormatting sqref="K47">
    <cfRule type="iconSet" priority="395">
      <iconSet iconSet="3Symbols2" showValue="0">
        <cfvo type="percent" val="0"/>
        <cfvo type="num" val="0"/>
        <cfvo type="num" val="10"/>
      </iconSet>
    </cfRule>
  </conditionalFormatting>
  <conditionalFormatting sqref="L47">
    <cfRule type="iconSet" priority="394">
      <iconSet iconSet="3Symbols2" showValue="0">
        <cfvo type="percent" val="0"/>
        <cfvo type="num" val="0"/>
        <cfvo type="num" val="10"/>
      </iconSet>
    </cfRule>
  </conditionalFormatting>
  <conditionalFormatting sqref="K45">
    <cfRule type="iconSet" priority="388">
      <iconSet iconSet="3Symbols2" showValue="0">
        <cfvo type="percent" val="0"/>
        <cfvo type="num" val="0"/>
        <cfvo type="num" val="10"/>
      </iconSet>
    </cfRule>
  </conditionalFormatting>
  <conditionalFormatting sqref="L45">
    <cfRule type="iconSet" priority="387">
      <iconSet iconSet="3Symbols2" showValue="0">
        <cfvo type="percent" val="0"/>
        <cfvo type="num" val="0"/>
        <cfvo type="num" val="10"/>
      </iconSet>
    </cfRule>
  </conditionalFormatting>
  <conditionalFormatting sqref="K48">
    <cfRule type="iconSet" priority="381">
      <iconSet iconSet="3Symbols2" showValue="0">
        <cfvo type="percent" val="0"/>
        <cfvo type="num" val="0"/>
        <cfvo type="num" val="10"/>
      </iconSet>
    </cfRule>
  </conditionalFormatting>
  <conditionalFormatting sqref="L48">
    <cfRule type="iconSet" priority="380">
      <iconSet iconSet="3Symbols2" showValue="0">
        <cfvo type="percent" val="0"/>
        <cfvo type="num" val="0"/>
        <cfvo type="num" val="10"/>
      </iconSet>
    </cfRule>
  </conditionalFormatting>
  <conditionalFormatting sqref="K46">
    <cfRule type="iconSet" priority="374">
      <iconSet iconSet="3Symbols2" showValue="0">
        <cfvo type="percent" val="0"/>
        <cfvo type="num" val="0"/>
        <cfvo type="num" val="10"/>
      </iconSet>
    </cfRule>
  </conditionalFormatting>
  <conditionalFormatting sqref="L46">
    <cfRule type="iconSet" priority="373">
      <iconSet iconSet="3Symbols2" showValue="0">
        <cfvo type="percent" val="0"/>
        <cfvo type="num" val="0"/>
        <cfvo type="num" val="10"/>
      </iconSet>
    </cfRule>
  </conditionalFormatting>
  <conditionalFormatting sqref="K49">
    <cfRule type="iconSet" priority="367">
      <iconSet iconSet="3Symbols2" showValue="0">
        <cfvo type="percent" val="0"/>
        <cfvo type="num" val="0"/>
        <cfvo type="num" val="10"/>
      </iconSet>
    </cfRule>
  </conditionalFormatting>
  <conditionalFormatting sqref="L49">
    <cfRule type="iconSet" priority="366">
      <iconSet iconSet="3Symbols2" showValue="0">
        <cfvo type="percent" val="0"/>
        <cfvo type="num" val="0"/>
        <cfvo type="num" val="10"/>
      </iconSet>
    </cfRule>
  </conditionalFormatting>
  <conditionalFormatting sqref="K50:L50">
    <cfRule type="iconSet" priority="359">
      <iconSet iconSet="3Symbols2" showValue="0">
        <cfvo type="percent" val="0"/>
        <cfvo type="num" val="0"/>
        <cfvo type="num" val="10"/>
      </iconSet>
    </cfRule>
  </conditionalFormatting>
  <conditionalFormatting sqref="K53">
    <cfRule type="iconSet" priority="353">
      <iconSet iconSet="3Symbols2" showValue="0">
        <cfvo type="percent" val="0"/>
        <cfvo type="num" val="0"/>
        <cfvo type="num" val="10"/>
      </iconSet>
    </cfRule>
  </conditionalFormatting>
  <conditionalFormatting sqref="L53">
    <cfRule type="iconSet" priority="352">
      <iconSet iconSet="3Symbols2" showValue="0">
        <cfvo type="percent" val="0"/>
        <cfvo type="num" val="0"/>
        <cfvo type="num" val="10"/>
      </iconSet>
    </cfRule>
  </conditionalFormatting>
  <conditionalFormatting sqref="K51">
    <cfRule type="iconSet" priority="346">
      <iconSet iconSet="3Symbols2" showValue="0">
        <cfvo type="percent" val="0"/>
        <cfvo type="num" val="0"/>
        <cfvo type="num" val="10"/>
      </iconSet>
    </cfRule>
  </conditionalFormatting>
  <conditionalFormatting sqref="L51">
    <cfRule type="iconSet" priority="345">
      <iconSet iconSet="3Symbols2" showValue="0">
        <cfvo type="percent" val="0"/>
        <cfvo type="num" val="0"/>
        <cfvo type="num" val="10"/>
      </iconSet>
    </cfRule>
  </conditionalFormatting>
  <conditionalFormatting sqref="K52">
    <cfRule type="iconSet" priority="332">
      <iconSet iconSet="3Symbols2" showValue="0">
        <cfvo type="percent" val="0"/>
        <cfvo type="num" val="0"/>
        <cfvo type="num" val="10"/>
      </iconSet>
    </cfRule>
  </conditionalFormatting>
  <conditionalFormatting sqref="L52">
    <cfRule type="iconSet" priority="331">
      <iconSet iconSet="3Symbols2" showValue="0">
        <cfvo type="percent" val="0"/>
        <cfvo type="num" val="0"/>
        <cfvo type="num" val="10"/>
      </iconSet>
    </cfRule>
  </conditionalFormatting>
  <conditionalFormatting sqref="K55">
    <cfRule type="iconSet" priority="325">
      <iconSet iconSet="3Symbols2" showValue="0">
        <cfvo type="percent" val="0"/>
        <cfvo type="num" val="0"/>
        <cfvo type="num" val="10"/>
      </iconSet>
    </cfRule>
  </conditionalFormatting>
  <conditionalFormatting sqref="L55">
    <cfRule type="iconSet" priority="324">
      <iconSet iconSet="3Symbols2" showValue="0">
        <cfvo type="percent" val="0"/>
        <cfvo type="num" val="0"/>
        <cfvo type="num" val="10"/>
      </iconSet>
    </cfRule>
  </conditionalFormatting>
  <conditionalFormatting sqref="K63">
    <cfRule type="iconSet" priority="318">
      <iconSet iconSet="3Symbols2" showValue="0">
        <cfvo type="percent" val="0"/>
        <cfvo type="num" val="0"/>
        <cfvo type="num" val="10"/>
      </iconSet>
    </cfRule>
  </conditionalFormatting>
  <conditionalFormatting sqref="L63">
    <cfRule type="iconSet" priority="317">
      <iconSet iconSet="3Symbols2" showValue="0">
        <cfvo type="percent" val="0"/>
        <cfvo type="num" val="0"/>
        <cfvo type="num" val="10"/>
      </iconSet>
    </cfRule>
  </conditionalFormatting>
  <conditionalFormatting sqref="K64">
    <cfRule type="iconSet" priority="311">
      <iconSet iconSet="3Symbols2" showValue="0">
        <cfvo type="percent" val="0"/>
        <cfvo type="num" val="0"/>
        <cfvo type="num" val="10"/>
      </iconSet>
    </cfRule>
  </conditionalFormatting>
  <conditionalFormatting sqref="K65">
    <cfRule type="iconSet" priority="305">
      <iconSet iconSet="3Symbols2" showValue="0">
        <cfvo type="percent" val="0"/>
        <cfvo type="num" val="0"/>
        <cfvo type="num" val="10"/>
      </iconSet>
    </cfRule>
  </conditionalFormatting>
  <conditionalFormatting sqref="L65">
    <cfRule type="iconSet" priority="304">
      <iconSet iconSet="3Symbols2" showValue="0">
        <cfvo type="percent" val="0"/>
        <cfvo type="num" val="0"/>
        <cfvo type="num" val="10"/>
      </iconSet>
    </cfRule>
  </conditionalFormatting>
  <conditionalFormatting sqref="L64">
    <cfRule type="iconSet" priority="303">
      <iconSet iconSet="3Symbols2" showValue="0">
        <cfvo type="percent" val="0"/>
        <cfvo type="num" val="0"/>
        <cfvo type="num" val="10"/>
      </iconSet>
    </cfRule>
  </conditionalFormatting>
  <conditionalFormatting sqref="K66">
    <cfRule type="iconSet" priority="297">
      <iconSet iconSet="3Symbols2" showValue="0">
        <cfvo type="percent" val="0"/>
        <cfvo type="num" val="0"/>
        <cfvo type="num" val="10"/>
      </iconSet>
    </cfRule>
  </conditionalFormatting>
  <conditionalFormatting sqref="L66">
    <cfRule type="iconSet" priority="296">
      <iconSet iconSet="3Symbols2" showValue="0">
        <cfvo type="percent" val="0"/>
        <cfvo type="num" val="0"/>
        <cfvo type="num" val="10"/>
      </iconSet>
    </cfRule>
  </conditionalFormatting>
  <conditionalFormatting sqref="K67">
    <cfRule type="iconSet" priority="290">
      <iconSet iconSet="3Symbols2" showValue="0">
        <cfvo type="percent" val="0"/>
        <cfvo type="num" val="0"/>
        <cfvo type="num" val="10"/>
      </iconSet>
    </cfRule>
  </conditionalFormatting>
  <conditionalFormatting sqref="L67">
    <cfRule type="iconSet" priority="282">
      <iconSet iconSet="3Symbols2" showValue="0">
        <cfvo type="percent" val="0"/>
        <cfvo type="num" val="0"/>
        <cfvo type="num" val="10"/>
      </iconSet>
    </cfRule>
  </conditionalFormatting>
  <conditionalFormatting sqref="K93">
    <cfRule type="iconSet" priority="276">
      <iconSet iconSet="3Symbols2" showValue="0">
        <cfvo type="percent" val="0"/>
        <cfvo type="num" val="0"/>
        <cfvo type="num" val="10"/>
      </iconSet>
    </cfRule>
  </conditionalFormatting>
  <conditionalFormatting sqref="L93">
    <cfRule type="iconSet" priority="275">
      <iconSet iconSet="3Symbols2" showValue="0">
        <cfvo type="percent" val="0"/>
        <cfvo type="num" val="0"/>
        <cfvo type="num" val="10"/>
      </iconSet>
    </cfRule>
  </conditionalFormatting>
  <conditionalFormatting sqref="K95">
    <cfRule type="iconSet" priority="269">
      <iconSet iconSet="3Symbols2" showValue="0">
        <cfvo type="percent" val="0"/>
        <cfvo type="num" val="0"/>
        <cfvo type="num" val="10"/>
      </iconSet>
    </cfRule>
  </conditionalFormatting>
  <conditionalFormatting sqref="L95">
    <cfRule type="iconSet" priority="268">
      <iconSet iconSet="3Symbols2" showValue="0">
        <cfvo type="percent" val="0"/>
        <cfvo type="num" val="0"/>
        <cfvo type="num" val="10"/>
      </iconSet>
    </cfRule>
  </conditionalFormatting>
  <conditionalFormatting sqref="K118">
    <cfRule type="iconSet" priority="262">
      <iconSet iconSet="3Symbols2" showValue="0">
        <cfvo type="percent" val="0"/>
        <cfvo type="num" val="0"/>
        <cfvo type="num" val="10"/>
      </iconSet>
    </cfRule>
  </conditionalFormatting>
  <conditionalFormatting sqref="L118">
    <cfRule type="iconSet" priority="261">
      <iconSet iconSet="3Symbols2" showValue="0">
        <cfvo type="percent" val="0"/>
        <cfvo type="num" val="0"/>
        <cfvo type="num" val="10"/>
      </iconSet>
    </cfRule>
  </conditionalFormatting>
  <conditionalFormatting sqref="G118">
    <cfRule type="iconSet" priority="260">
      <iconSet iconSet="5Quarters">
        <cfvo type="percent" val="0"/>
        <cfvo type="num" val="1"/>
        <cfvo type="num" val="2"/>
        <cfvo type="num" val="3"/>
        <cfvo type="num" val="4"/>
      </iconSet>
    </cfRule>
  </conditionalFormatting>
  <conditionalFormatting sqref="H118">
    <cfRule type="iconSet" priority="259">
      <iconSet iconSet="5Quarters" showValue="0">
        <cfvo type="percent" val="0"/>
        <cfvo type="num" val="1"/>
        <cfvo type="num" val="2"/>
        <cfvo type="num" val="3"/>
        <cfvo type="num" val="4"/>
      </iconSet>
    </cfRule>
  </conditionalFormatting>
  <conditionalFormatting sqref="K119">
    <cfRule type="iconSet" priority="253">
      <iconSet iconSet="3Symbols2" showValue="0">
        <cfvo type="percent" val="0"/>
        <cfvo type="num" val="0"/>
        <cfvo type="num" val="10"/>
      </iconSet>
    </cfRule>
  </conditionalFormatting>
  <conditionalFormatting sqref="L119">
    <cfRule type="iconSet" priority="252">
      <iconSet iconSet="3Symbols2" showValue="0">
        <cfvo type="percent" val="0"/>
        <cfvo type="num" val="0"/>
        <cfvo type="num" val="10"/>
      </iconSet>
    </cfRule>
  </conditionalFormatting>
  <conditionalFormatting sqref="G119">
    <cfRule type="iconSet" priority="251">
      <iconSet iconSet="5Quarters">
        <cfvo type="percent" val="0"/>
        <cfvo type="num" val="1"/>
        <cfvo type="num" val="2"/>
        <cfvo type="num" val="3"/>
        <cfvo type="num" val="4"/>
      </iconSet>
    </cfRule>
  </conditionalFormatting>
  <conditionalFormatting sqref="H119">
    <cfRule type="iconSet" priority="250">
      <iconSet iconSet="5Quarters" showValue="0">
        <cfvo type="percent" val="0"/>
        <cfvo type="num" val="1"/>
        <cfvo type="num" val="2"/>
        <cfvo type="num" val="3"/>
        <cfvo type="num" val="4"/>
      </iconSet>
    </cfRule>
  </conditionalFormatting>
  <conditionalFormatting sqref="K122">
    <cfRule type="iconSet" priority="244">
      <iconSet iconSet="3Symbols2" showValue="0">
        <cfvo type="percent" val="0"/>
        <cfvo type="num" val="0"/>
        <cfvo type="num" val="10"/>
      </iconSet>
    </cfRule>
  </conditionalFormatting>
  <conditionalFormatting sqref="L122">
    <cfRule type="iconSet" priority="243">
      <iconSet iconSet="3Symbols2" showValue="0">
        <cfvo type="percent" val="0"/>
        <cfvo type="num" val="0"/>
        <cfvo type="num" val="10"/>
      </iconSet>
    </cfRule>
  </conditionalFormatting>
  <conditionalFormatting sqref="G122">
    <cfRule type="iconSet" priority="242">
      <iconSet iconSet="5Quarters">
        <cfvo type="percent" val="0"/>
        <cfvo type="num" val="1"/>
        <cfvo type="num" val="2"/>
        <cfvo type="num" val="3"/>
        <cfvo type="num" val="4"/>
      </iconSet>
    </cfRule>
  </conditionalFormatting>
  <conditionalFormatting sqref="H122">
    <cfRule type="iconSet" priority="241">
      <iconSet iconSet="5Quarters" showValue="0">
        <cfvo type="percent" val="0"/>
        <cfvo type="num" val="1"/>
        <cfvo type="num" val="2"/>
        <cfvo type="num" val="3"/>
        <cfvo type="num" val="4"/>
      </iconSet>
    </cfRule>
  </conditionalFormatting>
  <conditionalFormatting sqref="G102">
    <cfRule type="iconSet" priority="239">
      <iconSet iconSet="5Quarters">
        <cfvo type="percent" val="0"/>
        <cfvo type="num" val="1"/>
        <cfvo type="num" val="2"/>
        <cfvo type="num" val="3"/>
        <cfvo type="num" val="4"/>
      </iconSet>
    </cfRule>
  </conditionalFormatting>
  <conditionalFormatting sqref="H102">
    <cfRule type="iconSet" priority="240">
      <iconSet iconSet="5Quarters" showValue="0">
        <cfvo type="percent" val="0"/>
        <cfvo type="num" val="1"/>
        <cfvo type="num" val="2"/>
        <cfvo type="num" val="3"/>
        <cfvo type="num" val="4"/>
      </iconSet>
    </cfRule>
  </conditionalFormatting>
  <conditionalFormatting sqref="G103">
    <cfRule type="iconSet" priority="230">
      <iconSet iconSet="5Quarters">
        <cfvo type="percent" val="0"/>
        <cfvo type="num" val="1"/>
        <cfvo type="num" val="2"/>
        <cfvo type="num" val="3"/>
        <cfvo type="num" val="4"/>
      </iconSet>
    </cfRule>
  </conditionalFormatting>
  <conditionalFormatting sqref="H103">
    <cfRule type="iconSet" priority="231">
      <iconSet iconSet="5Quarters" showValue="0">
        <cfvo type="percent" val="0"/>
        <cfvo type="num" val="1"/>
        <cfvo type="num" val="2"/>
        <cfvo type="num" val="3"/>
        <cfvo type="num" val="4"/>
      </iconSet>
    </cfRule>
  </conditionalFormatting>
  <conditionalFormatting sqref="G108">
    <cfRule type="iconSet" priority="221">
      <iconSet iconSet="5Quarters">
        <cfvo type="percent" val="0"/>
        <cfvo type="num" val="1"/>
        <cfvo type="num" val="2"/>
        <cfvo type="num" val="3"/>
        <cfvo type="num" val="4"/>
      </iconSet>
    </cfRule>
  </conditionalFormatting>
  <conditionalFormatting sqref="H108">
    <cfRule type="iconSet" priority="222">
      <iconSet iconSet="5Quarters" showValue="0">
        <cfvo type="percent" val="0"/>
        <cfvo type="num" val="1"/>
        <cfvo type="num" val="2"/>
        <cfvo type="num" val="3"/>
        <cfvo type="num" val="4"/>
      </iconSet>
    </cfRule>
  </conditionalFormatting>
  <conditionalFormatting sqref="G109">
    <cfRule type="iconSet" priority="212">
      <iconSet iconSet="5Quarters">
        <cfvo type="percent" val="0"/>
        <cfvo type="num" val="1"/>
        <cfvo type="num" val="2"/>
        <cfvo type="num" val="3"/>
        <cfvo type="num" val="4"/>
      </iconSet>
    </cfRule>
  </conditionalFormatting>
  <conditionalFormatting sqref="H109">
    <cfRule type="iconSet" priority="213">
      <iconSet iconSet="5Quarters" showValue="0">
        <cfvo type="percent" val="0"/>
        <cfvo type="num" val="1"/>
        <cfvo type="num" val="2"/>
        <cfvo type="num" val="3"/>
        <cfvo type="num" val="4"/>
      </iconSet>
    </cfRule>
  </conditionalFormatting>
  <conditionalFormatting sqref="K102">
    <cfRule type="iconSet" priority="199">
      <iconSet iconSet="3Symbols2" showValue="0">
        <cfvo type="percent" val="0"/>
        <cfvo type="num" val="0"/>
        <cfvo type="num" val="10"/>
      </iconSet>
    </cfRule>
  </conditionalFormatting>
  <conditionalFormatting sqref="L102">
    <cfRule type="iconSet" priority="198">
      <iconSet iconSet="3Symbols2" showValue="0">
        <cfvo type="percent" val="0"/>
        <cfvo type="num" val="0"/>
        <cfvo type="num" val="10"/>
      </iconSet>
    </cfRule>
  </conditionalFormatting>
  <conditionalFormatting sqref="K103">
    <cfRule type="iconSet" priority="192">
      <iconSet iconSet="3Symbols2" showValue="0">
        <cfvo type="percent" val="0"/>
        <cfvo type="num" val="0"/>
        <cfvo type="num" val="10"/>
      </iconSet>
    </cfRule>
  </conditionalFormatting>
  <conditionalFormatting sqref="L103">
    <cfRule type="iconSet" priority="191">
      <iconSet iconSet="3Symbols2" showValue="0">
        <cfvo type="percent" val="0"/>
        <cfvo type="num" val="0"/>
        <cfvo type="num" val="10"/>
      </iconSet>
    </cfRule>
  </conditionalFormatting>
  <conditionalFormatting sqref="I131:I132">
    <cfRule type="iconSet" priority="176">
      <iconSet iconSet="4TrafficLights">
        <cfvo type="percent" val="0"/>
        <cfvo type="percent" val="25"/>
        <cfvo type="percent" val="50"/>
        <cfvo type="percent" val="75"/>
      </iconSet>
    </cfRule>
  </conditionalFormatting>
  <conditionalFormatting sqref="K85">
    <cfRule type="iconSet" priority="161">
      <iconSet iconSet="3Symbols2" showValue="0">
        <cfvo type="percent" val="0"/>
        <cfvo type="num" val="0"/>
        <cfvo type="num" val="10"/>
      </iconSet>
    </cfRule>
  </conditionalFormatting>
  <conditionalFormatting sqref="L85">
    <cfRule type="iconSet" priority="160">
      <iconSet iconSet="3Symbols2" showValue="0">
        <cfvo type="percent" val="0"/>
        <cfvo type="num" val="0"/>
        <cfvo type="num" val="10"/>
      </iconSet>
    </cfRule>
  </conditionalFormatting>
  <conditionalFormatting sqref="K88">
    <cfRule type="iconSet" priority="154">
      <iconSet iconSet="3Symbols2" showValue="0">
        <cfvo type="percent" val="0"/>
        <cfvo type="num" val="0"/>
        <cfvo type="num" val="10"/>
      </iconSet>
    </cfRule>
  </conditionalFormatting>
  <conditionalFormatting sqref="L88">
    <cfRule type="iconSet" priority="153">
      <iconSet iconSet="3Symbols2" showValue="0">
        <cfvo type="percent" val="0"/>
        <cfvo type="num" val="0"/>
        <cfvo type="num" val="10"/>
      </iconSet>
    </cfRule>
  </conditionalFormatting>
  <conditionalFormatting sqref="G59:G68">
    <cfRule type="iconSet" priority="1349">
      <iconSet iconSet="5Quarters">
        <cfvo type="percent" val="0"/>
        <cfvo type="num" val="1"/>
        <cfvo type="num" val="2"/>
        <cfvo type="num" val="3"/>
        <cfvo type="num" val="4"/>
      </iconSet>
    </cfRule>
  </conditionalFormatting>
  <conditionalFormatting sqref="H59:H68">
    <cfRule type="iconSet" priority="1350">
      <iconSet iconSet="5Quarters" showValue="0">
        <cfvo type="percent" val="0"/>
        <cfvo type="num" val="1"/>
        <cfvo type="num" val="2"/>
        <cfvo type="num" val="3"/>
        <cfvo type="num" val="4"/>
      </iconSet>
    </cfRule>
  </conditionalFormatting>
  <conditionalFormatting sqref="K68">
    <cfRule type="iconSet" priority="1355">
      <iconSet iconSet="3Symbols2" showValue="0">
        <cfvo type="percent" val="0"/>
        <cfvo type="num" val="0"/>
        <cfvo type="num" val="10"/>
      </iconSet>
    </cfRule>
  </conditionalFormatting>
  <conditionalFormatting sqref="L68">
    <cfRule type="iconSet" priority="1356">
      <iconSet iconSet="3Symbols2" showValue="0">
        <cfvo type="percent" val="0"/>
        <cfvo type="num" val="0"/>
        <cfvo type="num" val="10"/>
      </iconSet>
    </cfRule>
  </conditionalFormatting>
  <conditionalFormatting sqref="K39:L39">
    <cfRule type="iconSet" priority="131">
      <iconSet iconSet="3Symbols2" showValue="0">
        <cfvo type="percent" val="0"/>
        <cfvo type="num" val="0"/>
        <cfvo type="num" val="10"/>
      </iconSet>
    </cfRule>
  </conditionalFormatting>
  <conditionalFormatting sqref="K133">
    <cfRule type="iconSet" priority="125">
      <iconSet iconSet="3Symbols2" showValue="0">
        <cfvo type="percent" val="0"/>
        <cfvo type="num" val="0"/>
        <cfvo type="num" val="10"/>
      </iconSet>
    </cfRule>
  </conditionalFormatting>
  <conditionalFormatting sqref="L133">
    <cfRule type="iconSet" priority="124">
      <iconSet iconSet="3Symbols2" showValue="0">
        <cfvo type="percent" val="0"/>
        <cfvo type="num" val="0"/>
        <cfvo type="num" val="10"/>
      </iconSet>
    </cfRule>
  </conditionalFormatting>
  <conditionalFormatting sqref="G133">
    <cfRule type="iconSet" priority="123">
      <iconSet iconSet="5Quarters">
        <cfvo type="percent" val="0"/>
        <cfvo type="num" val="1"/>
        <cfvo type="num" val="2"/>
        <cfvo type="num" val="3"/>
        <cfvo type="num" val="4"/>
      </iconSet>
    </cfRule>
  </conditionalFormatting>
  <conditionalFormatting sqref="H133">
    <cfRule type="iconSet" priority="122">
      <iconSet iconSet="5Quarters" showValue="0">
        <cfvo type="percent" val="0"/>
        <cfvo type="num" val="1"/>
        <cfvo type="num" val="2"/>
        <cfvo type="num" val="3"/>
        <cfvo type="num" val="4"/>
      </iconSet>
    </cfRule>
  </conditionalFormatting>
  <conditionalFormatting sqref="K126">
    <cfRule type="iconSet" priority="114">
      <iconSet iconSet="3Symbols2" showValue="0">
        <cfvo type="percent" val="0"/>
        <cfvo type="num" val="0"/>
        <cfvo type="num" val="10"/>
      </iconSet>
    </cfRule>
  </conditionalFormatting>
  <conditionalFormatting sqref="L126">
    <cfRule type="iconSet" priority="113">
      <iconSet iconSet="3Symbols2" showValue="0">
        <cfvo type="percent" val="0"/>
        <cfvo type="num" val="0"/>
        <cfvo type="num" val="10"/>
      </iconSet>
    </cfRule>
  </conditionalFormatting>
  <conditionalFormatting sqref="G126">
    <cfRule type="iconSet" priority="120">
      <iconSet iconSet="5Quarters">
        <cfvo type="percent" val="0"/>
        <cfvo type="num" val="1"/>
        <cfvo type="num" val="2"/>
        <cfvo type="num" val="3"/>
        <cfvo type="num" val="4"/>
      </iconSet>
    </cfRule>
  </conditionalFormatting>
  <conditionalFormatting sqref="H126">
    <cfRule type="iconSet" priority="121">
      <iconSet iconSet="5Quarters" showValue="0">
        <cfvo type="percent" val="0"/>
        <cfvo type="num" val="1"/>
        <cfvo type="num" val="2"/>
        <cfvo type="num" val="3"/>
        <cfvo type="num" val="4"/>
      </iconSet>
    </cfRule>
  </conditionalFormatting>
  <conditionalFormatting sqref="K127">
    <cfRule type="iconSet" priority="105">
      <iconSet iconSet="3Symbols2" showValue="0">
        <cfvo type="percent" val="0"/>
        <cfvo type="num" val="0"/>
        <cfvo type="num" val="10"/>
      </iconSet>
    </cfRule>
  </conditionalFormatting>
  <conditionalFormatting sqref="L127">
    <cfRule type="iconSet" priority="104">
      <iconSet iconSet="3Symbols2" showValue="0">
        <cfvo type="percent" val="0"/>
        <cfvo type="num" val="0"/>
        <cfvo type="num" val="10"/>
      </iconSet>
    </cfRule>
  </conditionalFormatting>
  <conditionalFormatting sqref="G127">
    <cfRule type="iconSet" priority="111">
      <iconSet iconSet="5Quarters">
        <cfvo type="percent" val="0"/>
        <cfvo type="num" val="1"/>
        <cfvo type="num" val="2"/>
        <cfvo type="num" val="3"/>
        <cfvo type="num" val="4"/>
      </iconSet>
    </cfRule>
  </conditionalFormatting>
  <conditionalFormatting sqref="H127">
    <cfRule type="iconSet" priority="112">
      <iconSet iconSet="5Quarters" showValue="0">
        <cfvo type="percent" val="0"/>
        <cfvo type="num" val="1"/>
        <cfvo type="num" val="2"/>
        <cfvo type="num" val="3"/>
        <cfvo type="num" val="4"/>
      </iconSet>
    </cfRule>
  </conditionalFormatting>
  <conditionalFormatting sqref="K128">
    <cfRule type="iconSet" priority="96">
      <iconSet iconSet="3Symbols2" showValue="0">
        <cfvo type="percent" val="0"/>
        <cfvo type="num" val="0"/>
        <cfvo type="num" val="10"/>
      </iconSet>
    </cfRule>
  </conditionalFormatting>
  <conditionalFormatting sqref="L128">
    <cfRule type="iconSet" priority="95">
      <iconSet iconSet="3Symbols2" showValue="0">
        <cfvo type="percent" val="0"/>
        <cfvo type="num" val="0"/>
        <cfvo type="num" val="10"/>
      </iconSet>
    </cfRule>
  </conditionalFormatting>
  <conditionalFormatting sqref="G128">
    <cfRule type="iconSet" priority="102">
      <iconSet iconSet="5Quarters">
        <cfvo type="percent" val="0"/>
        <cfvo type="num" val="1"/>
        <cfvo type="num" val="2"/>
        <cfvo type="num" val="3"/>
        <cfvo type="num" val="4"/>
      </iconSet>
    </cfRule>
  </conditionalFormatting>
  <conditionalFormatting sqref="H128">
    <cfRule type="iconSet" priority="103">
      <iconSet iconSet="5Quarters" showValue="0">
        <cfvo type="percent" val="0"/>
        <cfvo type="num" val="1"/>
        <cfvo type="num" val="2"/>
        <cfvo type="num" val="3"/>
        <cfvo type="num" val="4"/>
      </iconSet>
    </cfRule>
  </conditionalFormatting>
  <conditionalFormatting sqref="K129">
    <cfRule type="iconSet" priority="87">
      <iconSet iconSet="3Symbols2" showValue="0">
        <cfvo type="percent" val="0"/>
        <cfvo type="num" val="0"/>
        <cfvo type="num" val="10"/>
      </iconSet>
    </cfRule>
  </conditionalFormatting>
  <conditionalFormatting sqref="L129">
    <cfRule type="iconSet" priority="86">
      <iconSet iconSet="3Symbols2" showValue="0">
        <cfvo type="percent" val="0"/>
        <cfvo type="num" val="0"/>
        <cfvo type="num" val="10"/>
      </iconSet>
    </cfRule>
  </conditionalFormatting>
  <conditionalFormatting sqref="G129">
    <cfRule type="iconSet" priority="93">
      <iconSet iconSet="5Quarters">
        <cfvo type="percent" val="0"/>
        <cfvo type="num" val="1"/>
        <cfvo type="num" val="2"/>
        <cfvo type="num" val="3"/>
        <cfvo type="num" val="4"/>
      </iconSet>
    </cfRule>
  </conditionalFormatting>
  <conditionalFormatting sqref="H129">
    <cfRule type="iconSet" priority="94">
      <iconSet iconSet="5Quarters" showValue="0">
        <cfvo type="percent" val="0"/>
        <cfvo type="num" val="1"/>
        <cfvo type="num" val="2"/>
        <cfvo type="num" val="3"/>
        <cfvo type="num" val="4"/>
      </iconSet>
    </cfRule>
  </conditionalFormatting>
  <conditionalFormatting sqref="G10">
    <cfRule type="iconSet" priority="1357">
      <iconSet iconSet="5Quarters">
        <cfvo type="percent" val="0"/>
        <cfvo type="num" val="1"/>
        <cfvo type="num" val="2"/>
        <cfvo type="num" val="3"/>
        <cfvo type="num" val="4"/>
      </iconSet>
    </cfRule>
  </conditionalFormatting>
  <conditionalFormatting sqref="H10">
    <cfRule type="iconSet" priority="1358">
      <iconSet iconSet="5Quarters" showValue="0">
        <cfvo type="percent" val="0"/>
        <cfvo type="num" val="1"/>
        <cfvo type="num" val="2"/>
        <cfvo type="num" val="3"/>
        <cfvo type="num" val="4"/>
      </iconSet>
    </cfRule>
  </conditionalFormatting>
  <conditionalFormatting sqref="K121">
    <cfRule type="iconSet" priority="80">
      <iconSet iconSet="3Symbols2" showValue="0">
        <cfvo type="percent" val="0"/>
        <cfvo type="num" val="0"/>
        <cfvo type="num" val="10"/>
      </iconSet>
    </cfRule>
  </conditionalFormatting>
  <conditionalFormatting sqref="L121">
    <cfRule type="iconSet" priority="79">
      <iconSet iconSet="3Symbols2" showValue="0">
        <cfvo type="percent" val="0"/>
        <cfvo type="num" val="0"/>
        <cfvo type="num" val="10"/>
      </iconSet>
    </cfRule>
  </conditionalFormatting>
  <conditionalFormatting sqref="G121">
    <cfRule type="iconSet" priority="78">
      <iconSet iconSet="5Quarters">
        <cfvo type="percent" val="0"/>
        <cfvo type="num" val="1"/>
        <cfvo type="num" val="2"/>
        <cfvo type="num" val="3"/>
        <cfvo type="num" val="4"/>
      </iconSet>
    </cfRule>
  </conditionalFormatting>
  <conditionalFormatting sqref="H121">
    <cfRule type="iconSet" priority="77">
      <iconSet iconSet="5Quarters" showValue="0">
        <cfvo type="percent" val="0"/>
        <cfvo type="num" val="1"/>
        <cfvo type="num" val="2"/>
        <cfvo type="num" val="3"/>
        <cfvo type="num" val="4"/>
      </iconSet>
    </cfRule>
  </conditionalFormatting>
  <conditionalFormatting sqref="K120">
    <cfRule type="iconSet" priority="71">
      <iconSet iconSet="3Symbols2" showValue="0">
        <cfvo type="percent" val="0"/>
        <cfvo type="num" val="0"/>
        <cfvo type="num" val="10"/>
      </iconSet>
    </cfRule>
  </conditionalFormatting>
  <conditionalFormatting sqref="L120">
    <cfRule type="iconSet" priority="70">
      <iconSet iconSet="3Symbols2" showValue="0">
        <cfvo type="percent" val="0"/>
        <cfvo type="num" val="0"/>
        <cfvo type="num" val="10"/>
      </iconSet>
    </cfRule>
  </conditionalFormatting>
  <conditionalFormatting sqref="G120">
    <cfRule type="iconSet" priority="69">
      <iconSet iconSet="5Quarters">
        <cfvo type="percent" val="0"/>
        <cfvo type="num" val="1"/>
        <cfvo type="num" val="2"/>
        <cfvo type="num" val="3"/>
        <cfvo type="num" val="4"/>
      </iconSet>
    </cfRule>
  </conditionalFormatting>
  <conditionalFormatting sqref="H120">
    <cfRule type="iconSet" priority="68">
      <iconSet iconSet="5Quarters" showValue="0">
        <cfvo type="percent" val="0"/>
        <cfvo type="num" val="1"/>
        <cfvo type="num" val="2"/>
        <cfvo type="num" val="3"/>
        <cfvo type="num" val="4"/>
      </iconSet>
    </cfRule>
  </conditionalFormatting>
  <conditionalFormatting sqref="K115">
    <cfRule type="iconSet" priority="62">
      <iconSet iconSet="3Symbols2" showValue="0">
        <cfvo type="percent" val="0"/>
        <cfvo type="num" val="0"/>
        <cfvo type="num" val="10"/>
      </iconSet>
    </cfRule>
  </conditionalFormatting>
  <conditionalFormatting sqref="L115">
    <cfRule type="iconSet" priority="61">
      <iconSet iconSet="3Symbols2" showValue="0">
        <cfvo type="percent" val="0"/>
        <cfvo type="num" val="0"/>
        <cfvo type="num" val="10"/>
      </iconSet>
    </cfRule>
  </conditionalFormatting>
  <conditionalFormatting sqref="G115">
    <cfRule type="iconSet" priority="60">
      <iconSet iconSet="5Quarters">
        <cfvo type="percent" val="0"/>
        <cfvo type="num" val="1"/>
        <cfvo type="num" val="2"/>
        <cfvo type="num" val="3"/>
        <cfvo type="num" val="4"/>
      </iconSet>
    </cfRule>
  </conditionalFormatting>
  <conditionalFormatting sqref="H115">
    <cfRule type="iconSet" priority="59">
      <iconSet iconSet="5Quarters" showValue="0">
        <cfvo type="percent" val="0"/>
        <cfvo type="num" val="1"/>
        <cfvo type="num" val="2"/>
        <cfvo type="num" val="3"/>
        <cfvo type="num" val="4"/>
      </iconSet>
    </cfRule>
  </conditionalFormatting>
  <conditionalFormatting sqref="K116">
    <cfRule type="iconSet" priority="53">
      <iconSet iconSet="3Symbols2" showValue="0">
        <cfvo type="percent" val="0"/>
        <cfvo type="num" val="0"/>
        <cfvo type="num" val="10"/>
      </iconSet>
    </cfRule>
  </conditionalFormatting>
  <conditionalFormatting sqref="L116">
    <cfRule type="iconSet" priority="52">
      <iconSet iconSet="3Symbols2" showValue="0">
        <cfvo type="percent" val="0"/>
        <cfvo type="num" val="0"/>
        <cfvo type="num" val="10"/>
      </iconSet>
    </cfRule>
  </conditionalFormatting>
  <conditionalFormatting sqref="G116">
    <cfRule type="iconSet" priority="51">
      <iconSet iconSet="5Quarters">
        <cfvo type="percent" val="0"/>
        <cfvo type="num" val="1"/>
        <cfvo type="num" val="2"/>
        <cfvo type="num" val="3"/>
        <cfvo type="num" val="4"/>
      </iconSet>
    </cfRule>
  </conditionalFormatting>
  <conditionalFormatting sqref="H116">
    <cfRule type="iconSet" priority="50">
      <iconSet iconSet="5Quarters" showValue="0">
        <cfvo type="percent" val="0"/>
        <cfvo type="num" val="1"/>
        <cfvo type="num" val="2"/>
        <cfvo type="num" val="3"/>
        <cfvo type="num" val="4"/>
      </iconSet>
    </cfRule>
  </conditionalFormatting>
  <conditionalFormatting sqref="K94">
    <cfRule type="iconSet" priority="44">
      <iconSet iconSet="3Symbols2" showValue="0">
        <cfvo type="percent" val="0"/>
        <cfvo type="num" val="0"/>
        <cfvo type="num" val="10"/>
      </iconSet>
    </cfRule>
  </conditionalFormatting>
  <conditionalFormatting sqref="L94">
    <cfRule type="iconSet" priority="43">
      <iconSet iconSet="3Symbols2" showValue="0">
        <cfvo type="percent" val="0"/>
        <cfvo type="num" val="0"/>
        <cfvo type="num" val="10"/>
      </iconSet>
    </cfRule>
  </conditionalFormatting>
  <conditionalFormatting sqref="K75">
    <cfRule type="iconSet" priority="37">
      <iconSet iconSet="3Symbols2" showValue="0">
        <cfvo type="percent" val="0"/>
        <cfvo type="num" val="0"/>
        <cfvo type="num" val="10"/>
      </iconSet>
    </cfRule>
  </conditionalFormatting>
  <conditionalFormatting sqref="L75">
    <cfRule type="iconSet" priority="36">
      <iconSet iconSet="3Symbols2" showValue="0">
        <cfvo type="percent" val="0"/>
        <cfvo type="num" val="0"/>
        <cfvo type="num" val="10"/>
      </iconSet>
    </cfRule>
  </conditionalFormatting>
  <conditionalFormatting sqref="G75">
    <cfRule type="iconSet" priority="35">
      <iconSet iconSet="5Quarters">
        <cfvo type="percent" val="0"/>
        <cfvo type="num" val="1"/>
        <cfvo type="num" val="2"/>
        <cfvo type="num" val="3"/>
        <cfvo type="num" val="4"/>
      </iconSet>
    </cfRule>
  </conditionalFormatting>
  <conditionalFormatting sqref="H75">
    <cfRule type="iconSet" priority="34">
      <iconSet iconSet="5Quarters" showValue="0">
        <cfvo type="percent" val="0"/>
        <cfvo type="num" val="1"/>
        <cfvo type="num" val="2"/>
        <cfvo type="num" val="3"/>
        <cfvo type="num" val="4"/>
      </iconSet>
    </cfRule>
  </conditionalFormatting>
  <conditionalFormatting sqref="K73">
    <cfRule type="iconSet" priority="28">
      <iconSet iconSet="3Symbols2" showValue="0">
        <cfvo type="percent" val="0"/>
        <cfvo type="num" val="0"/>
        <cfvo type="num" val="10"/>
      </iconSet>
    </cfRule>
  </conditionalFormatting>
  <conditionalFormatting sqref="L73">
    <cfRule type="iconSet" priority="27">
      <iconSet iconSet="3Symbols2" showValue="0">
        <cfvo type="percent" val="0"/>
        <cfvo type="num" val="0"/>
        <cfvo type="num" val="10"/>
      </iconSet>
    </cfRule>
  </conditionalFormatting>
  <conditionalFormatting sqref="G73">
    <cfRule type="iconSet" priority="26">
      <iconSet iconSet="5Quarters">
        <cfvo type="percent" val="0"/>
        <cfvo type="num" val="1"/>
        <cfvo type="num" val="2"/>
        <cfvo type="num" val="3"/>
        <cfvo type="num" val="4"/>
      </iconSet>
    </cfRule>
  </conditionalFormatting>
  <conditionalFormatting sqref="H73">
    <cfRule type="iconSet" priority="25">
      <iconSet iconSet="5Quarters" showValue="0">
        <cfvo type="percent" val="0"/>
        <cfvo type="num" val="1"/>
        <cfvo type="num" val="2"/>
        <cfvo type="num" val="3"/>
        <cfvo type="num" val="4"/>
      </iconSet>
    </cfRule>
  </conditionalFormatting>
  <conditionalFormatting sqref="K74">
    <cfRule type="iconSet" priority="19">
      <iconSet iconSet="3Symbols2" showValue="0">
        <cfvo type="percent" val="0"/>
        <cfvo type="num" val="0"/>
        <cfvo type="num" val="10"/>
      </iconSet>
    </cfRule>
  </conditionalFormatting>
  <conditionalFormatting sqref="L74">
    <cfRule type="iconSet" priority="18">
      <iconSet iconSet="3Symbols2" showValue="0">
        <cfvo type="percent" val="0"/>
        <cfvo type="num" val="0"/>
        <cfvo type="num" val="10"/>
      </iconSet>
    </cfRule>
  </conditionalFormatting>
  <conditionalFormatting sqref="G74">
    <cfRule type="iconSet" priority="17">
      <iconSet iconSet="5Quarters">
        <cfvo type="percent" val="0"/>
        <cfvo type="num" val="1"/>
        <cfvo type="num" val="2"/>
        <cfvo type="num" val="3"/>
        <cfvo type="num" val="4"/>
      </iconSet>
    </cfRule>
  </conditionalFormatting>
  <conditionalFormatting sqref="H74">
    <cfRule type="iconSet" priority="16">
      <iconSet iconSet="5Quarters" showValue="0">
        <cfvo type="percent" val="0"/>
        <cfvo type="num" val="1"/>
        <cfvo type="num" val="2"/>
        <cfvo type="num" val="3"/>
        <cfvo type="num" val="4"/>
      </iconSet>
    </cfRule>
  </conditionalFormatting>
  <conditionalFormatting sqref="K54">
    <cfRule type="iconSet" priority="10">
      <iconSet iconSet="3Symbols2" showValue="0">
        <cfvo type="percent" val="0"/>
        <cfvo type="num" val="0"/>
        <cfvo type="num" val="10"/>
      </iconSet>
    </cfRule>
  </conditionalFormatting>
  <conditionalFormatting sqref="L54">
    <cfRule type="iconSet" priority="9">
      <iconSet iconSet="3Symbols2" showValue="0">
        <cfvo type="percent" val="0"/>
        <cfvo type="num" val="0"/>
        <cfvo type="num" val="10"/>
      </iconSet>
    </cfRule>
  </conditionalFormatting>
  <conditionalFormatting sqref="H92">
    <cfRule type="iconSet" priority="8">
      <iconSet iconSet="5Quarters" showValue="0">
        <cfvo type="percent" val="0"/>
        <cfvo type="num" val="1"/>
        <cfvo type="num" val="2"/>
        <cfvo type="num" val="3"/>
        <cfvo type="num" val="4"/>
      </iconSet>
    </cfRule>
  </conditionalFormatting>
  <conditionalFormatting sqref="H93">
    <cfRule type="iconSet" priority="7">
      <iconSet iconSet="5Quarters" showValue="0">
        <cfvo type="percent" val="0"/>
        <cfvo type="num" val="1"/>
        <cfvo type="num" val="2"/>
        <cfvo type="num" val="3"/>
        <cfvo type="num" val="4"/>
      </iconSet>
    </cfRule>
  </conditionalFormatting>
  <conditionalFormatting sqref="H94">
    <cfRule type="iconSet" priority="6">
      <iconSet iconSet="5Quarters" showValue="0">
        <cfvo type="percent" val="0"/>
        <cfvo type="num" val="1"/>
        <cfvo type="num" val="2"/>
        <cfvo type="num" val="3"/>
        <cfvo type="num" val="4"/>
      </iconSet>
    </cfRule>
  </conditionalFormatting>
  <conditionalFormatting sqref="G92">
    <cfRule type="iconSet" priority="5">
      <iconSet iconSet="5Quarters">
        <cfvo type="percent" val="0"/>
        <cfvo type="num" val="1"/>
        <cfvo type="num" val="2"/>
        <cfvo type="num" val="3"/>
        <cfvo type="num" val="4"/>
      </iconSet>
    </cfRule>
  </conditionalFormatting>
  <conditionalFormatting sqref="G93">
    <cfRule type="iconSet" priority="4">
      <iconSet iconSet="5Quarters">
        <cfvo type="percent" val="0"/>
        <cfvo type="num" val="1"/>
        <cfvo type="num" val="2"/>
        <cfvo type="num" val="3"/>
        <cfvo type="num" val="4"/>
      </iconSet>
    </cfRule>
  </conditionalFormatting>
  <conditionalFormatting sqref="G94">
    <cfRule type="iconSet" priority="3">
      <iconSet iconSet="5Quarters">
        <cfvo type="percent" val="0"/>
        <cfvo type="num" val="1"/>
        <cfvo type="num" val="2"/>
        <cfvo type="num" val="3"/>
        <cfvo type="num" val="4"/>
      </iconSet>
    </cfRule>
  </conditionalFormatting>
  <conditionalFormatting sqref="H95">
    <cfRule type="iconSet" priority="2">
      <iconSet iconSet="5Quarters" showValue="0">
        <cfvo type="percent" val="0"/>
        <cfvo type="num" val="1"/>
        <cfvo type="num" val="2"/>
        <cfvo type="num" val="3"/>
        <cfvo type="num" val="4"/>
      </iconSet>
    </cfRule>
  </conditionalFormatting>
  <conditionalFormatting sqref="G95">
    <cfRule type="iconSet" priority="1">
      <iconSet iconSet="5Quarters">
        <cfvo type="percent" val="0"/>
        <cfvo type="num" val="1"/>
        <cfvo type="num" val="2"/>
        <cfvo type="num" val="3"/>
        <cfvo type="num" val="4"/>
      </iconSet>
    </cfRule>
  </conditionalFormatting>
  <hyperlinks>
    <hyperlink ref="C10:E10" location="'00-ACTORS'!A1" display="Acteurs" xr:uid="{00000000-0004-0000-7100-000000000000}"/>
    <hyperlink ref="C14:E14" location="'01-SWOT'!A1" display="SWOT" xr:uid="{00000000-0004-0000-7100-000001000000}"/>
    <hyperlink ref="C15:E15" location="'01-ASSESMENT'!A1" display="Synthèse globale" xr:uid="{00000000-0004-0000-7100-000002000000}"/>
    <hyperlink ref="C19:E19" location="'02-VISION'!A1" display="Vision" xr:uid="{00000000-0004-0000-7100-000003000000}"/>
    <hyperlink ref="C20:E20" location="'02-EXPECTATIONS'!A1" display="Attentes" xr:uid="{00000000-0004-0000-7100-000004000000}"/>
    <hyperlink ref="C21:E21" location="'02-CHANNELSTRATEGY'!A1" display="Stratégie" xr:uid="{00000000-0004-0000-7100-000005000000}"/>
    <hyperlink ref="C38:E38" location="'03-BUSINESSCARD-OFR1'!A1" display="'03-BUSINESSCARD-OFR1'!A1" xr:uid="{00000000-0004-0000-7100-000006000000}"/>
    <hyperlink ref="C44:E44" location="'03-BUSINESSCARD-OFR2'!A1" display="'03-BUSINESSCARD-OFR2'!A1" xr:uid="{00000000-0004-0000-7100-000007000000}"/>
    <hyperlink ref="C23:E23" location="'02-BUSINESS4PARTNER-OFR1'!A1" display="'02-BUSINESS4PARTNER-OFR1'!A1" xr:uid="{00000000-0004-0000-7100-000008000000}"/>
    <hyperlink ref="C22:E22" location="'02-SALESPLAN-OFR1'!A1" display="'02-SALESPLAN-OFR1'!A1" xr:uid="{00000000-0004-0000-7100-000009000000}"/>
    <hyperlink ref="C9:E9" location="'00-PARAMETERS'!A1" display="Parametres" xr:uid="{00000000-0004-0000-7100-00000A000000}"/>
    <hyperlink ref="C41:E41" location="'03-CRITICITY-OFR1'!A1" display="'03-CRITICITY-OFR1'!A1" xr:uid="{00000000-0004-0000-7100-00000B000000}"/>
    <hyperlink ref="C47:E47" location="'03-CRITICITY-OFR2'!A1" display="'03-CRITICITY-OFR2'!A1" xr:uid="{00000000-0004-0000-7100-00000C000000}"/>
    <hyperlink ref="C53:E53" location="'03-CRITICITY-OFR3'!A1" display="'03-CRITICITY-OFR3'!A1" xr:uid="{00000000-0004-0000-7100-00000D000000}"/>
    <hyperlink ref="C59:E59" location="'04-MARKETSPECIFICITIES'!A1" display="Caractéristiques du marché" xr:uid="{00000000-0004-0000-7100-00000E000000}"/>
    <hyperlink ref="C72:E72" location="'05-GOTOMARKET'!A1" display="Routes to Market" xr:uid="{00000000-0004-0000-7100-00000F000000}"/>
    <hyperlink ref="C76:E76" location="'05-SOURCECONFLICT'!A1" display="Sources de Conflits" xr:uid="{00000000-0004-0000-7100-000010000000}"/>
    <hyperlink ref="C113:E113" location="'10-PROGRAMPARTNER'!A1" display="Engagements réciproques" xr:uid="{00000000-0004-0000-7100-000011000000}"/>
    <hyperlink ref="C134:E134" location="'12-SWOT'!A1" display="SWOT du workshop . Bilan Evaluation" xr:uid="{00000000-0004-0000-7100-000012000000}"/>
    <hyperlink ref="C101:E101" location="'08-VALUEAD4PARTNER-OFR1'!A1" display="'08-VALUEAD4PARTNER-OFR1'!A1" xr:uid="{00000000-0004-0000-7100-000013000000}"/>
    <hyperlink ref="C39:E39" location="'03-CHANNELREADY-OFR1'!A1" display="'03-CHANNELREADY-OFR1'!A1" xr:uid="{00000000-0004-0000-7100-000014000000}"/>
    <hyperlink ref="C45:E45" location="'03-CHANNELREADY-OFR2'!A1" display="'03-CHANNELREADY-OFR2'!A1" xr:uid="{00000000-0004-0000-7100-000015000000}"/>
    <hyperlink ref="C51:E51" location="'03-CHANNELREADY-OFR3'!A1" display="'03-CHANNELREADY-OFR3'!A1" xr:uid="{00000000-0004-0000-7100-000016000000}"/>
    <hyperlink ref="C99:E99" location="'08-PRICINGSTRATEGY'!A1" display="Stratégie de prix" xr:uid="{00000000-0004-0000-7100-000017000000}"/>
    <hyperlink ref="C107:E107" location="'09-PROFITPARTNER-OFR1'!A1" display="'09-PROFITPARTNER-OFR1'!A1" xr:uid="{00000000-0004-0000-7100-000018000000}"/>
    <hyperlink ref="C42:E42" location="'03-COMPETITION-OFR1'!A1" display="'03-COMPETITION-OFR1'!A1" xr:uid="{00000000-0004-0000-7100-000019000000}"/>
    <hyperlink ref="C48:E48" location="'03-COMPETITION-OFR2'!A1" display="'03-COMPETITION-OFR2'!A1" xr:uid="{00000000-0004-0000-7100-00001A000000}"/>
    <hyperlink ref="C54:E54" location="'03-COMPETITION-OFR3'!A1" display="'03-COMPETITION-OFR3'!A1" xr:uid="{00000000-0004-0000-7100-00001B000000}"/>
    <hyperlink ref="C60:E60" location="'04-SECTORMARKET-OFR1'!A1" display="'04-SECTORMARKET-OFR1'!A1" xr:uid="{00000000-0004-0000-7100-00001C000000}"/>
    <hyperlink ref="C66:E66" location="'04-SECTORMARKET-OFR3'!A1" display="'04-SECTORMARKET-OFR3'!A1" xr:uid="{00000000-0004-0000-7100-00001D000000}"/>
    <hyperlink ref="C63:E63" location="'04-SECTORMARKET-OFR2'!A1" display="'04-SECTORMARKET-OFR2'!A1" xr:uid="{00000000-0004-0000-7100-00001E000000}"/>
    <hyperlink ref="C61:E61" location="'04-DOMESTICMARKET-OFR1'!A1" display="'04-DOMESTICMARKET-OFR1'!A1" xr:uid="{00000000-0004-0000-7100-00001F000000}"/>
    <hyperlink ref="C62:E62" location="'04-FOREIGNMARKET-OFR1'!A1" display="'04-FOREIGNMARKET-OFR1'!A1" xr:uid="{00000000-0004-0000-7100-000020000000}"/>
    <hyperlink ref="C64:E64" location="'04-DOMESTICMARKET-OFR2'!A1" display="'04-DOMESTICMARKET-OFR2'!A1" xr:uid="{00000000-0004-0000-7100-000021000000}"/>
    <hyperlink ref="C65:E65" location="'04-FOREIGNMARKET-OFR2'!A1" display="'04-FOREIGNMARKET-OFR2'!A1" xr:uid="{00000000-0004-0000-7100-000022000000}"/>
    <hyperlink ref="C67:E67" location="'04-DOMESTICMARKET-OFR3'!A1" display="'04-DOMESTICMARKET-OFR3'!A1" xr:uid="{00000000-0004-0000-7100-000023000000}"/>
    <hyperlink ref="C68:E68" location="'04-FOREIGNMARKET-OFR3'!A1" display="'04-FOREIGNMARKET-OFR3'!A1" xr:uid="{00000000-0004-0000-7100-000024000000}"/>
    <hyperlink ref="C40:E40" location="'03-MARKETREADY-OFR1'!A1" display="'03-MARKETREADY-OFR1'!A1" xr:uid="{00000000-0004-0000-7100-000025000000}"/>
    <hyperlink ref="C46:E46" location="'03-MARKETREADY-OFR2'!A1" display="'03-MARKETREADY-OFR2'!A1" xr:uid="{00000000-0004-0000-7100-000026000000}"/>
    <hyperlink ref="C52:E52" location="'03-MARKETREADY-OFR3'!A1" display="'03-MARKETREADY-OFR3'!A1" xr:uid="{00000000-0004-0000-7100-000027000000}"/>
    <hyperlink ref="C80:E80" location="'06-TYPOPARTNER-OFR1'!A1" display="'06-TYPOPARTNER-OFR1'!A1" xr:uid="{00000000-0004-0000-7100-000028000000}"/>
    <hyperlink ref="C92:E92" location="'07-RECRUITMENTPLAN-OFR1'!A1" display="'07-RECRUITMENTPLAN-OFR1'!A1" xr:uid="{00000000-0004-0000-7100-000029000000}"/>
    <hyperlink ref="C81:E81" location="'06-RESPONSABPARTNER-OFR1'!A1" display="'06-RESPONSABPARTNER-OFR1'!A1" xr:uid="{00000000-0004-0000-7100-00002A000000}"/>
    <hyperlink ref="C82:E82" location="'06-PROFILPARTNER-OFR1'!A1" display="'06-PROFILPARTNER-OFR1'!A1" xr:uid="{00000000-0004-0000-7100-00002B000000}"/>
    <hyperlink ref="C95:E95" location="'07-FASTSTART'!A1" display="Plan des 100J" xr:uid="{00000000-0004-0000-7100-00002C000000}"/>
    <hyperlink ref="C93:E93" location="'07-RECRUITMENTPLAN-OFR2'!A1" display="'07-RECRUITMENTPLAN-OFR2'!A1" xr:uid="{00000000-0004-0000-7100-00002D000000}"/>
    <hyperlink ref="C83:E83" location="'06-TYPOPARTNER-OFR2'!A1" display="'06-TYPOPARTNER-OFR2'!A1" xr:uid="{00000000-0004-0000-7100-00002E000000}"/>
    <hyperlink ref="C84:E84" location="'06-RESPONSABPARTNER-OFR2'!A1" display="'06-RESPONSABPARTNER-OFR2'!A1" xr:uid="{00000000-0004-0000-7100-00002F000000}"/>
    <hyperlink ref="C85:E85" location="'06-PROFILPARTNER-OFR2'!A1" display="'06-PROFILPARTNER-OFR2'!A1" xr:uid="{00000000-0004-0000-7100-000030000000}"/>
    <hyperlink ref="C86:E86" location="'06-TYPOPARTNER-OFR3'!A1" display="'06-TYPOPARTNER-OFR3'!A1" xr:uid="{00000000-0004-0000-7100-000031000000}"/>
    <hyperlink ref="C87:E87" location="'06-RESPONSABPARTNER-OFR3'!A1" display="'06-RESPONSABPARTNER-OFR3'!A1" xr:uid="{00000000-0004-0000-7100-000032000000}"/>
    <hyperlink ref="C88:E88" location="'06-PROFILPARTNER-OFR3'!A1" display="'06-PROFILPARTNER-OFR3'!A1" xr:uid="{00000000-0004-0000-7100-000033000000}"/>
    <hyperlink ref="C100:E100" location="'08-DISCOUNTSTRATEGY'!A1" display="Stratégie de remise" xr:uid="{00000000-0004-0000-7100-000034000000}"/>
    <hyperlink ref="C37:E37" location="'03-INTERLOCUTORS'!A1" display="Interlocuteurs prioritaires pour les offres" xr:uid="{00000000-0004-0000-7100-000035000000}"/>
    <hyperlink ref="C25:E25" location="'02-CHANNELCAPACITY-LIC-OFR1'!A1" display="'02-CHANNELCAPACITY-LIC-OFR1'!A1" xr:uid="{00000000-0004-0000-7100-000036000000}"/>
    <hyperlink ref="C24:E24" location="'02-CHANNELCAPACITY-SAAS-OFR1'!A1" display="'02-CHANNELCAPACITY-SAAS-OFR1'!A1" xr:uid="{00000000-0004-0000-7100-000037000000}"/>
    <hyperlink ref="C114:E114" location="'10-BUDGETPROGRAM-OFR1'!A1" display="Budget et point mort du programme" xr:uid="{00000000-0004-0000-7100-000038000000}"/>
    <hyperlink ref="C117:E117" location="'10-LEADSCOVERAGE-OFR1'!A1" display="'10-LEADSCOVERAGE-OFR1'!A1" xr:uid="{00000000-0004-0000-7100-000039000000}"/>
    <hyperlink ref="C27:E27" location="'02-BUSINESS4PARTNER-OFR2'!A1" display="'02-BUSINESS4PARTNER-OFR2'!A1" xr:uid="{00000000-0004-0000-7100-00003A000000}"/>
    <hyperlink ref="C26:E26" location="'02-SALESPLAN-OFR2'!A1" display="'02-SALESPLAN-OFR2'!A1" xr:uid="{00000000-0004-0000-7100-00003B000000}"/>
    <hyperlink ref="C29:E29" location="'02-CHANNELCAPACITY-LIC-OFR2'!A1" display="'02-CHANNELCAPACITY-LIC-OFR2'!A1" xr:uid="{00000000-0004-0000-7100-00003C000000}"/>
    <hyperlink ref="C28:E28" location="'02-CHANNELCAPACITY-SAAS-OFR2'!A1" display="'02-CHANNELCAPACITY-SAAS-OFR2'!A1" xr:uid="{00000000-0004-0000-7100-00003D000000}"/>
    <hyperlink ref="C31:E31" location="'02-BUSINESS4PARTNER-OFR3'!A1" display="'02-BUSINESS4PARTNER-OFR3'!A1" xr:uid="{00000000-0004-0000-7100-00003E000000}"/>
    <hyperlink ref="C30:E30" location="'02-SALESPLAN-OFR3'!A1" display="'02-SALESPLAN-OFR3'!A1" xr:uid="{00000000-0004-0000-7100-00003F000000}"/>
    <hyperlink ref="C33:E33" location="'02-CHANNELCAPACITY-LIC-OFR3'!A1" display="'02-CHANNELCAPACITY-LIC-OFR3'!A1" xr:uid="{00000000-0004-0000-7100-000040000000}"/>
    <hyperlink ref="C32:E32" location="'02-CHANNELCAPACITY-SAAS-OFR3'!A1" display="'02-CHANNELCAPACITY-SAAS-OFR3'!A1" xr:uid="{00000000-0004-0000-7100-000041000000}"/>
    <hyperlink ref="C43:E43" location="'03-POSITIONING-OFR1'!A1" display="'03-POSITIONING-OFR1'!A1" xr:uid="{00000000-0004-0000-7100-000042000000}"/>
    <hyperlink ref="C50:E50" location="'03-BUSINESSCARD-OFR3'!A1" display="'03-BUSINESSCARD-OFR3'!A1" xr:uid="{00000000-0004-0000-7100-000043000000}"/>
    <hyperlink ref="C49:E49" location="'03-POSITIONING-OFR2'!A1" display="'03-POSITIONING-OFR2'!A1" xr:uid="{00000000-0004-0000-7100-000044000000}"/>
    <hyperlink ref="C55:E55" location="'03-POSITIONING-OFR3'!A1" display="'03-POSITIONING-OFR3'!A1" xr:uid="{00000000-0004-0000-7100-000045000000}"/>
    <hyperlink ref="C118:E118" location="'10-LEADSCOVERAGE-OFR2'!A1" display="'10-LEADSCOVERAGE-OFR2'!A1" xr:uid="{00000000-0004-0000-7100-000046000000}"/>
    <hyperlink ref="C119:E119" location="'10-LEADSCOVERAGE-OFR3'!A1" display="'10-LEADSCOVERAGE-OFR3'!A1" xr:uid="{00000000-0004-0000-7100-000047000000}"/>
    <hyperlink ref="C122:E122" location="'10-PARTNERSALESKIT-OFR3'!A1" display="'10-PARTNERSALESKIT-OFR3'!A1" xr:uid="{00000000-0004-0000-7100-000048000000}"/>
    <hyperlink ref="C102:E102" location="'08-VALUEAD4PARTNER-OFR2'!A1" display="'08-VALUEAD4PARTNER-OFR2'!A1" xr:uid="{00000000-0004-0000-7100-000049000000}"/>
    <hyperlink ref="C103:E103" location="'08-VALUEAD4PARTNER-OFR3'!A1" display="'08-VALUEAD4PARTNER-OFR3'!A1" xr:uid="{00000000-0004-0000-7100-00004A000000}"/>
    <hyperlink ref="C108:E108" location="'09-PROFITPARTNER-OFR2'!A1" display="'09-PROFITPARTNER-OFR2'!A1" xr:uid="{00000000-0004-0000-7100-00004B000000}"/>
    <hyperlink ref="C109:E109" location="'09-PROFITPARTNER-OFR3'!A1" display="'09-PROFITPARTNER-OFR3'!A1" xr:uid="{00000000-0004-0000-7100-00004C000000}"/>
    <hyperlink ref="F9:H9" location="'00-PARAMETERS'!A1" display="Parametres" xr:uid="{00000000-0004-0000-7100-00004D000000}"/>
    <hyperlink ref="Q1" location="'00-PARAMETERS'!A1" display="'00-PARAMETERS'!A1" xr:uid="{00000000-0004-0000-7100-00004E000000}"/>
    <hyperlink ref="C133:E133" location="'12-CRITICALFACTORS'!A1" display="Facteurs critiques de la mise en œuvre" xr:uid="{00000000-0004-0000-7100-00004F000000}"/>
    <hyperlink ref="C126:E126" location="'11-TODO'!A1" display="Plan d'Actions décidées durant le workshop" xr:uid="{00000000-0004-0000-7100-000050000000}"/>
    <hyperlink ref="C127:E127" location="'11-GOVERNANCE'!A1" display="Gouvernance" xr:uid="{00000000-0004-0000-7100-000051000000}"/>
    <hyperlink ref="C128:E128" location="'11-KPIsFOLLOWUP'!A1" display="Plan de revue des KPI's" xr:uid="{00000000-0004-0000-7100-000052000000}"/>
    <hyperlink ref="C129:E129" location="'11-GUIDE4VALUEPROP'!A1" display="Plan de la proposition de valeur à formaliser" xr:uid="{00000000-0004-0000-7100-000053000000}"/>
    <hyperlink ref="C121:E121" location="'10-PARTNERSALESKIT-OFR2'!A1" display="'10-PARTNERSALESKIT-OFR2'!A1" xr:uid="{00000000-0004-0000-7100-000054000000}"/>
    <hyperlink ref="C120:E120" location="'10-PARTNERSALESKIT-OFR1'!A1" display="'10-PARTNERSALESKIT-OFR1'!A1" xr:uid="{00000000-0004-0000-7100-000055000000}"/>
    <hyperlink ref="C115:E115" location="'10-BUDGETPROGRAM-OFR2'!A1" display="Budget et point mort du programme" xr:uid="{00000000-0004-0000-7100-000056000000}"/>
    <hyperlink ref="C116:E116" location="'10-BUDGETPROGRAM-OFR3'!A1" display="'10-BUDGETPROGRAM-OFR3'!A1" xr:uid="{00000000-0004-0000-7100-000057000000}"/>
    <hyperlink ref="C94:E94" location="'07-RECRUITMENTPLAN-OFR3'!A1" display="'07-RECRUITMENTPLAN-OFR3'!A1" xr:uid="{00000000-0004-0000-7100-000058000000}"/>
    <hyperlink ref="C75:E75" location="'05-CHANNELTEAM-OFR3'!A1" display="'05-CHANNELTEAM-OFR3'!A1" xr:uid="{00000000-0004-0000-7100-000059000000}"/>
    <hyperlink ref="C73:E73" location="'05-CHANNELTEAM-OFR1'!A1" display="'05-CHANNELTEAM-OFR1'!A1" xr:uid="{00000000-0004-0000-7100-00005A000000}"/>
    <hyperlink ref="C74:E74" location="'05-CHANNELTEAM-OFR2'!A1" display="'05-CHANNELTEAM-OFR2'!A1" xr:uid="{00000000-0004-0000-7100-00005B000000}"/>
  </hyperlinks>
  <pageMargins left="0.70866141732283472" right="0.70866141732283472" top="0.74803149606299213" bottom="0.74803149606299213" header="0.31496062992125984" footer="0.31496062992125984"/>
  <pageSetup paperSize="9" scale="39" orientation="portrait" r:id="rId1"/>
  <headerFooter>
    <oddHeader>&amp;LPAD Methodology (c) 2013-2014&amp;RStrategic Management Workshop</oddHeader>
    <oddFooter>&amp;L&amp;F&amp;C&amp;A&amp;RSituation au : &amp;D - page : &amp;P/&amp;N</oddFooter>
  </headerFooter>
  <ignoredErrors>
    <ignoredError sqref="K42 L62" evalError="1"/>
    <ignoredError sqref="D88:E88 D80:E80 D81:E81 D82:E82 D83:E83 D84:E84 D85:E85 D86:E86 D87:E87" unlockedFormula="1"/>
  </ignoredErrors>
  <drawing r:id="rId2"/>
  <extLst>
    <ext xmlns:x14="http://schemas.microsoft.com/office/spreadsheetml/2009/9/main" uri="{78C0D931-6437-407d-A8EE-F0AAD7539E65}">
      <x14:conditionalFormattings>
        <x14:conditionalFormatting xmlns:xm="http://schemas.microsoft.com/office/excel/2006/main">
          <x14:cfRule type="containsText" priority="1321" operator="containsText" id="{B7B68DD6-16B6-4EA8-8715-CAEF6A243C2B}">
            <xm:f>NOT(ISERROR(SEARCH(Parametre!$B$5,I10)))</xm:f>
            <xm:f>Parametre!$B$5</xm:f>
            <x14:dxf>
              <fill>
                <patternFill>
                  <bgColor rgb="FFFFFF00"/>
                </patternFill>
              </fill>
            </x14:dxf>
          </x14:cfRule>
          <x14:cfRule type="containsText" priority="1322" operator="containsText" id="{5FDA71E3-B62A-4D6F-97D2-6ECDAF5E9DC2}">
            <xm:f>NOT(ISERROR(SEARCH(Parametre!$B$3,I10)))</xm:f>
            <xm:f>Parametre!$B$3</xm:f>
            <x14:dxf>
              <fill>
                <patternFill>
                  <bgColor theme="0" tint="-0.34998626667073579"/>
                </patternFill>
              </fill>
            </x14:dxf>
          </x14:cfRule>
          <x14:cfRule type="containsText" priority="1323" operator="containsText" id="{54C53C59-3560-4820-920F-36DD6A092295}">
            <xm:f>NOT(ISERROR(SEARCH(Parametre!$B$4,I10)))</xm:f>
            <xm:f>Parametre!$B$4</xm:f>
            <x14:dxf>
              <fill>
                <patternFill>
                  <bgColor rgb="FFFF0000"/>
                </patternFill>
              </fill>
            </x14:dxf>
          </x14:cfRule>
          <x14:cfRule type="containsText" priority="1324" operator="containsText" id="{20724C18-0EC1-4755-8563-C7041F8E6538}">
            <xm:f>NOT(ISERROR(SEARCH(Parametre!$B$7,I10)))</xm:f>
            <xm:f>Parametre!$B$7</xm:f>
            <x14:dxf>
              <fill>
                <patternFill>
                  <bgColor rgb="FF92D050"/>
                </patternFill>
              </fill>
            </x14:dxf>
          </x14:cfRule>
          <x14:cfRule type="containsText" priority="1325" operator="containsText" id="{41B238A4-5840-4D4D-815E-142143FBDDE0}">
            <xm:f>NOT(ISERROR(SEARCH(Parametre!$B$6,I10)))</xm:f>
            <xm:f>Parametre!$B$6</xm:f>
            <x14:dxf>
              <fill>
                <patternFill>
                  <bgColor rgb="FFFFC000"/>
                </patternFill>
              </fill>
            </x14:dxf>
          </x14:cfRule>
          <xm:sqref>I10</xm:sqref>
        </x14:conditionalFormatting>
        <x14:conditionalFormatting xmlns:xm="http://schemas.microsoft.com/office/excel/2006/main">
          <x14:cfRule type="containsText" priority="1299" operator="containsText" id="{BF0F9EA5-E543-436E-A686-96C06E207C2E}">
            <xm:f>NOT(ISERROR(SEARCH(Parametre!$B$5,I14)))</xm:f>
            <xm:f>Parametre!$B$5</xm:f>
            <x14:dxf>
              <fill>
                <patternFill>
                  <bgColor rgb="FFFFFF00"/>
                </patternFill>
              </fill>
            </x14:dxf>
          </x14:cfRule>
          <x14:cfRule type="containsText" priority="1300" operator="containsText" id="{07D9E0D8-3CB6-47DA-9A37-05D47E42FBE0}">
            <xm:f>NOT(ISERROR(SEARCH(Parametre!$B$3,I14)))</xm:f>
            <xm:f>Parametre!$B$3</xm:f>
            <x14:dxf>
              <fill>
                <patternFill>
                  <bgColor theme="0" tint="-0.34998626667073579"/>
                </patternFill>
              </fill>
            </x14:dxf>
          </x14:cfRule>
          <x14:cfRule type="containsText" priority="1301" operator="containsText" id="{C447275B-AB2F-4AEB-ACF1-F044F9AC5CD8}">
            <xm:f>NOT(ISERROR(SEARCH(Parametre!$B$4,I14)))</xm:f>
            <xm:f>Parametre!$B$4</xm:f>
            <x14:dxf>
              <fill>
                <patternFill>
                  <bgColor rgb="FFFF0000"/>
                </patternFill>
              </fill>
            </x14:dxf>
          </x14:cfRule>
          <x14:cfRule type="containsText" priority="1302" operator="containsText" id="{7F04D029-F1CB-40B8-B685-289E9E814767}">
            <xm:f>NOT(ISERROR(SEARCH(Parametre!$B$7,I14)))</xm:f>
            <xm:f>Parametre!$B$7</xm:f>
            <x14:dxf>
              <fill>
                <patternFill>
                  <bgColor rgb="FF92D050"/>
                </patternFill>
              </fill>
            </x14:dxf>
          </x14:cfRule>
          <x14:cfRule type="containsText" priority="1303" operator="containsText" id="{987880B4-C5F7-45BB-AA44-7D808163E450}">
            <xm:f>NOT(ISERROR(SEARCH(Parametre!$B$6,I14)))</xm:f>
            <xm:f>Parametre!$B$6</xm:f>
            <x14:dxf>
              <fill>
                <patternFill>
                  <bgColor rgb="FFFFC000"/>
                </patternFill>
              </fill>
            </x14:dxf>
          </x14:cfRule>
          <xm:sqref>I14</xm:sqref>
        </x14:conditionalFormatting>
        <x14:conditionalFormatting xmlns:xm="http://schemas.microsoft.com/office/excel/2006/main">
          <x14:cfRule type="containsText" priority="1292" operator="containsText" id="{3D875CEE-4894-461F-9976-0E86D646C81F}">
            <xm:f>NOT(ISERROR(SEARCH(Parametre!$B$5,I15)))</xm:f>
            <xm:f>Parametre!$B$5</xm:f>
            <x14:dxf>
              <fill>
                <patternFill>
                  <bgColor rgb="FFFFFF00"/>
                </patternFill>
              </fill>
            </x14:dxf>
          </x14:cfRule>
          <x14:cfRule type="containsText" priority="1293" operator="containsText" id="{3F9D7D88-B027-4460-BC09-E987FECE0B51}">
            <xm:f>NOT(ISERROR(SEARCH(Parametre!$B$3,I15)))</xm:f>
            <xm:f>Parametre!$B$3</xm:f>
            <x14:dxf>
              <fill>
                <patternFill>
                  <bgColor theme="0" tint="-0.34998626667073579"/>
                </patternFill>
              </fill>
            </x14:dxf>
          </x14:cfRule>
          <x14:cfRule type="containsText" priority="1294" operator="containsText" id="{C6A3036E-9C67-45C8-B56D-D0D9083A9CBF}">
            <xm:f>NOT(ISERROR(SEARCH(Parametre!$B$4,I15)))</xm:f>
            <xm:f>Parametre!$B$4</xm:f>
            <x14:dxf>
              <fill>
                <patternFill>
                  <bgColor rgb="FFFF0000"/>
                </patternFill>
              </fill>
            </x14:dxf>
          </x14:cfRule>
          <x14:cfRule type="containsText" priority="1295" operator="containsText" id="{8AD32DF5-6FE7-4785-B53F-A2AB6D076C56}">
            <xm:f>NOT(ISERROR(SEARCH(Parametre!$B$7,I15)))</xm:f>
            <xm:f>Parametre!$B$7</xm:f>
            <x14:dxf>
              <fill>
                <patternFill>
                  <bgColor rgb="FF92D050"/>
                </patternFill>
              </fill>
            </x14:dxf>
          </x14:cfRule>
          <x14:cfRule type="containsText" priority="1296" operator="containsText" id="{CF593FE8-1C4D-439A-8B8F-0DA7E592DCBA}">
            <xm:f>NOT(ISERROR(SEARCH(Parametre!$B$6,I15)))</xm:f>
            <xm:f>Parametre!$B$6</xm:f>
            <x14:dxf>
              <fill>
                <patternFill>
                  <bgColor rgb="FFFFC000"/>
                </patternFill>
              </fill>
            </x14:dxf>
          </x14:cfRule>
          <xm:sqref>I15</xm:sqref>
        </x14:conditionalFormatting>
        <x14:conditionalFormatting xmlns:xm="http://schemas.microsoft.com/office/excel/2006/main">
          <x14:cfRule type="containsText" priority="1284" operator="containsText" id="{A1E1024D-C6CB-4392-87D0-ECB1255C1A78}">
            <xm:f>NOT(ISERROR(SEARCH(Parametre!$B$5,I19)))</xm:f>
            <xm:f>Parametre!$B$5</xm:f>
            <x14:dxf>
              <fill>
                <patternFill>
                  <bgColor rgb="FFFFFF00"/>
                </patternFill>
              </fill>
            </x14:dxf>
          </x14:cfRule>
          <x14:cfRule type="containsText" priority="1285" operator="containsText" id="{46386DF0-B626-4BFA-A226-7D0433B17006}">
            <xm:f>NOT(ISERROR(SEARCH(Parametre!$B$3,I19)))</xm:f>
            <xm:f>Parametre!$B$3</xm:f>
            <x14:dxf>
              <fill>
                <patternFill>
                  <bgColor theme="0" tint="-0.34998626667073579"/>
                </patternFill>
              </fill>
            </x14:dxf>
          </x14:cfRule>
          <x14:cfRule type="containsText" priority="1286" operator="containsText" id="{4B4223D8-8625-441D-A00B-D5A0B6BBBAAC}">
            <xm:f>NOT(ISERROR(SEARCH(Parametre!$B$4,I19)))</xm:f>
            <xm:f>Parametre!$B$4</xm:f>
            <x14:dxf>
              <fill>
                <patternFill>
                  <bgColor rgb="FFFF0000"/>
                </patternFill>
              </fill>
            </x14:dxf>
          </x14:cfRule>
          <x14:cfRule type="containsText" priority="1287" operator="containsText" id="{1298E7D4-8D36-41A5-B854-DA0EF8679E4B}">
            <xm:f>NOT(ISERROR(SEARCH(Parametre!$B$7,I19)))</xm:f>
            <xm:f>Parametre!$B$7</xm:f>
            <x14:dxf>
              <fill>
                <patternFill>
                  <bgColor rgb="FF92D050"/>
                </patternFill>
              </fill>
            </x14:dxf>
          </x14:cfRule>
          <x14:cfRule type="containsText" priority="1288" operator="containsText" id="{4644A6F3-AFBD-418E-8537-835D77B52107}">
            <xm:f>NOT(ISERROR(SEARCH(Parametre!$B$6,I19)))</xm:f>
            <xm:f>Parametre!$B$6</xm:f>
            <x14:dxf>
              <fill>
                <patternFill>
                  <bgColor rgb="FFFFC000"/>
                </patternFill>
              </fill>
            </x14:dxf>
          </x14:cfRule>
          <xm:sqref>I19</xm:sqref>
        </x14:conditionalFormatting>
        <x14:conditionalFormatting xmlns:xm="http://schemas.microsoft.com/office/excel/2006/main">
          <x14:cfRule type="containsText" priority="1277" operator="containsText" id="{9E6138FE-8B1A-4128-A86B-469606A2742A}">
            <xm:f>NOT(ISERROR(SEARCH(Parametre!$B$5,I20)))</xm:f>
            <xm:f>Parametre!$B$5</xm:f>
            <x14:dxf>
              <fill>
                <patternFill>
                  <bgColor rgb="FFFFFF00"/>
                </patternFill>
              </fill>
            </x14:dxf>
          </x14:cfRule>
          <x14:cfRule type="containsText" priority="1278" operator="containsText" id="{9F347F79-2619-4A14-96EE-E5B9F87B1699}">
            <xm:f>NOT(ISERROR(SEARCH(Parametre!$B$3,I20)))</xm:f>
            <xm:f>Parametre!$B$3</xm:f>
            <x14:dxf>
              <fill>
                <patternFill>
                  <bgColor theme="0" tint="-0.34998626667073579"/>
                </patternFill>
              </fill>
            </x14:dxf>
          </x14:cfRule>
          <x14:cfRule type="containsText" priority="1279" operator="containsText" id="{75A0F63B-F238-48D8-8667-56579FAC6478}">
            <xm:f>NOT(ISERROR(SEARCH(Parametre!$B$4,I20)))</xm:f>
            <xm:f>Parametre!$B$4</xm:f>
            <x14:dxf>
              <fill>
                <patternFill>
                  <bgColor rgb="FFFF0000"/>
                </patternFill>
              </fill>
            </x14:dxf>
          </x14:cfRule>
          <x14:cfRule type="containsText" priority="1280" operator="containsText" id="{3D333932-82BB-4F00-9402-879D86BAAB3F}">
            <xm:f>NOT(ISERROR(SEARCH(Parametre!$B$7,I20)))</xm:f>
            <xm:f>Parametre!$B$7</xm:f>
            <x14:dxf>
              <fill>
                <patternFill>
                  <bgColor rgb="FF92D050"/>
                </patternFill>
              </fill>
            </x14:dxf>
          </x14:cfRule>
          <x14:cfRule type="containsText" priority="1281" operator="containsText" id="{830D5EB7-EC26-4192-9539-9EFC24E2E73E}">
            <xm:f>NOT(ISERROR(SEARCH(Parametre!$B$6,I20)))</xm:f>
            <xm:f>Parametre!$B$6</xm:f>
            <x14:dxf>
              <fill>
                <patternFill>
                  <bgColor rgb="FFFFC000"/>
                </patternFill>
              </fill>
            </x14:dxf>
          </x14:cfRule>
          <xm:sqref>I20</xm:sqref>
        </x14:conditionalFormatting>
        <x14:conditionalFormatting xmlns:xm="http://schemas.microsoft.com/office/excel/2006/main">
          <x14:cfRule type="containsText" priority="1270" operator="containsText" id="{82A4E8C8-8B69-4B26-BFF9-56B117A37458}">
            <xm:f>NOT(ISERROR(SEARCH(Parametre!$B$5,I21)))</xm:f>
            <xm:f>Parametre!$B$5</xm:f>
            <x14:dxf>
              <fill>
                <patternFill>
                  <bgColor rgb="FFFFFF00"/>
                </patternFill>
              </fill>
            </x14:dxf>
          </x14:cfRule>
          <x14:cfRule type="containsText" priority="1271" operator="containsText" id="{54A84222-CFBD-41A8-93E8-8398237082AB}">
            <xm:f>NOT(ISERROR(SEARCH(Parametre!$B$3,I21)))</xm:f>
            <xm:f>Parametre!$B$3</xm:f>
            <x14:dxf>
              <fill>
                <patternFill>
                  <bgColor theme="0" tint="-0.34998626667073579"/>
                </patternFill>
              </fill>
            </x14:dxf>
          </x14:cfRule>
          <x14:cfRule type="containsText" priority="1272" operator="containsText" id="{8F8DE442-F106-4F89-B089-8E8E36CF509E}">
            <xm:f>NOT(ISERROR(SEARCH(Parametre!$B$4,I21)))</xm:f>
            <xm:f>Parametre!$B$4</xm:f>
            <x14:dxf>
              <fill>
                <patternFill>
                  <bgColor rgb="FFFF0000"/>
                </patternFill>
              </fill>
            </x14:dxf>
          </x14:cfRule>
          <x14:cfRule type="containsText" priority="1273" operator="containsText" id="{E1CE9D96-3B5A-410F-8113-42369522F4DA}">
            <xm:f>NOT(ISERROR(SEARCH(Parametre!$B$7,I21)))</xm:f>
            <xm:f>Parametre!$B$7</xm:f>
            <x14:dxf>
              <fill>
                <patternFill>
                  <bgColor rgb="FF92D050"/>
                </patternFill>
              </fill>
            </x14:dxf>
          </x14:cfRule>
          <x14:cfRule type="containsText" priority="1274" operator="containsText" id="{E751B99F-EA81-40F7-BC44-8AE6D9B640BD}">
            <xm:f>NOT(ISERROR(SEARCH(Parametre!$B$6,I21)))</xm:f>
            <xm:f>Parametre!$B$6</xm:f>
            <x14:dxf>
              <fill>
                <patternFill>
                  <bgColor rgb="FFFFC000"/>
                </patternFill>
              </fill>
            </x14:dxf>
          </x14:cfRule>
          <xm:sqref>I21</xm:sqref>
        </x14:conditionalFormatting>
        <x14:conditionalFormatting xmlns:xm="http://schemas.microsoft.com/office/excel/2006/main">
          <x14:cfRule type="containsText" priority="1252" operator="containsText" id="{8E04B094-3F92-49EB-88C8-107F96092548}">
            <xm:f>NOT(ISERROR(SEARCH(Parametre!$B$5,I38)))</xm:f>
            <xm:f>Parametre!$B$5</xm:f>
            <x14:dxf>
              <fill>
                <patternFill>
                  <bgColor rgb="FFFFFF00"/>
                </patternFill>
              </fill>
            </x14:dxf>
          </x14:cfRule>
          <x14:cfRule type="containsText" priority="1253" operator="containsText" id="{E89B2B3D-C2C9-45C2-8E16-C5918F749DF4}">
            <xm:f>NOT(ISERROR(SEARCH(Parametre!$B$3,I38)))</xm:f>
            <xm:f>Parametre!$B$3</xm:f>
            <x14:dxf>
              <fill>
                <patternFill>
                  <bgColor theme="0" tint="-0.34998626667073579"/>
                </patternFill>
              </fill>
            </x14:dxf>
          </x14:cfRule>
          <x14:cfRule type="containsText" priority="1254" operator="containsText" id="{F682C616-AA49-4369-AD36-7C672BA8CB04}">
            <xm:f>NOT(ISERROR(SEARCH(Parametre!$B$4,I38)))</xm:f>
            <xm:f>Parametre!$B$4</xm:f>
            <x14:dxf>
              <fill>
                <patternFill>
                  <bgColor rgb="FFFF0000"/>
                </patternFill>
              </fill>
            </x14:dxf>
          </x14:cfRule>
          <x14:cfRule type="containsText" priority="1255" operator="containsText" id="{18389E2E-3DB8-405B-A1E1-B6E24EC9DC15}">
            <xm:f>NOT(ISERROR(SEARCH(Parametre!$B$7,I38)))</xm:f>
            <xm:f>Parametre!$B$7</xm:f>
            <x14:dxf>
              <fill>
                <patternFill>
                  <bgColor rgb="FF92D050"/>
                </patternFill>
              </fill>
            </x14:dxf>
          </x14:cfRule>
          <x14:cfRule type="containsText" priority="1256" operator="containsText" id="{1C24E9B1-A0FB-458F-8F0D-71324B69D3B3}">
            <xm:f>NOT(ISERROR(SEARCH(Parametre!$B$6,I38)))</xm:f>
            <xm:f>Parametre!$B$6</xm:f>
            <x14:dxf>
              <fill>
                <patternFill>
                  <bgColor rgb="FFFFC000"/>
                </patternFill>
              </fill>
            </x14:dxf>
          </x14:cfRule>
          <xm:sqref>I38</xm:sqref>
        </x14:conditionalFormatting>
        <x14:conditionalFormatting xmlns:xm="http://schemas.microsoft.com/office/excel/2006/main">
          <x14:cfRule type="containsText" priority="1175" operator="containsText" id="{92B5B0FF-002A-481B-B029-5D9A822228F0}">
            <xm:f>NOT(ISERROR(SEARCH(Parametre!$B$5,I9)))</xm:f>
            <xm:f>Parametre!$B$5</xm:f>
            <x14:dxf>
              <fill>
                <patternFill>
                  <bgColor rgb="FFFFFF00"/>
                </patternFill>
              </fill>
            </x14:dxf>
          </x14:cfRule>
          <x14:cfRule type="containsText" priority="1176" operator="containsText" id="{9DC04021-9762-4790-A367-E752C60A8CF8}">
            <xm:f>NOT(ISERROR(SEARCH(Parametre!$B$3,I9)))</xm:f>
            <xm:f>Parametre!$B$3</xm:f>
            <x14:dxf>
              <fill>
                <patternFill>
                  <bgColor theme="0" tint="-0.34998626667073579"/>
                </patternFill>
              </fill>
            </x14:dxf>
          </x14:cfRule>
          <x14:cfRule type="containsText" priority="1177" operator="containsText" id="{86CCB9ED-5A05-4A18-B4F0-68CD4E687B9C}">
            <xm:f>NOT(ISERROR(SEARCH(Parametre!$B$4,I9)))</xm:f>
            <xm:f>Parametre!$B$4</xm:f>
            <x14:dxf>
              <fill>
                <patternFill>
                  <bgColor rgb="FFFF0000"/>
                </patternFill>
              </fill>
            </x14:dxf>
          </x14:cfRule>
          <x14:cfRule type="containsText" priority="1178" operator="containsText" id="{E4C43986-D604-4096-BD3A-6B836396B44E}">
            <xm:f>NOT(ISERROR(SEARCH(Parametre!$B$7,I9)))</xm:f>
            <xm:f>Parametre!$B$7</xm:f>
            <x14:dxf>
              <fill>
                <patternFill>
                  <bgColor rgb="FF92D050"/>
                </patternFill>
              </fill>
            </x14:dxf>
          </x14:cfRule>
          <x14:cfRule type="containsText" priority="1179" operator="containsText" id="{1C5037A2-3199-49EB-9FCE-3E450E817824}">
            <xm:f>NOT(ISERROR(SEARCH(Parametre!$B$6,I9)))</xm:f>
            <xm:f>Parametre!$B$6</xm:f>
            <x14:dxf>
              <fill>
                <patternFill>
                  <bgColor rgb="FFFFC000"/>
                </patternFill>
              </fill>
            </x14:dxf>
          </x14:cfRule>
          <xm:sqref>I9</xm:sqref>
        </x14:conditionalFormatting>
        <x14:conditionalFormatting xmlns:xm="http://schemas.microsoft.com/office/excel/2006/main">
          <x14:cfRule type="containsText" priority="1209" operator="containsText" id="{B7BFC681-529A-4899-A218-D0B9DF6FD581}">
            <xm:f>NOT(ISERROR(SEARCH(Parametre!$B$5,I23)))</xm:f>
            <xm:f>Parametre!$B$5</xm:f>
            <x14:dxf>
              <fill>
                <patternFill>
                  <bgColor rgb="FFFFFF00"/>
                </patternFill>
              </fill>
            </x14:dxf>
          </x14:cfRule>
          <x14:cfRule type="containsText" priority="1210" operator="containsText" id="{4DCD9FC9-1BE7-4F92-AEF9-CFED7C9F1818}">
            <xm:f>NOT(ISERROR(SEARCH(Parametre!$B$3,I23)))</xm:f>
            <xm:f>Parametre!$B$3</xm:f>
            <x14:dxf>
              <fill>
                <patternFill>
                  <bgColor theme="0" tint="-0.34998626667073579"/>
                </patternFill>
              </fill>
            </x14:dxf>
          </x14:cfRule>
          <x14:cfRule type="containsText" priority="1211" operator="containsText" id="{45B329B2-C296-48D2-84B1-C8139A282C1D}">
            <xm:f>NOT(ISERROR(SEARCH(Parametre!$B$4,I23)))</xm:f>
            <xm:f>Parametre!$B$4</xm:f>
            <x14:dxf>
              <fill>
                <patternFill>
                  <bgColor rgb="FFFF0000"/>
                </patternFill>
              </fill>
            </x14:dxf>
          </x14:cfRule>
          <x14:cfRule type="containsText" priority="1212" operator="containsText" id="{5819C2E3-0018-45AC-AA19-80D6E4A57E08}">
            <xm:f>NOT(ISERROR(SEARCH(Parametre!$B$7,I23)))</xm:f>
            <xm:f>Parametre!$B$7</xm:f>
            <x14:dxf>
              <fill>
                <patternFill>
                  <bgColor rgb="FF92D050"/>
                </patternFill>
              </fill>
            </x14:dxf>
          </x14:cfRule>
          <x14:cfRule type="containsText" priority="1213" operator="containsText" id="{C21D04CC-4800-41F3-A7D2-05D2A2144777}">
            <xm:f>NOT(ISERROR(SEARCH(Parametre!$B$6,I23)))</xm:f>
            <xm:f>Parametre!$B$6</xm:f>
            <x14:dxf>
              <fill>
                <patternFill>
                  <bgColor rgb="FFFFC000"/>
                </patternFill>
              </fill>
            </x14:dxf>
          </x14:cfRule>
          <xm:sqref>I23</xm:sqref>
        </x14:conditionalFormatting>
        <x14:conditionalFormatting xmlns:xm="http://schemas.microsoft.com/office/excel/2006/main">
          <x14:cfRule type="containsText" priority="1202" operator="containsText" id="{5F6C2940-E1FA-4DD5-A358-F661E0ED3D25}">
            <xm:f>NOT(ISERROR(SEARCH(Parametre!$B$5,I26)))</xm:f>
            <xm:f>Parametre!$B$5</xm:f>
            <x14:dxf>
              <fill>
                <patternFill>
                  <bgColor rgb="FFFFFF00"/>
                </patternFill>
              </fill>
            </x14:dxf>
          </x14:cfRule>
          <x14:cfRule type="containsText" priority="1203" operator="containsText" id="{13D77722-7F67-4D2C-9128-C0C2E59EB375}">
            <xm:f>NOT(ISERROR(SEARCH(Parametre!$B$3,I26)))</xm:f>
            <xm:f>Parametre!$B$3</xm:f>
            <x14:dxf>
              <fill>
                <patternFill>
                  <bgColor theme="0" tint="-0.34998626667073579"/>
                </patternFill>
              </fill>
            </x14:dxf>
          </x14:cfRule>
          <x14:cfRule type="containsText" priority="1204" operator="containsText" id="{F7498DF7-546E-4465-831D-E37926AFF2EF}">
            <xm:f>NOT(ISERROR(SEARCH(Parametre!$B$4,I26)))</xm:f>
            <xm:f>Parametre!$B$4</xm:f>
            <x14:dxf>
              <fill>
                <patternFill>
                  <bgColor rgb="FFFF0000"/>
                </patternFill>
              </fill>
            </x14:dxf>
          </x14:cfRule>
          <x14:cfRule type="containsText" priority="1205" operator="containsText" id="{173C1D50-A19B-4E52-921E-70A2268933CE}">
            <xm:f>NOT(ISERROR(SEARCH(Parametre!$B$7,I26)))</xm:f>
            <xm:f>Parametre!$B$7</xm:f>
            <x14:dxf>
              <fill>
                <patternFill>
                  <bgColor rgb="FF92D050"/>
                </patternFill>
              </fill>
            </x14:dxf>
          </x14:cfRule>
          <x14:cfRule type="containsText" priority="1206" operator="containsText" id="{53351161-72DD-4B8F-B6F8-AC2C8ADC1F65}">
            <xm:f>NOT(ISERROR(SEARCH(Parametre!$B$6,I26)))</xm:f>
            <xm:f>Parametre!$B$6</xm:f>
            <x14:dxf>
              <fill>
                <patternFill>
                  <bgColor rgb="FFFFC000"/>
                </patternFill>
              </fill>
            </x14:dxf>
          </x14:cfRule>
          <xm:sqref>I26</xm:sqref>
        </x14:conditionalFormatting>
        <x14:conditionalFormatting xmlns:xm="http://schemas.microsoft.com/office/excel/2006/main">
          <x14:cfRule type="containsText" priority="1144" operator="containsText" id="{D34BA5B3-8713-4A67-9987-0055F1588710}">
            <xm:f>NOT(ISERROR(SEARCH(Parametre!$B$5,I41)))</xm:f>
            <xm:f>Parametre!$B$5</xm:f>
            <x14:dxf>
              <fill>
                <patternFill>
                  <bgColor rgb="FFFFFF00"/>
                </patternFill>
              </fill>
            </x14:dxf>
          </x14:cfRule>
          <x14:cfRule type="containsText" priority="1145" operator="containsText" id="{4557946F-5C28-466F-9F5B-DF81667B2159}">
            <xm:f>NOT(ISERROR(SEARCH(Parametre!$B$3,I41)))</xm:f>
            <xm:f>Parametre!$B$3</xm:f>
            <x14:dxf>
              <fill>
                <patternFill>
                  <bgColor theme="0" tint="-0.34998626667073579"/>
                </patternFill>
              </fill>
            </x14:dxf>
          </x14:cfRule>
          <x14:cfRule type="containsText" priority="1146" operator="containsText" id="{7D6AE139-9AAE-4A62-8C8F-43F01F0C7EA3}">
            <xm:f>NOT(ISERROR(SEARCH(Parametre!$B$4,I41)))</xm:f>
            <xm:f>Parametre!$B$4</xm:f>
            <x14:dxf>
              <fill>
                <patternFill>
                  <bgColor rgb="FFFF0000"/>
                </patternFill>
              </fill>
            </x14:dxf>
          </x14:cfRule>
          <x14:cfRule type="containsText" priority="1147" operator="containsText" id="{FA1C0AA9-BC8B-4965-9FB2-39D3A1FA34F2}">
            <xm:f>NOT(ISERROR(SEARCH(Parametre!$B$7,I41)))</xm:f>
            <xm:f>Parametre!$B$7</xm:f>
            <x14:dxf>
              <fill>
                <patternFill>
                  <bgColor rgb="FF92D050"/>
                </patternFill>
              </fill>
            </x14:dxf>
          </x14:cfRule>
          <x14:cfRule type="containsText" priority="1148" operator="containsText" id="{FF64CC6B-FFC3-4C7F-B201-DAF00BE8A778}">
            <xm:f>NOT(ISERROR(SEARCH(Parametre!$B$6,I41)))</xm:f>
            <xm:f>Parametre!$B$6</xm:f>
            <x14:dxf>
              <fill>
                <patternFill>
                  <bgColor rgb="FFFFC000"/>
                </patternFill>
              </fill>
            </x14:dxf>
          </x14:cfRule>
          <xm:sqref>I41</xm:sqref>
        </x14:conditionalFormatting>
        <x14:conditionalFormatting xmlns:xm="http://schemas.microsoft.com/office/excel/2006/main">
          <x14:cfRule type="containsText" priority="1109" operator="containsText" id="{A1D04017-D41C-460B-A6EB-05E4659B0654}">
            <xm:f>NOT(ISERROR(SEARCH(Parametre!$B$5,I59)))</xm:f>
            <xm:f>Parametre!$B$5</xm:f>
            <x14:dxf>
              <fill>
                <patternFill>
                  <bgColor rgb="FFFFFF00"/>
                </patternFill>
              </fill>
            </x14:dxf>
          </x14:cfRule>
          <x14:cfRule type="containsText" priority="1110" operator="containsText" id="{5FB62F7B-5A2B-425C-A840-70E00F1FC1A9}">
            <xm:f>NOT(ISERROR(SEARCH(Parametre!$B$3,I59)))</xm:f>
            <xm:f>Parametre!$B$3</xm:f>
            <x14:dxf>
              <fill>
                <patternFill>
                  <bgColor theme="0" tint="-0.34998626667073579"/>
                </patternFill>
              </fill>
            </x14:dxf>
          </x14:cfRule>
          <x14:cfRule type="containsText" priority="1111" operator="containsText" id="{6317A35B-4075-4D56-B842-AF32A141DCB1}">
            <xm:f>NOT(ISERROR(SEARCH(Parametre!$B$4,I59)))</xm:f>
            <xm:f>Parametre!$B$4</xm:f>
            <x14:dxf>
              <fill>
                <patternFill>
                  <bgColor rgb="FFFF0000"/>
                </patternFill>
              </fill>
            </x14:dxf>
          </x14:cfRule>
          <x14:cfRule type="containsText" priority="1112" operator="containsText" id="{1CF678CA-1739-4497-9B82-1702D308ACE8}">
            <xm:f>NOT(ISERROR(SEARCH(Parametre!$B$7,I59)))</xm:f>
            <xm:f>Parametre!$B$7</xm:f>
            <x14:dxf>
              <fill>
                <patternFill>
                  <bgColor rgb="FF92D050"/>
                </patternFill>
              </fill>
            </x14:dxf>
          </x14:cfRule>
          <x14:cfRule type="containsText" priority="1113" operator="containsText" id="{63C23EC8-7382-4DDF-A398-4C59BD43C4FF}">
            <xm:f>NOT(ISERROR(SEARCH(Parametre!$B$6,I59)))</xm:f>
            <xm:f>Parametre!$B$6</xm:f>
            <x14:dxf>
              <fill>
                <patternFill>
                  <bgColor rgb="FFFFC000"/>
                </patternFill>
              </fill>
            </x14:dxf>
          </x14:cfRule>
          <xm:sqref>I59</xm:sqref>
        </x14:conditionalFormatting>
        <x14:conditionalFormatting xmlns:xm="http://schemas.microsoft.com/office/excel/2006/main">
          <x14:cfRule type="containsText" priority="1087" operator="containsText" id="{142316C2-19C9-4232-B2BF-270747640038}">
            <xm:f>NOT(ISERROR(SEARCH(Parametre!$B$5,I72)))</xm:f>
            <xm:f>Parametre!$B$5</xm:f>
            <x14:dxf>
              <fill>
                <patternFill>
                  <bgColor rgb="FFFFFF00"/>
                </patternFill>
              </fill>
            </x14:dxf>
          </x14:cfRule>
          <x14:cfRule type="containsText" priority="1088" operator="containsText" id="{B65C64F6-9E1E-49EB-A371-5A985CFFB796}">
            <xm:f>NOT(ISERROR(SEARCH(Parametre!$B$3,I72)))</xm:f>
            <xm:f>Parametre!$B$3</xm:f>
            <x14:dxf>
              <fill>
                <patternFill>
                  <bgColor theme="0" tint="-0.34998626667073579"/>
                </patternFill>
              </fill>
            </x14:dxf>
          </x14:cfRule>
          <x14:cfRule type="containsText" priority="1089" operator="containsText" id="{EC66DDDF-1CD9-48E4-A148-63821E6F1E82}">
            <xm:f>NOT(ISERROR(SEARCH(Parametre!$B$4,I72)))</xm:f>
            <xm:f>Parametre!$B$4</xm:f>
            <x14:dxf>
              <fill>
                <patternFill>
                  <bgColor rgb="FFFF0000"/>
                </patternFill>
              </fill>
            </x14:dxf>
          </x14:cfRule>
          <x14:cfRule type="containsText" priority="1090" operator="containsText" id="{CF3FDCCF-7527-49DF-859E-5521E22D2C0C}">
            <xm:f>NOT(ISERROR(SEARCH(Parametre!$B$7,I72)))</xm:f>
            <xm:f>Parametre!$B$7</xm:f>
            <x14:dxf>
              <fill>
                <patternFill>
                  <bgColor rgb="FF92D050"/>
                </patternFill>
              </fill>
            </x14:dxf>
          </x14:cfRule>
          <x14:cfRule type="containsText" priority="1091" operator="containsText" id="{3ABE4173-C835-4186-9D7D-8AF4A80FA0E6}">
            <xm:f>NOT(ISERROR(SEARCH(Parametre!$B$6,I72)))</xm:f>
            <xm:f>Parametre!$B$6</xm:f>
            <x14:dxf>
              <fill>
                <patternFill>
                  <bgColor rgb="FFFFC000"/>
                </patternFill>
              </fill>
            </x14:dxf>
          </x14:cfRule>
          <xm:sqref>I72</xm:sqref>
        </x14:conditionalFormatting>
        <x14:conditionalFormatting xmlns:xm="http://schemas.microsoft.com/office/excel/2006/main">
          <x14:cfRule type="containsText" priority="1080" operator="containsText" id="{9EC23F01-83FA-4E1D-AD46-F0292FB66B77}">
            <xm:f>NOT(ISERROR(SEARCH(Parametre!$B$5,I76)))</xm:f>
            <xm:f>Parametre!$B$5</xm:f>
            <x14:dxf>
              <fill>
                <patternFill>
                  <bgColor rgb="FFFFFF00"/>
                </patternFill>
              </fill>
            </x14:dxf>
          </x14:cfRule>
          <x14:cfRule type="containsText" priority="1081" operator="containsText" id="{DDB7E546-343A-4236-A0E3-E41EEDE3FDF0}">
            <xm:f>NOT(ISERROR(SEARCH(Parametre!$B$3,I76)))</xm:f>
            <xm:f>Parametre!$B$3</xm:f>
            <x14:dxf>
              <fill>
                <patternFill>
                  <bgColor theme="0" tint="-0.34998626667073579"/>
                </patternFill>
              </fill>
            </x14:dxf>
          </x14:cfRule>
          <x14:cfRule type="containsText" priority="1082" operator="containsText" id="{22C30C70-A5E9-4AC4-9534-88DD61D96578}">
            <xm:f>NOT(ISERROR(SEARCH(Parametre!$B$4,I76)))</xm:f>
            <xm:f>Parametre!$B$4</xm:f>
            <x14:dxf>
              <fill>
                <patternFill>
                  <bgColor rgb="FFFF0000"/>
                </patternFill>
              </fill>
            </x14:dxf>
          </x14:cfRule>
          <x14:cfRule type="containsText" priority="1083" operator="containsText" id="{3DCE69CC-BC0B-456D-A8C2-366834DD9805}">
            <xm:f>NOT(ISERROR(SEARCH(Parametre!$B$7,I76)))</xm:f>
            <xm:f>Parametre!$B$7</xm:f>
            <x14:dxf>
              <fill>
                <patternFill>
                  <bgColor rgb="FF92D050"/>
                </patternFill>
              </fill>
            </x14:dxf>
          </x14:cfRule>
          <x14:cfRule type="containsText" priority="1084" operator="containsText" id="{2A18AE6D-4E0F-4864-97BC-C2AB40206A2B}">
            <xm:f>NOT(ISERROR(SEARCH(Parametre!$B$6,I76)))</xm:f>
            <xm:f>Parametre!$B$6</xm:f>
            <x14:dxf>
              <fill>
                <patternFill>
                  <bgColor rgb="FFFFC000"/>
                </patternFill>
              </fill>
            </x14:dxf>
          </x14:cfRule>
          <xm:sqref>I76</xm:sqref>
        </x14:conditionalFormatting>
        <x14:conditionalFormatting xmlns:xm="http://schemas.microsoft.com/office/excel/2006/main">
          <x14:cfRule type="containsText" priority="1057" operator="containsText" id="{01A4F621-62D0-4CFA-8C3D-BB711BB56360}">
            <xm:f>NOT(ISERROR(SEARCH(Parametre!$B$5,I113)))</xm:f>
            <xm:f>Parametre!$B$5</xm:f>
            <x14:dxf>
              <fill>
                <patternFill>
                  <bgColor rgb="FFFFFF00"/>
                </patternFill>
              </fill>
            </x14:dxf>
          </x14:cfRule>
          <x14:cfRule type="containsText" priority="1058" operator="containsText" id="{B8DE774C-C253-4503-93FB-6FAC29886810}">
            <xm:f>NOT(ISERROR(SEARCH(Parametre!$B$3,I113)))</xm:f>
            <xm:f>Parametre!$B$3</xm:f>
            <x14:dxf>
              <fill>
                <patternFill>
                  <bgColor theme="0" tint="-0.34998626667073579"/>
                </patternFill>
              </fill>
            </x14:dxf>
          </x14:cfRule>
          <x14:cfRule type="containsText" priority="1059" operator="containsText" id="{2A6630CB-F459-42EB-BAB2-1F5DE4E758E8}">
            <xm:f>NOT(ISERROR(SEARCH(Parametre!$B$4,I113)))</xm:f>
            <xm:f>Parametre!$B$4</xm:f>
            <x14:dxf>
              <fill>
                <patternFill>
                  <bgColor rgb="FFFF0000"/>
                </patternFill>
              </fill>
            </x14:dxf>
          </x14:cfRule>
          <x14:cfRule type="containsText" priority="1060" operator="containsText" id="{8280559D-073E-424B-AFCF-8A331DEA58CD}">
            <xm:f>NOT(ISERROR(SEARCH(Parametre!$B$7,I113)))</xm:f>
            <xm:f>Parametre!$B$7</xm:f>
            <x14:dxf>
              <fill>
                <patternFill>
                  <bgColor rgb="FF92D050"/>
                </patternFill>
              </fill>
            </x14:dxf>
          </x14:cfRule>
          <x14:cfRule type="containsText" priority="1061" operator="containsText" id="{5D5C7DCD-F81F-4FE2-B738-C57B57540C94}">
            <xm:f>NOT(ISERROR(SEARCH(Parametre!$B$6,I113)))</xm:f>
            <xm:f>Parametre!$B$6</xm:f>
            <x14:dxf>
              <fill>
                <patternFill>
                  <bgColor rgb="FFFFC000"/>
                </patternFill>
              </fill>
            </x14:dxf>
          </x14:cfRule>
          <xm:sqref>I113</xm:sqref>
        </x14:conditionalFormatting>
        <x14:conditionalFormatting xmlns:xm="http://schemas.microsoft.com/office/excel/2006/main">
          <x14:cfRule type="containsText" priority="1043" operator="containsText" id="{0E20229E-39FA-4362-A14C-EB2EE62E6BBF}">
            <xm:f>NOT(ISERROR(SEARCH(Parametre!$B$5,I134)))</xm:f>
            <xm:f>Parametre!$B$5</xm:f>
            <x14:dxf>
              <fill>
                <patternFill>
                  <bgColor rgb="FFFFFF00"/>
                </patternFill>
              </fill>
            </x14:dxf>
          </x14:cfRule>
          <x14:cfRule type="containsText" priority="1044" operator="containsText" id="{F5E10998-F6DC-440E-99EF-CC7F6711D130}">
            <xm:f>NOT(ISERROR(SEARCH(Parametre!$B$3,I134)))</xm:f>
            <xm:f>Parametre!$B$3</xm:f>
            <x14:dxf>
              <fill>
                <patternFill>
                  <bgColor theme="0" tint="-0.34998626667073579"/>
                </patternFill>
              </fill>
            </x14:dxf>
          </x14:cfRule>
          <x14:cfRule type="containsText" priority="1045" operator="containsText" id="{8A7170B1-DEEA-4E3F-89EA-F32407C20492}">
            <xm:f>NOT(ISERROR(SEARCH(Parametre!$B$4,I134)))</xm:f>
            <xm:f>Parametre!$B$4</xm:f>
            <x14:dxf>
              <fill>
                <patternFill>
                  <bgColor rgb="FFFF0000"/>
                </patternFill>
              </fill>
            </x14:dxf>
          </x14:cfRule>
          <x14:cfRule type="containsText" priority="1046" operator="containsText" id="{FECBD080-4317-4206-B22C-F7F0B610D3CC}">
            <xm:f>NOT(ISERROR(SEARCH(Parametre!$B$7,I134)))</xm:f>
            <xm:f>Parametre!$B$7</xm:f>
            <x14:dxf>
              <fill>
                <patternFill>
                  <bgColor rgb="FF92D050"/>
                </patternFill>
              </fill>
            </x14:dxf>
          </x14:cfRule>
          <x14:cfRule type="containsText" priority="1047" operator="containsText" id="{25C82B8D-DE10-418F-B557-1FCAB65D8AAC}">
            <xm:f>NOT(ISERROR(SEARCH(Parametre!$B$6,I134)))</xm:f>
            <xm:f>Parametre!$B$6</xm:f>
            <x14:dxf>
              <fill>
                <patternFill>
                  <bgColor rgb="FFFFC000"/>
                </patternFill>
              </fill>
            </x14:dxf>
          </x14:cfRule>
          <xm:sqref>I134</xm:sqref>
        </x14:conditionalFormatting>
        <x14:conditionalFormatting xmlns:xm="http://schemas.microsoft.com/office/excel/2006/main">
          <x14:cfRule type="containsText" priority="1004" operator="containsText" id="{68539564-FFF6-42F1-A45F-48A127398255}">
            <xm:f>NOT(ISERROR(SEARCH(Parametre!$B$5,I39)))</xm:f>
            <xm:f>Parametre!$B$5</xm:f>
            <x14:dxf>
              <fill>
                <patternFill>
                  <bgColor rgb="FFFFFF00"/>
                </patternFill>
              </fill>
            </x14:dxf>
          </x14:cfRule>
          <x14:cfRule type="containsText" priority="1005" operator="containsText" id="{02A3FD9A-F134-480B-8499-A8488DBFE21C}">
            <xm:f>NOT(ISERROR(SEARCH(Parametre!$B$3,I39)))</xm:f>
            <xm:f>Parametre!$B$3</xm:f>
            <x14:dxf>
              <fill>
                <patternFill>
                  <bgColor theme="0" tint="-0.34998626667073579"/>
                </patternFill>
              </fill>
            </x14:dxf>
          </x14:cfRule>
          <x14:cfRule type="containsText" priority="1006" operator="containsText" id="{F20B8268-7459-4D6A-BB81-2CE2CB8A9C29}">
            <xm:f>NOT(ISERROR(SEARCH(Parametre!$B$4,I39)))</xm:f>
            <xm:f>Parametre!$B$4</xm:f>
            <x14:dxf>
              <fill>
                <patternFill>
                  <bgColor rgb="FFFF0000"/>
                </patternFill>
              </fill>
            </x14:dxf>
          </x14:cfRule>
          <x14:cfRule type="containsText" priority="1007" operator="containsText" id="{F37EB757-FB97-4F2E-B88C-0329115690DD}">
            <xm:f>NOT(ISERROR(SEARCH(Parametre!$B$7,I39)))</xm:f>
            <xm:f>Parametre!$B$7</xm:f>
            <x14:dxf>
              <fill>
                <patternFill>
                  <bgColor rgb="FF92D050"/>
                </patternFill>
              </fill>
            </x14:dxf>
          </x14:cfRule>
          <x14:cfRule type="containsText" priority="1008" operator="containsText" id="{35AE801F-EE16-4388-849E-7550184F9D4B}">
            <xm:f>NOT(ISERROR(SEARCH(Parametre!$B$6,I39)))</xm:f>
            <xm:f>Parametre!$B$6</xm:f>
            <x14:dxf>
              <fill>
                <patternFill>
                  <bgColor rgb="FFFFC000"/>
                </patternFill>
              </fill>
            </x14:dxf>
          </x14:cfRule>
          <xm:sqref>I39</xm:sqref>
        </x14:conditionalFormatting>
        <x14:conditionalFormatting xmlns:xm="http://schemas.microsoft.com/office/excel/2006/main">
          <x14:cfRule type="containsText" priority="906" operator="containsText" id="{7670D54B-8083-4CD5-84AE-101681B06961}">
            <xm:f>NOT(ISERROR(SEARCH(Parametre!$B$5,I62)))</xm:f>
            <xm:f>Parametre!$B$5</xm:f>
            <x14:dxf>
              <fill>
                <patternFill>
                  <bgColor rgb="FFFFFF00"/>
                </patternFill>
              </fill>
            </x14:dxf>
          </x14:cfRule>
          <x14:cfRule type="containsText" priority="907" operator="containsText" id="{9C01A200-C517-4BE8-8DA4-BA098CD80732}">
            <xm:f>NOT(ISERROR(SEARCH(Parametre!$B$3,I62)))</xm:f>
            <xm:f>Parametre!$B$3</xm:f>
            <x14:dxf>
              <fill>
                <patternFill>
                  <bgColor theme="0" tint="-0.34998626667073579"/>
                </patternFill>
              </fill>
            </x14:dxf>
          </x14:cfRule>
          <x14:cfRule type="containsText" priority="908" operator="containsText" id="{80E2FC27-5A46-447C-8AD7-5929683F6A04}">
            <xm:f>NOT(ISERROR(SEARCH(Parametre!$B$4,I62)))</xm:f>
            <xm:f>Parametre!$B$4</xm:f>
            <x14:dxf>
              <fill>
                <patternFill>
                  <bgColor rgb="FFFF0000"/>
                </patternFill>
              </fill>
            </x14:dxf>
          </x14:cfRule>
          <x14:cfRule type="containsText" priority="909" operator="containsText" id="{EE767AA9-AC70-4646-BC89-478881735D73}">
            <xm:f>NOT(ISERROR(SEARCH(Parametre!$B$7,I62)))</xm:f>
            <xm:f>Parametre!$B$7</xm:f>
            <x14:dxf>
              <fill>
                <patternFill>
                  <bgColor rgb="FF92D050"/>
                </patternFill>
              </fill>
            </x14:dxf>
          </x14:cfRule>
          <x14:cfRule type="containsText" priority="910" operator="containsText" id="{CAFD22A0-B5D3-4213-9FDF-3E69E074F876}">
            <xm:f>NOT(ISERROR(SEARCH(Parametre!$B$6,I62)))</xm:f>
            <xm:f>Parametre!$B$6</xm:f>
            <x14:dxf>
              <fill>
                <patternFill>
                  <bgColor rgb="FFFFC000"/>
                </patternFill>
              </fill>
            </x14:dxf>
          </x14:cfRule>
          <xm:sqref>I62</xm:sqref>
        </x14:conditionalFormatting>
        <x14:conditionalFormatting xmlns:xm="http://schemas.microsoft.com/office/excel/2006/main">
          <x14:cfRule type="containsText" priority="955" operator="containsText" id="{5A59CB8A-04AF-441A-9855-332F4C2B7D23}">
            <xm:f>NOT(ISERROR(SEARCH(Parametre!$B$5,I42)))</xm:f>
            <xm:f>Parametre!$B$5</xm:f>
            <x14:dxf>
              <fill>
                <patternFill>
                  <bgColor rgb="FFFFFF00"/>
                </patternFill>
              </fill>
            </x14:dxf>
          </x14:cfRule>
          <x14:cfRule type="containsText" priority="956" operator="containsText" id="{AEB779EE-3D7A-42D2-BEDC-3DF8D73DA2BB}">
            <xm:f>NOT(ISERROR(SEARCH(Parametre!$B$3,I42)))</xm:f>
            <xm:f>Parametre!$B$3</xm:f>
            <x14:dxf>
              <fill>
                <patternFill>
                  <bgColor theme="0" tint="-0.34998626667073579"/>
                </patternFill>
              </fill>
            </x14:dxf>
          </x14:cfRule>
          <x14:cfRule type="containsText" priority="957" operator="containsText" id="{E503E56F-72C7-4EB4-A746-17B29B73EF85}">
            <xm:f>NOT(ISERROR(SEARCH(Parametre!$B$4,I42)))</xm:f>
            <xm:f>Parametre!$B$4</xm:f>
            <x14:dxf>
              <fill>
                <patternFill>
                  <bgColor rgb="FFFF0000"/>
                </patternFill>
              </fill>
            </x14:dxf>
          </x14:cfRule>
          <x14:cfRule type="containsText" priority="958" operator="containsText" id="{F3783402-81B1-442C-BCF6-743B49BF6ADB}">
            <xm:f>NOT(ISERROR(SEARCH(Parametre!$B$7,I42)))</xm:f>
            <xm:f>Parametre!$B$7</xm:f>
            <x14:dxf>
              <fill>
                <patternFill>
                  <bgColor rgb="FF92D050"/>
                </patternFill>
              </fill>
            </x14:dxf>
          </x14:cfRule>
          <x14:cfRule type="containsText" priority="959" operator="containsText" id="{6AFDF8EC-EC7B-45B7-86FE-C9B28EC082B4}">
            <xm:f>NOT(ISERROR(SEARCH(Parametre!$B$6,I42)))</xm:f>
            <xm:f>Parametre!$B$6</xm:f>
            <x14:dxf>
              <fill>
                <patternFill>
                  <bgColor rgb="FFFFC000"/>
                </patternFill>
              </fill>
            </x14:dxf>
          </x14:cfRule>
          <xm:sqref>I42</xm:sqref>
        </x14:conditionalFormatting>
        <x14:conditionalFormatting xmlns:xm="http://schemas.microsoft.com/office/excel/2006/main">
          <x14:cfRule type="containsText" priority="962" operator="containsText" id="{8625E73E-9C11-47B0-ADB2-C6D1D87F0D8E}">
            <xm:f>NOT(ISERROR(SEARCH(Parametre!$B$5,I107)))</xm:f>
            <xm:f>Parametre!$B$5</xm:f>
            <x14:dxf>
              <fill>
                <patternFill>
                  <bgColor rgb="FFFFFF00"/>
                </patternFill>
              </fill>
            </x14:dxf>
          </x14:cfRule>
          <x14:cfRule type="containsText" priority="963" operator="containsText" id="{C5AA9386-6817-49DB-891D-176C183D7AB0}">
            <xm:f>NOT(ISERROR(SEARCH(Parametre!$B$3,I107)))</xm:f>
            <xm:f>Parametre!$B$3</xm:f>
            <x14:dxf>
              <fill>
                <patternFill>
                  <bgColor theme="0" tint="-0.34998626667073579"/>
                </patternFill>
              </fill>
            </x14:dxf>
          </x14:cfRule>
          <x14:cfRule type="containsText" priority="964" operator="containsText" id="{8F370696-9988-457A-B237-C3E2EC10F6FF}">
            <xm:f>NOT(ISERROR(SEARCH(Parametre!$B$4,I107)))</xm:f>
            <xm:f>Parametre!$B$4</xm:f>
            <x14:dxf>
              <fill>
                <patternFill>
                  <bgColor rgb="FFFF0000"/>
                </patternFill>
              </fill>
            </x14:dxf>
          </x14:cfRule>
          <x14:cfRule type="containsText" priority="965" operator="containsText" id="{0A5B4F07-14BD-4B2B-8FA0-4C02ED173577}">
            <xm:f>NOT(ISERROR(SEARCH(Parametre!$B$7,I107)))</xm:f>
            <xm:f>Parametre!$B$7</xm:f>
            <x14:dxf>
              <fill>
                <patternFill>
                  <bgColor rgb="FF92D050"/>
                </patternFill>
              </fill>
            </x14:dxf>
          </x14:cfRule>
          <x14:cfRule type="containsText" priority="966" operator="containsText" id="{4A32493B-6FE8-4430-AAC4-769CF19C0CD3}">
            <xm:f>NOT(ISERROR(SEARCH(Parametre!$B$6,I107)))</xm:f>
            <xm:f>Parametre!$B$6</xm:f>
            <x14:dxf>
              <fill>
                <patternFill>
                  <bgColor rgb="FFFFC000"/>
                </patternFill>
              </fill>
            </x14:dxf>
          </x14:cfRule>
          <xm:sqref>I107:I109</xm:sqref>
        </x14:conditionalFormatting>
        <x14:conditionalFormatting xmlns:xm="http://schemas.microsoft.com/office/excel/2006/main">
          <x14:cfRule type="containsText" priority="934" operator="containsText" id="{B05D8368-B3AB-470F-9BDA-BEEE667B9E6D}">
            <xm:f>NOT(ISERROR(SEARCH(Parametre!$B$5,I60)))</xm:f>
            <xm:f>Parametre!$B$5</xm:f>
            <x14:dxf>
              <fill>
                <patternFill>
                  <bgColor rgb="FFFFFF00"/>
                </patternFill>
              </fill>
            </x14:dxf>
          </x14:cfRule>
          <x14:cfRule type="containsText" priority="935" operator="containsText" id="{7D951FE4-394B-4749-851F-46015F28EF6B}">
            <xm:f>NOT(ISERROR(SEARCH(Parametre!$B$3,I60)))</xm:f>
            <xm:f>Parametre!$B$3</xm:f>
            <x14:dxf>
              <fill>
                <patternFill>
                  <bgColor theme="0" tint="-0.34998626667073579"/>
                </patternFill>
              </fill>
            </x14:dxf>
          </x14:cfRule>
          <x14:cfRule type="containsText" priority="936" operator="containsText" id="{3B569BA7-C47B-4E24-A362-6A947F96C584}">
            <xm:f>NOT(ISERROR(SEARCH(Parametre!$B$4,I60)))</xm:f>
            <xm:f>Parametre!$B$4</xm:f>
            <x14:dxf>
              <fill>
                <patternFill>
                  <bgColor rgb="FFFF0000"/>
                </patternFill>
              </fill>
            </x14:dxf>
          </x14:cfRule>
          <x14:cfRule type="containsText" priority="937" operator="containsText" id="{22CBC44C-5189-4DD7-B0BC-346D259F1352}">
            <xm:f>NOT(ISERROR(SEARCH(Parametre!$B$7,I60)))</xm:f>
            <xm:f>Parametre!$B$7</xm:f>
            <x14:dxf>
              <fill>
                <patternFill>
                  <bgColor rgb="FF92D050"/>
                </patternFill>
              </fill>
            </x14:dxf>
          </x14:cfRule>
          <x14:cfRule type="containsText" priority="938" operator="containsText" id="{0076DC74-624D-4D66-A8CB-29DF58334465}">
            <xm:f>NOT(ISERROR(SEARCH(Parametre!$B$6,I60)))</xm:f>
            <xm:f>Parametre!$B$6</xm:f>
            <x14:dxf>
              <fill>
                <patternFill>
                  <bgColor rgb="FFFFC000"/>
                </patternFill>
              </fill>
            </x14:dxf>
          </x14:cfRule>
          <xm:sqref>I60</xm:sqref>
        </x14:conditionalFormatting>
        <x14:conditionalFormatting xmlns:xm="http://schemas.microsoft.com/office/excel/2006/main">
          <x14:cfRule type="containsText" priority="913" operator="containsText" id="{9DC45361-3256-4F08-974D-7F8B01A02D6B}">
            <xm:f>NOT(ISERROR(SEARCH(Parametre!$B$5,I61)))</xm:f>
            <xm:f>Parametre!$B$5</xm:f>
            <x14:dxf>
              <fill>
                <patternFill>
                  <bgColor rgb="FFFFFF00"/>
                </patternFill>
              </fill>
            </x14:dxf>
          </x14:cfRule>
          <x14:cfRule type="containsText" priority="914" operator="containsText" id="{C8605EB3-9124-4F24-B5E6-11CA2F350A9D}">
            <xm:f>NOT(ISERROR(SEARCH(Parametre!$B$3,I61)))</xm:f>
            <xm:f>Parametre!$B$3</xm:f>
            <x14:dxf>
              <fill>
                <patternFill>
                  <bgColor theme="0" tint="-0.34998626667073579"/>
                </patternFill>
              </fill>
            </x14:dxf>
          </x14:cfRule>
          <x14:cfRule type="containsText" priority="915" operator="containsText" id="{946B4E94-FFB1-4F16-BD0A-288AB4C59E94}">
            <xm:f>NOT(ISERROR(SEARCH(Parametre!$B$4,I61)))</xm:f>
            <xm:f>Parametre!$B$4</xm:f>
            <x14:dxf>
              <fill>
                <patternFill>
                  <bgColor rgb="FFFF0000"/>
                </patternFill>
              </fill>
            </x14:dxf>
          </x14:cfRule>
          <x14:cfRule type="containsText" priority="916" operator="containsText" id="{441D9580-EB48-40EA-8B8E-144FF5839AE4}">
            <xm:f>NOT(ISERROR(SEARCH(Parametre!$B$7,I61)))</xm:f>
            <xm:f>Parametre!$B$7</xm:f>
            <x14:dxf>
              <fill>
                <patternFill>
                  <bgColor rgb="FF92D050"/>
                </patternFill>
              </fill>
            </x14:dxf>
          </x14:cfRule>
          <x14:cfRule type="containsText" priority="917" operator="containsText" id="{81B0B0E7-00CD-4449-9CA0-D7A83FFF586E}">
            <xm:f>NOT(ISERROR(SEARCH(Parametre!$B$6,I61)))</xm:f>
            <xm:f>Parametre!$B$6</xm:f>
            <x14:dxf>
              <fill>
                <patternFill>
                  <bgColor rgb="FFFFC000"/>
                </patternFill>
              </fill>
            </x14:dxf>
          </x14:cfRule>
          <xm:sqref>I61</xm:sqref>
        </x14:conditionalFormatting>
        <x14:conditionalFormatting xmlns:xm="http://schemas.microsoft.com/office/excel/2006/main">
          <x14:cfRule type="containsText" priority="848" operator="containsText" id="{20C7DB78-21A0-44C8-937B-A7BB179F0B16}">
            <xm:f>NOT(ISERROR(SEARCH(Parametre!$B$5,I40)))</xm:f>
            <xm:f>Parametre!$B$5</xm:f>
            <x14:dxf>
              <fill>
                <patternFill>
                  <bgColor rgb="FFFFFF00"/>
                </patternFill>
              </fill>
            </x14:dxf>
          </x14:cfRule>
          <x14:cfRule type="containsText" priority="849" operator="containsText" id="{D231D349-9F42-452D-806F-719EF4E0DADB}">
            <xm:f>NOT(ISERROR(SEARCH(Parametre!$B$3,I40)))</xm:f>
            <xm:f>Parametre!$B$3</xm:f>
            <x14:dxf>
              <fill>
                <patternFill>
                  <bgColor theme="0" tint="-0.34998626667073579"/>
                </patternFill>
              </fill>
            </x14:dxf>
          </x14:cfRule>
          <x14:cfRule type="containsText" priority="850" operator="containsText" id="{32BF3E04-8601-4644-8A97-A46F24EB20CC}">
            <xm:f>NOT(ISERROR(SEARCH(Parametre!$B$4,I40)))</xm:f>
            <xm:f>Parametre!$B$4</xm:f>
            <x14:dxf>
              <fill>
                <patternFill>
                  <bgColor rgb="FFFF0000"/>
                </patternFill>
              </fill>
            </x14:dxf>
          </x14:cfRule>
          <x14:cfRule type="containsText" priority="851" operator="containsText" id="{0ABB58AD-0B01-4F17-8001-B6B39343D574}">
            <xm:f>NOT(ISERROR(SEARCH(Parametre!$B$7,I40)))</xm:f>
            <xm:f>Parametre!$B$7</xm:f>
            <x14:dxf>
              <fill>
                <patternFill>
                  <bgColor rgb="FF92D050"/>
                </patternFill>
              </fill>
            </x14:dxf>
          </x14:cfRule>
          <x14:cfRule type="containsText" priority="852" operator="containsText" id="{FB9F573B-C0CA-4235-A100-C00B019C9FF3}">
            <xm:f>NOT(ISERROR(SEARCH(Parametre!$B$6,I40)))</xm:f>
            <xm:f>Parametre!$B$6</xm:f>
            <x14:dxf>
              <fill>
                <patternFill>
                  <bgColor rgb="FFFFC000"/>
                </patternFill>
              </fill>
            </x14:dxf>
          </x14:cfRule>
          <xm:sqref>I40</xm:sqref>
        </x14:conditionalFormatting>
        <x14:conditionalFormatting xmlns:xm="http://schemas.microsoft.com/office/excel/2006/main">
          <x14:cfRule type="containsText" priority="819" operator="containsText" id="{ED7AC294-2728-4DA1-8045-9964470BE1F0}">
            <xm:f>NOT(ISERROR(SEARCH(Parametre!$B$5,I80)))</xm:f>
            <xm:f>Parametre!$B$5</xm:f>
            <x14:dxf>
              <fill>
                <patternFill>
                  <bgColor rgb="FFFFFF00"/>
                </patternFill>
              </fill>
            </x14:dxf>
          </x14:cfRule>
          <x14:cfRule type="containsText" priority="820" operator="containsText" id="{10B4C4A6-B4D3-45B5-A693-3A38809BD047}">
            <xm:f>NOT(ISERROR(SEARCH(Parametre!$B$3,I80)))</xm:f>
            <xm:f>Parametre!$B$3</xm:f>
            <x14:dxf>
              <fill>
                <patternFill>
                  <bgColor theme="0" tint="-0.34998626667073579"/>
                </patternFill>
              </fill>
            </x14:dxf>
          </x14:cfRule>
          <x14:cfRule type="containsText" priority="821" operator="containsText" id="{2873FF28-B0A8-43BE-A46F-CC1C96689D19}">
            <xm:f>NOT(ISERROR(SEARCH(Parametre!$B$4,I80)))</xm:f>
            <xm:f>Parametre!$B$4</xm:f>
            <x14:dxf>
              <fill>
                <patternFill>
                  <bgColor rgb="FFFF0000"/>
                </patternFill>
              </fill>
            </x14:dxf>
          </x14:cfRule>
          <x14:cfRule type="containsText" priority="822" operator="containsText" id="{D945E113-4101-4215-AC82-898D2B980D8C}">
            <xm:f>NOT(ISERROR(SEARCH(Parametre!$B$7,I80)))</xm:f>
            <xm:f>Parametre!$B$7</xm:f>
            <x14:dxf>
              <fill>
                <patternFill>
                  <bgColor rgb="FF92D050"/>
                </patternFill>
              </fill>
            </x14:dxf>
          </x14:cfRule>
          <x14:cfRule type="containsText" priority="823" operator="containsText" id="{D33E8789-18F9-4896-BD0E-42C2B16891D4}">
            <xm:f>NOT(ISERROR(SEARCH(Parametre!$B$6,I80)))</xm:f>
            <xm:f>Parametre!$B$6</xm:f>
            <x14:dxf>
              <fill>
                <patternFill>
                  <bgColor rgb="FFFFC000"/>
                </patternFill>
              </fill>
            </x14:dxf>
          </x14:cfRule>
          <xm:sqref>I80</xm:sqref>
        </x14:conditionalFormatting>
        <x14:conditionalFormatting xmlns:xm="http://schemas.microsoft.com/office/excel/2006/main">
          <x14:cfRule type="containsText" priority="809" operator="containsText" id="{B17485F2-0928-4754-B947-E56B82FCFD07}">
            <xm:f>NOT(ISERROR(SEARCH(Parametre!$B$5,I92)))</xm:f>
            <xm:f>Parametre!$B$5</xm:f>
            <x14:dxf>
              <fill>
                <patternFill>
                  <bgColor rgb="FFFFFF00"/>
                </patternFill>
              </fill>
            </x14:dxf>
          </x14:cfRule>
          <x14:cfRule type="containsText" priority="810" operator="containsText" id="{38F533BD-36B0-46C3-9276-3DCF02E54AC1}">
            <xm:f>NOT(ISERROR(SEARCH(Parametre!$B$3,I92)))</xm:f>
            <xm:f>Parametre!$B$3</xm:f>
            <x14:dxf>
              <fill>
                <patternFill>
                  <bgColor theme="0" tint="-0.34998626667073579"/>
                </patternFill>
              </fill>
            </x14:dxf>
          </x14:cfRule>
          <x14:cfRule type="containsText" priority="811" operator="containsText" id="{0E1866AF-9F01-49DE-B693-19BE371A2541}">
            <xm:f>NOT(ISERROR(SEARCH(Parametre!$B$4,I92)))</xm:f>
            <xm:f>Parametre!$B$4</xm:f>
            <x14:dxf>
              <fill>
                <patternFill>
                  <bgColor rgb="FFFF0000"/>
                </patternFill>
              </fill>
            </x14:dxf>
          </x14:cfRule>
          <x14:cfRule type="containsText" priority="812" operator="containsText" id="{2B2AC83D-6DD4-4315-B217-E2ADC612CD85}">
            <xm:f>NOT(ISERROR(SEARCH(Parametre!$B$7,I92)))</xm:f>
            <xm:f>Parametre!$B$7</xm:f>
            <x14:dxf>
              <fill>
                <patternFill>
                  <bgColor rgb="FF92D050"/>
                </patternFill>
              </fill>
            </x14:dxf>
          </x14:cfRule>
          <x14:cfRule type="containsText" priority="813" operator="containsText" id="{13A6CB3A-3474-46D2-8F15-E94E4AB2010B}">
            <xm:f>NOT(ISERROR(SEARCH(Parametre!$B$6,I92)))</xm:f>
            <xm:f>Parametre!$B$6</xm:f>
            <x14:dxf>
              <fill>
                <patternFill>
                  <bgColor rgb="FFFFC000"/>
                </patternFill>
              </fill>
            </x14:dxf>
          </x14:cfRule>
          <xm:sqref>I92</xm:sqref>
        </x14:conditionalFormatting>
        <x14:conditionalFormatting xmlns:xm="http://schemas.microsoft.com/office/excel/2006/main">
          <x14:cfRule type="containsText" priority="800" operator="containsText" id="{DDCC8E54-BBB5-464D-9754-9E4D6A00A4A5}">
            <xm:f>NOT(ISERROR(SEARCH(Parametre!$B$5,I81)))</xm:f>
            <xm:f>Parametre!$B$5</xm:f>
            <x14:dxf>
              <fill>
                <patternFill>
                  <bgColor rgb="FFFFFF00"/>
                </patternFill>
              </fill>
            </x14:dxf>
          </x14:cfRule>
          <x14:cfRule type="containsText" priority="801" operator="containsText" id="{4C7574B1-25E0-45A2-8113-C4BFB696DBF9}">
            <xm:f>NOT(ISERROR(SEARCH(Parametre!$B$3,I81)))</xm:f>
            <xm:f>Parametre!$B$3</xm:f>
            <x14:dxf>
              <fill>
                <patternFill>
                  <bgColor theme="0" tint="-0.34998626667073579"/>
                </patternFill>
              </fill>
            </x14:dxf>
          </x14:cfRule>
          <x14:cfRule type="containsText" priority="802" operator="containsText" id="{FDEC51A0-B85A-4B3F-A201-ADABC2D273B1}">
            <xm:f>NOT(ISERROR(SEARCH(Parametre!$B$4,I81)))</xm:f>
            <xm:f>Parametre!$B$4</xm:f>
            <x14:dxf>
              <fill>
                <patternFill>
                  <bgColor rgb="FFFF0000"/>
                </patternFill>
              </fill>
            </x14:dxf>
          </x14:cfRule>
          <x14:cfRule type="containsText" priority="803" operator="containsText" id="{DB684D4B-3059-4734-B7DD-32542D53CB5C}">
            <xm:f>NOT(ISERROR(SEARCH(Parametre!$B$7,I81)))</xm:f>
            <xm:f>Parametre!$B$7</xm:f>
            <x14:dxf>
              <fill>
                <patternFill>
                  <bgColor rgb="FF92D050"/>
                </patternFill>
              </fill>
            </x14:dxf>
          </x14:cfRule>
          <x14:cfRule type="containsText" priority="804" operator="containsText" id="{0DCDEB27-77D4-4C25-BAD7-BB10AC073B15}">
            <xm:f>NOT(ISERROR(SEARCH(Parametre!$B$6,I81)))</xm:f>
            <xm:f>Parametre!$B$6</xm:f>
            <x14:dxf>
              <fill>
                <patternFill>
                  <bgColor rgb="FFFFC000"/>
                </patternFill>
              </fill>
            </x14:dxf>
          </x14:cfRule>
          <xm:sqref>I81</xm:sqref>
        </x14:conditionalFormatting>
        <x14:conditionalFormatting xmlns:xm="http://schemas.microsoft.com/office/excel/2006/main">
          <x14:cfRule type="containsText" priority="791" operator="containsText" id="{219276DD-D0BB-4439-B20E-8D1E0F68EDF2}">
            <xm:f>NOT(ISERROR(SEARCH(Parametre!$B$5,I82)))</xm:f>
            <xm:f>Parametre!$B$5</xm:f>
            <x14:dxf>
              <fill>
                <patternFill>
                  <bgColor rgb="FFFFFF00"/>
                </patternFill>
              </fill>
            </x14:dxf>
          </x14:cfRule>
          <x14:cfRule type="containsText" priority="792" operator="containsText" id="{75537E5A-AEA1-4733-B9A7-D894EB5050F0}">
            <xm:f>NOT(ISERROR(SEARCH(Parametre!$B$3,I82)))</xm:f>
            <xm:f>Parametre!$B$3</xm:f>
            <x14:dxf>
              <fill>
                <patternFill>
                  <bgColor theme="0" tint="-0.34998626667073579"/>
                </patternFill>
              </fill>
            </x14:dxf>
          </x14:cfRule>
          <x14:cfRule type="containsText" priority="793" operator="containsText" id="{4DA2721A-E2EC-44BE-A085-03EA72D9A0D9}">
            <xm:f>NOT(ISERROR(SEARCH(Parametre!$B$4,I82)))</xm:f>
            <xm:f>Parametre!$B$4</xm:f>
            <x14:dxf>
              <fill>
                <patternFill>
                  <bgColor rgb="FFFF0000"/>
                </patternFill>
              </fill>
            </x14:dxf>
          </x14:cfRule>
          <x14:cfRule type="containsText" priority="794" operator="containsText" id="{F97D8A2E-6556-40F6-A9B2-8F67E77F3F1B}">
            <xm:f>NOT(ISERROR(SEARCH(Parametre!$B$7,I82)))</xm:f>
            <xm:f>Parametre!$B$7</xm:f>
            <x14:dxf>
              <fill>
                <patternFill>
                  <bgColor rgb="FF92D050"/>
                </patternFill>
              </fill>
            </x14:dxf>
          </x14:cfRule>
          <x14:cfRule type="containsText" priority="795" operator="containsText" id="{D6D6E164-3D33-43BF-97B8-1E2B27D7F128}">
            <xm:f>NOT(ISERROR(SEARCH(Parametre!$B$6,I82)))</xm:f>
            <xm:f>Parametre!$B$6</xm:f>
            <x14:dxf>
              <fill>
                <patternFill>
                  <bgColor rgb="FFFFC000"/>
                </patternFill>
              </fill>
            </x14:dxf>
          </x14:cfRule>
          <xm:sqref>I82</xm:sqref>
        </x14:conditionalFormatting>
        <x14:conditionalFormatting xmlns:xm="http://schemas.microsoft.com/office/excel/2006/main">
          <x14:cfRule type="containsText" priority="753" operator="containsText" id="{421E8890-212A-4D4E-AA0C-E243502DBE68}">
            <xm:f>NOT(ISERROR(SEARCH(Parametre!$B$5,I83)))</xm:f>
            <xm:f>Parametre!$B$5</xm:f>
            <x14:dxf>
              <fill>
                <patternFill>
                  <bgColor rgb="FFFFFF00"/>
                </patternFill>
              </fill>
            </x14:dxf>
          </x14:cfRule>
          <x14:cfRule type="containsText" priority="754" operator="containsText" id="{05713814-6637-4CE6-ADBE-DEA55E4A26FE}">
            <xm:f>NOT(ISERROR(SEARCH(Parametre!$B$3,I83)))</xm:f>
            <xm:f>Parametre!$B$3</xm:f>
            <x14:dxf>
              <fill>
                <patternFill>
                  <bgColor theme="0" tint="-0.34998626667073579"/>
                </patternFill>
              </fill>
            </x14:dxf>
          </x14:cfRule>
          <x14:cfRule type="containsText" priority="755" operator="containsText" id="{5F48B3DF-0CEA-4A02-AC4B-D665811DE34C}">
            <xm:f>NOT(ISERROR(SEARCH(Parametre!$B$4,I83)))</xm:f>
            <xm:f>Parametre!$B$4</xm:f>
            <x14:dxf>
              <fill>
                <patternFill>
                  <bgColor rgb="FFFF0000"/>
                </patternFill>
              </fill>
            </x14:dxf>
          </x14:cfRule>
          <x14:cfRule type="containsText" priority="756" operator="containsText" id="{866AD8A6-0F3A-42E9-BB55-DDE0B97086FD}">
            <xm:f>NOT(ISERROR(SEARCH(Parametre!$B$7,I83)))</xm:f>
            <xm:f>Parametre!$B$7</xm:f>
            <x14:dxf>
              <fill>
                <patternFill>
                  <bgColor rgb="FF92D050"/>
                </patternFill>
              </fill>
            </x14:dxf>
          </x14:cfRule>
          <x14:cfRule type="containsText" priority="757" operator="containsText" id="{9E62A5E3-9BD8-40A5-BC8F-86459584DD17}">
            <xm:f>NOT(ISERROR(SEARCH(Parametre!$B$6,I83)))</xm:f>
            <xm:f>Parametre!$B$6</xm:f>
            <x14:dxf>
              <fill>
                <patternFill>
                  <bgColor rgb="FFFFC000"/>
                </patternFill>
              </fill>
            </x14:dxf>
          </x14:cfRule>
          <xm:sqref>I83</xm:sqref>
        </x14:conditionalFormatting>
        <x14:conditionalFormatting xmlns:xm="http://schemas.microsoft.com/office/excel/2006/main">
          <x14:cfRule type="containsText" priority="744" operator="containsText" id="{288C58CD-381B-42E2-B82F-A261084FA696}">
            <xm:f>NOT(ISERROR(SEARCH(Parametre!$B$5,I84)))</xm:f>
            <xm:f>Parametre!$B$5</xm:f>
            <x14:dxf>
              <fill>
                <patternFill>
                  <bgColor rgb="FFFFFF00"/>
                </patternFill>
              </fill>
            </x14:dxf>
          </x14:cfRule>
          <x14:cfRule type="containsText" priority="745" operator="containsText" id="{4EB69656-3668-44A4-BAEB-66326E2BDDCA}">
            <xm:f>NOT(ISERROR(SEARCH(Parametre!$B$3,I84)))</xm:f>
            <xm:f>Parametre!$B$3</xm:f>
            <x14:dxf>
              <fill>
                <patternFill>
                  <bgColor theme="0" tint="-0.34998626667073579"/>
                </patternFill>
              </fill>
            </x14:dxf>
          </x14:cfRule>
          <x14:cfRule type="containsText" priority="746" operator="containsText" id="{05FB9FD5-EB08-44E7-A033-7BB9905DA4E4}">
            <xm:f>NOT(ISERROR(SEARCH(Parametre!$B$4,I84)))</xm:f>
            <xm:f>Parametre!$B$4</xm:f>
            <x14:dxf>
              <fill>
                <patternFill>
                  <bgColor rgb="FFFF0000"/>
                </patternFill>
              </fill>
            </x14:dxf>
          </x14:cfRule>
          <x14:cfRule type="containsText" priority="747" operator="containsText" id="{ABAC06CD-B1C0-45F9-BC77-285DC5388557}">
            <xm:f>NOT(ISERROR(SEARCH(Parametre!$B$7,I84)))</xm:f>
            <xm:f>Parametre!$B$7</xm:f>
            <x14:dxf>
              <fill>
                <patternFill>
                  <bgColor rgb="FF92D050"/>
                </patternFill>
              </fill>
            </x14:dxf>
          </x14:cfRule>
          <x14:cfRule type="containsText" priority="748" operator="containsText" id="{460F41AC-A31A-42CB-B16A-09B7C2E59AB1}">
            <xm:f>NOT(ISERROR(SEARCH(Parametre!$B$6,I84)))</xm:f>
            <xm:f>Parametre!$B$6</xm:f>
            <x14:dxf>
              <fill>
                <patternFill>
                  <bgColor rgb="FFFFC000"/>
                </patternFill>
              </fill>
            </x14:dxf>
          </x14:cfRule>
          <xm:sqref>I84</xm:sqref>
        </x14:conditionalFormatting>
        <x14:conditionalFormatting xmlns:xm="http://schemas.microsoft.com/office/excel/2006/main">
          <x14:cfRule type="containsText" priority="726" operator="containsText" id="{1CF6CC85-5DC1-4EFD-8004-88C0043038BD}">
            <xm:f>NOT(ISERROR(SEARCH(Parametre!$B$5,I86)))</xm:f>
            <xm:f>Parametre!$B$5</xm:f>
            <x14:dxf>
              <fill>
                <patternFill>
                  <bgColor rgb="FFFFFF00"/>
                </patternFill>
              </fill>
            </x14:dxf>
          </x14:cfRule>
          <x14:cfRule type="containsText" priority="727" operator="containsText" id="{1940BD6E-7F05-4794-B986-FFE528D0647A}">
            <xm:f>NOT(ISERROR(SEARCH(Parametre!$B$3,I86)))</xm:f>
            <xm:f>Parametre!$B$3</xm:f>
            <x14:dxf>
              <fill>
                <patternFill>
                  <bgColor theme="0" tint="-0.34998626667073579"/>
                </patternFill>
              </fill>
            </x14:dxf>
          </x14:cfRule>
          <x14:cfRule type="containsText" priority="728" operator="containsText" id="{725F8EE4-FAAF-4780-B029-8302C4A7C681}">
            <xm:f>NOT(ISERROR(SEARCH(Parametre!$B$4,I86)))</xm:f>
            <xm:f>Parametre!$B$4</xm:f>
            <x14:dxf>
              <fill>
                <patternFill>
                  <bgColor rgb="FFFF0000"/>
                </patternFill>
              </fill>
            </x14:dxf>
          </x14:cfRule>
          <x14:cfRule type="containsText" priority="729" operator="containsText" id="{0FF42FE4-0CAF-41A2-9ADE-D87DF2DD5746}">
            <xm:f>NOT(ISERROR(SEARCH(Parametre!$B$7,I86)))</xm:f>
            <xm:f>Parametre!$B$7</xm:f>
            <x14:dxf>
              <fill>
                <patternFill>
                  <bgColor rgb="FF92D050"/>
                </patternFill>
              </fill>
            </x14:dxf>
          </x14:cfRule>
          <x14:cfRule type="containsText" priority="730" operator="containsText" id="{7E56CE7E-BCD8-4BCB-BD6A-7257E3DA6682}">
            <xm:f>NOT(ISERROR(SEARCH(Parametre!$B$6,I86)))</xm:f>
            <xm:f>Parametre!$B$6</xm:f>
            <x14:dxf>
              <fill>
                <patternFill>
                  <bgColor rgb="FFFFC000"/>
                </patternFill>
              </fill>
            </x14:dxf>
          </x14:cfRule>
          <xm:sqref>I86</xm:sqref>
        </x14:conditionalFormatting>
        <x14:conditionalFormatting xmlns:xm="http://schemas.microsoft.com/office/excel/2006/main">
          <x14:cfRule type="containsText" priority="717" operator="containsText" id="{5F07AFE3-1B27-47DC-992D-2121B082F811}">
            <xm:f>NOT(ISERROR(SEARCH(Parametre!$B$5,I87)))</xm:f>
            <xm:f>Parametre!$B$5</xm:f>
            <x14:dxf>
              <fill>
                <patternFill>
                  <bgColor rgb="FFFFFF00"/>
                </patternFill>
              </fill>
            </x14:dxf>
          </x14:cfRule>
          <x14:cfRule type="containsText" priority="718" operator="containsText" id="{DACC76D6-715B-4637-ABE5-72D82750B5AE}">
            <xm:f>NOT(ISERROR(SEARCH(Parametre!$B$3,I87)))</xm:f>
            <xm:f>Parametre!$B$3</xm:f>
            <x14:dxf>
              <fill>
                <patternFill>
                  <bgColor theme="0" tint="-0.34998626667073579"/>
                </patternFill>
              </fill>
            </x14:dxf>
          </x14:cfRule>
          <x14:cfRule type="containsText" priority="719" operator="containsText" id="{DBCBAA92-542E-4DC8-A072-ED44F448E172}">
            <xm:f>NOT(ISERROR(SEARCH(Parametre!$B$4,I87)))</xm:f>
            <xm:f>Parametre!$B$4</xm:f>
            <x14:dxf>
              <fill>
                <patternFill>
                  <bgColor rgb="FFFF0000"/>
                </patternFill>
              </fill>
            </x14:dxf>
          </x14:cfRule>
          <x14:cfRule type="containsText" priority="720" operator="containsText" id="{6A6EF581-EF34-4615-AB2B-0B7EA8621820}">
            <xm:f>NOT(ISERROR(SEARCH(Parametre!$B$7,I87)))</xm:f>
            <xm:f>Parametre!$B$7</xm:f>
            <x14:dxf>
              <fill>
                <patternFill>
                  <bgColor rgb="FF92D050"/>
                </patternFill>
              </fill>
            </x14:dxf>
          </x14:cfRule>
          <x14:cfRule type="containsText" priority="721" operator="containsText" id="{06FAD5BA-05C7-4ECE-9E65-C0F364E9456E}">
            <xm:f>NOT(ISERROR(SEARCH(Parametre!$B$6,I87)))</xm:f>
            <xm:f>Parametre!$B$6</xm:f>
            <x14:dxf>
              <fill>
                <patternFill>
                  <bgColor rgb="FFFFC000"/>
                </patternFill>
              </fill>
            </x14:dxf>
          </x14:cfRule>
          <xm:sqref>I87</xm:sqref>
        </x14:conditionalFormatting>
        <x14:conditionalFormatting xmlns:xm="http://schemas.microsoft.com/office/excel/2006/main">
          <x14:cfRule type="containsText" priority="681" operator="containsText" id="{0C700BEB-AEAF-4DB7-9757-DAE76908328F}">
            <xm:f>NOT(ISERROR(SEARCH(Parametre!$B$5,I37)))</xm:f>
            <xm:f>Parametre!$B$5</xm:f>
            <x14:dxf>
              <fill>
                <patternFill>
                  <bgColor rgb="FFFFFF00"/>
                </patternFill>
              </fill>
            </x14:dxf>
          </x14:cfRule>
          <x14:cfRule type="containsText" priority="682" operator="containsText" id="{FCA5770B-E9AD-459F-845A-677A83688872}">
            <xm:f>NOT(ISERROR(SEARCH(Parametre!$B$3,I37)))</xm:f>
            <xm:f>Parametre!$B$3</xm:f>
            <x14:dxf>
              <fill>
                <patternFill>
                  <bgColor theme="0" tint="-0.34998626667073579"/>
                </patternFill>
              </fill>
            </x14:dxf>
          </x14:cfRule>
          <x14:cfRule type="containsText" priority="683" operator="containsText" id="{93DBFE7F-D8D0-4D65-AE75-B84721FFBA8E}">
            <xm:f>NOT(ISERROR(SEARCH(Parametre!$B$4,I37)))</xm:f>
            <xm:f>Parametre!$B$4</xm:f>
            <x14:dxf>
              <fill>
                <patternFill>
                  <bgColor rgb="FFFF0000"/>
                </patternFill>
              </fill>
            </x14:dxf>
          </x14:cfRule>
          <x14:cfRule type="containsText" priority="684" operator="containsText" id="{D6757188-EF18-4A6A-AB18-1676447C4462}">
            <xm:f>NOT(ISERROR(SEARCH(Parametre!$B$7,I37)))</xm:f>
            <xm:f>Parametre!$B$7</xm:f>
            <x14:dxf>
              <fill>
                <patternFill>
                  <bgColor rgb="FF92D050"/>
                </patternFill>
              </fill>
            </x14:dxf>
          </x14:cfRule>
          <x14:cfRule type="containsText" priority="685" operator="containsText" id="{279A1FC7-F472-4529-BB16-5EE77BB2051C}">
            <xm:f>NOT(ISERROR(SEARCH(Parametre!$B$6,I37)))</xm:f>
            <xm:f>Parametre!$B$6</xm:f>
            <x14:dxf>
              <fill>
                <patternFill>
                  <bgColor rgb="FFFFC000"/>
                </patternFill>
              </fill>
            </x14:dxf>
          </x14:cfRule>
          <xm:sqref>I37</xm:sqref>
        </x14:conditionalFormatting>
        <x14:conditionalFormatting xmlns:xm="http://schemas.microsoft.com/office/excel/2006/main">
          <x14:cfRule type="containsText" priority="602" operator="containsText" id="{5A695588-C7BF-486D-ADAC-EC6DEEABE36E}">
            <xm:f>NOT(ISERROR(SEARCH(Parametre!$B$5,I24)))</xm:f>
            <xm:f>Parametre!$B$5</xm:f>
            <x14:dxf>
              <fill>
                <patternFill>
                  <bgColor rgb="FFFFFF00"/>
                </patternFill>
              </fill>
            </x14:dxf>
          </x14:cfRule>
          <x14:cfRule type="containsText" priority="603" operator="containsText" id="{5F56CBF9-DA64-4EC9-A7B6-4A99C5017153}">
            <xm:f>NOT(ISERROR(SEARCH(Parametre!$B$3,I24)))</xm:f>
            <xm:f>Parametre!$B$3</xm:f>
            <x14:dxf>
              <fill>
                <patternFill>
                  <bgColor theme="0" tint="-0.34998626667073579"/>
                </patternFill>
              </fill>
            </x14:dxf>
          </x14:cfRule>
          <x14:cfRule type="containsText" priority="604" operator="containsText" id="{CC2FD118-C421-427F-BD96-6C634EDDC424}">
            <xm:f>NOT(ISERROR(SEARCH(Parametre!$B$4,I24)))</xm:f>
            <xm:f>Parametre!$B$4</xm:f>
            <x14:dxf>
              <fill>
                <patternFill>
                  <bgColor rgb="FFFF0000"/>
                </patternFill>
              </fill>
            </x14:dxf>
          </x14:cfRule>
          <x14:cfRule type="containsText" priority="605" operator="containsText" id="{2AF76513-5E91-4C12-B380-9E6A7362C567}">
            <xm:f>NOT(ISERROR(SEARCH(Parametre!$B$7,I24)))</xm:f>
            <xm:f>Parametre!$B$7</xm:f>
            <x14:dxf>
              <fill>
                <patternFill>
                  <bgColor rgb="FF92D050"/>
                </patternFill>
              </fill>
            </x14:dxf>
          </x14:cfRule>
          <x14:cfRule type="containsText" priority="606" operator="containsText" id="{91BCF74A-EC9D-47B6-AF14-1521CF2FDE3F}">
            <xm:f>NOT(ISERROR(SEARCH(Parametre!$B$6,I24)))</xm:f>
            <xm:f>Parametre!$B$6</xm:f>
            <x14:dxf>
              <fill>
                <patternFill>
                  <bgColor rgb="FFFFC000"/>
                </patternFill>
              </fill>
            </x14:dxf>
          </x14:cfRule>
          <xm:sqref>I24</xm:sqref>
        </x14:conditionalFormatting>
        <x14:conditionalFormatting xmlns:xm="http://schemas.microsoft.com/office/excel/2006/main">
          <x14:cfRule type="containsText" priority="593" operator="containsText" id="{2F5269DD-9661-41A5-B826-9A59BF43BE6F}">
            <xm:f>NOT(ISERROR(SEARCH(Parametre!$B$5,I25)))</xm:f>
            <xm:f>Parametre!$B$5</xm:f>
            <x14:dxf>
              <fill>
                <patternFill>
                  <bgColor rgb="FFFFFF00"/>
                </patternFill>
              </fill>
            </x14:dxf>
          </x14:cfRule>
          <x14:cfRule type="containsText" priority="594" operator="containsText" id="{10DAC2DE-7FDE-4FE7-8346-C7CCE6CF1630}">
            <xm:f>NOT(ISERROR(SEARCH(Parametre!$B$3,I25)))</xm:f>
            <xm:f>Parametre!$B$3</xm:f>
            <x14:dxf>
              <fill>
                <patternFill>
                  <bgColor theme="0" tint="-0.34998626667073579"/>
                </patternFill>
              </fill>
            </x14:dxf>
          </x14:cfRule>
          <x14:cfRule type="containsText" priority="595" operator="containsText" id="{2D4E30EC-3D4F-49FE-8FAB-9BEAB231548D}">
            <xm:f>NOT(ISERROR(SEARCH(Parametre!$B$4,I25)))</xm:f>
            <xm:f>Parametre!$B$4</xm:f>
            <x14:dxf>
              <fill>
                <patternFill>
                  <bgColor rgb="FFFF0000"/>
                </patternFill>
              </fill>
            </x14:dxf>
          </x14:cfRule>
          <x14:cfRule type="containsText" priority="596" operator="containsText" id="{91710163-5407-4954-B65F-266D9CECAA66}">
            <xm:f>NOT(ISERROR(SEARCH(Parametre!$B$7,I25)))</xm:f>
            <xm:f>Parametre!$B$7</xm:f>
            <x14:dxf>
              <fill>
                <patternFill>
                  <bgColor rgb="FF92D050"/>
                </patternFill>
              </fill>
            </x14:dxf>
          </x14:cfRule>
          <x14:cfRule type="containsText" priority="597" operator="containsText" id="{35D828D3-0FB3-40C4-9A4C-5090BE2FB88D}">
            <xm:f>NOT(ISERROR(SEARCH(Parametre!$B$6,I25)))</xm:f>
            <xm:f>Parametre!$B$6</xm:f>
            <x14:dxf>
              <fill>
                <patternFill>
                  <bgColor rgb="FFFFC000"/>
                </patternFill>
              </fill>
            </x14:dxf>
          </x14:cfRule>
          <xm:sqref>I25</xm:sqref>
        </x14:conditionalFormatting>
        <x14:conditionalFormatting xmlns:xm="http://schemas.microsoft.com/office/excel/2006/main">
          <x14:cfRule type="containsText" priority="584" operator="containsText" id="{34B8891D-655A-4C1C-82EB-33675642DDEC}">
            <xm:f>NOT(ISERROR(SEARCH(Parametre!$B$5,I114)))</xm:f>
            <xm:f>Parametre!$B$5</xm:f>
            <x14:dxf>
              <fill>
                <patternFill>
                  <bgColor rgb="FFFFFF00"/>
                </patternFill>
              </fill>
            </x14:dxf>
          </x14:cfRule>
          <x14:cfRule type="containsText" priority="585" operator="containsText" id="{55959C17-E8F5-4C0F-A8CF-4122FF3111D4}">
            <xm:f>NOT(ISERROR(SEARCH(Parametre!$B$3,I114)))</xm:f>
            <xm:f>Parametre!$B$3</xm:f>
            <x14:dxf>
              <fill>
                <patternFill>
                  <bgColor theme="0" tint="-0.34998626667073579"/>
                </patternFill>
              </fill>
            </x14:dxf>
          </x14:cfRule>
          <x14:cfRule type="containsText" priority="586" operator="containsText" id="{D3E76481-150A-4831-941F-148B4CFC550F}">
            <xm:f>NOT(ISERROR(SEARCH(Parametre!$B$4,I114)))</xm:f>
            <xm:f>Parametre!$B$4</xm:f>
            <x14:dxf>
              <fill>
                <patternFill>
                  <bgColor rgb="FFFF0000"/>
                </patternFill>
              </fill>
            </x14:dxf>
          </x14:cfRule>
          <x14:cfRule type="containsText" priority="587" operator="containsText" id="{AAE62C4F-8D10-4F52-A88A-D666F5A11EF3}">
            <xm:f>NOT(ISERROR(SEARCH(Parametre!$B$7,I114)))</xm:f>
            <xm:f>Parametre!$B$7</xm:f>
            <x14:dxf>
              <fill>
                <patternFill>
                  <bgColor rgb="FF92D050"/>
                </patternFill>
              </fill>
            </x14:dxf>
          </x14:cfRule>
          <x14:cfRule type="containsText" priority="588" operator="containsText" id="{20BA3418-67DB-451D-A3FA-9B7C3F4AB265}">
            <xm:f>NOT(ISERROR(SEARCH(Parametre!$B$6,I114)))</xm:f>
            <xm:f>Parametre!$B$6</xm:f>
            <x14:dxf>
              <fill>
                <patternFill>
                  <bgColor rgb="FFFFC000"/>
                </patternFill>
              </fill>
            </x14:dxf>
          </x14:cfRule>
          <xm:sqref>I114</xm:sqref>
        </x14:conditionalFormatting>
        <x14:conditionalFormatting xmlns:xm="http://schemas.microsoft.com/office/excel/2006/main">
          <x14:cfRule type="containsText" priority="575" operator="containsText" id="{C2169604-C07A-4C7E-8875-DE6E16A3BDDD}">
            <xm:f>NOT(ISERROR(SEARCH(Parametre!$B$5,I117)))</xm:f>
            <xm:f>Parametre!$B$5</xm:f>
            <x14:dxf>
              <fill>
                <patternFill>
                  <bgColor rgb="FFFFFF00"/>
                </patternFill>
              </fill>
            </x14:dxf>
          </x14:cfRule>
          <x14:cfRule type="containsText" priority="576" operator="containsText" id="{18BC3797-BD86-4B7C-8F76-2FE618EAE716}">
            <xm:f>NOT(ISERROR(SEARCH(Parametre!$B$3,I117)))</xm:f>
            <xm:f>Parametre!$B$3</xm:f>
            <x14:dxf>
              <fill>
                <patternFill>
                  <bgColor theme="0" tint="-0.34998626667073579"/>
                </patternFill>
              </fill>
            </x14:dxf>
          </x14:cfRule>
          <x14:cfRule type="containsText" priority="577" operator="containsText" id="{B9FC844F-EB57-4505-9785-56DD346DA2E8}">
            <xm:f>NOT(ISERROR(SEARCH(Parametre!$B$4,I117)))</xm:f>
            <xm:f>Parametre!$B$4</xm:f>
            <x14:dxf>
              <fill>
                <patternFill>
                  <bgColor rgb="FFFF0000"/>
                </patternFill>
              </fill>
            </x14:dxf>
          </x14:cfRule>
          <x14:cfRule type="containsText" priority="578" operator="containsText" id="{263FD848-1D8A-4FB4-B9E9-FBDFDA0071A9}">
            <xm:f>NOT(ISERROR(SEARCH(Parametre!$B$7,I117)))</xm:f>
            <xm:f>Parametre!$B$7</xm:f>
            <x14:dxf>
              <fill>
                <patternFill>
                  <bgColor rgb="FF92D050"/>
                </patternFill>
              </fill>
            </x14:dxf>
          </x14:cfRule>
          <x14:cfRule type="containsText" priority="579" operator="containsText" id="{04B2AED2-AF26-4497-A5BC-DF5CC464E9A6}">
            <xm:f>NOT(ISERROR(SEARCH(Parametre!$B$6,I117)))</xm:f>
            <xm:f>Parametre!$B$6</xm:f>
            <x14:dxf>
              <fill>
                <patternFill>
                  <bgColor rgb="FFFFC000"/>
                </patternFill>
              </fill>
            </x14:dxf>
          </x14:cfRule>
          <xm:sqref>I117</xm:sqref>
        </x14:conditionalFormatting>
        <x14:conditionalFormatting xmlns:xm="http://schemas.microsoft.com/office/excel/2006/main">
          <x14:cfRule type="containsText" priority="498" operator="containsText" id="{AB3640A9-ABDC-48AA-A636-B0F2C2DA54DD}">
            <xm:f>NOT(ISERROR(SEARCH(Parametre!$B$5,I22)))</xm:f>
            <xm:f>Parametre!$B$5</xm:f>
            <x14:dxf>
              <fill>
                <patternFill>
                  <bgColor rgb="FFFFFF00"/>
                </patternFill>
              </fill>
            </x14:dxf>
          </x14:cfRule>
          <x14:cfRule type="containsText" priority="499" operator="containsText" id="{B2B54445-B5CF-474A-BB4C-C0CD6D1177FC}">
            <xm:f>NOT(ISERROR(SEARCH(Parametre!$B$3,I22)))</xm:f>
            <xm:f>Parametre!$B$3</xm:f>
            <x14:dxf>
              <fill>
                <patternFill>
                  <bgColor theme="0" tint="-0.34998626667073579"/>
                </patternFill>
              </fill>
            </x14:dxf>
          </x14:cfRule>
          <x14:cfRule type="containsText" priority="500" operator="containsText" id="{95D67177-537B-47AE-987D-BE6E82A92525}">
            <xm:f>NOT(ISERROR(SEARCH(Parametre!$B$4,I22)))</xm:f>
            <xm:f>Parametre!$B$4</xm:f>
            <x14:dxf>
              <fill>
                <patternFill>
                  <bgColor rgb="FFFF0000"/>
                </patternFill>
              </fill>
            </x14:dxf>
          </x14:cfRule>
          <x14:cfRule type="containsText" priority="501" operator="containsText" id="{4FB74086-20E2-45BC-994F-2873D6C2F86F}">
            <xm:f>NOT(ISERROR(SEARCH(Parametre!$B$7,I22)))</xm:f>
            <xm:f>Parametre!$B$7</xm:f>
            <x14:dxf>
              <fill>
                <patternFill>
                  <bgColor rgb="FF92D050"/>
                </patternFill>
              </fill>
            </x14:dxf>
          </x14:cfRule>
          <x14:cfRule type="containsText" priority="502" operator="containsText" id="{C9AC60C1-9073-44E3-943B-755BC74B9893}">
            <xm:f>NOT(ISERROR(SEARCH(Parametre!$B$6,I22)))</xm:f>
            <xm:f>Parametre!$B$6</xm:f>
            <x14:dxf>
              <fill>
                <patternFill>
                  <bgColor rgb="FFFFC000"/>
                </patternFill>
              </fill>
            </x14:dxf>
          </x14:cfRule>
          <xm:sqref>I22</xm:sqref>
        </x14:conditionalFormatting>
        <x14:conditionalFormatting xmlns:xm="http://schemas.microsoft.com/office/excel/2006/main">
          <x14:cfRule type="containsText" priority="479" operator="containsText" id="{88027CDA-CFB2-474B-ABF9-AF55C3C13678}">
            <xm:f>NOT(ISERROR(SEARCH(Parametre!$B$5,I28)))</xm:f>
            <xm:f>Parametre!$B$5</xm:f>
            <x14:dxf>
              <fill>
                <patternFill>
                  <bgColor rgb="FFFFFF00"/>
                </patternFill>
              </fill>
            </x14:dxf>
          </x14:cfRule>
          <x14:cfRule type="containsText" priority="480" operator="containsText" id="{3883A11C-E9BB-4AAF-91CE-4B9F1D8DB69A}">
            <xm:f>NOT(ISERROR(SEARCH(Parametre!$B$3,I28)))</xm:f>
            <xm:f>Parametre!$B$3</xm:f>
            <x14:dxf>
              <fill>
                <patternFill>
                  <bgColor theme="0" tint="-0.34998626667073579"/>
                </patternFill>
              </fill>
            </x14:dxf>
          </x14:cfRule>
          <x14:cfRule type="containsText" priority="481" operator="containsText" id="{AAF86E7D-7DD6-4354-9293-C7DD00B51756}">
            <xm:f>NOT(ISERROR(SEARCH(Parametre!$B$4,I28)))</xm:f>
            <xm:f>Parametre!$B$4</xm:f>
            <x14:dxf>
              <fill>
                <patternFill>
                  <bgColor rgb="FFFF0000"/>
                </patternFill>
              </fill>
            </x14:dxf>
          </x14:cfRule>
          <x14:cfRule type="containsText" priority="482" operator="containsText" id="{3F07360C-92AD-4CD7-B3B2-0762D89F9C29}">
            <xm:f>NOT(ISERROR(SEARCH(Parametre!$B$7,I28)))</xm:f>
            <xm:f>Parametre!$B$7</xm:f>
            <x14:dxf>
              <fill>
                <patternFill>
                  <bgColor rgb="FF92D050"/>
                </patternFill>
              </fill>
            </x14:dxf>
          </x14:cfRule>
          <x14:cfRule type="containsText" priority="483" operator="containsText" id="{BFD0D765-78F2-4369-A3D7-26B3729D5AD4}">
            <xm:f>NOT(ISERROR(SEARCH(Parametre!$B$6,I28)))</xm:f>
            <xm:f>Parametre!$B$6</xm:f>
            <x14:dxf>
              <fill>
                <patternFill>
                  <bgColor rgb="FFFFC000"/>
                </patternFill>
              </fill>
            </x14:dxf>
          </x14:cfRule>
          <xm:sqref>I28</xm:sqref>
        </x14:conditionalFormatting>
        <x14:conditionalFormatting xmlns:xm="http://schemas.microsoft.com/office/excel/2006/main">
          <x14:cfRule type="containsText" priority="472" operator="containsText" id="{7E5B119A-6900-4649-8EFA-B33E83549BB6}">
            <xm:f>NOT(ISERROR(SEARCH(Parametre!$B$5,I29)))</xm:f>
            <xm:f>Parametre!$B$5</xm:f>
            <x14:dxf>
              <fill>
                <patternFill>
                  <bgColor rgb="FFFFFF00"/>
                </patternFill>
              </fill>
            </x14:dxf>
          </x14:cfRule>
          <x14:cfRule type="containsText" priority="473" operator="containsText" id="{A0B36ECF-9C81-4C2F-AE7B-3F5E5B5B5871}">
            <xm:f>NOT(ISERROR(SEARCH(Parametre!$B$3,I29)))</xm:f>
            <xm:f>Parametre!$B$3</xm:f>
            <x14:dxf>
              <fill>
                <patternFill>
                  <bgColor theme="0" tint="-0.34998626667073579"/>
                </patternFill>
              </fill>
            </x14:dxf>
          </x14:cfRule>
          <x14:cfRule type="containsText" priority="474" operator="containsText" id="{02AFDDC1-457E-42F4-B40D-7275CC785132}">
            <xm:f>NOT(ISERROR(SEARCH(Parametre!$B$4,I29)))</xm:f>
            <xm:f>Parametre!$B$4</xm:f>
            <x14:dxf>
              <fill>
                <patternFill>
                  <bgColor rgb="FFFF0000"/>
                </patternFill>
              </fill>
            </x14:dxf>
          </x14:cfRule>
          <x14:cfRule type="containsText" priority="475" operator="containsText" id="{80D81C60-C884-4FA8-BA13-0057B5EA6181}">
            <xm:f>NOT(ISERROR(SEARCH(Parametre!$B$7,I29)))</xm:f>
            <xm:f>Parametre!$B$7</xm:f>
            <x14:dxf>
              <fill>
                <patternFill>
                  <bgColor rgb="FF92D050"/>
                </patternFill>
              </fill>
            </x14:dxf>
          </x14:cfRule>
          <x14:cfRule type="containsText" priority="476" operator="containsText" id="{0AED0893-09DE-4D15-A2F6-AA0BF35633E0}">
            <xm:f>NOT(ISERROR(SEARCH(Parametre!$B$6,I29)))</xm:f>
            <xm:f>Parametre!$B$6</xm:f>
            <x14:dxf>
              <fill>
                <patternFill>
                  <bgColor rgb="FFFFC000"/>
                </patternFill>
              </fill>
            </x14:dxf>
          </x14:cfRule>
          <xm:sqref>I29</xm:sqref>
        </x14:conditionalFormatting>
        <x14:conditionalFormatting xmlns:xm="http://schemas.microsoft.com/office/excel/2006/main">
          <x14:cfRule type="containsText" priority="465" operator="containsText" id="{86F91466-ADC8-4CDC-9B60-E2A10992D74F}">
            <xm:f>NOT(ISERROR(SEARCH(Parametre!$B$5,I30)))</xm:f>
            <xm:f>Parametre!$B$5</xm:f>
            <x14:dxf>
              <fill>
                <patternFill>
                  <bgColor rgb="FFFFFF00"/>
                </patternFill>
              </fill>
            </x14:dxf>
          </x14:cfRule>
          <x14:cfRule type="containsText" priority="466" operator="containsText" id="{68FE33EC-9518-43BD-AC73-C4B4967E0C49}">
            <xm:f>NOT(ISERROR(SEARCH(Parametre!$B$3,I30)))</xm:f>
            <xm:f>Parametre!$B$3</xm:f>
            <x14:dxf>
              <fill>
                <patternFill>
                  <bgColor theme="0" tint="-0.34998626667073579"/>
                </patternFill>
              </fill>
            </x14:dxf>
          </x14:cfRule>
          <x14:cfRule type="containsText" priority="467" operator="containsText" id="{F04D7C75-5169-46EA-9522-0F5DE76EEDB6}">
            <xm:f>NOT(ISERROR(SEARCH(Parametre!$B$4,I30)))</xm:f>
            <xm:f>Parametre!$B$4</xm:f>
            <x14:dxf>
              <fill>
                <patternFill>
                  <bgColor rgb="FFFF0000"/>
                </patternFill>
              </fill>
            </x14:dxf>
          </x14:cfRule>
          <x14:cfRule type="containsText" priority="468" operator="containsText" id="{761FB782-C0AE-4410-9F0E-DBEEB0084DE6}">
            <xm:f>NOT(ISERROR(SEARCH(Parametre!$B$7,I30)))</xm:f>
            <xm:f>Parametre!$B$7</xm:f>
            <x14:dxf>
              <fill>
                <patternFill>
                  <bgColor rgb="FF92D050"/>
                </patternFill>
              </fill>
            </x14:dxf>
          </x14:cfRule>
          <x14:cfRule type="containsText" priority="469" operator="containsText" id="{5468159F-62FD-411F-8D7E-88DF992CACCF}">
            <xm:f>NOT(ISERROR(SEARCH(Parametre!$B$6,I30)))</xm:f>
            <xm:f>Parametre!$B$6</xm:f>
            <x14:dxf>
              <fill>
                <patternFill>
                  <bgColor rgb="FFFFC000"/>
                </patternFill>
              </fill>
            </x14:dxf>
          </x14:cfRule>
          <xm:sqref>I30</xm:sqref>
        </x14:conditionalFormatting>
        <x14:conditionalFormatting xmlns:xm="http://schemas.microsoft.com/office/excel/2006/main">
          <x14:cfRule type="containsText" priority="458" operator="containsText" id="{C6C04939-897F-4859-9B11-31D1BB274EA2}">
            <xm:f>NOT(ISERROR(SEARCH(Parametre!$B$5,I31)))</xm:f>
            <xm:f>Parametre!$B$5</xm:f>
            <x14:dxf>
              <fill>
                <patternFill>
                  <bgColor rgb="FFFFFF00"/>
                </patternFill>
              </fill>
            </x14:dxf>
          </x14:cfRule>
          <x14:cfRule type="containsText" priority="459" operator="containsText" id="{D755662F-8E02-4D34-8AA9-60FFBDA12A47}">
            <xm:f>NOT(ISERROR(SEARCH(Parametre!$B$3,I31)))</xm:f>
            <xm:f>Parametre!$B$3</xm:f>
            <x14:dxf>
              <fill>
                <patternFill>
                  <bgColor theme="0" tint="-0.34998626667073579"/>
                </patternFill>
              </fill>
            </x14:dxf>
          </x14:cfRule>
          <x14:cfRule type="containsText" priority="460" operator="containsText" id="{F88B6057-0689-4432-B504-2293C5F17068}">
            <xm:f>NOT(ISERROR(SEARCH(Parametre!$B$4,I31)))</xm:f>
            <xm:f>Parametre!$B$4</xm:f>
            <x14:dxf>
              <fill>
                <patternFill>
                  <bgColor rgb="FFFF0000"/>
                </patternFill>
              </fill>
            </x14:dxf>
          </x14:cfRule>
          <x14:cfRule type="containsText" priority="461" operator="containsText" id="{5C85535F-B20D-46C2-9F1D-A0157222DD89}">
            <xm:f>NOT(ISERROR(SEARCH(Parametre!$B$7,I31)))</xm:f>
            <xm:f>Parametre!$B$7</xm:f>
            <x14:dxf>
              <fill>
                <patternFill>
                  <bgColor rgb="FF92D050"/>
                </patternFill>
              </fill>
            </x14:dxf>
          </x14:cfRule>
          <x14:cfRule type="containsText" priority="462" operator="containsText" id="{C9276008-522C-4D4D-9F9B-255D77AC6397}">
            <xm:f>NOT(ISERROR(SEARCH(Parametre!$B$6,I31)))</xm:f>
            <xm:f>Parametre!$B$6</xm:f>
            <x14:dxf>
              <fill>
                <patternFill>
                  <bgColor rgb="FFFFC000"/>
                </patternFill>
              </fill>
            </x14:dxf>
          </x14:cfRule>
          <xm:sqref>I31</xm:sqref>
        </x14:conditionalFormatting>
        <x14:conditionalFormatting xmlns:xm="http://schemas.microsoft.com/office/excel/2006/main">
          <x14:cfRule type="containsText" priority="437" operator="containsText" id="{D2459F6E-4AB5-4040-9068-D0BDDBB4E6C4}">
            <xm:f>NOT(ISERROR(SEARCH(Parametre!$B$5,I33)))</xm:f>
            <xm:f>Parametre!$B$5</xm:f>
            <x14:dxf>
              <fill>
                <patternFill>
                  <bgColor rgb="FFFFFF00"/>
                </patternFill>
              </fill>
            </x14:dxf>
          </x14:cfRule>
          <x14:cfRule type="containsText" priority="438" operator="containsText" id="{B2D080A1-F89A-4ACC-93BC-3A85C6A644F4}">
            <xm:f>NOT(ISERROR(SEARCH(Parametre!$B$3,I33)))</xm:f>
            <xm:f>Parametre!$B$3</xm:f>
            <x14:dxf>
              <fill>
                <patternFill>
                  <bgColor theme="0" tint="-0.34998626667073579"/>
                </patternFill>
              </fill>
            </x14:dxf>
          </x14:cfRule>
          <x14:cfRule type="containsText" priority="439" operator="containsText" id="{30D5C551-C506-4EA7-8020-3EDF8DD6E38B}">
            <xm:f>NOT(ISERROR(SEARCH(Parametre!$B$4,I33)))</xm:f>
            <xm:f>Parametre!$B$4</xm:f>
            <x14:dxf>
              <fill>
                <patternFill>
                  <bgColor rgb="FFFF0000"/>
                </patternFill>
              </fill>
            </x14:dxf>
          </x14:cfRule>
          <x14:cfRule type="containsText" priority="440" operator="containsText" id="{338629E2-21FD-4BB1-A1AE-DFADD640FF0B}">
            <xm:f>NOT(ISERROR(SEARCH(Parametre!$B$7,I33)))</xm:f>
            <xm:f>Parametre!$B$7</xm:f>
            <x14:dxf>
              <fill>
                <patternFill>
                  <bgColor rgb="FF92D050"/>
                </patternFill>
              </fill>
            </x14:dxf>
          </x14:cfRule>
          <x14:cfRule type="containsText" priority="441" operator="containsText" id="{C54983DC-8BA0-4ECD-8EA7-C457D1AAFBFB}">
            <xm:f>NOT(ISERROR(SEARCH(Parametre!$B$6,I33)))</xm:f>
            <xm:f>Parametre!$B$6</xm:f>
            <x14:dxf>
              <fill>
                <patternFill>
                  <bgColor rgb="FFFFC000"/>
                </patternFill>
              </fill>
            </x14:dxf>
          </x14:cfRule>
          <xm:sqref>I33</xm:sqref>
        </x14:conditionalFormatting>
        <x14:conditionalFormatting xmlns:xm="http://schemas.microsoft.com/office/excel/2006/main">
          <x14:cfRule type="containsText" priority="430" operator="containsText" id="{DD4F40F4-EEBB-416F-82BC-08E8D58CCEE2}">
            <xm:f>NOT(ISERROR(SEARCH(Parametre!$B$5,I43)))</xm:f>
            <xm:f>Parametre!$B$5</xm:f>
            <x14:dxf>
              <fill>
                <patternFill>
                  <bgColor rgb="FFFFFF00"/>
                </patternFill>
              </fill>
            </x14:dxf>
          </x14:cfRule>
          <x14:cfRule type="containsText" priority="431" operator="containsText" id="{653991B7-1A05-4CB1-B895-B353BE30E871}">
            <xm:f>NOT(ISERROR(SEARCH(Parametre!$B$3,I43)))</xm:f>
            <xm:f>Parametre!$B$3</xm:f>
            <x14:dxf>
              <fill>
                <patternFill>
                  <bgColor theme="0" tint="-0.34998626667073579"/>
                </patternFill>
              </fill>
            </x14:dxf>
          </x14:cfRule>
          <x14:cfRule type="containsText" priority="432" operator="containsText" id="{E769EC55-BACC-4F21-8236-6F8860ECF169}">
            <xm:f>NOT(ISERROR(SEARCH(Parametre!$B$4,I43)))</xm:f>
            <xm:f>Parametre!$B$4</xm:f>
            <x14:dxf>
              <fill>
                <patternFill>
                  <bgColor rgb="FFFF0000"/>
                </patternFill>
              </fill>
            </x14:dxf>
          </x14:cfRule>
          <x14:cfRule type="containsText" priority="433" operator="containsText" id="{40DB7313-FCE9-44BF-8049-F6DB82697794}">
            <xm:f>NOT(ISERROR(SEARCH(Parametre!$B$7,I43)))</xm:f>
            <xm:f>Parametre!$B$7</xm:f>
            <x14:dxf>
              <fill>
                <patternFill>
                  <bgColor rgb="FF92D050"/>
                </patternFill>
              </fill>
            </x14:dxf>
          </x14:cfRule>
          <x14:cfRule type="containsText" priority="434" operator="containsText" id="{537184DE-5AED-4F07-8952-9B5BBB46811C}">
            <xm:f>NOT(ISERROR(SEARCH(Parametre!$B$6,I43)))</xm:f>
            <xm:f>Parametre!$B$6</xm:f>
            <x14:dxf>
              <fill>
                <patternFill>
                  <bgColor rgb="FFFFC000"/>
                </patternFill>
              </fill>
            </x14:dxf>
          </x14:cfRule>
          <xm:sqref>I43</xm:sqref>
        </x14:conditionalFormatting>
        <x14:conditionalFormatting xmlns:xm="http://schemas.microsoft.com/office/excel/2006/main">
          <x14:cfRule type="containsText" priority="263" operator="containsText" id="{5FFB30B0-908F-4178-937B-8409AF7CAE67}">
            <xm:f>NOT(ISERROR(SEARCH(Parametre!$B$5,I118)))</xm:f>
            <xm:f>Parametre!$B$5</xm:f>
            <x14:dxf>
              <fill>
                <patternFill>
                  <bgColor rgb="FFFFFF00"/>
                </patternFill>
              </fill>
            </x14:dxf>
          </x14:cfRule>
          <x14:cfRule type="containsText" priority="264" operator="containsText" id="{10C9A111-F9DC-4DED-9B77-87B4D120AC7F}">
            <xm:f>NOT(ISERROR(SEARCH(Parametre!$B$3,I118)))</xm:f>
            <xm:f>Parametre!$B$3</xm:f>
            <x14:dxf>
              <fill>
                <patternFill>
                  <bgColor theme="0" tint="-0.34998626667073579"/>
                </patternFill>
              </fill>
            </x14:dxf>
          </x14:cfRule>
          <x14:cfRule type="containsText" priority="265" operator="containsText" id="{D1188CB9-B0A6-4274-ABF2-15307AE379FD}">
            <xm:f>NOT(ISERROR(SEARCH(Parametre!$B$4,I118)))</xm:f>
            <xm:f>Parametre!$B$4</xm:f>
            <x14:dxf>
              <fill>
                <patternFill>
                  <bgColor rgb="FFFF0000"/>
                </patternFill>
              </fill>
            </x14:dxf>
          </x14:cfRule>
          <x14:cfRule type="containsText" priority="266" operator="containsText" id="{80C783D1-0E5E-4FD5-AF9B-65DA62685504}">
            <xm:f>NOT(ISERROR(SEARCH(Parametre!$B$7,I118)))</xm:f>
            <xm:f>Parametre!$B$7</xm:f>
            <x14:dxf>
              <fill>
                <patternFill>
                  <bgColor rgb="FF92D050"/>
                </patternFill>
              </fill>
            </x14:dxf>
          </x14:cfRule>
          <x14:cfRule type="containsText" priority="267" operator="containsText" id="{D26A406A-6061-48DD-9137-2AD125E3D29F}">
            <xm:f>NOT(ISERROR(SEARCH(Parametre!$B$6,I118)))</xm:f>
            <xm:f>Parametre!$B$6</xm:f>
            <x14:dxf>
              <fill>
                <patternFill>
                  <bgColor rgb="FFFFC000"/>
                </patternFill>
              </fill>
            </x14:dxf>
          </x14:cfRule>
          <xm:sqref>I118</xm:sqref>
        </x14:conditionalFormatting>
        <x14:conditionalFormatting xmlns:xm="http://schemas.microsoft.com/office/excel/2006/main">
          <x14:cfRule type="containsText" priority="403" operator="containsText" id="{75260956-1D05-44DA-8557-5900380B020B}">
            <xm:f>NOT(ISERROR(SEARCH(Parametre!$B$5,I44)))</xm:f>
            <xm:f>Parametre!$B$5</xm:f>
            <x14:dxf>
              <fill>
                <patternFill>
                  <bgColor rgb="FFFFFF00"/>
                </patternFill>
              </fill>
            </x14:dxf>
          </x14:cfRule>
          <x14:cfRule type="containsText" priority="404" operator="containsText" id="{CACBEF8D-5B4E-4DBF-B695-FEFEE845797C}">
            <xm:f>NOT(ISERROR(SEARCH(Parametre!$B$3,I44)))</xm:f>
            <xm:f>Parametre!$B$3</xm:f>
            <x14:dxf>
              <fill>
                <patternFill>
                  <bgColor theme="0" tint="-0.34998626667073579"/>
                </patternFill>
              </fill>
            </x14:dxf>
          </x14:cfRule>
          <x14:cfRule type="containsText" priority="405" operator="containsText" id="{96CD49F3-FA2A-4FDD-8F6E-695FFD2C03D1}">
            <xm:f>NOT(ISERROR(SEARCH(Parametre!$B$4,I44)))</xm:f>
            <xm:f>Parametre!$B$4</xm:f>
            <x14:dxf>
              <fill>
                <patternFill>
                  <bgColor rgb="FFFF0000"/>
                </patternFill>
              </fill>
            </x14:dxf>
          </x14:cfRule>
          <x14:cfRule type="containsText" priority="406" operator="containsText" id="{4CCD613D-0BBD-4407-BEA3-C2DFA092A249}">
            <xm:f>NOT(ISERROR(SEARCH(Parametre!$B$7,I44)))</xm:f>
            <xm:f>Parametre!$B$7</xm:f>
            <x14:dxf>
              <fill>
                <patternFill>
                  <bgColor rgb="FF92D050"/>
                </patternFill>
              </fill>
            </x14:dxf>
          </x14:cfRule>
          <x14:cfRule type="containsText" priority="407" operator="containsText" id="{4BD70530-E5CF-440A-94EC-9D182DEB07AA}">
            <xm:f>NOT(ISERROR(SEARCH(Parametre!$B$6,I44)))</xm:f>
            <xm:f>Parametre!$B$6</xm:f>
            <x14:dxf>
              <fill>
                <patternFill>
                  <bgColor rgb="FFFFC000"/>
                </patternFill>
              </fill>
            </x14:dxf>
          </x14:cfRule>
          <xm:sqref>I44</xm:sqref>
        </x14:conditionalFormatting>
        <x14:conditionalFormatting xmlns:xm="http://schemas.microsoft.com/office/excel/2006/main">
          <x14:cfRule type="containsText" priority="396" operator="containsText" id="{06F02F3C-F314-44E3-8A45-C7D6317118C1}">
            <xm:f>NOT(ISERROR(SEARCH(Parametre!$B$5,I47)))</xm:f>
            <xm:f>Parametre!$B$5</xm:f>
            <x14:dxf>
              <fill>
                <patternFill>
                  <bgColor rgb="FFFFFF00"/>
                </patternFill>
              </fill>
            </x14:dxf>
          </x14:cfRule>
          <x14:cfRule type="containsText" priority="397" operator="containsText" id="{9D14DEB5-356C-4D4A-95D7-6B3A783D5EC8}">
            <xm:f>NOT(ISERROR(SEARCH(Parametre!$B$3,I47)))</xm:f>
            <xm:f>Parametre!$B$3</xm:f>
            <x14:dxf>
              <fill>
                <patternFill>
                  <bgColor theme="0" tint="-0.34998626667073579"/>
                </patternFill>
              </fill>
            </x14:dxf>
          </x14:cfRule>
          <x14:cfRule type="containsText" priority="398" operator="containsText" id="{6AB2C147-9DD1-456D-BDAB-C9039A35EF4E}">
            <xm:f>NOT(ISERROR(SEARCH(Parametre!$B$4,I47)))</xm:f>
            <xm:f>Parametre!$B$4</xm:f>
            <x14:dxf>
              <fill>
                <patternFill>
                  <bgColor rgb="FFFF0000"/>
                </patternFill>
              </fill>
            </x14:dxf>
          </x14:cfRule>
          <x14:cfRule type="containsText" priority="399" operator="containsText" id="{2A43DBF6-2038-4E78-86F2-449DADDA2739}">
            <xm:f>NOT(ISERROR(SEARCH(Parametre!$B$7,I47)))</xm:f>
            <xm:f>Parametre!$B$7</xm:f>
            <x14:dxf>
              <fill>
                <patternFill>
                  <bgColor rgb="FF92D050"/>
                </patternFill>
              </fill>
            </x14:dxf>
          </x14:cfRule>
          <x14:cfRule type="containsText" priority="400" operator="containsText" id="{9697C59D-F11A-4B6F-B319-A5E295AABBFF}">
            <xm:f>NOT(ISERROR(SEARCH(Parametre!$B$6,I47)))</xm:f>
            <xm:f>Parametre!$B$6</xm:f>
            <x14:dxf>
              <fill>
                <patternFill>
                  <bgColor rgb="FFFFC000"/>
                </patternFill>
              </fill>
            </x14:dxf>
          </x14:cfRule>
          <xm:sqref>I47</xm:sqref>
        </x14:conditionalFormatting>
        <x14:conditionalFormatting xmlns:xm="http://schemas.microsoft.com/office/excel/2006/main">
          <x14:cfRule type="containsText" priority="389" operator="containsText" id="{0F695C33-76A4-4063-B8B1-4144D4CF9534}">
            <xm:f>NOT(ISERROR(SEARCH(Parametre!$B$5,I45)))</xm:f>
            <xm:f>Parametre!$B$5</xm:f>
            <x14:dxf>
              <fill>
                <patternFill>
                  <bgColor rgb="FFFFFF00"/>
                </patternFill>
              </fill>
            </x14:dxf>
          </x14:cfRule>
          <x14:cfRule type="containsText" priority="390" operator="containsText" id="{9CD4BD79-465F-4A50-A537-4AB51F635D7A}">
            <xm:f>NOT(ISERROR(SEARCH(Parametre!$B$3,I45)))</xm:f>
            <xm:f>Parametre!$B$3</xm:f>
            <x14:dxf>
              <fill>
                <patternFill>
                  <bgColor theme="0" tint="-0.34998626667073579"/>
                </patternFill>
              </fill>
            </x14:dxf>
          </x14:cfRule>
          <x14:cfRule type="containsText" priority="391" operator="containsText" id="{9A6A5D5F-06D7-4962-92A1-5B7E0DCC5684}">
            <xm:f>NOT(ISERROR(SEARCH(Parametre!$B$4,I45)))</xm:f>
            <xm:f>Parametre!$B$4</xm:f>
            <x14:dxf>
              <fill>
                <patternFill>
                  <bgColor rgb="FFFF0000"/>
                </patternFill>
              </fill>
            </x14:dxf>
          </x14:cfRule>
          <x14:cfRule type="containsText" priority="392" operator="containsText" id="{F2970BE4-D6F5-4527-8391-2614EC378398}">
            <xm:f>NOT(ISERROR(SEARCH(Parametre!$B$7,I45)))</xm:f>
            <xm:f>Parametre!$B$7</xm:f>
            <x14:dxf>
              <fill>
                <patternFill>
                  <bgColor rgb="FF92D050"/>
                </patternFill>
              </fill>
            </x14:dxf>
          </x14:cfRule>
          <x14:cfRule type="containsText" priority="393" operator="containsText" id="{E50F527A-C662-456D-A6BC-629AF26A0950}">
            <xm:f>NOT(ISERROR(SEARCH(Parametre!$B$6,I45)))</xm:f>
            <xm:f>Parametre!$B$6</xm:f>
            <x14:dxf>
              <fill>
                <patternFill>
                  <bgColor rgb="FFFFC000"/>
                </patternFill>
              </fill>
            </x14:dxf>
          </x14:cfRule>
          <xm:sqref>I45</xm:sqref>
        </x14:conditionalFormatting>
        <x14:conditionalFormatting xmlns:xm="http://schemas.microsoft.com/office/excel/2006/main">
          <x14:cfRule type="containsText" priority="382" operator="containsText" id="{633948FF-7E6A-46C2-8384-E9DFFF6BFAB4}">
            <xm:f>NOT(ISERROR(SEARCH(Parametre!$B$5,I48)))</xm:f>
            <xm:f>Parametre!$B$5</xm:f>
            <x14:dxf>
              <fill>
                <patternFill>
                  <bgColor rgb="FFFFFF00"/>
                </patternFill>
              </fill>
            </x14:dxf>
          </x14:cfRule>
          <x14:cfRule type="containsText" priority="383" operator="containsText" id="{C585A201-B1CA-4AD2-B32A-C6CC41828BF0}">
            <xm:f>NOT(ISERROR(SEARCH(Parametre!$B$3,I48)))</xm:f>
            <xm:f>Parametre!$B$3</xm:f>
            <x14:dxf>
              <fill>
                <patternFill>
                  <bgColor theme="0" tint="-0.34998626667073579"/>
                </patternFill>
              </fill>
            </x14:dxf>
          </x14:cfRule>
          <x14:cfRule type="containsText" priority="384" operator="containsText" id="{20AAA5DE-64BF-426B-A990-67FC24FF94E1}">
            <xm:f>NOT(ISERROR(SEARCH(Parametre!$B$4,I48)))</xm:f>
            <xm:f>Parametre!$B$4</xm:f>
            <x14:dxf>
              <fill>
                <patternFill>
                  <bgColor rgb="FFFF0000"/>
                </patternFill>
              </fill>
            </x14:dxf>
          </x14:cfRule>
          <x14:cfRule type="containsText" priority="385" operator="containsText" id="{267EA426-1EF2-47FD-942F-092D6D9C5CEA}">
            <xm:f>NOT(ISERROR(SEARCH(Parametre!$B$7,I48)))</xm:f>
            <xm:f>Parametre!$B$7</xm:f>
            <x14:dxf>
              <fill>
                <patternFill>
                  <bgColor rgb="FF92D050"/>
                </patternFill>
              </fill>
            </x14:dxf>
          </x14:cfRule>
          <x14:cfRule type="containsText" priority="386" operator="containsText" id="{F415978B-A974-46CE-83BD-C5B384240435}">
            <xm:f>NOT(ISERROR(SEARCH(Parametre!$B$6,I48)))</xm:f>
            <xm:f>Parametre!$B$6</xm:f>
            <x14:dxf>
              <fill>
                <patternFill>
                  <bgColor rgb="FFFFC000"/>
                </patternFill>
              </fill>
            </x14:dxf>
          </x14:cfRule>
          <xm:sqref>I48</xm:sqref>
        </x14:conditionalFormatting>
        <x14:conditionalFormatting xmlns:xm="http://schemas.microsoft.com/office/excel/2006/main">
          <x14:cfRule type="containsText" priority="375" operator="containsText" id="{73420EB5-F3E0-48F7-84B3-75F29E7C3E66}">
            <xm:f>NOT(ISERROR(SEARCH(Parametre!$B$5,I46)))</xm:f>
            <xm:f>Parametre!$B$5</xm:f>
            <x14:dxf>
              <fill>
                <patternFill>
                  <bgColor rgb="FFFFFF00"/>
                </patternFill>
              </fill>
            </x14:dxf>
          </x14:cfRule>
          <x14:cfRule type="containsText" priority="376" operator="containsText" id="{D639DA0E-DACA-4F96-9BC3-57B6F2017C4C}">
            <xm:f>NOT(ISERROR(SEARCH(Parametre!$B$3,I46)))</xm:f>
            <xm:f>Parametre!$B$3</xm:f>
            <x14:dxf>
              <fill>
                <patternFill>
                  <bgColor theme="0" tint="-0.34998626667073579"/>
                </patternFill>
              </fill>
            </x14:dxf>
          </x14:cfRule>
          <x14:cfRule type="containsText" priority="377" operator="containsText" id="{431D8A10-8F4A-4BE8-8679-D06DFAB6E074}">
            <xm:f>NOT(ISERROR(SEARCH(Parametre!$B$4,I46)))</xm:f>
            <xm:f>Parametre!$B$4</xm:f>
            <x14:dxf>
              <fill>
                <patternFill>
                  <bgColor rgb="FFFF0000"/>
                </patternFill>
              </fill>
            </x14:dxf>
          </x14:cfRule>
          <x14:cfRule type="containsText" priority="378" operator="containsText" id="{32236799-3E65-4826-841E-57CC897A9D31}">
            <xm:f>NOT(ISERROR(SEARCH(Parametre!$B$7,I46)))</xm:f>
            <xm:f>Parametre!$B$7</xm:f>
            <x14:dxf>
              <fill>
                <patternFill>
                  <bgColor rgb="FF92D050"/>
                </patternFill>
              </fill>
            </x14:dxf>
          </x14:cfRule>
          <x14:cfRule type="containsText" priority="379" operator="containsText" id="{89994F7A-98FA-43AA-A3D1-B3CDFE39EECB}">
            <xm:f>NOT(ISERROR(SEARCH(Parametre!$B$6,I46)))</xm:f>
            <xm:f>Parametre!$B$6</xm:f>
            <x14:dxf>
              <fill>
                <patternFill>
                  <bgColor rgb="FFFFC000"/>
                </patternFill>
              </fill>
            </x14:dxf>
          </x14:cfRule>
          <xm:sqref>I46</xm:sqref>
        </x14:conditionalFormatting>
        <x14:conditionalFormatting xmlns:xm="http://schemas.microsoft.com/office/excel/2006/main">
          <x14:cfRule type="containsText" priority="368" operator="containsText" id="{7BAF5C05-FAF7-45B3-8450-8E60925AFA7E}">
            <xm:f>NOT(ISERROR(SEARCH(Parametre!$B$5,I49)))</xm:f>
            <xm:f>Parametre!$B$5</xm:f>
            <x14:dxf>
              <fill>
                <patternFill>
                  <bgColor rgb="FFFFFF00"/>
                </patternFill>
              </fill>
            </x14:dxf>
          </x14:cfRule>
          <x14:cfRule type="containsText" priority="369" operator="containsText" id="{B5BA1772-8C7F-4BEA-9072-73725EFA9205}">
            <xm:f>NOT(ISERROR(SEARCH(Parametre!$B$3,I49)))</xm:f>
            <xm:f>Parametre!$B$3</xm:f>
            <x14:dxf>
              <fill>
                <patternFill>
                  <bgColor theme="0" tint="-0.34998626667073579"/>
                </patternFill>
              </fill>
            </x14:dxf>
          </x14:cfRule>
          <x14:cfRule type="containsText" priority="370" operator="containsText" id="{92591F52-ADD0-43AD-B3CA-7CC741F1115D}">
            <xm:f>NOT(ISERROR(SEARCH(Parametre!$B$4,I49)))</xm:f>
            <xm:f>Parametre!$B$4</xm:f>
            <x14:dxf>
              <fill>
                <patternFill>
                  <bgColor rgb="FFFF0000"/>
                </patternFill>
              </fill>
            </x14:dxf>
          </x14:cfRule>
          <x14:cfRule type="containsText" priority="371" operator="containsText" id="{343E3F77-181E-43D9-9C1D-50FBB0796C72}">
            <xm:f>NOT(ISERROR(SEARCH(Parametre!$B$7,I49)))</xm:f>
            <xm:f>Parametre!$B$7</xm:f>
            <x14:dxf>
              <fill>
                <patternFill>
                  <bgColor rgb="FF92D050"/>
                </patternFill>
              </fill>
            </x14:dxf>
          </x14:cfRule>
          <x14:cfRule type="containsText" priority="372" operator="containsText" id="{A632C200-130B-4F07-8614-3F2C98770443}">
            <xm:f>NOT(ISERROR(SEARCH(Parametre!$B$6,I49)))</xm:f>
            <xm:f>Parametre!$B$6</xm:f>
            <x14:dxf>
              <fill>
                <patternFill>
                  <bgColor rgb="FFFFC000"/>
                </patternFill>
              </fill>
            </x14:dxf>
          </x14:cfRule>
          <xm:sqref>I49</xm:sqref>
        </x14:conditionalFormatting>
        <x14:conditionalFormatting xmlns:xm="http://schemas.microsoft.com/office/excel/2006/main">
          <x14:cfRule type="containsText" priority="361" operator="containsText" id="{AA5E62EF-E344-4C4E-A442-8485D394D0A0}">
            <xm:f>NOT(ISERROR(SEARCH(Parametre!$B$5,I50)))</xm:f>
            <xm:f>Parametre!$B$5</xm:f>
            <x14:dxf>
              <fill>
                <patternFill>
                  <bgColor rgb="FFFFFF00"/>
                </patternFill>
              </fill>
            </x14:dxf>
          </x14:cfRule>
          <x14:cfRule type="containsText" priority="362" operator="containsText" id="{8FE92DFF-83B7-4319-AF51-4842F04B3283}">
            <xm:f>NOT(ISERROR(SEARCH(Parametre!$B$3,I50)))</xm:f>
            <xm:f>Parametre!$B$3</xm:f>
            <x14:dxf>
              <fill>
                <patternFill>
                  <bgColor theme="0" tint="-0.34998626667073579"/>
                </patternFill>
              </fill>
            </x14:dxf>
          </x14:cfRule>
          <x14:cfRule type="containsText" priority="363" operator="containsText" id="{D8F1A1D1-B8A4-4DDE-B7AD-C3EABE52FC16}">
            <xm:f>NOT(ISERROR(SEARCH(Parametre!$B$4,I50)))</xm:f>
            <xm:f>Parametre!$B$4</xm:f>
            <x14:dxf>
              <fill>
                <patternFill>
                  <bgColor rgb="FFFF0000"/>
                </patternFill>
              </fill>
            </x14:dxf>
          </x14:cfRule>
          <x14:cfRule type="containsText" priority="364" operator="containsText" id="{A996400F-7FAE-4B66-82B4-EA94A5692053}">
            <xm:f>NOT(ISERROR(SEARCH(Parametre!$B$7,I50)))</xm:f>
            <xm:f>Parametre!$B$7</xm:f>
            <x14:dxf>
              <fill>
                <patternFill>
                  <bgColor rgb="FF92D050"/>
                </patternFill>
              </fill>
            </x14:dxf>
          </x14:cfRule>
          <x14:cfRule type="containsText" priority="365" operator="containsText" id="{5B0F8AD0-E12E-422E-B457-B00FBE218064}">
            <xm:f>NOT(ISERROR(SEARCH(Parametre!$B$6,I50)))</xm:f>
            <xm:f>Parametre!$B$6</xm:f>
            <x14:dxf>
              <fill>
                <patternFill>
                  <bgColor rgb="FFFFC000"/>
                </patternFill>
              </fill>
            </x14:dxf>
          </x14:cfRule>
          <xm:sqref>I50</xm:sqref>
        </x14:conditionalFormatting>
        <x14:conditionalFormatting xmlns:xm="http://schemas.microsoft.com/office/excel/2006/main">
          <x14:cfRule type="containsText" priority="354" operator="containsText" id="{C2F1A9D9-146D-46F6-88E3-70F1D37E8834}">
            <xm:f>NOT(ISERROR(SEARCH(Parametre!$B$5,I53)))</xm:f>
            <xm:f>Parametre!$B$5</xm:f>
            <x14:dxf>
              <fill>
                <patternFill>
                  <bgColor rgb="FFFFFF00"/>
                </patternFill>
              </fill>
            </x14:dxf>
          </x14:cfRule>
          <x14:cfRule type="containsText" priority="355" operator="containsText" id="{C67B6E1D-5922-4334-A0FE-66F9CE9DC5EB}">
            <xm:f>NOT(ISERROR(SEARCH(Parametre!$B$3,I53)))</xm:f>
            <xm:f>Parametre!$B$3</xm:f>
            <x14:dxf>
              <fill>
                <patternFill>
                  <bgColor theme="0" tint="-0.34998626667073579"/>
                </patternFill>
              </fill>
            </x14:dxf>
          </x14:cfRule>
          <x14:cfRule type="containsText" priority="356" operator="containsText" id="{1F3B4B68-D034-4A01-9E65-06B3F404FBD6}">
            <xm:f>NOT(ISERROR(SEARCH(Parametre!$B$4,I53)))</xm:f>
            <xm:f>Parametre!$B$4</xm:f>
            <x14:dxf>
              <fill>
                <patternFill>
                  <bgColor rgb="FFFF0000"/>
                </patternFill>
              </fill>
            </x14:dxf>
          </x14:cfRule>
          <x14:cfRule type="containsText" priority="357" operator="containsText" id="{25DF3F41-A4C1-4A34-BD13-B3CC7499F831}">
            <xm:f>NOT(ISERROR(SEARCH(Parametre!$B$7,I53)))</xm:f>
            <xm:f>Parametre!$B$7</xm:f>
            <x14:dxf>
              <fill>
                <patternFill>
                  <bgColor rgb="FF92D050"/>
                </patternFill>
              </fill>
            </x14:dxf>
          </x14:cfRule>
          <x14:cfRule type="containsText" priority="358" operator="containsText" id="{65353961-538A-4B35-95E5-DE003DB0F275}">
            <xm:f>NOT(ISERROR(SEARCH(Parametre!$B$6,I53)))</xm:f>
            <xm:f>Parametre!$B$6</xm:f>
            <x14:dxf>
              <fill>
                <patternFill>
                  <bgColor rgb="FFFFC000"/>
                </patternFill>
              </fill>
            </x14:dxf>
          </x14:cfRule>
          <xm:sqref>I53</xm:sqref>
        </x14:conditionalFormatting>
        <x14:conditionalFormatting xmlns:xm="http://schemas.microsoft.com/office/excel/2006/main">
          <x14:cfRule type="containsText" priority="347" operator="containsText" id="{595828AD-06F5-4F0C-9AFD-B1E4E72E5C45}">
            <xm:f>NOT(ISERROR(SEARCH(Parametre!$B$5,I51)))</xm:f>
            <xm:f>Parametre!$B$5</xm:f>
            <x14:dxf>
              <fill>
                <patternFill>
                  <bgColor rgb="FFFFFF00"/>
                </patternFill>
              </fill>
            </x14:dxf>
          </x14:cfRule>
          <x14:cfRule type="containsText" priority="348" operator="containsText" id="{10BDD31B-8B1A-402B-A8D1-494D86D75BEA}">
            <xm:f>NOT(ISERROR(SEARCH(Parametre!$B$3,I51)))</xm:f>
            <xm:f>Parametre!$B$3</xm:f>
            <x14:dxf>
              <fill>
                <patternFill>
                  <bgColor theme="0" tint="-0.34998626667073579"/>
                </patternFill>
              </fill>
            </x14:dxf>
          </x14:cfRule>
          <x14:cfRule type="containsText" priority="349" operator="containsText" id="{626DA22E-9BDA-4F1E-B0AD-C2273951BC76}">
            <xm:f>NOT(ISERROR(SEARCH(Parametre!$B$4,I51)))</xm:f>
            <xm:f>Parametre!$B$4</xm:f>
            <x14:dxf>
              <fill>
                <patternFill>
                  <bgColor rgb="FFFF0000"/>
                </patternFill>
              </fill>
            </x14:dxf>
          </x14:cfRule>
          <x14:cfRule type="containsText" priority="350" operator="containsText" id="{5C6CE0C2-5796-4314-A592-1C2FF6BB7E74}">
            <xm:f>NOT(ISERROR(SEARCH(Parametre!$B$7,I51)))</xm:f>
            <xm:f>Parametre!$B$7</xm:f>
            <x14:dxf>
              <fill>
                <patternFill>
                  <bgColor rgb="FF92D050"/>
                </patternFill>
              </fill>
            </x14:dxf>
          </x14:cfRule>
          <x14:cfRule type="containsText" priority="351" operator="containsText" id="{16FAFA5E-9A29-4565-B5D3-2F1F7D2281A0}">
            <xm:f>NOT(ISERROR(SEARCH(Parametre!$B$6,I51)))</xm:f>
            <xm:f>Parametre!$B$6</xm:f>
            <x14:dxf>
              <fill>
                <patternFill>
                  <bgColor rgb="FFFFC000"/>
                </patternFill>
              </fill>
            </x14:dxf>
          </x14:cfRule>
          <xm:sqref>I51</xm:sqref>
        </x14:conditionalFormatting>
        <x14:conditionalFormatting xmlns:xm="http://schemas.microsoft.com/office/excel/2006/main">
          <x14:cfRule type="containsText" priority="333" operator="containsText" id="{87D5B64E-4819-44E8-8450-1DB4B04373F0}">
            <xm:f>NOT(ISERROR(SEARCH(Parametre!$B$5,I52)))</xm:f>
            <xm:f>Parametre!$B$5</xm:f>
            <x14:dxf>
              <fill>
                <patternFill>
                  <bgColor rgb="FFFFFF00"/>
                </patternFill>
              </fill>
            </x14:dxf>
          </x14:cfRule>
          <x14:cfRule type="containsText" priority="334" operator="containsText" id="{30178AFB-ED9E-42DC-9B60-054D81BF8FB1}">
            <xm:f>NOT(ISERROR(SEARCH(Parametre!$B$3,I52)))</xm:f>
            <xm:f>Parametre!$B$3</xm:f>
            <x14:dxf>
              <fill>
                <patternFill>
                  <bgColor theme="0" tint="-0.34998626667073579"/>
                </patternFill>
              </fill>
            </x14:dxf>
          </x14:cfRule>
          <x14:cfRule type="containsText" priority="335" operator="containsText" id="{85C959CE-5DB7-4A04-BCDE-4139F27355BE}">
            <xm:f>NOT(ISERROR(SEARCH(Parametre!$B$4,I52)))</xm:f>
            <xm:f>Parametre!$B$4</xm:f>
            <x14:dxf>
              <fill>
                <patternFill>
                  <bgColor rgb="FFFF0000"/>
                </patternFill>
              </fill>
            </x14:dxf>
          </x14:cfRule>
          <x14:cfRule type="containsText" priority="336" operator="containsText" id="{6197DE26-E99D-4386-9AE3-147AC0ADBB09}">
            <xm:f>NOT(ISERROR(SEARCH(Parametre!$B$7,I52)))</xm:f>
            <xm:f>Parametre!$B$7</xm:f>
            <x14:dxf>
              <fill>
                <patternFill>
                  <bgColor rgb="FF92D050"/>
                </patternFill>
              </fill>
            </x14:dxf>
          </x14:cfRule>
          <x14:cfRule type="containsText" priority="337" operator="containsText" id="{CA283AFB-8A64-4E1D-ACAC-93E457EEBF44}">
            <xm:f>NOT(ISERROR(SEARCH(Parametre!$B$6,I52)))</xm:f>
            <xm:f>Parametre!$B$6</xm:f>
            <x14:dxf>
              <fill>
                <patternFill>
                  <bgColor rgb="FFFFC000"/>
                </patternFill>
              </fill>
            </x14:dxf>
          </x14:cfRule>
          <xm:sqref>I52</xm:sqref>
        </x14:conditionalFormatting>
        <x14:conditionalFormatting xmlns:xm="http://schemas.microsoft.com/office/excel/2006/main">
          <x14:cfRule type="containsText" priority="326" operator="containsText" id="{B409FC8C-B6C4-4C09-9E16-DDC785AD965B}">
            <xm:f>NOT(ISERROR(SEARCH(Parametre!$B$5,I55)))</xm:f>
            <xm:f>Parametre!$B$5</xm:f>
            <x14:dxf>
              <fill>
                <patternFill>
                  <bgColor rgb="FFFFFF00"/>
                </patternFill>
              </fill>
            </x14:dxf>
          </x14:cfRule>
          <x14:cfRule type="containsText" priority="327" operator="containsText" id="{39D790E4-1BF2-487A-B8F8-CC98216EC676}">
            <xm:f>NOT(ISERROR(SEARCH(Parametre!$B$3,I55)))</xm:f>
            <xm:f>Parametre!$B$3</xm:f>
            <x14:dxf>
              <fill>
                <patternFill>
                  <bgColor theme="0" tint="-0.34998626667073579"/>
                </patternFill>
              </fill>
            </x14:dxf>
          </x14:cfRule>
          <x14:cfRule type="containsText" priority="328" operator="containsText" id="{AC005CA4-BF8E-4BB5-A8FC-911EE03EABA7}">
            <xm:f>NOT(ISERROR(SEARCH(Parametre!$B$4,I55)))</xm:f>
            <xm:f>Parametre!$B$4</xm:f>
            <x14:dxf>
              <fill>
                <patternFill>
                  <bgColor rgb="FFFF0000"/>
                </patternFill>
              </fill>
            </x14:dxf>
          </x14:cfRule>
          <x14:cfRule type="containsText" priority="329" operator="containsText" id="{497FA3E3-ED8E-4553-AA88-22502BA9B025}">
            <xm:f>NOT(ISERROR(SEARCH(Parametre!$B$7,I55)))</xm:f>
            <xm:f>Parametre!$B$7</xm:f>
            <x14:dxf>
              <fill>
                <patternFill>
                  <bgColor rgb="FF92D050"/>
                </patternFill>
              </fill>
            </x14:dxf>
          </x14:cfRule>
          <x14:cfRule type="containsText" priority="330" operator="containsText" id="{340FA7F5-86CA-42BD-AE4F-85D98C3F1F2E}">
            <xm:f>NOT(ISERROR(SEARCH(Parametre!$B$6,I55)))</xm:f>
            <xm:f>Parametre!$B$6</xm:f>
            <x14:dxf>
              <fill>
                <patternFill>
                  <bgColor rgb="FFFFC000"/>
                </patternFill>
              </fill>
            </x14:dxf>
          </x14:cfRule>
          <xm:sqref>I55</xm:sqref>
        </x14:conditionalFormatting>
        <x14:conditionalFormatting xmlns:xm="http://schemas.microsoft.com/office/excel/2006/main">
          <x14:cfRule type="containsText" priority="306" operator="containsText" id="{774FF6F8-C0FA-4D30-A794-701A1A7431FB}">
            <xm:f>NOT(ISERROR(SEARCH(Parametre!$B$5,I65)))</xm:f>
            <xm:f>Parametre!$B$5</xm:f>
            <x14:dxf>
              <fill>
                <patternFill>
                  <bgColor rgb="FFFFFF00"/>
                </patternFill>
              </fill>
            </x14:dxf>
          </x14:cfRule>
          <x14:cfRule type="containsText" priority="307" operator="containsText" id="{9667A1DB-69EA-46AD-8AF7-F9E10CBEB1BD}">
            <xm:f>NOT(ISERROR(SEARCH(Parametre!$B$3,I65)))</xm:f>
            <xm:f>Parametre!$B$3</xm:f>
            <x14:dxf>
              <fill>
                <patternFill>
                  <bgColor theme="0" tint="-0.34998626667073579"/>
                </patternFill>
              </fill>
            </x14:dxf>
          </x14:cfRule>
          <x14:cfRule type="containsText" priority="308" operator="containsText" id="{FE6293DA-733E-4C21-85CB-59B61AF015D2}">
            <xm:f>NOT(ISERROR(SEARCH(Parametre!$B$4,I65)))</xm:f>
            <xm:f>Parametre!$B$4</xm:f>
            <x14:dxf>
              <fill>
                <patternFill>
                  <bgColor rgb="FFFF0000"/>
                </patternFill>
              </fill>
            </x14:dxf>
          </x14:cfRule>
          <x14:cfRule type="containsText" priority="309" operator="containsText" id="{1FCDA0AB-2982-4BD7-98A6-BA6FD2BE10B0}">
            <xm:f>NOT(ISERROR(SEARCH(Parametre!$B$7,I65)))</xm:f>
            <xm:f>Parametre!$B$7</xm:f>
            <x14:dxf>
              <fill>
                <patternFill>
                  <bgColor rgb="FF92D050"/>
                </patternFill>
              </fill>
            </x14:dxf>
          </x14:cfRule>
          <x14:cfRule type="containsText" priority="310" operator="containsText" id="{C6E8958D-6B30-496F-9096-16C1B62EDBEA}">
            <xm:f>NOT(ISERROR(SEARCH(Parametre!$B$6,I65)))</xm:f>
            <xm:f>Parametre!$B$6</xm:f>
            <x14:dxf>
              <fill>
                <patternFill>
                  <bgColor rgb="FFFFC000"/>
                </patternFill>
              </fill>
            </x14:dxf>
          </x14:cfRule>
          <xm:sqref>I65</xm:sqref>
        </x14:conditionalFormatting>
        <x14:conditionalFormatting xmlns:xm="http://schemas.microsoft.com/office/excel/2006/main">
          <x14:cfRule type="containsText" priority="319" operator="containsText" id="{2219C2A9-8A93-403A-B54F-CA6354404C4D}">
            <xm:f>NOT(ISERROR(SEARCH(Parametre!$B$5,I63)))</xm:f>
            <xm:f>Parametre!$B$5</xm:f>
            <x14:dxf>
              <fill>
                <patternFill>
                  <bgColor rgb="FFFFFF00"/>
                </patternFill>
              </fill>
            </x14:dxf>
          </x14:cfRule>
          <x14:cfRule type="containsText" priority="320" operator="containsText" id="{E4FB9DB5-97EB-479A-8E28-A361892D3841}">
            <xm:f>NOT(ISERROR(SEARCH(Parametre!$B$3,I63)))</xm:f>
            <xm:f>Parametre!$B$3</xm:f>
            <x14:dxf>
              <fill>
                <patternFill>
                  <bgColor theme="0" tint="-0.34998626667073579"/>
                </patternFill>
              </fill>
            </x14:dxf>
          </x14:cfRule>
          <x14:cfRule type="containsText" priority="321" operator="containsText" id="{ABEBB221-D8E3-49DD-8A98-60A08468FE06}">
            <xm:f>NOT(ISERROR(SEARCH(Parametre!$B$4,I63)))</xm:f>
            <xm:f>Parametre!$B$4</xm:f>
            <x14:dxf>
              <fill>
                <patternFill>
                  <bgColor rgb="FFFF0000"/>
                </patternFill>
              </fill>
            </x14:dxf>
          </x14:cfRule>
          <x14:cfRule type="containsText" priority="322" operator="containsText" id="{584C302D-4FC9-49F4-ACFF-0B14867B44A0}">
            <xm:f>NOT(ISERROR(SEARCH(Parametre!$B$7,I63)))</xm:f>
            <xm:f>Parametre!$B$7</xm:f>
            <x14:dxf>
              <fill>
                <patternFill>
                  <bgColor rgb="FF92D050"/>
                </patternFill>
              </fill>
            </x14:dxf>
          </x14:cfRule>
          <x14:cfRule type="containsText" priority="323" operator="containsText" id="{122CBE8E-43B0-4263-8A6A-086DF3E105B8}">
            <xm:f>NOT(ISERROR(SEARCH(Parametre!$B$6,I63)))</xm:f>
            <xm:f>Parametre!$B$6</xm:f>
            <x14:dxf>
              <fill>
                <patternFill>
                  <bgColor rgb="FFFFC000"/>
                </patternFill>
              </fill>
            </x14:dxf>
          </x14:cfRule>
          <xm:sqref>I63</xm:sqref>
        </x14:conditionalFormatting>
        <x14:conditionalFormatting xmlns:xm="http://schemas.microsoft.com/office/excel/2006/main">
          <x14:cfRule type="containsText" priority="312" operator="containsText" id="{6A4DE5B5-8EAB-4A3F-98E7-37C313BA1372}">
            <xm:f>NOT(ISERROR(SEARCH(Parametre!$B$5,I64)))</xm:f>
            <xm:f>Parametre!$B$5</xm:f>
            <x14:dxf>
              <fill>
                <patternFill>
                  <bgColor rgb="FFFFFF00"/>
                </patternFill>
              </fill>
            </x14:dxf>
          </x14:cfRule>
          <x14:cfRule type="containsText" priority="313" operator="containsText" id="{35F7E591-6BDE-48F2-9691-743FB5CD1FB0}">
            <xm:f>NOT(ISERROR(SEARCH(Parametre!$B$3,I64)))</xm:f>
            <xm:f>Parametre!$B$3</xm:f>
            <x14:dxf>
              <fill>
                <patternFill>
                  <bgColor theme="0" tint="-0.34998626667073579"/>
                </patternFill>
              </fill>
            </x14:dxf>
          </x14:cfRule>
          <x14:cfRule type="containsText" priority="314" operator="containsText" id="{C123BB26-CDA5-42EF-B75A-FD9707C19D25}">
            <xm:f>NOT(ISERROR(SEARCH(Parametre!$B$4,I64)))</xm:f>
            <xm:f>Parametre!$B$4</xm:f>
            <x14:dxf>
              <fill>
                <patternFill>
                  <bgColor rgb="FFFF0000"/>
                </patternFill>
              </fill>
            </x14:dxf>
          </x14:cfRule>
          <x14:cfRule type="containsText" priority="315" operator="containsText" id="{5F64984C-4F3A-4AAE-A6F1-DA595CD2E90D}">
            <xm:f>NOT(ISERROR(SEARCH(Parametre!$B$7,I64)))</xm:f>
            <xm:f>Parametre!$B$7</xm:f>
            <x14:dxf>
              <fill>
                <patternFill>
                  <bgColor rgb="FF92D050"/>
                </patternFill>
              </fill>
            </x14:dxf>
          </x14:cfRule>
          <x14:cfRule type="containsText" priority="316" operator="containsText" id="{CBF2AD97-8D12-46DF-BD6A-A692DB3D3090}">
            <xm:f>NOT(ISERROR(SEARCH(Parametre!$B$6,I64)))</xm:f>
            <xm:f>Parametre!$B$6</xm:f>
            <x14:dxf>
              <fill>
                <patternFill>
                  <bgColor rgb="FFFFC000"/>
                </patternFill>
              </fill>
            </x14:dxf>
          </x14:cfRule>
          <xm:sqref>I64</xm:sqref>
        </x14:conditionalFormatting>
        <x14:conditionalFormatting xmlns:xm="http://schemas.microsoft.com/office/excel/2006/main">
          <x14:cfRule type="containsText" priority="285" operator="containsText" id="{C9B1A721-A5E2-4343-9096-C13FF7E4519D}">
            <xm:f>NOT(ISERROR(SEARCH(Parametre!$B$5,I68)))</xm:f>
            <xm:f>Parametre!$B$5</xm:f>
            <x14:dxf>
              <fill>
                <patternFill>
                  <bgColor rgb="FFFFFF00"/>
                </patternFill>
              </fill>
            </x14:dxf>
          </x14:cfRule>
          <x14:cfRule type="containsText" priority="286" operator="containsText" id="{A890C51A-4D03-4DBF-B12C-D5A0E0A9E915}">
            <xm:f>NOT(ISERROR(SEARCH(Parametre!$B$3,I68)))</xm:f>
            <xm:f>Parametre!$B$3</xm:f>
            <x14:dxf>
              <fill>
                <patternFill>
                  <bgColor theme="0" tint="-0.34998626667073579"/>
                </patternFill>
              </fill>
            </x14:dxf>
          </x14:cfRule>
          <x14:cfRule type="containsText" priority="287" operator="containsText" id="{C8DCDAD2-0A6B-4CD3-8388-C1475A71BC77}">
            <xm:f>NOT(ISERROR(SEARCH(Parametre!$B$4,I68)))</xm:f>
            <xm:f>Parametre!$B$4</xm:f>
            <x14:dxf>
              <fill>
                <patternFill>
                  <bgColor rgb="FFFF0000"/>
                </patternFill>
              </fill>
            </x14:dxf>
          </x14:cfRule>
          <x14:cfRule type="containsText" priority="288" operator="containsText" id="{A854B9CB-D657-424C-84E6-107EC6D0B10C}">
            <xm:f>NOT(ISERROR(SEARCH(Parametre!$B$7,I68)))</xm:f>
            <xm:f>Parametre!$B$7</xm:f>
            <x14:dxf>
              <fill>
                <patternFill>
                  <bgColor rgb="FF92D050"/>
                </patternFill>
              </fill>
            </x14:dxf>
          </x14:cfRule>
          <x14:cfRule type="containsText" priority="289" operator="containsText" id="{55BB4E32-08C7-4AC4-8E01-4EE620F5A2B0}">
            <xm:f>NOT(ISERROR(SEARCH(Parametre!$B$6,I68)))</xm:f>
            <xm:f>Parametre!$B$6</xm:f>
            <x14:dxf>
              <fill>
                <patternFill>
                  <bgColor rgb="FFFFC000"/>
                </patternFill>
              </fill>
            </x14:dxf>
          </x14:cfRule>
          <xm:sqref>I68</xm:sqref>
        </x14:conditionalFormatting>
        <x14:conditionalFormatting xmlns:xm="http://schemas.microsoft.com/office/excel/2006/main">
          <x14:cfRule type="containsText" priority="298" operator="containsText" id="{F3EC9F45-F7DC-469C-9A4D-52BDE0EDDCC3}">
            <xm:f>NOT(ISERROR(SEARCH(Parametre!$B$5,I66)))</xm:f>
            <xm:f>Parametre!$B$5</xm:f>
            <x14:dxf>
              <fill>
                <patternFill>
                  <bgColor rgb="FFFFFF00"/>
                </patternFill>
              </fill>
            </x14:dxf>
          </x14:cfRule>
          <x14:cfRule type="containsText" priority="299" operator="containsText" id="{B3018505-CF35-4359-BEAD-9FF8074B8568}">
            <xm:f>NOT(ISERROR(SEARCH(Parametre!$B$3,I66)))</xm:f>
            <xm:f>Parametre!$B$3</xm:f>
            <x14:dxf>
              <fill>
                <patternFill>
                  <bgColor theme="0" tint="-0.34998626667073579"/>
                </patternFill>
              </fill>
            </x14:dxf>
          </x14:cfRule>
          <x14:cfRule type="containsText" priority="300" operator="containsText" id="{88A90C2E-E0A0-47CF-ADF4-F9A17CD39C9A}">
            <xm:f>NOT(ISERROR(SEARCH(Parametre!$B$4,I66)))</xm:f>
            <xm:f>Parametre!$B$4</xm:f>
            <x14:dxf>
              <fill>
                <patternFill>
                  <bgColor rgb="FFFF0000"/>
                </patternFill>
              </fill>
            </x14:dxf>
          </x14:cfRule>
          <x14:cfRule type="containsText" priority="301" operator="containsText" id="{B957CACA-45F5-482A-A289-4034F5787C0D}">
            <xm:f>NOT(ISERROR(SEARCH(Parametre!$B$7,I66)))</xm:f>
            <xm:f>Parametre!$B$7</xm:f>
            <x14:dxf>
              <fill>
                <patternFill>
                  <bgColor rgb="FF92D050"/>
                </patternFill>
              </fill>
            </x14:dxf>
          </x14:cfRule>
          <x14:cfRule type="containsText" priority="302" operator="containsText" id="{A11BF25F-DA88-43CF-B557-A4B42CD3F500}">
            <xm:f>NOT(ISERROR(SEARCH(Parametre!$B$6,I66)))</xm:f>
            <xm:f>Parametre!$B$6</xm:f>
            <x14:dxf>
              <fill>
                <patternFill>
                  <bgColor rgb="FFFFC000"/>
                </patternFill>
              </fill>
            </x14:dxf>
          </x14:cfRule>
          <xm:sqref>I66</xm:sqref>
        </x14:conditionalFormatting>
        <x14:conditionalFormatting xmlns:xm="http://schemas.microsoft.com/office/excel/2006/main">
          <x14:cfRule type="containsText" priority="291" operator="containsText" id="{D80AF602-10AE-4454-B613-1BE7E1DD180F}">
            <xm:f>NOT(ISERROR(SEARCH(Parametre!$B$5,I67)))</xm:f>
            <xm:f>Parametre!$B$5</xm:f>
            <x14:dxf>
              <fill>
                <patternFill>
                  <bgColor rgb="FFFFFF00"/>
                </patternFill>
              </fill>
            </x14:dxf>
          </x14:cfRule>
          <x14:cfRule type="containsText" priority="292" operator="containsText" id="{6031EAFE-4C23-4685-A111-D18F34757FEA}">
            <xm:f>NOT(ISERROR(SEARCH(Parametre!$B$3,I67)))</xm:f>
            <xm:f>Parametre!$B$3</xm:f>
            <x14:dxf>
              <fill>
                <patternFill>
                  <bgColor theme="0" tint="-0.34998626667073579"/>
                </patternFill>
              </fill>
            </x14:dxf>
          </x14:cfRule>
          <x14:cfRule type="containsText" priority="293" operator="containsText" id="{F737F4AA-70D4-445D-A1DB-E7478098A279}">
            <xm:f>NOT(ISERROR(SEARCH(Parametre!$B$4,I67)))</xm:f>
            <xm:f>Parametre!$B$4</xm:f>
            <x14:dxf>
              <fill>
                <patternFill>
                  <bgColor rgb="FFFF0000"/>
                </patternFill>
              </fill>
            </x14:dxf>
          </x14:cfRule>
          <x14:cfRule type="containsText" priority="294" operator="containsText" id="{4AA234E2-9699-4C12-AEBB-B4102BA3D59F}">
            <xm:f>NOT(ISERROR(SEARCH(Parametre!$B$7,I67)))</xm:f>
            <xm:f>Parametre!$B$7</xm:f>
            <x14:dxf>
              <fill>
                <patternFill>
                  <bgColor rgb="FF92D050"/>
                </patternFill>
              </fill>
            </x14:dxf>
          </x14:cfRule>
          <x14:cfRule type="containsText" priority="295" operator="containsText" id="{7C4601C9-E246-49D1-9CD7-29D11C913700}">
            <xm:f>NOT(ISERROR(SEARCH(Parametre!$B$6,I67)))</xm:f>
            <xm:f>Parametre!$B$6</xm:f>
            <x14:dxf>
              <fill>
                <patternFill>
                  <bgColor rgb="FFFFC000"/>
                </patternFill>
              </fill>
            </x14:dxf>
          </x14:cfRule>
          <xm:sqref>I67</xm:sqref>
        </x14:conditionalFormatting>
        <x14:conditionalFormatting xmlns:xm="http://schemas.microsoft.com/office/excel/2006/main">
          <x14:cfRule type="containsText" priority="277" operator="containsText" id="{C7F2890E-B575-4375-991E-24A58EF26253}">
            <xm:f>NOT(ISERROR(SEARCH(Parametre!$B$5,I93)))</xm:f>
            <xm:f>Parametre!$B$5</xm:f>
            <x14:dxf>
              <fill>
                <patternFill>
                  <bgColor rgb="FFFFFF00"/>
                </patternFill>
              </fill>
            </x14:dxf>
          </x14:cfRule>
          <x14:cfRule type="containsText" priority="278" operator="containsText" id="{8CEE38F4-4A21-4033-BEE8-B28E3258342B}">
            <xm:f>NOT(ISERROR(SEARCH(Parametre!$B$3,I93)))</xm:f>
            <xm:f>Parametre!$B$3</xm:f>
            <x14:dxf>
              <fill>
                <patternFill>
                  <bgColor theme="0" tint="-0.34998626667073579"/>
                </patternFill>
              </fill>
            </x14:dxf>
          </x14:cfRule>
          <x14:cfRule type="containsText" priority="279" operator="containsText" id="{F4B158E1-292F-4FF5-BFA9-336166D38682}">
            <xm:f>NOT(ISERROR(SEARCH(Parametre!$B$4,I93)))</xm:f>
            <xm:f>Parametre!$B$4</xm:f>
            <x14:dxf>
              <fill>
                <patternFill>
                  <bgColor rgb="FFFF0000"/>
                </patternFill>
              </fill>
            </x14:dxf>
          </x14:cfRule>
          <x14:cfRule type="containsText" priority="280" operator="containsText" id="{FF729CDF-7AB0-4BD0-A2D2-9E3D5918A9F0}">
            <xm:f>NOT(ISERROR(SEARCH(Parametre!$B$7,I93)))</xm:f>
            <xm:f>Parametre!$B$7</xm:f>
            <x14:dxf>
              <fill>
                <patternFill>
                  <bgColor rgb="FF92D050"/>
                </patternFill>
              </fill>
            </x14:dxf>
          </x14:cfRule>
          <x14:cfRule type="containsText" priority="281" operator="containsText" id="{41838D55-745A-472D-9300-46870B835EC4}">
            <xm:f>NOT(ISERROR(SEARCH(Parametre!$B$6,I93)))</xm:f>
            <xm:f>Parametre!$B$6</xm:f>
            <x14:dxf>
              <fill>
                <patternFill>
                  <bgColor rgb="FFFFC000"/>
                </patternFill>
              </fill>
            </x14:dxf>
          </x14:cfRule>
          <xm:sqref>I93</xm:sqref>
        </x14:conditionalFormatting>
        <x14:conditionalFormatting xmlns:xm="http://schemas.microsoft.com/office/excel/2006/main">
          <x14:cfRule type="containsText" priority="270" operator="containsText" id="{9B1B8105-9F3F-4D72-B38D-B5F5D4D5718B}">
            <xm:f>NOT(ISERROR(SEARCH(Parametre!$B$5,I95)))</xm:f>
            <xm:f>Parametre!$B$5</xm:f>
            <x14:dxf>
              <fill>
                <patternFill>
                  <bgColor rgb="FFFFFF00"/>
                </patternFill>
              </fill>
            </x14:dxf>
          </x14:cfRule>
          <x14:cfRule type="containsText" priority="271" operator="containsText" id="{D098EF03-4F4B-41F1-B34D-1510A8D7AC7B}">
            <xm:f>NOT(ISERROR(SEARCH(Parametre!$B$3,I95)))</xm:f>
            <xm:f>Parametre!$B$3</xm:f>
            <x14:dxf>
              <fill>
                <patternFill>
                  <bgColor theme="0" tint="-0.34998626667073579"/>
                </patternFill>
              </fill>
            </x14:dxf>
          </x14:cfRule>
          <x14:cfRule type="containsText" priority="272" operator="containsText" id="{BE75500B-F2A1-4058-95B3-AC52A7595702}">
            <xm:f>NOT(ISERROR(SEARCH(Parametre!$B$4,I95)))</xm:f>
            <xm:f>Parametre!$B$4</xm:f>
            <x14:dxf>
              <fill>
                <patternFill>
                  <bgColor rgb="FFFF0000"/>
                </patternFill>
              </fill>
            </x14:dxf>
          </x14:cfRule>
          <x14:cfRule type="containsText" priority="273" operator="containsText" id="{821DFE3A-3CA9-4538-8F73-FF45A40C2904}">
            <xm:f>NOT(ISERROR(SEARCH(Parametre!$B$7,I95)))</xm:f>
            <xm:f>Parametre!$B$7</xm:f>
            <x14:dxf>
              <fill>
                <patternFill>
                  <bgColor rgb="FF92D050"/>
                </patternFill>
              </fill>
            </x14:dxf>
          </x14:cfRule>
          <x14:cfRule type="containsText" priority="274" operator="containsText" id="{9EE56FF2-2FE8-4420-8152-60B098B7DF5D}">
            <xm:f>NOT(ISERROR(SEARCH(Parametre!$B$6,I95)))</xm:f>
            <xm:f>Parametre!$B$6</xm:f>
            <x14:dxf>
              <fill>
                <patternFill>
                  <bgColor rgb="FFFFC000"/>
                </patternFill>
              </fill>
            </x14:dxf>
          </x14:cfRule>
          <xm:sqref>I95</xm:sqref>
        </x14:conditionalFormatting>
        <x14:conditionalFormatting xmlns:xm="http://schemas.microsoft.com/office/excel/2006/main">
          <x14:cfRule type="containsText" priority="254" operator="containsText" id="{BE844AB8-0AA8-40DF-9463-BE7FB6FD3B18}">
            <xm:f>NOT(ISERROR(SEARCH(Parametre!$B$5,I119)))</xm:f>
            <xm:f>Parametre!$B$5</xm:f>
            <x14:dxf>
              <fill>
                <patternFill>
                  <bgColor rgb="FFFFFF00"/>
                </patternFill>
              </fill>
            </x14:dxf>
          </x14:cfRule>
          <x14:cfRule type="containsText" priority="255" operator="containsText" id="{428C211F-8147-4435-A75B-216E3CDEA29F}">
            <xm:f>NOT(ISERROR(SEARCH(Parametre!$B$3,I119)))</xm:f>
            <xm:f>Parametre!$B$3</xm:f>
            <x14:dxf>
              <fill>
                <patternFill>
                  <bgColor theme="0" tint="-0.34998626667073579"/>
                </patternFill>
              </fill>
            </x14:dxf>
          </x14:cfRule>
          <x14:cfRule type="containsText" priority="256" operator="containsText" id="{3AD50615-991D-4E27-8C97-6196AAE5C4EF}">
            <xm:f>NOT(ISERROR(SEARCH(Parametre!$B$4,I119)))</xm:f>
            <xm:f>Parametre!$B$4</xm:f>
            <x14:dxf>
              <fill>
                <patternFill>
                  <bgColor rgb="FFFF0000"/>
                </patternFill>
              </fill>
            </x14:dxf>
          </x14:cfRule>
          <x14:cfRule type="containsText" priority="257" operator="containsText" id="{6398A705-8B00-40FC-A653-6229A2F1E4A4}">
            <xm:f>NOT(ISERROR(SEARCH(Parametre!$B$7,I119)))</xm:f>
            <xm:f>Parametre!$B$7</xm:f>
            <x14:dxf>
              <fill>
                <patternFill>
                  <bgColor rgb="FF92D050"/>
                </patternFill>
              </fill>
            </x14:dxf>
          </x14:cfRule>
          <x14:cfRule type="containsText" priority="258" operator="containsText" id="{F83FF31C-3B9B-410A-B8CA-39A0EB1CEFE2}">
            <xm:f>NOT(ISERROR(SEARCH(Parametre!$B$6,I119)))</xm:f>
            <xm:f>Parametre!$B$6</xm:f>
            <x14:dxf>
              <fill>
                <patternFill>
                  <bgColor rgb="FFFFC000"/>
                </patternFill>
              </fill>
            </x14:dxf>
          </x14:cfRule>
          <xm:sqref>I119</xm:sqref>
        </x14:conditionalFormatting>
        <x14:conditionalFormatting xmlns:xm="http://schemas.microsoft.com/office/excel/2006/main">
          <x14:cfRule type="containsText" priority="245" operator="containsText" id="{E3873FB2-0D8A-4DE0-AF9E-14ABE44A32D1}">
            <xm:f>NOT(ISERROR(SEARCH(Parametre!$B$5,I122)))</xm:f>
            <xm:f>Parametre!$B$5</xm:f>
            <x14:dxf>
              <fill>
                <patternFill>
                  <bgColor rgb="FFFFFF00"/>
                </patternFill>
              </fill>
            </x14:dxf>
          </x14:cfRule>
          <x14:cfRule type="containsText" priority="246" operator="containsText" id="{FDB46109-CA35-4F19-B04B-4B893218764E}">
            <xm:f>NOT(ISERROR(SEARCH(Parametre!$B$3,I122)))</xm:f>
            <xm:f>Parametre!$B$3</xm:f>
            <x14:dxf>
              <fill>
                <patternFill>
                  <bgColor theme="0" tint="-0.34998626667073579"/>
                </patternFill>
              </fill>
            </x14:dxf>
          </x14:cfRule>
          <x14:cfRule type="containsText" priority="247" operator="containsText" id="{91333031-4B1E-4B4C-9E48-4AC11734C4DD}">
            <xm:f>NOT(ISERROR(SEARCH(Parametre!$B$4,I122)))</xm:f>
            <xm:f>Parametre!$B$4</xm:f>
            <x14:dxf>
              <fill>
                <patternFill>
                  <bgColor rgb="FFFF0000"/>
                </patternFill>
              </fill>
            </x14:dxf>
          </x14:cfRule>
          <x14:cfRule type="containsText" priority="248" operator="containsText" id="{42FEEC05-83F1-4D7C-AD10-A1FA5BD9484C}">
            <xm:f>NOT(ISERROR(SEARCH(Parametre!$B$7,I122)))</xm:f>
            <xm:f>Parametre!$B$7</xm:f>
            <x14:dxf>
              <fill>
                <patternFill>
                  <bgColor rgb="FF92D050"/>
                </patternFill>
              </fill>
            </x14:dxf>
          </x14:cfRule>
          <x14:cfRule type="containsText" priority="249" operator="containsText" id="{8EE05405-EEF9-4436-8BDD-929DB2DE7144}">
            <xm:f>NOT(ISERROR(SEARCH(Parametre!$B$6,I122)))</xm:f>
            <xm:f>Parametre!$B$6</xm:f>
            <x14:dxf>
              <fill>
                <patternFill>
                  <bgColor rgb="FFFFC000"/>
                </patternFill>
              </fill>
            </x14:dxf>
          </x14:cfRule>
          <xm:sqref>I122</xm:sqref>
        </x14:conditionalFormatting>
        <x14:conditionalFormatting xmlns:xm="http://schemas.microsoft.com/office/excel/2006/main">
          <x14:cfRule type="containsText" priority="162" operator="containsText" id="{45ABE01E-9E89-47EF-B37D-88F1E1CC60EB}">
            <xm:f>NOT(ISERROR(SEARCH(Parametre!$B$5,I85)))</xm:f>
            <xm:f>Parametre!$B$5</xm:f>
            <x14:dxf>
              <fill>
                <patternFill>
                  <bgColor rgb="FFFFFF00"/>
                </patternFill>
              </fill>
            </x14:dxf>
          </x14:cfRule>
          <x14:cfRule type="containsText" priority="163" operator="containsText" id="{B1CE393E-9F60-45A9-A073-3879DFDEB237}">
            <xm:f>NOT(ISERROR(SEARCH(Parametre!$B$3,I85)))</xm:f>
            <xm:f>Parametre!$B$3</xm:f>
            <x14:dxf>
              <fill>
                <patternFill>
                  <bgColor theme="0" tint="-0.34998626667073579"/>
                </patternFill>
              </fill>
            </x14:dxf>
          </x14:cfRule>
          <x14:cfRule type="containsText" priority="164" operator="containsText" id="{E10E2D93-65A6-4D26-AF68-A8F05FEBE37F}">
            <xm:f>NOT(ISERROR(SEARCH(Parametre!$B$4,I85)))</xm:f>
            <xm:f>Parametre!$B$4</xm:f>
            <x14:dxf>
              <fill>
                <patternFill>
                  <bgColor rgb="FFFF0000"/>
                </patternFill>
              </fill>
            </x14:dxf>
          </x14:cfRule>
          <x14:cfRule type="containsText" priority="165" operator="containsText" id="{6CCE2D66-8ADC-4232-B37B-45D387B4DD5C}">
            <xm:f>NOT(ISERROR(SEARCH(Parametre!$B$7,I85)))</xm:f>
            <xm:f>Parametre!$B$7</xm:f>
            <x14:dxf>
              <fill>
                <patternFill>
                  <bgColor rgb="FF92D050"/>
                </patternFill>
              </fill>
            </x14:dxf>
          </x14:cfRule>
          <x14:cfRule type="containsText" priority="166" operator="containsText" id="{09016263-BB2F-4676-B160-E09A5115FA77}">
            <xm:f>NOT(ISERROR(SEARCH(Parametre!$B$6,I85)))</xm:f>
            <xm:f>Parametre!$B$6</xm:f>
            <x14:dxf>
              <fill>
                <patternFill>
                  <bgColor rgb="FFFFC000"/>
                </patternFill>
              </fill>
            </x14:dxf>
          </x14:cfRule>
          <xm:sqref>I85</xm:sqref>
        </x14:conditionalFormatting>
        <x14:conditionalFormatting xmlns:xm="http://schemas.microsoft.com/office/excel/2006/main">
          <x14:cfRule type="containsText" priority="155" operator="containsText" id="{9D63AF09-30A5-4386-B989-D28A9BB0FCAA}">
            <xm:f>NOT(ISERROR(SEARCH(Parametre!$B$5,I88)))</xm:f>
            <xm:f>Parametre!$B$5</xm:f>
            <x14:dxf>
              <fill>
                <patternFill>
                  <bgColor rgb="FFFFFF00"/>
                </patternFill>
              </fill>
            </x14:dxf>
          </x14:cfRule>
          <x14:cfRule type="containsText" priority="156" operator="containsText" id="{ADA4B631-1956-4657-A062-C6BDBA363961}">
            <xm:f>NOT(ISERROR(SEARCH(Parametre!$B$3,I88)))</xm:f>
            <xm:f>Parametre!$B$3</xm:f>
            <x14:dxf>
              <fill>
                <patternFill>
                  <bgColor theme="0" tint="-0.34998626667073579"/>
                </patternFill>
              </fill>
            </x14:dxf>
          </x14:cfRule>
          <x14:cfRule type="containsText" priority="157" operator="containsText" id="{A207C4BC-F553-4C0A-A4A8-C0D927E3C346}">
            <xm:f>NOT(ISERROR(SEARCH(Parametre!$B$4,I88)))</xm:f>
            <xm:f>Parametre!$B$4</xm:f>
            <x14:dxf>
              <fill>
                <patternFill>
                  <bgColor rgb="FFFF0000"/>
                </patternFill>
              </fill>
            </x14:dxf>
          </x14:cfRule>
          <x14:cfRule type="containsText" priority="158" operator="containsText" id="{E42FCFE4-6E05-41AE-945D-FE1BDB915436}">
            <xm:f>NOT(ISERROR(SEARCH(Parametre!$B$7,I88)))</xm:f>
            <xm:f>Parametre!$B$7</xm:f>
            <x14:dxf>
              <fill>
                <patternFill>
                  <bgColor rgb="FF92D050"/>
                </patternFill>
              </fill>
            </x14:dxf>
          </x14:cfRule>
          <x14:cfRule type="containsText" priority="159" operator="containsText" id="{5195A146-B9C6-4737-8AB3-48890A43D21D}">
            <xm:f>NOT(ISERROR(SEARCH(Parametre!$B$6,I88)))</xm:f>
            <xm:f>Parametre!$B$6</xm:f>
            <x14:dxf>
              <fill>
                <patternFill>
                  <bgColor rgb="FFFFC000"/>
                </patternFill>
              </fill>
            </x14:dxf>
          </x14:cfRule>
          <xm:sqref>I88</xm:sqref>
        </x14:conditionalFormatting>
        <x14:conditionalFormatting xmlns:xm="http://schemas.microsoft.com/office/excel/2006/main">
          <x14:cfRule type="containsText" priority="147" operator="containsText" id="{F218A694-7B1E-4D55-82F9-F5B04DD0D7B1}">
            <xm:f>NOT(ISERROR(SEARCH(Parametre!$B$5,I27)))</xm:f>
            <xm:f>Parametre!$B$5</xm:f>
            <x14:dxf>
              <fill>
                <patternFill>
                  <bgColor rgb="FFFFFF00"/>
                </patternFill>
              </fill>
            </x14:dxf>
          </x14:cfRule>
          <x14:cfRule type="containsText" priority="148" operator="containsText" id="{B9518FC9-6D0F-436C-86AD-05E4050AFD09}">
            <xm:f>NOT(ISERROR(SEARCH(Parametre!$B$3,I27)))</xm:f>
            <xm:f>Parametre!$B$3</xm:f>
            <x14:dxf>
              <fill>
                <patternFill>
                  <bgColor theme="0" tint="-0.34998626667073579"/>
                </patternFill>
              </fill>
            </x14:dxf>
          </x14:cfRule>
          <x14:cfRule type="containsText" priority="149" operator="containsText" id="{1ED0C5F5-7587-4BE0-8074-28040CAB6F86}">
            <xm:f>NOT(ISERROR(SEARCH(Parametre!$B$4,I27)))</xm:f>
            <xm:f>Parametre!$B$4</xm:f>
            <x14:dxf>
              <fill>
                <patternFill>
                  <bgColor rgb="FFFF0000"/>
                </patternFill>
              </fill>
            </x14:dxf>
          </x14:cfRule>
          <x14:cfRule type="containsText" priority="150" operator="containsText" id="{C0242DDF-9F83-441B-8FBD-C672698D203E}">
            <xm:f>NOT(ISERROR(SEARCH(Parametre!$B$7,I27)))</xm:f>
            <xm:f>Parametre!$B$7</xm:f>
            <x14:dxf>
              <fill>
                <patternFill>
                  <bgColor rgb="FF92D050"/>
                </patternFill>
              </fill>
            </x14:dxf>
          </x14:cfRule>
          <x14:cfRule type="containsText" priority="151" operator="containsText" id="{EB0D0A51-FDFA-47F8-8A73-E1673662F0C7}">
            <xm:f>NOT(ISERROR(SEARCH(Parametre!$B$6,I27)))</xm:f>
            <xm:f>Parametre!$B$6</xm:f>
            <x14:dxf>
              <fill>
                <patternFill>
                  <bgColor rgb="FFFFC000"/>
                </patternFill>
              </fill>
            </x14:dxf>
          </x14:cfRule>
          <xm:sqref>I27</xm:sqref>
        </x14:conditionalFormatting>
        <x14:conditionalFormatting xmlns:xm="http://schemas.microsoft.com/office/excel/2006/main">
          <x14:cfRule type="containsText" priority="142" operator="containsText" id="{CDE5A518-0192-49F5-8273-1A6CCD5B7FEB}">
            <xm:f>NOT(ISERROR(SEARCH(Parametre!$B$5,I99)))</xm:f>
            <xm:f>Parametre!$B$5</xm:f>
            <x14:dxf>
              <fill>
                <patternFill>
                  <bgColor rgb="FFFFFF00"/>
                </patternFill>
              </fill>
            </x14:dxf>
          </x14:cfRule>
          <x14:cfRule type="containsText" priority="143" operator="containsText" id="{BFC7E370-DA19-4163-9E51-1C23408894C6}">
            <xm:f>NOT(ISERROR(SEARCH(Parametre!$B$3,I99)))</xm:f>
            <xm:f>Parametre!$B$3</xm:f>
            <x14:dxf>
              <fill>
                <patternFill>
                  <bgColor theme="0" tint="-0.34998626667073579"/>
                </patternFill>
              </fill>
            </x14:dxf>
          </x14:cfRule>
          <x14:cfRule type="containsText" priority="144" operator="containsText" id="{BCBD9FC8-D77C-4712-8F37-6AA423F423CB}">
            <xm:f>NOT(ISERROR(SEARCH(Parametre!$B$4,I99)))</xm:f>
            <xm:f>Parametre!$B$4</xm:f>
            <x14:dxf>
              <fill>
                <patternFill>
                  <bgColor rgb="FFFF0000"/>
                </patternFill>
              </fill>
            </x14:dxf>
          </x14:cfRule>
          <x14:cfRule type="containsText" priority="145" operator="containsText" id="{47A1B523-4D13-4791-AEAA-4ADE0E3D7E4C}">
            <xm:f>NOT(ISERROR(SEARCH(Parametre!$B$7,I99)))</xm:f>
            <xm:f>Parametre!$B$7</xm:f>
            <x14:dxf>
              <fill>
                <patternFill>
                  <bgColor rgb="FF92D050"/>
                </patternFill>
              </fill>
            </x14:dxf>
          </x14:cfRule>
          <x14:cfRule type="containsText" priority="146" operator="containsText" id="{EFB45DDB-8DF0-4386-A569-CB28EBEC439B}">
            <xm:f>NOT(ISERROR(SEARCH(Parametre!$B$6,I99)))</xm:f>
            <xm:f>Parametre!$B$6</xm:f>
            <x14:dxf>
              <fill>
                <patternFill>
                  <bgColor rgb="FFFFC000"/>
                </patternFill>
              </fill>
            </x14:dxf>
          </x14:cfRule>
          <xm:sqref>I99:I103</xm:sqref>
        </x14:conditionalFormatting>
        <x14:conditionalFormatting xmlns:xm="http://schemas.microsoft.com/office/excel/2006/main">
          <x14:cfRule type="containsText" priority="132" operator="containsText" id="{1FF96E6E-A3E9-450A-9615-C98B187D98F7}">
            <xm:f>NOT(ISERROR(SEARCH(Parametre!$B$5,I32)))</xm:f>
            <xm:f>Parametre!$B$5</xm:f>
            <x14:dxf>
              <fill>
                <patternFill>
                  <bgColor rgb="FFFFFF00"/>
                </patternFill>
              </fill>
            </x14:dxf>
          </x14:cfRule>
          <x14:cfRule type="containsText" priority="133" operator="containsText" id="{54ED514F-BB78-48AE-8781-9635257B3B5A}">
            <xm:f>NOT(ISERROR(SEARCH(Parametre!$B$3,I32)))</xm:f>
            <xm:f>Parametre!$B$3</xm:f>
            <x14:dxf>
              <fill>
                <patternFill>
                  <bgColor theme="0" tint="-0.34998626667073579"/>
                </patternFill>
              </fill>
            </x14:dxf>
          </x14:cfRule>
          <x14:cfRule type="containsText" priority="134" operator="containsText" id="{6AE3B6D0-7257-4E6E-9DB8-4886443FBD92}">
            <xm:f>NOT(ISERROR(SEARCH(Parametre!$B$4,I32)))</xm:f>
            <xm:f>Parametre!$B$4</xm:f>
            <x14:dxf>
              <fill>
                <patternFill>
                  <bgColor rgb="FFFF0000"/>
                </patternFill>
              </fill>
            </x14:dxf>
          </x14:cfRule>
          <x14:cfRule type="containsText" priority="135" operator="containsText" id="{F3A22EB4-CB8F-4BDB-9905-A31D3059D348}">
            <xm:f>NOT(ISERROR(SEARCH(Parametre!$B$7,I32)))</xm:f>
            <xm:f>Parametre!$B$7</xm:f>
            <x14:dxf>
              <fill>
                <patternFill>
                  <bgColor rgb="FF92D050"/>
                </patternFill>
              </fill>
            </x14:dxf>
          </x14:cfRule>
          <x14:cfRule type="containsText" priority="136" operator="containsText" id="{4BDDE9CC-48BB-47AC-901F-AAF01C865D60}">
            <xm:f>NOT(ISERROR(SEARCH(Parametre!$B$6,I32)))</xm:f>
            <xm:f>Parametre!$B$6</xm:f>
            <x14:dxf>
              <fill>
                <patternFill>
                  <bgColor rgb="FFFFC000"/>
                </patternFill>
              </fill>
            </x14:dxf>
          </x14:cfRule>
          <xm:sqref>I32</xm:sqref>
        </x14:conditionalFormatting>
        <x14:conditionalFormatting xmlns:xm="http://schemas.microsoft.com/office/excel/2006/main">
          <x14:cfRule type="containsText" priority="126" operator="containsText" id="{035BCA0E-51DB-4070-A6D6-D76C5CD2617A}">
            <xm:f>NOT(ISERROR(SEARCH(Parametre!$B$5,I133)))</xm:f>
            <xm:f>Parametre!$B$5</xm:f>
            <x14:dxf>
              <fill>
                <patternFill>
                  <bgColor rgb="FFFFFF00"/>
                </patternFill>
              </fill>
            </x14:dxf>
          </x14:cfRule>
          <x14:cfRule type="containsText" priority="127" operator="containsText" id="{7EFE1784-7499-426D-87CD-B579AB6D67F2}">
            <xm:f>NOT(ISERROR(SEARCH(Parametre!$B$3,I133)))</xm:f>
            <xm:f>Parametre!$B$3</xm:f>
            <x14:dxf>
              <fill>
                <patternFill>
                  <bgColor theme="0" tint="-0.34998626667073579"/>
                </patternFill>
              </fill>
            </x14:dxf>
          </x14:cfRule>
          <x14:cfRule type="containsText" priority="128" operator="containsText" id="{B3516DA9-FD09-426F-B8AD-E09A02024892}">
            <xm:f>NOT(ISERROR(SEARCH(Parametre!$B$4,I133)))</xm:f>
            <xm:f>Parametre!$B$4</xm:f>
            <x14:dxf>
              <fill>
                <patternFill>
                  <bgColor rgb="FFFF0000"/>
                </patternFill>
              </fill>
            </x14:dxf>
          </x14:cfRule>
          <x14:cfRule type="containsText" priority="129" operator="containsText" id="{238B3769-AC2C-4831-BE6D-E5EEE846D9AE}">
            <xm:f>NOT(ISERROR(SEARCH(Parametre!$B$7,I133)))</xm:f>
            <xm:f>Parametre!$B$7</xm:f>
            <x14:dxf>
              <fill>
                <patternFill>
                  <bgColor rgb="FF92D050"/>
                </patternFill>
              </fill>
            </x14:dxf>
          </x14:cfRule>
          <x14:cfRule type="containsText" priority="130" operator="containsText" id="{107F34F8-854E-4884-B2C1-26777D6411AE}">
            <xm:f>NOT(ISERROR(SEARCH(Parametre!$B$6,I133)))</xm:f>
            <xm:f>Parametre!$B$6</xm:f>
            <x14:dxf>
              <fill>
                <patternFill>
                  <bgColor rgb="FFFFC000"/>
                </patternFill>
              </fill>
            </x14:dxf>
          </x14:cfRule>
          <xm:sqref>I133</xm:sqref>
        </x14:conditionalFormatting>
        <x14:conditionalFormatting xmlns:xm="http://schemas.microsoft.com/office/excel/2006/main">
          <x14:cfRule type="containsText" priority="115" operator="containsText" id="{EAC02217-5071-44B8-94BC-9C1B141975C1}">
            <xm:f>NOT(ISERROR(SEARCH(Parametre!$B$5,I126)))</xm:f>
            <xm:f>Parametre!$B$5</xm:f>
            <x14:dxf>
              <fill>
                <patternFill>
                  <bgColor rgb="FFFFFF00"/>
                </patternFill>
              </fill>
            </x14:dxf>
          </x14:cfRule>
          <x14:cfRule type="containsText" priority="116" operator="containsText" id="{CB8E258A-1194-45D7-B651-3086EB73459B}">
            <xm:f>NOT(ISERROR(SEARCH(Parametre!$B$3,I126)))</xm:f>
            <xm:f>Parametre!$B$3</xm:f>
            <x14:dxf>
              <fill>
                <patternFill>
                  <bgColor theme="0" tint="-0.34998626667073579"/>
                </patternFill>
              </fill>
            </x14:dxf>
          </x14:cfRule>
          <x14:cfRule type="containsText" priority="117" operator="containsText" id="{9E3F9B4F-6664-4A84-8733-45ED87D8F66F}">
            <xm:f>NOT(ISERROR(SEARCH(Parametre!$B$4,I126)))</xm:f>
            <xm:f>Parametre!$B$4</xm:f>
            <x14:dxf>
              <fill>
                <patternFill>
                  <bgColor rgb="FFFF0000"/>
                </patternFill>
              </fill>
            </x14:dxf>
          </x14:cfRule>
          <x14:cfRule type="containsText" priority="118" operator="containsText" id="{835D5F14-350B-4249-B511-96F4C235B819}">
            <xm:f>NOT(ISERROR(SEARCH(Parametre!$B$7,I126)))</xm:f>
            <xm:f>Parametre!$B$7</xm:f>
            <x14:dxf>
              <fill>
                <patternFill>
                  <bgColor rgb="FF92D050"/>
                </patternFill>
              </fill>
            </x14:dxf>
          </x14:cfRule>
          <x14:cfRule type="containsText" priority="119" operator="containsText" id="{CF6A711C-A283-4FEE-BE8B-21BC5EC82D7A}">
            <xm:f>NOT(ISERROR(SEARCH(Parametre!$B$6,I126)))</xm:f>
            <xm:f>Parametre!$B$6</xm:f>
            <x14:dxf>
              <fill>
                <patternFill>
                  <bgColor rgb="FFFFC000"/>
                </patternFill>
              </fill>
            </x14:dxf>
          </x14:cfRule>
          <xm:sqref>I126</xm:sqref>
        </x14:conditionalFormatting>
        <x14:conditionalFormatting xmlns:xm="http://schemas.microsoft.com/office/excel/2006/main">
          <x14:cfRule type="containsText" priority="106" operator="containsText" id="{9C372010-EE62-4809-9B86-3274C222887A}">
            <xm:f>NOT(ISERROR(SEARCH(Parametre!$B$5,I127)))</xm:f>
            <xm:f>Parametre!$B$5</xm:f>
            <x14:dxf>
              <fill>
                <patternFill>
                  <bgColor rgb="FFFFFF00"/>
                </patternFill>
              </fill>
            </x14:dxf>
          </x14:cfRule>
          <x14:cfRule type="containsText" priority="107" operator="containsText" id="{5354051B-A8EF-4476-A337-A787D63D6556}">
            <xm:f>NOT(ISERROR(SEARCH(Parametre!$B$3,I127)))</xm:f>
            <xm:f>Parametre!$B$3</xm:f>
            <x14:dxf>
              <fill>
                <patternFill>
                  <bgColor theme="0" tint="-0.34998626667073579"/>
                </patternFill>
              </fill>
            </x14:dxf>
          </x14:cfRule>
          <x14:cfRule type="containsText" priority="108" operator="containsText" id="{D2F3B2F4-24D6-444C-92E0-122D916EB6E5}">
            <xm:f>NOT(ISERROR(SEARCH(Parametre!$B$4,I127)))</xm:f>
            <xm:f>Parametre!$B$4</xm:f>
            <x14:dxf>
              <fill>
                <patternFill>
                  <bgColor rgb="FFFF0000"/>
                </patternFill>
              </fill>
            </x14:dxf>
          </x14:cfRule>
          <x14:cfRule type="containsText" priority="109" operator="containsText" id="{184BE3D4-E951-40A0-A35C-E9092B3F837D}">
            <xm:f>NOT(ISERROR(SEARCH(Parametre!$B$7,I127)))</xm:f>
            <xm:f>Parametre!$B$7</xm:f>
            <x14:dxf>
              <fill>
                <patternFill>
                  <bgColor rgb="FF92D050"/>
                </patternFill>
              </fill>
            </x14:dxf>
          </x14:cfRule>
          <x14:cfRule type="containsText" priority="110" operator="containsText" id="{D0AF310F-3376-445A-97F2-D33FF43D64C2}">
            <xm:f>NOT(ISERROR(SEARCH(Parametre!$B$6,I127)))</xm:f>
            <xm:f>Parametre!$B$6</xm:f>
            <x14:dxf>
              <fill>
                <patternFill>
                  <bgColor rgb="FFFFC000"/>
                </patternFill>
              </fill>
            </x14:dxf>
          </x14:cfRule>
          <xm:sqref>I127</xm:sqref>
        </x14:conditionalFormatting>
        <x14:conditionalFormatting xmlns:xm="http://schemas.microsoft.com/office/excel/2006/main">
          <x14:cfRule type="containsText" priority="97" operator="containsText" id="{855946A3-E6FF-4EBA-AD61-E64AC4122EC3}">
            <xm:f>NOT(ISERROR(SEARCH(Parametre!$B$5,I128)))</xm:f>
            <xm:f>Parametre!$B$5</xm:f>
            <x14:dxf>
              <fill>
                <patternFill>
                  <bgColor rgb="FFFFFF00"/>
                </patternFill>
              </fill>
            </x14:dxf>
          </x14:cfRule>
          <x14:cfRule type="containsText" priority="98" operator="containsText" id="{ED7D3D13-DFEF-4E28-A117-F502F8B516D0}">
            <xm:f>NOT(ISERROR(SEARCH(Parametre!$B$3,I128)))</xm:f>
            <xm:f>Parametre!$B$3</xm:f>
            <x14:dxf>
              <fill>
                <patternFill>
                  <bgColor theme="0" tint="-0.34998626667073579"/>
                </patternFill>
              </fill>
            </x14:dxf>
          </x14:cfRule>
          <x14:cfRule type="containsText" priority="99" operator="containsText" id="{AAE76049-39D1-4814-8FDB-59668BE8ED9D}">
            <xm:f>NOT(ISERROR(SEARCH(Parametre!$B$4,I128)))</xm:f>
            <xm:f>Parametre!$B$4</xm:f>
            <x14:dxf>
              <fill>
                <patternFill>
                  <bgColor rgb="FFFF0000"/>
                </patternFill>
              </fill>
            </x14:dxf>
          </x14:cfRule>
          <x14:cfRule type="containsText" priority="100" operator="containsText" id="{C283DC4C-2CB7-47C3-A7F3-5048C9D5C778}">
            <xm:f>NOT(ISERROR(SEARCH(Parametre!$B$7,I128)))</xm:f>
            <xm:f>Parametre!$B$7</xm:f>
            <x14:dxf>
              <fill>
                <patternFill>
                  <bgColor rgb="FF92D050"/>
                </patternFill>
              </fill>
            </x14:dxf>
          </x14:cfRule>
          <x14:cfRule type="containsText" priority="101" operator="containsText" id="{2355B322-5757-47D3-808A-EA291B37B123}">
            <xm:f>NOT(ISERROR(SEARCH(Parametre!$B$6,I128)))</xm:f>
            <xm:f>Parametre!$B$6</xm:f>
            <x14:dxf>
              <fill>
                <patternFill>
                  <bgColor rgb="FFFFC000"/>
                </patternFill>
              </fill>
            </x14:dxf>
          </x14:cfRule>
          <xm:sqref>I128</xm:sqref>
        </x14:conditionalFormatting>
        <x14:conditionalFormatting xmlns:xm="http://schemas.microsoft.com/office/excel/2006/main">
          <x14:cfRule type="containsText" priority="88" operator="containsText" id="{9E5782AD-E23F-4C48-A93B-6C1DADBEF380}">
            <xm:f>NOT(ISERROR(SEARCH(Parametre!$B$5,I129)))</xm:f>
            <xm:f>Parametre!$B$5</xm:f>
            <x14:dxf>
              <fill>
                <patternFill>
                  <bgColor rgb="FFFFFF00"/>
                </patternFill>
              </fill>
            </x14:dxf>
          </x14:cfRule>
          <x14:cfRule type="containsText" priority="89" operator="containsText" id="{EF0FAADE-984A-4F8E-BF66-1D0389C97EF9}">
            <xm:f>NOT(ISERROR(SEARCH(Parametre!$B$3,I129)))</xm:f>
            <xm:f>Parametre!$B$3</xm:f>
            <x14:dxf>
              <fill>
                <patternFill>
                  <bgColor theme="0" tint="-0.34998626667073579"/>
                </patternFill>
              </fill>
            </x14:dxf>
          </x14:cfRule>
          <x14:cfRule type="containsText" priority="90" operator="containsText" id="{F9FE7984-1D69-46A2-A4AC-B856B63D75BA}">
            <xm:f>NOT(ISERROR(SEARCH(Parametre!$B$4,I129)))</xm:f>
            <xm:f>Parametre!$B$4</xm:f>
            <x14:dxf>
              <fill>
                <patternFill>
                  <bgColor rgb="FFFF0000"/>
                </patternFill>
              </fill>
            </x14:dxf>
          </x14:cfRule>
          <x14:cfRule type="containsText" priority="91" operator="containsText" id="{3B358CAD-EF75-4DB9-8FFE-70BE4F38A277}">
            <xm:f>NOT(ISERROR(SEARCH(Parametre!$B$7,I129)))</xm:f>
            <xm:f>Parametre!$B$7</xm:f>
            <x14:dxf>
              <fill>
                <patternFill>
                  <bgColor rgb="FF92D050"/>
                </patternFill>
              </fill>
            </x14:dxf>
          </x14:cfRule>
          <x14:cfRule type="containsText" priority="92" operator="containsText" id="{5D8AB323-D0E5-4D4D-9DD3-6FC2332BA5ED}">
            <xm:f>NOT(ISERROR(SEARCH(Parametre!$B$6,I129)))</xm:f>
            <xm:f>Parametre!$B$6</xm:f>
            <x14:dxf>
              <fill>
                <patternFill>
                  <bgColor rgb="FFFFC000"/>
                </patternFill>
              </fill>
            </x14:dxf>
          </x14:cfRule>
          <xm:sqref>I129</xm:sqref>
        </x14:conditionalFormatting>
        <x14:conditionalFormatting xmlns:xm="http://schemas.microsoft.com/office/excel/2006/main">
          <x14:cfRule type="containsText" priority="81" operator="containsText" id="{EDAF423B-121F-46D0-8377-06D93635919C}">
            <xm:f>NOT(ISERROR(SEARCH(Parametre!$B$5,I121)))</xm:f>
            <xm:f>Parametre!$B$5</xm:f>
            <x14:dxf>
              <fill>
                <patternFill>
                  <bgColor rgb="FFFFFF00"/>
                </patternFill>
              </fill>
            </x14:dxf>
          </x14:cfRule>
          <x14:cfRule type="containsText" priority="82" operator="containsText" id="{2952B8AC-949B-47F9-A02D-A8CA48EAA281}">
            <xm:f>NOT(ISERROR(SEARCH(Parametre!$B$3,I121)))</xm:f>
            <xm:f>Parametre!$B$3</xm:f>
            <x14:dxf>
              <fill>
                <patternFill>
                  <bgColor theme="0" tint="-0.34998626667073579"/>
                </patternFill>
              </fill>
            </x14:dxf>
          </x14:cfRule>
          <x14:cfRule type="containsText" priority="83" operator="containsText" id="{382BE4E0-9B22-46E9-9640-3A8AC9B450C7}">
            <xm:f>NOT(ISERROR(SEARCH(Parametre!$B$4,I121)))</xm:f>
            <xm:f>Parametre!$B$4</xm:f>
            <x14:dxf>
              <fill>
                <patternFill>
                  <bgColor rgb="FFFF0000"/>
                </patternFill>
              </fill>
            </x14:dxf>
          </x14:cfRule>
          <x14:cfRule type="containsText" priority="84" operator="containsText" id="{8C1F859D-DAF2-48B0-9FDE-A65D07320285}">
            <xm:f>NOT(ISERROR(SEARCH(Parametre!$B$7,I121)))</xm:f>
            <xm:f>Parametre!$B$7</xm:f>
            <x14:dxf>
              <fill>
                <patternFill>
                  <bgColor rgb="FF92D050"/>
                </patternFill>
              </fill>
            </x14:dxf>
          </x14:cfRule>
          <x14:cfRule type="containsText" priority="85" operator="containsText" id="{EFD9D61B-33DF-4BFB-BB0F-85E76C89704A}">
            <xm:f>NOT(ISERROR(SEARCH(Parametre!$B$6,I121)))</xm:f>
            <xm:f>Parametre!$B$6</xm:f>
            <x14:dxf>
              <fill>
                <patternFill>
                  <bgColor rgb="FFFFC000"/>
                </patternFill>
              </fill>
            </x14:dxf>
          </x14:cfRule>
          <xm:sqref>I121</xm:sqref>
        </x14:conditionalFormatting>
        <x14:conditionalFormatting xmlns:xm="http://schemas.microsoft.com/office/excel/2006/main">
          <x14:cfRule type="containsText" priority="72" operator="containsText" id="{8B42E8C0-E710-405E-B638-6FD38299252B}">
            <xm:f>NOT(ISERROR(SEARCH(Parametre!$B$5,I120)))</xm:f>
            <xm:f>Parametre!$B$5</xm:f>
            <x14:dxf>
              <fill>
                <patternFill>
                  <bgColor rgb="FFFFFF00"/>
                </patternFill>
              </fill>
            </x14:dxf>
          </x14:cfRule>
          <x14:cfRule type="containsText" priority="73" operator="containsText" id="{446A7B18-0132-4461-AB8D-0166D670188C}">
            <xm:f>NOT(ISERROR(SEARCH(Parametre!$B$3,I120)))</xm:f>
            <xm:f>Parametre!$B$3</xm:f>
            <x14:dxf>
              <fill>
                <patternFill>
                  <bgColor theme="0" tint="-0.34998626667073579"/>
                </patternFill>
              </fill>
            </x14:dxf>
          </x14:cfRule>
          <x14:cfRule type="containsText" priority="74" operator="containsText" id="{1608598E-25D0-44C9-9D9A-0863F8B5C9C2}">
            <xm:f>NOT(ISERROR(SEARCH(Parametre!$B$4,I120)))</xm:f>
            <xm:f>Parametre!$B$4</xm:f>
            <x14:dxf>
              <fill>
                <patternFill>
                  <bgColor rgb="FFFF0000"/>
                </patternFill>
              </fill>
            </x14:dxf>
          </x14:cfRule>
          <x14:cfRule type="containsText" priority="75" operator="containsText" id="{F0BDB60A-9058-4A6F-A538-B2082C6EE7BA}">
            <xm:f>NOT(ISERROR(SEARCH(Parametre!$B$7,I120)))</xm:f>
            <xm:f>Parametre!$B$7</xm:f>
            <x14:dxf>
              <fill>
                <patternFill>
                  <bgColor rgb="FF92D050"/>
                </patternFill>
              </fill>
            </x14:dxf>
          </x14:cfRule>
          <x14:cfRule type="containsText" priority="76" operator="containsText" id="{77189510-3798-4C4A-8DFA-4A89355C17CD}">
            <xm:f>NOT(ISERROR(SEARCH(Parametre!$B$6,I120)))</xm:f>
            <xm:f>Parametre!$B$6</xm:f>
            <x14:dxf>
              <fill>
                <patternFill>
                  <bgColor rgb="FFFFC000"/>
                </patternFill>
              </fill>
            </x14:dxf>
          </x14:cfRule>
          <xm:sqref>I120</xm:sqref>
        </x14:conditionalFormatting>
        <x14:conditionalFormatting xmlns:xm="http://schemas.microsoft.com/office/excel/2006/main">
          <x14:cfRule type="containsText" priority="63" operator="containsText" id="{DED730D1-8B5A-47FA-AC91-7B41388106B2}">
            <xm:f>NOT(ISERROR(SEARCH(Parametre!$B$5,I115)))</xm:f>
            <xm:f>Parametre!$B$5</xm:f>
            <x14:dxf>
              <fill>
                <patternFill>
                  <bgColor rgb="FFFFFF00"/>
                </patternFill>
              </fill>
            </x14:dxf>
          </x14:cfRule>
          <x14:cfRule type="containsText" priority="64" operator="containsText" id="{04C1D41F-B651-4DFE-824B-66CA7186B8F8}">
            <xm:f>NOT(ISERROR(SEARCH(Parametre!$B$3,I115)))</xm:f>
            <xm:f>Parametre!$B$3</xm:f>
            <x14:dxf>
              <fill>
                <patternFill>
                  <bgColor theme="0" tint="-0.34998626667073579"/>
                </patternFill>
              </fill>
            </x14:dxf>
          </x14:cfRule>
          <x14:cfRule type="containsText" priority="65" operator="containsText" id="{9F9E9E0F-2BC6-4FA4-BA47-260253787379}">
            <xm:f>NOT(ISERROR(SEARCH(Parametre!$B$4,I115)))</xm:f>
            <xm:f>Parametre!$B$4</xm:f>
            <x14:dxf>
              <fill>
                <patternFill>
                  <bgColor rgb="FFFF0000"/>
                </patternFill>
              </fill>
            </x14:dxf>
          </x14:cfRule>
          <x14:cfRule type="containsText" priority="66" operator="containsText" id="{0BF0AEBD-4EF9-4721-924B-2BC64FC001E7}">
            <xm:f>NOT(ISERROR(SEARCH(Parametre!$B$7,I115)))</xm:f>
            <xm:f>Parametre!$B$7</xm:f>
            <x14:dxf>
              <fill>
                <patternFill>
                  <bgColor rgb="FF92D050"/>
                </patternFill>
              </fill>
            </x14:dxf>
          </x14:cfRule>
          <x14:cfRule type="containsText" priority="67" operator="containsText" id="{C729E95B-626F-4127-8D76-3FE453BB399D}">
            <xm:f>NOT(ISERROR(SEARCH(Parametre!$B$6,I115)))</xm:f>
            <xm:f>Parametre!$B$6</xm:f>
            <x14:dxf>
              <fill>
                <patternFill>
                  <bgColor rgb="FFFFC000"/>
                </patternFill>
              </fill>
            </x14:dxf>
          </x14:cfRule>
          <xm:sqref>I115</xm:sqref>
        </x14:conditionalFormatting>
        <x14:conditionalFormatting xmlns:xm="http://schemas.microsoft.com/office/excel/2006/main">
          <x14:cfRule type="containsText" priority="54" operator="containsText" id="{F0C1C93F-552B-4911-937D-AD4DA22C50A3}">
            <xm:f>NOT(ISERROR(SEARCH(Parametre!$B$5,I116)))</xm:f>
            <xm:f>Parametre!$B$5</xm:f>
            <x14:dxf>
              <fill>
                <patternFill>
                  <bgColor rgb="FFFFFF00"/>
                </patternFill>
              </fill>
            </x14:dxf>
          </x14:cfRule>
          <x14:cfRule type="containsText" priority="55" operator="containsText" id="{DBAD9D8F-02F4-4536-B07F-AA9196FC8B47}">
            <xm:f>NOT(ISERROR(SEARCH(Parametre!$B$3,I116)))</xm:f>
            <xm:f>Parametre!$B$3</xm:f>
            <x14:dxf>
              <fill>
                <patternFill>
                  <bgColor theme="0" tint="-0.34998626667073579"/>
                </patternFill>
              </fill>
            </x14:dxf>
          </x14:cfRule>
          <x14:cfRule type="containsText" priority="56" operator="containsText" id="{D8888B0D-0F4C-4570-B75E-314D158F9EE7}">
            <xm:f>NOT(ISERROR(SEARCH(Parametre!$B$4,I116)))</xm:f>
            <xm:f>Parametre!$B$4</xm:f>
            <x14:dxf>
              <fill>
                <patternFill>
                  <bgColor rgb="FFFF0000"/>
                </patternFill>
              </fill>
            </x14:dxf>
          </x14:cfRule>
          <x14:cfRule type="containsText" priority="57" operator="containsText" id="{00F78603-EE3B-4522-B93A-612B598DE698}">
            <xm:f>NOT(ISERROR(SEARCH(Parametre!$B$7,I116)))</xm:f>
            <xm:f>Parametre!$B$7</xm:f>
            <x14:dxf>
              <fill>
                <patternFill>
                  <bgColor rgb="FF92D050"/>
                </patternFill>
              </fill>
            </x14:dxf>
          </x14:cfRule>
          <x14:cfRule type="containsText" priority="58" operator="containsText" id="{876EBDE0-C347-4498-94AB-EF74BCE413A6}">
            <xm:f>NOT(ISERROR(SEARCH(Parametre!$B$6,I116)))</xm:f>
            <xm:f>Parametre!$B$6</xm:f>
            <x14:dxf>
              <fill>
                <patternFill>
                  <bgColor rgb="FFFFC000"/>
                </patternFill>
              </fill>
            </x14:dxf>
          </x14:cfRule>
          <xm:sqref>I116</xm:sqref>
        </x14:conditionalFormatting>
        <x14:conditionalFormatting xmlns:xm="http://schemas.microsoft.com/office/excel/2006/main">
          <x14:cfRule type="containsText" priority="45" operator="containsText" id="{83B1004E-D38E-4DE3-987B-056E32CD918C}">
            <xm:f>NOT(ISERROR(SEARCH(Parametre!$B$5,I94)))</xm:f>
            <xm:f>Parametre!$B$5</xm:f>
            <x14:dxf>
              <fill>
                <patternFill>
                  <bgColor rgb="FFFFFF00"/>
                </patternFill>
              </fill>
            </x14:dxf>
          </x14:cfRule>
          <x14:cfRule type="containsText" priority="46" operator="containsText" id="{CAB897EB-CA26-48FE-BD4D-A186B837D26C}">
            <xm:f>NOT(ISERROR(SEARCH(Parametre!$B$3,I94)))</xm:f>
            <xm:f>Parametre!$B$3</xm:f>
            <x14:dxf>
              <fill>
                <patternFill>
                  <bgColor theme="0" tint="-0.34998626667073579"/>
                </patternFill>
              </fill>
            </x14:dxf>
          </x14:cfRule>
          <x14:cfRule type="containsText" priority="47" operator="containsText" id="{3E79EF68-311B-4A11-B588-E9B0E2F1B2DD}">
            <xm:f>NOT(ISERROR(SEARCH(Parametre!$B$4,I94)))</xm:f>
            <xm:f>Parametre!$B$4</xm:f>
            <x14:dxf>
              <fill>
                <patternFill>
                  <bgColor rgb="FFFF0000"/>
                </patternFill>
              </fill>
            </x14:dxf>
          </x14:cfRule>
          <x14:cfRule type="containsText" priority="48" operator="containsText" id="{E61ADB81-8FB7-4D4D-AB16-DEE40D68A010}">
            <xm:f>NOT(ISERROR(SEARCH(Parametre!$B$7,I94)))</xm:f>
            <xm:f>Parametre!$B$7</xm:f>
            <x14:dxf>
              <fill>
                <patternFill>
                  <bgColor rgb="FF92D050"/>
                </patternFill>
              </fill>
            </x14:dxf>
          </x14:cfRule>
          <x14:cfRule type="containsText" priority="49" operator="containsText" id="{F2DEB363-CCB0-4122-8447-8BACC03838E8}">
            <xm:f>NOT(ISERROR(SEARCH(Parametre!$B$6,I94)))</xm:f>
            <xm:f>Parametre!$B$6</xm:f>
            <x14:dxf>
              <fill>
                <patternFill>
                  <bgColor rgb="FFFFC000"/>
                </patternFill>
              </fill>
            </x14:dxf>
          </x14:cfRule>
          <xm:sqref>I94</xm:sqref>
        </x14:conditionalFormatting>
        <x14:conditionalFormatting xmlns:xm="http://schemas.microsoft.com/office/excel/2006/main">
          <x14:cfRule type="containsText" priority="38" operator="containsText" id="{045E8CE7-3847-4502-A1B0-64EC0F10936D}">
            <xm:f>NOT(ISERROR(SEARCH(Parametre!$B$5,I75)))</xm:f>
            <xm:f>Parametre!$B$5</xm:f>
            <x14:dxf>
              <fill>
                <patternFill>
                  <bgColor rgb="FFFFFF00"/>
                </patternFill>
              </fill>
            </x14:dxf>
          </x14:cfRule>
          <x14:cfRule type="containsText" priority="39" operator="containsText" id="{FF6A2ACB-AF0C-42E7-B8B1-9E27475F364D}">
            <xm:f>NOT(ISERROR(SEARCH(Parametre!$B$3,I75)))</xm:f>
            <xm:f>Parametre!$B$3</xm:f>
            <x14:dxf>
              <fill>
                <patternFill>
                  <bgColor theme="0" tint="-0.34998626667073579"/>
                </patternFill>
              </fill>
            </x14:dxf>
          </x14:cfRule>
          <x14:cfRule type="containsText" priority="40" operator="containsText" id="{8048FEB5-D318-4154-B298-020425489899}">
            <xm:f>NOT(ISERROR(SEARCH(Parametre!$B$4,I75)))</xm:f>
            <xm:f>Parametre!$B$4</xm:f>
            <x14:dxf>
              <fill>
                <patternFill>
                  <bgColor rgb="FFFF0000"/>
                </patternFill>
              </fill>
            </x14:dxf>
          </x14:cfRule>
          <x14:cfRule type="containsText" priority="41" operator="containsText" id="{5B5A4044-4E31-40D7-AFFF-181DC592A7C8}">
            <xm:f>NOT(ISERROR(SEARCH(Parametre!$B$7,I75)))</xm:f>
            <xm:f>Parametre!$B$7</xm:f>
            <x14:dxf>
              <fill>
                <patternFill>
                  <bgColor rgb="FF92D050"/>
                </patternFill>
              </fill>
            </x14:dxf>
          </x14:cfRule>
          <x14:cfRule type="containsText" priority="42" operator="containsText" id="{E7121111-36D2-4EDF-9FB8-967B3FEDB920}">
            <xm:f>NOT(ISERROR(SEARCH(Parametre!$B$6,I75)))</xm:f>
            <xm:f>Parametre!$B$6</xm:f>
            <x14:dxf>
              <fill>
                <patternFill>
                  <bgColor rgb="FFFFC000"/>
                </patternFill>
              </fill>
            </x14:dxf>
          </x14:cfRule>
          <xm:sqref>I75</xm:sqref>
        </x14:conditionalFormatting>
        <x14:conditionalFormatting xmlns:xm="http://schemas.microsoft.com/office/excel/2006/main">
          <x14:cfRule type="containsText" priority="29" operator="containsText" id="{AA6C9AB2-B08F-42A9-8115-05801BEEE640}">
            <xm:f>NOT(ISERROR(SEARCH(Parametre!$B$5,I73)))</xm:f>
            <xm:f>Parametre!$B$5</xm:f>
            <x14:dxf>
              <fill>
                <patternFill>
                  <bgColor rgb="FFFFFF00"/>
                </patternFill>
              </fill>
            </x14:dxf>
          </x14:cfRule>
          <x14:cfRule type="containsText" priority="30" operator="containsText" id="{32E1EA6A-8EAE-4B3D-AEBB-31224553A51E}">
            <xm:f>NOT(ISERROR(SEARCH(Parametre!$B$3,I73)))</xm:f>
            <xm:f>Parametre!$B$3</xm:f>
            <x14:dxf>
              <fill>
                <patternFill>
                  <bgColor theme="0" tint="-0.34998626667073579"/>
                </patternFill>
              </fill>
            </x14:dxf>
          </x14:cfRule>
          <x14:cfRule type="containsText" priority="31" operator="containsText" id="{AA712DBB-BF6B-484E-BD85-FD8DCE4EF2E2}">
            <xm:f>NOT(ISERROR(SEARCH(Parametre!$B$4,I73)))</xm:f>
            <xm:f>Parametre!$B$4</xm:f>
            <x14:dxf>
              <fill>
                <patternFill>
                  <bgColor rgb="FFFF0000"/>
                </patternFill>
              </fill>
            </x14:dxf>
          </x14:cfRule>
          <x14:cfRule type="containsText" priority="32" operator="containsText" id="{2B5595FC-243D-4343-9733-73E1EE85D38D}">
            <xm:f>NOT(ISERROR(SEARCH(Parametre!$B$7,I73)))</xm:f>
            <xm:f>Parametre!$B$7</xm:f>
            <x14:dxf>
              <fill>
                <patternFill>
                  <bgColor rgb="FF92D050"/>
                </patternFill>
              </fill>
            </x14:dxf>
          </x14:cfRule>
          <x14:cfRule type="containsText" priority="33" operator="containsText" id="{F4A4414B-6ED2-487A-997B-475A71D19DAA}">
            <xm:f>NOT(ISERROR(SEARCH(Parametre!$B$6,I73)))</xm:f>
            <xm:f>Parametre!$B$6</xm:f>
            <x14:dxf>
              <fill>
                <patternFill>
                  <bgColor rgb="FFFFC000"/>
                </patternFill>
              </fill>
            </x14:dxf>
          </x14:cfRule>
          <xm:sqref>I73</xm:sqref>
        </x14:conditionalFormatting>
        <x14:conditionalFormatting xmlns:xm="http://schemas.microsoft.com/office/excel/2006/main">
          <x14:cfRule type="containsText" priority="20" operator="containsText" id="{7D628211-F34D-402D-8A04-721A5CF74868}">
            <xm:f>NOT(ISERROR(SEARCH(Parametre!$B$5,I74)))</xm:f>
            <xm:f>Parametre!$B$5</xm:f>
            <x14:dxf>
              <fill>
                <patternFill>
                  <bgColor rgb="FFFFFF00"/>
                </patternFill>
              </fill>
            </x14:dxf>
          </x14:cfRule>
          <x14:cfRule type="containsText" priority="21" operator="containsText" id="{FEBECA0F-4CD8-4684-A4D1-9A40D861168D}">
            <xm:f>NOT(ISERROR(SEARCH(Parametre!$B$3,I74)))</xm:f>
            <xm:f>Parametre!$B$3</xm:f>
            <x14:dxf>
              <fill>
                <patternFill>
                  <bgColor theme="0" tint="-0.34998626667073579"/>
                </patternFill>
              </fill>
            </x14:dxf>
          </x14:cfRule>
          <x14:cfRule type="containsText" priority="22" operator="containsText" id="{734CAFEC-B71C-4161-A201-8426D4001AA1}">
            <xm:f>NOT(ISERROR(SEARCH(Parametre!$B$4,I74)))</xm:f>
            <xm:f>Parametre!$B$4</xm:f>
            <x14:dxf>
              <fill>
                <patternFill>
                  <bgColor rgb="FFFF0000"/>
                </patternFill>
              </fill>
            </x14:dxf>
          </x14:cfRule>
          <x14:cfRule type="containsText" priority="23" operator="containsText" id="{BF083CB8-E0D6-415D-84FC-B37A6F6B0315}">
            <xm:f>NOT(ISERROR(SEARCH(Parametre!$B$7,I74)))</xm:f>
            <xm:f>Parametre!$B$7</xm:f>
            <x14:dxf>
              <fill>
                <patternFill>
                  <bgColor rgb="FF92D050"/>
                </patternFill>
              </fill>
            </x14:dxf>
          </x14:cfRule>
          <x14:cfRule type="containsText" priority="24" operator="containsText" id="{4AF0E55B-1E4C-4B10-83C8-6DB9F050370A}">
            <xm:f>NOT(ISERROR(SEARCH(Parametre!$B$6,I74)))</xm:f>
            <xm:f>Parametre!$B$6</xm:f>
            <x14:dxf>
              <fill>
                <patternFill>
                  <bgColor rgb="FFFFC000"/>
                </patternFill>
              </fill>
            </x14:dxf>
          </x14:cfRule>
          <xm:sqref>I74</xm:sqref>
        </x14:conditionalFormatting>
        <x14:conditionalFormatting xmlns:xm="http://schemas.microsoft.com/office/excel/2006/main">
          <x14:cfRule type="containsText" priority="11" operator="containsText" id="{63291D71-043E-4815-8AD8-2CC62D86A404}">
            <xm:f>NOT(ISERROR(SEARCH(Parametre!$B$5,I54)))</xm:f>
            <xm:f>Parametre!$B$5</xm:f>
            <x14:dxf>
              <fill>
                <patternFill>
                  <bgColor rgb="FFFFFF00"/>
                </patternFill>
              </fill>
            </x14:dxf>
          </x14:cfRule>
          <x14:cfRule type="containsText" priority="12" operator="containsText" id="{E697DD74-F0E8-4CE9-BDA8-AD532BBE6082}">
            <xm:f>NOT(ISERROR(SEARCH(Parametre!$B$3,I54)))</xm:f>
            <xm:f>Parametre!$B$3</xm:f>
            <x14:dxf>
              <fill>
                <patternFill>
                  <bgColor theme="0" tint="-0.34998626667073579"/>
                </patternFill>
              </fill>
            </x14:dxf>
          </x14:cfRule>
          <x14:cfRule type="containsText" priority="13" operator="containsText" id="{0265703B-F7A8-4823-8E31-5281947CC412}">
            <xm:f>NOT(ISERROR(SEARCH(Parametre!$B$4,I54)))</xm:f>
            <xm:f>Parametre!$B$4</xm:f>
            <x14:dxf>
              <fill>
                <patternFill>
                  <bgColor rgb="FFFF0000"/>
                </patternFill>
              </fill>
            </x14:dxf>
          </x14:cfRule>
          <x14:cfRule type="containsText" priority="14" operator="containsText" id="{DA0C9813-EF80-42CC-89E4-0FE09A7D411E}">
            <xm:f>NOT(ISERROR(SEARCH(Parametre!$B$7,I54)))</xm:f>
            <xm:f>Parametre!$B$7</xm:f>
            <x14:dxf>
              <fill>
                <patternFill>
                  <bgColor rgb="FF92D050"/>
                </patternFill>
              </fill>
            </x14:dxf>
          </x14:cfRule>
          <x14:cfRule type="containsText" priority="15" operator="containsText" id="{7BB3DDC4-8414-49F2-BA60-31AAA2209756}">
            <xm:f>NOT(ISERROR(SEARCH(Parametre!$B$6,I54)))</xm:f>
            <xm:f>Parametre!$B$6</xm:f>
            <x14:dxf>
              <fill>
                <patternFill>
                  <bgColor rgb="FFFFC000"/>
                </patternFill>
              </fill>
            </x14:dxf>
          </x14:cfRule>
          <xm:sqref>I54</xm:sqref>
        </x14:conditionalFormatting>
      </x14:conditionalFormatting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V55"/>
  <sheetViews>
    <sheetView showGridLines="0" workbookViewId="0">
      <selection activeCell="M17" sqref="M17"/>
    </sheetView>
  </sheetViews>
  <sheetFormatPr baseColWidth="10" defaultRowHeight="14.5" x14ac:dyDescent="0.35"/>
  <cols>
    <col min="1" max="1" width="15.26953125" customWidth="1"/>
    <col min="3" max="3" width="18.54296875" customWidth="1"/>
    <col min="6" max="6" width="24.54296875" customWidth="1"/>
  </cols>
  <sheetData>
    <row r="1" spans="1:256" s="54" customFormat="1" ht="15" customHeight="1" x14ac:dyDescent="0.35">
      <c r="A1" s="2809"/>
      <c r="B1" s="2809"/>
      <c r="C1" s="2809"/>
      <c r="D1" s="3341" t="s">
        <v>5</v>
      </c>
      <c r="E1" s="3341"/>
      <c r="F1" s="3341"/>
      <c r="G1" s="3341"/>
      <c r="H1" s="391"/>
      <c r="I1" s="3341" t="s">
        <v>6</v>
      </c>
      <c r="J1" s="3341"/>
      <c r="K1" s="2809"/>
      <c r="L1" s="3341" t="s">
        <v>9</v>
      </c>
      <c r="M1" s="3341"/>
      <c r="N1" s="2809"/>
      <c r="O1" s="479" t="s">
        <v>2</v>
      </c>
      <c r="P1" s="479" t="s">
        <v>3</v>
      </c>
      <c r="Q1" s="458"/>
    </row>
    <row r="2" spans="1:256" s="58" customFormat="1" ht="18" customHeight="1" x14ac:dyDescent="0.35">
      <c r="A2" s="393"/>
      <c r="B2" s="393"/>
      <c r="C2" s="393"/>
      <c r="D2" s="3342" t="str">
        <f>NomClient</f>
        <v xml:space="preserve">EQUINIX </v>
      </c>
      <c r="E2" s="3343"/>
      <c r="F2" s="3343"/>
      <c r="G2" s="3344"/>
      <c r="H2" s="393"/>
      <c r="I2" s="3345" t="s">
        <v>406</v>
      </c>
      <c r="J2" s="3346"/>
      <c r="K2" s="393"/>
      <c r="L2" s="3347">
        <v>42965.891921296294</v>
      </c>
      <c r="M2" s="3348"/>
      <c r="N2" s="394"/>
      <c r="O2" s="451" t="e">
        <f>IF(LEN(DPDV_02AT)&gt;0,LEN(DPDV_02AT),0-PDV_NBmini)</f>
        <v>#REF!</v>
      </c>
      <c r="P2" s="451" t="e">
        <f>IF(LEN(DKPI_02AT)&gt;0,LEN(DKPI_02AT),0-KPI_NBmini)</f>
        <v>#REF!</v>
      </c>
      <c r="Q2" s="459"/>
    </row>
    <row r="3" spans="1:256" s="60" customFormat="1" ht="12" customHeight="1" thickBot="1" x14ac:dyDescent="0.4">
      <c r="A3" s="396"/>
      <c r="B3" s="396"/>
      <c r="C3" s="396"/>
      <c r="D3" s="3696" t="s">
        <v>1792</v>
      </c>
      <c r="E3" s="3696"/>
      <c r="F3" s="3696"/>
      <c r="G3" s="3696"/>
      <c r="H3" s="396"/>
      <c r="I3" s="396"/>
      <c r="J3" s="396"/>
      <c r="K3" s="396"/>
      <c r="L3" s="396"/>
      <c r="M3" s="396"/>
      <c r="N3" s="396"/>
      <c r="O3" s="396"/>
      <c r="P3" s="396"/>
      <c r="Q3" s="64"/>
    </row>
    <row r="4" spans="1:256" s="1" customFormat="1" ht="18" customHeight="1" thickBot="1" x14ac:dyDescent="0.4">
      <c r="A4" s="7005" t="s">
        <v>2693</v>
      </c>
      <c r="B4" s="7005"/>
      <c r="C4" s="7005"/>
      <c r="D4" s="7005"/>
      <c r="E4" s="7005"/>
      <c r="F4" s="7005"/>
      <c r="G4" s="7005"/>
      <c r="H4" s="7005"/>
      <c r="I4" s="7005"/>
      <c r="J4" s="7005"/>
      <c r="K4" s="7005"/>
      <c r="L4" s="7005"/>
      <c r="M4" s="7005"/>
      <c r="N4" s="7005"/>
      <c r="O4" s="7005"/>
      <c r="P4" s="7006"/>
      <c r="Q4" s="444"/>
    </row>
    <row r="5" spans="1:256" s="40" customFormat="1" ht="13" x14ac:dyDescent="0.3">
      <c r="A5" s="2691"/>
      <c r="B5" s="2692"/>
      <c r="C5" s="2692"/>
      <c r="D5" s="2692"/>
      <c r="E5" s="2692"/>
      <c r="F5" s="2692"/>
      <c r="G5" s="2692"/>
      <c r="H5" s="2692"/>
      <c r="I5" s="2692"/>
      <c r="J5" s="2692"/>
      <c r="K5" s="2692"/>
      <c r="L5" s="2692"/>
      <c r="M5" s="2692"/>
      <c r="N5" s="2692"/>
      <c r="O5" s="2692"/>
      <c r="P5" s="2692"/>
      <c r="Q5" s="2692"/>
      <c r="R5" s="2692"/>
      <c r="S5" s="2692"/>
      <c r="T5" s="2692"/>
      <c r="U5" s="2692"/>
      <c r="V5" s="2692"/>
      <c r="W5" s="2692"/>
      <c r="X5" s="2692"/>
      <c r="Y5" s="2692"/>
      <c r="Z5" s="2692"/>
      <c r="AA5" s="2692"/>
      <c r="AB5" s="2692"/>
      <c r="AC5" s="2692"/>
      <c r="AD5" s="2692"/>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2"/>
      <c r="BC5" s="2692"/>
      <c r="BD5" s="2692"/>
      <c r="BE5" s="2692"/>
      <c r="BF5" s="2692"/>
      <c r="BG5" s="2692"/>
      <c r="BH5" s="2692"/>
      <c r="BI5" s="2692"/>
      <c r="BJ5" s="2692"/>
      <c r="BK5" s="2692"/>
      <c r="BL5" s="2692"/>
      <c r="BM5" s="2692"/>
      <c r="BN5" s="2692"/>
      <c r="BO5" s="2692"/>
      <c r="BP5" s="2692"/>
      <c r="BQ5" s="2692"/>
      <c r="BR5" s="2692"/>
      <c r="BS5" s="2692"/>
      <c r="BT5" s="2692"/>
      <c r="BU5" s="2692"/>
      <c r="BV5" s="2692"/>
      <c r="BW5" s="2692"/>
      <c r="BX5" s="2692"/>
      <c r="BY5" s="2692"/>
      <c r="BZ5" s="2692"/>
      <c r="CA5" s="2692"/>
      <c r="CB5" s="2692"/>
      <c r="CC5" s="2692"/>
      <c r="CD5" s="2692"/>
      <c r="CE5" s="2692"/>
      <c r="CF5" s="2692"/>
      <c r="CG5" s="2692"/>
      <c r="CH5" s="2692"/>
      <c r="CI5" s="2692"/>
      <c r="CJ5" s="2692"/>
      <c r="CK5" s="2692"/>
      <c r="CL5" s="2692"/>
      <c r="CM5" s="2692"/>
      <c r="CN5" s="2692"/>
      <c r="CO5" s="2692"/>
      <c r="CP5" s="2692"/>
      <c r="CQ5" s="2692"/>
      <c r="CR5" s="2692"/>
      <c r="CS5" s="2692"/>
      <c r="CT5" s="2692"/>
      <c r="CU5" s="2692"/>
      <c r="CV5" s="2692"/>
      <c r="CW5" s="2692"/>
      <c r="CX5" s="2692"/>
      <c r="CY5" s="2692"/>
      <c r="CZ5" s="2692"/>
      <c r="DA5" s="2692"/>
      <c r="DB5" s="2692"/>
      <c r="DC5" s="2692"/>
      <c r="DD5" s="2692"/>
      <c r="DE5" s="2692"/>
      <c r="DF5" s="2692"/>
      <c r="DG5" s="2692"/>
      <c r="DH5" s="2692"/>
      <c r="DI5" s="2692"/>
      <c r="DJ5" s="2692"/>
      <c r="DK5" s="2692"/>
      <c r="DL5" s="2692"/>
      <c r="DM5" s="2692"/>
      <c r="DN5" s="2692"/>
      <c r="DO5" s="2692"/>
      <c r="DP5" s="2692"/>
      <c r="DQ5" s="2692"/>
      <c r="DR5" s="2692"/>
      <c r="DS5" s="2692"/>
      <c r="DT5" s="2692"/>
      <c r="DU5" s="2692"/>
      <c r="DV5" s="2692"/>
      <c r="DW5" s="2692"/>
      <c r="DX5" s="2692"/>
      <c r="DY5" s="2692"/>
      <c r="DZ5" s="2692"/>
      <c r="EA5" s="2692"/>
      <c r="EB5" s="2692"/>
      <c r="EC5" s="2692"/>
      <c r="ED5" s="2692"/>
      <c r="EE5" s="2692"/>
      <c r="EF5" s="2692"/>
      <c r="EG5" s="2692"/>
      <c r="EH5" s="2692"/>
      <c r="EI5" s="2692"/>
      <c r="EJ5" s="2692"/>
      <c r="EK5" s="2692"/>
      <c r="EL5" s="2692"/>
      <c r="EM5" s="2692"/>
      <c r="EN5" s="2692"/>
      <c r="EO5" s="2692"/>
      <c r="EP5" s="2692"/>
      <c r="EQ5" s="2692"/>
      <c r="ER5" s="2692"/>
      <c r="ES5" s="2692"/>
      <c r="ET5" s="2692"/>
      <c r="EU5" s="2692"/>
      <c r="EV5" s="2692"/>
      <c r="EW5" s="2692"/>
      <c r="EX5" s="2692"/>
      <c r="EY5" s="2692"/>
      <c r="EZ5" s="2692"/>
      <c r="FA5" s="2692"/>
      <c r="FB5" s="2692"/>
      <c r="FC5" s="2692"/>
      <c r="FD5" s="2692"/>
      <c r="FE5" s="2692"/>
      <c r="FF5" s="2692"/>
      <c r="FG5" s="2692"/>
      <c r="FH5" s="2692"/>
      <c r="FI5" s="2692"/>
      <c r="FJ5" s="2692"/>
      <c r="FK5" s="2692"/>
      <c r="FL5" s="2692"/>
      <c r="FM5" s="2692"/>
      <c r="FN5" s="2692"/>
      <c r="FO5" s="2692"/>
      <c r="FP5" s="2692"/>
      <c r="FQ5" s="2692"/>
      <c r="FR5" s="2692"/>
      <c r="FS5" s="2692"/>
      <c r="FT5" s="2692"/>
      <c r="FU5" s="2692"/>
      <c r="FV5" s="2692"/>
      <c r="FW5" s="2692"/>
      <c r="FX5" s="2692"/>
      <c r="FY5" s="2692"/>
      <c r="FZ5" s="2692"/>
      <c r="GA5" s="2692"/>
      <c r="GB5" s="2692"/>
      <c r="GC5" s="2692"/>
      <c r="GD5" s="2692"/>
      <c r="GE5" s="2692"/>
      <c r="GF5" s="2692"/>
      <c r="GG5" s="2692"/>
      <c r="GH5" s="2692"/>
      <c r="GI5" s="2692"/>
      <c r="GJ5" s="2692"/>
      <c r="GK5" s="2692"/>
      <c r="GL5" s="2692"/>
      <c r="GM5" s="2692"/>
      <c r="GN5" s="2692"/>
      <c r="GO5" s="2692"/>
      <c r="GP5" s="2692"/>
      <c r="GQ5" s="2692"/>
      <c r="GR5" s="2692"/>
      <c r="GS5" s="2692"/>
      <c r="GT5" s="2692"/>
      <c r="GU5" s="2692"/>
      <c r="GV5" s="2692"/>
      <c r="GW5" s="2692"/>
      <c r="GX5" s="2692"/>
      <c r="GY5" s="2692"/>
      <c r="GZ5" s="2692"/>
      <c r="HA5" s="2692"/>
      <c r="HB5" s="2692"/>
      <c r="HC5" s="2692"/>
      <c r="HD5" s="2692"/>
      <c r="HE5" s="2692"/>
      <c r="HF5" s="2692"/>
      <c r="HG5" s="2692"/>
      <c r="HH5" s="2692"/>
      <c r="HI5" s="2692"/>
      <c r="HJ5" s="2692"/>
      <c r="HK5" s="2692"/>
      <c r="HL5" s="2692"/>
      <c r="HM5" s="2692"/>
      <c r="HN5" s="2692"/>
      <c r="HO5" s="2692"/>
      <c r="HP5" s="2692"/>
      <c r="HQ5" s="2692"/>
      <c r="HR5" s="2692"/>
      <c r="HS5" s="2692"/>
      <c r="HT5" s="2692"/>
      <c r="HU5" s="2692"/>
      <c r="HV5" s="2692"/>
      <c r="HW5" s="2692"/>
      <c r="HX5" s="2692"/>
      <c r="HY5" s="2692"/>
      <c r="HZ5" s="2692"/>
      <c r="IA5" s="2692"/>
      <c r="IB5" s="2692"/>
      <c r="IC5" s="2692"/>
      <c r="ID5" s="2692"/>
      <c r="IE5" s="2692"/>
      <c r="IF5" s="2692"/>
      <c r="IG5" s="2692"/>
      <c r="IH5" s="2692"/>
      <c r="II5" s="2692"/>
      <c r="IJ5" s="2692"/>
      <c r="IK5" s="2692"/>
      <c r="IL5" s="2692"/>
      <c r="IM5" s="2692"/>
      <c r="IN5" s="2692"/>
      <c r="IO5" s="2692"/>
      <c r="IP5" s="2692"/>
      <c r="IQ5" s="2692"/>
      <c r="IR5" s="2692"/>
      <c r="IS5" s="2692"/>
      <c r="IT5" s="2692"/>
      <c r="IU5" s="2692"/>
      <c r="IV5" s="2692"/>
    </row>
    <row r="6" spans="1:256" s="40" customFormat="1" ht="20" x14ac:dyDescent="0.4">
      <c r="A6" s="2691"/>
      <c r="B6" s="2692"/>
      <c r="C6" s="2692"/>
      <c r="D6" s="2692"/>
      <c r="E6" s="2713" t="s">
        <v>2638</v>
      </c>
      <c r="F6" s="2692"/>
      <c r="G6" s="2692"/>
      <c r="H6" s="2692"/>
      <c r="I6" s="2692"/>
      <c r="J6" s="2692"/>
      <c r="K6" s="2692"/>
      <c r="L6" s="2692"/>
      <c r="M6" s="2692"/>
      <c r="N6" s="2692"/>
      <c r="O6" s="2692"/>
      <c r="P6" s="2692"/>
      <c r="Q6" s="2692"/>
      <c r="R6" s="2692"/>
      <c r="S6" s="2692"/>
      <c r="T6" s="2692"/>
      <c r="U6" s="2692"/>
      <c r="V6" s="2692"/>
      <c r="W6" s="2692"/>
      <c r="X6" s="2692"/>
      <c r="Y6" s="2692"/>
      <c r="Z6" s="2692"/>
      <c r="AA6" s="2692"/>
      <c r="AB6" s="2692"/>
      <c r="AC6" s="2692"/>
      <c r="AD6" s="2692"/>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c r="BP6" s="2692"/>
      <c r="BQ6" s="2692"/>
      <c r="BR6" s="2692"/>
      <c r="BS6" s="2692"/>
      <c r="BT6" s="2692"/>
      <c r="BU6" s="2692"/>
      <c r="BV6" s="2692"/>
      <c r="BW6" s="2692"/>
      <c r="BX6" s="2692"/>
      <c r="BY6" s="2692"/>
      <c r="BZ6" s="2692"/>
      <c r="CA6" s="2692"/>
      <c r="CB6" s="2692"/>
      <c r="CC6" s="2692"/>
      <c r="CD6" s="2692"/>
      <c r="CE6" s="2692"/>
      <c r="CF6" s="2692"/>
      <c r="CG6" s="2692"/>
      <c r="CH6" s="2692"/>
      <c r="CI6" s="2692"/>
      <c r="CJ6" s="2692"/>
      <c r="CK6" s="2692"/>
      <c r="CL6" s="2692"/>
      <c r="CM6" s="2692"/>
      <c r="CN6" s="2692"/>
      <c r="CO6" s="2692"/>
      <c r="CP6" s="2692"/>
      <c r="CQ6" s="2692"/>
      <c r="CR6" s="2692"/>
      <c r="CS6" s="2692"/>
      <c r="CT6" s="2692"/>
      <c r="CU6" s="2692"/>
      <c r="CV6" s="2692"/>
      <c r="CW6" s="2692"/>
      <c r="CX6" s="2692"/>
      <c r="CY6" s="2692"/>
      <c r="CZ6" s="2692"/>
      <c r="DA6" s="2692"/>
      <c r="DB6" s="2692"/>
      <c r="DC6" s="2692"/>
      <c r="DD6" s="2692"/>
      <c r="DE6" s="2692"/>
      <c r="DF6" s="2692"/>
      <c r="DG6" s="2692"/>
      <c r="DH6" s="2692"/>
      <c r="DI6" s="2692"/>
      <c r="DJ6" s="2692"/>
      <c r="DK6" s="2692"/>
      <c r="DL6" s="2692"/>
      <c r="DM6" s="2692"/>
      <c r="DN6" s="2692"/>
      <c r="DO6" s="2692"/>
      <c r="DP6" s="2692"/>
      <c r="DQ6" s="2692"/>
      <c r="DR6" s="2692"/>
      <c r="DS6" s="2692"/>
      <c r="DT6" s="2692"/>
      <c r="DU6" s="2692"/>
      <c r="DV6" s="2692"/>
      <c r="DW6" s="2692"/>
      <c r="DX6" s="2692"/>
      <c r="DY6" s="2692"/>
      <c r="DZ6" s="2692"/>
      <c r="EA6" s="2692"/>
      <c r="EB6" s="2692"/>
      <c r="EC6" s="2692"/>
      <c r="ED6" s="2692"/>
      <c r="EE6" s="2692"/>
      <c r="EF6" s="2692"/>
      <c r="EG6" s="2692"/>
      <c r="EH6" s="2692"/>
      <c r="EI6" s="2692"/>
      <c r="EJ6" s="2692"/>
      <c r="EK6" s="2692"/>
      <c r="EL6" s="2692"/>
      <c r="EM6" s="2692"/>
      <c r="EN6" s="2692"/>
      <c r="EO6" s="2692"/>
      <c r="EP6" s="2692"/>
      <c r="EQ6" s="2692"/>
      <c r="ER6" s="2692"/>
      <c r="ES6" s="2692"/>
      <c r="ET6" s="2692"/>
      <c r="EU6" s="2692"/>
      <c r="EV6" s="2692"/>
      <c r="EW6" s="2692"/>
      <c r="EX6" s="2692"/>
      <c r="EY6" s="2692"/>
      <c r="EZ6" s="2692"/>
      <c r="FA6" s="2692"/>
      <c r="FB6" s="2692"/>
      <c r="FC6" s="2692"/>
      <c r="FD6" s="2692"/>
      <c r="FE6" s="2692"/>
      <c r="FF6" s="2692"/>
      <c r="FG6" s="2692"/>
      <c r="FH6" s="2692"/>
      <c r="FI6" s="2692"/>
      <c r="FJ6" s="2692"/>
      <c r="FK6" s="2692"/>
      <c r="FL6" s="2692"/>
      <c r="FM6" s="2692"/>
      <c r="FN6" s="2692"/>
      <c r="FO6" s="2692"/>
      <c r="FP6" s="2692"/>
      <c r="FQ6" s="2692"/>
      <c r="FR6" s="2692"/>
      <c r="FS6" s="2692"/>
      <c r="FT6" s="2692"/>
      <c r="FU6" s="2692"/>
      <c r="FV6" s="2692"/>
      <c r="FW6" s="2692"/>
      <c r="FX6" s="2692"/>
      <c r="FY6" s="2692"/>
      <c r="FZ6" s="2692"/>
      <c r="GA6" s="2692"/>
      <c r="GB6" s="2692"/>
      <c r="GC6" s="2692"/>
      <c r="GD6" s="2692"/>
      <c r="GE6" s="2692"/>
      <c r="GF6" s="2692"/>
      <c r="GG6" s="2692"/>
      <c r="GH6" s="2692"/>
      <c r="GI6" s="2692"/>
      <c r="GJ6" s="2692"/>
      <c r="GK6" s="2692"/>
      <c r="GL6" s="2692"/>
      <c r="GM6" s="2692"/>
      <c r="GN6" s="2692"/>
      <c r="GO6" s="2692"/>
      <c r="GP6" s="2692"/>
      <c r="GQ6" s="2692"/>
      <c r="GR6" s="2692"/>
      <c r="GS6" s="2692"/>
      <c r="GT6" s="2692"/>
      <c r="GU6" s="2692"/>
      <c r="GV6" s="2692"/>
      <c r="GW6" s="2692"/>
      <c r="GX6" s="2692"/>
      <c r="GY6" s="2692"/>
      <c r="GZ6" s="2692"/>
      <c r="HA6" s="2692"/>
      <c r="HB6" s="2692"/>
      <c r="HC6" s="2692"/>
      <c r="HD6" s="2692"/>
      <c r="HE6" s="2692"/>
      <c r="HF6" s="2692"/>
      <c r="HG6" s="2692"/>
      <c r="HH6" s="2692"/>
      <c r="HI6" s="2692"/>
      <c r="HJ6" s="2692"/>
      <c r="HK6" s="2692"/>
      <c r="HL6" s="2692"/>
      <c r="HM6" s="2692"/>
      <c r="HN6" s="2692"/>
      <c r="HO6" s="2692"/>
      <c r="HP6" s="2692"/>
      <c r="HQ6" s="2692"/>
      <c r="HR6" s="2692"/>
      <c r="HS6" s="2692"/>
      <c r="HT6" s="2692"/>
      <c r="HU6" s="2692"/>
      <c r="HV6" s="2692"/>
      <c r="HW6" s="2692"/>
      <c r="HX6" s="2692"/>
      <c r="HY6" s="2692"/>
      <c r="HZ6" s="2692"/>
      <c r="IA6" s="2692"/>
      <c r="IB6" s="2692"/>
      <c r="IC6" s="2692"/>
      <c r="ID6" s="2692"/>
      <c r="IE6" s="2692"/>
      <c r="IF6" s="2692"/>
      <c r="IG6" s="2692"/>
      <c r="IH6" s="2692"/>
      <c r="II6" s="2692"/>
      <c r="IJ6" s="2692"/>
      <c r="IK6" s="2692"/>
      <c r="IL6" s="2692"/>
      <c r="IM6" s="2692"/>
      <c r="IN6" s="2692"/>
      <c r="IO6" s="2692"/>
      <c r="IP6" s="2692"/>
      <c r="IQ6" s="2692"/>
      <c r="IR6" s="2692"/>
      <c r="IS6" s="2692"/>
      <c r="IT6" s="2692"/>
      <c r="IU6" s="2692"/>
      <c r="IV6" s="2692"/>
    </row>
    <row r="7" spans="1:256" s="40" customFormat="1" ht="13.5" customHeight="1" thickBot="1" x14ac:dyDescent="0.4">
      <c r="A7" s="2691"/>
      <c r="B7" s="2692"/>
      <c r="C7" s="2692"/>
      <c r="D7" s="2692"/>
      <c r="E7" s="2692"/>
      <c r="F7" s="2692"/>
      <c r="G7" s="2692"/>
      <c r="H7" s="2692"/>
      <c r="I7" s="2692"/>
      <c r="J7" s="2692"/>
      <c r="K7" s="2692"/>
      <c r="L7" s="2714"/>
      <c r="M7" s="2714"/>
      <c r="N7" s="2692"/>
      <c r="O7" s="2692"/>
      <c r="P7" s="2692"/>
      <c r="Q7" s="2692"/>
      <c r="R7" s="2692"/>
      <c r="S7" s="2692"/>
      <c r="T7" s="2692"/>
      <c r="U7" s="2692"/>
      <c r="V7" s="2692"/>
      <c r="W7" s="2692"/>
      <c r="X7" s="2692"/>
      <c r="Y7" s="2692"/>
      <c r="Z7" s="2692"/>
      <c r="AA7" s="2692"/>
      <c r="AB7" s="2692"/>
      <c r="AC7" s="2692"/>
      <c r="AD7" s="2692"/>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c r="BP7" s="2692"/>
      <c r="BQ7" s="2692"/>
      <c r="BR7" s="2692"/>
      <c r="BS7" s="2692"/>
      <c r="BT7" s="2692"/>
      <c r="BU7" s="2692"/>
      <c r="BV7" s="2692"/>
      <c r="BW7" s="2692"/>
      <c r="BX7" s="2692"/>
      <c r="BY7" s="2692"/>
      <c r="BZ7" s="2692"/>
      <c r="CA7" s="2692"/>
      <c r="CB7" s="2692"/>
      <c r="CC7" s="2692"/>
      <c r="CD7" s="2692"/>
      <c r="CE7" s="2692"/>
      <c r="CF7" s="2692"/>
      <c r="CG7" s="2692"/>
      <c r="CH7" s="2692"/>
      <c r="CI7" s="2692"/>
      <c r="CJ7" s="2692"/>
      <c r="CK7" s="2692"/>
      <c r="CL7" s="2692"/>
      <c r="CM7" s="2692"/>
      <c r="CN7" s="2692"/>
      <c r="CO7" s="2692"/>
      <c r="CP7" s="2692"/>
      <c r="CQ7" s="2692"/>
      <c r="CR7" s="2692"/>
      <c r="CS7" s="2692"/>
      <c r="CT7" s="2692"/>
      <c r="CU7" s="2692"/>
      <c r="CV7" s="2692"/>
      <c r="CW7" s="2692"/>
      <c r="CX7" s="2692"/>
      <c r="CY7" s="2692"/>
      <c r="CZ7" s="2692"/>
      <c r="DA7" s="2692"/>
      <c r="DB7" s="2692"/>
      <c r="DC7" s="2692"/>
      <c r="DD7" s="2692"/>
      <c r="DE7" s="2692"/>
      <c r="DF7" s="2692"/>
      <c r="DG7" s="2692"/>
      <c r="DH7" s="2692"/>
      <c r="DI7" s="2692"/>
      <c r="DJ7" s="2692"/>
      <c r="DK7" s="2692"/>
      <c r="DL7" s="2692"/>
      <c r="DM7" s="2692"/>
      <c r="DN7" s="2692"/>
      <c r="DO7" s="2692"/>
      <c r="DP7" s="2692"/>
      <c r="DQ7" s="2692"/>
      <c r="DR7" s="2692"/>
      <c r="DS7" s="2692"/>
      <c r="DT7" s="2692"/>
      <c r="DU7" s="2692"/>
      <c r="DV7" s="2692"/>
      <c r="DW7" s="2692"/>
      <c r="DX7" s="2692"/>
      <c r="DY7" s="2692"/>
      <c r="DZ7" s="2692"/>
      <c r="EA7" s="2692"/>
      <c r="EB7" s="2692"/>
      <c r="EC7" s="2692"/>
      <c r="ED7" s="2692"/>
      <c r="EE7" s="2692"/>
      <c r="EF7" s="2692"/>
      <c r="EG7" s="2692"/>
      <c r="EH7" s="2692"/>
      <c r="EI7" s="2692"/>
      <c r="EJ7" s="2692"/>
      <c r="EK7" s="2692"/>
      <c r="EL7" s="2692"/>
      <c r="EM7" s="2692"/>
      <c r="EN7" s="2692"/>
      <c r="EO7" s="2692"/>
      <c r="EP7" s="2692"/>
      <c r="EQ7" s="2692"/>
      <c r="ER7" s="2692"/>
      <c r="ES7" s="2692"/>
      <c r="ET7" s="2692"/>
      <c r="EU7" s="2692"/>
      <c r="EV7" s="2692"/>
      <c r="EW7" s="2692"/>
      <c r="EX7" s="2692"/>
      <c r="EY7" s="2692"/>
      <c r="EZ7" s="2692"/>
      <c r="FA7" s="2692"/>
      <c r="FB7" s="2692"/>
      <c r="FC7" s="2692"/>
      <c r="FD7" s="2692"/>
      <c r="FE7" s="2692"/>
      <c r="FF7" s="2692"/>
      <c r="FG7" s="2692"/>
      <c r="FH7" s="2692"/>
      <c r="FI7" s="2692"/>
      <c r="FJ7" s="2692"/>
      <c r="FK7" s="2692"/>
      <c r="FL7" s="2692"/>
      <c r="FM7" s="2692"/>
      <c r="FN7" s="2692"/>
      <c r="FO7" s="2692"/>
      <c r="FP7" s="2692"/>
      <c r="FQ7" s="2692"/>
      <c r="FR7" s="2692"/>
      <c r="FS7" s="2692"/>
      <c r="FT7" s="2692"/>
      <c r="FU7" s="2692"/>
      <c r="FV7" s="2692"/>
      <c r="FW7" s="2692"/>
      <c r="FX7" s="2692"/>
      <c r="FY7" s="2692"/>
      <c r="FZ7" s="2692"/>
      <c r="GA7" s="2692"/>
      <c r="GB7" s="2692"/>
      <c r="GC7" s="2692"/>
      <c r="GD7" s="2692"/>
      <c r="GE7" s="2692"/>
      <c r="GF7" s="2692"/>
      <c r="GG7" s="2692"/>
      <c r="GH7" s="2692"/>
      <c r="GI7" s="2692"/>
      <c r="GJ7" s="2692"/>
      <c r="GK7" s="2692"/>
      <c r="GL7" s="2692"/>
      <c r="GM7" s="2692"/>
      <c r="GN7" s="2692"/>
      <c r="GO7" s="2692"/>
      <c r="GP7" s="2692"/>
      <c r="GQ7" s="2692"/>
      <c r="GR7" s="2692"/>
      <c r="GS7" s="2692"/>
      <c r="GT7" s="2692"/>
      <c r="GU7" s="2692"/>
      <c r="GV7" s="2692"/>
      <c r="GW7" s="2692"/>
      <c r="GX7" s="2692"/>
      <c r="GY7" s="2692"/>
      <c r="GZ7" s="2692"/>
      <c r="HA7" s="2692"/>
      <c r="HB7" s="2692"/>
      <c r="HC7" s="2692"/>
      <c r="HD7" s="2692"/>
      <c r="HE7" s="2692"/>
      <c r="HF7" s="2692"/>
      <c r="HG7" s="2692"/>
      <c r="HH7" s="2692"/>
      <c r="HI7" s="2692"/>
      <c r="HJ7" s="2692"/>
      <c r="HK7" s="2692"/>
      <c r="HL7" s="2692"/>
      <c r="HM7" s="2692"/>
      <c r="HN7" s="2692"/>
      <c r="HO7" s="2692"/>
      <c r="HP7" s="2692"/>
      <c r="HQ7" s="2692"/>
      <c r="HR7" s="2692"/>
      <c r="HS7" s="2692"/>
      <c r="HT7" s="2692"/>
      <c r="HU7" s="2692"/>
      <c r="HV7" s="2692"/>
      <c r="HW7" s="2692"/>
      <c r="HX7" s="2692"/>
      <c r="HY7" s="2692"/>
      <c r="HZ7" s="2692"/>
      <c r="IA7" s="2692"/>
      <c r="IB7" s="2692"/>
      <c r="IC7" s="2692"/>
      <c r="ID7" s="2692"/>
      <c r="IE7" s="2692"/>
      <c r="IF7" s="2692"/>
      <c r="IG7" s="2692"/>
      <c r="IH7" s="2692"/>
      <c r="II7" s="2692"/>
      <c r="IJ7" s="2692"/>
      <c r="IK7" s="2692"/>
      <c r="IL7" s="2692"/>
      <c r="IM7" s="2692"/>
      <c r="IN7" s="2692"/>
      <c r="IO7" s="2692"/>
      <c r="IP7" s="2692"/>
      <c r="IQ7" s="2692"/>
      <c r="IR7" s="2692"/>
      <c r="IS7" s="2692"/>
      <c r="IT7" s="2692"/>
      <c r="IU7" s="2692"/>
      <c r="IV7" s="2692"/>
    </row>
    <row r="8" spans="1:256" s="40" customFormat="1" ht="15" thickTop="1" x14ac:dyDescent="0.35">
      <c r="A8" s="2743"/>
      <c r="B8" s="7007" t="s">
        <v>2585</v>
      </c>
      <c r="C8" s="7007"/>
      <c r="D8" s="7007"/>
      <c r="E8" s="2744"/>
      <c r="F8" s="2699"/>
      <c r="G8" s="3362" t="s">
        <v>2584</v>
      </c>
      <c r="H8" s="3362"/>
      <c r="I8" s="3362"/>
      <c r="J8" s="2698"/>
      <c r="K8" s="2692"/>
      <c r="L8" s="2739"/>
      <c r="M8" s="2816"/>
      <c r="N8" s="2816"/>
      <c r="O8" s="2816"/>
      <c r="P8" s="2816"/>
      <c r="Q8" s="2816"/>
      <c r="R8" s="2739"/>
      <c r="S8" s="2739"/>
      <c r="T8" s="2739"/>
      <c r="U8" s="2692"/>
      <c r="V8" s="2692"/>
      <c r="W8" s="2692"/>
      <c r="X8" s="2692"/>
      <c r="Y8" s="2692"/>
      <c r="Z8" s="2692"/>
      <c r="AA8" s="2692"/>
      <c r="AB8" s="2692"/>
      <c r="AC8" s="2692"/>
      <c r="AD8" s="2692"/>
      <c r="AE8" s="2692"/>
      <c r="AF8" s="2692"/>
      <c r="AG8" s="2692"/>
      <c r="AH8" s="2692"/>
      <c r="AI8" s="2692"/>
      <c r="AJ8" s="2692"/>
      <c r="AK8" s="2692"/>
      <c r="AL8" s="2692"/>
      <c r="AM8" s="2692"/>
      <c r="AN8" s="2692"/>
      <c r="AO8" s="2692"/>
      <c r="AP8" s="2692"/>
      <c r="AQ8" s="2692"/>
      <c r="AR8" s="2692"/>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c r="BP8" s="2692"/>
      <c r="BQ8" s="2692"/>
      <c r="BR8" s="2692"/>
      <c r="BS8" s="2692"/>
      <c r="BT8" s="2692"/>
      <c r="BU8" s="2692"/>
      <c r="BV8" s="2692"/>
      <c r="BW8" s="2692"/>
      <c r="BX8" s="2692"/>
      <c r="BY8" s="2692"/>
      <c r="BZ8" s="2692"/>
      <c r="CA8" s="2692"/>
      <c r="CB8" s="2692"/>
      <c r="CC8" s="2692"/>
      <c r="CD8" s="2692"/>
      <c r="CE8" s="2692"/>
      <c r="CF8" s="2692"/>
      <c r="CG8" s="2692"/>
      <c r="CH8" s="2692"/>
      <c r="CI8" s="2692"/>
      <c r="CJ8" s="2692"/>
      <c r="CK8" s="2692"/>
      <c r="CL8" s="2692"/>
      <c r="CM8" s="2692"/>
      <c r="CN8" s="2692"/>
      <c r="CO8" s="2692"/>
      <c r="CP8" s="2692"/>
      <c r="CQ8" s="2692"/>
      <c r="CR8" s="2692"/>
      <c r="CS8" s="2692"/>
      <c r="CT8" s="2692"/>
      <c r="CU8" s="2692"/>
      <c r="CV8" s="2692"/>
      <c r="CW8" s="2692"/>
      <c r="CX8" s="2692"/>
      <c r="CY8" s="2692"/>
      <c r="CZ8" s="2692"/>
      <c r="DA8" s="2692"/>
      <c r="DB8" s="2692"/>
      <c r="DC8" s="2692"/>
      <c r="DD8" s="2692"/>
      <c r="DE8" s="2692"/>
      <c r="DF8" s="2692"/>
      <c r="DG8" s="2692"/>
      <c r="DH8" s="2692"/>
      <c r="DI8" s="2692"/>
      <c r="DJ8" s="2692"/>
      <c r="DK8" s="2692"/>
      <c r="DL8" s="2692"/>
      <c r="DM8" s="2692"/>
      <c r="DN8" s="2692"/>
      <c r="DO8" s="2692"/>
      <c r="DP8" s="2692"/>
      <c r="DQ8" s="2692"/>
      <c r="DR8" s="2692"/>
      <c r="DS8" s="2692"/>
      <c r="DT8" s="2692"/>
      <c r="DU8" s="2692"/>
      <c r="DV8" s="2692"/>
      <c r="DW8" s="2692"/>
      <c r="DX8" s="2692"/>
      <c r="DY8" s="2692"/>
      <c r="DZ8" s="2692"/>
      <c r="EA8" s="2692"/>
      <c r="EB8" s="2692"/>
      <c r="EC8" s="2692"/>
      <c r="ED8" s="2692"/>
      <c r="EE8" s="2692"/>
      <c r="EF8" s="2692"/>
      <c r="EG8" s="2692"/>
      <c r="EH8" s="2692"/>
      <c r="EI8" s="2692"/>
      <c r="EJ8" s="2692"/>
      <c r="EK8" s="2692"/>
      <c r="EL8" s="2692"/>
      <c r="EM8" s="2692"/>
      <c r="EN8" s="2692"/>
      <c r="EO8" s="2692"/>
      <c r="EP8" s="2692"/>
      <c r="EQ8" s="2692"/>
      <c r="ER8" s="2692"/>
      <c r="ES8" s="2692"/>
      <c r="ET8" s="2692"/>
      <c r="EU8" s="2692"/>
      <c r="EV8" s="2692"/>
      <c r="EW8" s="2692"/>
      <c r="EX8" s="2692"/>
      <c r="EY8" s="2692"/>
      <c r="EZ8" s="2692"/>
      <c r="FA8" s="2692"/>
      <c r="FB8" s="2692"/>
      <c r="FC8" s="2692"/>
      <c r="FD8" s="2692"/>
      <c r="FE8" s="2692"/>
      <c r="FF8" s="2692"/>
      <c r="FG8" s="2692"/>
      <c r="FH8" s="2692"/>
      <c r="FI8" s="2692"/>
      <c r="FJ8" s="2692"/>
      <c r="FK8" s="2692"/>
      <c r="FL8" s="2692"/>
      <c r="FM8" s="2692"/>
      <c r="FN8" s="2692"/>
      <c r="FO8" s="2692"/>
      <c r="FP8" s="2692"/>
      <c r="FQ8" s="2692"/>
      <c r="FR8" s="2692"/>
      <c r="FS8" s="2692"/>
      <c r="FT8" s="2692"/>
      <c r="FU8" s="2692"/>
      <c r="FV8" s="2692"/>
      <c r="FW8" s="2692"/>
      <c r="FX8" s="2692"/>
      <c r="FY8" s="2692"/>
      <c r="FZ8" s="2692"/>
      <c r="GA8" s="2692"/>
      <c r="GB8" s="2692"/>
      <c r="GC8" s="2692"/>
      <c r="GD8" s="2692"/>
      <c r="GE8" s="2692"/>
      <c r="GF8" s="2692"/>
      <c r="GG8" s="2692"/>
      <c r="GH8" s="2692"/>
      <c r="GI8" s="2692"/>
      <c r="GJ8" s="2692"/>
      <c r="GK8" s="2692"/>
      <c r="GL8" s="2692"/>
      <c r="GM8" s="2692"/>
      <c r="GN8" s="2692"/>
      <c r="GO8" s="2692"/>
      <c r="GP8" s="2692"/>
      <c r="GQ8" s="2692"/>
      <c r="GR8" s="2692"/>
      <c r="GS8" s="2692"/>
      <c r="GT8" s="2692"/>
      <c r="GU8" s="2692"/>
      <c r="GV8" s="2692"/>
      <c r="GW8" s="2692"/>
      <c r="GX8" s="2692"/>
      <c r="GY8" s="2692"/>
      <c r="GZ8" s="2692"/>
      <c r="HA8" s="2692"/>
      <c r="HB8" s="2692"/>
      <c r="HC8" s="2692"/>
      <c r="HD8" s="2692"/>
      <c r="HE8" s="2692"/>
      <c r="HF8" s="2692"/>
      <c r="HG8" s="2692"/>
      <c r="HH8" s="2692"/>
      <c r="HI8" s="2692"/>
      <c r="HJ8" s="2692"/>
      <c r="HK8" s="2692"/>
      <c r="HL8" s="2692"/>
      <c r="HM8" s="2692"/>
      <c r="HN8" s="2692"/>
      <c r="HO8" s="2692"/>
      <c r="HP8" s="2692"/>
      <c r="HQ8" s="2692"/>
      <c r="HR8" s="2692"/>
      <c r="HS8" s="2692"/>
      <c r="HT8" s="2692"/>
      <c r="HU8" s="2692"/>
      <c r="HV8" s="2692"/>
      <c r="HW8" s="2692"/>
      <c r="HX8" s="2692"/>
      <c r="HY8" s="2692"/>
      <c r="HZ8" s="2692"/>
      <c r="IA8" s="2692"/>
      <c r="IB8" s="2692"/>
      <c r="IC8" s="2692"/>
      <c r="ID8" s="2692"/>
      <c r="IE8" s="2692"/>
      <c r="IF8" s="2692"/>
      <c r="IG8" s="2692"/>
      <c r="IH8" s="2692"/>
      <c r="II8" s="2692"/>
      <c r="IJ8" s="2692"/>
      <c r="IK8" s="2692"/>
      <c r="IL8" s="2692"/>
      <c r="IM8" s="2692"/>
      <c r="IN8" s="2692"/>
      <c r="IO8" s="2692"/>
      <c r="IP8" s="2692"/>
      <c r="IQ8" s="2692"/>
      <c r="IR8" s="2692"/>
      <c r="IS8" s="2692"/>
      <c r="IT8" s="2692"/>
      <c r="IU8" s="2692"/>
      <c r="IV8" s="2692"/>
    </row>
    <row r="9" spans="1:256" s="40" customFormat="1" ht="29" x14ac:dyDescent="0.35">
      <c r="A9" s="2820" t="s">
        <v>2587</v>
      </c>
      <c r="B9" s="2716"/>
      <c r="C9" s="2812" t="s">
        <v>2588</v>
      </c>
      <c r="D9" s="7008"/>
      <c r="E9" s="7009"/>
      <c r="F9" s="2811" t="s">
        <v>2586</v>
      </c>
      <c r="G9" s="7010"/>
      <c r="H9" s="7010"/>
      <c r="I9" s="7010"/>
      <c r="J9" s="7011"/>
      <c r="K9" s="2692"/>
      <c r="L9" s="2739"/>
      <c r="M9" s="7012"/>
      <c r="N9" s="7012"/>
      <c r="O9" s="7012"/>
      <c r="P9" s="7012"/>
      <c r="Q9" s="7012"/>
      <c r="R9" s="2739"/>
      <c r="S9" s="2739"/>
      <c r="T9" s="2739"/>
      <c r="U9" s="2692"/>
      <c r="V9" s="2692"/>
      <c r="W9" s="2692"/>
      <c r="X9" s="2692"/>
      <c r="Y9" s="2692"/>
      <c r="Z9" s="2692"/>
      <c r="AA9" s="2692"/>
      <c r="AB9" s="2692"/>
      <c r="AC9" s="2692"/>
      <c r="AD9" s="2692"/>
      <c r="AE9" s="2692"/>
      <c r="AF9" s="2692"/>
      <c r="AG9" s="2692"/>
      <c r="AH9" s="2692"/>
      <c r="AI9" s="2692"/>
      <c r="AJ9" s="2692"/>
      <c r="AK9" s="2692"/>
      <c r="AL9" s="2692"/>
      <c r="AM9" s="2692"/>
      <c r="AN9" s="2692"/>
      <c r="AO9" s="2692"/>
      <c r="AP9" s="2692"/>
      <c r="AQ9" s="2692"/>
      <c r="AR9" s="2692"/>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c r="BP9" s="2692"/>
      <c r="BQ9" s="2692"/>
      <c r="BR9" s="2692"/>
      <c r="BS9" s="2692"/>
      <c r="BT9" s="2692"/>
      <c r="BU9" s="2692"/>
      <c r="BV9" s="2692"/>
      <c r="BW9" s="2692"/>
      <c r="BX9" s="2692"/>
      <c r="BY9" s="2692"/>
      <c r="BZ9" s="2692"/>
      <c r="CA9" s="2692"/>
      <c r="CB9" s="2692"/>
      <c r="CC9" s="2692"/>
      <c r="CD9" s="2692"/>
      <c r="CE9" s="2692"/>
      <c r="CF9" s="2692"/>
      <c r="CG9" s="2692"/>
      <c r="CH9" s="2692"/>
      <c r="CI9" s="2692"/>
      <c r="CJ9" s="2692"/>
      <c r="CK9" s="2692"/>
      <c r="CL9" s="2692"/>
      <c r="CM9" s="2692"/>
      <c r="CN9" s="2692"/>
      <c r="CO9" s="2692"/>
      <c r="CP9" s="2692"/>
      <c r="CQ9" s="2692"/>
      <c r="CR9" s="2692"/>
      <c r="CS9" s="2692"/>
      <c r="CT9" s="2692"/>
      <c r="CU9" s="2692"/>
      <c r="CV9" s="2692"/>
      <c r="CW9" s="2692"/>
      <c r="CX9" s="2692"/>
      <c r="CY9" s="2692"/>
      <c r="CZ9" s="2692"/>
      <c r="DA9" s="2692"/>
      <c r="DB9" s="2692"/>
      <c r="DC9" s="2692"/>
      <c r="DD9" s="2692"/>
      <c r="DE9" s="2692"/>
      <c r="DF9" s="2692"/>
      <c r="DG9" s="2692"/>
      <c r="DH9" s="2692"/>
      <c r="DI9" s="2692"/>
      <c r="DJ9" s="2692"/>
      <c r="DK9" s="2692"/>
      <c r="DL9" s="2692"/>
      <c r="DM9" s="2692"/>
      <c r="DN9" s="2692"/>
      <c r="DO9" s="2692"/>
      <c r="DP9" s="2692"/>
      <c r="DQ9" s="2692"/>
      <c r="DR9" s="2692"/>
      <c r="DS9" s="2692"/>
      <c r="DT9" s="2692"/>
      <c r="DU9" s="2692"/>
      <c r="DV9" s="2692"/>
      <c r="DW9" s="2692"/>
      <c r="DX9" s="2692"/>
      <c r="DY9" s="2692"/>
      <c r="DZ9" s="2692"/>
      <c r="EA9" s="2692"/>
      <c r="EB9" s="2692"/>
      <c r="EC9" s="2692"/>
      <c r="ED9" s="2692"/>
      <c r="EE9" s="2692"/>
      <c r="EF9" s="2692"/>
      <c r="EG9" s="2692"/>
      <c r="EH9" s="2692"/>
      <c r="EI9" s="2692"/>
      <c r="EJ9" s="2692"/>
      <c r="EK9" s="2692"/>
      <c r="EL9" s="2692"/>
      <c r="EM9" s="2692"/>
      <c r="EN9" s="2692"/>
      <c r="EO9" s="2692"/>
      <c r="EP9" s="2692"/>
      <c r="EQ9" s="2692"/>
      <c r="ER9" s="2692"/>
      <c r="ES9" s="2692"/>
      <c r="ET9" s="2692"/>
      <c r="EU9" s="2692"/>
      <c r="EV9" s="2692"/>
      <c r="EW9" s="2692"/>
      <c r="EX9" s="2692"/>
      <c r="EY9" s="2692"/>
      <c r="EZ9" s="2692"/>
      <c r="FA9" s="2692"/>
      <c r="FB9" s="2692"/>
      <c r="FC9" s="2692"/>
      <c r="FD9" s="2692"/>
      <c r="FE9" s="2692"/>
      <c r="FF9" s="2692"/>
      <c r="FG9" s="2692"/>
      <c r="FH9" s="2692"/>
      <c r="FI9" s="2692"/>
      <c r="FJ9" s="2692"/>
      <c r="FK9" s="2692"/>
      <c r="FL9" s="2692"/>
      <c r="FM9" s="2692"/>
      <c r="FN9" s="2692"/>
      <c r="FO9" s="2692"/>
      <c r="FP9" s="2692"/>
      <c r="FQ9" s="2692"/>
      <c r="FR9" s="2692"/>
      <c r="FS9" s="2692"/>
      <c r="FT9" s="2692"/>
      <c r="FU9" s="2692"/>
      <c r="FV9" s="2692"/>
      <c r="FW9" s="2692"/>
      <c r="FX9" s="2692"/>
      <c r="FY9" s="2692"/>
      <c r="FZ9" s="2692"/>
      <c r="GA9" s="2692"/>
      <c r="GB9" s="2692"/>
      <c r="GC9" s="2692"/>
      <c r="GD9" s="2692"/>
      <c r="GE9" s="2692"/>
      <c r="GF9" s="2692"/>
      <c r="GG9" s="2692"/>
      <c r="GH9" s="2692"/>
      <c r="GI9" s="2692"/>
      <c r="GJ9" s="2692"/>
      <c r="GK9" s="2692"/>
      <c r="GL9" s="2692"/>
      <c r="GM9" s="2692"/>
      <c r="GN9" s="2692"/>
      <c r="GO9" s="2692"/>
      <c r="GP9" s="2692"/>
      <c r="GQ9" s="2692"/>
      <c r="GR9" s="2692"/>
      <c r="GS9" s="2692"/>
      <c r="GT9" s="2692"/>
      <c r="GU9" s="2692"/>
      <c r="GV9" s="2692"/>
      <c r="GW9" s="2692"/>
      <c r="GX9" s="2692"/>
      <c r="GY9" s="2692"/>
      <c r="GZ9" s="2692"/>
      <c r="HA9" s="2692"/>
      <c r="HB9" s="2692"/>
      <c r="HC9" s="2692"/>
      <c r="HD9" s="2692"/>
      <c r="HE9" s="2692"/>
      <c r="HF9" s="2692"/>
      <c r="HG9" s="2692"/>
      <c r="HH9" s="2692"/>
      <c r="HI9" s="2692"/>
      <c r="HJ9" s="2692"/>
      <c r="HK9" s="2692"/>
      <c r="HL9" s="2692"/>
      <c r="HM9" s="2692"/>
      <c r="HN9" s="2692"/>
      <c r="HO9" s="2692"/>
      <c r="HP9" s="2692"/>
      <c r="HQ9" s="2692"/>
      <c r="HR9" s="2692"/>
      <c r="HS9" s="2692"/>
      <c r="HT9" s="2692"/>
      <c r="HU9" s="2692"/>
      <c r="HV9" s="2692"/>
      <c r="HW9" s="2692"/>
      <c r="HX9" s="2692"/>
      <c r="HY9" s="2692"/>
      <c r="HZ9" s="2692"/>
      <c r="IA9" s="2692"/>
      <c r="IB9" s="2692"/>
      <c r="IC9" s="2692"/>
      <c r="ID9" s="2692"/>
      <c r="IE9" s="2692"/>
      <c r="IF9" s="2692"/>
      <c r="IG9" s="2692"/>
      <c r="IH9" s="2692"/>
      <c r="II9" s="2692"/>
      <c r="IJ9" s="2692"/>
      <c r="IK9" s="2692"/>
      <c r="IL9" s="2692"/>
      <c r="IM9" s="2692"/>
      <c r="IN9" s="2692"/>
      <c r="IO9" s="2692"/>
      <c r="IP9" s="2692"/>
      <c r="IQ9" s="2692"/>
      <c r="IR9" s="2692"/>
      <c r="IS9" s="2692"/>
      <c r="IT9" s="2692"/>
      <c r="IU9" s="2692"/>
      <c r="IV9" s="2692"/>
    </row>
    <row r="10" spans="1:256" s="40" customFormat="1" ht="29.25" customHeight="1" x14ac:dyDescent="0.35">
      <c r="A10" s="2820" t="s">
        <v>2590</v>
      </c>
      <c r="B10" s="2746"/>
      <c r="C10" s="2728" t="s">
        <v>2591</v>
      </c>
      <c r="D10" s="3372"/>
      <c r="E10" s="7013"/>
      <c r="F10" s="2811" t="s">
        <v>2589</v>
      </c>
      <c r="G10" s="7010"/>
      <c r="H10" s="7010"/>
      <c r="I10" s="7010"/>
      <c r="J10" s="7011"/>
      <c r="K10" s="2692"/>
      <c r="L10" s="2739"/>
      <c r="M10" s="7012"/>
      <c r="N10" s="7012"/>
      <c r="O10" s="7012"/>
      <c r="P10" s="7012"/>
      <c r="Q10" s="7012"/>
      <c r="R10" s="2739"/>
      <c r="S10" s="2739"/>
      <c r="T10" s="2739"/>
      <c r="U10" s="2692"/>
      <c r="V10" s="2692"/>
      <c r="W10" s="2692"/>
      <c r="X10" s="2692"/>
      <c r="Y10" s="2692"/>
      <c r="Z10" s="2692"/>
      <c r="AA10" s="2692"/>
      <c r="AB10" s="2692"/>
      <c r="AC10" s="2692"/>
      <c r="AD10" s="2692"/>
      <c r="AE10" s="2692"/>
      <c r="AF10" s="2692"/>
      <c r="AG10" s="2692"/>
      <c r="AH10" s="2692"/>
      <c r="AI10" s="2692"/>
      <c r="AJ10" s="2692"/>
      <c r="AK10" s="2692"/>
      <c r="AL10" s="2692"/>
      <c r="AM10" s="2692"/>
      <c r="AN10" s="2692"/>
      <c r="AO10" s="2692"/>
      <c r="AP10" s="2692"/>
      <c r="AQ10" s="2692"/>
      <c r="AR10" s="2692"/>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c r="BP10" s="2692"/>
      <c r="BQ10" s="2692"/>
      <c r="BR10" s="2692"/>
      <c r="BS10" s="2692"/>
      <c r="BT10" s="2692"/>
      <c r="BU10" s="2692"/>
      <c r="BV10" s="2692"/>
      <c r="BW10" s="2692"/>
      <c r="BX10" s="2692"/>
      <c r="BY10" s="2692"/>
      <c r="BZ10" s="2692"/>
      <c r="CA10" s="2692"/>
      <c r="CB10" s="2692"/>
      <c r="CC10" s="2692"/>
      <c r="CD10" s="2692"/>
      <c r="CE10" s="2692"/>
      <c r="CF10" s="2692"/>
      <c r="CG10" s="2692"/>
      <c r="CH10" s="2692"/>
      <c r="CI10" s="2692"/>
      <c r="CJ10" s="2692"/>
      <c r="CK10" s="2692"/>
      <c r="CL10" s="2692"/>
      <c r="CM10" s="2692"/>
      <c r="CN10" s="2692"/>
      <c r="CO10" s="2692"/>
      <c r="CP10" s="2692"/>
      <c r="CQ10" s="2692"/>
      <c r="CR10" s="2692"/>
      <c r="CS10" s="2692"/>
      <c r="CT10" s="2692"/>
      <c r="CU10" s="2692"/>
      <c r="CV10" s="2692"/>
      <c r="CW10" s="2692"/>
      <c r="CX10" s="2692"/>
      <c r="CY10" s="2692"/>
      <c r="CZ10" s="2692"/>
      <c r="DA10" s="2692"/>
      <c r="DB10" s="2692"/>
      <c r="DC10" s="2692"/>
      <c r="DD10" s="2692"/>
      <c r="DE10" s="2692"/>
      <c r="DF10" s="2692"/>
      <c r="DG10" s="2692"/>
      <c r="DH10" s="2692"/>
      <c r="DI10" s="2692"/>
      <c r="DJ10" s="2692"/>
      <c r="DK10" s="2692"/>
      <c r="DL10" s="2692"/>
      <c r="DM10" s="2692"/>
      <c r="DN10" s="2692"/>
      <c r="DO10" s="2692"/>
      <c r="DP10" s="2692"/>
      <c r="DQ10" s="2692"/>
      <c r="DR10" s="2692"/>
      <c r="DS10" s="2692"/>
      <c r="DT10" s="2692"/>
      <c r="DU10" s="2692"/>
      <c r="DV10" s="2692"/>
      <c r="DW10" s="2692"/>
      <c r="DX10" s="2692"/>
      <c r="DY10" s="2692"/>
      <c r="DZ10" s="2692"/>
      <c r="EA10" s="2692"/>
      <c r="EB10" s="2692"/>
      <c r="EC10" s="2692"/>
      <c r="ED10" s="2692"/>
      <c r="EE10" s="2692"/>
      <c r="EF10" s="2692"/>
      <c r="EG10" s="2692"/>
      <c r="EH10" s="2692"/>
      <c r="EI10" s="2692"/>
      <c r="EJ10" s="2692"/>
      <c r="EK10" s="2692"/>
      <c r="EL10" s="2692"/>
      <c r="EM10" s="2692"/>
      <c r="EN10" s="2692"/>
      <c r="EO10" s="2692"/>
      <c r="EP10" s="2692"/>
      <c r="EQ10" s="2692"/>
      <c r="ER10" s="2692"/>
      <c r="ES10" s="2692"/>
      <c r="ET10" s="2692"/>
      <c r="EU10" s="2692"/>
      <c r="EV10" s="2692"/>
      <c r="EW10" s="2692"/>
      <c r="EX10" s="2692"/>
      <c r="EY10" s="2692"/>
      <c r="EZ10" s="2692"/>
      <c r="FA10" s="2692"/>
      <c r="FB10" s="2692"/>
      <c r="FC10" s="2692"/>
      <c r="FD10" s="2692"/>
      <c r="FE10" s="2692"/>
      <c r="FF10" s="2692"/>
      <c r="FG10" s="2692"/>
      <c r="FH10" s="2692"/>
      <c r="FI10" s="2692"/>
      <c r="FJ10" s="2692"/>
      <c r="FK10" s="2692"/>
      <c r="FL10" s="2692"/>
      <c r="FM10" s="2692"/>
      <c r="FN10" s="2692"/>
      <c r="FO10" s="2692"/>
      <c r="FP10" s="2692"/>
      <c r="FQ10" s="2692"/>
      <c r="FR10" s="2692"/>
      <c r="FS10" s="2692"/>
      <c r="FT10" s="2692"/>
      <c r="FU10" s="2692"/>
      <c r="FV10" s="2692"/>
      <c r="FW10" s="2692"/>
      <c r="FX10" s="2692"/>
      <c r="FY10" s="2692"/>
      <c r="FZ10" s="2692"/>
      <c r="GA10" s="2692"/>
      <c r="GB10" s="2692"/>
      <c r="GC10" s="2692"/>
      <c r="GD10" s="2692"/>
      <c r="GE10" s="2692"/>
      <c r="GF10" s="2692"/>
      <c r="GG10" s="2692"/>
      <c r="GH10" s="2692"/>
      <c r="GI10" s="2692"/>
      <c r="GJ10" s="2692"/>
      <c r="GK10" s="2692"/>
      <c r="GL10" s="2692"/>
      <c r="GM10" s="2692"/>
      <c r="GN10" s="2692"/>
      <c r="GO10" s="2692"/>
      <c r="GP10" s="2692"/>
      <c r="GQ10" s="2692"/>
      <c r="GR10" s="2692"/>
      <c r="GS10" s="2692"/>
      <c r="GT10" s="2692"/>
      <c r="GU10" s="2692"/>
      <c r="GV10" s="2692"/>
      <c r="GW10" s="2692"/>
      <c r="GX10" s="2692"/>
      <c r="GY10" s="2692"/>
      <c r="GZ10" s="2692"/>
      <c r="HA10" s="2692"/>
      <c r="HB10" s="2692"/>
      <c r="HC10" s="2692"/>
      <c r="HD10" s="2692"/>
      <c r="HE10" s="2692"/>
      <c r="HF10" s="2692"/>
      <c r="HG10" s="2692"/>
      <c r="HH10" s="2692"/>
      <c r="HI10" s="2692"/>
      <c r="HJ10" s="2692"/>
      <c r="HK10" s="2692"/>
      <c r="HL10" s="2692"/>
      <c r="HM10" s="2692"/>
      <c r="HN10" s="2692"/>
      <c r="HO10" s="2692"/>
      <c r="HP10" s="2692"/>
      <c r="HQ10" s="2692"/>
      <c r="HR10" s="2692"/>
      <c r="HS10" s="2692"/>
      <c r="HT10" s="2692"/>
      <c r="HU10" s="2692"/>
      <c r="HV10" s="2692"/>
      <c r="HW10" s="2692"/>
      <c r="HX10" s="2692"/>
      <c r="HY10" s="2692"/>
      <c r="HZ10" s="2692"/>
      <c r="IA10" s="2692"/>
      <c r="IB10" s="2692"/>
      <c r="IC10" s="2692"/>
      <c r="ID10" s="2692"/>
      <c r="IE10" s="2692"/>
      <c r="IF10" s="2692"/>
      <c r="IG10" s="2692"/>
      <c r="IH10" s="2692"/>
      <c r="II10" s="2692"/>
      <c r="IJ10" s="2692"/>
      <c r="IK10" s="2692"/>
      <c r="IL10" s="2692"/>
      <c r="IM10" s="2692"/>
      <c r="IN10" s="2692"/>
      <c r="IO10" s="2692"/>
      <c r="IP10" s="2692"/>
      <c r="IQ10" s="2692"/>
      <c r="IR10" s="2692"/>
      <c r="IS10" s="2692"/>
      <c r="IT10" s="2692"/>
      <c r="IU10" s="2692"/>
      <c r="IV10" s="2692"/>
    </row>
    <row r="11" spans="1:256" s="40" customFormat="1" ht="15" customHeight="1" x14ac:dyDescent="0.35">
      <c r="A11" s="2820" t="s">
        <v>2593</v>
      </c>
      <c r="B11" s="2746"/>
      <c r="C11" s="2728" t="s">
        <v>2594</v>
      </c>
      <c r="D11" s="3372"/>
      <c r="E11" s="7013"/>
      <c r="F11" s="2811" t="s">
        <v>2592</v>
      </c>
      <c r="G11" s="7014"/>
      <c r="H11" s="7014"/>
      <c r="I11" s="7014"/>
      <c r="J11" s="7015"/>
      <c r="K11" s="2692"/>
      <c r="L11" s="2739"/>
      <c r="M11" s="7012"/>
      <c r="N11" s="7012"/>
      <c r="O11" s="7012"/>
      <c r="P11" s="7012"/>
      <c r="Q11" s="7012"/>
      <c r="R11" s="2739"/>
      <c r="S11" s="2739"/>
      <c r="T11" s="2739"/>
      <c r="U11" s="2692"/>
      <c r="V11" s="2692"/>
      <c r="W11" s="2692"/>
      <c r="X11" s="2692"/>
      <c r="Y11" s="2692"/>
      <c r="Z11" s="2692"/>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6" s="40" customFormat="1" x14ac:dyDescent="0.35">
      <c r="A12" s="2820" t="s">
        <v>2596</v>
      </c>
      <c r="B12" s="2746"/>
      <c r="C12" s="2728" t="s">
        <v>2597</v>
      </c>
      <c r="D12" s="3372"/>
      <c r="E12" s="7013"/>
      <c r="F12" s="7016" t="s">
        <v>2595</v>
      </c>
      <c r="G12" s="7017"/>
      <c r="H12" s="7018"/>
      <c r="I12" s="7018"/>
      <c r="J12" s="7019"/>
      <c r="K12" s="2692"/>
      <c r="L12" s="2739"/>
      <c r="M12" s="7012"/>
      <c r="N12" s="7012"/>
      <c r="O12" s="7012"/>
      <c r="P12" s="7012"/>
      <c r="Q12" s="7012"/>
      <c r="R12" s="2739"/>
      <c r="S12" s="2739"/>
      <c r="T12" s="2739"/>
      <c r="U12" s="2692"/>
      <c r="V12" s="2692"/>
      <c r="W12" s="2692"/>
      <c r="X12" s="2692"/>
      <c r="Y12" s="2692"/>
      <c r="Z12" s="2692"/>
      <c r="AA12" s="2692"/>
      <c r="AB12" s="2692"/>
      <c r="AC12" s="2692"/>
      <c r="AD12" s="2692"/>
      <c r="AE12" s="2692"/>
      <c r="AF12" s="2692"/>
      <c r="AG12" s="2692"/>
      <c r="AH12" s="2692"/>
      <c r="AI12" s="2692"/>
      <c r="AJ12" s="2692"/>
      <c r="AK12" s="2692"/>
      <c r="AL12" s="2692"/>
      <c r="AM12" s="2692"/>
      <c r="AN12" s="2692"/>
      <c r="AO12" s="2692"/>
      <c r="AP12" s="2692"/>
      <c r="AQ12" s="2692"/>
      <c r="AR12" s="2692"/>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c r="BP12" s="2692"/>
      <c r="BQ12" s="2692"/>
      <c r="BR12" s="2692"/>
      <c r="BS12" s="2692"/>
      <c r="BT12" s="2692"/>
      <c r="BU12" s="2692"/>
      <c r="BV12" s="2692"/>
      <c r="BW12" s="2692"/>
      <c r="BX12" s="2692"/>
      <c r="BY12" s="2692"/>
      <c r="BZ12" s="2692"/>
      <c r="CA12" s="2692"/>
      <c r="CB12" s="2692"/>
      <c r="CC12" s="2692"/>
      <c r="CD12" s="2692"/>
      <c r="CE12" s="2692"/>
      <c r="CF12" s="2692"/>
      <c r="CG12" s="2692"/>
      <c r="CH12" s="2692"/>
      <c r="CI12" s="2692"/>
      <c r="CJ12" s="2692"/>
      <c r="CK12" s="2692"/>
      <c r="CL12" s="2692"/>
      <c r="CM12" s="2692"/>
      <c r="CN12" s="2692"/>
      <c r="CO12" s="2692"/>
      <c r="CP12" s="2692"/>
      <c r="CQ12" s="2692"/>
      <c r="CR12" s="2692"/>
      <c r="CS12" s="2692"/>
      <c r="CT12" s="2692"/>
      <c r="CU12" s="2692"/>
      <c r="CV12" s="2692"/>
      <c r="CW12" s="2692"/>
      <c r="CX12" s="2692"/>
      <c r="CY12" s="2692"/>
      <c r="CZ12" s="2692"/>
      <c r="DA12" s="2692"/>
      <c r="DB12" s="2692"/>
      <c r="DC12" s="2692"/>
      <c r="DD12" s="2692"/>
      <c r="DE12" s="2692"/>
      <c r="DF12" s="2692"/>
      <c r="DG12" s="2692"/>
      <c r="DH12" s="2692"/>
      <c r="DI12" s="2692"/>
      <c r="DJ12" s="2692"/>
      <c r="DK12" s="2692"/>
      <c r="DL12" s="2692"/>
      <c r="DM12" s="2692"/>
      <c r="DN12" s="2692"/>
      <c r="DO12" s="2692"/>
      <c r="DP12" s="2692"/>
      <c r="DQ12" s="2692"/>
      <c r="DR12" s="2692"/>
      <c r="DS12" s="2692"/>
      <c r="DT12" s="2692"/>
      <c r="DU12" s="2692"/>
      <c r="DV12" s="2692"/>
      <c r="DW12" s="2692"/>
      <c r="DX12" s="2692"/>
      <c r="DY12" s="2692"/>
      <c r="DZ12" s="2692"/>
      <c r="EA12" s="2692"/>
      <c r="EB12" s="2692"/>
      <c r="EC12" s="2692"/>
      <c r="ED12" s="2692"/>
      <c r="EE12" s="2692"/>
      <c r="EF12" s="2692"/>
      <c r="EG12" s="2692"/>
      <c r="EH12" s="2692"/>
      <c r="EI12" s="2692"/>
      <c r="EJ12" s="2692"/>
      <c r="EK12" s="2692"/>
      <c r="EL12" s="2692"/>
      <c r="EM12" s="2692"/>
      <c r="EN12" s="2692"/>
      <c r="EO12" s="2692"/>
      <c r="EP12" s="2692"/>
      <c r="EQ12" s="2692"/>
      <c r="ER12" s="2692"/>
      <c r="ES12" s="2692"/>
      <c r="ET12" s="2692"/>
      <c r="EU12" s="2692"/>
      <c r="EV12" s="2692"/>
      <c r="EW12" s="2692"/>
      <c r="EX12" s="2692"/>
      <c r="EY12" s="2692"/>
      <c r="EZ12" s="2692"/>
      <c r="FA12" s="2692"/>
      <c r="FB12" s="2692"/>
      <c r="FC12" s="2692"/>
      <c r="FD12" s="2692"/>
      <c r="FE12" s="2692"/>
      <c r="FF12" s="2692"/>
      <c r="FG12" s="2692"/>
      <c r="FH12" s="2692"/>
      <c r="FI12" s="2692"/>
      <c r="FJ12" s="2692"/>
      <c r="FK12" s="2692"/>
      <c r="FL12" s="2692"/>
      <c r="FM12" s="2692"/>
      <c r="FN12" s="2692"/>
      <c r="FO12" s="2692"/>
      <c r="FP12" s="2692"/>
      <c r="FQ12" s="2692"/>
      <c r="FR12" s="2692"/>
      <c r="FS12" s="2692"/>
      <c r="FT12" s="2692"/>
      <c r="FU12" s="2692"/>
      <c r="FV12" s="2692"/>
      <c r="FW12" s="2692"/>
      <c r="FX12" s="2692"/>
      <c r="FY12" s="2692"/>
      <c r="FZ12" s="2692"/>
      <c r="GA12" s="2692"/>
      <c r="GB12" s="2692"/>
      <c r="GC12" s="2692"/>
      <c r="GD12" s="2692"/>
      <c r="GE12" s="2692"/>
      <c r="GF12" s="2692"/>
      <c r="GG12" s="2692"/>
      <c r="GH12" s="2692"/>
      <c r="GI12" s="2692"/>
      <c r="GJ12" s="2692"/>
      <c r="GK12" s="2692"/>
      <c r="GL12" s="2692"/>
      <c r="GM12" s="2692"/>
      <c r="GN12" s="2692"/>
      <c r="GO12" s="2692"/>
      <c r="GP12" s="2692"/>
      <c r="GQ12" s="2692"/>
      <c r="GR12" s="2692"/>
      <c r="GS12" s="2692"/>
      <c r="GT12" s="2692"/>
      <c r="GU12" s="2692"/>
      <c r="GV12" s="2692"/>
      <c r="GW12" s="2692"/>
      <c r="GX12" s="2692"/>
      <c r="GY12" s="2692"/>
      <c r="GZ12" s="2692"/>
      <c r="HA12" s="2692"/>
      <c r="HB12" s="2692"/>
      <c r="HC12" s="2692"/>
      <c r="HD12" s="2692"/>
      <c r="HE12" s="2692"/>
      <c r="HF12" s="2692"/>
      <c r="HG12" s="2692"/>
      <c r="HH12" s="2692"/>
      <c r="HI12" s="2692"/>
      <c r="HJ12" s="2692"/>
      <c r="HK12" s="2692"/>
      <c r="HL12" s="2692"/>
      <c r="HM12" s="2692"/>
      <c r="HN12" s="2692"/>
      <c r="HO12" s="2692"/>
      <c r="HP12" s="2692"/>
      <c r="HQ12" s="2692"/>
      <c r="HR12" s="2692"/>
      <c r="HS12" s="2692"/>
      <c r="HT12" s="2692"/>
      <c r="HU12" s="2692"/>
      <c r="HV12" s="2692"/>
      <c r="HW12" s="2692"/>
      <c r="HX12" s="2692"/>
      <c r="HY12" s="2692"/>
      <c r="HZ12" s="2692"/>
      <c r="IA12" s="2692"/>
      <c r="IB12" s="2692"/>
      <c r="IC12" s="2692"/>
      <c r="ID12" s="2692"/>
      <c r="IE12" s="2692"/>
      <c r="IF12" s="2692"/>
      <c r="IG12" s="2692"/>
      <c r="IH12" s="2692"/>
      <c r="II12" s="2692"/>
      <c r="IJ12" s="2692"/>
      <c r="IK12" s="2692"/>
      <c r="IL12" s="2692"/>
      <c r="IM12" s="2692"/>
      <c r="IN12" s="2692"/>
      <c r="IO12" s="2692"/>
      <c r="IP12" s="2692"/>
      <c r="IQ12" s="2692"/>
      <c r="IR12" s="2692"/>
      <c r="IS12" s="2692"/>
      <c r="IT12" s="2692"/>
      <c r="IU12" s="2692"/>
      <c r="IV12" s="2692"/>
    </row>
    <row r="13" spans="1:256" s="40" customFormat="1" ht="15" customHeight="1" x14ac:dyDescent="0.35">
      <c r="B13" s="2749"/>
      <c r="C13" s="2728"/>
      <c r="D13" s="2728"/>
      <c r="E13" s="2731"/>
      <c r="F13" s="7016" t="s">
        <v>2598</v>
      </c>
      <c r="G13" s="7017"/>
      <c r="H13" s="2747"/>
      <c r="I13" s="2747"/>
      <c r="J13" s="2748"/>
      <c r="K13" s="2692"/>
      <c r="L13" s="2739"/>
      <c r="M13" s="7012"/>
      <c r="N13" s="7012"/>
      <c r="O13" s="7012"/>
      <c r="P13" s="7012"/>
      <c r="Q13" s="7012"/>
      <c r="R13" s="2739"/>
      <c r="S13" s="2739"/>
      <c r="T13" s="2739"/>
      <c r="U13" s="2692"/>
      <c r="V13" s="2692"/>
      <c r="W13" s="2692"/>
      <c r="X13" s="2692"/>
      <c r="Y13" s="2692"/>
      <c r="Z13" s="2692"/>
      <c r="AA13" s="2692"/>
      <c r="AB13" s="2692"/>
      <c r="AC13" s="2692"/>
      <c r="AD13" s="2692"/>
      <c r="AE13" s="2692"/>
      <c r="AF13" s="2692"/>
      <c r="AG13" s="2692"/>
      <c r="AH13" s="2692"/>
      <c r="AI13" s="2692"/>
      <c r="AJ13" s="2692"/>
      <c r="AK13" s="2692"/>
      <c r="AL13" s="2692"/>
      <c r="AM13" s="2692"/>
      <c r="AN13" s="2692"/>
      <c r="AO13" s="2692"/>
      <c r="AP13" s="2692"/>
      <c r="AQ13" s="2692"/>
      <c r="AR13" s="2692"/>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c r="BP13" s="2692"/>
      <c r="BQ13" s="2692"/>
      <c r="BR13" s="2692"/>
      <c r="BS13" s="2692"/>
      <c r="BT13" s="2692"/>
      <c r="BU13" s="2692"/>
      <c r="BV13" s="2692"/>
      <c r="BW13" s="2692"/>
      <c r="BX13" s="2692"/>
      <c r="BY13" s="2692"/>
      <c r="BZ13" s="2692"/>
      <c r="CA13" s="2692"/>
      <c r="CB13" s="2692"/>
      <c r="CC13" s="2692"/>
      <c r="CD13" s="2692"/>
      <c r="CE13" s="2692"/>
      <c r="CF13" s="2692"/>
      <c r="CG13" s="2692"/>
      <c r="CH13" s="2692"/>
      <c r="CI13" s="2692"/>
      <c r="CJ13" s="2692"/>
      <c r="CK13" s="2692"/>
      <c r="CL13" s="2692"/>
      <c r="CM13" s="2692"/>
      <c r="CN13" s="2692"/>
      <c r="CO13" s="2692"/>
      <c r="CP13" s="2692"/>
      <c r="CQ13" s="2692"/>
      <c r="CR13" s="2692"/>
      <c r="CS13" s="2692"/>
      <c r="CT13" s="2692"/>
      <c r="CU13" s="2692"/>
      <c r="CV13" s="2692"/>
      <c r="CW13" s="2692"/>
      <c r="CX13" s="2692"/>
      <c r="CY13" s="2692"/>
      <c r="CZ13" s="2692"/>
      <c r="DA13" s="2692"/>
      <c r="DB13" s="2692"/>
      <c r="DC13" s="2692"/>
      <c r="DD13" s="2692"/>
      <c r="DE13" s="2692"/>
      <c r="DF13" s="2692"/>
      <c r="DG13" s="2692"/>
      <c r="DH13" s="2692"/>
      <c r="DI13" s="2692"/>
      <c r="DJ13" s="2692"/>
      <c r="DK13" s="2692"/>
      <c r="DL13" s="2692"/>
      <c r="DM13" s="2692"/>
      <c r="DN13" s="2692"/>
      <c r="DO13" s="2692"/>
      <c r="DP13" s="2692"/>
      <c r="DQ13" s="2692"/>
      <c r="DR13" s="2692"/>
      <c r="DS13" s="2692"/>
      <c r="DT13" s="2692"/>
      <c r="DU13" s="2692"/>
      <c r="DV13" s="2692"/>
      <c r="DW13" s="2692"/>
      <c r="DX13" s="2692"/>
      <c r="DY13" s="2692"/>
      <c r="DZ13" s="2692"/>
      <c r="EA13" s="2692"/>
      <c r="EB13" s="2692"/>
      <c r="EC13" s="2692"/>
      <c r="ED13" s="2692"/>
      <c r="EE13" s="2692"/>
      <c r="EF13" s="2692"/>
      <c r="EG13" s="2692"/>
      <c r="EH13" s="2692"/>
      <c r="EI13" s="2692"/>
      <c r="EJ13" s="2692"/>
      <c r="EK13" s="2692"/>
      <c r="EL13" s="2692"/>
      <c r="EM13" s="2692"/>
      <c r="EN13" s="2692"/>
      <c r="EO13" s="2692"/>
      <c r="EP13" s="2692"/>
      <c r="EQ13" s="2692"/>
      <c r="ER13" s="2692"/>
      <c r="ES13" s="2692"/>
      <c r="ET13" s="2692"/>
      <c r="EU13" s="2692"/>
      <c r="EV13" s="2692"/>
      <c r="EW13" s="2692"/>
      <c r="EX13" s="2692"/>
      <c r="EY13" s="2692"/>
      <c r="EZ13" s="2692"/>
      <c r="FA13" s="2692"/>
      <c r="FB13" s="2692"/>
      <c r="FC13" s="2692"/>
      <c r="FD13" s="2692"/>
      <c r="FE13" s="2692"/>
      <c r="FF13" s="2692"/>
      <c r="FG13" s="2692"/>
      <c r="FH13" s="2692"/>
      <c r="FI13" s="2692"/>
      <c r="FJ13" s="2692"/>
      <c r="FK13" s="2692"/>
      <c r="FL13" s="2692"/>
      <c r="FM13" s="2692"/>
      <c r="FN13" s="2692"/>
      <c r="FO13" s="2692"/>
      <c r="FP13" s="2692"/>
      <c r="FQ13" s="2692"/>
      <c r="FR13" s="2692"/>
      <c r="FS13" s="2692"/>
      <c r="FT13" s="2692"/>
      <c r="FU13" s="2692"/>
      <c r="FV13" s="2692"/>
      <c r="FW13" s="2692"/>
      <c r="FX13" s="2692"/>
      <c r="FY13" s="2692"/>
      <c r="FZ13" s="2692"/>
      <c r="GA13" s="2692"/>
      <c r="GB13" s="2692"/>
      <c r="GC13" s="2692"/>
      <c r="GD13" s="2692"/>
      <c r="GE13" s="2692"/>
      <c r="GF13" s="2692"/>
      <c r="GG13" s="2692"/>
      <c r="GH13" s="2692"/>
      <c r="GI13" s="2692"/>
      <c r="GJ13" s="2692"/>
      <c r="GK13" s="2692"/>
      <c r="GL13" s="2692"/>
      <c r="GM13" s="2692"/>
      <c r="GN13" s="2692"/>
      <c r="GO13" s="2692"/>
      <c r="GP13" s="2692"/>
      <c r="GQ13" s="2692"/>
      <c r="GR13" s="2692"/>
      <c r="GS13" s="2692"/>
      <c r="GT13" s="2692"/>
      <c r="GU13" s="2692"/>
      <c r="GV13" s="2692"/>
      <c r="GW13" s="2692"/>
      <c r="GX13" s="2692"/>
      <c r="GY13" s="2692"/>
      <c r="GZ13" s="2692"/>
      <c r="HA13" s="2692"/>
      <c r="HB13" s="2692"/>
      <c r="HC13" s="2692"/>
      <c r="HD13" s="2692"/>
      <c r="HE13" s="2692"/>
      <c r="HF13" s="2692"/>
      <c r="HG13" s="2692"/>
      <c r="HH13" s="2692"/>
      <c r="HI13" s="2692"/>
      <c r="HJ13" s="2692"/>
      <c r="HK13" s="2692"/>
      <c r="HL13" s="2692"/>
      <c r="HM13" s="2692"/>
      <c r="HN13" s="2692"/>
      <c r="HO13" s="2692"/>
      <c r="HP13" s="2692"/>
      <c r="HQ13" s="2692"/>
      <c r="HR13" s="2692"/>
      <c r="HS13" s="2692"/>
      <c r="HT13" s="2692"/>
      <c r="HU13" s="2692"/>
      <c r="HV13" s="2692"/>
      <c r="HW13" s="2692"/>
      <c r="HX13" s="2692"/>
      <c r="HY13" s="2692"/>
      <c r="HZ13" s="2692"/>
      <c r="IA13" s="2692"/>
      <c r="IB13" s="2692"/>
      <c r="IC13" s="2692"/>
      <c r="ID13" s="2692"/>
      <c r="IE13" s="2692"/>
      <c r="IF13" s="2692"/>
      <c r="IG13" s="2692"/>
      <c r="IH13" s="2692"/>
      <c r="II13" s="2692"/>
      <c r="IJ13" s="2692"/>
      <c r="IK13" s="2692"/>
      <c r="IL13" s="2692"/>
      <c r="IM13" s="2692"/>
      <c r="IN13" s="2692"/>
      <c r="IO13" s="2692"/>
      <c r="IP13" s="2692"/>
      <c r="IQ13" s="2692"/>
      <c r="IR13" s="2692"/>
      <c r="IS13" s="2692"/>
      <c r="IT13" s="2692"/>
      <c r="IU13" s="2692"/>
      <c r="IV13" s="2692"/>
    </row>
    <row r="14" spans="1:256" s="40" customFormat="1" ht="15" customHeight="1" x14ac:dyDescent="0.3">
      <c r="A14" s="7026" t="s">
        <v>2600</v>
      </c>
      <c r="B14" s="7026"/>
      <c r="C14" s="7026"/>
      <c r="D14" s="7026"/>
      <c r="E14" s="7027"/>
      <c r="F14" s="2820" t="s">
        <v>2599</v>
      </c>
      <c r="G14" s="7018"/>
      <c r="H14" s="7018"/>
      <c r="I14" s="7018"/>
      <c r="J14" s="7019"/>
      <c r="K14" s="2692"/>
      <c r="L14" s="2739"/>
      <c r="M14" s="2739"/>
      <c r="N14" s="2739"/>
      <c r="O14" s="2739"/>
      <c r="P14" s="2739"/>
      <c r="Q14" s="2739"/>
      <c r="R14" s="2739"/>
      <c r="S14" s="2739"/>
      <c r="T14" s="2739"/>
      <c r="U14" s="2692"/>
      <c r="V14" s="2692"/>
      <c r="W14" s="2692"/>
      <c r="X14" s="2692"/>
      <c r="Y14" s="2692"/>
      <c r="Z14" s="2692"/>
      <c r="AA14" s="2692"/>
      <c r="AB14" s="2692"/>
      <c r="AC14" s="2692"/>
      <c r="AD14" s="2692"/>
      <c r="AE14" s="2692"/>
      <c r="AF14" s="2692"/>
      <c r="AG14" s="2692"/>
      <c r="AH14" s="2692"/>
      <c r="AI14" s="2692"/>
      <c r="AJ14" s="2692"/>
      <c r="AK14" s="2692"/>
      <c r="AL14" s="2692"/>
      <c r="AM14" s="2692"/>
      <c r="AN14" s="2692"/>
      <c r="AO14" s="2692"/>
      <c r="AP14" s="2692"/>
      <c r="AQ14" s="2692"/>
      <c r="AR14" s="2692"/>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c r="BP14" s="2692"/>
      <c r="BQ14" s="2692"/>
      <c r="BR14" s="2692"/>
      <c r="BS14" s="2692"/>
      <c r="BT14" s="2692"/>
      <c r="BU14" s="2692"/>
      <c r="BV14" s="2692"/>
      <c r="BW14" s="2692"/>
      <c r="BX14" s="2692"/>
      <c r="BY14" s="2692"/>
      <c r="BZ14" s="2692"/>
      <c r="CA14" s="2692"/>
      <c r="CB14" s="2692"/>
      <c r="CC14" s="2692"/>
      <c r="CD14" s="2692"/>
      <c r="CE14" s="2692"/>
      <c r="CF14" s="2692"/>
      <c r="CG14" s="2692"/>
      <c r="CH14" s="2692"/>
      <c r="CI14" s="2692"/>
      <c r="CJ14" s="2692"/>
      <c r="CK14" s="2692"/>
      <c r="CL14" s="2692"/>
      <c r="CM14" s="2692"/>
      <c r="CN14" s="2692"/>
      <c r="CO14" s="2692"/>
      <c r="CP14" s="2692"/>
      <c r="CQ14" s="2692"/>
      <c r="CR14" s="2692"/>
      <c r="CS14" s="2692"/>
      <c r="CT14" s="2692"/>
      <c r="CU14" s="2692"/>
      <c r="CV14" s="2692"/>
      <c r="CW14" s="2692"/>
      <c r="CX14" s="2692"/>
      <c r="CY14" s="2692"/>
      <c r="CZ14" s="2692"/>
      <c r="DA14" s="2692"/>
      <c r="DB14" s="2692"/>
      <c r="DC14" s="2692"/>
      <c r="DD14" s="2692"/>
      <c r="DE14" s="2692"/>
      <c r="DF14" s="2692"/>
      <c r="DG14" s="2692"/>
      <c r="DH14" s="2692"/>
      <c r="DI14" s="2692"/>
      <c r="DJ14" s="2692"/>
      <c r="DK14" s="2692"/>
      <c r="DL14" s="2692"/>
      <c r="DM14" s="2692"/>
      <c r="DN14" s="2692"/>
      <c r="DO14" s="2692"/>
      <c r="DP14" s="2692"/>
      <c r="DQ14" s="2692"/>
      <c r="DR14" s="2692"/>
      <c r="DS14" s="2692"/>
      <c r="DT14" s="2692"/>
      <c r="DU14" s="2692"/>
      <c r="DV14" s="2692"/>
      <c r="DW14" s="2692"/>
      <c r="DX14" s="2692"/>
      <c r="DY14" s="2692"/>
      <c r="DZ14" s="2692"/>
      <c r="EA14" s="2692"/>
      <c r="EB14" s="2692"/>
      <c r="EC14" s="2692"/>
      <c r="ED14" s="2692"/>
      <c r="EE14" s="2692"/>
      <c r="EF14" s="2692"/>
      <c r="EG14" s="2692"/>
      <c r="EH14" s="2692"/>
      <c r="EI14" s="2692"/>
      <c r="EJ14" s="2692"/>
      <c r="EK14" s="2692"/>
      <c r="EL14" s="2692"/>
      <c r="EM14" s="2692"/>
      <c r="EN14" s="2692"/>
      <c r="EO14" s="2692"/>
      <c r="EP14" s="2692"/>
      <c r="EQ14" s="2692"/>
      <c r="ER14" s="2692"/>
      <c r="ES14" s="2692"/>
      <c r="ET14" s="2692"/>
      <c r="EU14" s="2692"/>
      <c r="EV14" s="2692"/>
      <c r="EW14" s="2692"/>
      <c r="EX14" s="2692"/>
      <c r="EY14" s="2692"/>
      <c r="EZ14" s="2692"/>
      <c r="FA14" s="2692"/>
      <c r="FB14" s="2692"/>
      <c r="FC14" s="2692"/>
      <c r="FD14" s="2692"/>
      <c r="FE14" s="2692"/>
      <c r="FF14" s="2692"/>
      <c r="FG14" s="2692"/>
      <c r="FH14" s="2692"/>
      <c r="FI14" s="2692"/>
      <c r="FJ14" s="2692"/>
      <c r="FK14" s="2692"/>
      <c r="FL14" s="2692"/>
      <c r="FM14" s="2692"/>
      <c r="FN14" s="2692"/>
      <c r="FO14" s="2692"/>
      <c r="FP14" s="2692"/>
      <c r="FQ14" s="2692"/>
      <c r="FR14" s="2692"/>
      <c r="FS14" s="2692"/>
      <c r="FT14" s="2692"/>
      <c r="FU14" s="2692"/>
      <c r="FV14" s="2692"/>
      <c r="FW14" s="2692"/>
      <c r="FX14" s="2692"/>
      <c r="FY14" s="2692"/>
      <c r="FZ14" s="2692"/>
      <c r="GA14" s="2692"/>
      <c r="GB14" s="2692"/>
      <c r="GC14" s="2692"/>
      <c r="GD14" s="2692"/>
      <c r="GE14" s="2692"/>
      <c r="GF14" s="2692"/>
      <c r="GG14" s="2692"/>
      <c r="GH14" s="2692"/>
      <c r="GI14" s="2692"/>
      <c r="GJ14" s="2692"/>
      <c r="GK14" s="2692"/>
      <c r="GL14" s="2692"/>
      <c r="GM14" s="2692"/>
      <c r="GN14" s="2692"/>
      <c r="GO14" s="2692"/>
      <c r="GP14" s="2692"/>
      <c r="GQ14" s="2692"/>
      <c r="GR14" s="2692"/>
      <c r="GS14" s="2692"/>
      <c r="GT14" s="2692"/>
      <c r="GU14" s="2692"/>
      <c r="GV14" s="2692"/>
      <c r="GW14" s="2692"/>
      <c r="GX14" s="2692"/>
      <c r="GY14" s="2692"/>
      <c r="GZ14" s="2692"/>
      <c r="HA14" s="2692"/>
      <c r="HB14" s="2692"/>
      <c r="HC14" s="2692"/>
      <c r="HD14" s="2692"/>
      <c r="HE14" s="2692"/>
      <c r="HF14" s="2692"/>
      <c r="HG14" s="2692"/>
      <c r="HH14" s="2692"/>
      <c r="HI14" s="2692"/>
      <c r="HJ14" s="2692"/>
      <c r="HK14" s="2692"/>
      <c r="HL14" s="2692"/>
      <c r="HM14" s="2692"/>
      <c r="HN14" s="2692"/>
      <c r="HO14" s="2692"/>
      <c r="HP14" s="2692"/>
      <c r="HQ14" s="2692"/>
      <c r="HR14" s="2692"/>
      <c r="HS14" s="2692"/>
      <c r="HT14" s="2692"/>
      <c r="HU14" s="2692"/>
      <c r="HV14" s="2692"/>
      <c r="HW14" s="2692"/>
      <c r="HX14" s="2692"/>
      <c r="HY14" s="2692"/>
      <c r="HZ14" s="2692"/>
      <c r="IA14" s="2692"/>
      <c r="IB14" s="2692"/>
      <c r="IC14" s="2692"/>
      <c r="ID14" s="2692"/>
      <c r="IE14" s="2692"/>
      <c r="IF14" s="2692"/>
      <c r="IG14" s="2692"/>
      <c r="IH14" s="2692"/>
      <c r="II14" s="2692"/>
      <c r="IJ14" s="2692"/>
      <c r="IK14" s="2692"/>
      <c r="IL14" s="2692"/>
      <c r="IM14" s="2692"/>
      <c r="IN14" s="2692"/>
      <c r="IO14" s="2692"/>
      <c r="IP14" s="2692"/>
      <c r="IQ14" s="2692"/>
      <c r="IR14" s="2692"/>
      <c r="IS14" s="2692"/>
      <c r="IT14" s="2692"/>
      <c r="IU14" s="2692"/>
      <c r="IV14" s="2692"/>
    </row>
    <row r="15" spans="1:256" s="40" customFormat="1" ht="17.25" customHeight="1" x14ac:dyDescent="0.3">
      <c r="A15" s="2819" t="s">
        <v>2602</v>
      </c>
      <c r="B15" s="2750"/>
      <c r="C15" s="7028" t="s">
        <v>2603</v>
      </c>
      <c r="D15" s="7028"/>
      <c r="E15" s="2751"/>
      <c r="F15" s="2820" t="s">
        <v>2601</v>
      </c>
      <c r="G15" s="7018"/>
      <c r="H15" s="7018"/>
      <c r="I15" s="7018"/>
      <c r="J15" s="7019"/>
      <c r="K15" s="2692"/>
      <c r="L15" s="2739"/>
      <c r="M15" s="2739"/>
      <c r="N15" s="2739"/>
      <c r="O15" s="2739"/>
      <c r="P15" s="2739"/>
      <c r="Q15" s="2739"/>
      <c r="R15" s="2739"/>
      <c r="S15" s="2739"/>
      <c r="T15" s="2739"/>
      <c r="U15" s="2692"/>
      <c r="V15" s="2692"/>
      <c r="W15" s="2692"/>
      <c r="X15" s="2692"/>
      <c r="Y15" s="2692"/>
      <c r="Z15" s="2692"/>
      <c r="AA15" s="2692"/>
      <c r="AB15" s="2692"/>
      <c r="AC15" s="2692"/>
      <c r="AD15" s="2692"/>
      <c r="AE15" s="2692"/>
      <c r="AF15" s="2692"/>
      <c r="AG15" s="2692"/>
      <c r="AH15" s="2692"/>
      <c r="AI15" s="2692"/>
      <c r="AJ15" s="2692"/>
      <c r="AK15" s="2692"/>
      <c r="AL15" s="2692"/>
      <c r="AM15" s="2692"/>
      <c r="AN15" s="2692"/>
      <c r="AO15" s="2692"/>
      <c r="AP15" s="2692"/>
      <c r="AQ15" s="2692"/>
      <c r="AR15" s="2692"/>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c r="BP15" s="2692"/>
      <c r="BQ15" s="2692"/>
      <c r="BR15" s="2692"/>
      <c r="BS15" s="2692"/>
      <c r="BT15" s="2692"/>
      <c r="BU15" s="2692"/>
      <c r="BV15" s="2692"/>
      <c r="BW15" s="2692"/>
      <c r="BX15" s="2692"/>
      <c r="BY15" s="2692"/>
      <c r="BZ15" s="2692"/>
      <c r="CA15" s="2692"/>
      <c r="CB15" s="2692"/>
      <c r="CC15" s="2692"/>
      <c r="CD15" s="2692"/>
      <c r="CE15" s="2692"/>
      <c r="CF15" s="2692"/>
      <c r="CG15" s="2692"/>
      <c r="CH15" s="2692"/>
      <c r="CI15" s="2692"/>
      <c r="CJ15" s="2692"/>
      <c r="CK15" s="2692"/>
      <c r="CL15" s="2692"/>
      <c r="CM15" s="2692"/>
      <c r="CN15" s="2692"/>
      <c r="CO15" s="2692"/>
      <c r="CP15" s="2692"/>
      <c r="CQ15" s="2692"/>
      <c r="CR15" s="2692"/>
      <c r="CS15" s="2692"/>
      <c r="CT15" s="2692"/>
      <c r="CU15" s="2692"/>
      <c r="CV15" s="2692"/>
      <c r="CW15" s="2692"/>
      <c r="CX15" s="2692"/>
      <c r="CY15" s="2692"/>
      <c r="CZ15" s="2692"/>
      <c r="DA15" s="2692"/>
      <c r="DB15" s="2692"/>
      <c r="DC15" s="2692"/>
      <c r="DD15" s="2692"/>
      <c r="DE15" s="2692"/>
      <c r="DF15" s="2692"/>
      <c r="DG15" s="2692"/>
      <c r="DH15" s="2692"/>
      <c r="DI15" s="2692"/>
      <c r="DJ15" s="2692"/>
      <c r="DK15" s="2692"/>
      <c r="DL15" s="2692"/>
      <c r="DM15" s="2692"/>
      <c r="DN15" s="2692"/>
      <c r="DO15" s="2692"/>
      <c r="DP15" s="2692"/>
      <c r="DQ15" s="2692"/>
      <c r="DR15" s="2692"/>
      <c r="DS15" s="2692"/>
      <c r="DT15" s="2692"/>
      <c r="DU15" s="2692"/>
      <c r="DV15" s="2692"/>
      <c r="DW15" s="2692"/>
      <c r="DX15" s="2692"/>
      <c r="DY15" s="2692"/>
      <c r="DZ15" s="2692"/>
      <c r="EA15" s="2692"/>
      <c r="EB15" s="2692"/>
      <c r="EC15" s="2692"/>
      <c r="ED15" s="2692"/>
      <c r="EE15" s="2692"/>
      <c r="EF15" s="2692"/>
      <c r="EG15" s="2692"/>
      <c r="EH15" s="2692"/>
      <c r="EI15" s="2692"/>
      <c r="EJ15" s="2692"/>
      <c r="EK15" s="2692"/>
      <c r="EL15" s="2692"/>
      <c r="EM15" s="2692"/>
      <c r="EN15" s="2692"/>
      <c r="EO15" s="2692"/>
      <c r="EP15" s="2692"/>
      <c r="EQ15" s="2692"/>
      <c r="ER15" s="2692"/>
      <c r="ES15" s="2692"/>
      <c r="ET15" s="2692"/>
      <c r="EU15" s="2692"/>
      <c r="EV15" s="2692"/>
      <c r="EW15" s="2692"/>
      <c r="EX15" s="2692"/>
      <c r="EY15" s="2692"/>
      <c r="EZ15" s="2692"/>
      <c r="FA15" s="2692"/>
      <c r="FB15" s="2692"/>
      <c r="FC15" s="2692"/>
      <c r="FD15" s="2692"/>
      <c r="FE15" s="2692"/>
      <c r="FF15" s="2692"/>
      <c r="FG15" s="2692"/>
      <c r="FH15" s="2692"/>
      <c r="FI15" s="2692"/>
      <c r="FJ15" s="2692"/>
      <c r="FK15" s="2692"/>
      <c r="FL15" s="2692"/>
      <c r="FM15" s="2692"/>
      <c r="FN15" s="2692"/>
      <c r="FO15" s="2692"/>
      <c r="FP15" s="2692"/>
      <c r="FQ15" s="2692"/>
      <c r="FR15" s="2692"/>
      <c r="FS15" s="2692"/>
      <c r="FT15" s="2692"/>
      <c r="FU15" s="2692"/>
      <c r="FV15" s="2692"/>
      <c r="FW15" s="2692"/>
      <c r="FX15" s="2692"/>
      <c r="FY15" s="2692"/>
      <c r="FZ15" s="2692"/>
      <c r="GA15" s="2692"/>
      <c r="GB15" s="2692"/>
      <c r="GC15" s="2692"/>
      <c r="GD15" s="2692"/>
      <c r="GE15" s="2692"/>
      <c r="GF15" s="2692"/>
      <c r="GG15" s="2692"/>
      <c r="GH15" s="2692"/>
      <c r="GI15" s="2692"/>
      <c r="GJ15" s="2692"/>
      <c r="GK15" s="2692"/>
      <c r="GL15" s="2692"/>
      <c r="GM15" s="2692"/>
      <c r="GN15" s="2692"/>
      <c r="GO15" s="2692"/>
      <c r="GP15" s="2692"/>
      <c r="GQ15" s="2692"/>
      <c r="GR15" s="2692"/>
      <c r="GS15" s="2692"/>
      <c r="GT15" s="2692"/>
      <c r="GU15" s="2692"/>
      <c r="GV15" s="2692"/>
      <c r="GW15" s="2692"/>
      <c r="GX15" s="2692"/>
      <c r="GY15" s="2692"/>
      <c r="GZ15" s="2692"/>
      <c r="HA15" s="2692"/>
      <c r="HB15" s="2692"/>
      <c r="HC15" s="2692"/>
      <c r="HD15" s="2692"/>
      <c r="HE15" s="2692"/>
      <c r="HF15" s="2692"/>
      <c r="HG15" s="2692"/>
      <c r="HH15" s="2692"/>
      <c r="HI15" s="2692"/>
      <c r="HJ15" s="2692"/>
      <c r="HK15" s="2692"/>
      <c r="HL15" s="2692"/>
      <c r="HM15" s="2692"/>
      <c r="HN15" s="2692"/>
      <c r="HO15" s="2692"/>
      <c r="HP15" s="2692"/>
      <c r="HQ15" s="2692"/>
      <c r="HR15" s="2692"/>
      <c r="HS15" s="2692"/>
      <c r="HT15" s="2692"/>
      <c r="HU15" s="2692"/>
      <c r="HV15" s="2692"/>
      <c r="HW15" s="2692"/>
      <c r="HX15" s="2692"/>
      <c r="HY15" s="2692"/>
      <c r="HZ15" s="2692"/>
      <c r="IA15" s="2692"/>
      <c r="IB15" s="2692"/>
      <c r="IC15" s="2692"/>
      <c r="ID15" s="2692"/>
      <c r="IE15" s="2692"/>
      <c r="IF15" s="2692"/>
      <c r="IG15" s="2692"/>
      <c r="IH15" s="2692"/>
      <c r="II15" s="2692"/>
      <c r="IJ15" s="2692"/>
      <c r="IK15" s="2692"/>
      <c r="IL15" s="2692"/>
      <c r="IM15" s="2692"/>
      <c r="IN15" s="2692"/>
      <c r="IO15" s="2692"/>
      <c r="IP15" s="2692"/>
      <c r="IQ15" s="2692"/>
      <c r="IR15" s="2692"/>
      <c r="IS15" s="2692"/>
      <c r="IT15" s="2692"/>
      <c r="IU15" s="2692"/>
      <c r="IV15" s="2692"/>
    </row>
    <row r="16" spans="1:256" s="40" customFormat="1" ht="13.5" customHeight="1" x14ac:dyDescent="0.3">
      <c r="A16" s="2819"/>
      <c r="B16" s="2819"/>
      <c r="E16" s="2814"/>
      <c r="F16" s="2820" t="s">
        <v>2604</v>
      </c>
      <c r="G16" s="7018"/>
      <c r="H16" s="7018"/>
      <c r="I16" s="7018"/>
      <c r="J16" s="7019"/>
      <c r="K16" s="2692"/>
      <c r="L16" s="2739"/>
      <c r="M16" s="2739"/>
      <c r="N16" s="2816"/>
      <c r="O16" s="2816"/>
      <c r="P16" s="2816"/>
      <c r="Q16" s="2816"/>
      <c r="R16" s="2739"/>
      <c r="S16" s="2739"/>
      <c r="T16" s="2739"/>
      <c r="U16" s="2692"/>
      <c r="V16" s="2692"/>
      <c r="W16" s="2692"/>
      <c r="X16" s="2692"/>
      <c r="Y16" s="2692"/>
      <c r="Z16" s="2692"/>
      <c r="AA16" s="2692"/>
      <c r="AB16" s="2692"/>
      <c r="AC16" s="2692"/>
      <c r="AD16" s="2692"/>
      <c r="AE16" s="2692"/>
      <c r="AF16" s="2692"/>
      <c r="AG16" s="2692"/>
      <c r="AH16" s="2692"/>
      <c r="AI16" s="2692"/>
      <c r="AJ16" s="2692"/>
      <c r="AK16" s="2692"/>
      <c r="AL16" s="2692"/>
      <c r="AM16" s="2692"/>
      <c r="AN16" s="2692"/>
      <c r="AO16" s="2692"/>
      <c r="AP16" s="2692"/>
      <c r="AQ16" s="2692"/>
      <c r="AR16" s="269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c r="BP16" s="2692"/>
      <c r="BQ16" s="2692"/>
      <c r="BR16" s="2692"/>
      <c r="BS16" s="2692"/>
      <c r="BT16" s="2692"/>
      <c r="BU16" s="2692"/>
      <c r="BV16" s="2692"/>
      <c r="BW16" s="2692"/>
      <c r="BX16" s="2692"/>
      <c r="BY16" s="2692"/>
      <c r="BZ16" s="2692"/>
      <c r="CA16" s="2692"/>
      <c r="CB16" s="2692"/>
      <c r="CC16" s="2692"/>
      <c r="CD16" s="2692"/>
      <c r="CE16" s="2692"/>
      <c r="CF16" s="2692"/>
      <c r="CG16" s="2692"/>
      <c r="CH16" s="2692"/>
      <c r="CI16" s="2692"/>
      <c r="CJ16" s="2692"/>
      <c r="CK16" s="2692"/>
      <c r="CL16" s="2692"/>
      <c r="CM16" s="2692"/>
      <c r="CN16" s="2692"/>
      <c r="CO16" s="2692"/>
      <c r="CP16" s="2692"/>
      <c r="CQ16" s="2692"/>
      <c r="CR16" s="2692"/>
      <c r="CS16" s="2692"/>
      <c r="CT16" s="2692"/>
      <c r="CU16" s="2692"/>
      <c r="CV16" s="2692"/>
      <c r="CW16" s="2692"/>
      <c r="CX16" s="2692"/>
      <c r="CY16" s="2692"/>
      <c r="CZ16" s="2692"/>
      <c r="DA16" s="2692"/>
      <c r="DB16" s="2692"/>
      <c r="DC16" s="2692"/>
      <c r="DD16" s="2692"/>
      <c r="DE16" s="2692"/>
      <c r="DF16" s="2692"/>
      <c r="DG16" s="2692"/>
      <c r="DH16" s="2692"/>
      <c r="DI16" s="2692"/>
      <c r="DJ16" s="2692"/>
      <c r="DK16" s="2692"/>
      <c r="DL16" s="2692"/>
      <c r="DM16" s="2692"/>
      <c r="DN16" s="2692"/>
      <c r="DO16" s="2692"/>
      <c r="DP16" s="2692"/>
      <c r="DQ16" s="2692"/>
      <c r="DR16" s="2692"/>
      <c r="DS16" s="2692"/>
      <c r="DT16" s="2692"/>
      <c r="DU16" s="2692"/>
      <c r="DV16" s="2692"/>
      <c r="DW16" s="2692"/>
      <c r="DX16" s="2692"/>
      <c r="DY16" s="2692"/>
      <c r="DZ16" s="2692"/>
      <c r="EA16" s="2692"/>
      <c r="EB16" s="2692"/>
      <c r="EC16" s="2692"/>
      <c r="ED16" s="2692"/>
      <c r="EE16" s="2692"/>
      <c r="EF16" s="2692"/>
      <c r="EG16" s="2692"/>
      <c r="EH16" s="2692"/>
      <c r="EI16" s="2692"/>
      <c r="EJ16" s="2692"/>
      <c r="EK16" s="2692"/>
      <c r="EL16" s="2692"/>
      <c r="EM16" s="2692"/>
      <c r="EN16" s="2692"/>
      <c r="EO16" s="2692"/>
      <c r="EP16" s="2692"/>
      <c r="EQ16" s="2692"/>
      <c r="ER16" s="2692"/>
      <c r="ES16" s="2692"/>
      <c r="ET16" s="2692"/>
      <c r="EU16" s="2692"/>
      <c r="EV16" s="2692"/>
      <c r="EW16" s="2692"/>
      <c r="EX16" s="2692"/>
      <c r="EY16" s="2692"/>
      <c r="EZ16" s="2692"/>
      <c r="FA16" s="2692"/>
      <c r="FB16" s="2692"/>
      <c r="FC16" s="2692"/>
      <c r="FD16" s="2692"/>
      <c r="FE16" s="2692"/>
      <c r="FF16" s="2692"/>
      <c r="FG16" s="2692"/>
      <c r="FH16" s="2692"/>
      <c r="FI16" s="2692"/>
      <c r="FJ16" s="2692"/>
      <c r="FK16" s="2692"/>
      <c r="FL16" s="2692"/>
      <c r="FM16" s="2692"/>
      <c r="FN16" s="2692"/>
      <c r="FO16" s="2692"/>
      <c r="FP16" s="2692"/>
      <c r="FQ16" s="2692"/>
      <c r="FR16" s="2692"/>
      <c r="FS16" s="2692"/>
      <c r="FT16" s="2692"/>
      <c r="FU16" s="2692"/>
      <c r="FV16" s="2692"/>
      <c r="FW16" s="2692"/>
      <c r="FX16" s="2692"/>
      <c r="FY16" s="2692"/>
      <c r="FZ16" s="2692"/>
      <c r="GA16" s="2692"/>
      <c r="GB16" s="2692"/>
      <c r="GC16" s="2692"/>
      <c r="GD16" s="2692"/>
      <c r="GE16" s="2692"/>
      <c r="GF16" s="2692"/>
      <c r="GG16" s="2692"/>
      <c r="GH16" s="2692"/>
      <c r="GI16" s="2692"/>
      <c r="GJ16" s="2692"/>
      <c r="GK16" s="2692"/>
      <c r="GL16" s="2692"/>
      <c r="GM16" s="2692"/>
      <c r="GN16" s="2692"/>
      <c r="GO16" s="2692"/>
      <c r="GP16" s="2692"/>
      <c r="GQ16" s="2692"/>
      <c r="GR16" s="2692"/>
      <c r="GS16" s="2692"/>
      <c r="GT16" s="2692"/>
      <c r="GU16" s="2692"/>
      <c r="GV16" s="2692"/>
      <c r="GW16" s="2692"/>
      <c r="GX16" s="2692"/>
      <c r="GY16" s="2692"/>
      <c r="GZ16" s="2692"/>
      <c r="HA16" s="2692"/>
      <c r="HB16" s="2692"/>
      <c r="HC16" s="2692"/>
      <c r="HD16" s="2692"/>
      <c r="HE16" s="2692"/>
      <c r="HF16" s="2692"/>
      <c r="HG16" s="2692"/>
      <c r="HH16" s="2692"/>
      <c r="HI16" s="2692"/>
      <c r="HJ16" s="2692"/>
      <c r="HK16" s="2692"/>
      <c r="HL16" s="2692"/>
      <c r="HM16" s="2692"/>
      <c r="HN16" s="2692"/>
      <c r="HO16" s="2692"/>
      <c r="HP16" s="2692"/>
      <c r="HQ16" s="2692"/>
      <c r="HR16" s="2692"/>
      <c r="HS16" s="2692"/>
      <c r="HT16" s="2692"/>
      <c r="HU16" s="2692"/>
      <c r="HV16" s="2692"/>
      <c r="HW16" s="2692"/>
      <c r="HX16" s="2692"/>
      <c r="HY16" s="2692"/>
      <c r="HZ16" s="2692"/>
      <c r="IA16" s="2692"/>
      <c r="IB16" s="2692"/>
      <c r="IC16" s="2692"/>
      <c r="ID16" s="2692"/>
      <c r="IE16" s="2692"/>
      <c r="IF16" s="2692"/>
      <c r="IG16" s="2692"/>
      <c r="IH16" s="2692"/>
      <c r="II16" s="2692"/>
      <c r="IJ16" s="2692"/>
      <c r="IK16" s="2692"/>
      <c r="IL16" s="2692"/>
      <c r="IM16" s="2692"/>
      <c r="IN16" s="2692"/>
      <c r="IO16" s="2692"/>
      <c r="IP16" s="2692"/>
      <c r="IQ16" s="2692"/>
      <c r="IR16" s="2692"/>
      <c r="IS16" s="2692"/>
      <c r="IT16" s="2692"/>
      <c r="IU16" s="2692"/>
      <c r="IV16" s="2692"/>
    </row>
    <row r="17" spans="1:256" s="40" customFormat="1" ht="13.5" customHeight="1" x14ac:dyDescent="0.3">
      <c r="A17" s="2819" t="s">
        <v>2605</v>
      </c>
      <c r="B17" s="7020"/>
      <c r="C17" s="7020"/>
      <c r="D17" s="7020"/>
      <c r="E17" s="7021"/>
      <c r="F17" s="2811"/>
      <c r="G17" s="2747"/>
      <c r="H17" s="2747"/>
      <c r="I17" s="2747"/>
      <c r="J17" s="2748"/>
      <c r="K17" s="2692"/>
      <c r="L17" s="2739"/>
      <c r="M17" s="2739"/>
      <c r="N17" s="2816"/>
      <c r="O17" s="2816"/>
      <c r="P17" s="2816"/>
      <c r="Q17" s="2816"/>
      <c r="R17" s="2739"/>
      <c r="S17" s="2739"/>
      <c r="T17" s="2739"/>
      <c r="U17" s="2692"/>
      <c r="V17" s="2692"/>
      <c r="W17" s="2692"/>
      <c r="X17" s="2692"/>
      <c r="Y17" s="2692"/>
      <c r="Z17" s="2692"/>
      <c r="AA17" s="2692"/>
      <c r="AB17" s="2692"/>
      <c r="AC17" s="2692"/>
      <c r="AD17" s="2692"/>
      <c r="AE17" s="2692"/>
      <c r="AF17" s="2692"/>
      <c r="AG17" s="2692"/>
      <c r="AH17" s="2692"/>
      <c r="AI17" s="2692"/>
      <c r="AJ17" s="2692"/>
      <c r="AK17" s="2692"/>
      <c r="AL17" s="2692"/>
      <c r="AM17" s="2692"/>
      <c r="AN17" s="2692"/>
      <c r="AO17" s="2692"/>
      <c r="AP17" s="2692"/>
      <c r="AQ17" s="2692"/>
      <c r="AR17" s="2692"/>
      <c r="AS17" s="2692"/>
      <c r="AT17" s="2692"/>
      <c r="AU17" s="2692"/>
      <c r="AV17" s="2692"/>
      <c r="AW17" s="2692"/>
      <c r="AX17" s="2692"/>
      <c r="AY17" s="2692"/>
      <c r="AZ17" s="2692"/>
      <c r="BA17" s="2692"/>
      <c r="BB17" s="2692"/>
      <c r="BC17" s="2692"/>
      <c r="BD17" s="2692"/>
      <c r="BE17" s="2692"/>
      <c r="BF17" s="2692"/>
      <c r="BG17" s="2692"/>
      <c r="BH17" s="2692"/>
      <c r="BI17" s="2692"/>
      <c r="BJ17" s="2692"/>
      <c r="BK17" s="2692"/>
      <c r="BL17" s="2692"/>
      <c r="BM17" s="2692"/>
      <c r="BN17" s="2692"/>
      <c r="BO17" s="2692"/>
      <c r="BP17" s="2692"/>
      <c r="BQ17" s="2692"/>
      <c r="BR17" s="2692"/>
      <c r="BS17" s="2692"/>
      <c r="BT17" s="2692"/>
      <c r="BU17" s="2692"/>
      <c r="BV17" s="2692"/>
      <c r="BW17" s="2692"/>
      <c r="BX17" s="2692"/>
      <c r="BY17" s="2692"/>
      <c r="BZ17" s="2692"/>
      <c r="CA17" s="2692"/>
      <c r="CB17" s="2692"/>
      <c r="CC17" s="2692"/>
      <c r="CD17" s="2692"/>
      <c r="CE17" s="2692"/>
      <c r="CF17" s="2692"/>
      <c r="CG17" s="2692"/>
      <c r="CH17" s="2692"/>
      <c r="CI17" s="2692"/>
      <c r="CJ17" s="2692"/>
      <c r="CK17" s="2692"/>
      <c r="CL17" s="2692"/>
      <c r="CM17" s="2692"/>
      <c r="CN17" s="2692"/>
      <c r="CO17" s="2692"/>
      <c r="CP17" s="2692"/>
      <c r="CQ17" s="2692"/>
      <c r="CR17" s="2692"/>
      <c r="CS17" s="2692"/>
      <c r="CT17" s="2692"/>
      <c r="CU17" s="2692"/>
      <c r="CV17" s="2692"/>
      <c r="CW17" s="2692"/>
      <c r="CX17" s="2692"/>
      <c r="CY17" s="2692"/>
      <c r="CZ17" s="2692"/>
      <c r="DA17" s="2692"/>
      <c r="DB17" s="2692"/>
      <c r="DC17" s="2692"/>
      <c r="DD17" s="2692"/>
      <c r="DE17" s="2692"/>
      <c r="DF17" s="2692"/>
      <c r="DG17" s="2692"/>
      <c r="DH17" s="2692"/>
      <c r="DI17" s="2692"/>
      <c r="DJ17" s="2692"/>
      <c r="DK17" s="2692"/>
      <c r="DL17" s="2692"/>
      <c r="DM17" s="2692"/>
      <c r="DN17" s="2692"/>
      <c r="DO17" s="2692"/>
      <c r="DP17" s="2692"/>
      <c r="DQ17" s="2692"/>
      <c r="DR17" s="2692"/>
      <c r="DS17" s="2692"/>
      <c r="DT17" s="2692"/>
      <c r="DU17" s="2692"/>
      <c r="DV17" s="2692"/>
      <c r="DW17" s="2692"/>
      <c r="DX17" s="2692"/>
      <c r="DY17" s="2692"/>
      <c r="DZ17" s="2692"/>
      <c r="EA17" s="2692"/>
      <c r="EB17" s="2692"/>
      <c r="EC17" s="2692"/>
      <c r="ED17" s="2692"/>
      <c r="EE17" s="2692"/>
      <c r="EF17" s="2692"/>
      <c r="EG17" s="2692"/>
      <c r="EH17" s="2692"/>
      <c r="EI17" s="2692"/>
      <c r="EJ17" s="2692"/>
      <c r="EK17" s="2692"/>
      <c r="EL17" s="2692"/>
      <c r="EM17" s="2692"/>
      <c r="EN17" s="2692"/>
      <c r="EO17" s="2692"/>
      <c r="EP17" s="2692"/>
      <c r="EQ17" s="2692"/>
      <c r="ER17" s="2692"/>
      <c r="ES17" s="2692"/>
      <c r="ET17" s="2692"/>
      <c r="EU17" s="2692"/>
      <c r="EV17" s="2692"/>
      <c r="EW17" s="2692"/>
      <c r="EX17" s="2692"/>
      <c r="EY17" s="2692"/>
      <c r="EZ17" s="2692"/>
      <c r="FA17" s="2692"/>
      <c r="FB17" s="2692"/>
      <c r="FC17" s="2692"/>
      <c r="FD17" s="2692"/>
      <c r="FE17" s="2692"/>
      <c r="FF17" s="2692"/>
      <c r="FG17" s="2692"/>
      <c r="FH17" s="2692"/>
      <c r="FI17" s="2692"/>
      <c r="FJ17" s="2692"/>
      <c r="FK17" s="2692"/>
      <c r="FL17" s="2692"/>
      <c r="FM17" s="2692"/>
      <c r="FN17" s="2692"/>
      <c r="FO17" s="2692"/>
      <c r="FP17" s="2692"/>
      <c r="FQ17" s="2692"/>
      <c r="FR17" s="2692"/>
      <c r="FS17" s="2692"/>
      <c r="FT17" s="2692"/>
      <c r="FU17" s="2692"/>
      <c r="FV17" s="2692"/>
      <c r="FW17" s="2692"/>
      <c r="FX17" s="2692"/>
      <c r="FY17" s="2692"/>
      <c r="FZ17" s="2692"/>
      <c r="GA17" s="2692"/>
      <c r="GB17" s="2692"/>
      <c r="GC17" s="2692"/>
      <c r="GD17" s="2692"/>
      <c r="GE17" s="2692"/>
      <c r="GF17" s="2692"/>
      <c r="GG17" s="2692"/>
      <c r="GH17" s="2692"/>
      <c r="GI17" s="2692"/>
      <c r="GJ17" s="2692"/>
      <c r="GK17" s="2692"/>
      <c r="GL17" s="2692"/>
      <c r="GM17" s="2692"/>
      <c r="GN17" s="2692"/>
      <c r="GO17" s="2692"/>
      <c r="GP17" s="2692"/>
      <c r="GQ17" s="2692"/>
      <c r="GR17" s="2692"/>
      <c r="GS17" s="2692"/>
      <c r="GT17" s="2692"/>
      <c r="GU17" s="2692"/>
      <c r="GV17" s="2692"/>
      <c r="GW17" s="2692"/>
      <c r="GX17" s="2692"/>
      <c r="GY17" s="2692"/>
      <c r="GZ17" s="2692"/>
      <c r="HA17" s="2692"/>
      <c r="HB17" s="2692"/>
      <c r="HC17" s="2692"/>
      <c r="HD17" s="2692"/>
      <c r="HE17" s="2692"/>
      <c r="HF17" s="2692"/>
      <c r="HG17" s="2692"/>
      <c r="HH17" s="2692"/>
      <c r="HI17" s="2692"/>
      <c r="HJ17" s="2692"/>
      <c r="HK17" s="2692"/>
      <c r="HL17" s="2692"/>
      <c r="HM17" s="2692"/>
      <c r="HN17" s="2692"/>
      <c r="HO17" s="2692"/>
      <c r="HP17" s="2692"/>
      <c r="HQ17" s="2692"/>
      <c r="HR17" s="2692"/>
      <c r="HS17" s="2692"/>
      <c r="HT17" s="2692"/>
      <c r="HU17" s="2692"/>
      <c r="HV17" s="2692"/>
      <c r="HW17" s="2692"/>
      <c r="HX17" s="2692"/>
      <c r="HY17" s="2692"/>
      <c r="HZ17" s="2692"/>
      <c r="IA17" s="2692"/>
      <c r="IB17" s="2692"/>
      <c r="IC17" s="2692"/>
      <c r="ID17" s="2692"/>
      <c r="IE17" s="2692"/>
      <c r="IF17" s="2692"/>
      <c r="IG17" s="2692"/>
      <c r="IH17" s="2692"/>
      <c r="II17" s="2692"/>
      <c r="IJ17" s="2692"/>
      <c r="IK17" s="2692"/>
      <c r="IL17" s="2692"/>
      <c r="IM17" s="2692"/>
      <c r="IN17" s="2692"/>
      <c r="IO17" s="2692"/>
      <c r="IP17" s="2692"/>
      <c r="IQ17" s="2692"/>
      <c r="IR17" s="2692"/>
      <c r="IS17" s="2692"/>
      <c r="IT17" s="2692"/>
      <c r="IU17" s="2692"/>
      <c r="IV17" s="2692"/>
    </row>
    <row r="18" spans="1:256" s="40" customFormat="1" ht="15" x14ac:dyDescent="0.3">
      <c r="A18" s="2752"/>
      <c r="B18" s="2753"/>
      <c r="C18" s="2753"/>
      <c r="D18" s="2753"/>
      <c r="E18" s="2754"/>
      <c r="F18" s="2811" t="s">
        <v>2606</v>
      </c>
      <c r="G18" s="7022"/>
      <c r="H18" s="7022"/>
      <c r="I18" s="7022"/>
      <c r="J18" s="7023"/>
      <c r="K18" s="2692"/>
      <c r="L18" s="2739"/>
      <c r="M18" s="2739"/>
      <c r="N18" s="2816"/>
      <c r="O18" s="2816"/>
      <c r="P18" s="2816"/>
      <c r="Q18" s="2816"/>
      <c r="R18" s="2739"/>
      <c r="S18" s="2739"/>
      <c r="T18" s="2739"/>
      <c r="U18" s="2692"/>
      <c r="V18" s="2692"/>
      <c r="W18" s="2692"/>
      <c r="X18" s="2692"/>
      <c r="Y18" s="2692"/>
      <c r="Z18" s="2692"/>
      <c r="AA18" s="2692"/>
      <c r="AB18" s="2692"/>
      <c r="AC18" s="2692"/>
      <c r="AD18" s="2692"/>
      <c r="AE18" s="2692"/>
      <c r="AF18" s="2692"/>
      <c r="AG18" s="2692"/>
      <c r="AH18" s="2692"/>
      <c r="AI18" s="2692"/>
      <c r="AJ18" s="2692"/>
      <c r="AK18" s="2692"/>
      <c r="AL18" s="2692"/>
      <c r="AM18" s="2692"/>
      <c r="AN18" s="2692"/>
      <c r="AO18" s="2692"/>
      <c r="AP18" s="2692"/>
      <c r="AQ18" s="2692"/>
      <c r="AR18" s="2692"/>
      <c r="AS18" s="2692"/>
      <c r="AT18" s="2692"/>
      <c r="AU18" s="2692"/>
      <c r="AV18" s="2692"/>
      <c r="AW18" s="2692"/>
      <c r="AX18" s="2692"/>
      <c r="AY18" s="2692"/>
      <c r="AZ18" s="2692"/>
      <c r="BA18" s="2692"/>
      <c r="BB18" s="2692"/>
      <c r="BC18" s="2692"/>
      <c r="BD18" s="2692"/>
      <c r="BE18" s="2692"/>
      <c r="BF18" s="2692"/>
      <c r="BG18" s="2692"/>
      <c r="BH18" s="2692"/>
      <c r="BI18" s="2692"/>
      <c r="BJ18" s="2692"/>
      <c r="BK18" s="2692"/>
      <c r="BL18" s="2692"/>
      <c r="BM18" s="2692"/>
      <c r="BN18" s="2692"/>
      <c r="BO18" s="2692"/>
      <c r="BP18" s="2692"/>
      <c r="BQ18" s="2692"/>
      <c r="BR18" s="2692"/>
      <c r="BS18" s="2692"/>
      <c r="BT18" s="2692"/>
      <c r="BU18" s="2692"/>
      <c r="BV18" s="2692"/>
      <c r="BW18" s="2692"/>
      <c r="BX18" s="2692"/>
      <c r="BY18" s="2692"/>
      <c r="BZ18" s="2692"/>
      <c r="CA18" s="2692"/>
      <c r="CB18" s="2692"/>
      <c r="CC18" s="2692"/>
      <c r="CD18" s="2692"/>
      <c r="CE18" s="2692"/>
      <c r="CF18" s="2692"/>
      <c r="CG18" s="2692"/>
      <c r="CH18" s="2692"/>
      <c r="CI18" s="2692"/>
      <c r="CJ18" s="2692"/>
      <c r="CK18" s="2692"/>
      <c r="CL18" s="2692"/>
      <c r="CM18" s="2692"/>
      <c r="CN18" s="2692"/>
      <c r="CO18" s="2692"/>
      <c r="CP18" s="2692"/>
      <c r="CQ18" s="2692"/>
      <c r="CR18" s="2692"/>
      <c r="CS18" s="2692"/>
      <c r="CT18" s="2692"/>
      <c r="CU18" s="2692"/>
      <c r="CV18" s="2692"/>
      <c r="CW18" s="2692"/>
      <c r="CX18" s="2692"/>
      <c r="CY18" s="2692"/>
      <c r="CZ18" s="2692"/>
      <c r="DA18" s="2692"/>
      <c r="DB18" s="2692"/>
      <c r="DC18" s="2692"/>
      <c r="DD18" s="2692"/>
      <c r="DE18" s="2692"/>
      <c r="DF18" s="2692"/>
      <c r="DG18" s="2692"/>
      <c r="DH18" s="2692"/>
      <c r="DI18" s="2692"/>
      <c r="DJ18" s="2692"/>
      <c r="DK18" s="2692"/>
      <c r="DL18" s="2692"/>
      <c r="DM18" s="2692"/>
      <c r="DN18" s="2692"/>
      <c r="DO18" s="2692"/>
      <c r="DP18" s="2692"/>
      <c r="DQ18" s="2692"/>
      <c r="DR18" s="2692"/>
      <c r="DS18" s="2692"/>
      <c r="DT18" s="2692"/>
      <c r="DU18" s="2692"/>
      <c r="DV18" s="2692"/>
      <c r="DW18" s="2692"/>
      <c r="DX18" s="2692"/>
      <c r="DY18" s="2692"/>
      <c r="DZ18" s="2692"/>
      <c r="EA18" s="2692"/>
      <c r="EB18" s="2692"/>
      <c r="EC18" s="2692"/>
      <c r="ED18" s="2692"/>
      <c r="EE18" s="2692"/>
      <c r="EF18" s="2692"/>
      <c r="EG18" s="2692"/>
      <c r="EH18" s="2692"/>
      <c r="EI18" s="2692"/>
      <c r="EJ18" s="2692"/>
      <c r="EK18" s="2692"/>
      <c r="EL18" s="2692"/>
      <c r="EM18" s="2692"/>
      <c r="EN18" s="2692"/>
      <c r="EO18" s="2692"/>
      <c r="EP18" s="2692"/>
      <c r="EQ18" s="2692"/>
      <c r="ER18" s="2692"/>
      <c r="ES18" s="2692"/>
      <c r="ET18" s="2692"/>
      <c r="EU18" s="2692"/>
      <c r="EV18" s="2692"/>
      <c r="EW18" s="2692"/>
      <c r="EX18" s="2692"/>
      <c r="EY18" s="2692"/>
      <c r="EZ18" s="2692"/>
      <c r="FA18" s="2692"/>
      <c r="FB18" s="2692"/>
      <c r="FC18" s="2692"/>
      <c r="FD18" s="2692"/>
      <c r="FE18" s="2692"/>
      <c r="FF18" s="2692"/>
      <c r="FG18" s="2692"/>
      <c r="FH18" s="2692"/>
      <c r="FI18" s="2692"/>
      <c r="FJ18" s="2692"/>
      <c r="FK18" s="2692"/>
      <c r="FL18" s="2692"/>
      <c r="FM18" s="2692"/>
      <c r="FN18" s="2692"/>
      <c r="FO18" s="2692"/>
      <c r="FP18" s="2692"/>
      <c r="FQ18" s="2692"/>
      <c r="FR18" s="2692"/>
      <c r="FS18" s="2692"/>
      <c r="FT18" s="2692"/>
      <c r="FU18" s="2692"/>
      <c r="FV18" s="2692"/>
      <c r="FW18" s="2692"/>
      <c r="FX18" s="2692"/>
      <c r="FY18" s="2692"/>
      <c r="FZ18" s="2692"/>
      <c r="GA18" s="2692"/>
      <c r="GB18" s="2692"/>
      <c r="GC18" s="2692"/>
      <c r="GD18" s="2692"/>
      <c r="GE18" s="2692"/>
      <c r="GF18" s="2692"/>
      <c r="GG18" s="2692"/>
      <c r="GH18" s="2692"/>
      <c r="GI18" s="2692"/>
      <c r="GJ18" s="2692"/>
      <c r="GK18" s="2692"/>
      <c r="GL18" s="2692"/>
      <c r="GM18" s="2692"/>
      <c r="GN18" s="2692"/>
      <c r="GO18" s="2692"/>
      <c r="GP18" s="2692"/>
      <c r="GQ18" s="2692"/>
      <c r="GR18" s="2692"/>
      <c r="GS18" s="2692"/>
      <c r="GT18" s="2692"/>
      <c r="GU18" s="2692"/>
      <c r="GV18" s="2692"/>
      <c r="GW18" s="2692"/>
      <c r="GX18" s="2692"/>
      <c r="GY18" s="2692"/>
      <c r="GZ18" s="2692"/>
      <c r="HA18" s="2692"/>
      <c r="HB18" s="2692"/>
      <c r="HC18" s="2692"/>
      <c r="HD18" s="2692"/>
      <c r="HE18" s="2692"/>
      <c r="HF18" s="2692"/>
      <c r="HG18" s="2692"/>
      <c r="HH18" s="2692"/>
      <c r="HI18" s="2692"/>
      <c r="HJ18" s="2692"/>
      <c r="HK18" s="2692"/>
      <c r="HL18" s="2692"/>
      <c r="HM18" s="2692"/>
      <c r="HN18" s="2692"/>
      <c r="HO18" s="2692"/>
      <c r="HP18" s="2692"/>
      <c r="HQ18" s="2692"/>
      <c r="HR18" s="2692"/>
      <c r="HS18" s="2692"/>
      <c r="HT18" s="2692"/>
      <c r="HU18" s="2692"/>
      <c r="HV18" s="2692"/>
      <c r="HW18" s="2692"/>
      <c r="HX18" s="2692"/>
      <c r="HY18" s="2692"/>
      <c r="HZ18" s="2692"/>
      <c r="IA18" s="2692"/>
      <c r="IB18" s="2692"/>
      <c r="IC18" s="2692"/>
      <c r="ID18" s="2692"/>
      <c r="IE18" s="2692"/>
      <c r="IF18" s="2692"/>
      <c r="IG18" s="2692"/>
      <c r="IH18" s="2692"/>
      <c r="II18" s="2692"/>
      <c r="IJ18" s="2692"/>
      <c r="IK18" s="2692"/>
      <c r="IL18" s="2692"/>
      <c r="IM18" s="2692"/>
      <c r="IN18" s="2692"/>
      <c r="IO18" s="2692"/>
      <c r="IP18" s="2692"/>
      <c r="IQ18" s="2692"/>
      <c r="IR18" s="2692"/>
      <c r="IS18" s="2692"/>
      <c r="IT18" s="2692"/>
      <c r="IU18" s="2692"/>
      <c r="IV18" s="2692"/>
    </row>
    <row r="19" spans="1:256" s="40" customFormat="1" ht="16.5" customHeight="1" x14ac:dyDescent="0.25">
      <c r="A19" s="2819" t="s">
        <v>948</v>
      </c>
      <c r="B19" s="7024"/>
      <c r="C19" s="7024"/>
      <c r="D19" s="7024"/>
      <c r="E19" s="7025"/>
      <c r="F19" s="2715"/>
      <c r="G19" s="2700"/>
      <c r="H19" s="2700"/>
      <c r="I19" s="2700"/>
      <c r="J19" s="2701"/>
      <c r="K19" s="2692"/>
      <c r="L19" s="2739"/>
      <c r="M19" s="2739"/>
      <c r="N19" s="2816"/>
      <c r="O19" s="2816"/>
      <c r="P19" s="2816"/>
      <c r="Q19" s="2816"/>
      <c r="R19" s="2739"/>
      <c r="S19" s="2739"/>
      <c r="T19" s="2739"/>
      <c r="U19" s="2692"/>
      <c r="V19" s="2692"/>
      <c r="W19" s="2692"/>
      <c r="X19" s="2692"/>
      <c r="Y19" s="2692"/>
      <c r="Z19" s="2692"/>
      <c r="AA19" s="2692"/>
      <c r="AB19" s="2692"/>
      <c r="AC19" s="2692"/>
      <c r="AD19" s="2692"/>
      <c r="AE19" s="2692"/>
      <c r="AF19" s="2692"/>
      <c r="AG19" s="2692"/>
      <c r="AH19" s="2692"/>
      <c r="AI19" s="2692"/>
      <c r="AJ19" s="2692"/>
      <c r="AK19" s="2692"/>
      <c r="AL19" s="2692"/>
      <c r="AM19" s="2692"/>
      <c r="AN19" s="2692"/>
      <c r="AO19" s="2692"/>
      <c r="AP19" s="2692"/>
      <c r="AQ19" s="2692"/>
      <c r="AR19" s="2692"/>
      <c r="AS19" s="2692"/>
      <c r="AT19" s="2692"/>
      <c r="AU19" s="2692"/>
      <c r="AV19" s="2692"/>
      <c r="AW19" s="2692"/>
      <c r="AX19" s="2692"/>
      <c r="AY19" s="2692"/>
      <c r="AZ19" s="2692"/>
      <c r="BA19" s="2692"/>
      <c r="BB19" s="2692"/>
      <c r="BC19" s="2692"/>
      <c r="BD19" s="2692"/>
      <c r="BE19" s="2692"/>
      <c r="BF19" s="2692"/>
      <c r="BG19" s="2692"/>
      <c r="BH19" s="2692"/>
      <c r="BI19" s="2692"/>
      <c r="BJ19" s="2692"/>
      <c r="BK19" s="2692"/>
      <c r="BL19" s="2692"/>
      <c r="BM19" s="2692"/>
      <c r="BN19" s="2692"/>
      <c r="BO19" s="2692"/>
      <c r="BP19" s="2692"/>
      <c r="BQ19" s="2692"/>
      <c r="BR19" s="2692"/>
      <c r="BS19" s="2692"/>
      <c r="BT19" s="2692"/>
      <c r="BU19" s="2692"/>
      <c r="BV19" s="2692"/>
      <c r="BW19" s="2692"/>
      <c r="BX19" s="2692"/>
      <c r="BY19" s="2692"/>
      <c r="BZ19" s="2692"/>
      <c r="CA19" s="2692"/>
      <c r="CB19" s="2692"/>
      <c r="CC19" s="2692"/>
      <c r="CD19" s="2692"/>
      <c r="CE19" s="2692"/>
      <c r="CF19" s="2692"/>
      <c r="CG19" s="2692"/>
      <c r="CH19" s="2692"/>
      <c r="CI19" s="2692"/>
      <c r="CJ19" s="2692"/>
      <c r="CK19" s="2692"/>
      <c r="CL19" s="2692"/>
      <c r="CM19" s="2692"/>
      <c r="CN19" s="2692"/>
      <c r="CO19" s="2692"/>
      <c r="CP19" s="2692"/>
      <c r="CQ19" s="2692"/>
      <c r="CR19" s="2692"/>
      <c r="CS19" s="2692"/>
      <c r="CT19" s="2692"/>
      <c r="CU19" s="2692"/>
      <c r="CV19" s="2692"/>
      <c r="CW19" s="2692"/>
      <c r="CX19" s="2692"/>
      <c r="CY19" s="2692"/>
      <c r="CZ19" s="2692"/>
      <c r="DA19" s="2692"/>
      <c r="DB19" s="2692"/>
      <c r="DC19" s="2692"/>
      <c r="DD19" s="2692"/>
      <c r="DE19" s="2692"/>
      <c r="DF19" s="2692"/>
      <c r="DG19" s="2692"/>
      <c r="DH19" s="2692"/>
      <c r="DI19" s="2692"/>
      <c r="DJ19" s="2692"/>
      <c r="DK19" s="2692"/>
      <c r="DL19" s="2692"/>
      <c r="DM19" s="2692"/>
      <c r="DN19" s="2692"/>
      <c r="DO19" s="2692"/>
      <c r="DP19" s="2692"/>
      <c r="DQ19" s="2692"/>
      <c r="DR19" s="2692"/>
      <c r="DS19" s="2692"/>
      <c r="DT19" s="2692"/>
      <c r="DU19" s="2692"/>
      <c r="DV19" s="2692"/>
      <c r="DW19" s="2692"/>
      <c r="DX19" s="2692"/>
      <c r="DY19" s="2692"/>
      <c r="DZ19" s="2692"/>
      <c r="EA19" s="2692"/>
      <c r="EB19" s="2692"/>
      <c r="EC19" s="2692"/>
      <c r="ED19" s="2692"/>
      <c r="EE19" s="2692"/>
      <c r="EF19" s="2692"/>
      <c r="EG19" s="2692"/>
      <c r="EH19" s="2692"/>
      <c r="EI19" s="2692"/>
      <c r="EJ19" s="2692"/>
      <c r="EK19" s="2692"/>
      <c r="EL19" s="2692"/>
      <c r="EM19" s="2692"/>
      <c r="EN19" s="2692"/>
      <c r="EO19" s="2692"/>
      <c r="EP19" s="2692"/>
      <c r="EQ19" s="2692"/>
      <c r="ER19" s="2692"/>
      <c r="ES19" s="2692"/>
      <c r="ET19" s="2692"/>
      <c r="EU19" s="2692"/>
      <c r="EV19" s="2692"/>
      <c r="EW19" s="2692"/>
      <c r="EX19" s="2692"/>
      <c r="EY19" s="2692"/>
      <c r="EZ19" s="2692"/>
      <c r="FA19" s="2692"/>
      <c r="FB19" s="2692"/>
      <c r="FC19" s="2692"/>
      <c r="FD19" s="2692"/>
      <c r="FE19" s="2692"/>
      <c r="FF19" s="2692"/>
      <c r="FG19" s="2692"/>
      <c r="FH19" s="2692"/>
      <c r="FI19" s="2692"/>
      <c r="FJ19" s="2692"/>
      <c r="FK19" s="2692"/>
      <c r="FL19" s="2692"/>
      <c r="FM19" s="2692"/>
      <c r="FN19" s="2692"/>
      <c r="FO19" s="2692"/>
      <c r="FP19" s="2692"/>
      <c r="FQ19" s="2692"/>
      <c r="FR19" s="2692"/>
      <c r="FS19" s="2692"/>
      <c r="FT19" s="2692"/>
      <c r="FU19" s="2692"/>
      <c r="FV19" s="2692"/>
      <c r="FW19" s="2692"/>
      <c r="FX19" s="2692"/>
      <c r="FY19" s="2692"/>
      <c r="FZ19" s="2692"/>
      <c r="GA19" s="2692"/>
      <c r="GB19" s="2692"/>
      <c r="GC19" s="2692"/>
      <c r="GD19" s="2692"/>
      <c r="GE19" s="2692"/>
      <c r="GF19" s="2692"/>
      <c r="GG19" s="2692"/>
      <c r="GH19" s="2692"/>
      <c r="GI19" s="2692"/>
      <c r="GJ19" s="2692"/>
      <c r="GK19" s="2692"/>
      <c r="GL19" s="2692"/>
      <c r="GM19" s="2692"/>
      <c r="GN19" s="2692"/>
      <c r="GO19" s="2692"/>
      <c r="GP19" s="2692"/>
      <c r="GQ19" s="2692"/>
      <c r="GR19" s="2692"/>
      <c r="GS19" s="2692"/>
      <c r="GT19" s="2692"/>
      <c r="GU19" s="2692"/>
      <c r="GV19" s="2692"/>
      <c r="GW19" s="2692"/>
      <c r="GX19" s="2692"/>
      <c r="GY19" s="2692"/>
      <c r="GZ19" s="2692"/>
      <c r="HA19" s="2692"/>
      <c r="HB19" s="2692"/>
      <c r="HC19" s="2692"/>
      <c r="HD19" s="2692"/>
      <c r="HE19" s="2692"/>
      <c r="HF19" s="2692"/>
      <c r="HG19" s="2692"/>
      <c r="HH19" s="2692"/>
      <c r="HI19" s="2692"/>
      <c r="HJ19" s="2692"/>
      <c r="HK19" s="2692"/>
      <c r="HL19" s="2692"/>
      <c r="HM19" s="2692"/>
      <c r="HN19" s="2692"/>
      <c r="HO19" s="2692"/>
      <c r="HP19" s="2692"/>
      <c r="HQ19" s="2692"/>
      <c r="HR19" s="2692"/>
      <c r="HS19" s="2692"/>
      <c r="HT19" s="2692"/>
      <c r="HU19" s="2692"/>
      <c r="HV19" s="2692"/>
      <c r="HW19" s="2692"/>
      <c r="HX19" s="2692"/>
      <c r="HY19" s="2692"/>
      <c r="HZ19" s="2692"/>
      <c r="IA19" s="2692"/>
      <c r="IB19" s="2692"/>
      <c r="IC19" s="2692"/>
      <c r="ID19" s="2692"/>
      <c r="IE19" s="2692"/>
      <c r="IF19" s="2692"/>
      <c r="IG19" s="2692"/>
      <c r="IH19" s="2692"/>
      <c r="II19" s="2692"/>
      <c r="IJ19" s="2692"/>
      <c r="IK19" s="2692"/>
      <c r="IL19" s="2692"/>
      <c r="IM19" s="2692"/>
      <c r="IN19" s="2692"/>
      <c r="IO19" s="2692"/>
      <c r="IP19" s="2692"/>
      <c r="IQ19" s="2692"/>
      <c r="IR19" s="2692"/>
      <c r="IS19" s="2692"/>
      <c r="IT19" s="2692"/>
      <c r="IU19" s="2692"/>
      <c r="IV19" s="2692"/>
    </row>
    <row r="20" spans="1:256" s="40" customFormat="1" ht="15.75" customHeight="1" thickBot="1" x14ac:dyDescent="0.3">
      <c r="A20" s="2755"/>
      <c r="B20" s="2756"/>
      <c r="C20" s="2700"/>
      <c r="D20" s="2700"/>
      <c r="E20" s="2701"/>
      <c r="F20" s="2700"/>
      <c r="G20" s="2700"/>
      <c r="H20" s="2700"/>
      <c r="I20" s="2700"/>
      <c r="J20" s="2701"/>
      <c r="K20" s="2692"/>
      <c r="L20" s="2739"/>
      <c r="M20" s="2739"/>
      <c r="N20" s="2816"/>
      <c r="O20" s="2816"/>
      <c r="P20" s="2816"/>
      <c r="Q20" s="2816"/>
      <c r="R20" s="2739"/>
      <c r="S20" s="2739"/>
      <c r="T20" s="2739"/>
      <c r="U20" s="2692"/>
      <c r="V20" s="2692"/>
      <c r="W20" s="2692"/>
      <c r="X20" s="2692"/>
      <c r="Y20" s="2692"/>
      <c r="Z20" s="2692"/>
      <c r="AA20" s="2692"/>
      <c r="AB20" s="2692"/>
      <c r="AC20" s="2692"/>
      <c r="AD20" s="2692"/>
      <c r="AE20" s="2692"/>
      <c r="AF20" s="2692"/>
      <c r="AG20" s="2692"/>
      <c r="AH20" s="2692"/>
      <c r="AI20" s="2692"/>
      <c r="AJ20" s="2692"/>
      <c r="AK20" s="2692"/>
      <c r="AL20" s="2692"/>
      <c r="AM20" s="2692"/>
      <c r="AN20" s="2692"/>
      <c r="AO20" s="2692"/>
      <c r="AP20" s="2692"/>
      <c r="AQ20" s="2692"/>
      <c r="AR20" s="2692"/>
      <c r="AS20" s="2692"/>
      <c r="AT20" s="2692"/>
      <c r="AU20" s="2692"/>
      <c r="AV20" s="2692"/>
      <c r="AW20" s="2692"/>
      <c r="AX20" s="2692"/>
      <c r="AY20" s="2692"/>
      <c r="AZ20" s="2692"/>
      <c r="BA20" s="2692"/>
      <c r="BB20" s="2692"/>
      <c r="BC20" s="2692"/>
      <c r="BD20" s="2692"/>
      <c r="BE20" s="2692"/>
      <c r="BF20" s="2692"/>
      <c r="BG20" s="2692"/>
      <c r="BH20" s="2692"/>
      <c r="BI20" s="2692"/>
      <c r="BJ20" s="2692"/>
      <c r="BK20" s="2692"/>
      <c r="BL20" s="2692"/>
      <c r="BM20" s="2692"/>
      <c r="BN20" s="2692"/>
      <c r="BO20" s="2692"/>
      <c r="BP20" s="2692"/>
      <c r="BQ20" s="2692"/>
      <c r="BR20" s="2692"/>
      <c r="BS20" s="2692"/>
      <c r="BT20" s="2692"/>
      <c r="BU20" s="2692"/>
      <c r="BV20" s="2692"/>
      <c r="BW20" s="2692"/>
      <c r="BX20" s="2692"/>
      <c r="BY20" s="2692"/>
      <c r="BZ20" s="2692"/>
      <c r="CA20" s="2692"/>
      <c r="CB20" s="2692"/>
      <c r="CC20" s="2692"/>
      <c r="CD20" s="2692"/>
      <c r="CE20" s="2692"/>
      <c r="CF20" s="2692"/>
      <c r="CG20" s="2692"/>
      <c r="CH20" s="2692"/>
      <c r="CI20" s="2692"/>
      <c r="CJ20" s="2692"/>
      <c r="CK20" s="2692"/>
      <c r="CL20" s="2692"/>
      <c r="CM20" s="2692"/>
      <c r="CN20" s="2692"/>
      <c r="CO20" s="2692"/>
      <c r="CP20" s="2692"/>
      <c r="CQ20" s="2692"/>
      <c r="CR20" s="2692"/>
      <c r="CS20" s="2692"/>
      <c r="CT20" s="2692"/>
      <c r="CU20" s="2692"/>
      <c r="CV20" s="2692"/>
      <c r="CW20" s="2692"/>
      <c r="CX20" s="2692"/>
      <c r="CY20" s="2692"/>
      <c r="CZ20" s="2692"/>
      <c r="DA20" s="2692"/>
      <c r="DB20" s="2692"/>
      <c r="DC20" s="2692"/>
      <c r="DD20" s="2692"/>
      <c r="DE20" s="2692"/>
      <c r="DF20" s="2692"/>
      <c r="DG20" s="2692"/>
      <c r="DH20" s="2692"/>
      <c r="DI20" s="2692"/>
      <c r="DJ20" s="2692"/>
      <c r="DK20" s="2692"/>
      <c r="DL20" s="2692"/>
      <c r="DM20" s="2692"/>
      <c r="DN20" s="2692"/>
      <c r="DO20" s="2692"/>
      <c r="DP20" s="2692"/>
      <c r="DQ20" s="2692"/>
      <c r="DR20" s="2692"/>
      <c r="DS20" s="2692"/>
      <c r="DT20" s="2692"/>
      <c r="DU20" s="2692"/>
      <c r="DV20" s="2692"/>
      <c r="DW20" s="2692"/>
      <c r="DX20" s="2692"/>
      <c r="DY20" s="2692"/>
      <c r="DZ20" s="2692"/>
      <c r="EA20" s="2692"/>
      <c r="EB20" s="2692"/>
      <c r="EC20" s="2692"/>
      <c r="ED20" s="2692"/>
      <c r="EE20" s="2692"/>
      <c r="EF20" s="2692"/>
      <c r="EG20" s="2692"/>
      <c r="EH20" s="2692"/>
      <c r="EI20" s="2692"/>
      <c r="EJ20" s="2692"/>
      <c r="EK20" s="2692"/>
      <c r="EL20" s="2692"/>
      <c r="EM20" s="2692"/>
      <c r="EN20" s="2692"/>
      <c r="EO20" s="2692"/>
      <c r="EP20" s="2692"/>
      <c r="EQ20" s="2692"/>
      <c r="ER20" s="2692"/>
      <c r="ES20" s="2692"/>
      <c r="ET20" s="2692"/>
      <c r="EU20" s="2692"/>
      <c r="EV20" s="2692"/>
      <c r="EW20" s="2692"/>
      <c r="EX20" s="2692"/>
      <c r="EY20" s="2692"/>
      <c r="EZ20" s="2692"/>
      <c r="FA20" s="2692"/>
      <c r="FB20" s="2692"/>
      <c r="FC20" s="2692"/>
      <c r="FD20" s="2692"/>
      <c r="FE20" s="2692"/>
      <c r="FF20" s="2692"/>
      <c r="FG20" s="2692"/>
      <c r="FH20" s="2692"/>
      <c r="FI20" s="2692"/>
      <c r="FJ20" s="2692"/>
      <c r="FK20" s="2692"/>
      <c r="FL20" s="2692"/>
      <c r="FM20" s="2692"/>
      <c r="FN20" s="2692"/>
      <c r="FO20" s="2692"/>
      <c r="FP20" s="2692"/>
      <c r="FQ20" s="2692"/>
      <c r="FR20" s="2692"/>
      <c r="FS20" s="2692"/>
      <c r="FT20" s="2692"/>
      <c r="FU20" s="2692"/>
      <c r="FV20" s="2692"/>
      <c r="FW20" s="2692"/>
      <c r="FX20" s="2692"/>
      <c r="FY20" s="2692"/>
      <c r="FZ20" s="2692"/>
      <c r="GA20" s="2692"/>
      <c r="GB20" s="2692"/>
      <c r="GC20" s="2692"/>
      <c r="GD20" s="2692"/>
      <c r="GE20" s="2692"/>
      <c r="GF20" s="2692"/>
      <c r="GG20" s="2692"/>
      <c r="GH20" s="2692"/>
      <c r="GI20" s="2692"/>
      <c r="GJ20" s="2692"/>
      <c r="GK20" s="2692"/>
      <c r="GL20" s="2692"/>
      <c r="GM20" s="2692"/>
      <c r="GN20" s="2692"/>
      <c r="GO20" s="2692"/>
      <c r="GP20" s="2692"/>
      <c r="GQ20" s="2692"/>
      <c r="GR20" s="2692"/>
      <c r="GS20" s="2692"/>
      <c r="GT20" s="2692"/>
      <c r="GU20" s="2692"/>
      <c r="GV20" s="2692"/>
      <c r="GW20" s="2692"/>
      <c r="GX20" s="2692"/>
      <c r="GY20" s="2692"/>
      <c r="GZ20" s="2692"/>
      <c r="HA20" s="2692"/>
      <c r="HB20" s="2692"/>
      <c r="HC20" s="2692"/>
      <c r="HD20" s="2692"/>
      <c r="HE20" s="2692"/>
      <c r="HF20" s="2692"/>
      <c r="HG20" s="2692"/>
      <c r="HH20" s="2692"/>
      <c r="HI20" s="2692"/>
      <c r="HJ20" s="2692"/>
      <c r="HK20" s="2692"/>
      <c r="HL20" s="2692"/>
      <c r="HM20" s="2692"/>
      <c r="HN20" s="2692"/>
      <c r="HO20" s="2692"/>
      <c r="HP20" s="2692"/>
      <c r="HQ20" s="2692"/>
      <c r="HR20" s="2692"/>
      <c r="HS20" s="2692"/>
      <c r="HT20" s="2692"/>
      <c r="HU20" s="2692"/>
      <c r="HV20" s="2692"/>
      <c r="HW20" s="2692"/>
      <c r="HX20" s="2692"/>
      <c r="HY20" s="2692"/>
      <c r="HZ20" s="2692"/>
      <c r="IA20" s="2692"/>
      <c r="IB20" s="2692"/>
      <c r="IC20" s="2692"/>
      <c r="ID20" s="2692"/>
      <c r="IE20" s="2692"/>
      <c r="IF20" s="2692"/>
      <c r="IG20" s="2692"/>
      <c r="IH20" s="2692"/>
      <c r="II20" s="2692"/>
      <c r="IJ20" s="2692"/>
      <c r="IK20" s="2692"/>
      <c r="IL20" s="2692"/>
      <c r="IM20" s="2692"/>
      <c r="IN20" s="2692"/>
      <c r="IO20" s="2692"/>
      <c r="IP20" s="2692"/>
      <c r="IQ20" s="2692"/>
      <c r="IR20" s="2692"/>
      <c r="IS20" s="2692"/>
      <c r="IT20" s="2692"/>
      <c r="IU20" s="2692"/>
      <c r="IV20" s="2692"/>
    </row>
    <row r="21" spans="1:256" s="40" customFormat="1" ht="15" customHeight="1" thickTop="1" x14ac:dyDescent="0.35">
      <c r="A21" s="3364" t="s">
        <v>2556</v>
      </c>
      <c r="B21" s="3362"/>
      <c r="C21" s="3362"/>
      <c r="D21" s="3362"/>
      <c r="E21" s="3362"/>
      <c r="F21" s="2710"/>
      <c r="G21" s="3362" t="s">
        <v>2557</v>
      </c>
      <c r="H21" s="3362"/>
      <c r="I21" s="3362"/>
      <c r="J21" s="2698"/>
      <c r="K21" s="2692"/>
      <c r="L21" s="2714"/>
      <c r="O21" s="2720"/>
      <c r="P21" s="2692"/>
      <c r="Q21" s="2692"/>
      <c r="R21" s="2692"/>
      <c r="S21" s="2692"/>
      <c r="T21" s="2692"/>
      <c r="U21" s="2692"/>
      <c r="V21" s="2692"/>
      <c r="W21" s="2692"/>
      <c r="X21" s="2692"/>
      <c r="Y21" s="2692"/>
      <c r="Z21" s="2692"/>
      <c r="AA21" s="2692"/>
      <c r="AB21" s="2692"/>
      <c r="AC21" s="2692"/>
      <c r="AD21" s="2692"/>
      <c r="AE21" s="2692"/>
      <c r="AF21" s="2692"/>
      <c r="AG21" s="2692"/>
      <c r="AH21" s="2692"/>
      <c r="AI21" s="2692"/>
      <c r="AJ21" s="2692"/>
      <c r="AK21" s="2692"/>
      <c r="AL21" s="2692"/>
      <c r="AM21" s="2692"/>
      <c r="AN21" s="2692"/>
      <c r="AO21" s="2692"/>
      <c r="AP21" s="2692"/>
      <c r="AQ21" s="2692"/>
      <c r="AR21" s="2692"/>
      <c r="AS21" s="2692"/>
      <c r="AT21" s="2692"/>
      <c r="AU21" s="2692"/>
      <c r="AV21" s="2692"/>
      <c r="AW21" s="2692"/>
      <c r="AX21" s="2692"/>
      <c r="AY21" s="2692"/>
      <c r="AZ21" s="2692"/>
      <c r="BA21" s="2692"/>
      <c r="BB21" s="2692"/>
      <c r="BC21" s="2692"/>
      <c r="BD21" s="2692"/>
      <c r="BE21" s="2692"/>
      <c r="BF21" s="2692"/>
      <c r="BG21" s="2692"/>
      <c r="BH21" s="2692"/>
      <c r="BI21" s="2692"/>
      <c r="BJ21" s="2692"/>
      <c r="BK21" s="2692"/>
      <c r="BL21" s="2692"/>
      <c r="BM21" s="2692"/>
      <c r="BN21" s="2692"/>
      <c r="BO21" s="2692"/>
      <c r="BP21" s="2692"/>
      <c r="BQ21" s="2692"/>
      <c r="BR21" s="2692"/>
      <c r="BS21" s="2692"/>
      <c r="BT21" s="2692"/>
      <c r="BU21" s="2692"/>
      <c r="BV21" s="2692"/>
      <c r="BW21" s="2692"/>
      <c r="BX21" s="2692"/>
      <c r="BY21" s="2692"/>
      <c r="BZ21" s="2692"/>
      <c r="CA21" s="2692"/>
      <c r="CB21" s="2692"/>
      <c r="CC21" s="2692"/>
      <c r="CD21" s="2692"/>
      <c r="CE21" s="2692"/>
      <c r="CF21" s="2692"/>
      <c r="CG21" s="2692"/>
      <c r="CH21" s="2692"/>
      <c r="CI21" s="2692"/>
      <c r="CJ21" s="2692"/>
      <c r="CK21" s="2692"/>
      <c r="CL21" s="2692"/>
      <c r="CM21" s="2692"/>
      <c r="CN21" s="2692"/>
      <c r="CO21" s="2692"/>
      <c r="CP21" s="2692"/>
      <c r="CQ21" s="2692"/>
      <c r="CR21" s="2692"/>
      <c r="CS21" s="2692"/>
      <c r="CT21" s="2692"/>
      <c r="CU21" s="2692"/>
      <c r="CV21" s="2692"/>
      <c r="CW21" s="2692"/>
      <c r="CX21" s="2692"/>
      <c r="CY21" s="2692"/>
      <c r="CZ21" s="2692"/>
      <c r="DA21" s="2692"/>
      <c r="DB21" s="2692"/>
      <c r="DC21" s="2692"/>
      <c r="DD21" s="2692"/>
      <c r="DE21" s="2692"/>
      <c r="DF21" s="2692"/>
      <c r="DG21" s="2692"/>
      <c r="DH21" s="2692"/>
      <c r="DI21" s="2692"/>
      <c r="DJ21" s="2692"/>
      <c r="DK21" s="2692"/>
      <c r="DL21" s="2692"/>
      <c r="DM21" s="2692"/>
      <c r="DN21" s="2692"/>
      <c r="DO21" s="2692"/>
      <c r="DP21" s="2692"/>
      <c r="DQ21" s="2692"/>
      <c r="DR21" s="2692"/>
      <c r="DS21" s="2692"/>
      <c r="DT21" s="2692"/>
      <c r="DU21" s="2692"/>
      <c r="DV21" s="2692"/>
      <c r="DW21" s="2692"/>
      <c r="DX21" s="2692"/>
      <c r="DY21" s="2692"/>
      <c r="DZ21" s="2692"/>
      <c r="EA21" s="2692"/>
      <c r="EB21" s="2692"/>
      <c r="EC21" s="2692"/>
      <c r="ED21" s="2692"/>
      <c r="EE21" s="2692"/>
      <c r="EF21" s="2692"/>
      <c r="EG21" s="2692"/>
      <c r="EH21" s="2692"/>
      <c r="EI21" s="2692"/>
      <c r="EJ21" s="2692"/>
      <c r="EK21" s="2692"/>
      <c r="EL21" s="2692"/>
      <c r="EM21" s="2692"/>
      <c r="EN21" s="2692"/>
      <c r="EO21" s="2692"/>
      <c r="EP21" s="2692"/>
      <c r="EQ21" s="2692"/>
      <c r="ER21" s="2692"/>
      <c r="ES21" s="2692"/>
      <c r="ET21" s="2692"/>
      <c r="EU21" s="2692"/>
      <c r="EV21" s="2692"/>
      <c r="EW21" s="2692"/>
      <c r="EX21" s="2692"/>
      <c r="EY21" s="2692"/>
      <c r="EZ21" s="2692"/>
      <c r="FA21" s="2692"/>
      <c r="FB21" s="2692"/>
      <c r="FC21" s="2692"/>
      <c r="FD21" s="2692"/>
      <c r="FE21" s="2692"/>
      <c r="FF21" s="2692"/>
      <c r="FG21" s="2692"/>
      <c r="FH21" s="2692"/>
      <c r="FI21" s="2692"/>
      <c r="FJ21" s="2692"/>
      <c r="FK21" s="2692"/>
      <c r="FL21" s="2692"/>
      <c r="FM21" s="2692"/>
      <c r="FN21" s="2692"/>
      <c r="FO21" s="2692"/>
      <c r="FP21" s="2692"/>
      <c r="FQ21" s="2692"/>
      <c r="FR21" s="2692"/>
      <c r="FS21" s="2692"/>
      <c r="FT21" s="2692"/>
      <c r="FU21" s="2692"/>
      <c r="FV21" s="2692"/>
      <c r="FW21" s="2692"/>
      <c r="FX21" s="2692"/>
      <c r="FY21" s="2692"/>
      <c r="FZ21" s="2692"/>
      <c r="GA21" s="2692"/>
      <c r="GB21" s="2692"/>
      <c r="GC21" s="2692"/>
      <c r="GD21" s="2692"/>
      <c r="GE21" s="2692"/>
      <c r="GF21" s="2692"/>
      <c r="GG21" s="2692"/>
      <c r="GH21" s="2692"/>
      <c r="GI21" s="2692"/>
      <c r="GJ21" s="2692"/>
      <c r="GK21" s="2692"/>
      <c r="GL21" s="2692"/>
      <c r="GM21" s="2692"/>
      <c r="GN21" s="2692"/>
      <c r="GO21" s="2692"/>
      <c r="GP21" s="2692"/>
      <c r="GQ21" s="2692"/>
      <c r="GR21" s="2692"/>
      <c r="GS21" s="2692"/>
      <c r="GT21" s="2692"/>
      <c r="GU21" s="2692"/>
      <c r="GV21" s="2692"/>
      <c r="GW21" s="2692"/>
      <c r="GX21" s="2692"/>
      <c r="GY21" s="2692"/>
      <c r="GZ21" s="2692"/>
      <c r="HA21" s="2692"/>
      <c r="HB21" s="2692"/>
      <c r="HC21" s="2692"/>
      <c r="HD21" s="2692"/>
      <c r="HE21" s="2692"/>
      <c r="HF21" s="2692"/>
      <c r="HG21" s="2692"/>
      <c r="HH21" s="2692"/>
      <c r="HI21" s="2692"/>
      <c r="HJ21" s="2692"/>
      <c r="HK21" s="2692"/>
      <c r="HL21" s="2692"/>
      <c r="HM21" s="2692"/>
      <c r="HN21" s="2692"/>
      <c r="HO21" s="2692"/>
      <c r="HP21" s="2692"/>
      <c r="HQ21" s="2692"/>
      <c r="HR21" s="2692"/>
      <c r="HS21" s="2692"/>
      <c r="HT21" s="2692"/>
      <c r="HU21" s="2692"/>
      <c r="HV21" s="2692"/>
      <c r="HW21" s="2692"/>
      <c r="HX21" s="2692"/>
      <c r="HY21" s="2692"/>
      <c r="HZ21" s="2692"/>
      <c r="IA21" s="2692"/>
      <c r="IB21" s="2692"/>
      <c r="IC21" s="2692"/>
      <c r="ID21" s="2692"/>
      <c r="IE21" s="2692"/>
      <c r="IF21" s="2692"/>
      <c r="IG21" s="2692"/>
      <c r="IH21" s="2692"/>
      <c r="II21" s="2692"/>
      <c r="IJ21" s="2692"/>
      <c r="IK21" s="2692"/>
      <c r="IL21" s="2692"/>
      <c r="IM21" s="2692"/>
      <c r="IN21" s="2692"/>
      <c r="IO21" s="2692"/>
      <c r="IP21" s="2692"/>
      <c r="IQ21" s="2692"/>
      <c r="IR21" s="2692"/>
      <c r="IS21" s="2692"/>
      <c r="IT21" s="2692"/>
      <c r="IU21" s="2692"/>
      <c r="IV21" s="2692"/>
    </row>
    <row r="22" spans="1:256" s="40" customFormat="1" ht="15" customHeight="1" x14ac:dyDescent="0.35">
      <c r="A22" s="2715" t="s">
        <v>2642</v>
      </c>
      <c r="B22" s="2716"/>
      <c r="C22" s="7029" t="s">
        <v>2639</v>
      </c>
      <c r="D22" s="7029"/>
      <c r="E22" s="2717"/>
      <c r="F22" s="2715" t="s">
        <v>2558</v>
      </c>
      <c r="G22" s="2718"/>
      <c r="H22" s="7029" t="s">
        <v>2559</v>
      </c>
      <c r="I22" s="7029"/>
      <c r="J22" s="2719"/>
      <c r="K22" s="2692"/>
      <c r="L22" s="2724"/>
      <c r="O22" s="2725"/>
      <c r="P22" s="2692"/>
      <c r="Q22" s="2692"/>
      <c r="R22" s="2692"/>
      <c r="S22" s="2692"/>
      <c r="T22" s="2692"/>
      <c r="U22" s="2692"/>
      <c r="V22" s="2692"/>
      <c r="W22" s="2692"/>
      <c r="X22" s="2692"/>
      <c r="Y22" s="2692"/>
      <c r="Z22" s="2692"/>
      <c r="AA22" s="2692"/>
      <c r="AB22" s="2692"/>
      <c r="AC22" s="2692"/>
      <c r="AD22" s="2692"/>
      <c r="AE22" s="2692"/>
      <c r="AF22" s="2692"/>
      <c r="AG22" s="2692"/>
      <c r="AH22" s="2692"/>
      <c r="AI22" s="2692"/>
      <c r="AJ22" s="2692"/>
      <c r="AK22" s="2692"/>
      <c r="AL22" s="2692"/>
      <c r="AM22" s="2692"/>
      <c r="AN22" s="2692"/>
      <c r="AO22" s="2692"/>
      <c r="AP22" s="2692"/>
      <c r="AQ22" s="2692"/>
      <c r="AR22" s="2692"/>
      <c r="AS22" s="2692"/>
      <c r="AT22" s="2692"/>
      <c r="AU22" s="2692"/>
      <c r="AV22" s="2692"/>
      <c r="AW22" s="2692"/>
      <c r="AX22" s="2692"/>
      <c r="AY22" s="2692"/>
      <c r="AZ22" s="2692"/>
      <c r="BA22" s="2692"/>
      <c r="BB22" s="2692"/>
      <c r="BC22" s="2692"/>
      <c r="BD22" s="2692"/>
      <c r="BE22" s="2692"/>
      <c r="BF22" s="2692"/>
      <c r="BG22" s="2692"/>
      <c r="BH22" s="2692"/>
      <c r="BI22" s="2692"/>
      <c r="BJ22" s="2692"/>
      <c r="BK22" s="2692"/>
      <c r="BL22" s="2692"/>
      <c r="BM22" s="2692"/>
      <c r="BN22" s="2692"/>
      <c r="BO22" s="2692"/>
      <c r="BP22" s="2692"/>
      <c r="BQ22" s="2692"/>
      <c r="BR22" s="2692"/>
      <c r="BS22" s="2692"/>
      <c r="BT22" s="2692"/>
      <c r="BU22" s="2692"/>
      <c r="BV22" s="2692"/>
      <c r="BW22" s="2692"/>
      <c r="BX22" s="2692"/>
      <c r="BY22" s="2692"/>
      <c r="BZ22" s="2692"/>
      <c r="CA22" s="2692"/>
      <c r="CB22" s="2692"/>
      <c r="CC22" s="2692"/>
      <c r="CD22" s="2692"/>
      <c r="CE22" s="2692"/>
      <c r="CF22" s="2692"/>
      <c r="CG22" s="2692"/>
      <c r="CH22" s="2692"/>
      <c r="CI22" s="2692"/>
      <c r="CJ22" s="2692"/>
      <c r="CK22" s="2692"/>
      <c r="CL22" s="2692"/>
      <c r="CM22" s="2692"/>
      <c r="CN22" s="2692"/>
      <c r="CO22" s="2692"/>
      <c r="CP22" s="2692"/>
      <c r="CQ22" s="2692"/>
      <c r="CR22" s="2692"/>
      <c r="CS22" s="2692"/>
      <c r="CT22" s="2692"/>
      <c r="CU22" s="2692"/>
      <c r="CV22" s="2692"/>
      <c r="CW22" s="2692"/>
      <c r="CX22" s="2692"/>
      <c r="CY22" s="2692"/>
      <c r="CZ22" s="2692"/>
      <c r="DA22" s="2692"/>
      <c r="DB22" s="2692"/>
      <c r="DC22" s="2692"/>
      <c r="DD22" s="2692"/>
      <c r="DE22" s="2692"/>
      <c r="DF22" s="2692"/>
      <c r="DG22" s="2692"/>
      <c r="DH22" s="2692"/>
      <c r="DI22" s="2692"/>
      <c r="DJ22" s="2692"/>
      <c r="DK22" s="2692"/>
      <c r="DL22" s="2692"/>
      <c r="DM22" s="2692"/>
      <c r="DN22" s="2692"/>
      <c r="DO22" s="2692"/>
      <c r="DP22" s="2692"/>
      <c r="DQ22" s="2692"/>
      <c r="DR22" s="2692"/>
      <c r="DS22" s="2692"/>
      <c r="DT22" s="2692"/>
      <c r="DU22" s="2692"/>
      <c r="DV22" s="2692"/>
      <c r="DW22" s="2692"/>
      <c r="DX22" s="2692"/>
      <c r="DY22" s="2692"/>
      <c r="DZ22" s="2692"/>
      <c r="EA22" s="2692"/>
      <c r="EB22" s="2692"/>
      <c r="EC22" s="2692"/>
      <c r="ED22" s="2692"/>
      <c r="EE22" s="2692"/>
      <c r="EF22" s="2692"/>
      <c r="EG22" s="2692"/>
      <c r="EH22" s="2692"/>
      <c r="EI22" s="2692"/>
      <c r="EJ22" s="2692"/>
      <c r="EK22" s="2692"/>
      <c r="EL22" s="2692"/>
      <c r="EM22" s="2692"/>
      <c r="EN22" s="2692"/>
      <c r="EO22" s="2692"/>
      <c r="EP22" s="2692"/>
      <c r="EQ22" s="2692"/>
      <c r="ER22" s="2692"/>
      <c r="ES22" s="2692"/>
      <c r="ET22" s="2692"/>
      <c r="EU22" s="2692"/>
      <c r="EV22" s="2692"/>
      <c r="EW22" s="2692"/>
      <c r="EX22" s="2692"/>
      <c r="EY22" s="2692"/>
      <c r="EZ22" s="2692"/>
      <c r="FA22" s="2692"/>
      <c r="FB22" s="2692"/>
      <c r="FC22" s="2692"/>
      <c r="FD22" s="2692"/>
      <c r="FE22" s="2692"/>
      <c r="FF22" s="2692"/>
      <c r="FG22" s="2692"/>
      <c r="FH22" s="2692"/>
      <c r="FI22" s="2692"/>
      <c r="FJ22" s="2692"/>
      <c r="FK22" s="2692"/>
      <c r="FL22" s="2692"/>
      <c r="FM22" s="2692"/>
      <c r="FN22" s="2692"/>
      <c r="FO22" s="2692"/>
      <c r="FP22" s="2692"/>
      <c r="FQ22" s="2692"/>
      <c r="FR22" s="2692"/>
      <c r="FS22" s="2692"/>
      <c r="FT22" s="2692"/>
      <c r="FU22" s="2692"/>
      <c r="FV22" s="2692"/>
      <c r="FW22" s="2692"/>
      <c r="FX22" s="2692"/>
      <c r="FY22" s="2692"/>
      <c r="FZ22" s="2692"/>
      <c r="GA22" s="2692"/>
      <c r="GB22" s="2692"/>
      <c r="GC22" s="2692"/>
      <c r="GD22" s="2692"/>
      <c r="GE22" s="2692"/>
      <c r="GF22" s="2692"/>
      <c r="GG22" s="2692"/>
      <c r="GH22" s="2692"/>
      <c r="GI22" s="2692"/>
      <c r="GJ22" s="2692"/>
      <c r="GK22" s="2692"/>
      <c r="GL22" s="2692"/>
      <c r="GM22" s="2692"/>
      <c r="GN22" s="2692"/>
      <c r="GO22" s="2692"/>
      <c r="GP22" s="2692"/>
      <c r="GQ22" s="2692"/>
      <c r="GR22" s="2692"/>
      <c r="GS22" s="2692"/>
      <c r="GT22" s="2692"/>
      <c r="GU22" s="2692"/>
      <c r="GV22" s="2692"/>
      <c r="GW22" s="2692"/>
      <c r="GX22" s="2692"/>
      <c r="GY22" s="2692"/>
      <c r="GZ22" s="2692"/>
      <c r="HA22" s="2692"/>
      <c r="HB22" s="2692"/>
      <c r="HC22" s="2692"/>
      <c r="HD22" s="2692"/>
      <c r="HE22" s="2692"/>
      <c r="HF22" s="2692"/>
      <c r="HG22" s="2692"/>
      <c r="HH22" s="2692"/>
      <c r="HI22" s="2692"/>
      <c r="HJ22" s="2692"/>
      <c r="HK22" s="2692"/>
      <c r="HL22" s="2692"/>
      <c r="HM22" s="2692"/>
      <c r="HN22" s="2692"/>
      <c r="HO22" s="2692"/>
      <c r="HP22" s="2692"/>
      <c r="HQ22" s="2692"/>
      <c r="HR22" s="2692"/>
      <c r="HS22" s="2692"/>
      <c r="HT22" s="2692"/>
      <c r="HU22" s="2692"/>
      <c r="HV22" s="2692"/>
      <c r="HW22" s="2692"/>
      <c r="HX22" s="2692"/>
      <c r="HY22" s="2692"/>
      <c r="HZ22" s="2692"/>
      <c r="IA22" s="2692"/>
      <c r="IB22" s="2692"/>
      <c r="IC22" s="2692"/>
      <c r="ID22" s="2692"/>
      <c r="IE22" s="2692"/>
      <c r="IF22" s="2692"/>
      <c r="IG22" s="2692"/>
      <c r="IH22" s="2692"/>
      <c r="II22" s="2692"/>
      <c r="IJ22" s="2692"/>
      <c r="IK22" s="2692"/>
      <c r="IL22" s="2692"/>
      <c r="IM22" s="2692"/>
      <c r="IN22" s="2692"/>
      <c r="IO22" s="2692"/>
      <c r="IP22" s="2692"/>
      <c r="IQ22" s="2692"/>
      <c r="IR22" s="2692"/>
      <c r="IS22" s="2692"/>
      <c r="IT22" s="2692"/>
      <c r="IU22" s="2692"/>
      <c r="IV22" s="2692"/>
    </row>
    <row r="23" spans="1:256" s="40" customFormat="1" ht="28.5" customHeight="1" x14ac:dyDescent="0.35">
      <c r="A23" s="2715" t="s">
        <v>2560</v>
      </c>
      <c r="B23" s="2721"/>
      <c r="C23" s="7029" t="s">
        <v>2561</v>
      </c>
      <c r="D23" s="7029"/>
      <c r="E23" s="2722"/>
      <c r="F23" s="2715" t="s">
        <v>2562</v>
      </c>
      <c r="G23" s="2718"/>
      <c r="H23" s="7029" t="s">
        <v>2563</v>
      </c>
      <c r="I23" s="7029"/>
      <c r="J23" s="2723"/>
      <c r="K23" s="2692"/>
      <c r="L23" s="2724"/>
      <c r="O23" s="2725"/>
      <c r="P23" s="2692"/>
      <c r="Q23" s="2692"/>
      <c r="R23" s="2692"/>
      <c r="S23" s="2692"/>
      <c r="T23" s="2692"/>
      <c r="U23" s="2692"/>
      <c r="V23" s="2692"/>
      <c r="W23" s="2692"/>
      <c r="X23" s="2692"/>
      <c r="Y23" s="2692"/>
      <c r="Z23" s="2692"/>
      <c r="AA23" s="2692"/>
      <c r="AB23" s="2692"/>
      <c r="AC23" s="2692"/>
      <c r="AD23" s="2692"/>
      <c r="AE23" s="2692"/>
      <c r="AF23" s="2692"/>
      <c r="AG23" s="2692"/>
      <c r="AH23" s="2692"/>
      <c r="AI23" s="2692"/>
      <c r="AJ23" s="2692"/>
      <c r="AK23" s="2692"/>
      <c r="AL23" s="2692"/>
      <c r="AM23" s="2692"/>
      <c r="AN23" s="2692"/>
      <c r="AO23" s="2692"/>
      <c r="AP23" s="2692"/>
      <c r="AQ23" s="2692"/>
      <c r="AR23" s="2692"/>
      <c r="AS23" s="2692"/>
      <c r="AT23" s="2692"/>
      <c r="AU23" s="2692"/>
      <c r="AV23" s="2692"/>
      <c r="AW23" s="2692"/>
      <c r="AX23" s="2692"/>
      <c r="AY23" s="2692"/>
      <c r="AZ23" s="2692"/>
      <c r="BA23" s="2692"/>
      <c r="BB23" s="2692"/>
      <c r="BC23" s="2692"/>
      <c r="BD23" s="2692"/>
      <c r="BE23" s="2692"/>
      <c r="BF23" s="2692"/>
      <c r="BG23" s="2692"/>
      <c r="BH23" s="2692"/>
      <c r="BI23" s="2692"/>
      <c r="BJ23" s="2692"/>
      <c r="BK23" s="2692"/>
      <c r="BL23" s="2692"/>
      <c r="BM23" s="2692"/>
      <c r="BN23" s="2692"/>
      <c r="BO23" s="2692"/>
      <c r="BP23" s="2692"/>
      <c r="BQ23" s="2692"/>
      <c r="BR23" s="2692"/>
      <c r="BS23" s="2692"/>
      <c r="BT23" s="2692"/>
      <c r="BU23" s="2692"/>
      <c r="BV23" s="2692"/>
      <c r="BW23" s="2692"/>
      <c r="BX23" s="2692"/>
      <c r="BY23" s="2692"/>
      <c r="BZ23" s="2692"/>
      <c r="CA23" s="2692"/>
      <c r="CB23" s="2692"/>
      <c r="CC23" s="2692"/>
      <c r="CD23" s="2692"/>
      <c r="CE23" s="2692"/>
      <c r="CF23" s="2692"/>
      <c r="CG23" s="2692"/>
      <c r="CH23" s="2692"/>
      <c r="CI23" s="2692"/>
      <c r="CJ23" s="2692"/>
      <c r="CK23" s="2692"/>
      <c r="CL23" s="2692"/>
      <c r="CM23" s="2692"/>
      <c r="CN23" s="2692"/>
      <c r="CO23" s="2692"/>
      <c r="CP23" s="2692"/>
      <c r="CQ23" s="2692"/>
      <c r="CR23" s="2692"/>
      <c r="CS23" s="2692"/>
      <c r="CT23" s="2692"/>
      <c r="CU23" s="2692"/>
      <c r="CV23" s="2692"/>
      <c r="CW23" s="2692"/>
      <c r="CX23" s="2692"/>
      <c r="CY23" s="2692"/>
      <c r="CZ23" s="2692"/>
      <c r="DA23" s="2692"/>
      <c r="DB23" s="2692"/>
      <c r="DC23" s="2692"/>
      <c r="DD23" s="2692"/>
      <c r="DE23" s="2692"/>
      <c r="DF23" s="2692"/>
      <c r="DG23" s="2692"/>
      <c r="DH23" s="2692"/>
      <c r="DI23" s="2692"/>
      <c r="DJ23" s="2692"/>
      <c r="DK23" s="2692"/>
      <c r="DL23" s="2692"/>
      <c r="DM23" s="2692"/>
      <c r="DN23" s="2692"/>
      <c r="DO23" s="2692"/>
      <c r="DP23" s="2692"/>
      <c r="DQ23" s="2692"/>
      <c r="DR23" s="2692"/>
      <c r="DS23" s="2692"/>
      <c r="DT23" s="2692"/>
      <c r="DU23" s="2692"/>
      <c r="DV23" s="2692"/>
      <c r="DW23" s="2692"/>
      <c r="DX23" s="2692"/>
      <c r="DY23" s="2692"/>
      <c r="DZ23" s="2692"/>
      <c r="EA23" s="2692"/>
      <c r="EB23" s="2692"/>
      <c r="EC23" s="2692"/>
      <c r="ED23" s="2692"/>
      <c r="EE23" s="2692"/>
      <c r="EF23" s="2692"/>
      <c r="EG23" s="2692"/>
      <c r="EH23" s="2692"/>
      <c r="EI23" s="2692"/>
      <c r="EJ23" s="2692"/>
      <c r="EK23" s="2692"/>
      <c r="EL23" s="2692"/>
      <c r="EM23" s="2692"/>
      <c r="EN23" s="2692"/>
      <c r="EO23" s="2692"/>
      <c r="EP23" s="2692"/>
      <c r="EQ23" s="2692"/>
      <c r="ER23" s="2692"/>
      <c r="ES23" s="2692"/>
      <c r="ET23" s="2692"/>
      <c r="EU23" s="2692"/>
      <c r="EV23" s="2692"/>
      <c r="EW23" s="2692"/>
      <c r="EX23" s="2692"/>
      <c r="EY23" s="2692"/>
      <c r="EZ23" s="2692"/>
      <c r="FA23" s="2692"/>
      <c r="FB23" s="2692"/>
      <c r="FC23" s="2692"/>
      <c r="FD23" s="2692"/>
      <c r="FE23" s="2692"/>
      <c r="FF23" s="2692"/>
      <c r="FG23" s="2692"/>
      <c r="FH23" s="2692"/>
      <c r="FI23" s="2692"/>
      <c r="FJ23" s="2692"/>
      <c r="FK23" s="2692"/>
      <c r="FL23" s="2692"/>
      <c r="FM23" s="2692"/>
      <c r="FN23" s="2692"/>
      <c r="FO23" s="2692"/>
      <c r="FP23" s="2692"/>
      <c r="FQ23" s="2692"/>
      <c r="FR23" s="2692"/>
      <c r="FS23" s="2692"/>
      <c r="FT23" s="2692"/>
      <c r="FU23" s="2692"/>
      <c r="FV23" s="2692"/>
      <c r="FW23" s="2692"/>
      <c r="FX23" s="2692"/>
      <c r="FY23" s="2692"/>
      <c r="FZ23" s="2692"/>
      <c r="GA23" s="2692"/>
      <c r="GB23" s="2692"/>
      <c r="GC23" s="2692"/>
      <c r="GD23" s="2692"/>
      <c r="GE23" s="2692"/>
      <c r="GF23" s="2692"/>
      <c r="GG23" s="2692"/>
      <c r="GH23" s="2692"/>
      <c r="GI23" s="2692"/>
      <c r="GJ23" s="2692"/>
      <c r="GK23" s="2692"/>
      <c r="GL23" s="2692"/>
      <c r="GM23" s="2692"/>
      <c r="GN23" s="2692"/>
      <c r="GO23" s="2692"/>
      <c r="GP23" s="2692"/>
      <c r="GQ23" s="2692"/>
      <c r="GR23" s="2692"/>
      <c r="GS23" s="2692"/>
      <c r="GT23" s="2692"/>
      <c r="GU23" s="2692"/>
      <c r="GV23" s="2692"/>
      <c r="GW23" s="2692"/>
      <c r="GX23" s="2692"/>
      <c r="GY23" s="2692"/>
      <c r="GZ23" s="2692"/>
      <c r="HA23" s="2692"/>
      <c r="HB23" s="2692"/>
      <c r="HC23" s="2692"/>
      <c r="HD23" s="2692"/>
      <c r="HE23" s="2692"/>
      <c r="HF23" s="2692"/>
      <c r="HG23" s="2692"/>
      <c r="HH23" s="2692"/>
      <c r="HI23" s="2692"/>
      <c r="HJ23" s="2692"/>
      <c r="HK23" s="2692"/>
      <c r="HL23" s="2692"/>
      <c r="HM23" s="2692"/>
      <c r="HN23" s="2692"/>
      <c r="HO23" s="2692"/>
      <c r="HP23" s="2692"/>
      <c r="HQ23" s="2692"/>
      <c r="HR23" s="2692"/>
      <c r="HS23" s="2692"/>
      <c r="HT23" s="2692"/>
      <c r="HU23" s="2692"/>
      <c r="HV23" s="2692"/>
      <c r="HW23" s="2692"/>
      <c r="HX23" s="2692"/>
      <c r="HY23" s="2692"/>
      <c r="HZ23" s="2692"/>
      <c r="IA23" s="2692"/>
      <c r="IB23" s="2692"/>
      <c r="IC23" s="2692"/>
      <c r="ID23" s="2692"/>
      <c r="IE23" s="2692"/>
      <c r="IF23" s="2692"/>
      <c r="IG23" s="2692"/>
      <c r="IH23" s="2692"/>
      <c r="II23" s="2692"/>
      <c r="IJ23" s="2692"/>
      <c r="IK23" s="2692"/>
      <c r="IL23" s="2692"/>
      <c r="IM23" s="2692"/>
      <c r="IN23" s="2692"/>
      <c r="IO23" s="2692"/>
      <c r="IP23" s="2692"/>
      <c r="IQ23" s="2692"/>
      <c r="IR23" s="2692"/>
      <c r="IS23" s="2692"/>
      <c r="IT23" s="2692"/>
      <c r="IU23" s="2692"/>
      <c r="IV23" s="2692"/>
    </row>
    <row r="24" spans="1:256" s="40" customFormat="1" ht="15" customHeight="1" x14ac:dyDescent="0.35">
      <c r="A24" s="2715" t="s">
        <v>2564</v>
      </c>
      <c r="B24" s="2721"/>
      <c r="C24" s="7029" t="s">
        <v>2640</v>
      </c>
      <c r="D24" s="7029"/>
      <c r="E24" s="2722"/>
      <c r="F24" s="2715" t="s">
        <v>2565</v>
      </c>
      <c r="G24" s="2721"/>
      <c r="H24" s="2726"/>
      <c r="I24" s="2813"/>
      <c r="J24" s="2727"/>
      <c r="K24" s="2692"/>
      <c r="L24" s="2714"/>
      <c r="M24" s="2729"/>
      <c r="N24" s="2730"/>
      <c r="O24" s="2725"/>
      <c r="P24" s="2692"/>
      <c r="Q24" s="2692"/>
      <c r="R24" s="2692"/>
      <c r="S24" s="2692"/>
      <c r="T24" s="2692"/>
      <c r="U24" s="2692"/>
      <c r="V24" s="2692"/>
      <c r="W24" s="2692"/>
      <c r="X24" s="2692"/>
      <c r="Y24" s="2692"/>
      <c r="Z24" s="2692"/>
      <c r="AA24" s="2692"/>
      <c r="AB24" s="2692"/>
      <c r="AC24" s="2692"/>
      <c r="AD24" s="2692"/>
      <c r="AE24" s="2692"/>
      <c r="AF24" s="2692"/>
      <c r="AG24" s="2692"/>
      <c r="AH24" s="2692"/>
      <c r="AI24" s="2692"/>
      <c r="AJ24" s="2692"/>
      <c r="AK24" s="2692"/>
      <c r="AL24" s="2692"/>
      <c r="AM24" s="2692"/>
      <c r="AN24" s="2692"/>
      <c r="AO24" s="2692"/>
      <c r="AP24" s="2692"/>
      <c r="AQ24" s="2692"/>
      <c r="AR24" s="2692"/>
      <c r="AS24" s="2692"/>
      <c r="AT24" s="2692"/>
      <c r="AU24" s="2692"/>
      <c r="AV24" s="2692"/>
      <c r="AW24" s="2692"/>
      <c r="AX24" s="2692"/>
      <c r="AY24" s="2692"/>
      <c r="AZ24" s="2692"/>
      <c r="BA24" s="2692"/>
      <c r="BB24" s="2692"/>
      <c r="BC24" s="2692"/>
      <c r="BD24" s="2692"/>
      <c r="BE24" s="2692"/>
      <c r="BF24" s="2692"/>
      <c r="BG24" s="2692"/>
      <c r="BH24" s="2692"/>
      <c r="BI24" s="2692"/>
      <c r="BJ24" s="2692"/>
      <c r="BK24" s="2692"/>
      <c r="BL24" s="2692"/>
      <c r="BM24" s="2692"/>
      <c r="BN24" s="2692"/>
      <c r="BO24" s="2692"/>
      <c r="BP24" s="2692"/>
      <c r="BQ24" s="2692"/>
      <c r="BR24" s="2692"/>
      <c r="BS24" s="2692"/>
      <c r="BT24" s="2692"/>
      <c r="BU24" s="2692"/>
      <c r="BV24" s="2692"/>
      <c r="BW24" s="2692"/>
      <c r="BX24" s="2692"/>
      <c r="BY24" s="2692"/>
      <c r="BZ24" s="2692"/>
      <c r="CA24" s="2692"/>
      <c r="CB24" s="2692"/>
      <c r="CC24" s="2692"/>
      <c r="CD24" s="2692"/>
      <c r="CE24" s="2692"/>
      <c r="CF24" s="2692"/>
      <c r="CG24" s="2692"/>
      <c r="CH24" s="2692"/>
      <c r="CI24" s="2692"/>
      <c r="CJ24" s="2692"/>
      <c r="CK24" s="2692"/>
      <c r="CL24" s="2692"/>
      <c r="CM24" s="2692"/>
      <c r="CN24" s="2692"/>
      <c r="CO24" s="2692"/>
      <c r="CP24" s="2692"/>
      <c r="CQ24" s="2692"/>
      <c r="CR24" s="2692"/>
      <c r="CS24" s="2692"/>
      <c r="CT24" s="2692"/>
      <c r="CU24" s="2692"/>
      <c r="CV24" s="2692"/>
      <c r="CW24" s="2692"/>
      <c r="CX24" s="2692"/>
      <c r="CY24" s="2692"/>
      <c r="CZ24" s="2692"/>
      <c r="DA24" s="2692"/>
      <c r="DB24" s="2692"/>
      <c r="DC24" s="2692"/>
      <c r="DD24" s="2692"/>
      <c r="DE24" s="2692"/>
      <c r="DF24" s="2692"/>
      <c r="DG24" s="2692"/>
      <c r="DH24" s="2692"/>
      <c r="DI24" s="2692"/>
      <c r="DJ24" s="2692"/>
      <c r="DK24" s="2692"/>
      <c r="DL24" s="2692"/>
      <c r="DM24" s="2692"/>
      <c r="DN24" s="2692"/>
      <c r="DO24" s="2692"/>
      <c r="DP24" s="2692"/>
      <c r="DQ24" s="2692"/>
      <c r="DR24" s="2692"/>
      <c r="DS24" s="2692"/>
      <c r="DT24" s="2692"/>
      <c r="DU24" s="2692"/>
      <c r="DV24" s="2692"/>
      <c r="DW24" s="2692"/>
      <c r="DX24" s="2692"/>
      <c r="DY24" s="2692"/>
      <c r="DZ24" s="2692"/>
      <c r="EA24" s="2692"/>
      <c r="EB24" s="2692"/>
      <c r="EC24" s="2692"/>
      <c r="ED24" s="2692"/>
      <c r="EE24" s="2692"/>
      <c r="EF24" s="2692"/>
      <c r="EG24" s="2692"/>
      <c r="EH24" s="2692"/>
      <c r="EI24" s="2692"/>
      <c r="EJ24" s="2692"/>
      <c r="EK24" s="2692"/>
      <c r="EL24" s="2692"/>
      <c r="EM24" s="2692"/>
      <c r="EN24" s="2692"/>
      <c r="EO24" s="2692"/>
      <c r="EP24" s="2692"/>
      <c r="EQ24" s="2692"/>
      <c r="ER24" s="2692"/>
      <c r="ES24" s="2692"/>
      <c r="ET24" s="2692"/>
      <c r="EU24" s="2692"/>
      <c r="EV24" s="2692"/>
      <c r="EW24" s="2692"/>
      <c r="EX24" s="2692"/>
      <c r="EY24" s="2692"/>
      <c r="EZ24" s="2692"/>
      <c r="FA24" s="2692"/>
      <c r="FB24" s="2692"/>
      <c r="FC24" s="2692"/>
      <c r="FD24" s="2692"/>
      <c r="FE24" s="2692"/>
      <c r="FF24" s="2692"/>
      <c r="FG24" s="2692"/>
      <c r="FH24" s="2692"/>
      <c r="FI24" s="2692"/>
      <c r="FJ24" s="2692"/>
      <c r="FK24" s="2692"/>
      <c r="FL24" s="2692"/>
      <c r="FM24" s="2692"/>
      <c r="FN24" s="2692"/>
      <c r="FO24" s="2692"/>
      <c r="FP24" s="2692"/>
      <c r="FQ24" s="2692"/>
      <c r="FR24" s="2692"/>
      <c r="FS24" s="2692"/>
      <c r="FT24" s="2692"/>
      <c r="FU24" s="2692"/>
      <c r="FV24" s="2692"/>
      <c r="FW24" s="2692"/>
      <c r="FX24" s="2692"/>
      <c r="FY24" s="2692"/>
      <c r="FZ24" s="2692"/>
      <c r="GA24" s="2692"/>
      <c r="GB24" s="2692"/>
      <c r="GC24" s="2692"/>
      <c r="GD24" s="2692"/>
      <c r="GE24" s="2692"/>
      <c r="GF24" s="2692"/>
      <c r="GG24" s="2692"/>
      <c r="GH24" s="2692"/>
      <c r="GI24" s="2692"/>
      <c r="GJ24" s="2692"/>
      <c r="GK24" s="2692"/>
      <c r="GL24" s="2692"/>
      <c r="GM24" s="2692"/>
      <c r="GN24" s="2692"/>
      <c r="GO24" s="2692"/>
      <c r="GP24" s="2692"/>
      <c r="GQ24" s="2692"/>
      <c r="GR24" s="2692"/>
      <c r="GS24" s="2692"/>
      <c r="GT24" s="2692"/>
      <c r="GU24" s="2692"/>
      <c r="GV24" s="2692"/>
      <c r="GW24" s="2692"/>
      <c r="GX24" s="2692"/>
      <c r="GY24" s="2692"/>
      <c r="GZ24" s="2692"/>
      <c r="HA24" s="2692"/>
      <c r="HB24" s="2692"/>
      <c r="HC24" s="2692"/>
      <c r="HD24" s="2692"/>
      <c r="HE24" s="2692"/>
      <c r="HF24" s="2692"/>
      <c r="HG24" s="2692"/>
      <c r="HH24" s="2692"/>
      <c r="HI24" s="2692"/>
      <c r="HJ24" s="2692"/>
      <c r="HK24" s="2692"/>
      <c r="HL24" s="2692"/>
      <c r="HM24" s="2692"/>
      <c r="HN24" s="2692"/>
      <c r="HO24" s="2692"/>
      <c r="HP24" s="2692"/>
      <c r="HQ24" s="2692"/>
      <c r="HR24" s="2692"/>
      <c r="HS24" s="2692"/>
      <c r="HT24" s="2692"/>
      <c r="HU24" s="2692"/>
      <c r="HV24" s="2692"/>
      <c r="HW24" s="2692"/>
      <c r="HX24" s="2692"/>
      <c r="HY24" s="2692"/>
      <c r="HZ24" s="2692"/>
      <c r="IA24" s="2692"/>
      <c r="IB24" s="2692"/>
      <c r="IC24" s="2692"/>
      <c r="ID24" s="2692"/>
      <c r="IE24" s="2692"/>
      <c r="IF24" s="2692"/>
      <c r="IG24" s="2692"/>
      <c r="IH24" s="2692"/>
      <c r="II24" s="2692"/>
      <c r="IJ24" s="2692"/>
      <c r="IK24" s="2692"/>
      <c r="IL24" s="2692"/>
      <c r="IM24" s="2692"/>
      <c r="IN24" s="2692"/>
      <c r="IO24" s="2692"/>
      <c r="IP24" s="2692"/>
      <c r="IQ24" s="2692"/>
      <c r="IR24" s="2692"/>
      <c r="IS24" s="2692"/>
      <c r="IT24" s="2692"/>
      <c r="IU24" s="2692"/>
      <c r="IV24" s="2692"/>
    </row>
    <row r="25" spans="1:256" s="40" customFormat="1" ht="15" customHeight="1" x14ac:dyDescent="0.35">
      <c r="A25" s="2811"/>
      <c r="B25" s="2812"/>
      <c r="C25" s="2728"/>
      <c r="D25" s="2728"/>
      <c r="E25" s="2728"/>
      <c r="F25" s="2715" t="s">
        <v>2641</v>
      </c>
      <c r="G25" s="2718"/>
      <c r="H25" s="7029" t="s">
        <v>2566</v>
      </c>
      <c r="I25" s="7029"/>
      <c r="J25" s="2723"/>
      <c r="K25" s="2692"/>
      <c r="L25" s="2714"/>
      <c r="M25" s="2732"/>
      <c r="N25" s="2733"/>
      <c r="O25" s="2733"/>
      <c r="P25" s="2692"/>
      <c r="Q25" s="2692"/>
      <c r="R25" s="2692"/>
      <c r="S25" s="2692"/>
      <c r="T25" s="2692"/>
      <c r="U25" s="2692"/>
      <c r="V25" s="2692"/>
      <c r="W25" s="2692"/>
      <c r="X25" s="2692"/>
      <c r="Y25" s="2692"/>
      <c r="Z25" s="2692"/>
      <c r="AA25" s="2692"/>
      <c r="AB25" s="2692"/>
      <c r="AC25" s="2692"/>
      <c r="AD25" s="2692"/>
      <c r="AE25" s="2692"/>
      <c r="AF25" s="2692"/>
      <c r="AG25" s="2692"/>
      <c r="AH25" s="2692"/>
      <c r="AI25" s="2692"/>
      <c r="AJ25" s="2692"/>
      <c r="AK25" s="2692"/>
      <c r="AL25" s="2692"/>
      <c r="AM25" s="2692"/>
      <c r="AN25" s="2692"/>
      <c r="AO25" s="2692"/>
      <c r="AP25" s="2692"/>
      <c r="AQ25" s="2692"/>
      <c r="AR25" s="2692"/>
      <c r="AS25" s="2692"/>
      <c r="AT25" s="2692"/>
      <c r="AU25" s="2692"/>
      <c r="AV25" s="2692"/>
      <c r="AW25" s="2692"/>
      <c r="AX25" s="2692"/>
      <c r="AY25" s="2692"/>
      <c r="AZ25" s="2692"/>
      <c r="BA25" s="2692"/>
      <c r="BB25" s="2692"/>
      <c r="BC25" s="2692"/>
      <c r="BD25" s="2692"/>
      <c r="BE25" s="2692"/>
      <c r="BF25" s="2692"/>
      <c r="BG25" s="2692"/>
      <c r="BH25" s="2692"/>
      <c r="BI25" s="2692"/>
      <c r="BJ25" s="2692"/>
      <c r="BK25" s="2692"/>
      <c r="BL25" s="2692"/>
      <c r="BM25" s="2692"/>
      <c r="BN25" s="2692"/>
      <c r="BO25" s="2692"/>
      <c r="BP25" s="2692"/>
      <c r="BQ25" s="2692"/>
      <c r="BR25" s="2692"/>
      <c r="BS25" s="2692"/>
      <c r="BT25" s="2692"/>
      <c r="BU25" s="2692"/>
      <c r="BV25" s="2692"/>
      <c r="BW25" s="2692"/>
      <c r="BX25" s="2692"/>
      <c r="BY25" s="2692"/>
      <c r="BZ25" s="2692"/>
      <c r="CA25" s="2692"/>
      <c r="CB25" s="2692"/>
      <c r="CC25" s="2692"/>
      <c r="CD25" s="2692"/>
      <c r="CE25" s="2692"/>
      <c r="CF25" s="2692"/>
      <c r="CG25" s="2692"/>
      <c r="CH25" s="2692"/>
      <c r="CI25" s="2692"/>
      <c r="CJ25" s="2692"/>
      <c r="CK25" s="2692"/>
      <c r="CL25" s="2692"/>
      <c r="CM25" s="2692"/>
      <c r="CN25" s="2692"/>
      <c r="CO25" s="2692"/>
      <c r="CP25" s="2692"/>
      <c r="CQ25" s="2692"/>
      <c r="CR25" s="2692"/>
      <c r="CS25" s="2692"/>
      <c r="CT25" s="2692"/>
      <c r="CU25" s="2692"/>
      <c r="CV25" s="2692"/>
      <c r="CW25" s="2692"/>
      <c r="CX25" s="2692"/>
      <c r="CY25" s="2692"/>
      <c r="CZ25" s="2692"/>
      <c r="DA25" s="2692"/>
      <c r="DB25" s="2692"/>
      <c r="DC25" s="2692"/>
      <c r="DD25" s="2692"/>
      <c r="DE25" s="2692"/>
      <c r="DF25" s="2692"/>
      <c r="DG25" s="2692"/>
      <c r="DH25" s="2692"/>
      <c r="DI25" s="2692"/>
      <c r="DJ25" s="2692"/>
      <c r="DK25" s="2692"/>
      <c r="DL25" s="2692"/>
      <c r="DM25" s="2692"/>
      <c r="DN25" s="2692"/>
      <c r="DO25" s="2692"/>
      <c r="DP25" s="2692"/>
      <c r="DQ25" s="2692"/>
      <c r="DR25" s="2692"/>
      <c r="DS25" s="2692"/>
      <c r="DT25" s="2692"/>
      <c r="DU25" s="2692"/>
      <c r="DV25" s="2692"/>
      <c r="DW25" s="2692"/>
      <c r="DX25" s="2692"/>
      <c r="DY25" s="2692"/>
      <c r="DZ25" s="2692"/>
      <c r="EA25" s="2692"/>
      <c r="EB25" s="2692"/>
      <c r="EC25" s="2692"/>
      <c r="ED25" s="2692"/>
      <c r="EE25" s="2692"/>
      <c r="EF25" s="2692"/>
      <c r="EG25" s="2692"/>
      <c r="EH25" s="2692"/>
      <c r="EI25" s="2692"/>
      <c r="EJ25" s="2692"/>
      <c r="EK25" s="2692"/>
      <c r="EL25" s="2692"/>
      <c r="EM25" s="2692"/>
      <c r="EN25" s="2692"/>
      <c r="EO25" s="2692"/>
      <c r="EP25" s="2692"/>
      <c r="EQ25" s="2692"/>
      <c r="ER25" s="2692"/>
      <c r="ES25" s="2692"/>
      <c r="ET25" s="2692"/>
      <c r="EU25" s="2692"/>
      <c r="EV25" s="2692"/>
      <c r="EW25" s="2692"/>
      <c r="EX25" s="2692"/>
      <c r="EY25" s="2692"/>
      <c r="EZ25" s="2692"/>
      <c r="FA25" s="2692"/>
      <c r="FB25" s="2692"/>
      <c r="FC25" s="2692"/>
      <c r="FD25" s="2692"/>
      <c r="FE25" s="2692"/>
      <c r="FF25" s="2692"/>
      <c r="FG25" s="2692"/>
      <c r="FH25" s="2692"/>
      <c r="FI25" s="2692"/>
      <c r="FJ25" s="2692"/>
      <c r="FK25" s="2692"/>
      <c r="FL25" s="2692"/>
      <c r="FM25" s="2692"/>
      <c r="FN25" s="2692"/>
      <c r="FO25" s="2692"/>
      <c r="FP25" s="2692"/>
      <c r="FQ25" s="2692"/>
      <c r="FR25" s="2692"/>
      <c r="FS25" s="2692"/>
      <c r="FT25" s="2692"/>
      <c r="FU25" s="2692"/>
      <c r="FV25" s="2692"/>
      <c r="FW25" s="2692"/>
      <c r="FX25" s="2692"/>
      <c r="FY25" s="2692"/>
      <c r="FZ25" s="2692"/>
      <c r="GA25" s="2692"/>
      <c r="GB25" s="2692"/>
      <c r="GC25" s="2692"/>
      <c r="GD25" s="2692"/>
      <c r="GE25" s="2692"/>
      <c r="GF25" s="2692"/>
      <c r="GG25" s="2692"/>
      <c r="GH25" s="2692"/>
      <c r="GI25" s="2692"/>
      <c r="GJ25" s="2692"/>
      <c r="GK25" s="2692"/>
      <c r="GL25" s="2692"/>
      <c r="GM25" s="2692"/>
      <c r="GN25" s="2692"/>
      <c r="GO25" s="2692"/>
      <c r="GP25" s="2692"/>
      <c r="GQ25" s="2692"/>
      <c r="GR25" s="2692"/>
      <c r="GS25" s="2692"/>
      <c r="GT25" s="2692"/>
      <c r="GU25" s="2692"/>
      <c r="GV25" s="2692"/>
      <c r="GW25" s="2692"/>
      <c r="GX25" s="2692"/>
      <c r="GY25" s="2692"/>
      <c r="GZ25" s="2692"/>
      <c r="HA25" s="2692"/>
      <c r="HB25" s="2692"/>
      <c r="HC25" s="2692"/>
      <c r="HD25" s="2692"/>
      <c r="HE25" s="2692"/>
      <c r="HF25" s="2692"/>
      <c r="HG25" s="2692"/>
      <c r="HH25" s="2692"/>
      <c r="HI25" s="2692"/>
      <c r="HJ25" s="2692"/>
      <c r="HK25" s="2692"/>
      <c r="HL25" s="2692"/>
      <c r="HM25" s="2692"/>
      <c r="HN25" s="2692"/>
      <c r="HO25" s="2692"/>
      <c r="HP25" s="2692"/>
      <c r="HQ25" s="2692"/>
      <c r="HR25" s="2692"/>
      <c r="HS25" s="2692"/>
      <c r="HT25" s="2692"/>
      <c r="HU25" s="2692"/>
      <c r="HV25" s="2692"/>
      <c r="HW25" s="2692"/>
      <c r="HX25" s="2692"/>
      <c r="HY25" s="2692"/>
      <c r="HZ25" s="2692"/>
      <c r="IA25" s="2692"/>
      <c r="IB25" s="2692"/>
      <c r="IC25" s="2692"/>
      <c r="ID25" s="2692"/>
      <c r="IE25" s="2692"/>
      <c r="IF25" s="2692"/>
      <c r="IG25" s="2692"/>
      <c r="IH25" s="2692"/>
      <c r="II25" s="2692"/>
      <c r="IJ25" s="2692"/>
      <c r="IK25" s="2692"/>
      <c r="IL25" s="2692"/>
      <c r="IM25" s="2692"/>
      <c r="IN25" s="2692"/>
      <c r="IO25" s="2692"/>
      <c r="IP25" s="2692"/>
      <c r="IQ25" s="2692"/>
      <c r="IR25" s="2692"/>
      <c r="IS25" s="2692"/>
      <c r="IT25" s="2692"/>
      <c r="IU25" s="2692"/>
      <c r="IV25" s="2692"/>
    </row>
    <row r="26" spans="1:256" s="40" customFormat="1" x14ac:dyDescent="0.35">
      <c r="A26" s="7030" t="s">
        <v>2567</v>
      </c>
      <c r="B26" s="7031"/>
      <c r="C26" s="2728"/>
      <c r="D26" s="2728"/>
      <c r="E26" s="2731"/>
      <c r="F26" s="2715" t="s">
        <v>2568</v>
      </c>
      <c r="G26" s="2718"/>
      <c r="H26" s="7029" t="s">
        <v>2569</v>
      </c>
      <c r="I26" s="7029"/>
      <c r="J26" s="2723"/>
      <c r="K26" s="2692"/>
      <c r="L26" s="2714"/>
      <c r="M26" s="2692"/>
      <c r="N26" s="2692"/>
      <c r="O26" s="2692"/>
      <c r="P26" s="2692"/>
      <c r="Q26" s="2692"/>
      <c r="R26" s="2692"/>
      <c r="S26" s="2692"/>
      <c r="T26" s="2692"/>
      <c r="U26" s="2692"/>
      <c r="V26" s="2692"/>
      <c r="W26" s="2692"/>
      <c r="X26" s="2692"/>
      <c r="Y26" s="2692"/>
      <c r="Z26" s="2692"/>
      <c r="AA26" s="2692"/>
      <c r="AB26" s="2692"/>
      <c r="AC26" s="2692"/>
      <c r="AD26" s="2692"/>
      <c r="AE26" s="2692"/>
      <c r="AF26" s="2692"/>
      <c r="AG26" s="2692"/>
      <c r="AH26" s="2692"/>
      <c r="AI26" s="2692"/>
      <c r="AJ26" s="2692"/>
      <c r="AK26" s="2692"/>
      <c r="AL26" s="2692"/>
      <c r="AM26" s="2692"/>
      <c r="AN26" s="2692"/>
      <c r="AO26" s="2692"/>
      <c r="AP26" s="2692"/>
      <c r="AQ26" s="2692"/>
      <c r="AR26" s="2692"/>
      <c r="AS26" s="2692"/>
      <c r="AT26" s="2692"/>
      <c r="AU26" s="2692"/>
      <c r="AV26" s="2692"/>
      <c r="AW26" s="2692"/>
      <c r="AX26" s="2692"/>
      <c r="AY26" s="2692"/>
      <c r="AZ26" s="2692"/>
      <c r="BA26" s="2692"/>
      <c r="BB26" s="2692"/>
      <c r="BC26" s="2692"/>
      <c r="BD26" s="2692"/>
      <c r="BE26" s="2692"/>
      <c r="BF26" s="2692"/>
      <c r="BG26" s="2692"/>
      <c r="BH26" s="2692"/>
      <c r="BI26" s="2692"/>
      <c r="BJ26" s="2692"/>
      <c r="BK26" s="2692"/>
      <c r="BL26" s="2692"/>
      <c r="BM26" s="2692"/>
      <c r="BN26" s="2692"/>
      <c r="BO26" s="2692"/>
      <c r="BP26" s="2692"/>
      <c r="BQ26" s="2692"/>
      <c r="BR26" s="2692"/>
      <c r="BS26" s="2692"/>
      <c r="BT26" s="2692"/>
      <c r="BU26" s="2692"/>
      <c r="BV26" s="2692"/>
      <c r="BW26" s="2692"/>
      <c r="BX26" s="2692"/>
      <c r="BY26" s="2692"/>
      <c r="BZ26" s="2692"/>
      <c r="CA26" s="2692"/>
      <c r="CB26" s="2692"/>
      <c r="CC26" s="2692"/>
      <c r="CD26" s="2692"/>
      <c r="CE26" s="2692"/>
      <c r="CF26" s="2692"/>
      <c r="CG26" s="2692"/>
      <c r="CH26" s="2692"/>
      <c r="CI26" s="2692"/>
      <c r="CJ26" s="2692"/>
      <c r="CK26" s="2692"/>
      <c r="CL26" s="2692"/>
      <c r="CM26" s="2692"/>
      <c r="CN26" s="2692"/>
      <c r="CO26" s="2692"/>
      <c r="CP26" s="2692"/>
      <c r="CQ26" s="2692"/>
      <c r="CR26" s="2692"/>
      <c r="CS26" s="2692"/>
      <c r="CT26" s="2692"/>
      <c r="CU26" s="2692"/>
      <c r="CV26" s="2692"/>
      <c r="CW26" s="2692"/>
      <c r="CX26" s="2692"/>
      <c r="CY26" s="2692"/>
      <c r="CZ26" s="2692"/>
      <c r="DA26" s="2692"/>
      <c r="DB26" s="2692"/>
      <c r="DC26" s="2692"/>
      <c r="DD26" s="2692"/>
      <c r="DE26" s="2692"/>
      <c r="DF26" s="2692"/>
      <c r="DG26" s="2692"/>
      <c r="DH26" s="2692"/>
      <c r="DI26" s="2692"/>
      <c r="DJ26" s="2692"/>
      <c r="DK26" s="2692"/>
      <c r="DL26" s="2692"/>
      <c r="DM26" s="2692"/>
      <c r="DN26" s="2692"/>
      <c r="DO26" s="2692"/>
      <c r="DP26" s="2692"/>
      <c r="DQ26" s="2692"/>
      <c r="DR26" s="2692"/>
      <c r="DS26" s="2692"/>
      <c r="DT26" s="2692"/>
      <c r="DU26" s="2692"/>
      <c r="DV26" s="2692"/>
      <c r="DW26" s="2692"/>
      <c r="DX26" s="2692"/>
      <c r="DY26" s="2692"/>
      <c r="DZ26" s="2692"/>
      <c r="EA26" s="2692"/>
      <c r="EB26" s="2692"/>
      <c r="EC26" s="2692"/>
      <c r="ED26" s="2692"/>
      <c r="EE26" s="2692"/>
      <c r="EF26" s="2692"/>
      <c r="EG26" s="2692"/>
      <c r="EH26" s="2692"/>
      <c r="EI26" s="2692"/>
      <c r="EJ26" s="2692"/>
      <c r="EK26" s="2692"/>
      <c r="EL26" s="2692"/>
      <c r="EM26" s="2692"/>
      <c r="EN26" s="2692"/>
      <c r="EO26" s="2692"/>
      <c r="EP26" s="2692"/>
      <c r="EQ26" s="2692"/>
      <c r="ER26" s="2692"/>
      <c r="ES26" s="2692"/>
      <c r="ET26" s="2692"/>
      <c r="EU26" s="2692"/>
      <c r="EV26" s="2692"/>
      <c r="EW26" s="2692"/>
      <c r="EX26" s="2692"/>
      <c r="EY26" s="2692"/>
      <c r="EZ26" s="2692"/>
      <c r="FA26" s="2692"/>
      <c r="FB26" s="2692"/>
      <c r="FC26" s="2692"/>
      <c r="FD26" s="2692"/>
      <c r="FE26" s="2692"/>
      <c r="FF26" s="2692"/>
      <c r="FG26" s="2692"/>
      <c r="FH26" s="2692"/>
      <c r="FI26" s="2692"/>
      <c r="FJ26" s="2692"/>
      <c r="FK26" s="2692"/>
      <c r="FL26" s="2692"/>
      <c r="FM26" s="2692"/>
      <c r="FN26" s="2692"/>
      <c r="FO26" s="2692"/>
      <c r="FP26" s="2692"/>
      <c r="FQ26" s="2692"/>
      <c r="FR26" s="2692"/>
      <c r="FS26" s="2692"/>
      <c r="FT26" s="2692"/>
      <c r="FU26" s="2692"/>
      <c r="FV26" s="2692"/>
      <c r="FW26" s="2692"/>
      <c r="FX26" s="2692"/>
      <c r="FY26" s="2692"/>
      <c r="FZ26" s="2692"/>
      <c r="GA26" s="2692"/>
      <c r="GB26" s="2692"/>
      <c r="GC26" s="2692"/>
      <c r="GD26" s="2692"/>
      <c r="GE26" s="2692"/>
      <c r="GF26" s="2692"/>
      <c r="GG26" s="2692"/>
      <c r="GH26" s="2692"/>
      <c r="GI26" s="2692"/>
      <c r="GJ26" s="2692"/>
      <c r="GK26" s="2692"/>
      <c r="GL26" s="2692"/>
      <c r="GM26" s="2692"/>
      <c r="GN26" s="2692"/>
      <c r="GO26" s="2692"/>
      <c r="GP26" s="2692"/>
      <c r="GQ26" s="2692"/>
      <c r="GR26" s="2692"/>
      <c r="GS26" s="2692"/>
      <c r="GT26" s="2692"/>
      <c r="GU26" s="2692"/>
      <c r="GV26" s="2692"/>
      <c r="GW26" s="2692"/>
      <c r="GX26" s="2692"/>
      <c r="GY26" s="2692"/>
      <c r="GZ26" s="2692"/>
      <c r="HA26" s="2692"/>
      <c r="HB26" s="2692"/>
      <c r="HC26" s="2692"/>
      <c r="HD26" s="2692"/>
      <c r="HE26" s="2692"/>
      <c r="HF26" s="2692"/>
      <c r="HG26" s="2692"/>
      <c r="HH26" s="2692"/>
      <c r="HI26" s="2692"/>
      <c r="HJ26" s="2692"/>
      <c r="HK26" s="2692"/>
      <c r="HL26" s="2692"/>
      <c r="HM26" s="2692"/>
      <c r="HN26" s="2692"/>
      <c r="HO26" s="2692"/>
      <c r="HP26" s="2692"/>
      <c r="HQ26" s="2692"/>
      <c r="HR26" s="2692"/>
      <c r="HS26" s="2692"/>
      <c r="HT26" s="2692"/>
      <c r="HU26" s="2692"/>
      <c r="HV26" s="2692"/>
      <c r="HW26" s="2692"/>
      <c r="HX26" s="2692"/>
      <c r="HY26" s="2692"/>
      <c r="HZ26" s="2692"/>
      <c r="IA26" s="2692"/>
      <c r="IB26" s="2692"/>
      <c r="IC26" s="2692"/>
      <c r="ID26" s="2692"/>
      <c r="IE26" s="2692"/>
      <c r="IF26" s="2692"/>
      <c r="IG26" s="2692"/>
      <c r="IH26" s="2692"/>
      <c r="II26" s="2692"/>
      <c r="IJ26" s="2692"/>
      <c r="IK26" s="2692"/>
      <c r="IL26" s="2692"/>
      <c r="IM26" s="2692"/>
      <c r="IN26" s="2692"/>
      <c r="IO26" s="2692"/>
      <c r="IP26" s="2692"/>
      <c r="IQ26" s="2692"/>
      <c r="IR26" s="2692"/>
      <c r="IS26" s="2692"/>
      <c r="IT26" s="2692"/>
      <c r="IU26" s="2692"/>
      <c r="IV26" s="2692"/>
    </row>
    <row r="27" spans="1:256" s="40" customFormat="1" ht="15" customHeight="1" x14ac:dyDescent="0.35">
      <c r="A27" s="2811" t="s">
        <v>2570</v>
      </c>
      <c r="B27" s="2734" t="s">
        <v>2571</v>
      </c>
      <c r="C27" s="2735" t="s">
        <v>2572</v>
      </c>
      <c r="D27" s="2728"/>
      <c r="E27" s="2731"/>
      <c r="F27" s="2726"/>
      <c r="G27" s="2714"/>
      <c r="H27" s="7029"/>
      <c r="I27" s="7029"/>
      <c r="J27" s="2727"/>
      <c r="K27" s="2692"/>
      <c r="L27" s="2692"/>
      <c r="M27" s="2692"/>
      <c r="N27" s="2692"/>
      <c r="O27" s="2692"/>
      <c r="P27" s="2692"/>
      <c r="Q27" s="2692"/>
      <c r="R27" s="2692"/>
      <c r="S27" s="2692"/>
      <c r="T27" s="2692"/>
      <c r="U27" s="2692"/>
      <c r="V27" s="2692"/>
      <c r="W27" s="2692"/>
      <c r="X27" s="2692"/>
      <c r="Y27" s="2692"/>
      <c r="Z27" s="2692"/>
      <c r="AA27" s="2692"/>
      <c r="AB27" s="2692"/>
      <c r="AC27" s="2692"/>
      <c r="AD27" s="2692"/>
      <c r="AE27" s="2692"/>
      <c r="AF27" s="2692"/>
      <c r="AG27" s="2692"/>
      <c r="AH27" s="2692"/>
      <c r="AI27" s="2692"/>
      <c r="AJ27" s="2692"/>
      <c r="AK27" s="2692"/>
      <c r="AL27" s="2692"/>
      <c r="AM27" s="2692"/>
      <c r="AN27" s="2692"/>
      <c r="AO27" s="2692"/>
      <c r="AP27" s="2692"/>
      <c r="AQ27" s="2692"/>
      <c r="AR27" s="2692"/>
      <c r="AS27" s="2692"/>
      <c r="AT27" s="2692"/>
      <c r="AU27" s="2692"/>
      <c r="AV27" s="2692"/>
      <c r="AW27" s="2692"/>
      <c r="AX27" s="2692"/>
      <c r="AY27" s="2692"/>
      <c r="AZ27" s="2692"/>
      <c r="BA27" s="2692"/>
      <c r="BB27" s="2692"/>
      <c r="BC27" s="2692"/>
      <c r="BD27" s="2692"/>
      <c r="BE27" s="2692"/>
      <c r="BF27" s="2692"/>
      <c r="BG27" s="2692"/>
      <c r="BH27" s="2692"/>
      <c r="BI27" s="2692"/>
      <c r="BJ27" s="2692"/>
      <c r="BK27" s="2692"/>
      <c r="BL27" s="2692"/>
      <c r="BM27" s="2692"/>
      <c r="BN27" s="2692"/>
      <c r="BO27" s="2692"/>
      <c r="BP27" s="2692"/>
      <c r="BQ27" s="2692"/>
      <c r="BR27" s="2692"/>
      <c r="BS27" s="2692"/>
      <c r="BT27" s="2692"/>
      <c r="BU27" s="2692"/>
      <c r="BV27" s="2692"/>
      <c r="BW27" s="2692"/>
      <c r="BX27" s="2692"/>
      <c r="BY27" s="2692"/>
      <c r="BZ27" s="2692"/>
      <c r="CA27" s="2692"/>
      <c r="CB27" s="2692"/>
      <c r="CC27" s="2692"/>
      <c r="CD27" s="2692"/>
      <c r="CE27" s="2692"/>
      <c r="CF27" s="2692"/>
      <c r="CG27" s="2692"/>
      <c r="CH27" s="2692"/>
      <c r="CI27" s="2692"/>
      <c r="CJ27" s="2692"/>
      <c r="CK27" s="2692"/>
      <c r="CL27" s="2692"/>
      <c r="CM27" s="2692"/>
      <c r="CN27" s="2692"/>
      <c r="CO27" s="2692"/>
      <c r="CP27" s="2692"/>
      <c r="CQ27" s="2692"/>
      <c r="CR27" s="2692"/>
      <c r="CS27" s="2692"/>
      <c r="CT27" s="2692"/>
      <c r="CU27" s="2692"/>
      <c r="CV27" s="2692"/>
      <c r="CW27" s="2692"/>
      <c r="CX27" s="2692"/>
      <c r="CY27" s="2692"/>
      <c r="CZ27" s="2692"/>
      <c r="DA27" s="2692"/>
      <c r="DB27" s="2692"/>
      <c r="DC27" s="2692"/>
      <c r="DD27" s="2692"/>
      <c r="DE27" s="2692"/>
      <c r="DF27" s="2692"/>
      <c r="DG27" s="2692"/>
      <c r="DH27" s="2692"/>
      <c r="DI27" s="2692"/>
      <c r="DJ27" s="2692"/>
      <c r="DK27" s="2692"/>
      <c r="DL27" s="2692"/>
      <c r="DM27" s="2692"/>
      <c r="DN27" s="2692"/>
      <c r="DO27" s="2692"/>
      <c r="DP27" s="2692"/>
      <c r="DQ27" s="2692"/>
      <c r="DR27" s="2692"/>
      <c r="DS27" s="2692"/>
      <c r="DT27" s="2692"/>
      <c r="DU27" s="2692"/>
      <c r="DV27" s="2692"/>
      <c r="DW27" s="2692"/>
      <c r="DX27" s="2692"/>
      <c r="DY27" s="2692"/>
      <c r="DZ27" s="2692"/>
      <c r="EA27" s="2692"/>
      <c r="EB27" s="2692"/>
      <c r="EC27" s="2692"/>
      <c r="ED27" s="2692"/>
      <c r="EE27" s="2692"/>
      <c r="EF27" s="2692"/>
      <c r="EG27" s="2692"/>
      <c r="EH27" s="2692"/>
      <c r="EI27" s="2692"/>
      <c r="EJ27" s="2692"/>
      <c r="EK27" s="2692"/>
      <c r="EL27" s="2692"/>
      <c r="EM27" s="2692"/>
      <c r="EN27" s="2692"/>
      <c r="EO27" s="2692"/>
      <c r="EP27" s="2692"/>
      <c r="EQ27" s="2692"/>
      <c r="ER27" s="2692"/>
      <c r="ES27" s="2692"/>
      <c r="ET27" s="2692"/>
      <c r="EU27" s="2692"/>
      <c r="EV27" s="2692"/>
      <c r="EW27" s="2692"/>
      <c r="EX27" s="2692"/>
      <c r="EY27" s="2692"/>
      <c r="EZ27" s="2692"/>
      <c r="FA27" s="2692"/>
      <c r="FB27" s="2692"/>
      <c r="FC27" s="2692"/>
      <c r="FD27" s="2692"/>
      <c r="FE27" s="2692"/>
      <c r="FF27" s="2692"/>
      <c r="FG27" s="2692"/>
      <c r="FH27" s="2692"/>
      <c r="FI27" s="2692"/>
      <c r="FJ27" s="2692"/>
      <c r="FK27" s="2692"/>
      <c r="FL27" s="2692"/>
      <c r="FM27" s="2692"/>
      <c r="FN27" s="2692"/>
      <c r="FO27" s="2692"/>
      <c r="FP27" s="2692"/>
      <c r="FQ27" s="2692"/>
      <c r="FR27" s="2692"/>
      <c r="FS27" s="2692"/>
      <c r="FT27" s="2692"/>
      <c r="FU27" s="2692"/>
      <c r="FV27" s="2692"/>
      <c r="FW27" s="2692"/>
      <c r="FX27" s="2692"/>
      <c r="FY27" s="2692"/>
      <c r="FZ27" s="2692"/>
      <c r="GA27" s="2692"/>
      <c r="GB27" s="2692"/>
      <c r="GC27" s="2692"/>
      <c r="GD27" s="2692"/>
      <c r="GE27" s="2692"/>
      <c r="GF27" s="2692"/>
      <c r="GG27" s="2692"/>
      <c r="GH27" s="2692"/>
      <c r="GI27" s="2692"/>
      <c r="GJ27" s="2692"/>
      <c r="GK27" s="2692"/>
      <c r="GL27" s="2692"/>
      <c r="GM27" s="2692"/>
      <c r="GN27" s="2692"/>
      <c r="GO27" s="2692"/>
      <c r="GP27" s="2692"/>
      <c r="GQ27" s="2692"/>
      <c r="GR27" s="2692"/>
      <c r="GS27" s="2692"/>
      <c r="GT27" s="2692"/>
      <c r="GU27" s="2692"/>
      <c r="GV27" s="2692"/>
      <c r="GW27" s="2692"/>
      <c r="GX27" s="2692"/>
      <c r="GY27" s="2692"/>
      <c r="GZ27" s="2692"/>
      <c r="HA27" s="2692"/>
      <c r="HB27" s="2692"/>
      <c r="HC27" s="2692"/>
      <c r="HD27" s="2692"/>
      <c r="HE27" s="2692"/>
      <c r="HF27" s="2692"/>
      <c r="HG27" s="2692"/>
      <c r="HH27" s="2692"/>
      <c r="HI27" s="2692"/>
      <c r="HJ27" s="2692"/>
      <c r="HK27" s="2692"/>
      <c r="HL27" s="2692"/>
      <c r="HM27" s="2692"/>
      <c r="HN27" s="2692"/>
      <c r="HO27" s="2692"/>
      <c r="HP27" s="2692"/>
      <c r="HQ27" s="2692"/>
      <c r="HR27" s="2692"/>
      <c r="HS27" s="2692"/>
      <c r="HT27" s="2692"/>
      <c r="HU27" s="2692"/>
      <c r="HV27" s="2692"/>
      <c r="HW27" s="2692"/>
      <c r="HX27" s="2692"/>
      <c r="HY27" s="2692"/>
      <c r="HZ27" s="2692"/>
      <c r="IA27" s="2692"/>
      <c r="IB27" s="2692"/>
      <c r="IC27" s="2692"/>
      <c r="ID27" s="2692"/>
      <c r="IE27" s="2692"/>
      <c r="IF27" s="2692"/>
      <c r="IG27" s="2692"/>
      <c r="IH27" s="2692"/>
      <c r="II27" s="2692"/>
      <c r="IJ27" s="2692"/>
      <c r="IK27" s="2692"/>
      <c r="IL27" s="2692"/>
      <c r="IM27" s="2692"/>
      <c r="IN27" s="2692"/>
      <c r="IO27" s="2692"/>
      <c r="IP27" s="2692"/>
      <c r="IQ27" s="2692"/>
      <c r="IR27" s="2692"/>
      <c r="IS27" s="2692"/>
      <c r="IT27" s="2692"/>
      <c r="IU27" s="2692"/>
      <c r="IV27" s="2692"/>
    </row>
    <row r="28" spans="1:256" s="40" customFormat="1" ht="15" customHeight="1" x14ac:dyDescent="0.35">
      <c r="A28" s="2736" t="s">
        <v>2546</v>
      </c>
      <c r="B28" s="2818"/>
      <c r="C28" s="2737" t="e">
        <f>B28/#REF!</f>
        <v>#REF!</v>
      </c>
      <c r="D28" s="2728"/>
      <c r="E28" s="2731"/>
      <c r="F28" s="2811" t="s">
        <v>2573</v>
      </c>
      <c r="G28" s="2738"/>
      <c r="H28" s="7029" t="s">
        <v>2574</v>
      </c>
      <c r="I28" s="7029"/>
      <c r="J28" s="2723"/>
      <c r="K28" s="2692"/>
      <c r="L28" s="2739"/>
      <c r="M28" s="2739"/>
      <c r="N28" s="2739"/>
      <c r="O28" s="2739"/>
      <c r="P28" s="2739"/>
      <c r="Q28" s="2739"/>
      <c r="R28" s="2739"/>
      <c r="S28" s="2739"/>
      <c r="T28" s="2739"/>
      <c r="U28" s="2692"/>
      <c r="V28" s="2692"/>
      <c r="W28" s="2692"/>
      <c r="X28" s="2692"/>
      <c r="Y28" s="2692"/>
      <c r="Z28" s="2692"/>
      <c r="AA28" s="2692"/>
      <c r="AB28" s="2692"/>
      <c r="AC28" s="2692"/>
      <c r="AD28" s="2692"/>
      <c r="AE28" s="2692"/>
      <c r="AF28" s="2692"/>
      <c r="AG28" s="2692"/>
      <c r="AH28" s="2692"/>
      <c r="AI28" s="2692"/>
      <c r="AJ28" s="2692"/>
      <c r="AK28" s="2692"/>
      <c r="AL28" s="2692"/>
      <c r="AM28" s="2692"/>
      <c r="AN28" s="2692"/>
      <c r="AO28" s="2692"/>
      <c r="AP28" s="2692"/>
      <c r="AQ28" s="2692"/>
      <c r="AR28" s="2692"/>
      <c r="AS28" s="2692"/>
      <c r="AT28" s="2692"/>
      <c r="AU28" s="2692"/>
      <c r="AV28" s="2692"/>
      <c r="AW28" s="2692"/>
      <c r="AX28" s="2692"/>
      <c r="AY28" s="2692"/>
      <c r="AZ28" s="2692"/>
      <c r="BA28" s="2692"/>
      <c r="BB28" s="2692"/>
      <c r="BC28" s="2692"/>
      <c r="BD28" s="2692"/>
      <c r="BE28" s="2692"/>
      <c r="BF28" s="2692"/>
      <c r="BG28" s="2692"/>
      <c r="BH28" s="2692"/>
      <c r="BI28" s="2692"/>
      <c r="BJ28" s="2692"/>
      <c r="BK28" s="2692"/>
      <c r="BL28" s="2692"/>
      <c r="BM28" s="2692"/>
      <c r="BN28" s="2692"/>
      <c r="BO28" s="2692"/>
      <c r="BP28" s="2692"/>
      <c r="BQ28" s="2692"/>
      <c r="BR28" s="2692"/>
      <c r="BS28" s="2692"/>
      <c r="BT28" s="2692"/>
      <c r="BU28" s="2692"/>
      <c r="BV28" s="2692"/>
      <c r="BW28" s="2692"/>
      <c r="BX28" s="2692"/>
      <c r="BY28" s="2692"/>
      <c r="BZ28" s="2692"/>
      <c r="CA28" s="2692"/>
      <c r="CB28" s="2692"/>
      <c r="CC28" s="2692"/>
      <c r="CD28" s="2692"/>
      <c r="CE28" s="2692"/>
      <c r="CF28" s="2692"/>
      <c r="CG28" s="2692"/>
      <c r="CH28" s="2692"/>
      <c r="CI28" s="2692"/>
      <c r="CJ28" s="2692"/>
      <c r="CK28" s="2692"/>
      <c r="CL28" s="2692"/>
      <c r="CM28" s="2692"/>
      <c r="CN28" s="2692"/>
      <c r="CO28" s="2692"/>
      <c r="CP28" s="2692"/>
      <c r="CQ28" s="2692"/>
      <c r="CR28" s="2692"/>
      <c r="CS28" s="2692"/>
      <c r="CT28" s="2692"/>
      <c r="CU28" s="2692"/>
      <c r="CV28" s="2692"/>
      <c r="CW28" s="2692"/>
      <c r="CX28" s="2692"/>
      <c r="CY28" s="2692"/>
      <c r="CZ28" s="2692"/>
      <c r="DA28" s="2692"/>
      <c r="DB28" s="2692"/>
      <c r="DC28" s="2692"/>
      <c r="DD28" s="2692"/>
      <c r="DE28" s="2692"/>
      <c r="DF28" s="2692"/>
      <c r="DG28" s="2692"/>
      <c r="DH28" s="2692"/>
      <c r="DI28" s="2692"/>
      <c r="DJ28" s="2692"/>
      <c r="DK28" s="2692"/>
      <c r="DL28" s="2692"/>
      <c r="DM28" s="2692"/>
      <c r="DN28" s="2692"/>
      <c r="DO28" s="2692"/>
      <c r="DP28" s="2692"/>
      <c r="DQ28" s="2692"/>
      <c r="DR28" s="2692"/>
      <c r="DS28" s="2692"/>
      <c r="DT28" s="2692"/>
      <c r="DU28" s="2692"/>
      <c r="DV28" s="2692"/>
      <c r="DW28" s="2692"/>
      <c r="DX28" s="2692"/>
      <c r="DY28" s="2692"/>
      <c r="DZ28" s="2692"/>
      <c r="EA28" s="2692"/>
      <c r="EB28" s="2692"/>
      <c r="EC28" s="2692"/>
      <c r="ED28" s="2692"/>
      <c r="EE28" s="2692"/>
      <c r="EF28" s="2692"/>
      <c r="EG28" s="2692"/>
      <c r="EH28" s="2692"/>
      <c r="EI28" s="2692"/>
      <c r="EJ28" s="2692"/>
      <c r="EK28" s="2692"/>
      <c r="EL28" s="2692"/>
      <c r="EM28" s="2692"/>
      <c r="EN28" s="2692"/>
      <c r="EO28" s="2692"/>
      <c r="EP28" s="2692"/>
      <c r="EQ28" s="2692"/>
      <c r="ER28" s="2692"/>
      <c r="ES28" s="2692"/>
      <c r="ET28" s="2692"/>
      <c r="EU28" s="2692"/>
      <c r="EV28" s="2692"/>
      <c r="EW28" s="2692"/>
      <c r="EX28" s="2692"/>
      <c r="EY28" s="2692"/>
      <c r="EZ28" s="2692"/>
      <c r="FA28" s="2692"/>
      <c r="FB28" s="2692"/>
      <c r="FC28" s="2692"/>
      <c r="FD28" s="2692"/>
      <c r="FE28" s="2692"/>
      <c r="FF28" s="2692"/>
      <c r="FG28" s="2692"/>
      <c r="FH28" s="2692"/>
      <c r="FI28" s="2692"/>
      <c r="FJ28" s="2692"/>
      <c r="FK28" s="2692"/>
      <c r="FL28" s="2692"/>
      <c r="FM28" s="2692"/>
      <c r="FN28" s="2692"/>
      <c r="FO28" s="2692"/>
      <c r="FP28" s="2692"/>
      <c r="FQ28" s="2692"/>
      <c r="FR28" s="2692"/>
      <c r="FS28" s="2692"/>
      <c r="FT28" s="2692"/>
      <c r="FU28" s="2692"/>
      <c r="FV28" s="2692"/>
      <c r="FW28" s="2692"/>
      <c r="FX28" s="2692"/>
      <c r="FY28" s="2692"/>
      <c r="FZ28" s="2692"/>
      <c r="GA28" s="2692"/>
      <c r="GB28" s="2692"/>
      <c r="GC28" s="2692"/>
      <c r="GD28" s="2692"/>
      <c r="GE28" s="2692"/>
      <c r="GF28" s="2692"/>
      <c r="GG28" s="2692"/>
      <c r="GH28" s="2692"/>
      <c r="GI28" s="2692"/>
      <c r="GJ28" s="2692"/>
      <c r="GK28" s="2692"/>
      <c r="GL28" s="2692"/>
      <c r="GM28" s="2692"/>
      <c r="GN28" s="2692"/>
      <c r="GO28" s="2692"/>
      <c r="GP28" s="2692"/>
      <c r="GQ28" s="2692"/>
      <c r="GR28" s="2692"/>
      <c r="GS28" s="2692"/>
      <c r="GT28" s="2692"/>
      <c r="GU28" s="2692"/>
      <c r="GV28" s="2692"/>
      <c r="GW28" s="2692"/>
      <c r="GX28" s="2692"/>
      <c r="GY28" s="2692"/>
      <c r="GZ28" s="2692"/>
      <c r="HA28" s="2692"/>
      <c r="HB28" s="2692"/>
      <c r="HC28" s="2692"/>
      <c r="HD28" s="2692"/>
      <c r="HE28" s="2692"/>
      <c r="HF28" s="2692"/>
      <c r="HG28" s="2692"/>
      <c r="HH28" s="2692"/>
      <c r="HI28" s="2692"/>
      <c r="HJ28" s="2692"/>
      <c r="HK28" s="2692"/>
      <c r="HL28" s="2692"/>
      <c r="HM28" s="2692"/>
      <c r="HN28" s="2692"/>
      <c r="HO28" s="2692"/>
      <c r="HP28" s="2692"/>
      <c r="HQ28" s="2692"/>
      <c r="HR28" s="2692"/>
      <c r="HS28" s="2692"/>
      <c r="HT28" s="2692"/>
      <c r="HU28" s="2692"/>
      <c r="HV28" s="2692"/>
      <c r="HW28" s="2692"/>
      <c r="HX28" s="2692"/>
      <c r="HY28" s="2692"/>
      <c r="HZ28" s="2692"/>
      <c r="IA28" s="2692"/>
      <c r="IB28" s="2692"/>
      <c r="IC28" s="2692"/>
      <c r="ID28" s="2692"/>
      <c r="IE28" s="2692"/>
      <c r="IF28" s="2692"/>
      <c r="IG28" s="2692"/>
      <c r="IH28" s="2692"/>
      <c r="II28" s="2692"/>
      <c r="IJ28" s="2692"/>
      <c r="IK28" s="2692"/>
      <c r="IL28" s="2692"/>
      <c r="IM28" s="2692"/>
      <c r="IN28" s="2692"/>
      <c r="IO28" s="2692"/>
      <c r="IP28" s="2692"/>
      <c r="IQ28" s="2692"/>
      <c r="IR28" s="2692"/>
      <c r="IS28" s="2692"/>
      <c r="IT28" s="2692"/>
      <c r="IU28" s="2692"/>
      <c r="IV28" s="2692"/>
    </row>
    <row r="29" spans="1:256" s="23" customFormat="1" ht="32.25" customHeight="1" x14ac:dyDescent="0.35">
      <c r="A29" s="2810" t="s">
        <v>2575</v>
      </c>
      <c r="B29" s="2817"/>
      <c r="C29" s="2779" t="e">
        <f>B29/#REF!</f>
        <v>#REF!</v>
      </c>
      <c r="D29" s="2780"/>
      <c r="E29" s="2781"/>
      <c r="F29" s="2811" t="s">
        <v>2576</v>
      </c>
      <c r="G29" s="2738"/>
      <c r="H29" s="7017" t="s">
        <v>2577</v>
      </c>
      <c r="I29" s="7017"/>
      <c r="J29" s="2723"/>
      <c r="K29" s="2775"/>
      <c r="L29" s="2782"/>
      <c r="M29" s="2782"/>
      <c r="N29" s="2782"/>
      <c r="O29" s="2782"/>
      <c r="P29" s="2782"/>
      <c r="Q29" s="2782"/>
      <c r="R29" s="2782"/>
      <c r="S29" s="2782"/>
      <c r="T29" s="2782"/>
      <c r="U29" s="2775"/>
      <c r="V29" s="2775"/>
      <c r="W29" s="2775"/>
      <c r="X29" s="2775"/>
      <c r="Y29" s="2775"/>
      <c r="Z29" s="2775"/>
      <c r="AA29" s="2775"/>
      <c r="AB29" s="2775"/>
      <c r="AC29" s="2775"/>
      <c r="AD29" s="2775"/>
      <c r="AE29" s="2775"/>
      <c r="AF29" s="2775"/>
      <c r="AG29" s="2775"/>
      <c r="AH29" s="2775"/>
      <c r="AI29" s="2775"/>
      <c r="AJ29" s="2775"/>
      <c r="AK29" s="2775"/>
      <c r="AL29" s="2775"/>
      <c r="AM29" s="2775"/>
      <c r="AN29" s="2775"/>
      <c r="AO29" s="2775"/>
      <c r="AP29" s="2775"/>
      <c r="AQ29" s="2775"/>
      <c r="AR29" s="2775"/>
      <c r="AS29" s="2775"/>
      <c r="AT29" s="2775"/>
      <c r="AU29" s="2775"/>
      <c r="AV29" s="2775"/>
      <c r="AW29" s="2775"/>
      <c r="AX29" s="2775"/>
      <c r="AY29" s="2775"/>
      <c r="AZ29" s="2775"/>
      <c r="BA29" s="2775"/>
      <c r="BB29" s="2775"/>
      <c r="BC29" s="2775"/>
      <c r="BD29" s="2775"/>
      <c r="BE29" s="2775"/>
      <c r="BF29" s="2775"/>
      <c r="BG29" s="2775"/>
      <c r="BH29" s="2775"/>
      <c r="BI29" s="2775"/>
      <c r="BJ29" s="2775"/>
      <c r="BK29" s="2775"/>
      <c r="BL29" s="2775"/>
      <c r="BM29" s="2775"/>
      <c r="BN29" s="2775"/>
      <c r="BO29" s="2775"/>
      <c r="BP29" s="2775"/>
      <c r="BQ29" s="2775"/>
      <c r="BR29" s="2775"/>
      <c r="BS29" s="2775"/>
      <c r="BT29" s="2775"/>
      <c r="BU29" s="2775"/>
      <c r="BV29" s="2775"/>
      <c r="BW29" s="2775"/>
      <c r="BX29" s="2775"/>
      <c r="BY29" s="2775"/>
      <c r="BZ29" s="2775"/>
      <c r="CA29" s="2775"/>
      <c r="CB29" s="2775"/>
      <c r="CC29" s="2775"/>
      <c r="CD29" s="2775"/>
      <c r="CE29" s="2775"/>
      <c r="CF29" s="2775"/>
      <c r="CG29" s="2775"/>
      <c r="CH29" s="2775"/>
      <c r="CI29" s="2775"/>
      <c r="CJ29" s="2775"/>
      <c r="CK29" s="2775"/>
      <c r="CL29" s="2775"/>
      <c r="CM29" s="2775"/>
      <c r="CN29" s="2775"/>
      <c r="CO29" s="2775"/>
      <c r="CP29" s="2775"/>
      <c r="CQ29" s="2775"/>
      <c r="CR29" s="2775"/>
      <c r="CS29" s="2775"/>
      <c r="CT29" s="2775"/>
      <c r="CU29" s="2775"/>
      <c r="CV29" s="2775"/>
      <c r="CW29" s="2775"/>
      <c r="CX29" s="2775"/>
      <c r="CY29" s="2775"/>
      <c r="CZ29" s="2775"/>
      <c r="DA29" s="2775"/>
      <c r="DB29" s="2775"/>
      <c r="DC29" s="2775"/>
      <c r="DD29" s="2775"/>
      <c r="DE29" s="2775"/>
      <c r="DF29" s="2775"/>
      <c r="DG29" s="2775"/>
      <c r="DH29" s="2775"/>
      <c r="DI29" s="2775"/>
      <c r="DJ29" s="2775"/>
      <c r="DK29" s="2775"/>
      <c r="DL29" s="2775"/>
      <c r="DM29" s="2775"/>
      <c r="DN29" s="2775"/>
      <c r="DO29" s="2775"/>
      <c r="DP29" s="2775"/>
      <c r="DQ29" s="2775"/>
      <c r="DR29" s="2775"/>
      <c r="DS29" s="2775"/>
      <c r="DT29" s="2775"/>
      <c r="DU29" s="2775"/>
      <c r="DV29" s="2775"/>
      <c r="DW29" s="2775"/>
      <c r="DX29" s="2775"/>
      <c r="DY29" s="2775"/>
      <c r="DZ29" s="2775"/>
      <c r="EA29" s="2775"/>
      <c r="EB29" s="2775"/>
      <c r="EC29" s="2775"/>
      <c r="ED29" s="2775"/>
      <c r="EE29" s="2775"/>
      <c r="EF29" s="2775"/>
      <c r="EG29" s="2775"/>
      <c r="EH29" s="2775"/>
      <c r="EI29" s="2775"/>
      <c r="EJ29" s="2775"/>
      <c r="EK29" s="2775"/>
      <c r="EL29" s="2775"/>
      <c r="EM29" s="2775"/>
      <c r="EN29" s="2775"/>
      <c r="EO29" s="2775"/>
      <c r="EP29" s="2775"/>
      <c r="EQ29" s="2775"/>
      <c r="ER29" s="2775"/>
      <c r="ES29" s="2775"/>
      <c r="ET29" s="2775"/>
      <c r="EU29" s="2775"/>
      <c r="EV29" s="2775"/>
      <c r="EW29" s="2775"/>
      <c r="EX29" s="2775"/>
      <c r="EY29" s="2775"/>
      <c r="EZ29" s="2775"/>
      <c r="FA29" s="2775"/>
      <c r="FB29" s="2775"/>
      <c r="FC29" s="2775"/>
      <c r="FD29" s="2775"/>
      <c r="FE29" s="2775"/>
      <c r="FF29" s="2775"/>
      <c r="FG29" s="2775"/>
      <c r="FH29" s="2775"/>
      <c r="FI29" s="2775"/>
      <c r="FJ29" s="2775"/>
      <c r="FK29" s="2775"/>
      <c r="FL29" s="2775"/>
      <c r="FM29" s="2775"/>
      <c r="FN29" s="2775"/>
      <c r="FO29" s="2775"/>
      <c r="FP29" s="2775"/>
      <c r="FQ29" s="2775"/>
      <c r="FR29" s="2775"/>
      <c r="FS29" s="2775"/>
      <c r="FT29" s="2775"/>
      <c r="FU29" s="2775"/>
      <c r="FV29" s="2775"/>
      <c r="FW29" s="2775"/>
      <c r="FX29" s="2775"/>
      <c r="FY29" s="2775"/>
      <c r="FZ29" s="2775"/>
      <c r="GA29" s="2775"/>
      <c r="GB29" s="2775"/>
      <c r="GC29" s="2775"/>
      <c r="GD29" s="2775"/>
      <c r="GE29" s="2775"/>
      <c r="GF29" s="2775"/>
      <c r="GG29" s="2775"/>
      <c r="GH29" s="2775"/>
      <c r="GI29" s="2775"/>
      <c r="GJ29" s="2775"/>
      <c r="GK29" s="2775"/>
      <c r="GL29" s="2775"/>
      <c r="GM29" s="2775"/>
      <c r="GN29" s="2775"/>
      <c r="GO29" s="2775"/>
      <c r="GP29" s="2775"/>
      <c r="GQ29" s="2775"/>
      <c r="GR29" s="2775"/>
      <c r="GS29" s="2775"/>
      <c r="GT29" s="2775"/>
      <c r="GU29" s="2775"/>
      <c r="GV29" s="2775"/>
      <c r="GW29" s="2775"/>
      <c r="GX29" s="2775"/>
      <c r="GY29" s="2775"/>
      <c r="GZ29" s="2775"/>
      <c r="HA29" s="2775"/>
      <c r="HB29" s="2775"/>
      <c r="HC29" s="2775"/>
      <c r="HD29" s="2775"/>
      <c r="HE29" s="2775"/>
      <c r="HF29" s="2775"/>
      <c r="HG29" s="2775"/>
      <c r="HH29" s="2775"/>
      <c r="HI29" s="2775"/>
      <c r="HJ29" s="2775"/>
      <c r="HK29" s="2775"/>
      <c r="HL29" s="2775"/>
      <c r="HM29" s="2775"/>
      <c r="HN29" s="2775"/>
      <c r="HO29" s="2775"/>
      <c r="HP29" s="2775"/>
      <c r="HQ29" s="2775"/>
      <c r="HR29" s="2775"/>
      <c r="HS29" s="2775"/>
      <c r="HT29" s="2775"/>
      <c r="HU29" s="2775"/>
      <c r="HV29" s="2775"/>
      <c r="HW29" s="2775"/>
      <c r="HX29" s="2775"/>
      <c r="HY29" s="2775"/>
      <c r="HZ29" s="2775"/>
      <c r="IA29" s="2775"/>
      <c r="IB29" s="2775"/>
      <c r="IC29" s="2775"/>
      <c r="ID29" s="2775"/>
      <c r="IE29" s="2775"/>
      <c r="IF29" s="2775"/>
      <c r="IG29" s="2775"/>
      <c r="IH29" s="2775"/>
      <c r="II29" s="2775"/>
      <c r="IJ29" s="2775"/>
      <c r="IK29" s="2775"/>
      <c r="IL29" s="2775"/>
      <c r="IM29" s="2775"/>
      <c r="IN29" s="2775"/>
      <c r="IO29" s="2775"/>
      <c r="IP29" s="2775"/>
      <c r="IQ29" s="2775"/>
      <c r="IR29" s="2775"/>
      <c r="IS29" s="2775"/>
      <c r="IT29" s="2775"/>
      <c r="IU29" s="2775"/>
      <c r="IV29" s="2775"/>
    </row>
    <row r="30" spans="1:256" s="40" customFormat="1" ht="15.75" customHeight="1" x14ac:dyDescent="0.35">
      <c r="A30" s="2715" t="s">
        <v>2578</v>
      </c>
      <c r="B30" s="2815"/>
      <c r="C30" s="2737" t="e">
        <f>B30/#REF!</f>
        <v>#REF!</v>
      </c>
      <c r="D30" s="2728"/>
      <c r="E30" s="2731"/>
      <c r="F30" s="2811"/>
      <c r="G30" s="2813"/>
      <c r="H30" s="2726"/>
      <c r="I30" s="2726"/>
      <c r="J30" s="2727"/>
      <c r="K30" s="2692"/>
      <c r="L30" s="2739"/>
      <c r="M30" s="2700"/>
      <c r="N30" s="7032"/>
      <c r="O30" s="7032"/>
      <c r="P30" s="7032"/>
      <c r="Q30" s="2700"/>
      <c r="R30" s="2739"/>
      <c r="S30" s="2739"/>
      <c r="T30" s="2739"/>
      <c r="U30" s="2692"/>
      <c r="V30" s="2692"/>
      <c r="W30" s="2692"/>
      <c r="X30" s="2692"/>
      <c r="Y30" s="2692"/>
      <c r="Z30" s="2692"/>
      <c r="AA30" s="2692"/>
      <c r="AB30" s="2692"/>
      <c r="AC30" s="2692"/>
      <c r="AD30" s="2692"/>
      <c r="AE30" s="2692"/>
      <c r="AF30" s="2692"/>
      <c r="AG30" s="2692"/>
      <c r="AH30" s="2692"/>
      <c r="AI30" s="2692"/>
      <c r="AJ30" s="2692"/>
      <c r="AK30" s="2692"/>
      <c r="AL30" s="2692"/>
      <c r="AM30" s="2692"/>
      <c r="AN30" s="2692"/>
      <c r="AO30" s="2692"/>
      <c r="AP30" s="2692"/>
      <c r="AQ30" s="2692"/>
      <c r="AR30" s="2692"/>
      <c r="AS30" s="2692"/>
      <c r="AT30" s="2692"/>
      <c r="AU30" s="2692"/>
      <c r="AV30" s="2692"/>
      <c r="AW30" s="2692"/>
      <c r="AX30" s="2692"/>
      <c r="AY30" s="2692"/>
      <c r="AZ30" s="2692"/>
      <c r="BA30" s="2692"/>
      <c r="BB30" s="2692"/>
      <c r="BC30" s="2692"/>
      <c r="BD30" s="2692"/>
      <c r="BE30" s="2692"/>
      <c r="BF30" s="2692"/>
      <c r="BG30" s="2692"/>
      <c r="BH30" s="2692"/>
      <c r="BI30" s="2692"/>
      <c r="BJ30" s="2692"/>
      <c r="BK30" s="2692"/>
      <c r="BL30" s="2692"/>
      <c r="BM30" s="2692"/>
      <c r="BN30" s="2692"/>
      <c r="BO30" s="2692"/>
      <c r="BP30" s="2692"/>
      <c r="BQ30" s="2692"/>
      <c r="BR30" s="2692"/>
      <c r="BS30" s="2692"/>
      <c r="BT30" s="2692"/>
      <c r="BU30" s="2692"/>
      <c r="BV30" s="2692"/>
      <c r="BW30" s="2692"/>
      <c r="BX30" s="2692"/>
      <c r="BY30" s="2692"/>
      <c r="BZ30" s="2692"/>
      <c r="CA30" s="2692"/>
      <c r="CB30" s="2692"/>
      <c r="CC30" s="2692"/>
      <c r="CD30" s="2692"/>
      <c r="CE30" s="2692"/>
      <c r="CF30" s="2692"/>
      <c r="CG30" s="2692"/>
      <c r="CH30" s="2692"/>
      <c r="CI30" s="2692"/>
      <c r="CJ30" s="2692"/>
      <c r="CK30" s="2692"/>
      <c r="CL30" s="2692"/>
      <c r="CM30" s="2692"/>
      <c r="CN30" s="2692"/>
      <c r="CO30" s="2692"/>
      <c r="CP30" s="2692"/>
      <c r="CQ30" s="2692"/>
      <c r="CR30" s="2692"/>
      <c r="CS30" s="2692"/>
      <c r="CT30" s="2692"/>
      <c r="CU30" s="2692"/>
      <c r="CV30" s="2692"/>
      <c r="CW30" s="2692"/>
      <c r="CX30" s="2692"/>
      <c r="CY30" s="2692"/>
      <c r="CZ30" s="2692"/>
      <c r="DA30" s="2692"/>
      <c r="DB30" s="2692"/>
      <c r="DC30" s="2692"/>
      <c r="DD30" s="2692"/>
      <c r="DE30" s="2692"/>
      <c r="DF30" s="2692"/>
      <c r="DG30" s="2692"/>
      <c r="DH30" s="2692"/>
      <c r="DI30" s="2692"/>
      <c r="DJ30" s="2692"/>
      <c r="DK30" s="2692"/>
      <c r="DL30" s="2692"/>
      <c r="DM30" s="2692"/>
      <c r="DN30" s="2692"/>
      <c r="DO30" s="2692"/>
      <c r="DP30" s="2692"/>
      <c r="DQ30" s="2692"/>
      <c r="DR30" s="2692"/>
      <c r="DS30" s="2692"/>
      <c r="DT30" s="2692"/>
      <c r="DU30" s="2692"/>
      <c r="DV30" s="2692"/>
      <c r="DW30" s="2692"/>
      <c r="DX30" s="2692"/>
      <c r="DY30" s="2692"/>
      <c r="DZ30" s="2692"/>
      <c r="EA30" s="2692"/>
      <c r="EB30" s="2692"/>
      <c r="EC30" s="2692"/>
      <c r="ED30" s="2692"/>
      <c r="EE30" s="2692"/>
      <c r="EF30" s="2692"/>
      <c r="EG30" s="2692"/>
      <c r="EH30" s="2692"/>
      <c r="EI30" s="2692"/>
      <c r="EJ30" s="2692"/>
      <c r="EK30" s="2692"/>
      <c r="EL30" s="2692"/>
      <c r="EM30" s="2692"/>
      <c r="EN30" s="2692"/>
      <c r="EO30" s="2692"/>
      <c r="EP30" s="2692"/>
      <c r="EQ30" s="2692"/>
      <c r="ER30" s="2692"/>
      <c r="ES30" s="2692"/>
      <c r="ET30" s="2692"/>
      <c r="EU30" s="2692"/>
      <c r="EV30" s="2692"/>
      <c r="EW30" s="2692"/>
      <c r="EX30" s="2692"/>
      <c r="EY30" s="2692"/>
      <c r="EZ30" s="2692"/>
      <c r="FA30" s="2692"/>
      <c r="FB30" s="2692"/>
      <c r="FC30" s="2692"/>
      <c r="FD30" s="2692"/>
      <c r="FE30" s="2692"/>
      <c r="FF30" s="2692"/>
      <c r="FG30" s="2692"/>
      <c r="FH30" s="2692"/>
      <c r="FI30" s="2692"/>
      <c r="FJ30" s="2692"/>
      <c r="FK30" s="2692"/>
      <c r="FL30" s="2692"/>
      <c r="FM30" s="2692"/>
      <c r="FN30" s="2692"/>
      <c r="FO30" s="2692"/>
      <c r="FP30" s="2692"/>
      <c r="FQ30" s="2692"/>
      <c r="FR30" s="2692"/>
      <c r="FS30" s="2692"/>
      <c r="FT30" s="2692"/>
      <c r="FU30" s="2692"/>
      <c r="FV30" s="2692"/>
      <c r="FW30" s="2692"/>
      <c r="FX30" s="2692"/>
      <c r="FY30" s="2692"/>
      <c r="FZ30" s="2692"/>
      <c r="GA30" s="2692"/>
      <c r="GB30" s="2692"/>
      <c r="GC30" s="2692"/>
      <c r="GD30" s="2692"/>
      <c r="GE30" s="2692"/>
      <c r="GF30" s="2692"/>
      <c r="GG30" s="2692"/>
      <c r="GH30" s="2692"/>
      <c r="GI30" s="2692"/>
      <c r="GJ30" s="2692"/>
      <c r="GK30" s="2692"/>
      <c r="GL30" s="2692"/>
      <c r="GM30" s="2692"/>
      <c r="GN30" s="2692"/>
      <c r="GO30" s="2692"/>
      <c r="GP30" s="2692"/>
      <c r="GQ30" s="2692"/>
      <c r="GR30" s="2692"/>
      <c r="GS30" s="2692"/>
      <c r="GT30" s="2692"/>
      <c r="GU30" s="2692"/>
      <c r="GV30" s="2692"/>
      <c r="GW30" s="2692"/>
      <c r="GX30" s="2692"/>
      <c r="GY30" s="2692"/>
      <c r="GZ30" s="2692"/>
      <c r="HA30" s="2692"/>
      <c r="HB30" s="2692"/>
      <c r="HC30" s="2692"/>
      <c r="HD30" s="2692"/>
      <c r="HE30" s="2692"/>
      <c r="HF30" s="2692"/>
      <c r="HG30" s="2692"/>
      <c r="HH30" s="2692"/>
      <c r="HI30" s="2692"/>
      <c r="HJ30" s="2692"/>
      <c r="HK30" s="2692"/>
      <c r="HL30" s="2692"/>
      <c r="HM30" s="2692"/>
      <c r="HN30" s="2692"/>
      <c r="HO30" s="2692"/>
      <c r="HP30" s="2692"/>
      <c r="HQ30" s="2692"/>
      <c r="HR30" s="2692"/>
      <c r="HS30" s="2692"/>
      <c r="HT30" s="2692"/>
      <c r="HU30" s="2692"/>
      <c r="HV30" s="2692"/>
      <c r="HW30" s="2692"/>
      <c r="HX30" s="2692"/>
      <c r="HY30" s="2692"/>
      <c r="HZ30" s="2692"/>
      <c r="IA30" s="2692"/>
      <c r="IB30" s="2692"/>
      <c r="IC30" s="2692"/>
      <c r="ID30" s="2692"/>
      <c r="IE30" s="2692"/>
      <c r="IF30" s="2692"/>
      <c r="IG30" s="2692"/>
      <c r="IH30" s="2692"/>
      <c r="II30" s="2692"/>
      <c r="IJ30" s="2692"/>
      <c r="IK30" s="2692"/>
      <c r="IL30" s="2692"/>
      <c r="IM30" s="2692"/>
      <c r="IN30" s="2692"/>
      <c r="IO30" s="2692"/>
      <c r="IP30" s="2692"/>
      <c r="IQ30" s="2692"/>
      <c r="IR30" s="2692"/>
      <c r="IS30" s="2692"/>
      <c r="IT30" s="2692"/>
      <c r="IU30" s="2692"/>
      <c r="IV30" s="2692"/>
    </row>
    <row r="31" spans="1:256" s="40" customFormat="1" ht="15" customHeight="1" x14ac:dyDescent="0.35">
      <c r="A31" s="2715" t="s">
        <v>2579</v>
      </c>
      <c r="B31" s="2815"/>
      <c r="C31" s="2737" t="e">
        <f>B31/#REF!</f>
        <v>#REF!</v>
      </c>
      <c r="D31" s="2728"/>
      <c r="E31" s="2731"/>
      <c r="F31" s="2811" t="s">
        <v>2580</v>
      </c>
      <c r="G31" s="2738"/>
      <c r="H31" s="2813"/>
      <c r="I31" s="2813"/>
      <c r="J31" s="2727"/>
      <c r="K31" s="2692"/>
      <c r="L31" s="2739"/>
      <c r="M31" s="43"/>
      <c r="N31" s="43"/>
      <c r="O31" s="43"/>
      <c r="P31" s="43"/>
      <c r="Q31" s="43"/>
      <c r="R31" s="2739"/>
      <c r="S31" s="2739"/>
      <c r="T31" s="2739"/>
      <c r="U31" s="2692"/>
      <c r="V31" s="2692"/>
      <c r="W31" s="2692"/>
      <c r="X31" s="2692"/>
      <c r="Y31" s="2692"/>
      <c r="Z31" s="2692"/>
      <c r="AA31" s="2692"/>
      <c r="AB31" s="2692"/>
      <c r="AC31" s="2692"/>
      <c r="AD31" s="2692"/>
      <c r="AE31" s="2692"/>
      <c r="AF31" s="2692"/>
      <c r="AG31" s="2692"/>
      <c r="AH31" s="2692"/>
      <c r="AI31" s="2692"/>
      <c r="AJ31" s="2692"/>
      <c r="AK31" s="2692"/>
      <c r="AL31" s="2692"/>
      <c r="AM31" s="2692"/>
      <c r="AN31" s="2692"/>
      <c r="AO31" s="2692"/>
      <c r="AP31" s="2692"/>
      <c r="AQ31" s="2692"/>
      <c r="AR31" s="2692"/>
      <c r="AS31" s="2692"/>
      <c r="AT31" s="2692"/>
      <c r="AU31" s="2692"/>
      <c r="AV31" s="2692"/>
      <c r="AW31" s="2692"/>
      <c r="AX31" s="2692"/>
      <c r="AY31" s="2692"/>
      <c r="AZ31" s="2692"/>
      <c r="BA31" s="2692"/>
      <c r="BB31" s="2692"/>
      <c r="BC31" s="2692"/>
      <c r="BD31" s="2692"/>
      <c r="BE31" s="2692"/>
      <c r="BF31" s="2692"/>
      <c r="BG31" s="2692"/>
      <c r="BH31" s="2692"/>
      <c r="BI31" s="2692"/>
      <c r="BJ31" s="2692"/>
      <c r="BK31" s="2692"/>
      <c r="BL31" s="2692"/>
      <c r="BM31" s="2692"/>
      <c r="BN31" s="2692"/>
      <c r="BO31" s="2692"/>
      <c r="BP31" s="2692"/>
      <c r="BQ31" s="2692"/>
      <c r="BR31" s="2692"/>
      <c r="BS31" s="2692"/>
      <c r="BT31" s="2692"/>
      <c r="BU31" s="2692"/>
      <c r="BV31" s="2692"/>
      <c r="BW31" s="2692"/>
      <c r="BX31" s="2692"/>
      <c r="BY31" s="2692"/>
      <c r="BZ31" s="2692"/>
      <c r="CA31" s="2692"/>
      <c r="CB31" s="2692"/>
      <c r="CC31" s="2692"/>
      <c r="CD31" s="2692"/>
      <c r="CE31" s="2692"/>
      <c r="CF31" s="2692"/>
      <c r="CG31" s="2692"/>
      <c r="CH31" s="2692"/>
      <c r="CI31" s="2692"/>
      <c r="CJ31" s="2692"/>
      <c r="CK31" s="2692"/>
      <c r="CL31" s="2692"/>
      <c r="CM31" s="2692"/>
      <c r="CN31" s="2692"/>
      <c r="CO31" s="2692"/>
      <c r="CP31" s="2692"/>
      <c r="CQ31" s="2692"/>
      <c r="CR31" s="2692"/>
      <c r="CS31" s="2692"/>
      <c r="CT31" s="2692"/>
      <c r="CU31" s="2692"/>
      <c r="CV31" s="2692"/>
      <c r="CW31" s="2692"/>
      <c r="CX31" s="2692"/>
      <c r="CY31" s="2692"/>
      <c r="CZ31" s="2692"/>
      <c r="DA31" s="2692"/>
      <c r="DB31" s="2692"/>
      <c r="DC31" s="2692"/>
      <c r="DD31" s="2692"/>
      <c r="DE31" s="2692"/>
      <c r="DF31" s="2692"/>
      <c r="DG31" s="2692"/>
      <c r="DH31" s="2692"/>
      <c r="DI31" s="2692"/>
      <c r="DJ31" s="2692"/>
      <c r="DK31" s="2692"/>
      <c r="DL31" s="2692"/>
      <c r="DM31" s="2692"/>
      <c r="DN31" s="2692"/>
      <c r="DO31" s="2692"/>
      <c r="DP31" s="2692"/>
      <c r="DQ31" s="2692"/>
      <c r="DR31" s="2692"/>
      <c r="DS31" s="2692"/>
      <c r="DT31" s="2692"/>
      <c r="DU31" s="2692"/>
      <c r="DV31" s="2692"/>
      <c r="DW31" s="2692"/>
      <c r="DX31" s="2692"/>
      <c r="DY31" s="2692"/>
      <c r="DZ31" s="2692"/>
      <c r="EA31" s="2692"/>
      <c r="EB31" s="2692"/>
      <c r="EC31" s="2692"/>
      <c r="ED31" s="2692"/>
      <c r="EE31" s="2692"/>
      <c r="EF31" s="2692"/>
      <c r="EG31" s="2692"/>
      <c r="EH31" s="2692"/>
      <c r="EI31" s="2692"/>
      <c r="EJ31" s="2692"/>
      <c r="EK31" s="2692"/>
      <c r="EL31" s="2692"/>
      <c r="EM31" s="2692"/>
      <c r="EN31" s="2692"/>
      <c r="EO31" s="2692"/>
      <c r="EP31" s="2692"/>
      <c r="EQ31" s="2692"/>
      <c r="ER31" s="2692"/>
      <c r="ES31" s="2692"/>
      <c r="ET31" s="2692"/>
      <c r="EU31" s="2692"/>
      <c r="EV31" s="2692"/>
      <c r="EW31" s="2692"/>
      <c r="EX31" s="2692"/>
      <c r="EY31" s="2692"/>
      <c r="EZ31" s="2692"/>
      <c r="FA31" s="2692"/>
      <c r="FB31" s="2692"/>
      <c r="FC31" s="2692"/>
      <c r="FD31" s="2692"/>
      <c r="FE31" s="2692"/>
      <c r="FF31" s="2692"/>
      <c r="FG31" s="2692"/>
      <c r="FH31" s="2692"/>
      <c r="FI31" s="2692"/>
      <c r="FJ31" s="2692"/>
      <c r="FK31" s="2692"/>
      <c r="FL31" s="2692"/>
      <c r="FM31" s="2692"/>
      <c r="FN31" s="2692"/>
      <c r="FO31" s="2692"/>
      <c r="FP31" s="2692"/>
      <c r="FQ31" s="2692"/>
      <c r="FR31" s="2692"/>
      <c r="FS31" s="2692"/>
      <c r="FT31" s="2692"/>
      <c r="FU31" s="2692"/>
      <c r="FV31" s="2692"/>
      <c r="FW31" s="2692"/>
      <c r="FX31" s="2692"/>
      <c r="FY31" s="2692"/>
      <c r="FZ31" s="2692"/>
      <c r="GA31" s="2692"/>
      <c r="GB31" s="2692"/>
      <c r="GC31" s="2692"/>
      <c r="GD31" s="2692"/>
      <c r="GE31" s="2692"/>
      <c r="GF31" s="2692"/>
      <c r="GG31" s="2692"/>
      <c r="GH31" s="2692"/>
      <c r="GI31" s="2692"/>
      <c r="GJ31" s="2692"/>
      <c r="GK31" s="2692"/>
      <c r="GL31" s="2692"/>
      <c r="GM31" s="2692"/>
      <c r="GN31" s="2692"/>
      <c r="GO31" s="2692"/>
      <c r="GP31" s="2692"/>
      <c r="GQ31" s="2692"/>
      <c r="GR31" s="2692"/>
      <c r="GS31" s="2692"/>
      <c r="GT31" s="2692"/>
      <c r="GU31" s="2692"/>
      <c r="GV31" s="2692"/>
      <c r="GW31" s="2692"/>
      <c r="GX31" s="2692"/>
      <c r="GY31" s="2692"/>
      <c r="GZ31" s="2692"/>
      <c r="HA31" s="2692"/>
      <c r="HB31" s="2692"/>
      <c r="HC31" s="2692"/>
      <c r="HD31" s="2692"/>
      <c r="HE31" s="2692"/>
      <c r="HF31" s="2692"/>
      <c r="HG31" s="2692"/>
      <c r="HH31" s="2692"/>
      <c r="HI31" s="2692"/>
      <c r="HJ31" s="2692"/>
      <c r="HK31" s="2692"/>
      <c r="HL31" s="2692"/>
      <c r="HM31" s="2692"/>
      <c r="HN31" s="2692"/>
      <c r="HO31" s="2692"/>
      <c r="HP31" s="2692"/>
      <c r="HQ31" s="2692"/>
      <c r="HR31" s="2692"/>
      <c r="HS31" s="2692"/>
      <c r="HT31" s="2692"/>
      <c r="HU31" s="2692"/>
      <c r="HV31" s="2692"/>
      <c r="HW31" s="2692"/>
      <c r="HX31" s="2692"/>
      <c r="HY31" s="2692"/>
      <c r="HZ31" s="2692"/>
      <c r="IA31" s="2692"/>
      <c r="IB31" s="2692"/>
      <c r="IC31" s="2692"/>
      <c r="ID31" s="2692"/>
      <c r="IE31" s="2692"/>
      <c r="IF31" s="2692"/>
      <c r="IG31" s="2692"/>
      <c r="IH31" s="2692"/>
      <c r="II31" s="2692"/>
      <c r="IJ31" s="2692"/>
      <c r="IK31" s="2692"/>
      <c r="IL31" s="2692"/>
      <c r="IM31" s="2692"/>
      <c r="IN31" s="2692"/>
      <c r="IO31" s="2692"/>
      <c r="IP31" s="2692"/>
      <c r="IQ31" s="2692"/>
      <c r="IR31" s="2692"/>
      <c r="IS31" s="2692"/>
      <c r="IT31" s="2692"/>
      <c r="IU31" s="2692"/>
      <c r="IV31" s="2692"/>
    </row>
    <row r="32" spans="1:256" s="40" customFormat="1" x14ac:dyDescent="0.35">
      <c r="A32" s="2736" t="s">
        <v>2581</v>
      </c>
      <c r="B32" s="2818"/>
      <c r="C32" s="2737" t="e">
        <f>B32/#REF!</f>
        <v>#REF!</v>
      </c>
      <c r="D32" s="2728"/>
      <c r="E32" s="2731"/>
      <c r="F32" s="2811" t="s">
        <v>2582</v>
      </c>
      <c r="G32" s="2738"/>
      <c r="H32" s="2813"/>
      <c r="I32" s="2813"/>
      <c r="J32" s="2727"/>
      <c r="K32" s="2692"/>
      <c r="L32" s="2739"/>
      <c r="M32" s="7033"/>
      <c r="N32" s="7033"/>
      <c r="O32" s="2816"/>
      <c r="P32" s="2816"/>
      <c r="Q32" s="2816"/>
      <c r="R32" s="2739"/>
      <c r="S32" s="2739"/>
      <c r="T32" s="2739"/>
      <c r="U32" s="2692"/>
      <c r="V32" s="2692"/>
      <c r="W32" s="2692"/>
      <c r="X32" s="2692"/>
      <c r="Y32" s="2692"/>
      <c r="Z32" s="2692"/>
      <c r="AA32" s="2692"/>
      <c r="AB32" s="2692"/>
      <c r="AC32" s="2692"/>
      <c r="AD32" s="2692"/>
      <c r="AE32" s="2692"/>
      <c r="AF32" s="2692"/>
      <c r="AG32" s="2692"/>
      <c r="AH32" s="2692"/>
      <c r="AI32" s="2692"/>
      <c r="AJ32" s="2692"/>
      <c r="AK32" s="2692"/>
      <c r="AL32" s="2692"/>
      <c r="AM32" s="2692"/>
      <c r="AN32" s="2692"/>
      <c r="AO32" s="2692"/>
      <c r="AP32" s="2692"/>
      <c r="AQ32" s="2692"/>
      <c r="AR32" s="2692"/>
      <c r="AS32" s="2692"/>
      <c r="AT32" s="2692"/>
      <c r="AU32" s="2692"/>
      <c r="AV32" s="2692"/>
      <c r="AW32" s="2692"/>
      <c r="AX32" s="2692"/>
      <c r="AY32" s="2692"/>
      <c r="AZ32" s="2692"/>
      <c r="BA32" s="2692"/>
      <c r="BB32" s="2692"/>
      <c r="BC32" s="2692"/>
      <c r="BD32" s="2692"/>
      <c r="BE32" s="2692"/>
      <c r="BF32" s="2692"/>
      <c r="BG32" s="2692"/>
      <c r="BH32" s="2692"/>
      <c r="BI32" s="2692"/>
      <c r="BJ32" s="2692"/>
      <c r="BK32" s="2692"/>
      <c r="BL32" s="2692"/>
      <c r="BM32" s="2692"/>
      <c r="BN32" s="2692"/>
      <c r="BO32" s="2692"/>
      <c r="BP32" s="2692"/>
      <c r="BQ32" s="2692"/>
      <c r="BR32" s="2692"/>
      <c r="BS32" s="2692"/>
      <c r="BT32" s="2692"/>
      <c r="BU32" s="2692"/>
      <c r="BV32" s="2692"/>
      <c r="BW32" s="2692"/>
      <c r="BX32" s="2692"/>
      <c r="BY32" s="2692"/>
      <c r="BZ32" s="2692"/>
      <c r="CA32" s="2692"/>
      <c r="CB32" s="2692"/>
      <c r="CC32" s="2692"/>
      <c r="CD32" s="2692"/>
      <c r="CE32" s="2692"/>
      <c r="CF32" s="2692"/>
      <c r="CG32" s="2692"/>
      <c r="CH32" s="2692"/>
      <c r="CI32" s="2692"/>
      <c r="CJ32" s="2692"/>
      <c r="CK32" s="2692"/>
      <c r="CL32" s="2692"/>
      <c r="CM32" s="2692"/>
      <c r="CN32" s="2692"/>
      <c r="CO32" s="2692"/>
      <c r="CP32" s="2692"/>
      <c r="CQ32" s="2692"/>
      <c r="CR32" s="2692"/>
      <c r="CS32" s="2692"/>
      <c r="CT32" s="2692"/>
      <c r="CU32" s="2692"/>
      <c r="CV32" s="2692"/>
      <c r="CW32" s="2692"/>
      <c r="CX32" s="2692"/>
      <c r="CY32" s="2692"/>
      <c r="CZ32" s="2692"/>
      <c r="DA32" s="2692"/>
      <c r="DB32" s="2692"/>
      <c r="DC32" s="2692"/>
      <c r="DD32" s="2692"/>
      <c r="DE32" s="2692"/>
      <c r="DF32" s="2692"/>
      <c r="DG32" s="2692"/>
      <c r="DH32" s="2692"/>
      <c r="DI32" s="2692"/>
      <c r="DJ32" s="2692"/>
      <c r="DK32" s="2692"/>
      <c r="DL32" s="2692"/>
      <c r="DM32" s="2692"/>
      <c r="DN32" s="2692"/>
      <c r="DO32" s="2692"/>
      <c r="DP32" s="2692"/>
      <c r="DQ32" s="2692"/>
      <c r="DR32" s="2692"/>
      <c r="DS32" s="2692"/>
      <c r="DT32" s="2692"/>
      <c r="DU32" s="2692"/>
      <c r="DV32" s="2692"/>
      <c r="DW32" s="2692"/>
      <c r="DX32" s="2692"/>
      <c r="DY32" s="2692"/>
      <c r="DZ32" s="2692"/>
      <c r="EA32" s="2692"/>
      <c r="EB32" s="2692"/>
      <c r="EC32" s="2692"/>
      <c r="ED32" s="2692"/>
      <c r="EE32" s="2692"/>
      <c r="EF32" s="2692"/>
      <c r="EG32" s="2692"/>
      <c r="EH32" s="2692"/>
      <c r="EI32" s="2692"/>
      <c r="EJ32" s="2692"/>
      <c r="EK32" s="2692"/>
      <c r="EL32" s="2692"/>
      <c r="EM32" s="2692"/>
      <c r="EN32" s="2692"/>
      <c r="EO32" s="2692"/>
      <c r="EP32" s="2692"/>
      <c r="EQ32" s="2692"/>
      <c r="ER32" s="2692"/>
      <c r="ES32" s="2692"/>
      <c r="ET32" s="2692"/>
      <c r="EU32" s="2692"/>
      <c r="EV32" s="2692"/>
      <c r="EW32" s="2692"/>
      <c r="EX32" s="2692"/>
      <c r="EY32" s="2692"/>
      <c r="EZ32" s="2692"/>
      <c r="FA32" s="2692"/>
      <c r="FB32" s="2692"/>
      <c r="FC32" s="2692"/>
      <c r="FD32" s="2692"/>
      <c r="FE32" s="2692"/>
      <c r="FF32" s="2692"/>
      <c r="FG32" s="2692"/>
      <c r="FH32" s="2692"/>
      <c r="FI32" s="2692"/>
      <c r="FJ32" s="2692"/>
      <c r="FK32" s="2692"/>
      <c r="FL32" s="2692"/>
      <c r="FM32" s="2692"/>
      <c r="FN32" s="2692"/>
      <c r="FO32" s="2692"/>
      <c r="FP32" s="2692"/>
      <c r="FQ32" s="2692"/>
      <c r="FR32" s="2692"/>
      <c r="FS32" s="2692"/>
      <c r="FT32" s="2692"/>
      <c r="FU32" s="2692"/>
      <c r="FV32" s="2692"/>
      <c r="FW32" s="2692"/>
      <c r="FX32" s="2692"/>
      <c r="FY32" s="2692"/>
      <c r="FZ32" s="2692"/>
      <c r="GA32" s="2692"/>
      <c r="GB32" s="2692"/>
      <c r="GC32" s="2692"/>
      <c r="GD32" s="2692"/>
      <c r="GE32" s="2692"/>
      <c r="GF32" s="2692"/>
      <c r="GG32" s="2692"/>
      <c r="GH32" s="2692"/>
      <c r="GI32" s="2692"/>
      <c r="GJ32" s="2692"/>
      <c r="GK32" s="2692"/>
      <c r="GL32" s="2692"/>
      <c r="GM32" s="2692"/>
      <c r="GN32" s="2692"/>
      <c r="GO32" s="2692"/>
      <c r="GP32" s="2692"/>
      <c r="GQ32" s="2692"/>
      <c r="GR32" s="2692"/>
      <c r="GS32" s="2692"/>
      <c r="GT32" s="2692"/>
      <c r="GU32" s="2692"/>
      <c r="GV32" s="2692"/>
      <c r="GW32" s="2692"/>
      <c r="GX32" s="2692"/>
      <c r="GY32" s="2692"/>
      <c r="GZ32" s="2692"/>
      <c r="HA32" s="2692"/>
      <c r="HB32" s="2692"/>
      <c r="HC32" s="2692"/>
      <c r="HD32" s="2692"/>
      <c r="HE32" s="2692"/>
      <c r="HF32" s="2692"/>
      <c r="HG32" s="2692"/>
      <c r="HH32" s="2692"/>
      <c r="HI32" s="2692"/>
      <c r="HJ32" s="2692"/>
      <c r="HK32" s="2692"/>
      <c r="HL32" s="2692"/>
      <c r="HM32" s="2692"/>
      <c r="HN32" s="2692"/>
      <c r="HO32" s="2692"/>
      <c r="HP32" s="2692"/>
      <c r="HQ32" s="2692"/>
      <c r="HR32" s="2692"/>
      <c r="HS32" s="2692"/>
      <c r="HT32" s="2692"/>
      <c r="HU32" s="2692"/>
      <c r="HV32" s="2692"/>
      <c r="HW32" s="2692"/>
      <c r="HX32" s="2692"/>
      <c r="HY32" s="2692"/>
      <c r="HZ32" s="2692"/>
      <c r="IA32" s="2692"/>
      <c r="IB32" s="2692"/>
      <c r="IC32" s="2692"/>
      <c r="ID32" s="2692"/>
      <c r="IE32" s="2692"/>
      <c r="IF32" s="2692"/>
      <c r="IG32" s="2692"/>
      <c r="IH32" s="2692"/>
      <c r="II32" s="2692"/>
      <c r="IJ32" s="2692"/>
      <c r="IK32" s="2692"/>
      <c r="IL32" s="2692"/>
      <c r="IM32" s="2692"/>
      <c r="IN32" s="2692"/>
      <c r="IO32" s="2692"/>
      <c r="IP32" s="2692"/>
      <c r="IQ32" s="2692"/>
      <c r="IR32" s="2692"/>
      <c r="IS32" s="2692"/>
      <c r="IT32" s="2692"/>
      <c r="IU32" s="2692"/>
      <c r="IV32" s="2692"/>
    </row>
    <row r="33" spans="1:256" s="40" customFormat="1" x14ac:dyDescent="0.35">
      <c r="A33" s="2736" t="s">
        <v>2553</v>
      </c>
      <c r="B33" s="2818"/>
      <c r="C33" s="2737" t="e">
        <f>B33/#REF!</f>
        <v>#REF!</v>
      </c>
      <c r="D33" s="2728"/>
      <c r="E33" s="2731"/>
      <c r="F33" s="2811" t="s">
        <v>2583</v>
      </c>
      <c r="G33" s="2738"/>
      <c r="H33" s="2813"/>
      <c r="I33" s="2813"/>
      <c r="J33" s="2727"/>
      <c r="K33" s="2692"/>
      <c r="L33" s="2739"/>
      <c r="M33" s="7033"/>
      <c r="N33" s="7033"/>
      <c r="O33" s="2816"/>
      <c r="P33" s="2816"/>
      <c r="Q33" s="2816"/>
      <c r="R33" s="2739"/>
      <c r="S33" s="2739"/>
      <c r="T33" s="2739"/>
      <c r="U33" s="2692"/>
      <c r="V33" s="2692"/>
      <c r="W33" s="2692"/>
      <c r="X33" s="2692"/>
      <c r="Y33" s="2692"/>
      <c r="Z33" s="2692"/>
      <c r="AA33" s="2692"/>
      <c r="AB33" s="2692"/>
      <c r="AC33" s="2692"/>
      <c r="AD33" s="2692"/>
      <c r="AE33" s="2692"/>
      <c r="AF33" s="2692"/>
      <c r="AG33" s="2692"/>
      <c r="AH33" s="2692"/>
      <c r="AI33" s="2692"/>
      <c r="AJ33" s="2692"/>
      <c r="AK33" s="2692"/>
      <c r="AL33" s="2692"/>
      <c r="AM33" s="2692"/>
      <c r="AN33" s="2692"/>
      <c r="AO33" s="2692"/>
      <c r="AP33" s="2692"/>
      <c r="AQ33" s="2692"/>
      <c r="AR33" s="2692"/>
      <c r="AS33" s="2692"/>
      <c r="AT33" s="2692"/>
      <c r="AU33" s="2692"/>
      <c r="AV33" s="2692"/>
      <c r="AW33" s="2692"/>
      <c r="AX33" s="2692"/>
      <c r="AY33" s="2692"/>
      <c r="AZ33" s="2692"/>
      <c r="BA33" s="2692"/>
      <c r="BB33" s="2692"/>
      <c r="BC33" s="2692"/>
      <c r="BD33" s="2692"/>
      <c r="BE33" s="2692"/>
      <c r="BF33" s="2692"/>
      <c r="BG33" s="2692"/>
      <c r="BH33" s="2692"/>
      <c r="BI33" s="2692"/>
      <c r="BJ33" s="2692"/>
      <c r="BK33" s="2692"/>
      <c r="BL33" s="2692"/>
      <c r="BM33" s="2692"/>
      <c r="BN33" s="2692"/>
      <c r="BO33" s="2692"/>
      <c r="BP33" s="2692"/>
      <c r="BQ33" s="2692"/>
      <c r="BR33" s="2692"/>
      <c r="BS33" s="2692"/>
      <c r="BT33" s="2692"/>
      <c r="BU33" s="2692"/>
      <c r="BV33" s="2692"/>
      <c r="BW33" s="2692"/>
      <c r="BX33" s="2692"/>
      <c r="BY33" s="2692"/>
      <c r="BZ33" s="2692"/>
      <c r="CA33" s="2692"/>
      <c r="CB33" s="2692"/>
      <c r="CC33" s="2692"/>
      <c r="CD33" s="2692"/>
      <c r="CE33" s="2692"/>
      <c r="CF33" s="2692"/>
      <c r="CG33" s="2692"/>
      <c r="CH33" s="2692"/>
      <c r="CI33" s="2692"/>
      <c r="CJ33" s="2692"/>
      <c r="CK33" s="2692"/>
      <c r="CL33" s="2692"/>
      <c r="CM33" s="2692"/>
      <c r="CN33" s="2692"/>
      <c r="CO33" s="2692"/>
      <c r="CP33" s="2692"/>
      <c r="CQ33" s="2692"/>
      <c r="CR33" s="2692"/>
      <c r="CS33" s="2692"/>
      <c r="CT33" s="2692"/>
      <c r="CU33" s="2692"/>
      <c r="CV33" s="2692"/>
      <c r="CW33" s="2692"/>
      <c r="CX33" s="2692"/>
      <c r="CY33" s="2692"/>
      <c r="CZ33" s="2692"/>
      <c r="DA33" s="2692"/>
      <c r="DB33" s="2692"/>
      <c r="DC33" s="2692"/>
      <c r="DD33" s="2692"/>
      <c r="DE33" s="2692"/>
      <c r="DF33" s="2692"/>
      <c r="DG33" s="2692"/>
      <c r="DH33" s="2692"/>
      <c r="DI33" s="2692"/>
      <c r="DJ33" s="2692"/>
      <c r="DK33" s="2692"/>
      <c r="DL33" s="2692"/>
      <c r="DM33" s="2692"/>
      <c r="DN33" s="2692"/>
      <c r="DO33" s="2692"/>
      <c r="DP33" s="2692"/>
      <c r="DQ33" s="2692"/>
      <c r="DR33" s="2692"/>
      <c r="DS33" s="2692"/>
      <c r="DT33" s="2692"/>
      <c r="DU33" s="2692"/>
      <c r="DV33" s="2692"/>
      <c r="DW33" s="2692"/>
      <c r="DX33" s="2692"/>
      <c r="DY33" s="2692"/>
      <c r="DZ33" s="2692"/>
      <c r="EA33" s="2692"/>
      <c r="EB33" s="2692"/>
      <c r="EC33" s="2692"/>
      <c r="ED33" s="2692"/>
      <c r="EE33" s="2692"/>
      <c r="EF33" s="2692"/>
      <c r="EG33" s="2692"/>
      <c r="EH33" s="2692"/>
      <c r="EI33" s="2692"/>
      <c r="EJ33" s="2692"/>
      <c r="EK33" s="2692"/>
      <c r="EL33" s="2692"/>
      <c r="EM33" s="2692"/>
      <c r="EN33" s="2692"/>
      <c r="EO33" s="2692"/>
      <c r="EP33" s="2692"/>
      <c r="EQ33" s="2692"/>
      <c r="ER33" s="2692"/>
      <c r="ES33" s="2692"/>
      <c r="ET33" s="2692"/>
      <c r="EU33" s="2692"/>
      <c r="EV33" s="2692"/>
      <c r="EW33" s="2692"/>
      <c r="EX33" s="2692"/>
      <c r="EY33" s="2692"/>
      <c r="EZ33" s="2692"/>
      <c r="FA33" s="2692"/>
      <c r="FB33" s="2692"/>
      <c r="FC33" s="2692"/>
      <c r="FD33" s="2692"/>
      <c r="FE33" s="2692"/>
      <c r="FF33" s="2692"/>
      <c r="FG33" s="2692"/>
      <c r="FH33" s="2692"/>
      <c r="FI33" s="2692"/>
      <c r="FJ33" s="2692"/>
      <c r="FK33" s="2692"/>
      <c r="FL33" s="2692"/>
      <c r="FM33" s="2692"/>
      <c r="FN33" s="2692"/>
      <c r="FO33" s="2692"/>
      <c r="FP33" s="2692"/>
      <c r="FQ33" s="2692"/>
      <c r="FR33" s="2692"/>
      <c r="FS33" s="2692"/>
      <c r="FT33" s="2692"/>
      <c r="FU33" s="2692"/>
      <c r="FV33" s="2692"/>
      <c r="FW33" s="2692"/>
      <c r="FX33" s="2692"/>
      <c r="FY33" s="2692"/>
      <c r="FZ33" s="2692"/>
      <c r="GA33" s="2692"/>
      <c r="GB33" s="2692"/>
      <c r="GC33" s="2692"/>
      <c r="GD33" s="2692"/>
      <c r="GE33" s="2692"/>
      <c r="GF33" s="2692"/>
      <c r="GG33" s="2692"/>
      <c r="GH33" s="2692"/>
      <c r="GI33" s="2692"/>
      <c r="GJ33" s="2692"/>
      <c r="GK33" s="2692"/>
      <c r="GL33" s="2692"/>
      <c r="GM33" s="2692"/>
      <c r="GN33" s="2692"/>
      <c r="GO33" s="2692"/>
      <c r="GP33" s="2692"/>
      <c r="GQ33" s="2692"/>
      <c r="GR33" s="2692"/>
      <c r="GS33" s="2692"/>
      <c r="GT33" s="2692"/>
      <c r="GU33" s="2692"/>
      <c r="GV33" s="2692"/>
      <c r="GW33" s="2692"/>
      <c r="GX33" s="2692"/>
      <c r="GY33" s="2692"/>
      <c r="GZ33" s="2692"/>
      <c r="HA33" s="2692"/>
      <c r="HB33" s="2692"/>
      <c r="HC33" s="2692"/>
      <c r="HD33" s="2692"/>
      <c r="HE33" s="2692"/>
      <c r="HF33" s="2692"/>
      <c r="HG33" s="2692"/>
      <c r="HH33" s="2692"/>
      <c r="HI33" s="2692"/>
      <c r="HJ33" s="2692"/>
      <c r="HK33" s="2692"/>
      <c r="HL33" s="2692"/>
      <c r="HM33" s="2692"/>
      <c r="HN33" s="2692"/>
      <c r="HO33" s="2692"/>
      <c r="HP33" s="2692"/>
      <c r="HQ33" s="2692"/>
      <c r="HR33" s="2692"/>
      <c r="HS33" s="2692"/>
      <c r="HT33" s="2692"/>
      <c r="HU33" s="2692"/>
      <c r="HV33" s="2692"/>
      <c r="HW33" s="2692"/>
      <c r="HX33" s="2692"/>
      <c r="HY33" s="2692"/>
      <c r="HZ33" s="2692"/>
      <c r="IA33" s="2692"/>
      <c r="IB33" s="2692"/>
      <c r="IC33" s="2692"/>
      <c r="ID33" s="2692"/>
      <c r="IE33" s="2692"/>
      <c r="IF33" s="2692"/>
      <c r="IG33" s="2692"/>
      <c r="IH33" s="2692"/>
      <c r="II33" s="2692"/>
      <c r="IJ33" s="2692"/>
      <c r="IK33" s="2692"/>
      <c r="IL33" s="2692"/>
      <c r="IM33" s="2692"/>
      <c r="IN33" s="2692"/>
      <c r="IO33" s="2692"/>
      <c r="IP33" s="2692"/>
      <c r="IQ33" s="2692"/>
      <c r="IR33" s="2692"/>
      <c r="IS33" s="2692"/>
      <c r="IT33" s="2692"/>
      <c r="IU33" s="2692"/>
      <c r="IV33" s="2692"/>
    </row>
    <row r="34" spans="1:256" s="40" customFormat="1" x14ac:dyDescent="0.35">
      <c r="A34" s="2740" t="s">
        <v>127</v>
      </c>
      <c r="B34" s="2735">
        <f>SUM(B28:B33)</f>
        <v>0</v>
      </c>
      <c r="C34" s="2741" t="e">
        <f>SUM(C28:C33)</f>
        <v>#REF!</v>
      </c>
      <c r="D34" s="2728"/>
      <c r="E34" s="2731"/>
      <c r="F34" s="2813"/>
      <c r="G34" s="2738"/>
      <c r="H34" s="2813"/>
      <c r="I34" s="2813"/>
      <c r="J34" s="2727"/>
      <c r="K34" s="2692"/>
      <c r="L34" s="2739"/>
      <c r="M34" s="2816"/>
      <c r="N34" s="2816"/>
      <c r="O34" s="2816"/>
      <c r="P34" s="2816"/>
      <c r="Q34" s="2816"/>
      <c r="R34" s="2739"/>
      <c r="S34" s="2739"/>
      <c r="T34" s="2739"/>
      <c r="U34" s="2692"/>
      <c r="V34" s="2692"/>
      <c r="W34" s="2692"/>
      <c r="X34" s="2692"/>
      <c r="Y34" s="2692"/>
      <c r="Z34" s="2692"/>
      <c r="AA34" s="2692"/>
      <c r="AB34" s="2692"/>
      <c r="AC34" s="2692"/>
      <c r="AD34" s="2692"/>
      <c r="AE34" s="2692"/>
      <c r="AF34" s="2692"/>
      <c r="AG34" s="2692"/>
      <c r="AH34" s="2692"/>
      <c r="AI34" s="2692"/>
      <c r="AJ34" s="2692"/>
      <c r="AK34" s="2692"/>
      <c r="AL34" s="2692"/>
      <c r="AM34" s="2692"/>
      <c r="AN34" s="2692"/>
      <c r="AO34" s="2692"/>
      <c r="AP34" s="2692"/>
      <c r="AQ34" s="2692"/>
      <c r="AR34" s="2692"/>
      <c r="AS34" s="2692"/>
      <c r="AT34" s="2692"/>
      <c r="AU34" s="2692"/>
      <c r="AV34" s="2692"/>
      <c r="AW34" s="2692"/>
      <c r="AX34" s="2692"/>
      <c r="AY34" s="2692"/>
      <c r="AZ34" s="2692"/>
      <c r="BA34" s="2692"/>
      <c r="BB34" s="2692"/>
      <c r="BC34" s="2692"/>
      <c r="BD34" s="2692"/>
      <c r="BE34" s="2692"/>
      <c r="BF34" s="2692"/>
      <c r="BG34" s="2692"/>
      <c r="BH34" s="2692"/>
      <c r="BI34" s="2692"/>
      <c r="BJ34" s="2692"/>
      <c r="BK34" s="2692"/>
      <c r="BL34" s="2692"/>
      <c r="BM34" s="2692"/>
      <c r="BN34" s="2692"/>
      <c r="BO34" s="2692"/>
      <c r="BP34" s="2692"/>
      <c r="BQ34" s="2692"/>
      <c r="BR34" s="2692"/>
      <c r="BS34" s="2692"/>
      <c r="BT34" s="2692"/>
      <c r="BU34" s="2692"/>
      <c r="BV34" s="2692"/>
      <c r="BW34" s="2692"/>
      <c r="BX34" s="2692"/>
      <c r="BY34" s="2692"/>
      <c r="BZ34" s="2692"/>
      <c r="CA34" s="2692"/>
      <c r="CB34" s="2692"/>
      <c r="CC34" s="2692"/>
      <c r="CD34" s="2692"/>
      <c r="CE34" s="2692"/>
      <c r="CF34" s="2692"/>
      <c r="CG34" s="2692"/>
      <c r="CH34" s="2692"/>
      <c r="CI34" s="2692"/>
      <c r="CJ34" s="2692"/>
      <c r="CK34" s="2692"/>
      <c r="CL34" s="2692"/>
      <c r="CM34" s="2692"/>
      <c r="CN34" s="2692"/>
      <c r="CO34" s="2692"/>
      <c r="CP34" s="2692"/>
      <c r="CQ34" s="2692"/>
      <c r="CR34" s="2692"/>
      <c r="CS34" s="2692"/>
      <c r="CT34" s="2692"/>
      <c r="CU34" s="2692"/>
      <c r="CV34" s="2692"/>
      <c r="CW34" s="2692"/>
      <c r="CX34" s="2692"/>
      <c r="CY34" s="2692"/>
      <c r="CZ34" s="2692"/>
      <c r="DA34" s="2692"/>
      <c r="DB34" s="2692"/>
      <c r="DC34" s="2692"/>
      <c r="DD34" s="2692"/>
      <c r="DE34" s="2692"/>
      <c r="DF34" s="2692"/>
      <c r="DG34" s="2692"/>
      <c r="DH34" s="2692"/>
      <c r="DI34" s="2692"/>
      <c r="DJ34" s="2692"/>
      <c r="DK34" s="2692"/>
      <c r="DL34" s="2692"/>
      <c r="DM34" s="2692"/>
      <c r="DN34" s="2692"/>
      <c r="DO34" s="2692"/>
      <c r="DP34" s="2692"/>
      <c r="DQ34" s="2692"/>
      <c r="DR34" s="2692"/>
      <c r="DS34" s="2692"/>
      <c r="DT34" s="2692"/>
      <c r="DU34" s="2692"/>
      <c r="DV34" s="2692"/>
      <c r="DW34" s="2692"/>
      <c r="DX34" s="2692"/>
      <c r="DY34" s="2692"/>
      <c r="DZ34" s="2692"/>
      <c r="EA34" s="2692"/>
      <c r="EB34" s="2692"/>
      <c r="EC34" s="2692"/>
      <c r="ED34" s="2692"/>
      <c r="EE34" s="2692"/>
      <c r="EF34" s="2692"/>
      <c r="EG34" s="2692"/>
      <c r="EH34" s="2692"/>
      <c r="EI34" s="2692"/>
      <c r="EJ34" s="2692"/>
      <c r="EK34" s="2692"/>
      <c r="EL34" s="2692"/>
      <c r="EM34" s="2692"/>
      <c r="EN34" s="2692"/>
      <c r="EO34" s="2692"/>
      <c r="EP34" s="2692"/>
      <c r="EQ34" s="2692"/>
      <c r="ER34" s="2692"/>
      <c r="ES34" s="2692"/>
      <c r="ET34" s="2692"/>
      <c r="EU34" s="2692"/>
      <c r="EV34" s="2692"/>
      <c r="EW34" s="2692"/>
      <c r="EX34" s="2692"/>
      <c r="EY34" s="2692"/>
      <c r="EZ34" s="2692"/>
      <c r="FA34" s="2692"/>
      <c r="FB34" s="2692"/>
      <c r="FC34" s="2692"/>
      <c r="FD34" s="2692"/>
      <c r="FE34" s="2692"/>
      <c r="FF34" s="2692"/>
      <c r="FG34" s="2692"/>
      <c r="FH34" s="2692"/>
      <c r="FI34" s="2692"/>
      <c r="FJ34" s="2692"/>
      <c r="FK34" s="2692"/>
      <c r="FL34" s="2692"/>
      <c r="FM34" s="2692"/>
      <c r="FN34" s="2692"/>
      <c r="FO34" s="2692"/>
      <c r="FP34" s="2692"/>
      <c r="FQ34" s="2692"/>
      <c r="FR34" s="2692"/>
      <c r="FS34" s="2692"/>
      <c r="FT34" s="2692"/>
      <c r="FU34" s="2692"/>
      <c r="FV34" s="2692"/>
      <c r="FW34" s="2692"/>
      <c r="FX34" s="2692"/>
      <c r="FY34" s="2692"/>
      <c r="FZ34" s="2692"/>
      <c r="GA34" s="2692"/>
      <c r="GB34" s="2692"/>
      <c r="GC34" s="2692"/>
      <c r="GD34" s="2692"/>
      <c r="GE34" s="2692"/>
      <c r="GF34" s="2692"/>
      <c r="GG34" s="2692"/>
      <c r="GH34" s="2692"/>
      <c r="GI34" s="2692"/>
      <c r="GJ34" s="2692"/>
      <c r="GK34" s="2692"/>
      <c r="GL34" s="2692"/>
      <c r="GM34" s="2692"/>
      <c r="GN34" s="2692"/>
      <c r="GO34" s="2692"/>
      <c r="GP34" s="2692"/>
      <c r="GQ34" s="2692"/>
      <c r="GR34" s="2692"/>
      <c r="GS34" s="2692"/>
      <c r="GT34" s="2692"/>
      <c r="GU34" s="2692"/>
      <c r="GV34" s="2692"/>
      <c r="GW34" s="2692"/>
      <c r="GX34" s="2692"/>
      <c r="GY34" s="2692"/>
      <c r="GZ34" s="2692"/>
      <c r="HA34" s="2692"/>
      <c r="HB34" s="2692"/>
      <c r="HC34" s="2692"/>
      <c r="HD34" s="2692"/>
      <c r="HE34" s="2692"/>
      <c r="HF34" s="2692"/>
      <c r="HG34" s="2692"/>
      <c r="HH34" s="2692"/>
      <c r="HI34" s="2692"/>
      <c r="HJ34" s="2692"/>
      <c r="HK34" s="2692"/>
      <c r="HL34" s="2692"/>
      <c r="HM34" s="2692"/>
      <c r="HN34" s="2692"/>
      <c r="HO34" s="2692"/>
      <c r="HP34" s="2692"/>
      <c r="HQ34" s="2692"/>
      <c r="HR34" s="2692"/>
      <c r="HS34" s="2692"/>
      <c r="HT34" s="2692"/>
      <c r="HU34" s="2692"/>
      <c r="HV34" s="2692"/>
      <c r="HW34" s="2692"/>
      <c r="HX34" s="2692"/>
      <c r="HY34" s="2692"/>
      <c r="HZ34" s="2692"/>
      <c r="IA34" s="2692"/>
      <c r="IB34" s="2692"/>
      <c r="IC34" s="2692"/>
      <c r="ID34" s="2692"/>
      <c r="IE34" s="2692"/>
      <c r="IF34" s="2692"/>
      <c r="IG34" s="2692"/>
      <c r="IH34" s="2692"/>
      <c r="II34" s="2692"/>
      <c r="IJ34" s="2692"/>
      <c r="IK34" s="2692"/>
      <c r="IL34" s="2692"/>
      <c r="IM34" s="2692"/>
      <c r="IN34" s="2692"/>
      <c r="IO34" s="2692"/>
      <c r="IP34" s="2692"/>
      <c r="IQ34" s="2692"/>
      <c r="IR34" s="2692"/>
      <c r="IS34" s="2692"/>
      <c r="IT34" s="2692"/>
      <c r="IU34" s="2692"/>
      <c r="IV34" s="2692"/>
    </row>
    <row r="35" spans="1:256" s="40" customFormat="1" ht="15" thickBot="1" x14ac:dyDescent="0.4">
      <c r="A35" s="2742"/>
      <c r="B35" s="2728"/>
      <c r="C35" s="2728"/>
      <c r="D35" s="2728"/>
      <c r="E35" s="2731"/>
      <c r="F35" s="2700"/>
      <c r="G35" s="2700"/>
      <c r="H35" s="2700"/>
      <c r="I35" s="2700"/>
      <c r="J35" s="2701"/>
      <c r="K35" s="2692"/>
      <c r="L35" s="2739"/>
      <c r="M35" s="2816"/>
      <c r="N35" s="2816"/>
      <c r="O35" s="2816"/>
      <c r="P35" s="2816"/>
      <c r="Q35" s="2816"/>
      <c r="R35" s="2739"/>
      <c r="S35" s="2739"/>
      <c r="T35" s="2739"/>
      <c r="U35" s="2692"/>
      <c r="V35" s="2692"/>
      <c r="W35" s="2692"/>
      <c r="X35" s="2692"/>
      <c r="Y35" s="2692"/>
      <c r="Z35" s="2692"/>
      <c r="AA35" s="2692"/>
      <c r="AB35" s="2692"/>
      <c r="AC35" s="2692"/>
      <c r="AD35" s="2692"/>
      <c r="AE35" s="2692"/>
      <c r="AF35" s="2692"/>
      <c r="AG35" s="2692"/>
      <c r="AH35" s="2692"/>
      <c r="AI35" s="2692"/>
      <c r="AJ35" s="2692"/>
      <c r="AK35" s="2692"/>
      <c r="AL35" s="2692"/>
      <c r="AM35" s="2692"/>
      <c r="AN35" s="2692"/>
      <c r="AO35" s="2692"/>
      <c r="AP35" s="2692"/>
      <c r="AQ35" s="2692"/>
      <c r="AR35" s="2692"/>
      <c r="AS35" s="2692"/>
      <c r="AT35" s="2692"/>
      <c r="AU35" s="2692"/>
      <c r="AV35" s="2692"/>
      <c r="AW35" s="2692"/>
      <c r="AX35" s="2692"/>
      <c r="AY35" s="2692"/>
      <c r="AZ35" s="2692"/>
      <c r="BA35" s="2692"/>
      <c r="BB35" s="2692"/>
      <c r="BC35" s="2692"/>
      <c r="BD35" s="2692"/>
      <c r="BE35" s="2692"/>
      <c r="BF35" s="2692"/>
      <c r="BG35" s="2692"/>
      <c r="BH35" s="2692"/>
      <c r="BI35" s="2692"/>
      <c r="BJ35" s="2692"/>
      <c r="BK35" s="2692"/>
      <c r="BL35" s="2692"/>
      <c r="BM35" s="2692"/>
      <c r="BN35" s="2692"/>
      <c r="BO35" s="2692"/>
      <c r="BP35" s="2692"/>
      <c r="BQ35" s="2692"/>
      <c r="BR35" s="2692"/>
      <c r="BS35" s="2692"/>
      <c r="BT35" s="2692"/>
      <c r="BU35" s="2692"/>
      <c r="BV35" s="2692"/>
      <c r="BW35" s="2692"/>
      <c r="BX35" s="2692"/>
      <c r="BY35" s="2692"/>
      <c r="BZ35" s="2692"/>
      <c r="CA35" s="2692"/>
      <c r="CB35" s="2692"/>
      <c r="CC35" s="2692"/>
      <c r="CD35" s="2692"/>
      <c r="CE35" s="2692"/>
      <c r="CF35" s="2692"/>
      <c r="CG35" s="2692"/>
      <c r="CH35" s="2692"/>
      <c r="CI35" s="2692"/>
      <c r="CJ35" s="2692"/>
      <c r="CK35" s="2692"/>
      <c r="CL35" s="2692"/>
      <c r="CM35" s="2692"/>
      <c r="CN35" s="2692"/>
      <c r="CO35" s="2692"/>
      <c r="CP35" s="2692"/>
      <c r="CQ35" s="2692"/>
      <c r="CR35" s="2692"/>
      <c r="CS35" s="2692"/>
      <c r="CT35" s="2692"/>
      <c r="CU35" s="2692"/>
      <c r="CV35" s="2692"/>
      <c r="CW35" s="2692"/>
      <c r="CX35" s="2692"/>
      <c r="CY35" s="2692"/>
      <c r="CZ35" s="2692"/>
      <c r="DA35" s="2692"/>
      <c r="DB35" s="2692"/>
      <c r="DC35" s="2692"/>
      <c r="DD35" s="2692"/>
      <c r="DE35" s="2692"/>
      <c r="DF35" s="2692"/>
      <c r="DG35" s="2692"/>
      <c r="DH35" s="2692"/>
      <c r="DI35" s="2692"/>
      <c r="DJ35" s="2692"/>
      <c r="DK35" s="2692"/>
      <c r="DL35" s="2692"/>
      <c r="DM35" s="2692"/>
      <c r="DN35" s="2692"/>
      <c r="DO35" s="2692"/>
      <c r="DP35" s="2692"/>
      <c r="DQ35" s="2692"/>
      <c r="DR35" s="2692"/>
      <c r="DS35" s="2692"/>
      <c r="DT35" s="2692"/>
      <c r="DU35" s="2692"/>
      <c r="DV35" s="2692"/>
      <c r="DW35" s="2692"/>
      <c r="DX35" s="2692"/>
      <c r="DY35" s="2692"/>
      <c r="DZ35" s="2692"/>
      <c r="EA35" s="2692"/>
      <c r="EB35" s="2692"/>
      <c r="EC35" s="2692"/>
      <c r="ED35" s="2692"/>
      <c r="EE35" s="2692"/>
      <c r="EF35" s="2692"/>
      <c r="EG35" s="2692"/>
      <c r="EH35" s="2692"/>
      <c r="EI35" s="2692"/>
      <c r="EJ35" s="2692"/>
      <c r="EK35" s="2692"/>
      <c r="EL35" s="2692"/>
      <c r="EM35" s="2692"/>
      <c r="EN35" s="2692"/>
      <c r="EO35" s="2692"/>
      <c r="EP35" s="2692"/>
      <c r="EQ35" s="2692"/>
      <c r="ER35" s="2692"/>
      <c r="ES35" s="2692"/>
      <c r="ET35" s="2692"/>
      <c r="EU35" s="2692"/>
      <c r="EV35" s="2692"/>
      <c r="EW35" s="2692"/>
      <c r="EX35" s="2692"/>
      <c r="EY35" s="2692"/>
      <c r="EZ35" s="2692"/>
      <c r="FA35" s="2692"/>
      <c r="FB35" s="2692"/>
      <c r="FC35" s="2692"/>
      <c r="FD35" s="2692"/>
      <c r="FE35" s="2692"/>
      <c r="FF35" s="2692"/>
      <c r="FG35" s="2692"/>
      <c r="FH35" s="2692"/>
      <c r="FI35" s="2692"/>
      <c r="FJ35" s="2692"/>
      <c r="FK35" s="2692"/>
      <c r="FL35" s="2692"/>
      <c r="FM35" s="2692"/>
      <c r="FN35" s="2692"/>
      <c r="FO35" s="2692"/>
      <c r="FP35" s="2692"/>
      <c r="FQ35" s="2692"/>
      <c r="FR35" s="2692"/>
      <c r="FS35" s="2692"/>
      <c r="FT35" s="2692"/>
      <c r="FU35" s="2692"/>
      <c r="FV35" s="2692"/>
      <c r="FW35" s="2692"/>
      <c r="FX35" s="2692"/>
      <c r="FY35" s="2692"/>
      <c r="FZ35" s="2692"/>
      <c r="GA35" s="2692"/>
      <c r="GB35" s="2692"/>
      <c r="GC35" s="2692"/>
      <c r="GD35" s="2692"/>
      <c r="GE35" s="2692"/>
      <c r="GF35" s="2692"/>
      <c r="GG35" s="2692"/>
      <c r="GH35" s="2692"/>
      <c r="GI35" s="2692"/>
      <c r="GJ35" s="2692"/>
      <c r="GK35" s="2692"/>
      <c r="GL35" s="2692"/>
      <c r="GM35" s="2692"/>
      <c r="GN35" s="2692"/>
      <c r="GO35" s="2692"/>
      <c r="GP35" s="2692"/>
      <c r="GQ35" s="2692"/>
      <c r="GR35" s="2692"/>
      <c r="GS35" s="2692"/>
      <c r="GT35" s="2692"/>
      <c r="GU35" s="2692"/>
      <c r="GV35" s="2692"/>
      <c r="GW35" s="2692"/>
      <c r="GX35" s="2692"/>
      <c r="GY35" s="2692"/>
      <c r="GZ35" s="2692"/>
      <c r="HA35" s="2692"/>
      <c r="HB35" s="2692"/>
      <c r="HC35" s="2692"/>
      <c r="HD35" s="2692"/>
      <c r="HE35" s="2692"/>
      <c r="HF35" s="2692"/>
      <c r="HG35" s="2692"/>
      <c r="HH35" s="2692"/>
      <c r="HI35" s="2692"/>
      <c r="HJ35" s="2692"/>
      <c r="HK35" s="2692"/>
      <c r="HL35" s="2692"/>
      <c r="HM35" s="2692"/>
      <c r="HN35" s="2692"/>
      <c r="HO35" s="2692"/>
      <c r="HP35" s="2692"/>
      <c r="HQ35" s="2692"/>
      <c r="HR35" s="2692"/>
      <c r="HS35" s="2692"/>
      <c r="HT35" s="2692"/>
      <c r="HU35" s="2692"/>
      <c r="HV35" s="2692"/>
      <c r="HW35" s="2692"/>
      <c r="HX35" s="2692"/>
      <c r="HY35" s="2692"/>
      <c r="HZ35" s="2692"/>
      <c r="IA35" s="2692"/>
      <c r="IB35" s="2692"/>
      <c r="IC35" s="2692"/>
      <c r="ID35" s="2692"/>
      <c r="IE35" s="2692"/>
      <c r="IF35" s="2692"/>
      <c r="IG35" s="2692"/>
      <c r="IH35" s="2692"/>
      <c r="II35" s="2692"/>
      <c r="IJ35" s="2692"/>
      <c r="IK35" s="2692"/>
      <c r="IL35" s="2692"/>
      <c r="IM35" s="2692"/>
      <c r="IN35" s="2692"/>
      <c r="IO35" s="2692"/>
      <c r="IP35" s="2692"/>
      <c r="IQ35" s="2692"/>
      <c r="IR35" s="2692"/>
      <c r="IS35" s="2692"/>
      <c r="IT35" s="2692"/>
      <c r="IU35" s="2692"/>
      <c r="IV35" s="2692"/>
    </row>
    <row r="36" spans="1:256" s="40" customFormat="1" ht="13.5" thickTop="1" x14ac:dyDescent="0.3">
      <c r="A36" s="2697"/>
      <c r="B36" s="3362" t="s">
        <v>2608</v>
      </c>
      <c r="C36" s="3362"/>
      <c r="D36" s="3362"/>
      <c r="E36" s="2698"/>
      <c r="F36" s="2699"/>
      <c r="G36" s="3362" t="s">
        <v>2607</v>
      </c>
      <c r="H36" s="3362"/>
      <c r="I36" s="3362"/>
      <c r="J36" s="2698"/>
      <c r="K36" s="2692"/>
      <c r="L36" s="2739"/>
      <c r="M36" s="2739"/>
      <c r="N36" s="2739"/>
      <c r="O36" s="2739"/>
      <c r="P36" s="2739"/>
      <c r="Q36" s="2739"/>
      <c r="R36" s="2739"/>
      <c r="S36" s="2739"/>
      <c r="T36" s="2739"/>
      <c r="U36" s="2692"/>
      <c r="V36" s="2692"/>
      <c r="W36" s="2692"/>
      <c r="X36" s="2692"/>
      <c r="Y36" s="2692"/>
      <c r="Z36" s="2692"/>
      <c r="AA36" s="2692"/>
      <c r="AB36" s="2692"/>
      <c r="AC36" s="2692"/>
      <c r="AD36" s="2692"/>
      <c r="AE36" s="2692"/>
      <c r="AF36" s="2692"/>
      <c r="AG36" s="2692"/>
      <c r="AH36" s="2692"/>
      <c r="AI36" s="2692"/>
      <c r="AJ36" s="2692"/>
      <c r="AK36" s="2692"/>
      <c r="AL36" s="2692"/>
      <c r="AM36" s="2692"/>
      <c r="AN36" s="2692"/>
      <c r="AO36" s="2692"/>
      <c r="AP36" s="2692"/>
      <c r="AQ36" s="2692"/>
      <c r="AR36" s="2692"/>
      <c r="AS36" s="2692"/>
      <c r="AT36" s="2692"/>
      <c r="AU36" s="2692"/>
      <c r="AV36" s="2692"/>
      <c r="AW36" s="2692"/>
      <c r="AX36" s="2692"/>
      <c r="AY36" s="2692"/>
      <c r="AZ36" s="2692"/>
      <c r="BA36" s="2692"/>
      <c r="BB36" s="2692"/>
      <c r="BC36" s="2692"/>
      <c r="BD36" s="2692"/>
      <c r="BE36" s="2692"/>
      <c r="BF36" s="2692"/>
      <c r="BG36" s="2692"/>
      <c r="BH36" s="2692"/>
      <c r="BI36" s="2692"/>
      <c r="BJ36" s="2692"/>
      <c r="BK36" s="2692"/>
      <c r="BL36" s="2692"/>
      <c r="BM36" s="2692"/>
      <c r="BN36" s="2692"/>
      <c r="BO36" s="2692"/>
      <c r="BP36" s="2692"/>
      <c r="BQ36" s="2692"/>
      <c r="BR36" s="2692"/>
      <c r="BS36" s="2692"/>
      <c r="BT36" s="2692"/>
      <c r="BU36" s="2692"/>
      <c r="BV36" s="2692"/>
      <c r="BW36" s="2692"/>
      <c r="BX36" s="2692"/>
      <c r="BY36" s="2692"/>
      <c r="BZ36" s="2692"/>
      <c r="CA36" s="2692"/>
      <c r="CB36" s="2692"/>
      <c r="CC36" s="2692"/>
      <c r="CD36" s="2692"/>
      <c r="CE36" s="2692"/>
      <c r="CF36" s="2692"/>
      <c r="CG36" s="2692"/>
      <c r="CH36" s="2692"/>
      <c r="CI36" s="2692"/>
      <c r="CJ36" s="2692"/>
      <c r="CK36" s="2692"/>
      <c r="CL36" s="2692"/>
      <c r="CM36" s="2692"/>
      <c r="CN36" s="2692"/>
      <c r="CO36" s="2692"/>
      <c r="CP36" s="2692"/>
      <c r="CQ36" s="2692"/>
      <c r="CR36" s="2692"/>
      <c r="CS36" s="2692"/>
      <c r="CT36" s="2692"/>
      <c r="CU36" s="2692"/>
      <c r="CV36" s="2692"/>
      <c r="CW36" s="2692"/>
      <c r="CX36" s="2692"/>
      <c r="CY36" s="2692"/>
      <c r="CZ36" s="2692"/>
      <c r="DA36" s="2692"/>
      <c r="DB36" s="2692"/>
      <c r="DC36" s="2692"/>
      <c r="DD36" s="2692"/>
      <c r="DE36" s="2692"/>
      <c r="DF36" s="2692"/>
      <c r="DG36" s="2692"/>
      <c r="DH36" s="2692"/>
      <c r="DI36" s="2692"/>
      <c r="DJ36" s="2692"/>
      <c r="DK36" s="2692"/>
      <c r="DL36" s="2692"/>
      <c r="DM36" s="2692"/>
      <c r="DN36" s="2692"/>
      <c r="DO36" s="2692"/>
      <c r="DP36" s="2692"/>
      <c r="DQ36" s="2692"/>
      <c r="DR36" s="2692"/>
      <c r="DS36" s="2692"/>
      <c r="DT36" s="2692"/>
      <c r="DU36" s="2692"/>
      <c r="DV36" s="2692"/>
      <c r="DW36" s="2692"/>
      <c r="DX36" s="2692"/>
      <c r="DY36" s="2692"/>
      <c r="DZ36" s="2692"/>
      <c r="EA36" s="2692"/>
      <c r="EB36" s="2692"/>
      <c r="EC36" s="2692"/>
      <c r="ED36" s="2692"/>
      <c r="EE36" s="2692"/>
      <c r="EF36" s="2692"/>
      <c r="EG36" s="2692"/>
      <c r="EH36" s="2692"/>
      <c r="EI36" s="2692"/>
      <c r="EJ36" s="2692"/>
      <c r="EK36" s="2692"/>
      <c r="EL36" s="2692"/>
      <c r="EM36" s="2692"/>
      <c r="EN36" s="2692"/>
      <c r="EO36" s="2692"/>
      <c r="EP36" s="2692"/>
      <c r="EQ36" s="2692"/>
      <c r="ER36" s="2692"/>
      <c r="ES36" s="2692"/>
      <c r="ET36" s="2692"/>
      <c r="EU36" s="2692"/>
      <c r="EV36" s="2692"/>
      <c r="EW36" s="2692"/>
      <c r="EX36" s="2692"/>
      <c r="EY36" s="2692"/>
      <c r="EZ36" s="2692"/>
      <c r="FA36" s="2692"/>
      <c r="FB36" s="2692"/>
      <c r="FC36" s="2692"/>
      <c r="FD36" s="2692"/>
      <c r="FE36" s="2692"/>
      <c r="FF36" s="2692"/>
      <c r="FG36" s="2692"/>
      <c r="FH36" s="2692"/>
      <c r="FI36" s="2692"/>
      <c r="FJ36" s="2692"/>
      <c r="FK36" s="2692"/>
      <c r="FL36" s="2692"/>
      <c r="FM36" s="2692"/>
      <c r="FN36" s="2692"/>
      <c r="FO36" s="2692"/>
      <c r="FP36" s="2692"/>
      <c r="FQ36" s="2692"/>
      <c r="FR36" s="2692"/>
      <c r="FS36" s="2692"/>
      <c r="FT36" s="2692"/>
      <c r="FU36" s="2692"/>
      <c r="FV36" s="2692"/>
      <c r="FW36" s="2692"/>
      <c r="FX36" s="2692"/>
      <c r="FY36" s="2692"/>
      <c r="FZ36" s="2692"/>
      <c r="GA36" s="2692"/>
      <c r="GB36" s="2692"/>
      <c r="GC36" s="2692"/>
      <c r="GD36" s="2692"/>
      <c r="GE36" s="2692"/>
      <c r="GF36" s="2692"/>
      <c r="GG36" s="2692"/>
      <c r="GH36" s="2692"/>
      <c r="GI36" s="2692"/>
      <c r="GJ36" s="2692"/>
      <c r="GK36" s="2692"/>
      <c r="GL36" s="2692"/>
      <c r="GM36" s="2692"/>
      <c r="GN36" s="2692"/>
      <c r="GO36" s="2692"/>
      <c r="GP36" s="2692"/>
      <c r="GQ36" s="2692"/>
      <c r="GR36" s="2692"/>
      <c r="GS36" s="2692"/>
      <c r="GT36" s="2692"/>
      <c r="GU36" s="2692"/>
      <c r="GV36" s="2692"/>
      <c r="GW36" s="2692"/>
      <c r="GX36" s="2692"/>
      <c r="GY36" s="2692"/>
      <c r="GZ36" s="2692"/>
      <c r="HA36" s="2692"/>
      <c r="HB36" s="2692"/>
      <c r="HC36" s="2692"/>
      <c r="HD36" s="2692"/>
      <c r="HE36" s="2692"/>
      <c r="HF36" s="2692"/>
      <c r="HG36" s="2692"/>
      <c r="HH36" s="2692"/>
      <c r="HI36" s="2692"/>
      <c r="HJ36" s="2692"/>
      <c r="HK36" s="2692"/>
      <c r="HL36" s="2692"/>
      <c r="HM36" s="2692"/>
      <c r="HN36" s="2692"/>
      <c r="HO36" s="2692"/>
      <c r="HP36" s="2692"/>
      <c r="HQ36" s="2692"/>
      <c r="HR36" s="2692"/>
      <c r="HS36" s="2692"/>
      <c r="HT36" s="2692"/>
      <c r="HU36" s="2692"/>
      <c r="HV36" s="2692"/>
      <c r="HW36" s="2692"/>
      <c r="HX36" s="2692"/>
      <c r="HY36" s="2692"/>
      <c r="HZ36" s="2692"/>
      <c r="IA36" s="2692"/>
      <c r="IB36" s="2692"/>
      <c r="IC36" s="2692"/>
      <c r="ID36" s="2692"/>
      <c r="IE36" s="2692"/>
      <c r="IF36" s="2692"/>
      <c r="IG36" s="2692"/>
      <c r="IH36" s="2692"/>
      <c r="II36" s="2692"/>
      <c r="IJ36" s="2692"/>
      <c r="IK36" s="2692"/>
      <c r="IL36" s="2692"/>
      <c r="IM36" s="2692"/>
      <c r="IN36" s="2692"/>
      <c r="IO36" s="2692"/>
      <c r="IP36" s="2692"/>
      <c r="IQ36" s="2692"/>
      <c r="IR36" s="2692"/>
      <c r="IS36" s="2692"/>
      <c r="IT36" s="2692"/>
      <c r="IU36" s="2692"/>
      <c r="IV36" s="2692"/>
    </row>
    <row r="37" spans="1:256" s="40" customFormat="1" ht="15" customHeight="1" x14ac:dyDescent="0.35">
      <c r="A37" s="2757" t="s">
        <v>2609</v>
      </c>
      <c r="B37" s="2758"/>
      <c r="C37" s="2758"/>
      <c r="D37" s="2758"/>
      <c r="E37" s="2759"/>
      <c r="F37" s="2745" t="s">
        <v>2610</v>
      </c>
      <c r="G37" s="2745"/>
      <c r="H37" s="3374"/>
      <c r="I37" s="3374"/>
      <c r="J37" s="3375"/>
      <c r="K37" s="2692"/>
      <c r="L37" s="2739"/>
      <c r="M37" s="2739"/>
      <c r="N37" s="2739"/>
      <c r="O37" s="2739"/>
      <c r="P37" s="2739"/>
      <c r="Q37" s="2739"/>
      <c r="R37" s="2739"/>
      <c r="S37" s="2739"/>
      <c r="T37" s="2739"/>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692"/>
      <c r="AP37" s="2692"/>
      <c r="AQ37" s="2692"/>
      <c r="AR37" s="2692"/>
      <c r="AS37" s="2692"/>
      <c r="AT37" s="2692"/>
      <c r="AU37" s="2692"/>
      <c r="AV37" s="2692"/>
      <c r="AW37" s="2692"/>
      <c r="AX37" s="2692"/>
      <c r="AY37" s="2692"/>
      <c r="AZ37" s="2692"/>
      <c r="BA37" s="2692"/>
      <c r="BB37" s="2692"/>
      <c r="BC37" s="2692"/>
      <c r="BD37" s="2692"/>
      <c r="BE37" s="2692"/>
      <c r="BF37" s="2692"/>
      <c r="BG37" s="2692"/>
      <c r="BH37" s="2692"/>
      <c r="BI37" s="2692"/>
      <c r="BJ37" s="2692"/>
      <c r="BK37" s="2692"/>
      <c r="BL37" s="2692"/>
      <c r="BM37" s="2692"/>
      <c r="BN37" s="2692"/>
      <c r="BO37" s="2692"/>
      <c r="BP37" s="2692"/>
      <c r="BQ37" s="2692"/>
      <c r="BR37" s="2692"/>
      <c r="BS37" s="2692"/>
      <c r="BT37" s="2692"/>
      <c r="BU37" s="2692"/>
      <c r="BV37" s="2692"/>
      <c r="BW37" s="2692"/>
      <c r="BX37" s="2692"/>
      <c r="BY37" s="2692"/>
      <c r="BZ37" s="2692"/>
      <c r="CA37" s="2692"/>
      <c r="CB37" s="2692"/>
      <c r="CC37" s="2692"/>
      <c r="CD37" s="2692"/>
      <c r="CE37" s="2692"/>
      <c r="CF37" s="2692"/>
      <c r="CG37" s="2692"/>
      <c r="CH37" s="2692"/>
      <c r="CI37" s="2692"/>
      <c r="CJ37" s="2692"/>
      <c r="CK37" s="2692"/>
      <c r="CL37" s="2692"/>
      <c r="CM37" s="2692"/>
      <c r="CN37" s="2692"/>
      <c r="CO37" s="2692"/>
      <c r="CP37" s="2692"/>
      <c r="CQ37" s="2692"/>
      <c r="CR37" s="2692"/>
      <c r="CS37" s="2692"/>
      <c r="CT37" s="2692"/>
      <c r="CU37" s="2692"/>
      <c r="CV37" s="2692"/>
      <c r="CW37" s="2692"/>
      <c r="CX37" s="2692"/>
      <c r="CY37" s="2692"/>
      <c r="CZ37" s="2692"/>
      <c r="DA37" s="2692"/>
      <c r="DB37" s="2692"/>
      <c r="DC37" s="2692"/>
      <c r="DD37" s="2692"/>
      <c r="DE37" s="2692"/>
      <c r="DF37" s="2692"/>
      <c r="DG37" s="2692"/>
      <c r="DH37" s="2692"/>
      <c r="DI37" s="2692"/>
      <c r="DJ37" s="2692"/>
      <c r="DK37" s="2692"/>
      <c r="DL37" s="2692"/>
      <c r="DM37" s="2692"/>
      <c r="DN37" s="2692"/>
      <c r="DO37" s="2692"/>
      <c r="DP37" s="2692"/>
      <c r="DQ37" s="2692"/>
      <c r="DR37" s="2692"/>
      <c r="DS37" s="2692"/>
      <c r="DT37" s="2692"/>
      <c r="DU37" s="2692"/>
      <c r="DV37" s="2692"/>
      <c r="DW37" s="2692"/>
      <c r="DX37" s="2692"/>
      <c r="DY37" s="2692"/>
      <c r="DZ37" s="2692"/>
      <c r="EA37" s="2692"/>
      <c r="EB37" s="2692"/>
      <c r="EC37" s="2692"/>
      <c r="ED37" s="2692"/>
      <c r="EE37" s="2692"/>
      <c r="EF37" s="2692"/>
      <c r="EG37" s="2692"/>
      <c r="EH37" s="2692"/>
      <c r="EI37" s="2692"/>
      <c r="EJ37" s="2692"/>
      <c r="EK37" s="2692"/>
      <c r="EL37" s="2692"/>
      <c r="EM37" s="2692"/>
      <c r="EN37" s="2692"/>
      <c r="EO37" s="2692"/>
      <c r="EP37" s="2692"/>
      <c r="EQ37" s="2692"/>
      <c r="ER37" s="2692"/>
      <c r="ES37" s="2692"/>
      <c r="ET37" s="2692"/>
      <c r="EU37" s="2692"/>
      <c r="EV37" s="2692"/>
      <c r="EW37" s="2692"/>
      <c r="EX37" s="2692"/>
      <c r="EY37" s="2692"/>
      <c r="EZ37" s="2692"/>
      <c r="FA37" s="2692"/>
      <c r="FB37" s="2692"/>
      <c r="FC37" s="2692"/>
      <c r="FD37" s="2692"/>
      <c r="FE37" s="2692"/>
      <c r="FF37" s="2692"/>
      <c r="FG37" s="2692"/>
      <c r="FH37" s="2692"/>
      <c r="FI37" s="2692"/>
      <c r="FJ37" s="2692"/>
      <c r="FK37" s="2692"/>
      <c r="FL37" s="2692"/>
      <c r="FM37" s="2692"/>
      <c r="FN37" s="2692"/>
      <c r="FO37" s="2692"/>
      <c r="FP37" s="2692"/>
      <c r="FQ37" s="2692"/>
      <c r="FR37" s="2692"/>
      <c r="FS37" s="2692"/>
      <c r="FT37" s="2692"/>
      <c r="FU37" s="2692"/>
      <c r="FV37" s="2692"/>
      <c r="FW37" s="2692"/>
      <c r="FX37" s="2692"/>
      <c r="FY37" s="2692"/>
      <c r="FZ37" s="2692"/>
      <c r="GA37" s="2692"/>
      <c r="GB37" s="2692"/>
      <c r="GC37" s="2692"/>
      <c r="GD37" s="2692"/>
      <c r="GE37" s="2692"/>
      <c r="GF37" s="2692"/>
      <c r="GG37" s="2692"/>
      <c r="GH37" s="2692"/>
      <c r="GI37" s="2692"/>
      <c r="GJ37" s="2692"/>
      <c r="GK37" s="2692"/>
      <c r="GL37" s="2692"/>
      <c r="GM37" s="2692"/>
      <c r="GN37" s="2692"/>
      <c r="GO37" s="2692"/>
      <c r="GP37" s="2692"/>
      <c r="GQ37" s="2692"/>
      <c r="GR37" s="2692"/>
      <c r="GS37" s="2692"/>
      <c r="GT37" s="2692"/>
      <c r="GU37" s="2692"/>
      <c r="GV37" s="2692"/>
      <c r="GW37" s="2692"/>
      <c r="GX37" s="2692"/>
      <c r="GY37" s="2692"/>
      <c r="GZ37" s="2692"/>
      <c r="HA37" s="2692"/>
      <c r="HB37" s="2692"/>
      <c r="HC37" s="2692"/>
      <c r="HD37" s="2692"/>
      <c r="HE37" s="2692"/>
      <c r="HF37" s="2692"/>
      <c r="HG37" s="2692"/>
      <c r="HH37" s="2692"/>
      <c r="HI37" s="2692"/>
      <c r="HJ37" s="2692"/>
      <c r="HK37" s="2692"/>
      <c r="HL37" s="2692"/>
      <c r="HM37" s="2692"/>
      <c r="HN37" s="2692"/>
      <c r="HO37" s="2692"/>
      <c r="HP37" s="2692"/>
      <c r="HQ37" s="2692"/>
      <c r="HR37" s="2692"/>
      <c r="HS37" s="2692"/>
      <c r="HT37" s="2692"/>
      <c r="HU37" s="2692"/>
      <c r="HV37" s="2692"/>
      <c r="HW37" s="2692"/>
      <c r="HX37" s="2692"/>
      <c r="HY37" s="2692"/>
      <c r="HZ37" s="2692"/>
      <c r="IA37" s="2692"/>
      <c r="IB37" s="2692"/>
      <c r="IC37" s="2692"/>
      <c r="ID37" s="2692"/>
      <c r="IE37" s="2692"/>
      <c r="IF37" s="2692"/>
      <c r="IG37" s="2692"/>
      <c r="IH37" s="2692"/>
      <c r="II37" s="2692"/>
      <c r="IJ37" s="2692"/>
      <c r="IK37" s="2692"/>
      <c r="IL37" s="2692"/>
      <c r="IM37" s="2692"/>
      <c r="IN37" s="2692"/>
      <c r="IO37" s="2692"/>
      <c r="IP37" s="2692"/>
      <c r="IQ37" s="2692"/>
      <c r="IR37" s="2692"/>
      <c r="IS37" s="2692"/>
      <c r="IT37" s="2692"/>
      <c r="IU37" s="2692"/>
      <c r="IV37" s="2692"/>
    </row>
    <row r="38" spans="1:256" s="40" customFormat="1" ht="15" customHeight="1" x14ac:dyDescent="0.35">
      <c r="A38" s="7016" t="s">
        <v>2611</v>
      </c>
      <c r="B38" s="7017"/>
      <c r="C38" s="2738"/>
      <c r="D38" s="2813"/>
      <c r="E38" s="2814"/>
      <c r="F38" s="2745" t="s">
        <v>2612</v>
      </c>
      <c r="G38" s="2745"/>
      <c r="H38" s="2760"/>
      <c r="I38" s="2745" t="s">
        <v>2613</v>
      </c>
      <c r="J38" s="2761"/>
      <c r="K38" s="2692"/>
      <c r="L38" s="2739"/>
      <c r="M38" s="2739"/>
      <c r="N38" s="2739"/>
      <c r="O38" s="2739"/>
      <c r="P38" s="2739"/>
      <c r="Q38" s="2739"/>
      <c r="R38" s="2739"/>
      <c r="S38" s="2739"/>
      <c r="T38" s="2739"/>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692"/>
      <c r="AP38" s="2692"/>
      <c r="AQ38" s="2692"/>
      <c r="AR38" s="2692"/>
      <c r="AS38" s="2692"/>
      <c r="AT38" s="2692"/>
      <c r="AU38" s="2692"/>
      <c r="AV38" s="2692"/>
      <c r="AW38" s="2692"/>
      <c r="AX38" s="2692"/>
      <c r="AY38" s="2692"/>
      <c r="AZ38" s="2692"/>
      <c r="BA38" s="2692"/>
      <c r="BB38" s="2692"/>
      <c r="BC38" s="2692"/>
      <c r="BD38" s="2692"/>
      <c r="BE38" s="2692"/>
      <c r="BF38" s="2692"/>
      <c r="BG38" s="2692"/>
      <c r="BH38" s="2692"/>
      <c r="BI38" s="2692"/>
      <c r="BJ38" s="2692"/>
      <c r="BK38" s="2692"/>
      <c r="BL38" s="2692"/>
      <c r="BM38" s="2692"/>
      <c r="BN38" s="2692"/>
      <c r="BO38" s="2692"/>
      <c r="BP38" s="2692"/>
      <c r="BQ38" s="2692"/>
      <c r="BR38" s="2692"/>
      <c r="BS38" s="2692"/>
      <c r="BT38" s="2692"/>
      <c r="BU38" s="2692"/>
      <c r="BV38" s="2692"/>
      <c r="BW38" s="2692"/>
      <c r="BX38" s="2692"/>
      <c r="BY38" s="2692"/>
      <c r="BZ38" s="2692"/>
      <c r="CA38" s="2692"/>
      <c r="CB38" s="2692"/>
      <c r="CC38" s="2692"/>
      <c r="CD38" s="2692"/>
      <c r="CE38" s="2692"/>
      <c r="CF38" s="2692"/>
      <c r="CG38" s="2692"/>
      <c r="CH38" s="2692"/>
      <c r="CI38" s="2692"/>
      <c r="CJ38" s="2692"/>
      <c r="CK38" s="2692"/>
      <c r="CL38" s="2692"/>
      <c r="CM38" s="2692"/>
      <c r="CN38" s="2692"/>
      <c r="CO38" s="2692"/>
      <c r="CP38" s="2692"/>
      <c r="CQ38" s="2692"/>
      <c r="CR38" s="2692"/>
      <c r="CS38" s="2692"/>
      <c r="CT38" s="2692"/>
      <c r="CU38" s="2692"/>
      <c r="CV38" s="2692"/>
      <c r="CW38" s="2692"/>
      <c r="CX38" s="2692"/>
      <c r="CY38" s="2692"/>
      <c r="CZ38" s="2692"/>
      <c r="DA38" s="2692"/>
      <c r="DB38" s="2692"/>
      <c r="DC38" s="2692"/>
      <c r="DD38" s="2692"/>
      <c r="DE38" s="2692"/>
      <c r="DF38" s="2692"/>
      <c r="DG38" s="2692"/>
      <c r="DH38" s="2692"/>
      <c r="DI38" s="2692"/>
      <c r="DJ38" s="2692"/>
      <c r="DK38" s="2692"/>
      <c r="DL38" s="2692"/>
      <c r="DM38" s="2692"/>
      <c r="DN38" s="2692"/>
      <c r="DO38" s="2692"/>
      <c r="DP38" s="2692"/>
      <c r="DQ38" s="2692"/>
      <c r="DR38" s="2692"/>
      <c r="DS38" s="2692"/>
      <c r="DT38" s="2692"/>
      <c r="DU38" s="2692"/>
      <c r="DV38" s="2692"/>
      <c r="DW38" s="2692"/>
      <c r="DX38" s="2692"/>
      <c r="DY38" s="2692"/>
      <c r="DZ38" s="2692"/>
      <c r="EA38" s="2692"/>
      <c r="EB38" s="2692"/>
      <c r="EC38" s="2692"/>
      <c r="ED38" s="2692"/>
      <c r="EE38" s="2692"/>
      <c r="EF38" s="2692"/>
      <c r="EG38" s="2692"/>
      <c r="EH38" s="2692"/>
      <c r="EI38" s="2692"/>
      <c r="EJ38" s="2692"/>
      <c r="EK38" s="2692"/>
      <c r="EL38" s="2692"/>
      <c r="EM38" s="2692"/>
      <c r="EN38" s="2692"/>
      <c r="EO38" s="2692"/>
      <c r="EP38" s="2692"/>
      <c r="EQ38" s="2692"/>
      <c r="ER38" s="2692"/>
      <c r="ES38" s="2692"/>
      <c r="ET38" s="2692"/>
      <c r="EU38" s="2692"/>
      <c r="EV38" s="2692"/>
      <c r="EW38" s="2692"/>
      <c r="EX38" s="2692"/>
      <c r="EY38" s="2692"/>
      <c r="EZ38" s="2692"/>
      <c r="FA38" s="2692"/>
      <c r="FB38" s="2692"/>
      <c r="FC38" s="2692"/>
      <c r="FD38" s="2692"/>
      <c r="FE38" s="2692"/>
      <c r="FF38" s="2692"/>
      <c r="FG38" s="2692"/>
      <c r="FH38" s="2692"/>
      <c r="FI38" s="2692"/>
      <c r="FJ38" s="2692"/>
      <c r="FK38" s="2692"/>
      <c r="FL38" s="2692"/>
      <c r="FM38" s="2692"/>
      <c r="FN38" s="2692"/>
      <c r="FO38" s="2692"/>
      <c r="FP38" s="2692"/>
      <c r="FQ38" s="2692"/>
      <c r="FR38" s="2692"/>
      <c r="FS38" s="2692"/>
      <c r="FT38" s="2692"/>
      <c r="FU38" s="2692"/>
      <c r="FV38" s="2692"/>
      <c r="FW38" s="2692"/>
      <c r="FX38" s="2692"/>
      <c r="FY38" s="2692"/>
      <c r="FZ38" s="2692"/>
      <c r="GA38" s="2692"/>
      <c r="GB38" s="2692"/>
      <c r="GC38" s="2692"/>
      <c r="GD38" s="2692"/>
      <c r="GE38" s="2692"/>
      <c r="GF38" s="2692"/>
      <c r="GG38" s="2692"/>
      <c r="GH38" s="2692"/>
      <c r="GI38" s="2692"/>
      <c r="GJ38" s="2692"/>
      <c r="GK38" s="2692"/>
      <c r="GL38" s="2692"/>
      <c r="GM38" s="2692"/>
      <c r="GN38" s="2692"/>
      <c r="GO38" s="2692"/>
      <c r="GP38" s="2692"/>
      <c r="GQ38" s="2692"/>
      <c r="GR38" s="2692"/>
      <c r="GS38" s="2692"/>
      <c r="GT38" s="2692"/>
      <c r="GU38" s="2692"/>
      <c r="GV38" s="2692"/>
      <c r="GW38" s="2692"/>
      <c r="GX38" s="2692"/>
      <c r="GY38" s="2692"/>
      <c r="GZ38" s="2692"/>
      <c r="HA38" s="2692"/>
      <c r="HB38" s="2692"/>
      <c r="HC38" s="2692"/>
      <c r="HD38" s="2692"/>
      <c r="HE38" s="2692"/>
      <c r="HF38" s="2692"/>
      <c r="HG38" s="2692"/>
      <c r="HH38" s="2692"/>
      <c r="HI38" s="2692"/>
      <c r="HJ38" s="2692"/>
      <c r="HK38" s="2692"/>
      <c r="HL38" s="2692"/>
      <c r="HM38" s="2692"/>
      <c r="HN38" s="2692"/>
      <c r="HO38" s="2692"/>
      <c r="HP38" s="2692"/>
      <c r="HQ38" s="2692"/>
      <c r="HR38" s="2692"/>
      <c r="HS38" s="2692"/>
      <c r="HT38" s="2692"/>
      <c r="HU38" s="2692"/>
      <c r="HV38" s="2692"/>
      <c r="HW38" s="2692"/>
      <c r="HX38" s="2692"/>
      <c r="HY38" s="2692"/>
      <c r="HZ38" s="2692"/>
      <c r="IA38" s="2692"/>
      <c r="IB38" s="2692"/>
      <c r="IC38" s="2692"/>
      <c r="ID38" s="2692"/>
      <c r="IE38" s="2692"/>
      <c r="IF38" s="2692"/>
      <c r="IG38" s="2692"/>
      <c r="IH38" s="2692"/>
      <c r="II38" s="2692"/>
      <c r="IJ38" s="2692"/>
      <c r="IK38" s="2692"/>
      <c r="IL38" s="2692"/>
      <c r="IM38" s="2692"/>
      <c r="IN38" s="2692"/>
      <c r="IO38" s="2692"/>
      <c r="IP38" s="2692"/>
      <c r="IQ38" s="2692"/>
      <c r="IR38" s="2692"/>
      <c r="IS38" s="2692"/>
      <c r="IT38" s="2692"/>
      <c r="IU38" s="2692"/>
      <c r="IV38" s="2692"/>
    </row>
    <row r="39" spans="1:256" s="40" customFormat="1" x14ac:dyDescent="0.35">
      <c r="A39" s="7016" t="s">
        <v>2614</v>
      </c>
      <c r="B39" s="7017"/>
      <c r="C39" s="2738"/>
      <c r="D39" s="2813"/>
      <c r="E39" s="2814"/>
      <c r="G39" s="2745"/>
      <c r="H39" s="2700"/>
      <c r="I39" s="2700"/>
      <c r="J39" s="2701"/>
      <c r="K39" s="2692"/>
      <c r="L39" s="2692"/>
      <c r="M39" s="2692"/>
      <c r="N39" s="2692"/>
      <c r="O39" s="2692"/>
      <c r="P39" s="2692"/>
      <c r="Q39" s="2692"/>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692"/>
      <c r="AP39" s="2692"/>
      <c r="AQ39" s="2692"/>
      <c r="AR39" s="2692"/>
      <c r="AS39" s="2692"/>
      <c r="AT39" s="2692"/>
      <c r="AU39" s="2692"/>
      <c r="AV39" s="2692"/>
      <c r="AW39" s="2692"/>
      <c r="AX39" s="2692"/>
      <c r="AY39" s="2692"/>
      <c r="AZ39" s="2692"/>
      <c r="BA39" s="2692"/>
      <c r="BB39" s="2692"/>
      <c r="BC39" s="2692"/>
      <c r="BD39" s="2692"/>
      <c r="BE39" s="2692"/>
      <c r="BF39" s="2692"/>
      <c r="BG39" s="2692"/>
      <c r="BH39" s="2692"/>
      <c r="BI39" s="2692"/>
      <c r="BJ39" s="2692"/>
      <c r="BK39" s="2692"/>
      <c r="BL39" s="2692"/>
      <c r="BM39" s="2692"/>
      <c r="BN39" s="2692"/>
      <c r="BO39" s="2692"/>
      <c r="BP39" s="2692"/>
      <c r="BQ39" s="2692"/>
      <c r="BR39" s="2692"/>
      <c r="BS39" s="2692"/>
      <c r="BT39" s="2692"/>
      <c r="BU39" s="2692"/>
      <c r="BV39" s="2692"/>
      <c r="BW39" s="2692"/>
      <c r="BX39" s="2692"/>
      <c r="BY39" s="2692"/>
      <c r="BZ39" s="2692"/>
      <c r="CA39" s="2692"/>
      <c r="CB39" s="2692"/>
      <c r="CC39" s="2692"/>
      <c r="CD39" s="2692"/>
      <c r="CE39" s="2692"/>
      <c r="CF39" s="2692"/>
      <c r="CG39" s="2692"/>
      <c r="CH39" s="2692"/>
      <c r="CI39" s="2692"/>
      <c r="CJ39" s="2692"/>
      <c r="CK39" s="2692"/>
      <c r="CL39" s="2692"/>
      <c r="CM39" s="2692"/>
      <c r="CN39" s="2692"/>
      <c r="CO39" s="2692"/>
      <c r="CP39" s="2692"/>
      <c r="CQ39" s="2692"/>
      <c r="CR39" s="2692"/>
      <c r="CS39" s="2692"/>
      <c r="CT39" s="2692"/>
      <c r="CU39" s="2692"/>
      <c r="CV39" s="2692"/>
      <c r="CW39" s="2692"/>
      <c r="CX39" s="2692"/>
      <c r="CY39" s="2692"/>
      <c r="CZ39" s="2692"/>
      <c r="DA39" s="2692"/>
      <c r="DB39" s="2692"/>
      <c r="DC39" s="2692"/>
      <c r="DD39" s="2692"/>
      <c r="DE39" s="2692"/>
      <c r="DF39" s="2692"/>
      <c r="DG39" s="2692"/>
      <c r="DH39" s="2692"/>
      <c r="DI39" s="2692"/>
      <c r="DJ39" s="2692"/>
      <c r="DK39" s="2692"/>
      <c r="DL39" s="2692"/>
      <c r="DM39" s="2692"/>
      <c r="DN39" s="2692"/>
      <c r="DO39" s="2692"/>
      <c r="DP39" s="2692"/>
      <c r="DQ39" s="2692"/>
      <c r="DR39" s="2692"/>
      <c r="DS39" s="2692"/>
      <c r="DT39" s="2692"/>
      <c r="DU39" s="2692"/>
      <c r="DV39" s="2692"/>
      <c r="DW39" s="2692"/>
      <c r="DX39" s="2692"/>
      <c r="DY39" s="2692"/>
      <c r="DZ39" s="2692"/>
      <c r="EA39" s="2692"/>
      <c r="EB39" s="2692"/>
      <c r="EC39" s="2692"/>
      <c r="ED39" s="2692"/>
      <c r="EE39" s="2692"/>
      <c r="EF39" s="2692"/>
      <c r="EG39" s="2692"/>
      <c r="EH39" s="2692"/>
      <c r="EI39" s="2692"/>
      <c r="EJ39" s="2692"/>
      <c r="EK39" s="2692"/>
      <c r="EL39" s="2692"/>
      <c r="EM39" s="2692"/>
      <c r="EN39" s="2692"/>
      <c r="EO39" s="2692"/>
      <c r="EP39" s="2692"/>
      <c r="EQ39" s="2692"/>
      <c r="ER39" s="2692"/>
      <c r="ES39" s="2692"/>
      <c r="ET39" s="2692"/>
      <c r="EU39" s="2692"/>
      <c r="EV39" s="2692"/>
      <c r="EW39" s="2692"/>
      <c r="EX39" s="2692"/>
      <c r="EY39" s="2692"/>
      <c r="EZ39" s="2692"/>
      <c r="FA39" s="2692"/>
      <c r="FB39" s="2692"/>
      <c r="FC39" s="2692"/>
      <c r="FD39" s="2692"/>
      <c r="FE39" s="2692"/>
      <c r="FF39" s="2692"/>
      <c r="FG39" s="2692"/>
      <c r="FH39" s="2692"/>
      <c r="FI39" s="2692"/>
      <c r="FJ39" s="2692"/>
      <c r="FK39" s="2692"/>
      <c r="FL39" s="2692"/>
      <c r="FM39" s="2692"/>
      <c r="FN39" s="2692"/>
      <c r="FO39" s="2692"/>
      <c r="FP39" s="2692"/>
      <c r="FQ39" s="2692"/>
      <c r="FR39" s="2692"/>
      <c r="FS39" s="2692"/>
      <c r="FT39" s="2692"/>
      <c r="FU39" s="2692"/>
      <c r="FV39" s="2692"/>
      <c r="FW39" s="2692"/>
      <c r="FX39" s="2692"/>
      <c r="FY39" s="2692"/>
      <c r="FZ39" s="2692"/>
      <c r="GA39" s="2692"/>
      <c r="GB39" s="2692"/>
      <c r="GC39" s="2692"/>
      <c r="GD39" s="2692"/>
      <c r="GE39" s="2692"/>
      <c r="GF39" s="2692"/>
      <c r="GG39" s="2692"/>
      <c r="GH39" s="2692"/>
      <c r="GI39" s="2692"/>
      <c r="GJ39" s="2692"/>
      <c r="GK39" s="2692"/>
      <c r="GL39" s="2692"/>
      <c r="GM39" s="2692"/>
      <c r="GN39" s="2692"/>
      <c r="GO39" s="2692"/>
      <c r="GP39" s="2692"/>
      <c r="GQ39" s="2692"/>
      <c r="GR39" s="2692"/>
      <c r="GS39" s="2692"/>
      <c r="GT39" s="2692"/>
      <c r="GU39" s="2692"/>
      <c r="GV39" s="2692"/>
      <c r="GW39" s="2692"/>
      <c r="GX39" s="2692"/>
      <c r="GY39" s="2692"/>
      <c r="GZ39" s="2692"/>
      <c r="HA39" s="2692"/>
      <c r="HB39" s="2692"/>
      <c r="HC39" s="2692"/>
      <c r="HD39" s="2692"/>
      <c r="HE39" s="2692"/>
      <c r="HF39" s="2692"/>
      <c r="HG39" s="2692"/>
      <c r="HH39" s="2692"/>
      <c r="HI39" s="2692"/>
      <c r="HJ39" s="2692"/>
      <c r="HK39" s="2692"/>
      <c r="HL39" s="2692"/>
      <c r="HM39" s="2692"/>
      <c r="HN39" s="2692"/>
      <c r="HO39" s="2692"/>
      <c r="HP39" s="2692"/>
      <c r="HQ39" s="2692"/>
      <c r="HR39" s="2692"/>
      <c r="HS39" s="2692"/>
      <c r="HT39" s="2692"/>
      <c r="HU39" s="2692"/>
      <c r="HV39" s="2692"/>
      <c r="HW39" s="2692"/>
      <c r="HX39" s="2692"/>
      <c r="HY39" s="2692"/>
      <c r="HZ39" s="2692"/>
      <c r="IA39" s="2692"/>
      <c r="IB39" s="2692"/>
      <c r="IC39" s="2692"/>
      <c r="ID39" s="2692"/>
      <c r="IE39" s="2692"/>
      <c r="IF39" s="2692"/>
      <c r="IG39" s="2692"/>
      <c r="IH39" s="2692"/>
      <c r="II39" s="2692"/>
      <c r="IJ39" s="2692"/>
      <c r="IK39" s="2692"/>
      <c r="IL39" s="2692"/>
      <c r="IM39" s="2692"/>
      <c r="IN39" s="2692"/>
      <c r="IO39" s="2692"/>
      <c r="IP39" s="2692"/>
      <c r="IQ39" s="2692"/>
      <c r="IR39" s="2692"/>
      <c r="IS39" s="2692"/>
      <c r="IT39" s="2692"/>
      <c r="IU39" s="2692"/>
      <c r="IV39" s="2692"/>
    </row>
    <row r="40" spans="1:256" s="40" customFormat="1" x14ac:dyDescent="0.35">
      <c r="A40" s="2811" t="s">
        <v>2615</v>
      </c>
      <c r="B40" s="2738"/>
      <c r="C40" s="2813"/>
      <c r="D40" s="2813"/>
      <c r="E40" s="2814"/>
      <c r="F40" s="2745" t="s">
        <v>2616</v>
      </c>
      <c r="G40" s="2745"/>
      <c r="H40" s="2760"/>
      <c r="I40" s="40" t="s">
        <v>2617</v>
      </c>
      <c r="J40" s="2761"/>
      <c r="K40" s="2692"/>
      <c r="L40" s="2692"/>
      <c r="M40" s="2692"/>
      <c r="N40" s="2692"/>
      <c r="O40" s="2692"/>
      <c r="P40" s="2692"/>
      <c r="Q40" s="2692"/>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692"/>
      <c r="AP40" s="2692"/>
      <c r="AQ40" s="2692"/>
      <c r="AR40" s="2692"/>
      <c r="AS40" s="2692"/>
      <c r="AT40" s="2692"/>
      <c r="AU40" s="2692"/>
      <c r="AV40" s="2692"/>
      <c r="AW40" s="2692"/>
      <c r="AX40" s="2692"/>
      <c r="AY40" s="2692"/>
      <c r="AZ40" s="2692"/>
      <c r="BA40" s="2692"/>
      <c r="BB40" s="2692"/>
      <c r="BC40" s="2692"/>
      <c r="BD40" s="2692"/>
      <c r="BE40" s="2692"/>
      <c r="BF40" s="2692"/>
      <c r="BG40" s="2692"/>
      <c r="BH40" s="2692"/>
      <c r="BI40" s="2692"/>
      <c r="BJ40" s="2692"/>
      <c r="BK40" s="2692"/>
      <c r="BL40" s="2692"/>
      <c r="BM40" s="2692"/>
      <c r="BN40" s="2692"/>
      <c r="BO40" s="2692"/>
      <c r="BP40" s="2692"/>
      <c r="BQ40" s="2692"/>
      <c r="BR40" s="2692"/>
      <c r="BS40" s="2692"/>
      <c r="BT40" s="2692"/>
      <c r="BU40" s="2692"/>
      <c r="BV40" s="2692"/>
      <c r="BW40" s="2692"/>
      <c r="BX40" s="2692"/>
      <c r="BY40" s="2692"/>
      <c r="BZ40" s="2692"/>
      <c r="CA40" s="2692"/>
      <c r="CB40" s="2692"/>
      <c r="CC40" s="2692"/>
      <c r="CD40" s="2692"/>
      <c r="CE40" s="2692"/>
      <c r="CF40" s="2692"/>
      <c r="CG40" s="2692"/>
      <c r="CH40" s="2692"/>
      <c r="CI40" s="2692"/>
      <c r="CJ40" s="2692"/>
      <c r="CK40" s="2692"/>
      <c r="CL40" s="2692"/>
      <c r="CM40" s="2692"/>
      <c r="CN40" s="2692"/>
      <c r="CO40" s="2692"/>
      <c r="CP40" s="2692"/>
      <c r="CQ40" s="2692"/>
      <c r="CR40" s="2692"/>
      <c r="CS40" s="2692"/>
      <c r="CT40" s="2692"/>
      <c r="CU40" s="2692"/>
      <c r="CV40" s="2692"/>
      <c r="CW40" s="2692"/>
      <c r="CX40" s="2692"/>
      <c r="CY40" s="2692"/>
      <c r="CZ40" s="2692"/>
      <c r="DA40" s="2692"/>
      <c r="DB40" s="2692"/>
      <c r="DC40" s="2692"/>
      <c r="DD40" s="2692"/>
      <c r="DE40" s="2692"/>
      <c r="DF40" s="2692"/>
      <c r="DG40" s="2692"/>
      <c r="DH40" s="2692"/>
      <c r="DI40" s="2692"/>
      <c r="DJ40" s="2692"/>
      <c r="DK40" s="2692"/>
      <c r="DL40" s="2692"/>
      <c r="DM40" s="2692"/>
      <c r="DN40" s="2692"/>
      <c r="DO40" s="2692"/>
      <c r="DP40" s="2692"/>
      <c r="DQ40" s="2692"/>
      <c r="DR40" s="2692"/>
      <c r="DS40" s="2692"/>
      <c r="DT40" s="2692"/>
      <c r="DU40" s="2692"/>
      <c r="DV40" s="2692"/>
      <c r="DW40" s="2692"/>
      <c r="DX40" s="2692"/>
      <c r="DY40" s="2692"/>
      <c r="DZ40" s="2692"/>
      <c r="EA40" s="2692"/>
      <c r="EB40" s="2692"/>
      <c r="EC40" s="2692"/>
      <c r="ED40" s="2692"/>
      <c r="EE40" s="2692"/>
      <c r="EF40" s="2692"/>
      <c r="EG40" s="2692"/>
      <c r="EH40" s="2692"/>
      <c r="EI40" s="2692"/>
      <c r="EJ40" s="2692"/>
      <c r="EK40" s="2692"/>
      <c r="EL40" s="2692"/>
      <c r="EM40" s="2692"/>
      <c r="EN40" s="2692"/>
      <c r="EO40" s="2692"/>
      <c r="EP40" s="2692"/>
      <c r="EQ40" s="2692"/>
      <c r="ER40" s="2692"/>
      <c r="ES40" s="2692"/>
      <c r="ET40" s="2692"/>
      <c r="EU40" s="2692"/>
      <c r="EV40" s="2692"/>
      <c r="EW40" s="2692"/>
      <c r="EX40" s="2692"/>
      <c r="EY40" s="2692"/>
      <c r="EZ40" s="2692"/>
      <c r="FA40" s="2692"/>
      <c r="FB40" s="2692"/>
      <c r="FC40" s="2692"/>
      <c r="FD40" s="2692"/>
      <c r="FE40" s="2692"/>
      <c r="FF40" s="2692"/>
      <c r="FG40" s="2692"/>
      <c r="FH40" s="2692"/>
      <c r="FI40" s="2692"/>
      <c r="FJ40" s="2692"/>
      <c r="FK40" s="2692"/>
      <c r="FL40" s="2692"/>
      <c r="FM40" s="2692"/>
      <c r="FN40" s="2692"/>
      <c r="FO40" s="2692"/>
      <c r="FP40" s="2692"/>
      <c r="FQ40" s="2692"/>
      <c r="FR40" s="2692"/>
      <c r="FS40" s="2692"/>
      <c r="FT40" s="2692"/>
      <c r="FU40" s="2692"/>
      <c r="FV40" s="2692"/>
      <c r="FW40" s="2692"/>
      <c r="FX40" s="2692"/>
      <c r="FY40" s="2692"/>
      <c r="FZ40" s="2692"/>
      <c r="GA40" s="2692"/>
      <c r="GB40" s="2692"/>
      <c r="GC40" s="2692"/>
      <c r="GD40" s="2692"/>
      <c r="GE40" s="2692"/>
      <c r="GF40" s="2692"/>
      <c r="GG40" s="2692"/>
      <c r="GH40" s="2692"/>
      <c r="GI40" s="2692"/>
      <c r="GJ40" s="2692"/>
      <c r="GK40" s="2692"/>
      <c r="GL40" s="2692"/>
      <c r="GM40" s="2692"/>
      <c r="GN40" s="2692"/>
      <c r="GO40" s="2692"/>
      <c r="GP40" s="2692"/>
      <c r="GQ40" s="2692"/>
      <c r="GR40" s="2692"/>
      <c r="GS40" s="2692"/>
      <c r="GT40" s="2692"/>
      <c r="GU40" s="2692"/>
      <c r="GV40" s="2692"/>
      <c r="GW40" s="2692"/>
      <c r="GX40" s="2692"/>
      <c r="GY40" s="2692"/>
      <c r="GZ40" s="2692"/>
      <c r="HA40" s="2692"/>
      <c r="HB40" s="2692"/>
      <c r="HC40" s="2692"/>
      <c r="HD40" s="2692"/>
      <c r="HE40" s="2692"/>
      <c r="HF40" s="2692"/>
      <c r="HG40" s="2692"/>
      <c r="HH40" s="2692"/>
      <c r="HI40" s="2692"/>
      <c r="HJ40" s="2692"/>
      <c r="HK40" s="2692"/>
      <c r="HL40" s="2692"/>
      <c r="HM40" s="2692"/>
      <c r="HN40" s="2692"/>
      <c r="HO40" s="2692"/>
      <c r="HP40" s="2692"/>
      <c r="HQ40" s="2692"/>
      <c r="HR40" s="2692"/>
      <c r="HS40" s="2692"/>
      <c r="HT40" s="2692"/>
      <c r="HU40" s="2692"/>
      <c r="HV40" s="2692"/>
      <c r="HW40" s="2692"/>
      <c r="HX40" s="2692"/>
      <c r="HY40" s="2692"/>
      <c r="HZ40" s="2692"/>
      <c r="IA40" s="2692"/>
      <c r="IB40" s="2692"/>
      <c r="IC40" s="2692"/>
      <c r="ID40" s="2692"/>
      <c r="IE40" s="2692"/>
      <c r="IF40" s="2692"/>
      <c r="IG40" s="2692"/>
      <c r="IH40" s="2692"/>
      <c r="II40" s="2692"/>
      <c r="IJ40" s="2692"/>
      <c r="IK40" s="2692"/>
      <c r="IL40" s="2692"/>
      <c r="IM40" s="2692"/>
      <c r="IN40" s="2692"/>
      <c r="IO40" s="2692"/>
      <c r="IP40" s="2692"/>
      <c r="IQ40" s="2692"/>
      <c r="IR40" s="2692"/>
      <c r="IS40" s="2692"/>
      <c r="IT40" s="2692"/>
      <c r="IU40" s="2692"/>
      <c r="IV40" s="2692"/>
    </row>
    <row r="41" spans="1:256" s="40" customFormat="1" x14ac:dyDescent="0.35">
      <c r="A41" s="2811" t="s">
        <v>2618</v>
      </c>
      <c r="B41" s="2738"/>
      <c r="C41" s="2813"/>
      <c r="D41" s="2813"/>
      <c r="E41" s="2814"/>
      <c r="G41" s="2745"/>
      <c r="H41" s="2700"/>
      <c r="I41" s="2700"/>
      <c r="J41" s="2701"/>
      <c r="K41" s="2692"/>
      <c r="L41" s="2692"/>
      <c r="M41" s="2692"/>
      <c r="N41" s="2692"/>
      <c r="O41" s="2692"/>
      <c r="P41" s="2692"/>
      <c r="Q41" s="2692"/>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692"/>
      <c r="AP41" s="2692"/>
      <c r="AQ41" s="2692"/>
      <c r="AR41" s="2692"/>
      <c r="AS41" s="2692"/>
      <c r="AT41" s="2692"/>
      <c r="AU41" s="2692"/>
      <c r="AV41" s="2692"/>
      <c r="AW41" s="2692"/>
      <c r="AX41" s="2692"/>
      <c r="AY41" s="2692"/>
      <c r="AZ41" s="2692"/>
      <c r="BA41" s="2692"/>
      <c r="BB41" s="2692"/>
      <c r="BC41" s="2692"/>
      <c r="BD41" s="2692"/>
      <c r="BE41" s="2692"/>
      <c r="BF41" s="2692"/>
      <c r="BG41" s="2692"/>
      <c r="BH41" s="2692"/>
      <c r="BI41" s="2692"/>
      <c r="BJ41" s="2692"/>
      <c r="BK41" s="2692"/>
      <c r="BL41" s="2692"/>
      <c r="BM41" s="2692"/>
      <c r="BN41" s="2692"/>
      <c r="BO41" s="2692"/>
      <c r="BP41" s="2692"/>
      <c r="BQ41" s="2692"/>
      <c r="BR41" s="2692"/>
      <c r="BS41" s="2692"/>
      <c r="BT41" s="2692"/>
      <c r="BU41" s="2692"/>
      <c r="BV41" s="2692"/>
      <c r="BW41" s="2692"/>
      <c r="BX41" s="2692"/>
      <c r="BY41" s="2692"/>
      <c r="BZ41" s="2692"/>
      <c r="CA41" s="2692"/>
      <c r="CB41" s="2692"/>
      <c r="CC41" s="2692"/>
      <c r="CD41" s="2692"/>
      <c r="CE41" s="2692"/>
      <c r="CF41" s="2692"/>
      <c r="CG41" s="2692"/>
      <c r="CH41" s="2692"/>
      <c r="CI41" s="2692"/>
      <c r="CJ41" s="2692"/>
      <c r="CK41" s="2692"/>
      <c r="CL41" s="2692"/>
      <c r="CM41" s="2692"/>
      <c r="CN41" s="2692"/>
      <c r="CO41" s="2692"/>
      <c r="CP41" s="2692"/>
      <c r="CQ41" s="2692"/>
      <c r="CR41" s="2692"/>
      <c r="CS41" s="2692"/>
      <c r="CT41" s="2692"/>
      <c r="CU41" s="2692"/>
      <c r="CV41" s="2692"/>
      <c r="CW41" s="2692"/>
      <c r="CX41" s="2692"/>
      <c r="CY41" s="2692"/>
      <c r="CZ41" s="2692"/>
      <c r="DA41" s="2692"/>
      <c r="DB41" s="2692"/>
      <c r="DC41" s="2692"/>
      <c r="DD41" s="2692"/>
      <c r="DE41" s="2692"/>
      <c r="DF41" s="2692"/>
      <c r="DG41" s="2692"/>
      <c r="DH41" s="2692"/>
      <c r="DI41" s="2692"/>
      <c r="DJ41" s="2692"/>
      <c r="DK41" s="2692"/>
      <c r="DL41" s="2692"/>
      <c r="DM41" s="2692"/>
      <c r="DN41" s="2692"/>
      <c r="DO41" s="2692"/>
      <c r="DP41" s="2692"/>
      <c r="DQ41" s="2692"/>
      <c r="DR41" s="2692"/>
      <c r="DS41" s="2692"/>
      <c r="DT41" s="2692"/>
      <c r="DU41" s="2692"/>
      <c r="DV41" s="2692"/>
      <c r="DW41" s="2692"/>
      <c r="DX41" s="2692"/>
      <c r="DY41" s="2692"/>
      <c r="DZ41" s="2692"/>
      <c r="EA41" s="2692"/>
      <c r="EB41" s="2692"/>
      <c r="EC41" s="2692"/>
      <c r="ED41" s="2692"/>
      <c r="EE41" s="2692"/>
      <c r="EF41" s="2692"/>
      <c r="EG41" s="2692"/>
      <c r="EH41" s="2692"/>
      <c r="EI41" s="2692"/>
      <c r="EJ41" s="2692"/>
      <c r="EK41" s="2692"/>
      <c r="EL41" s="2692"/>
      <c r="EM41" s="2692"/>
      <c r="EN41" s="2692"/>
      <c r="EO41" s="2692"/>
      <c r="EP41" s="2692"/>
      <c r="EQ41" s="2692"/>
      <c r="ER41" s="2692"/>
      <c r="ES41" s="2692"/>
      <c r="ET41" s="2692"/>
      <c r="EU41" s="2692"/>
      <c r="EV41" s="2692"/>
      <c r="EW41" s="2692"/>
      <c r="EX41" s="2692"/>
      <c r="EY41" s="2692"/>
      <c r="EZ41" s="2692"/>
      <c r="FA41" s="2692"/>
      <c r="FB41" s="2692"/>
      <c r="FC41" s="2692"/>
      <c r="FD41" s="2692"/>
      <c r="FE41" s="2692"/>
      <c r="FF41" s="2692"/>
      <c r="FG41" s="2692"/>
      <c r="FH41" s="2692"/>
      <c r="FI41" s="2692"/>
      <c r="FJ41" s="2692"/>
      <c r="FK41" s="2692"/>
      <c r="FL41" s="2692"/>
      <c r="FM41" s="2692"/>
      <c r="FN41" s="2692"/>
      <c r="FO41" s="2692"/>
      <c r="FP41" s="2692"/>
      <c r="FQ41" s="2692"/>
      <c r="FR41" s="2692"/>
      <c r="FS41" s="2692"/>
      <c r="FT41" s="2692"/>
      <c r="FU41" s="2692"/>
      <c r="FV41" s="2692"/>
      <c r="FW41" s="2692"/>
      <c r="FX41" s="2692"/>
      <c r="FY41" s="2692"/>
      <c r="FZ41" s="2692"/>
      <c r="GA41" s="2692"/>
      <c r="GB41" s="2692"/>
      <c r="GC41" s="2692"/>
      <c r="GD41" s="2692"/>
      <c r="GE41" s="2692"/>
      <c r="GF41" s="2692"/>
      <c r="GG41" s="2692"/>
      <c r="GH41" s="2692"/>
      <c r="GI41" s="2692"/>
      <c r="GJ41" s="2692"/>
      <c r="GK41" s="2692"/>
      <c r="GL41" s="2692"/>
      <c r="GM41" s="2692"/>
      <c r="GN41" s="2692"/>
      <c r="GO41" s="2692"/>
      <c r="GP41" s="2692"/>
      <c r="GQ41" s="2692"/>
      <c r="GR41" s="2692"/>
      <c r="GS41" s="2692"/>
      <c r="GT41" s="2692"/>
      <c r="GU41" s="2692"/>
      <c r="GV41" s="2692"/>
      <c r="GW41" s="2692"/>
      <c r="GX41" s="2692"/>
      <c r="GY41" s="2692"/>
      <c r="GZ41" s="2692"/>
      <c r="HA41" s="2692"/>
      <c r="HB41" s="2692"/>
      <c r="HC41" s="2692"/>
      <c r="HD41" s="2692"/>
      <c r="HE41" s="2692"/>
      <c r="HF41" s="2692"/>
      <c r="HG41" s="2692"/>
      <c r="HH41" s="2692"/>
      <c r="HI41" s="2692"/>
      <c r="HJ41" s="2692"/>
      <c r="HK41" s="2692"/>
      <c r="HL41" s="2692"/>
      <c r="HM41" s="2692"/>
      <c r="HN41" s="2692"/>
      <c r="HO41" s="2692"/>
      <c r="HP41" s="2692"/>
      <c r="HQ41" s="2692"/>
      <c r="HR41" s="2692"/>
      <c r="HS41" s="2692"/>
      <c r="HT41" s="2692"/>
      <c r="HU41" s="2692"/>
      <c r="HV41" s="2692"/>
      <c r="HW41" s="2692"/>
      <c r="HX41" s="2692"/>
      <c r="HY41" s="2692"/>
      <c r="HZ41" s="2692"/>
      <c r="IA41" s="2692"/>
      <c r="IB41" s="2692"/>
      <c r="IC41" s="2692"/>
      <c r="ID41" s="2692"/>
      <c r="IE41" s="2692"/>
      <c r="IF41" s="2692"/>
      <c r="IG41" s="2692"/>
      <c r="IH41" s="2692"/>
      <c r="II41" s="2692"/>
      <c r="IJ41" s="2692"/>
      <c r="IK41" s="2692"/>
      <c r="IL41" s="2692"/>
      <c r="IM41" s="2692"/>
      <c r="IN41" s="2692"/>
      <c r="IO41" s="2692"/>
      <c r="IP41" s="2692"/>
      <c r="IQ41" s="2692"/>
      <c r="IR41" s="2692"/>
      <c r="IS41" s="2692"/>
      <c r="IT41" s="2692"/>
      <c r="IU41" s="2692"/>
      <c r="IV41" s="2692"/>
    </row>
    <row r="42" spans="1:256" s="40" customFormat="1" ht="15" customHeight="1" x14ac:dyDescent="0.35">
      <c r="A42" s="2811" t="s">
        <v>2619</v>
      </c>
      <c r="B42" s="2738"/>
      <c r="C42" s="2813"/>
      <c r="D42" s="2813"/>
      <c r="E42" s="2814"/>
      <c r="F42" s="2745" t="s">
        <v>2620</v>
      </c>
      <c r="G42" s="2745"/>
      <c r="H42" s="2760"/>
      <c r="I42" s="2760"/>
      <c r="J42" s="2761"/>
      <c r="K42" s="2692"/>
      <c r="L42" s="2692"/>
      <c r="M42" s="2692"/>
      <c r="N42" s="2692"/>
      <c r="O42" s="2692"/>
      <c r="P42" s="2692"/>
      <c r="Q42" s="2692"/>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692"/>
      <c r="AP42" s="2692"/>
      <c r="AQ42" s="2692"/>
      <c r="AR42" s="2692"/>
      <c r="AS42" s="2692"/>
      <c r="AT42" s="2692"/>
      <c r="AU42" s="2692"/>
      <c r="AV42" s="2692"/>
      <c r="AW42" s="2692"/>
      <c r="AX42" s="2692"/>
      <c r="AY42" s="2692"/>
      <c r="AZ42" s="2692"/>
      <c r="BA42" s="2692"/>
      <c r="BB42" s="2692"/>
      <c r="BC42" s="2692"/>
      <c r="BD42" s="2692"/>
      <c r="BE42" s="2692"/>
      <c r="BF42" s="2692"/>
      <c r="BG42" s="2692"/>
      <c r="BH42" s="2692"/>
      <c r="BI42" s="2692"/>
      <c r="BJ42" s="2692"/>
      <c r="BK42" s="2692"/>
      <c r="BL42" s="2692"/>
      <c r="BM42" s="2692"/>
      <c r="BN42" s="2692"/>
      <c r="BO42" s="2692"/>
      <c r="BP42" s="2692"/>
      <c r="BQ42" s="2692"/>
      <c r="BR42" s="2692"/>
      <c r="BS42" s="2692"/>
      <c r="BT42" s="2692"/>
      <c r="BU42" s="2692"/>
      <c r="BV42" s="2692"/>
      <c r="BW42" s="2692"/>
      <c r="BX42" s="2692"/>
      <c r="BY42" s="2692"/>
      <c r="BZ42" s="2692"/>
      <c r="CA42" s="2692"/>
      <c r="CB42" s="2692"/>
      <c r="CC42" s="2692"/>
      <c r="CD42" s="2692"/>
      <c r="CE42" s="2692"/>
      <c r="CF42" s="2692"/>
      <c r="CG42" s="2692"/>
      <c r="CH42" s="2692"/>
      <c r="CI42" s="2692"/>
      <c r="CJ42" s="2692"/>
      <c r="CK42" s="2692"/>
      <c r="CL42" s="2692"/>
      <c r="CM42" s="2692"/>
      <c r="CN42" s="2692"/>
      <c r="CO42" s="2692"/>
      <c r="CP42" s="2692"/>
      <c r="CQ42" s="2692"/>
      <c r="CR42" s="2692"/>
      <c r="CS42" s="2692"/>
      <c r="CT42" s="2692"/>
      <c r="CU42" s="2692"/>
      <c r="CV42" s="2692"/>
      <c r="CW42" s="2692"/>
      <c r="CX42" s="2692"/>
      <c r="CY42" s="2692"/>
      <c r="CZ42" s="2692"/>
      <c r="DA42" s="2692"/>
      <c r="DB42" s="2692"/>
      <c r="DC42" s="2692"/>
      <c r="DD42" s="2692"/>
      <c r="DE42" s="2692"/>
      <c r="DF42" s="2692"/>
      <c r="DG42" s="2692"/>
      <c r="DH42" s="2692"/>
      <c r="DI42" s="2692"/>
      <c r="DJ42" s="2692"/>
      <c r="DK42" s="2692"/>
      <c r="DL42" s="2692"/>
      <c r="DM42" s="2692"/>
      <c r="DN42" s="2692"/>
      <c r="DO42" s="2692"/>
      <c r="DP42" s="2692"/>
      <c r="DQ42" s="2692"/>
      <c r="DR42" s="2692"/>
      <c r="DS42" s="2692"/>
      <c r="DT42" s="2692"/>
      <c r="DU42" s="2692"/>
      <c r="DV42" s="2692"/>
      <c r="DW42" s="2692"/>
      <c r="DX42" s="2692"/>
      <c r="DY42" s="2692"/>
      <c r="DZ42" s="2692"/>
      <c r="EA42" s="2692"/>
      <c r="EB42" s="2692"/>
      <c r="EC42" s="2692"/>
      <c r="ED42" s="2692"/>
      <c r="EE42" s="2692"/>
      <c r="EF42" s="2692"/>
      <c r="EG42" s="2692"/>
      <c r="EH42" s="2692"/>
      <c r="EI42" s="2692"/>
      <c r="EJ42" s="2692"/>
      <c r="EK42" s="2692"/>
      <c r="EL42" s="2692"/>
      <c r="EM42" s="2692"/>
      <c r="EN42" s="2692"/>
      <c r="EO42" s="2692"/>
      <c r="EP42" s="2692"/>
      <c r="EQ42" s="2692"/>
      <c r="ER42" s="2692"/>
      <c r="ES42" s="2692"/>
      <c r="ET42" s="2692"/>
      <c r="EU42" s="2692"/>
      <c r="EV42" s="2692"/>
      <c r="EW42" s="2692"/>
      <c r="EX42" s="2692"/>
      <c r="EY42" s="2692"/>
      <c r="EZ42" s="2692"/>
      <c r="FA42" s="2692"/>
      <c r="FB42" s="2692"/>
      <c r="FC42" s="2692"/>
      <c r="FD42" s="2692"/>
      <c r="FE42" s="2692"/>
      <c r="FF42" s="2692"/>
      <c r="FG42" s="2692"/>
      <c r="FH42" s="2692"/>
      <c r="FI42" s="2692"/>
      <c r="FJ42" s="2692"/>
      <c r="FK42" s="2692"/>
      <c r="FL42" s="2692"/>
      <c r="FM42" s="2692"/>
      <c r="FN42" s="2692"/>
      <c r="FO42" s="2692"/>
      <c r="FP42" s="2692"/>
      <c r="FQ42" s="2692"/>
      <c r="FR42" s="2692"/>
      <c r="FS42" s="2692"/>
      <c r="FT42" s="2692"/>
      <c r="FU42" s="2692"/>
      <c r="FV42" s="2692"/>
      <c r="FW42" s="2692"/>
      <c r="FX42" s="2692"/>
      <c r="FY42" s="2692"/>
      <c r="FZ42" s="2692"/>
      <c r="GA42" s="2692"/>
      <c r="GB42" s="2692"/>
      <c r="GC42" s="2692"/>
      <c r="GD42" s="2692"/>
      <c r="GE42" s="2692"/>
      <c r="GF42" s="2692"/>
      <c r="GG42" s="2692"/>
      <c r="GH42" s="2692"/>
      <c r="GI42" s="2692"/>
      <c r="GJ42" s="2692"/>
      <c r="GK42" s="2692"/>
      <c r="GL42" s="2692"/>
      <c r="GM42" s="2692"/>
      <c r="GN42" s="2692"/>
      <c r="GO42" s="2692"/>
      <c r="GP42" s="2692"/>
      <c r="GQ42" s="2692"/>
      <c r="GR42" s="2692"/>
      <c r="GS42" s="2692"/>
      <c r="GT42" s="2692"/>
      <c r="GU42" s="2692"/>
      <c r="GV42" s="2692"/>
      <c r="GW42" s="2692"/>
      <c r="GX42" s="2692"/>
      <c r="GY42" s="2692"/>
      <c r="GZ42" s="2692"/>
      <c r="HA42" s="2692"/>
      <c r="HB42" s="2692"/>
      <c r="HC42" s="2692"/>
      <c r="HD42" s="2692"/>
      <c r="HE42" s="2692"/>
      <c r="HF42" s="2692"/>
      <c r="HG42" s="2692"/>
      <c r="HH42" s="2692"/>
      <c r="HI42" s="2692"/>
      <c r="HJ42" s="2692"/>
      <c r="HK42" s="2692"/>
      <c r="HL42" s="2692"/>
      <c r="HM42" s="2692"/>
      <c r="HN42" s="2692"/>
      <c r="HO42" s="2692"/>
      <c r="HP42" s="2692"/>
      <c r="HQ42" s="2692"/>
      <c r="HR42" s="2692"/>
      <c r="HS42" s="2692"/>
      <c r="HT42" s="2692"/>
      <c r="HU42" s="2692"/>
      <c r="HV42" s="2692"/>
      <c r="HW42" s="2692"/>
      <c r="HX42" s="2692"/>
      <c r="HY42" s="2692"/>
      <c r="HZ42" s="2692"/>
      <c r="IA42" s="2692"/>
      <c r="IB42" s="2692"/>
      <c r="IC42" s="2692"/>
      <c r="ID42" s="2692"/>
      <c r="IE42" s="2692"/>
      <c r="IF42" s="2692"/>
      <c r="IG42" s="2692"/>
      <c r="IH42" s="2692"/>
      <c r="II42" s="2692"/>
      <c r="IJ42" s="2692"/>
      <c r="IK42" s="2692"/>
      <c r="IL42" s="2692"/>
      <c r="IM42" s="2692"/>
      <c r="IN42" s="2692"/>
      <c r="IO42" s="2692"/>
      <c r="IP42" s="2692"/>
      <c r="IQ42" s="2692"/>
      <c r="IR42" s="2692"/>
      <c r="IS42" s="2692"/>
      <c r="IT42" s="2692"/>
      <c r="IU42" s="2692"/>
      <c r="IV42" s="2692"/>
    </row>
    <row r="43" spans="1:256" s="40" customFormat="1" ht="15.75" customHeight="1" x14ac:dyDescent="0.35">
      <c r="A43" s="7016" t="s">
        <v>2621</v>
      </c>
      <c r="B43" s="7017"/>
      <c r="C43" s="2762"/>
      <c r="D43" s="2813"/>
      <c r="E43" s="2814"/>
      <c r="F43" s="2745" t="s">
        <v>2622</v>
      </c>
      <c r="G43" s="2745"/>
      <c r="H43" s="2760"/>
      <c r="I43" s="2760"/>
      <c r="J43" s="2761"/>
      <c r="K43" s="2692"/>
      <c r="L43" s="2692"/>
      <c r="M43" s="2692"/>
      <c r="N43" s="2692"/>
      <c r="O43" s="2692"/>
      <c r="P43" s="2692"/>
      <c r="Q43" s="2692"/>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692"/>
      <c r="AP43" s="2692"/>
      <c r="AQ43" s="2692"/>
      <c r="AR43" s="2692"/>
      <c r="AS43" s="2692"/>
      <c r="AT43" s="2692"/>
      <c r="AU43" s="2692"/>
      <c r="AV43" s="2692"/>
      <c r="AW43" s="2692"/>
      <c r="AX43" s="2692"/>
      <c r="AY43" s="2692"/>
      <c r="AZ43" s="2692"/>
      <c r="BA43" s="2692"/>
      <c r="BB43" s="2692"/>
      <c r="BC43" s="2692"/>
      <c r="BD43" s="2692"/>
      <c r="BE43" s="2692"/>
      <c r="BF43" s="2692"/>
      <c r="BG43" s="2692"/>
      <c r="BH43" s="2692"/>
      <c r="BI43" s="2692"/>
      <c r="BJ43" s="2692"/>
      <c r="BK43" s="2692"/>
      <c r="BL43" s="2692"/>
      <c r="BM43" s="2692"/>
      <c r="BN43" s="2692"/>
      <c r="BO43" s="2692"/>
      <c r="BP43" s="2692"/>
      <c r="BQ43" s="2692"/>
      <c r="BR43" s="2692"/>
      <c r="BS43" s="2692"/>
      <c r="BT43" s="2692"/>
      <c r="BU43" s="2692"/>
      <c r="BV43" s="2692"/>
      <c r="BW43" s="2692"/>
      <c r="BX43" s="2692"/>
      <c r="BY43" s="2692"/>
      <c r="BZ43" s="2692"/>
      <c r="CA43" s="2692"/>
      <c r="CB43" s="2692"/>
      <c r="CC43" s="2692"/>
      <c r="CD43" s="2692"/>
      <c r="CE43" s="2692"/>
      <c r="CF43" s="2692"/>
      <c r="CG43" s="2692"/>
      <c r="CH43" s="2692"/>
      <c r="CI43" s="2692"/>
      <c r="CJ43" s="2692"/>
      <c r="CK43" s="2692"/>
      <c r="CL43" s="2692"/>
      <c r="CM43" s="2692"/>
      <c r="CN43" s="2692"/>
      <c r="CO43" s="2692"/>
      <c r="CP43" s="2692"/>
      <c r="CQ43" s="2692"/>
      <c r="CR43" s="2692"/>
      <c r="CS43" s="2692"/>
      <c r="CT43" s="2692"/>
      <c r="CU43" s="2692"/>
      <c r="CV43" s="2692"/>
      <c r="CW43" s="2692"/>
      <c r="CX43" s="2692"/>
      <c r="CY43" s="2692"/>
      <c r="CZ43" s="2692"/>
      <c r="DA43" s="2692"/>
      <c r="DB43" s="2692"/>
      <c r="DC43" s="2692"/>
      <c r="DD43" s="2692"/>
      <c r="DE43" s="2692"/>
      <c r="DF43" s="2692"/>
      <c r="DG43" s="2692"/>
      <c r="DH43" s="2692"/>
      <c r="DI43" s="2692"/>
      <c r="DJ43" s="2692"/>
      <c r="DK43" s="2692"/>
      <c r="DL43" s="2692"/>
      <c r="DM43" s="2692"/>
      <c r="DN43" s="2692"/>
      <c r="DO43" s="2692"/>
      <c r="DP43" s="2692"/>
      <c r="DQ43" s="2692"/>
      <c r="DR43" s="2692"/>
      <c r="DS43" s="2692"/>
      <c r="DT43" s="2692"/>
      <c r="DU43" s="2692"/>
      <c r="DV43" s="2692"/>
      <c r="DW43" s="2692"/>
      <c r="DX43" s="2692"/>
      <c r="DY43" s="2692"/>
      <c r="DZ43" s="2692"/>
      <c r="EA43" s="2692"/>
      <c r="EB43" s="2692"/>
      <c r="EC43" s="2692"/>
      <c r="ED43" s="2692"/>
      <c r="EE43" s="2692"/>
      <c r="EF43" s="2692"/>
      <c r="EG43" s="2692"/>
      <c r="EH43" s="2692"/>
      <c r="EI43" s="2692"/>
      <c r="EJ43" s="2692"/>
      <c r="EK43" s="2692"/>
      <c r="EL43" s="2692"/>
      <c r="EM43" s="2692"/>
      <c r="EN43" s="2692"/>
      <c r="EO43" s="2692"/>
      <c r="EP43" s="2692"/>
      <c r="EQ43" s="2692"/>
      <c r="ER43" s="2692"/>
      <c r="ES43" s="2692"/>
      <c r="ET43" s="2692"/>
      <c r="EU43" s="2692"/>
      <c r="EV43" s="2692"/>
      <c r="EW43" s="2692"/>
      <c r="EX43" s="2692"/>
      <c r="EY43" s="2692"/>
      <c r="EZ43" s="2692"/>
      <c r="FA43" s="2692"/>
      <c r="FB43" s="2692"/>
      <c r="FC43" s="2692"/>
      <c r="FD43" s="2692"/>
      <c r="FE43" s="2692"/>
      <c r="FF43" s="2692"/>
      <c r="FG43" s="2692"/>
      <c r="FH43" s="2692"/>
      <c r="FI43" s="2692"/>
      <c r="FJ43" s="2692"/>
      <c r="FK43" s="2692"/>
      <c r="FL43" s="2692"/>
      <c r="FM43" s="2692"/>
      <c r="FN43" s="2692"/>
      <c r="FO43" s="2692"/>
      <c r="FP43" s="2692"/>
      <c r="FQ43" s="2692"/>
      <c r="FR43" s="2692"/>
      <c r="FS43" s="2692"/>
      <c r="FT43" s="2692"/>
      <c r="FU43" s="2692"/>
      <c r="FV43" s="2692"/>
      <c r="FW43" s="2692"/>
      <c r="FX43" s="2692"/>
      <c r="FY43" s="2692"/>
      <c r="FZ43" s="2692"/>
      <c r="GA43" s="2692"/>
      <c r="GB43" s="2692"/>
      <c r="GC43" s="2692"/>
      <c r="GD43" s="2692"/>
      <c r="GE43" s="2692"/>
      <c r="GF43" s="2692"/>
      <c r="GG43" s="2692"/>
      <c r="GH43" s="2692"/>
      <c r="GI43" s="2692"/>
      <c r="GJ43" s="2692"/>
      <c r="GK43" s="2692"/>
      <c r="GL43" s="2692"/>
      <c r="GM43" s="2692"/>
      <c r="GN43" s="2692"/>
      <c r="GO43" s="2692"/>
      <c r="GP43" s="2692"/>
      <c r="GQ43" s="2692"/>
      <c r="GR43" s="2692"/>
      <c r="GS43" s="2692"/>
      <c r="GT43" s="2692"/>
      <c r="GU43" s="2692"/>
      <c r="GV43" s="2692"/>
      <c r="GW43" s="2692"/>
      <c r="GX43" s="2692"/>
      <c r="GY43" s="2692"/>
      <c r="GZ43" s="2692"/>
      <c r="HA43" s="2692"/>
      <c r="HB43" s="2692"/>
      <c r="HC43" s="2692"/>
      <c r="HD43" s="2692"/>
      <c r="HE43" s="2692"/>
      <c r="HF43" s="2692"/>
      <c r="HG43" s="2692"/>
      <c r="HH43" s="2692"/>
      <c r="HI43" s="2692"/>
      <c r="HJ43" s="2692"/>
      <c r="HK43" s="2692"/>
      <c r="HL43" s="2692"/>
      <c r="HM43" s="2692"/>
      <c r="HN43" s="2692"/>
      <c r="HO43" s="2692"/>
      <c r="HP43" s="2692"/>
      <c r="HQ43" s="2692"/>
      <c r="HR43" s="2692"/>
      <c r="HS43" s="2692"/>
      <c r="HT43" s="2692"/>
      <c r="HU43" s="2692"/>
      <c r="HV43" s="2692"/>
      <c r="HW43" s="2692"/>
      <c r="HX43" s="2692"/>
      <c r="HY43" s="2692"/>
      <c r="HZ43" s="2692"/>
      <c r="IA43" s="2692"/>
      <c r="IB43" s="2692"/>
      <c r="IC43" s="2692"/>
      <c r="ID43" s="2692"/>
      <c r="IE43" s="2692"/>
      <c r="IF43" s="2692"/>
      <c r="IG43" s="2692"/>
      <c r="IH43" s="2692"/>
      <c r="II43" s="2692"/>
      <c r="IJ43" s="2692"/>
      <c r="IK43" s="2692"/>
      <c r="IL43" s="2692"/>
      <c r="IM43" s="2692"/>
      <c r="IN43" s="2692"/>
      <c r="IO43" s="2692"/>
      <c r="IP43" s="2692"/>
      <c r="IQ43" s="2692"/>
      <c r="IR43" s="2692"/>
      <c r="IS43" s="2692"/>
      <c r="IT43" s="2692"/>
      <c r="IU43" s="2692"/>
      <c r="IV43" s="2692"/>
    </row>
    <row r="44" spans="1:256" s="40" customFormat="1" x14ac:dyDescent="0.35">
      <c r="A44" s="7030" t="s">
        <v>2623</v>
      </c>
      <c r="B44" s="7034"/>
      <c r="C44" s="7034"/>
      <c r="D44" s="7034"/>
      <c r="E44" s="7027"/>
      <c r="F44" s="2745" t="s">
        <v>2624</v>
      </c>
      <c r="G44" s="2745"/>
      <c r="H44" s="2700"/>
      <c r="I44" s="2700"/>
      <c r="J44" s="2701"/>
      <c r="K44" s="2692"/>
      <c r="L44" s="2692"/>
      <c r="M44" s="2692"/>
      <c r="N44" s="2692"/>
      <c r="O44" s="2692"/>
      <c r="P44" s="2692"/>
      <c r="Q44" s="2692"/>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692"/>
      <c r="AP44" s="2692"/>
      <c r="AQ44" s="2692"/>
      <c r="AR44" s="2692"/>
      <c r="AS44" s="2692"/>
      <c r="AT44" s="2692"/>
      <c r="AU44" s="2692"/>
      <c r="AV44" s="2692"/>
      <c r="AW44" s="2692"/>
      <c r="AX44" s="2692"/>
      <c r="AY44" s="2692"/>
      <c r="AZ44" s="2692"/>
      <c r="BA44" s="2692"/>
      <c r="BB44" s="2692"/>
      <c r="BC44" s="2692"/>
      <c r="BD44" s="2692"/>
      <c r="BE44" s="2692"/>
      <c r="BF44" s="2692"/>
      <c r="BG44" s="2692"/>
      <c r="BH44" s="2692"/>
      <c r="BI44" s="2692"/>
      <c r="BJ44" s="2692"/>
      <c r="BK44" s="2692"/>
      <c r="BL44" s="2692"/>
      <c r="BM44" s="2692"/>
      <c r="BN44" s="2692"/>
      <c r="BO44" s="2692"/>
      <c r="BP44" s="2692"/>
      <c r="BQ44" s="2692"/>
      <c r="BR44" s="2692"/>
      <c r="BS44" s="2692"/>
      <c r="BT44" s="2692"/>
      <c r="BU44" s="2692"/>
      <c r="BV44" s="2692"/>
      <c r="BW44" s="2692"/>
      <c r="BX44" s="2692"/>
      <c r="BY44" s="2692"/>
      <c r="BZ44" s="2692"/>
      <c r="CA44" s="2692"/>
      <c r="CB44" s="2692"/>
      <c r="CC44" s="2692"/>
      <c r="CD44" s="2692"/>
      <c r="CE44" s="2692"/>
      <c r="CF44" s="2692"/>
      <c r="CG44" s="2692"/>
      <c r="CH44" s="2692"/>
      <c r="CI44" s="2692"/>
      <c r="CJ44" s="2692"/>
      <c r="CK44" s="2692"/>
      <c r="CL44" s="2692"/>
      <c r="CM44" s="2692"/>
      <c r="CN44" s="2692"/>
      <c r="CO44" s="2692"/>
      <c r="CP44" s="2692"/>
      <c r="CQ44" s="2692"/>
      <c r="CR44" s="2692"/>
      <c r="CS44" s="2692"/>
      <c r="CT44" s="2692"/>
      <c r="CU44" s="2692"/>
      <c r="CV44" s="2692"/>
      <c r="CW44" s="2692"/>
      <c r="CX44" s="2692"/>
      <c r="CY44" s="2692"/>
      <c r="CZ44" s="2692"/>
      <c r="DA44" s="2692"/>
      <c r="DB44" s="2692"/>
      <c r="DC44" s="2692"/>
      <c r="DD44" s="2692"/>
      <c r="DE44" s="2692"/>
      <c r="DF44" s="2692"/>
      <c r="DG44" s="2692"/>
      <c r="DH44" s="2692"/>
      <c r="DI44" s="2692"/>
      <c r="DJ44" s="2692"/>
      <c r="DK44" s="2692"/>
      <c r="DL44" s="2692"/>
      <c r="DM44" s="2692"/>
      <c r="DN44" s="2692"/>
      <c r="DO44" s="2692"/>
      <c r="DP44" s="2692"/>
      <c r="DQ44" s="2692"/>
      <c r="DR44" s="2692"/>
      <c r="DS44" s="2692"/>
      <c r="DT44" s="2692"/>
      <c r="DU44" s="2692"/>
      <c r="DV44" s="2692"/>
      <c r="DW44" s="2692"/>
      <c r="DX44" s="2692"/>
      <c r="DY44" s="2692"/>
      <c r="DZ44" s="2692"/>
      <c r="EA44" s="2692"/>
      <c r="EB44" s="2692"/>
      <c r="EC44" s="2692"/>
      <c r="ED44" s="2692"/>
      <c r="EE44" s="2692"/>
      <c r="EF44" s="2692"/>
      <c r="EG44" s="2692"/>
      <c r="EH44" s="2692"/>
      <c r="EI44" s="2692"/>
      <c r="EJ44" s="2692"/>
      <c r="EK44" s="2692"/>
      <c r="EL44" s="2692"/>
      <c r="EM44" s="2692"/>
      <c r="EN44" s="2692"/>
      <c r="EO44" s="2692"/>
      <c r="EP44" s="2692"/>
      <c r="EQ44" s="2692"/>
      <c r="ER44" s="2692"/>
      <c r="ES44" s="2692"/>
      <c r="ET44" s="2692"/>
      <c r="EU44" s="2692"/>
      <c r="EV44" s="2692"/>
      <c r="EW44" s="2692"/>
      <c r="EX44" s="2692"/>
      <c r="EY44" s="2692"/>
      <c r="EZ44" s="2692"/>
      <c r="FA44" s="2692"/>
      <c r="FB44" s="2692"/>
      <c r="FC44" s="2692"/>
      <c r="FD44" s="2692"/>
      <c r="FE44" s="2692"/>
      <c r="FF44" s="2692"/>
      <c r="FG44" s="2692"/>
      <c r="FH44" s="2692"/>
      <c r="FI44" s="2692"/>
      <c r="FJ44" s="2692"/>
      <c r="FK44" s="2692"/>
      <c r="FL44" s="2692"/>
      <c r="FM44" s="2692"/>
      <c r="FN44" s="2692"/>
      <c r="FO44" s="2692"/>
      <c r="FP44" s="2692"/>
      <c r="FQ44" s="2692"/>
      <c r="FR44" s="2692"/>
      <c r="FS44" s="2692"/>
      <c r="FT44" s="2692"/>
      <c r="FU44" s="2692"/>
      <c r="FV44" s="2692"/>
      <c r="FW44" s="2692"/>
      <c r="FX44" s="2692"/>
      <c r="FY44" s="2692"/>
      <c r="FZ44" s="2692"/>
      <c r="GA44" s="2692"/>
      <c r="GB44" s="2692"/>
      <c r="GC44" s="2692"/>
      <c r="GD44" s="2692"/>
      <c r="GE44" s="2692"/>
      <c r="GF44" s="2692"/>
      <c r="GG44" s="2692"/>
      <c r="GH44" s="2692"/>
      <c r="GI44" s="2692"/>
      <c r="GJ44" s="2692"/>
      <c r="GK44" s="2692"/>
      <c r="GL44" s="2692"/>
      <c r="GM44" s="2692"/>
      <c r="GN44" s="2692"/>
      <c r="GO44" s="2692"/>
      <c r="GP44" s="2692"/>
      <c r="GQ44" s="2692"/>
      <c r="GR44" s="2692"/>
      <c r="GS44" s="2692"/>
      <c r="GT44" s="2692"/>
      <c r="GU44" s="2692"/>
      <c r="GV44" s="2692"/>
      <c r="GW44" s="2692"/>
      <c r="GX44" s="2692"/>
      <c r="GY44" s="2692"/>
      <c r="GZ44" s="2692"/>
      <c r="HA44" s="2692"/>
      <c r="HB44" s="2692"/>
      <c r="HC44" s="2692"/>
      <c r="HD44" s="2692"/>
      <c r="HE44" s="2692"/>
      <c r="HF44" s="2692"/>
      <c r="HG44" s="2692"/>
      <c r="HH44" s="2692"/>
      <c r="HI44" s="2692"/>
      <c r="HJ44" s="2692"/>
      <c r="HK44" s="2692"/>
      <c r="HL44" s="2692"/>
      <c r="HM44" s="2692"/>
      <c r="HN44" s="2692"/>
      <c r="HO44" s="2692"/>
      <c r="HP44" s="2692"/>
      <c r="HQ44" s="2692"/>
      <c r="HR44" s="2692"/>
      <c r="HS44" s="2692"/>
      <c r="HT44" s="2692"/>
      <c r="HU44" s="2692"/>
      <c r="HV44" s="2692"/>
      <c r="HW44" s="2692"/>
      <c r="HX44" s="2692"/>
      <c r="HY44" s="2692"/>
      <c r="HZ44" s="2692"/>
      <c r="IA44" s="2692"/>
      <c r="IB44" s="2692"/>
      <c r="IC44" s="2692"/>
      <c r="ID44" s="2692"/>
      <c r="IE44" s="2692"/>
      <c r="IF44" s="2692"/>
      <c r="IG44" s="2692"/>
      <c r="IH44" s="2692"/>
      <c r="II44" s="2692"/>
      <c r="IJ44" s="2692"/>
      <c r="IK44" s="2692"/>
      <c r="IL44" s="2692"/>
      <c r="IM44" s="2692"/>
      <c r="IN44" s="2692"/>
      <c r="IO44" s="2692"/>
      <c r="IP44" s="2692"/>
      <c r="IQ44" s="2692"/>
      <c r="IR44" s="2692"/>
      <c r="IS44" s="2692"/>
      <c r="IT44" s="2692"/>
      <c r="IU44" s="2692"/>
      <c r="IV44" s="2692"/>
    </row>
    <row r="45" spans="1:256" s="40" customFormat="1" ht="15.5" x14ac:dyDescent="0.35">
      <c r="A45" s="2763"/>
      <c r="B45" s="2763"/>
      <c r="C45" s="2763"/>
      <c r="D45" s="2763"/>
      <c r="E45" s="2761"/>
      <c r="F45" s="2764"/>
      <c r="G45" s="2765"/>
      <c r="H45" s="2760"/>
      <c r="I45" s="2760"/>
      <c r="J45" s="2761"/>
      <c r="K45" s="2692"/>
      <c r="L45" s="2692"/>
      <c r="M45" s="2692"/>
      <c r="N45" s="2692"/>
      <c r="O45" s="2692"/>
      <c r="P45" s="2692"/>
      <c r="Q45" s="2692"/>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692"/>
      <c r="AP45" s="2692"/>
      <c r="AQ45" s="2692"/>
      <c r="AR45" s="2692"/>
      <c r="AS45" s="2692"/>
      <c r="AT45" s="2692"/>
      <c r="AU45" s="2692"/>
      <c r="AV45" s="2692"/>
      <c r="AW45" s="2692"/>
      <c r="AX45" s="2692"/>
      <c r="AY45" s="2692"/>
      <c r="AZ45" s="2692"/>
      <c r="BA45" s="2692"/>
      <c r="BB45" s="2692"/>
      <c r="BC45" s="2692"/>
      <c r="BD45" s="2692"/>
      <c r="BE45" s="2692"/>
      <c r="BF45" s="2692"/>
      <c r="BG45" s="2692"/>
      <c r="BH45" s="2692"/>
      <c r="BI45" s="2692"/>
      <c r="BJ45" s="2692"/>
      <c r="BK45" s="2692"/>
      <c r="BL45" s="2692"/>
      <c r="BM45" s="2692"/>
      <c r="BN45" s="2692"/>
      <c r="BO45" s="2692"/>
      <c r="BP45" s="2692"/>
      <c r="BQ45" s="2692"/>
      <c r="BR45" s="2692"/>
      <c r="BS45" s="2692"/>
      <c r="BT45" s="2692"/>
      <c r="BU45" s="2692"/>
      <c r="BV45" s="2692"/>
      <c r="BW45" s="2692"/>
      <c r="BX45" s="2692"/>
      <c r="BY45" s="2692"/>
      <c r="BZ45" s="2692"/>
      <c r="CA45" s="2692"/>
      <c r="CB45" s="2692"/>
      <c r="CC45" s="2692"/>
      <c r="CD45" s="2692"/>
      <c r="CE45" s="2692"/>
      <c r="CF45" s="2692"/>
      <c r="CG45" s="2692"/>
      <c r="CH45" s="2692"/>
      <c r="CI45" s="2692"/>
      <c r="CJ45" s="2692"/>
      <c r="CK45" s="2692"/>
      <c r="CL45" s="2692"/>
      <c r="CM45" s="2692"/>
      <c r="CN45" s="2692"/>
      <c r="CO45" s="2692"/>
      <c r="CP45" s="2692"/>
      <c r="CQ45" s="2692"/>
      <c r="CR45" s="2692"/>
      <c r="CS45" s="2692"/>
      <c r="CT45" s="2692"/>
      <c r="CU45" s="2692"/>
      <c r="CV45" s="2692"/>
      <c r="CW45" s="2692"/>
      <c r="CX45" s="2692"/>
      <c r="CY45" s="2692"/>
      <c r="CZ45" s="2692"/>
      <c r="DA45" s="2692"/>
      <c r="DB45" s="2692"/>
      <c r="DC45" s="2692"/>
      <c r="DD45" s="2692"/>
      <c r="DE45" s="2692"/>
      <c r="DF45" s="2692"/>
      <c r="DG45" s="2692"/>
      <c r="DH45" s="2692"/>
      <c r="DI45" s="2692"/>
      <c r="DJ45" s="2692"/>
      <c r="DK45" s="2692"/>
      <c r="DL45" s="2692"/>
      <c r="DM45" s="2692"/>
      <c r="DN45" s="2692"/>
      <c r="DO45" s="2692"/>
      <c r="DP45" s="2692"/>
      <c r="DQ45" s="2692"/>
      <c r="DR45" s="2692"/>
      <c r="DS45" s="2692"/>
      <c r="DT45" s="2692"/>
      <c r="DU45" s="2692"/>
      <c r="DV45" s="2692"/>
      <c r="DW45" s="2692"/>
      <c r="DX45" s="2692"/>
      <c r="DY45" s="2692"/>
      <c r="DZ45" s="2692"/>
      <c r="EA45" s="2692"/>
      <c r="EB45" s="2692"/>
      <c r="EC45" s="2692"/>
      <c r="ED45" s="2692"/>
      <c r="EE45" s="2692"/>
      <c r="EF45" s="2692"/>
      <c r="EG45" s="2692"/>
      <c r="EH45" s="2692"/>
      <c r="EI45" s="2692"/>
      <c r="EJ45" s="2692"/>
      <c r="EK45" s="2692"/>
      <c r="EL45" s="2692"/>
      <c r="EM45" s="2692"/>
      <c r="EN45" s="2692"/>
      <c r="EO45" s="2692"/>
      <c r="EP45" s="2692"/>
      <c r="EQ45" s="2692"/>
      <c r="ER45" s="2692"/>
      <c r="ES45" s="2692"/>
      <c r="ET45" s="2692"/>
      <c r="EU45" s="2692"/>
      <c r="EV45" s="2692"/>
      <c r="EW45" s="2692"/>
      <c r="EX45" s="2692"/>
      <c r="EY45" s="2692"/>
      <c r="EZ45" s="2692"/>
      <c r="FA45" s="2692"/>
      <c r="FB45" s="2692"/>
      <c r="FC45" s="2692"/>
      <c r="FD45" s="2692"/>
      <c r="FE45" s="2692"/>
      <c r="FF45" s="2692"/>
      <c r="FG45" s="2692"/>
      <c r="FH45" s="2692"/>
      <c r="FI45" s="2692"/>
      <c r="FJ45" s="2692"/>
      <c r="FK45" s="2692"/>
      <c r="FL45" s="2692"/>
      <c r="FM45" s="2692"/>
      <c r="FN45" s="2692"/>
      <c r="FO45" s="2692"/>
      <c r="FP45" s="2692"/>
      <c r="FQ45" s="2692"/>
      <c r="FR45" s="2692"/>
      <c r="FS45" s="2692"/>
      <c r="FT45" s="2692"/>
      <c r="FU45" s="2692"/>
      <c r="FV45" s="2692"/>
      <c r="FW45" s="2692"/>
      <c r="FX45" s="2692"/>
      <c r="FY45" s="2692"/>
      <c r="FZ45" s="2692"/>
      <c r="GA45" s="2692"/>
      <c r="GB45" s="2692"/>
      <c r="GC45" s="2692"/>
      <c r="GD45" s="2692"/>
      <c r="GE45" s="2692"/>
      <c r="GF45" s="2692"/>
      <c r="GG45" s="2692"/>
      <c r="GH45" s="2692"/>
      <c r="GI45" s="2692"/>
      <c r="GJ45" s="2692"/>
      <c r="GK45" s="2692"/>
      <c r="GL45" s="2692"/>
      <c r="GM45" s="2692"/>
      <c r="GN45" s="2692"/>
      <c r="GO45" s="2692"/>
      <c r="GP45" s="2692"/>
      <c r="GQ45" s="2692"/>
      <c r="GR45" s="2692"/>
      <c r="GS45" s="2692"/>
      <c r="GT45" s="2692"/>
      <c r="GU45" s="2692"/>
      <c r="GV45" s="2692"/>
      <c r="GW45" s="2692"/>
      <c r="GX45" s="2692"/>
      <c r="GY45" s="2692"/>
      <c r="GZ45" s="2692"/>
      <c r="HA45" s="2692"/>
      <c r="HB45" s="2692"/>
      <c r="HC45" s="2692"/>
      <c r="HD45" s="2692"/>
      <c r="HE45" s="2692"/>
      <c r="HF45" s="2692"/>
      <c r="HG45" s="2692"/>
      <c r="HH45" s="2692"/>
      <c r="HI45" s="2692"/>
      <c r="HJ45" s="2692"/>
      <c r="HK45" s="2692"/>
      <c r="HL45" s="2692"/>
      <c r="HM45" s="2692"/>
      <c r="HN45" s="2692"/>
      <c r="HO45" s="2692"/>
      <c r="HP45" s="2692"/>
      <c r="HQ45" s="2692"/>
      <c r="HR45" s="2692"/>
      <c r="HS45" s="2692"/>
      <c r="HT45" s="2692"/>
      <c r="HU45" s="2692"/>
      <c r="HV45" s="2692"/>
      <c r="HW45" s="2692"/>
      <c r="HX45" s="2692"/>
      <c r="HY45" s="2692"/>
      <c r="HZ45" s="2692"/>
      <c r="IA45" s="2692"/>
      <c r="IB45" s="2692"/>
      <c r="IC45" s="2692"/>
      <c r="ID45" s="2692"/>
      <c r="IE45" s="2692"/>
      <c r="IF45" s="2692"/>
      <c r="IG45" s="2692"/>
      <c r="IH45" s="2692"/>
      <c r="II45" s="2692"/>
      <c r="IJ45" s="2692"/>
      <c r="IK45" s="2692"/>
      <c r="IL45" s="2692"/>
      <c r="IM45" s="2692"/>
      <c r="IN45" s="2692"/>
      <c r="IO45" s="2692"/>
      <c r="IP45" s="2692"/>
      <c r="IQ45" s="2692"/>
      <c r="IR45" s="2692"/>
      <c r="IS45" s="2692"/>
      <c r="IT45" s="2692"/>
      <c r="IU45" s="2692"/>
      <c r="IV45" s="2692"/>
    </row>
    <row r="46" spans="1:256" s="40" customFormat="1" ht="13.5" thickBot="1" x14ac:dyDescent="0.35">
      <c r="A46" s="2707"/>
      <c r="B46" s="2708"/>
      <c r="C46" s="2708"/>
      <c r="D46" s="2708"/>
      <c r="E46" s="2709"/>
      <c r="F46" s="2708"/>
      <c r="G46" s="2708"/>
      <c r="H46" s="2708"/>
      <c r="I46" s="2708"/>
      <c r="J46" s="2709"/>
      <c r="K46" s="2692"/>
      <c r="L46" s="2692"/>
      <c r="M46" s="2692"/>
      <c r="N46" s="2692"/>
      <c r="O46" s="2692"/>
      <c r="P46" s="2692"/>
      <c r="Q46" s="2692"/>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692"/>
      <c r="AP46" s="2692"/>
      <c r="AQ46" s="2692"/>
      <c r="AR46" s="2692"/>
      <c r="AS46" s="2692"/>
      <c r="AT46" s="2692"/>
      <c r="AU46" s="2692"/>
      <c r="AV46" s="2692"/>
      <c r="AW46" s="2692"/>
      <c r="AX46" s="2692"/>
      <c r="AY46" s="2692"/>
      <c r="AZ46" s="2692"/>
      <c r="BA46" s="2692"/>
      <c r="BB46" s="2692"/>
      <c r="BC46" s="2692"/>
      <c r="BD46" s="2692"/>
      <c r="BE46" s="2692"/>
      <c r="BF46" s="2692"/>
      <c r="BG46" s="2692"/>
      <c r="BH46" s="2692"/>
      <c r="BI46" s="2692"/>
      <c r="BJ46" s="2692"/>
      <c r="BK46" s="2692"/>
      <c r="BL46" s="2692"/>
      <c r="BM46" s="2692"/>
      <c r="BN46" s="2692"/>
      <c r="BO46" s="2692"/>
      <c r="BP46" s="2692"/>
      <c r="BQ46" s="2692"/>
      <c r="BR46" s="2692"/>
      <c r="BS46" s="2692"/>
      <c r="BT46" s="2692"/>
      <c r="BU46" s="2692"/>
      <c r="BV46" s="2692"/>
      <c r="BW46" s="2692"/>
      <c r="BX46" s="2692"/>
      <c r="BY46" s="2692"/>
      <c r="BZ46" s="2692"/>
      <c r="CA46" s="2692"/>
      <c r="CB46" s="2692"/>
      <c r="CC46" s="2692"/>
      <c r="CD46" s="2692"/>
      <c r="CE46" s="2692"/>
      <c r="CF46" s="2692"/>
      <c r="CG46" s="2692"/>
      <c r="CH46" s="2692"/>
      <c r="CI46" s="2692"/>
      <c r="CJ46" s="2692"/>
      <c r="CK46" s="2692"/>
      <c r="CL46" s="2692"/>
      <c r="CM46" s="2692"/>
      <c r="CN46" s="2692"/>
      <c r="CO46" s="2692"/>
      <c r="CP46" s="2692"/>
      <c r="CQ46" s="2692"/>
      <c r="CR46" s="2692"/>
      <c r="CS46" s="2692"/>
      <c r="CT46" s="2692"/>
      <c r="CU46" s="2692"/>
      <c r="CV46" s="2692"/>
      <c r="CW46" s="2692"/>
      <c r="CX46" s="2692"/>
      <c r="CY46" s="2692"/>
      <c r="CZ46" s="2692"/>
      <c r="DA46" s="2692"/>
      <c r="DB46" s="2692"/>
      <c r="DC46" s="2692"/>
      <c r="DD46" s="2692"/>
      <c r="DE46" s="2692"/>
      <c r="DF46" s="2692"/>
      <c r="DG46" s="2692"/>
      <c r="DH46" s="2692"/>
      <c r="DI46" s="2692"/>
      <c r="DJ46" s="2692"/>
      <c r="DK46" s="2692"/>
      <c r="DL46" s="2692"/>
      <c r="DM46" s="2692"/>
      <c r="DN46" s="2692"/>
      <c r="DO46" s="2692"/>
      <c r="DP46" s="2692"/>
      <c r="DQ46" s="2692"/>
      <c r="DR46" s="2692"/>
      <c r="DS46" s="2692"/>
      <c r="DT46" s="2692"/>
      <c r="DU46" s="2692"/>
      <c r="DV46" s="2692"/>
      <c r="DW46" s="2692"/>
      <c r="DX46" s="2692"/>
      <c r="DY46" s="2692"/>
      <c r="DZ46" s="2692"/>
      <c r="EA46" s="2692"/>
      <c r="EB46" s="2692"/>
      <c r="EC46" s="2692"/>
      <c r="ED46" s="2692"/>
      <c r="EE46" s="2692"/>
      <c r="EF46" s="2692"/>
      <c r="EG46" s="2692"/>
      <c r="EH46" s="2692"/>
      <c r="EI46" s="2692"/>
      <c r="EJ46" s="2692"/>
      <c r="EK46" s="2692"/>
      <c r="EL46" s="2692"/>
      <c r="EM46" s="2692"/>
      <c r="EN46" s="2692"/>
      <c r="EO46" s="2692"/>
      <c r="EP46" s="2692"/>
      <c r="EQ46" s="2692"/>
      <c r="ER46" s="2692"/>
      <c r="ES46" s="2692"/>
      <c r="ET46" s="2692"/>
      <c r="EU46" s="2692"/>
      <c r="EV46" s="2692"/>
      <c r="EW46" s="2692"/>
      <c r="EX46" s="2692"/>
      <c r="EY46" s="2692"/>
      <c r="EZ46" s="2692"/>
      <c r="FA46" s="2692"/>
      <c r="FB46" s="2692"/>
      <c r="FC46" s="2692"/>
      <c r="FD46" s="2692"/>
      <c r="FE46" s="2692"/>
      <c r="FF46" s="2692"/>
      <c r="FG46" s="2692"/>
      <c r="FH46" s="2692"/>
      <c r="FI46" s="2692"/>
      <c r="FJ46" s="2692"/>
      <c r="FK46" s="2692"/>
      <c r="FL46" s="2692"/>
      <c r="FM46" s="2692"/>
      <c r="FN46" s="2692"/>
      <c r="FO46" s="2692"/>
      <c r="FP46" s="2692"/>
      <c r="FQ46" s="2692"/>
      <c r="FR46" s="2692"/>
      <c r="FS46" s="2692"/>
      <c r="FT46" s="2692"/>
      <c r="FU46" s="2692"/>
      <c r="FV46" s="2692"/>
      <c r="FW46" s="2692"/>
      <c r="FX46" s="2692"/>
      <c r="FY46" s="2692"/>
      <c r="FZ46" s="2692"/>
      <c r="GA46" s="2692"/>
      <c r="GB46" s="2692"/>
      <c r="GC46" s="2692"/>
      <c r="GD46" s="2692"/>
      <c r="GE46" s="2692"/>
      <c r="GF46" s="2692"/>
      <c r="GG46" s="2692"/>
      <c r="GH46" s="2692"/>
      <c r="GI46" s="2692"/>
      <c r="GJ46" s="2692"/>
      <c r="GK46" s="2692"/>
      <c r="GL46" s="2692"/>
      <c r="GM46" s="2692"/>
      <c r="GN46" s="2692"/>
      <c r="GO46" s="2692"/>
      <c r="GP46" s="2692"/>
      <c r="GQ46" s="2692"/>
      <c r="GR46" s="2692"/>
      <c r="GS46" s="2692"/>
      <c r="GT46" s="2692"/>
      <c r="GU46" s="2692"/>
      <c r="GV46" s="2692"/>
      <c r="GW46" s="2692"/>
      <c r="GX46" s="2692"/>
      <c r="GY46" s="2692"/>
      <c r="GZ46" s="2692"/>
      <c r="HA46" s="2692"/>
      <c r="HB46" s="2692"/>
      <c r="HC46" s="2692"/>
      <c r="HD46" s="2692"/>
      <c r="HE46" s="2692"/>
      <c r="HF46" s="2692"/>
      <c r="HG46" s="2692"/>
      <c r="HH46" s="2692"/>
      <c r="HI46" s="2692"/>
      <c r="HJ46" s="2692"/>
      <c r="HK46" s="2692"/>
      <c r="HL46" s="2692"/>
      <c r="HM46" s="2692"/>
      <c r="HN46" s="2692"/>
      <c r="HO46" s="2692"/>
      <c r="HP46" s="2692"/>
      <c r="HQ46" s="2692"/>
      <c r="HR46" s="2692"/>
      <c r="HS46" s="2692"/>
      <c r="HT46" s="2692"/>
      <c r="HU46" s="2692"/>
      <c r="HV46" s="2692"/>
      <c r="HW46" s="2692"/>
      <c r="HX46" s="2692"/>
      <c r="HY46" s="2692"/>
      <c r="HZ46" s="2692"/>
      <c r="IA46" s="2692"/>
      <c r="IB46" s="2692"/>
      <c r="IC46" s="2692"/>
      <c r="ID46" s="2692"/>
      <c r="IE46" s="2692"/>
      <c r="IF46" s="2692"/>
      <c r="IG46" s="2692"/>
      <c r="IH46" s="2692"/>
      <c r="II46" s="2692"/>
      <c r="IJ46" s="2692"/>
      <c r="IK46" s="2692"/>
      <c r="IL46" s="2692"/>
      <c r="IM46" s="2692"/>
      <c r="IN46" s="2692"/>
      <c r="IO46" s="2692"/>
      <c r="IP46" s="2692"/>
      <c r="IQ46" s="2692"/>
      <c r="IR46" s="2692"/>
      <c r="IS46" s="2692"/>
      <c r="IT46" s="2692"/>
      <c r="IU46" s="2692"/>
      <c r="IV46" s="2692"/>
    </row>
    <row r="47" spans="1:256" s="40" customFormat="1" ht="13.5" thickTop="1" x14ac:dyDescent="0.3">
      <c r="A47" s="2766"/>
      <c r="B47" s="2767" t="s">
        <v>2625</v>
      </c>
      <c r="C47" s="2767"/>
      <c r="D47" s="2767"/>
      <c r="E47" s="2768"/>
      <c r="F47" s="2710"/>
      <c r="G47" s="3395" t="s">
        <v>2626</v>
      </c>
      <c r="H47" s="3395"/>
      <c r="I47" s="3395"/>
      <c r="J47" s="3396"/>
      <c r="K47" s="2692"/>
      <c r="L47" s="2692"/>
      <c r="M47" s="2692"/>
      <c r="N47" s="2692"/>
      <c r="O47" s="2692"/>
      <c r="P47" s="2692"/>
      <c r="Q47" s="2692"/>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692"/>
      <c r="AP47" s="2692"/>
      <c r="AQ47" s="2692"/>
      <c r="AR47" s="2692"/>
      <c r="AS47" s="2692"/>
      <c r="AT47" s="2692"/>
      <c r="AU47" s="2692"/>
      <c r="AV47" s="2692"/>
      <c r="AW47" s="2692"/>
      <c r="AX47" s="2692"/>
      <c r="AY47" s="2692"/>
      <c r="AZ47" s="2692"/>
      <c r="BA47" s="2692"/>
      <c r="BB47" s="2692"/>
      <c r="BC47" s="2692"/>
      <c r="BD47" s="2692"/>
      <c r="BE47" s="2692"/>
      <c r="BF47" s="2692"/>
      <c r="BG47" s="2692"/>
      <c r="BH47" s="2692"/>
      <c r="BI47" s="2692"/>
      <c r="BJ47" s="2692"/>
      <c r="BK47" s="2692"/>
      <c r="BL47" s="2692"/>
      <c r="BM47" s="2692"/>
      <c r="BN47" s="2692"/>
      <c r="BO47" s="2692"/>
      <c r="BP47" s="2692"/>
      <c r="BQ47" s="2692"/>
      <c r="BR47" s="2692"/>
      <c r="BS47" s="2692"/>
      <c r="BT47" s="2692"/>
      <c r="BU47" s="2692"/>
      <c r="BV47" s="2692"/>
      <c r="BW47" s="2692"/>
      <c r="BX47" s="2692"/>
      <c r="BY47" s="2692"/>
      <c r="BZ47" s="2692"/>
      <c r="CA47" s="2692"/>
      <c r="CB47" s="2692"/>
      <c r="CC47" s="2692"/>
      <c r="CD47" s="2692"/>
      <c r="CE47" s="2692"/>
      <c r="CF47" s="2692"/>
      <c r="CG47" s="2692"/>
      <c r="CH47" s="2692"/>
      <c r="CI47" s="2692"/>
      <c r="CJ47" s="2692"/>
      <c r="CK47" s="2692"/>
      <c r="CL47" s="2692"/>
      <c r="CM47" s="2692"/>
      <c r="CN47" s="2692"/>
      <c r="CO47" s="2692"/>
      <c r="CP47" s="2692"/>
      <c r="CQ47" s="2692"/>
      <c r="CR47" s="2692"/>
      <c r="CS47" s="2692"/>
      <c r="CT47" s="2692"/>
      <c r="CU47" s="2692"/>
      <c r="CV47" s="2692"/>
      <c r="CW47" s="2692"/>
      <c r="CX47" s="2692"/>
      <c r="CY47" s="2692"/>
      <c r="CZ47" s="2692"/>
      <c r="DA47" s="2692"/>
      <c r="DB47" s="2692"/>
      <c r="DC47" s="2692"/>
      <c r="DD47" s="2692"/>
      <c r="DE47" s="2692"/>
      <c r="DF47" s="2692"/>
      <c r="DG47" s="2692"/>
      <c r="DH47" s="2692"/>
      <c r="DI47" s="2692"/>
      <c r="DJ47" s="2692"/>
      <c r="DK47" s="2692"/>
      <c r="DL47" s="2692"/>
      <c r="DM47" s="2692"/>
      <c r="DN47" s="2692"/>
      <c r="DO47" s="2692"/>
      <c r="DP47" s="2692"/>
      <c r="DQ47" s="2692"/>
      <c r="DR47" s="2692"/>
      <c r="DS47" s="2692"/>
      <c r="DT47" s="2692"/>
      <c r="DU47" s="2692"/>
      <c r="DV47" s="2692"/>
      <c r="DW47" s="2692"/>
      <c r="DX47" s="2692"/>
      <c r="DY47" s="2692"/>
      <c r="DZ47" s="2692"/>
      <c r="EA47" s="2692"/>
      <c r="EB47" s="2692"/>
      <c r="EC47" s="2692"/>
      <c r="ED47" s="2692"/>
      <c r="EE47" s="2692"/>
      <c r="EF47" s="2692"/>
      <c r="EG47" s="2692"/>
      <c r="EH47" s="2692"/>
      <c r="EI47" s="2692"/>
      <c r="EJ47" s="2692"/>
      <c r="EK47" s="2692"/>
      <c r="EL47" s="2692"/>
      <c r="EM47" s="2692"/>
      <c r="EN47" s="2692"/>
      <c r="EO47" s="2692"/>
      <c r="EP47" s="2692"/>
      <c r="EQ47" s="2692"/>
      <c r="ER47" s="2692"/>
      <c r="ES47" s="2692"/>
      <c r="ET47" s="2692"/>
      <c r="EU47" s="2692"/>
      <c r="EV47" s="2692"/>
      <c r="EW47" s="2692"/>
      <c r="EX47" s="2692"/>
      <c r="EY47" s="2692"/>
      <c r="EZ47" s="2692"/>
      <c r="FA47" s="2692"/>
      <c r="FB47" s="2692"/>
      <c r="FC47" s="2692"/>
      <c r="FD47" s="2692"/>
      <c r="FE47" s="2692"/>
      <c r="FF47" s="2692"/>
      <c r="FG47" s="2692"/>
      <c r="FH47" s="2692"/>
      <c r="FI47" s="2692"/>
      <c r="FJ47" s="2692"/>
      <c r="FK47" s="2692"/>
      <c r="FL47" s="2692"/>
      <c r="FM47" s="2692"/>
      <c r="FN47" s="2692"/>
      <c r="FO47" s="2692"/>
      <c r="FP47" s="2692"/>
      <c r="FQ47" s="2692"/>
      <c r="FR47" s="2692"/>
      <c r="FS47" s="2692"/>
      <c r="FT47" s="2692"/>
      <c r="FU47" s="2692"/>
      <c r="FV47" s="2692"/>
      <c r="FW47" s="2692"/>
      <c r="FX47" s="2692"/>
      <c r="FY47" s="2692"/>
      <c r="FZ47" s="2692"/>
      <c r="GA47" s="2692"/>
      <c r="GB47" s="2692"/>
      <c r="GC47" s="2692"/>
      <c r="GD47" s="2692"/>
      <c r="GE47" s="2692"/>
      <c r="GF47" s="2692"/>
      <c r="GG47" s="2692"/>
      <c r="GH47" s="2692"/>
      <c r="GI47" s="2692"/>
      <c r="GJ47" s="2692"/>
      <c r="GK47" s="2692"/>
      <c r="GL47" s="2692"/>
      <c r="GM47" s="2692"/>
      <c r="GN47" s="2692"/>
      <c r="GO47" s="2692"/>
      <c r="GP47" s="2692"/>
      <c r="GQ47" s="2692"/>
      <c r="GR47" s="2692"/>
      <c r="GS47" s="2692"/>
      <c r="GT47" s="2692"/>
      <c r="GU47" s="2692"/>
      <c r="GV47" s="2692"/>
      <c r="GW47" s="2692"/>
      <c r="GX47" s="2692"/>
      <c r="GY47" s="2692"/>
      <c r="GZ47" s="2692"/>
      <c r="HA47" s="2692"/>
      <c r="HB47" s="2692"/>
      <c r="HC47" s="2692"/>
      <c r="HD47" s="2692"/>
      <c r="HE47" s="2692"/>
      <c r="HF47" s="2692"/>
      <c r="HG47" s="2692"/>
      <c r="HH47" s="2692"/>
      <c r="HI47" s="2692"/>
      <c r="HJ47" s="2692"/>
      <c r="HK47" s="2692"/>
      <c r="HL47" s="2692"/>
      <c r="HM47" s="2692"/>
      <c r="HN47" s="2692"/>
      <c r="HO47" s="2692"/>
      <c r="HP47" s="2692"/>
      <c r="HQ47" s="2692"/>
      <c r="HR47" s="2692"/>
      <c r="HS47" s="2692"/>
      <c r="HT47" s="2692"/>
      <c r="HU47" s="2692"/>
      <c r="HV47" s="2692"/>
      <c r="HW47" s="2692"/>
      <c r="HX47" s="2692"/>
      <c r="HY47" s="2692"/>
      <c r="HZ47" s="2692"/>
      <c r="IA47" s="2692"/>
      <c r="IB47" s="2692"/>
      <c r="IC47" s="2692"/>
      <c r="ID47" s="2692"/>
      <c r="IE47" s="2692"/>
      <c r="IF47" s="2692"/>
      <c r="IG47" s="2692"/>
      <c r="IH47" s="2692"/>
      <c r="II47" s="2692"/>
      <c r="IJ47" s="2692"/>
      <c r="IK47" s="2692"/>
      <c r="IL47" s="2692"/>
      <c r="IM47" s="2692"/>
      <c r="IN47" s="2692"/>
      <c r="IO47" s="2692"/>
      <c r="IP47" s="2692"/>
      <c r="IQ47" s="2692"/>
      <c r="IR47" s="2692"/>
      <c r="IS47" s="2692"/>
      <c r="IT47" s="2692"/>
      <c r="IU47" s="2692"/>
      <c r="IV47" s="2692"/>
    </row>
    <row r="48" spans="1:256" s="40" customFormat="1" ht="13" x14ac:dyDescent="0.3">
      <c r="A48" s="2702"/>
      <c r="B48" s="2700"/>
      <c r="C48" s="2700"/>
      <c r="D48" s="2700"/>
      <c r="E48" s="2701"/>
      <c r="F48" s="2700"/>
      <c r="G48" s="2700"/>
      <c r="H48" s="2700"/>
      <c r="I48" s="2700"/>
      <c r="J48" s="2701"/>
      <c r="K48" s="2692"/>
      <c r="L48" s="2692"/>
      <c r="M48" s="2692"/>
      <c r="N48" s="2692"/>
      <c r="O48" s="2692"/>
      <c r="P48" s="2692"/>
      <c r="Q48" s="2692"/>
      <c r="R48" s="2692"/>
      <c r="S48" s="2692"/>
      <c r="T48" s="2692"/>
      <c r="U48" s="2692"/>
      <c r="V48" s="2692"/>
      <c r="W48" s="2692"/>
      <c r="X48" s="2692"/>
      <c r="Y48" s="2692"/>
      <c r="Z48" s="2692"/>
      <c r="AA48" s="2692"/>
      <c r="AB48" s="2692"/>
      <c r="AC48" s="2692"/>
      <c r="AD48" s="2692"/>
      <c r="AE48" s="2692"/>
      <c r="AF48" s="2692"/>
      <c r="AG48" s="2692"/>
      <c r="AH48" s="2692"/>
      <c r="AI48" s="2692"/>
      <c r="AJ48" s="2692"/>
      <c r="AK48" s="2692"/>
      <c r="AL48" s="2692"/>
      <c r="AM48" s="2692"/>
      <c r="AN48" s="2692"/>
      <c r="AO48" s="2692"/>
      <c r="AP48" s="2692"/>
      <c r="AQ48" s="2692"/>
      <c r="AR48" s="2692"/>
      <c r="AS48" s="2692"/>
      <c r="AT48" s="2692"/>
      <c r="AU48" s="2692"/>
      <c r="AV48" s="2692"/>
      <c r="AW48" s="2692"/>
      <c r="AX48" s="2692"/>
      <c r="AY48" s="2692"/>
      <c r="AZ48" s="2692"/>
      <c r="BA48" s="2692"/>
      <c r="BB48" s="2692"/>
      <c r="BC48" s="2692"/>
      <c r="BD48" s="2692"/>
      <c r="BE48" s="2692"/>
      <c r="BF48" s="2692"/>
      <c r="BG48" s="2692"/>
      <c r="BH48" s="2692"/>
      <c r="BI48" s="2692"/>
      <c r="BJ48" s="2692"/>
      <c r="BK48" s="2692"/>
      <c r="BL48" s="2692"/>
      <c r="BM48" s="2692"/>
      <c r="BN48" s="2692"/>
      <c r="BO48" s="2692"/>
      <c r="BP48" s="2692"/>
      <c r="BQ48" s="2692"/>
      <c r="BR48" s="2692"/>
      <c r="BS48" s="2692"/>
      <c r="BT48" s="2692"/>
      <c r="BU48" s="2692"/>
      <c r="BV48" s="2692"/>
      <c r="BW48" s="2692"/>
      <c r="BX48" s="2692"/>
      <c r="BY48" s="2692"/>
      <c r="BZ48" s="2692"/>
      <c r="CA48" s="2692"/>
      <c r="CB48" s="2692"/>
      <c r="CC48" s="2692"/>
      <c r="CD48" s="2692"/>
      <c r="CE48" s="2692"/>
      <c r="CF48" s="2692"/>
      <c r="CG48" s="2692"/>
      <c r="CH48" s="2692"/>
      <c r="CI48" s="2692"/>
      <c r="CJ48" s="2692"/>
      <c r="CK48" s="2692"/>
      <c r="CL48" s="2692"/>
      <c r="CM48" s="2692"/>
      <c r="CN48" s="2692"/>
      <c r="CO48" s="2692"/>
      <c r="CP48" s="2692"/>
      <c r="CQ48" s="2692"/>
      <c r="CR48" s="2692"/>
      <c r="CS48" s="2692"/>
      <c r="CT48" s="2692"/>
      <c r="CU48" s="2692"/>
      <c r="CV48" s="2692"/>
      <c r="CW48" s="2692"/>
      <c r="CX48" s="2692"/>
      <c r="CY48" s="2692"/>
      <c r="CZ48" s="2692"/>
      <c r="DA48" s="2692"/>
      <c r="DB48" s="2692"/>
      <c r="DC48" s="2692"/>
      <c r="DD48" s="2692"/>
      <c r="DE48" s="2692"/>
      <c r="DF48" s="2692"/>
      <c r="DG48" s="2692"/>
      <c r="DH48" s="2692"/>
      <c r="DI48" s="2692"/>
      <c r="DJ48" s="2692"/>
      <c r="DK48" s="2692"/>
      <c r="DL48" s="2692"/>
      <c r="DM48" s="2692"/>
      <c r="DN48" s="2692"/>
      <c r="DO48" s="2692"/>
      <c r="DP48" s="2692"/>
      <c r="DQ48" s="2692"/>
      <c r="DR48" s="2692"/>
      <c r="DS48" s="2692"/>
      <c r="DT48" s="2692"/>
      <c r="DU48" s="2692"/>
      <c r="DV48" s="2692"/>
      <c r="DW48" s="2692"/>
      <c r="DX48" s="2692"/>
      <c r="DY48" s="2692"/>
      <c r="DZ48" s="2692"/>
      <c r="EA48" s="2692"/>
      <c r="EB48" s="2692"/>
      <c r="EC48" s="2692"/>
      <c r="ED48" s="2692"/>
      <c r="EE48" s="2692"/>
      <c r="EF48" s="2692"/>
      <c r="EG48" s="2692"/>
      <c r="EH48" s="2692"/>
      <c r="EI48" s="2692"/>
      <c r="EJ48" s="2692"/>
      <c r="EK48" s="2692"/>
      <c r="EL48" s="2692"/>
      <c r="EM48" s="2692"/>
      <c r="EN48" s="2692"/>
      <c r="EO48" s="2692"/>
      <c r="EP48" s="2692"/>
      <c r="EQ48" s="2692"/>
      <c r="ER48" s="2692"/>
      <c r="ES48" s="2692"/>
      <c r="ET48" s="2692"/>
      <c r="EU48" s="2692"/>
      <c r="EV48" s="2692"/>
      <c r="EW48" s="2692"/>
      <c r="EX48" s="2692"/>
      <c r="EY48" s="2692"/>
      <c r="EZ48" s="2692"/>
      <c r="FA48" s="2692"/>
      <c r="FB48" s="2692"/>
      <c r="FC48" s="2692"/>
      <c r="FD48" s="2692"/>
      <c r="FE48" s="2692"/>
      <c r="FF48" s="2692"/>
      <c r="FG48" s="2692"/>
      <c r="FH48" s="2692"/>
      <c r="FI48" s="2692"/>
      <c r="FJ48" s="2692"/>
      <c r="FK48" s="2692"/>
      <c r="FL48" s="2692"/>
      <c r="FM48" s="2692"/>
      <c r="FN48" s="2692"/>
      <c r="FO48" s="2692"/>
      <c r="FP48" s="2692"/>
      <c r="FQ48" s="2692"/>
      <c r="FR48" s="2692"/>
      <c r="FS48" s="2692"/>
      <c r="FT48" s="2692"/>
      <c r="FU48" s="2692"/>
      <c r="FV48" s="2692"/>
      <c r="FW48" s="2692"/>
      <c r="FX48" s="2692"/>
      <c r="FY48" s="2692"/>
      <c r="FZ48" s="2692"/>
      <c r="GA48" s="2692"/>
      <c r="GB48" s="2692"/>
      <c r="GC48" s="2692"/>
      <c r="GD48" s="2692"/>
      <c r="GE48" s="2692"/>
      <c r="GF48" s="2692"/>
      <c r="GG48" s="2692"/>
      <c r="GH48" s="2692"/>
      <c r="GI48" s="2692"/>
      <c r="GJ48" s="2692"/>
      <c r="GK48" s="2692"/>
      <c r="GL48" s="2692"/>
      <c r="GM48" s="2692"/>
      <c r="GN48" s="2692"/>
      <c r="GO48" s="2692"/>
      <c r="GP48" s="2692"/>
      <c r="GQ48" s="2692"/>
      <c r="GR48" s="2692"/>
      <c r="GS48" s="2692"/>
      <c r="GT48" s="2692"/>
      <c r="GU48" s="2692"/>
      <c r="GV48" s="2692"/>
      <c r="GW48" s="2692"/>
      <c r="GX48" s="2692"/>
      <c r="GY48" s="2692"/>
      <c r="GZ48" s="2692"/>
      <c r="HA48" s="2692"/>
      <c r="HB48" s="2692"/>
      <c r="HC48" s="2692"/>
      <c r="HD48" s="2692"/>
      <c r="HE48" s="2692"/>
      <c r="HF48" s="2692"/>
      <c r="HG48" s="2692"/>
      <c r="HH48" s="2692"/>
      <c r="HI48" s="2692"/>
      <c r="HJ48" s="2692"/>
      <c r="HK48" s="2692"/>
      <c r="HL48" s="2692"/>
      <c r="HM48" s="2692"/>
      <c r="HN48" s="2692"/>
      <c r="HO48" s="2692"/>
      <c r="HP48" s="2692"/>
      <c r="HQ48" s="2692"/>
      <c r="HR48" s="2692"/>
      <c r="HS48" s="2692"/>
      <c r="HT48" s="2692"/>
      <c r="HU48" s="2692"/>
      <c r="HV48" s="2692"/>
      <c r="HW48" s="2692"/>
      <c r="HX48" s="2692"/>
      <c r="HY48" s="2692"/>
      <c r="HZ48" s="2692"/>
      <c r="IA48" s="2692"/>
      <c r="IB48" s="2692"/>
      <c r="IC48" s="2692"/>
      <c r="ID48" s="2692"/>
      <c r="IE48" s="2692"/>
      <c r="IF48" s="2692"/>
      <c r="IG48" s="2692"/>
      <c r="IH48" s="2692"/>
      <c r="II48" s="2692"/>
      <c r="IJ48" s="2692"/>
      <c r="IK48" s="2692"/>
      <c r="IL48" s="2692"/>
      <c r="IM48" s="2692"/>
      <c r="IN48" s="2692"/>
      <c r="IO48" s="2692"/>
      <c r="IP48" s="2692"/>
      <c r="IQ48" s="2692"/>
      <c r="IR48" s="2692"/>
      <c r="IS48" s="2692"/>
      <c r="IT48" s="2692"/>
      <c r="IU48" s="2692"/>
      <c r="IV48" s="2692"/>
    </row>
    <row r="49" spans="1:256" s="40" customFormat="1" ht="13" x14ac:dyDescent="0.3">
      <c r="A49" s="2702"/>
      <c r="B49" s="2700"/>
      <c r="C49" s="2700"/>
      <c r="D49" s="2700"/>
      <c r="E49" s="2701"/>
      <c r="F49" s="2700"/>
      <c r="G49" s="2700"/>
      <c r="H49" s="2700"/>
      <c r="I49" s="2700"/>
      <c r="J49" s="2701"/>
      <c r="K49" s="2692"/>
      <c r="L49" s="2692"/>
      <c r="M49" s="2692"/>
      <c r="N49" s="2692"/>
      <c r="O49" s="2692"/>
      <c r="P49" s="2692"/>
      <c r="Q49" s="2692"/>
      <c r="R49" s="2692"/>
      <c r="S49" s="2692"/>
      <c r="T49" s="2692"/>
      <c r="U49" s="2692"/>
      <c r="V49" s="2692"/>
      <c r="W49" s="2692"/>
      <c r="X49" s="2692"/>
      <c r="Y49" s="2692"/>
      <c r="Z49" s="2692"/>
      <c r="AA49" s="2692"/>
      <c r="AB49" s="2692"/>
      <c r="AC49" s="2692"/>
      <c r="AD49" s="2692"/>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2"/>
      <c r="BC49" s="2692"/>
      <c r="BD49" s="2692"/>
      <c r="BE49" s="2692"/>
      <c r="BF49" s="2692"/>
      <c r="BG49" s="2692"/>
      <c r="BH49" s="2692"/>
      <c r="BI49" s="2692"/>
      <c r="BJ49" s="2692"/>
      <c r="BK49" s="2692"/>
      <c r="BL49" s="2692"/>
      <c r="BM49" s="2692"/>
      <c r="BN49" s="2692"/>
      <c r="BO49" s="2692"/>
      <c r="BP49" s="2692"/>
      <c r="BQ49" s="2692"/>
      <c r="BR49" s="2692"/>
      <c r="BS49" s="2692"/>
      <c r="BT49" s="2692"/>
      <c r="BU49" s="2692"/>
      <c r="BV49" s="2692"/>
      <c r="BW49" s="2692"/>
      <c r="BX49" s="2692"/>
      <c r="BY49" s="2692"/>
      <c r="BZ49" s="2692"/>
      <c r="CA49" s="2692"/>
      <c r="CB49" s="2692"/>
      <c r="CC49" s="2692"/>
      <c r="CD49" s="2692"/>
      <c r="CE49" s="2692"/>
      <c r="CF49" s="2692"/>
      <c r="CG49" s="2692"/>
      <c r="CH49" s="2692"/>
      <c r="CI49" s="2692"/>
      <c r="CJ49" s="2692"/>
      <c r="CK49" s="2692"/>
      <c r="CL49" s="2692"/>
      <c r="CM49" s="2692"/>
      <c r="CN49" s="2692"/>
      <c r="CO49" s="2692"/>
      <c r="CP49" s="2692"/>
      <c r="CQ49" s="2692"/>
      <c r="CR49" s="2692"/>
      <c r="CS49" s="2692"/>
      <c r="CT49" s="2692"/>
      <c r="CU49" s="2692"/>
      <c r="CV49" s="2692"/>
      <c r="CW49" s="2692"/>
      <c r="CX49" s="2692"/>
      <c r="CY49" s="2692"/>
      <c r="CZ49" s="2692"/>
      <c r="DA49" s="2692"/>
      <c r="DB49" s="2692"/>
      <c r="DC49" s="2692"/>
      <c r="DD49" s="2692"/>
      <c r="DE49" s="2692"/>
      <c r="DF49" s="2692"/>
      <c r="DG49" s="2692"/>
      <c r="DH49" s="2692"/>
      <c r="DI49" s="2692"/>
      <c r="DJ49" s="2692"/>
      <c r="DK49" s="2692"/>
      <c r="DL49" s="2692"/>
      <c r="DM49" s="2692"/>
      <c r="DN49" s="2692"/>
      <c r="DO49" s="2692"/>
      <c r="DP49" s="2692"/>
      <c r="DQ49" s="2692"/>
      <c r="DR49" s="2692"/>
      <c r="DS49" s="2692"/>
      <c r="DT49" s="2692"/>
      <c r="DU49" s="2692"/>
      <c r="DV49" s="2692"/>
      <c r="DW49" s="2692"/>
      <c r="DX49" s="2692"/>
      <c r="DY49" s="2692"/>
      <c r="DZ49" s="2692"/>
      <c r="EA49" s="2692"/>
      <c r="EB49" s="2692"/>
      <c r="EC49" s="2692"/>
      <c r="ED49" s="2692"/>
      <c r="EE49" s="2692"/>
      <c r="EF49" s="2692"/>
      <c r="EG49" s="2692"/>
      <c r="EH49" s="2692"/>
      <c r="EI49" s="2692"/>
      <c r="EJ49" s="2692"/>
      <c r="EK49" s="2692"/>
      <c r="EL49" s="2692"/>
      <c r="EM49" s="2692"/>
      <c r="EN49" s="2692"/>
      <c r="EO49" s="2692"/>
      <c r="EP49" s="2692"/>
      <c r="EQ49" s="2692"/>
      <c r="ER49" s="2692"/>
      <c r="ES49" s="2692"/>
      <c r="ET49" s="2692"/>
      <c r="EU49" s="2692"/>
      <c r="EV49" s="2692"/>
      <c r="EW49" s="2692"/>
      <c r="EX49" s="2692"/>
      <c r="EY49" s="2692"/>
      <c r="EZ49" s="2692"/>
      <c r="FA49" s="2692"/>
      <c r="FB49" s="2692"/>
      <c r="FC49" s="2692"/>
      <c r="FD49" s="2692"/>
      <c r="FE49" s="2692"/>
      <c r="FF49" s="2692"/>
      <c r="FG49" s="2692"/>
      <c r="FH49" s="2692"/>
      <c r="FI49" s="2692"/>
      <c r="FJ49" s="2692"/>
      <c r="FK49" s="2692"/>
      <c r="FL49" s="2692"/>
      <c r="FM49" s="2692"/>
      <c r="FN49" s="2692"/>
      <c r="FO49" s="2692"/>
      <c r="FP49" s="2692"/>
      <c r="FQ49" s="2692"/>
      <c r="FR49" s="2692"/>
      <c r="FS49" s="2692"/>
      <c r="FT49" s="2692"/>
      <c r="FU49" s="2692"/>
      <c r="FV49" s="2692"/>
      <c r="FW49" s="2692"/>
      <c r="FX49" s="2692"/>
      <c r="FY49" s="2692"/>
      <c r="FZ49" s="2692"/>
      <c r="GA49" s="2692"/>
      <c r="GB49" s="2692"/>
      <c r="GC49" s="2692"/>
      <c r="GD49" s="2692"/>
      <c r="GE49" s="2692"/>
      <c r="GF49" s="2692"/>
      <c r="GG49" s="2692"/>
      <c r="GH49" s="2692"/>
      <c r="GI49" s="2692"/>
      <c r="GJ49" s="2692"/>
      <c r="GK49" s="2692"/>
      <c r="GL49" s="2692"/>
      <c r="GM49" s="2692"/>
      <c r="GN49" s="2692"/>
      <c r="GO49" s="2692"/>
      <c r="GP49" s="2692"/>
      <c r="GQ49" s="2692"/>
      <c r="GR49" s="2692"/>
      <c r="GS49" s="2692"/>
      <c r="GT49" s="2692"/>
      <c r="GU49" s="2692"/>
      <c r="GV49" s="2692"/>
      <c r="GW49" s="2692"/>
      <c r="GX49" s="2692"/>
      <c r="GY49" s="2692"/>
      <c r="GZ49" s="2692"/>
      <c r="HA49" s="2692"/>
      <c r="HB49" s="2692"/>
      <c r="HC49" s="2692"/>
      <c r="HD49" s="2692"/>
      <c r="HE49" s="2692"/>
      <c r="HF49" s="2692"/>
      <c r="HG49" s="2692"/>
      <c r="HH49" s="2692"/>
      <c r="HI49" s="2692"/>
      <c r="HJ49" s="2692"/>
      <c r="HK49" s="2692"/>
      <c r="HL49" s="2692"/>
      <c r="HM49" s="2692"/>
      <c r="HN49" s="2692"/>
      <c r="HO49" s="2692"/>
      <c r="HP49" s="2692"/>
      <c r="HQ49" s="2692"/>
      <c r="HR49" s="2692"/>
      <c r="HS49" s="2692"/>
      <c r="HT49" s="2692"/>
      <c r="HU49" s="2692"/>
      <c r="HV49" s="2692"/>
      <c r="HW49" s="2692"/>
      <c r="HX49" s="2692"/>
      <c r="HY49" s="2692"/>
      <c r="HZ49" s="2692"/>
      <c r="IA49" s="2692"/>
      <c r="IB49" s="2692"/>
      <c r="IC49" s="2692"/>
      <c r="ID49" s="2692"/>
      <c r="IE49" s="2692"/>
      <c r="IF49" s="2692"/>
      <c r="IG49" s="2692"/>
      <c r="IH49" s="2692"/>
      <c r="II49" s="2692"/>
      <c r="IJ49" s="2692"/>
      <c r="IK49" s="2692"/>
      <c r="IL49" s="2692"/>
      <c r="IM49" s="2692"/>
      <c r="IN49" s="2692"/>
      <c r="IO49" s="2692"/>
      <c r="IP49" s="2692"/>
      <c r="IQ49" s="2692"/>
      <c r="IR49" s="2692"/>
      <c r="IS49" s="2692"/>
      <c r="IT49" s="2692"/>
      <c r="IU49" s="2692"/>
      <c r="IV49" s="2692"/>
    </row>
    <row r="50" spans="1:256" s="40" customFormat="1" ht="13" x14ac:dyDescent="0.3">
      <c r="A50" s="2702"/>
      <c r="B50" s="2700"/>
      <c r="C50" s="2700"/>
      <c r="D50" s="2700"/>
      <c r="E50" s="2701"/>
      <c r="F50" s="2700"/>
      <c r="G50" s="2700"/>
      <c r="H50" s="2700"/>
      <c r="I50" s="2700"/>
      <c r="J50" s="2701"/>
      <c r="K50" s="2692"/>
      <c r="L50" s="2692"/>
      <c r="M50" s="2692"/>
      <c r="N50" s="2692"/>
      <c r="O50" s="2692"/>
      <c r="P50" s="2692"/>
      <c r="Q50" s="2692"/>
      <c r="R50" s="2692"/>
      <c r="S50" s="2692"/>
      <c r="T50" s="2692"/>
      <c r="U50" s="2692"/>
      <c r="V50" s="2692"/>
      <c r="W50" s="2692"/>
      <c r="X50" s="2692"/>
      <c r="Y50" s="2692"/>
      <c r="Z50" s="2692"/>
      <c r="AA50" s="2692"/>
      <c r="AB50" s="2692"/>
      <c r="AC50" s="2692"/>
      <c r="AD50" s="2692"/>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2"/>
      <c r="BC50" s="2692"/>
      <c r="BD50" s="2692"/>
      <c r="BE50" s="2692"/>
      <c r="BF50" s="2692"/>
      <c r="BG50" s="2692"/>
      <c r="BH50" s="2692"/>
      <c r="BI50" s="2692"/>
      <c r="BJ50" s="2692"/>
      <c r="BK50" s="2692"/>
      <c r="BL50" s="2692"/>
      <c r="BM50" s="2692"/>
      <c r="BN50" s="2692"/>
      <c r="BO50" s="2692"/>
      <c r="BP50" s="2692"/>
      <c r="BQ50" s="2692"/>
      <c r="BR50" s="2692"/>
      <c r="BS50" s="2692"/>
      <c r="BT50" s="2692"/>
      <c r="BU50" s="2692"/>
      <c r="BV50" s="2692"/>
      <c r="BW50" s="2692"/>
      <c r="BX50" s="2692"/>
      <c r="BY50" s="2692"/>
      <c r="BZ50" s="2692"/>
      <c r="CA50" s="2692"/>
      <c r="CB50" s="2692"/>
      <c r="CC50" s="2692"/>
      <c r="CD50" s="2692"/>
      <c r="CE50" s="2692"/>
      <c r="CF50" s="2692"/>
      <c r="CG50" s="2692"/>
      <c r="CH50" s="2692"/>
      <c r="CI50" s="2692"/>
      <c r="CJ50" s="2692"/>
      <c r="CK50" s="2692"/>
      <c r="CL50" s="2692"/>
      <c r="CM50" s="2692"/>
      <c r="CN50" s="2692"/>
      <c r="CO50" s="2692"/>
      <c r="CP50" s="2692"/>
      <c r="CQ50" s="2692"/>
      <c r="CR50" s="2692"/>
      <c r="CS50" s="2692"/>
      <c r="CT50" s="2692"/>
      <c r="CU50" s="2692"/>
      <c r="CV50" s="2692"/>
      <c r="CW50" s="2692"/>
      <c r="CX50" s="2692"/>
      <c r="CY50" s="2692"/>
      <c r="CZ50" s="2692"/>
      <c r="DA50" s="2692"/>
      <c r="DB50" s="2692"/>
      <c r="DC50" s="2692"/>
      <c r="DD50" s="2692"/>
      <c r="DE50" s="2692"/>
      <c r="DF50" s="2692"/>
      <c r="DG50" s="2692"/>
      <c r="DH50" s="2692"/>
      <c r="DI50" s="2692"/>
      <c r="DJ50" s="2692"/>
      <c r="DK50" s="2692"/>
      <c r="DL50" s="2692"/>
      <c r="DM50" s="2692"/>
      <c r="DN50" s="2692"/>
      <c r="DO50" s="2692"/>
      <c r="DP50" s="2692"/>
      <c r="DQ50" s="2692"/>
      <c r="DR50" s="2692"/>
      <c r="DS50" s="2692"/>
      <c r="DT50" s="2692"/>
      <c r="DU50" s="2692"/>
      <c r="DV50" s="2692"/>
      <c r="DW50" s="2692"/>
      <c r="DX50" s="2692"/>
      <c r="DY50" s="2692"/>
      <c r="DZ50" s="2692"/>
      <c r="EA50" s="2692"/>
      <c r="EB50" s="2692"/>
      <c r="EC50" s="2692"/>
      <c r="ED50" s="2692"/>
      <c r="EE50" s="2692"/>
      <c r="EF50" s="2692"/>
      <c r="EG50" s="2692"/>
      <c r="EH50" s="2692"/>
      <c r="EI50" s="2692"/>
      <c r="EJ50" s="2692"/>
      <c r="EK50" s="2692"/>
      <c r="EL50" s="2692"/>
      <c r="EM50" s="2692"/>
      <c r="EN50" s="2692"/>
      <c r="EO50" s="2692"/>
      <c r="EP50" s="2692"/>
      <c r="EQ50" s="2692"/>
      <c r="ER50" s="2692"/>
      <c r="ES50" s="2692"/>
      <c r="ET50" s="2692"/>
      <c r="EU50" s="2692"/>
      <c r="EV50" s="2692"/>
      <c r="EW50" s="2692"/>
      <c r="EX50" s="2692"/>
      <c r="EY50" s="2692"/>
      <c r="EZ50" s="2692"/>
      <c r="FA50" s="2692"/>
      <c r="FB50" s="2692"/>
      <c r="FC50" s="2692"/>
      <c r="FD50" s="2692"/>
      <c r="FE50" s="2692"/>
      <c r="FF50" s="2692"/>
      <c r="FG50" s="2692"/>
      <c r="FH50" s="2692"/>
      <c r="FI50" s="2692"/>
      <c r="FJ50" s="2692"/>
      <c r="FK50" s="2692"/>
      <c r="FL50" s="2692"/>
      <c r="FM50" s="2692"/>
      <c r="FN50" s="2692"/>
      <c r="FO50" s="2692"/>
      <c r="FP50" s="2692"/>
      <c r="FQ50" s="2692"/>
      <c r="FR50" s="2692"/>
      <c r="FS50" s="2692"/>
      <c r="FT50" s="2692"/>
      <c r="FU50" s="2692"/>
      <c r="FV50" s="2692"/>
      <c r="FW50" s="2692"/>
      <c r="FX50" s="2692"/>
      <c r="FY50" s="2692"/>
      <c r="FZ50" s="2692"/>
      <c r="GA50" s="2692"/>
      <c r="GB50" s="2692"/>
      <c r="GC50" s="2692"/>
      <c r="GD50" s="2692"/>
      <c r="GE50" s="2692"/>
      <c r="GF50" s="2692"/>
      <c r="GG50" s="2692"/>
      <c r="GH50" s="2692"/>
      <c r="GI50" s="2692"/>
      <c r="GJ50" s="2692"/>
      <c r="GK50" s="2692"/>
      <c r="GL50" s="2692"/>
      <c r="GM50" s="2692"/>
      <c r="GN50" s="2692"/>
      <c r="GO50" s="2692"/>
      <c r="GP50" s="2692"/>
      <c r="GQ50" s="2692"/>
      <c r="GR50" s="2692"/>
      <c r="GS50" s="2692"/>
      <c r="GT50" s="2692"/>
      <c r="GU50" s="2692"/>
      <c r="GV50" s="2692"/>
      <c r="GW50" s="2692"/>
      <c r="GX50" s="2692"/>
      <c r="GY50" s="2692"/>
      <c r="GZ50" s="2692"/>
      <c r="HA50" s="2692"/>
      <c r="HB50" s="2692"/>
      <c r="HC50" s="2692"/>
      <c r="HD50" s="2692"/>
      <c r="HE50" s="2692"/>
      <c r="HF50" s="2692"/>
      <c r="HG50" s="2692"/>
      <c r="HH50" s="2692"/>
      <c r="HI50" s="2692"/>
      <c r="HJ50" s="2692"/>
      <c r="HK50" s="2692"/>
      <c r="HL50" s="2692"/>
      <c r="HM50" s="2692"/>
      <c r="HN50" s="2692"/>
      <c r="HO50" s="2692"/>
      <c r="HP50" s="2692"/>
      <c r="HQ50" s="2692"/>
      <c r="HR50" s="2692"/>
      <c r="HS50" s="2692"/>
      <c r="HT50" s="2692"/>
      <c r="HU50" s="2692"/>
      <c r="HV50" s="2692"/>
      <c r="HW50" s="2692"/>
      <c r="HX50" s="2692"/>
      <c r="HY50" s="2692"/>
      <c r="HZ50" s="2692"/>
      <c r="IA50" s="2692"/>
      <c r="IB50" s="2692"/>
      <c r="IC50" s="2692"/>
      <c r="ID50" s="2692"/>
      <c r="IE50" s="2692"/>
      <c r="IF50" s="2692"/>
      <c r="IG50" s="2692"/>
      <c r="IH50" s="2692"/>
      <c r="II50" s="2692"/>
      <c r="IJ50" s="2692"/>
      <c r="IK50" s="2692"/>
      <c r="IL50" s="2692"/>
      <c r="IM50" s="2692"/>
      <c r="IN50" s="2692"/>
      <c r="IO50" s="2692"/>
      <c r="IP50" s="2692"/>
      <c r="IQ50" s="2692"/>
      <c r="IR50" s="2692"/>
      <c r="IS50" s="2692"/>
      <c r="IT50" s="2692"/>
      <c r="IU50" s="2692"/>
      <c r="IV50" s="2692"/>
    </row>
    <row r="51" spans="1:256" s="40" customFormat="1" ht="13" x14ac:dyDescent="0.3">
      <c r="A51" s="2702"/>
      <c r="B51" s="2700"/>
      <c r="C51" s="2700"/>
      <c r="D51" s="2700"/>
      <c r="E51" s="2701"/>
      <c r="F51" s="2700"/>
      <c r="G51" s="2700"/>
      <c r="H51" s="2700"/>
      <c r="I51" s="2700"/>
      <c r="J51" s="2701"/>
      <c r="K51" s="2692"/>
      <c r="L51" s="2692"/>
      <c r="M51" s="2692"/>
      <c r="N51" s="2692"/>
      <c r="O51" s="2692"/>
      <c r="P51" s="2692"/>
      <c r="Q51" s="2692"/>
      <c r="R51" s="2692"/>
      <c r="S51" s="2692"/>
      <c r="T51" s="2692"/>
      <c r="U51" s="2692"/>
      <c r="V51" s="2692"/>
      <c r="W51" s="2692"/>
      <c r="X51" s="2692"/>
      <c r="Y51" s="2692"/>
      <c r="Z51" s="2692"/>
      <c r="AA51" s="2692"/>
      <c r="AB51" s="2692"/>
      <c r="AC51" s="2692"/>
      <c r="AD51" s="2692"/>
      <c r="AE51" s="2692"/>
      <c r="AF51" s="2692"/>
      <c r="AG51" s="2692"/>
      <c r="AH51" s="2692"/>
      <c r="AI51" s="2692"/>
      <c r="AJ51" s="2692"/>
      <c r="AK51" s="2692"/>
      <c r="AL51" s="2692"/>
      <c r="AM51" s="2692"/>
      <c r="AN51" s="2692"/>
      <c r="AO51" s="2692"/>
      <c r="AP51" s="2692"/>
      <c r="AQ51" s="2692"/>
      <c r="AR51" s="2692"/>
      <c r="AS51" s="2692"/>
      <c r="AT51" s="2692"/>
      <c r="AU51" s="2692"/>
      <c r="AV51" s="2692"/>
      <c r="AW51" s="2692"/>
      <c r="AX51" s="2692"/>
      <c r="AY51" s="2692"/>
      <c r="AZ51" s="2692"/>
      <c r="BA51" s="2692"/>
      <c r="BB51" s="2692"/>
      <c r="BC51" s="2692"/>
      <c r="BD51" s="2692"/>
      <c r="BE51" s="2692"/>
      <c r="BF51" s="2692"/>
      <c r="BG51" s="2692"/>
      <c r="BH51" s="2692"/>
      <c r="BI51" s="2692"/>
      <c r="BJ51" s="2692"/>
      <c r="BK51" s="2692"/>
      <c r="BL51" s="2692"/>
      <c r="BM51" s="2692"/>
      <c r="BN51" s="2692"/>
      <c r="BO51" s="2692"/>
      <c r="BP51" s="2692"/>
      <c r="BQ51" s="2692"/>
      <c r="BR51" s="2692"/>
      <c r="BS51" s="2692"/>
      <c r="BT51" s="2692"/>
      <c r="BU51" s="2692"/>
      <c r="BV51" s="2692"/>
      <c r="BW51" s="2692"/>
      <c r="BX51" s="2692"/>
      <c r="BY51" s="2692"/>
      <c r="BZ51" s="2692"/>
      <c r="CA51" s="2692"/>
      <c r="CB51" s="2692"/>
      <c r="CC51" s="2692"/>
      <c r="CD51" s="2692"/>
      <c r="CE51" s="2692"/>
      <c r="CF51" s="2692"/>
      <c r="CG51" s="2692"/>
      <c r="CH51" s="2692"/>
      <c r="CI51" s="2692"/>
      <c r="CJ51" s="2692"/>
      <c r="CK51" s="2692"/>
      <c r="CL51" s="2692"/>
      <c r="CM51" s="2692"/>
      <c r="CN51" s="2692"/>
      <c r="CO51" s="2692"/>
      <c r="CP51" s="2692"/>
      <c r="CQ51" s="2692"/>
      <c r="CR51" s="2692"/>
      <c r="CS51" s="2692"/>
      <c r="CT51" s="2692"/>
      <c r="CU51" s="2692"/>
      <c r="CV51" s="2692"/>
      <c r="CW51" s="2692"/>
      <c r="CX51" s="2692"/>
      <c r="CY51" s="2692"/>
      <c r="CZ51" s="2692"/>
      <c r="DA51" s="2692"/>
      <c r="DB51" s="2692"/>
      <c r="DC51" s="2692"/>
      <c r="DD51" s="2692"/>
      <c r="DE51" s="2692"/>
      <c r="DF51" s="2692"/>
      <c r="DG51" s="2692"/>
      <c r="DH51" s="2692"/>
      <c r="DI51" s="2692"/>
      <c r="DJ51" s="2692"/>
      <c r="DK51" s="2692"/>
      <c r="DL51" s="2692"/>
      <c r="DM51" s="2692"/>
      <c r="DN51" s="2692"/>
      <c r="DO51" s="2692"/>
      <c r="DP51" s="2692"/>
      <c r="DQ51" s="2692"/>
      <c r="DR51" s="2692"/>
      <c r="DS51" s="2692"/>
      <c r="DT51" s="2692"/>
      <c r="DU51" s="2692"/>
      <c r="DV51" s="2692"/>
      <c r="DW51" s="2692"/>
      <c r="DX51" s="2692"/>
      <c r="DY51" s="2692"/>
      <c r="DZ51" s="2692"/>
      <c r="EA51" s="2692"/>
      <c r="EB51" s="2692"/>
      <c r="EC51" s="2692"/>
      <c r="ED51" s="2692"/>
      <c r="EE51" s="2692"/>
      <c r="EF51" s="2692"/>
      <c r="EG51" s="2692"/>
      <c r="EH51" s="2692"/>
      <c r="EI51" s="2692"/>
      <c r="EJ51" s="2692"/>
      <c r="EK51" s="2692"/>
      <c r="EL51" s="2692"/>
      <c r="EM51" s="2692"/>
      <c r="EN51" s="2692"/>
      <c r="EO51" s="2692"/>
      <c r="EP51" s="2692"/>
      <c r="EQ51" s="2692"/>
      <c r="ER51" s="2692"/>
      <c r="ES51" s="2692"/>
      <c r="ET51" s="2692"/>
      <c r="EU51" s="2692"/>
      <c r="EV51" s="2692"/>
      <c r="EW51" s="2692"/>
      <c r="EX51" s="2692"/>
      <c r="EY51" s="2692"/>
      <c r="EZ51" s="2692"/>
      <c r="FA51" s="2692"/>
      <c r="FB51" s="2692"/>
      <c r="FC51" s="2692"/>
      <c r="FD51" s="2692"/>
      <c r="FE51" s="2692"/>
      <c r="FF51" s="2692"/>
      <c r="FG51" s="2692"/>
      <c r="FH51" s="2692"/>
      <c r="FI51" s="2692"/>
      <c r="FJ51" s="2692"/>
      <c r="FK51" s="2692"/>
      <c r="FL51" s="2692"/>
      <c r="FM51" s="2692"/>
      <c r="FN51" s="2692"/>
      <c r="FO51" s="2692"/>
      <c r="FP51" s="2692"/>
      <c r="FQ51" s="2692"/>
      <c r="FR51" s="2692"/>
      <c r="FS51" s="2692"/>
      <c r="FT51" s="2692"/>
      <c r="FU51" s="2692"/>
      <c r="FV51" s="2692"/>
      <c r="FW51" s="2692"/>
      <c r="FX51" s="2692"/>
      <c r="FY51" s="2692"/>
      <c r="FZ51" s="2692"/>
      <c r="GA51" s="2692"/>
      <c r="GB51" s="2692"/>
      <c r="GC51" s="2692"/>
      <c r="GD51" s="2692"/>
      <c r="GE51" s="2692"/>
      <c r="GF51" s="2692"/>
      <c r="GG51" s="2692"/>
      <c r="GH51" s="2692"/>
      <c r="GI51" s="2692"/>
      <c r="GJ51" s="2692"/>
      <c r="GK51" s="2692"/>
      <c r="GL51" s="2692"/>
      <c r="GM51" s="2692"/>
      <c r="GN51" s="2692"/>
      <c r="GO51" s="2692"/>
      <c r="GP51" s="2692"/>
      <c r="GQ51" s="2692"/>
      <c r="GR51" s="2692"/>
      <c r="GS51" s="2692"/>
      <c r="GT51" s="2692"/>
      <c r="GU51" s="2692"/>
      <c r="GV51" s="2692"/>
      <c r="GW51" s="2692"/>
      <c r="GX51" s="2692"/>
      <c r="GY51" s="2692"/>
      <c r="GZ51" s="2692"/>
      <c r="HA51" s="2692"/>
      <c r="HB51" s="2692"/>
      <c r="HC51" s="2692"/>
      <c r="HD51" s="2692"/>
      <c r="HE51" s="2692"/>
      <c r="HF51" s="2692"/>
      <c r="HG51" s="2692"/>
      <c r="HH51" s="2692"/>
      <c r="HI51" s="2692"/>
      <c r="HJ51" s="2692"/>
      <c r="HK51" s="2692"/>
      <c r="HL51" s="2692"/>
      <c r="HM51" s="2692"/>
      <c r="HN51" s="2692"/>
      <c r="HO51" s="2692"/>
      <c r="HP51" s="2692"/>
      <c r="HQ51" s="2692"/>
      <c r="HR51" s="2692"/>
      <c r="HS51" s="2692"/>
      <c r="HT51" s="2692"/>
      <c r="HU51" s="2692"/>
      <c r="HV51" s="2692"/>
      <c r="HW51" s="2692"/>
      <c r="HX51" s="2692"/>
      <c r="HY51" s="2692"/>
      <c r="HZ51" s="2692"/>
      <c r="IA51" s="2692"/>
      <c r="IB51" s="2692"/>
      <c r="IC51" s="2692"/>
      <c r="ID51" s="2692"/>
      <c r="IE51" s="2692"/>
      <c r="IF51" s="2692"/>
      <c r="IG51" s="2692"/>
      <c r="IH51" s="2692"/>
      <c r="II51" s="2692"/>
      <c r="IJ51" s="2692"/>
      <c r="IK51" s="2692"/>
      <c r="IL51" s="2692"/>
      <c r="IM51" s="2692"/>
      <c r="IN51" s="2692"/>
      <c r="IO51" s="2692"/>
      <c r="IP51" s="2692"/>
      <c r="IQ51" s="2692"/>
      <c r="IR51" s="2692"/>
      <c r="IS51" s="2692"/>
      <c r="IT51" s="2692"/>
      <c r="IU51" s="2692"/>
      <c r="IV51" s="2692"/>
    </row>
    <row r="52" spans="1:256" s="40" customFormat="1" ht="13" x14ac:dyDescent="0.3">
      <c r="A52" s="2702"/>
      <c r="B52" s="2700"/>
      <c r="C52" s="2700"/>
      <c r="D52" s="2700"/>
      <c r="E52" s="2701"/>
      <c r="F52" s="2700"/>
      <c r="G52" s="2700"/>
      <c r="H52" s="2700"/>
      <c r="I52" s="2700"/>
      <c r="J52" s="2701"/>
      <c r="K52" s="2692"/>
      <c r="L52" s="2692"/>
      <c r="M52" s="2692"/>
      <c r="N52" s="2692"/>
      <c r="O52" s="2692"/>
      <c r="P52" s="2692"/>
      <c r="Q52" s="2692"/>
      <c r="R52" s="2692"/>
      <c r="S52" s="2692"/>
      <c r="T52" s="2692"/>
      <c r="U52" s="2692"/>
      <c r="V52" s="2692"/>
      <c r="W52" s="2692"/>
      <c r="X52" s="2692"/>
      <c r="Y52" s="2692"/>
      <c r="Z52" s="2692"/>
      <c r="AA52" s="2692"/>
      <c r="AB52" s="2692"/>
      <c r="AC52" s="2692"/>
      <c r="AD52" s="2692"/>
      <c r="AE52" s="2692"/>
      <c r="AF52" s="2692"/>
      <c r="AG52" s="2692"/>
      <c r="AH52" s="2692"/>
      <c r="AI52" s="2692"/>
      <c r="AJ52" s="2692"/>
      <c r="AK52" s="2692"/>
      <c r="AL52" s="2692"/>
      <c r="AM52" s="2692"/>
      <c r="AN52" s="2692"/>
      <c r="AO52" s="2692"/>
      <c r="AP52" s="2692"/>
      <c r="AQ52" s="2692"/>
      <c r="AR52" s="2692"/>
      <c r="AS52" s="2692"/>
      <c r="AT52" s="2692"/>
      <c r="AU52" s="2692"/>
      <c r="AV52" s="2692"/>
      <c r="AW52" s="2692"/>
      <c r="AX52" s="2692"/>
      <c r="AY52" s="2692"/>
      <c r="AZ52" s="2692"/>
      <c r="BA52" s="2692"/>
      <c r="BB52" s="2692"/>
      <c r="BC52" s="2692"/>
      <c r="BD52" s="2692"/>
      <c r="BE52" s="2692"/>
      <c r="BF52" s="2692"/>
      <c r="BG52" s="2692"/>
      <c r="BH52" s="2692"/>
      <c r="BI52" s="2692"/>
      <c r="BJ52" s="2692"/>
      <c r="BK52" s="2692"/>
      <c r="BL52" s="2692"/>
      <c r="BM52" s="2692"/>
      <c r="BN52" s="2692"/>
      <c r="BO52" s="2692"/>
      <c r="BP52" s="2692"/>
      <c r="BQ52" s="2692"/>
      <c r="BR52" s="2692"/>
      <c r="BS52" s="2692"/>
      <c r="BT52" s="2692"/>
      <c r="BU52" s="2692"/>
      <c r="BV52" s="2692"/>
      <c r="BW52" s="2692"/>
      <c r="BX52" s="2692"/>
      <c r="BY52" s="2692"/>
      <c r="BZ52" s="2692"/>
      <c r="CA52" s="2692"/>
      <c r="CB52" s="2692"/>
      <c r="CC52" s="2692"/>
      <c r="CD52" s="2692"/>
      <c r="CE52" s="2692"/>
      <c r="CF52" s="2692"/>
      <c r="CG52" s="2692"/>
      <c r="CH52" s="2692"/>
      <c r="CI52" s="2692"/>
      <c r="CJ52" s="2692"/>
      <c r="CK52" s="2692"/>
      <c r="CL52" s="2692"/>
      <c r="CM52" s="2692"/>
      <c r="CN52" s="2692"/>
      <c r="CO52" s="2692"/>
      <c r="CP52" s="2692"/>
      <c r="CQ52" s="2692"/>
      <c r="CR52" s="2692"/>
      <c r="CS52" s="2692"/>
      <c r="CT52" s="2692"/>
      <c r="CU52" s="2692"/>
      <c r="CV52" s="2692"/>
      <c r="CW52" s="2692"/>
      <c r="CX52" s="2692"/>
      <c r="CY52" s="2692"/>
      <c r="CZ52" s="2692"/>
      <c r="DA52" s="2692"/>
      <c r="DB52" s="2692"/>
      <c r="DC52" s="2692"/>
      <c r="DD52" s="2692"/>
      <c r="DE52" s="2692"/>
      <c r="DF52" s="2692"/>
      <c r="DG52" s="2692"/>
      <c r="DH52" s="2692"/>
      <c r="DI52" s="2692"/>
      <c r="DJ52" s="2692"/>
      <c r="DK52" s="2692"/>
      <c r="DL52" s="2692"/>
      <c r="DM52" s="2692"/>
      <c r="DN52" s="2692"/>
      <c r="DO52" s="2692"/>
      <c r="DP52" s="2692"/>
      <c r="DQ52" s="2692"/>
      <c r="DR52" s="2692"/>
      <c r="DS52" s="2692"/>
      <c r="DT52" s="2692"/>
      <c r="DU52" s="2692"/>
      <c r="DV52" s="2692"/>
      <c r="DW52" s="2692"/>
      <c r="DX52" s="2692"/>
      <c r="DY52" s="2692"/>
      <c r="DZ52" s="2692"/>
      <c r="EA52" s="2692"/>
      <c r="EB52" s="2692"/>
      <c r="EC52" s="2692"/>
      <c r="ED52" s="2692"/>
      <c r="EE52" s="2692"/>
      <c r="EF52" s="2692"/>
      <c r="EG52" s="2692"/>
      <c r="EH52" s="2692"/>
      <c r="EI52" s="2692"/>
      <c r="EJ52" s="2692"/>
      <c r="EK52" s="2692"/>
      <c r="EL52" s="2692"/>
      <c r="EM52" s="2692"/>
      <c r="EN52" s="2692"/>
      <c r="EO52" s="2692"/>
      <c r="EP52" s="2692"/>
      <c r="EQ52" s="2692"/>
      <c r="ER52" s="2692"/>
      <c r="ES52" s="2692"/>
      <c r="ET52" s="2692"/>
      <c r="EU52" s="2692"/>
      <c r="EV52" s="2692"/>
      <c r="EW52" s="2692"/>
      <c r="EX52" s="2692"/>
      <c r="EY52" s="2692"/>
      <c r="EZ52" s="2692"/>
      <c r="FA52" s="2692"/>
      <c r="FB52" s="2692"/>
      <c r="FC52" s="2692"/>
      <c r="FD52" s="2692"/>
      <c r="FE52" s="2692"/>
      <c r="FF52" s="2692"/>
      <c r="FG52" s="2692"/>
      <c r="FH52" s="2692"/>
      <c r="FI52" s="2692"/>
      <c r="FJ52" s="2692"/>
      <c r="FK52" s="2692"/>
      <c r="FL52" s="2692"/>
      <c r="FM52" s="2692"/>
      <c r="FN52" s="2692"/>
      <c r="FO52" s="2692"/>
      <c r="FP52" s="2692"/>
      <c r="FQ52" s="2692"/>
      <c r="FR52" s="2692"/>
      <c r="FS52" s="2692"/>
      <c r="FT52" s="2692"/>
      <c r="FU52" s="2692"/>
      <c r="FV52" s="2692"/>
      <c r="FW52" s="2692"/>
      <c r="FX52" s="2692"/>
      <c r="FY52" s="2692"/>
      <c r="FZ52" s="2692"/>
      <c r="GA52" s="2692"/>
      <c r="GB52" s="2692"/>
      <c r="GC52" s="2692"/>
      <c r="GD52" s="2692"/>
      <c r="GE52" s="2692"/>
      <c r="GF52" s="2692"/>
      <c r="GG52" s="2692"/>
      <c r="GH52" s="2692"/>
      <c r="GI52" s="2692"/>
      <c r="GJ52" s="2692"/>
      <c r="GK52" s="2692"/>
      <c r="GL52" s="2692"/>
      <c r="GM52" s="2692"/>
      <c r="GN52" s="2692"/>
      <c r="GO52" s="2692"/>
      <c r="GP52" s="2692"/>
      <c r="GQ52" s="2692"/>
      <c r="GR52" s="2692"/>
      <c r="GS52" s="2692"/>
      <c r="GT52" s="2692"/>
      <c r="GU52" s="2692"/>
      <c r="GV52" s="2692"/>
      <c r="GW52" s="2692"/>
      <c r="GX52" s="2692"/>
      <c r="GY52" s="2692"/>
      <c r="GZ52" s="2692"/>
      <c r="HA52" s="2692"/>
      <c r="HB52" s="2692"/>
      <c r="HC52" s="2692"/>
      <c r="HD52" s="2692"/>
      <c r="HE52" s="2692"/>
      <c r="HF52" s="2692"/>
      <c r="HG52" s="2692"/>
      <c r="HH52" s="2692"/>
      <c r="HI52" s="2692"/>
      <c r="HJ52" s="2692"/>
      <c r="HK52" s="2692"/>
      <c r="HL52" s="2692"/>
      <c r="HM52" s="2692"/>
      <c r="HN52" s="2692"/>
      <c r="HO52" s="2692"/>
      <c r="HP52" s="2692"/>
      <c r="HQ52" s="2692"/>
      <c r="HR52" s="2692"/>
      <c r="HS52" s="2692"/>
      <c r="HT52" s="2692"/>
      <c r="HU52" s="2692"/>
      <c r="HV52" s="2692"/>
      <c r="HW52" s="2692"/>
      <c r="HX52" s="2692"/>
      <c r="HY52" s="2692"/>
      <c r="HZ52" s="2692"/>
      <c r="IA52" s="2692"/>
      <c r="IB52" s="2692"/>
      <c r="IC52" s="2692"/>
      <c r="ID52" s="2692"/>
      <c r="IE52" s="2692"/>
      <c r="IF52" s="2692"/>
      <c r="IG52" s="2692"/>
      <c r="IH52" s="2692"/>
      <c r="II52" s="2692"/>
      <c r="IJ52" s="2692"/>
      <c r="IK52" s="2692"/>
      <c r="IL52" s="2692"/>
      <c r="IM52" s="2692"/>
      <c r="IN52" s="2692"/>
      <c r="IO52" s="2692"/>
      <c r="IP52" s="2692"/>
      <c r="IQ52" s="2692"/>
      <c r="IR52" s="2692"/>
      <c r="IS52" s="2692"/>
      <c r="IT52" s="2692"/>
      <c r="IU52" s="2692"/>
      <c r="IV52" s="2692"/>
    </row>
    <row r="53" spans="1:256" s="40" customFormat="1" ht="13" x14ac:dyDescent="0.3">
      <c r="A53" s="2702"/>
      <c r="B53" s="2700"/>
      <c r="C53" s="2700"/>
      <c r="D53" s="2700"/>
      <c r="E53" s="2701"/>
      <c r="F53" s="2700"/>
      <c r="G53" s="2700"/>
      <c r="H53" s="2700"/>
      <c r="I53" s="2700"/>
      <c r="J53" s="2701"/>
      <c r="K53" s="2692"/>
      <c r="L53" s="2692"/>
      <c r="M53" s="2692"/>
      <c r="N53" s="2692"/>
      <c r="O53" s="2692"/>
      <c r="P53" s="2692"/>
      <c r="Q53" s="2692"/>
      <c r="R53" s="2692"/>
      <c r="S53" s="2692"/>
      <c r="T53" s="2692"/>
      <c r="U53" s="2692"/>
      <c r="V53" s="2692"/>
      <c r="W53" s="2692"/>
      <c r="X53" s="2692"/>
      <c r="Y53" s="2692"/>
      <c r="Z53" s="2692"/>
      <c r="AA53" s="2692"/>
      <c r="AB53" s="2692"/>
      <c r="AC53" s="2692"/>
      <c r="AD53" s="2692"/>
      <c r="AE53" s="2692"/>
      <c r="AF53" s="2692"/>
      <c r="AG53" s="2692"/>
      <c r="AH53" s="2692"/>
      <c r="AI53" s="2692"/>
      <c r="AJ53" s="2692"/>
      <c r="AK53" s="2692"/>
      <c r="AL53" s="2692"/>
      <c r="AM53" s="2692"/>
      <c r="AN53" s="2692"/>
      <c r="AO53" s="2692"/>
      <c r="AP53" s="2692"/>
      <c r="AQ53" s="2692"/>
      <c r="AR53" s="2692"/>
      <c r="AS53" s="2692"/>
      <c r="AT53" s="2692"/>
      <c r="AU53" s="2692"/>
      <c r="AV53" s="2692"/>
      <c r="AW53" s="2692"/>
      <c r="AX53" s="2692"/>
      <c r="AY53" s="2692"/>
      <c r="AZ53" s="2692"/>
      <c r="BA53" s="2692"/>
      <c r="BB53" s="2692"/>
      <c r="BC53" s="2692"/>
      <c r="BD53" s="2692"/>
      <c r="BE53" s="2692"/>
      <c r="BF53" s="2692"/>
      <c r="BG53" s="2692"/>
      <c r="BH53" s="2692"/>
      <c r="BI53" s="2692"/>
      <c r="BJ53" s="2692"/>
      <c r="BK53" s="2692"/>
      <c r="BL53" s="2692"/>
      <c r="BM53" s="2692"/>
      <c r="BN53" s="2692"/>
      <c r="BO53" s="2692"/>
      <c r="BP53" s="2692"/>
      <c r="BQ53" s="2692"/>
      <c r="BR53" s="2692"/>
      <c r="BS53" s="2692"/>
      <c r="BT53" s="2692"/>
      <c r="BU53" s="2692"/>
      <c r="BV53" s="2692"/>
      <c r="BW53" s="2692"/>
      <c r="BX53" s="2692"/>
      <c r="BY53" s="2692"/>
      <c r="BZ53" s="2692"/>
      <c r="CA53" s="2692"/>
      <c r="CB53" s="2692"/>
      <c r="CC53" s="2692"/>
      <c r="CD53" s="2692"/>
      <c r="CE53" s="2692"/>
      <c r="CF53" s="2692"/>
      <c r="CG53" s="2692"/>
      <c r="CH53" s="2692"/>
      <c r="CI53" s="2692"/>
      <c r="CJ53" s="2692"/>
      <c r="CK53" s="2692"/>
      <c r="CL53" s="2692"/>
      <c r="CM53" s="2692"/>
      <c r="CN53" s="2692"/>
      <c r="CO53" s="2692"/>
      <c r="CP53" s="2692"/>
      <c r="CQ53" s="2692"/>
      <c r="CR53" s="2692"/>
      <c r="CS53" s="2692"/>
      <c r="CT53" s="2692"/>
      <c r="CU53" s="2692"/>
      <c r="CV53" s="2692"/>
      <c r="CW53" s="2692"/>
      <c r="CX53" s="2692"/>
      <c r="CY53" s="2692"/>
      <c r="CZ53" s="2692"/>
      <c r="DA53" s="2692"/>
      <c r="DB53" s="2692"/>
      <c r="DC53" s="2692"/>
      <c r="DD53" s="2692"/>
      <c r="DE53" s="2692"/>
      <c r="DF53" s="2692"/>
      <c r="DG53" s="2692"/>
      <c r="DH53" s="2692"/>
      <c r="DI53" s="2692"/>
      <c r="DJ53" s="2692"/>
      <c r="DK53" s="2692"/>
      <c r="DL53" s="2692"/>
      <c r="DM53" s="2692"/>
      <c r="DN53" s="2692"/>
      <c r="DO53" s="2692"/>
      <c r="DP53" s="2692"/>
      <c r="DQ53" s="2692"/>
      <c r="DR53" s="2692"/>
      <c r="DS53" s="2692"/>
      <c r="DT53" s="2692"/>
      <c r="DU53" s="2692"/>
      <c r="DV53" s="2692"/>
      <c r="DW53" s="2692"/>
      <c r="DX53" s="2692"/>
      <c r="DY53" s="2692"/>
      <c r="DZ53" s="2692"/>
      <c r="EA53" s="2692"/>
      <c r="EB53" s="2692"/>
      <c r="EC53" s="2692"/>
      <c r="ED53" s="2692"/>
      <c r="EE53" s="2692"/>
      <c r="EF53" s="2692"/>
      <c r="EG53" s="2692"/>
      <c r="EH53" s="2692"/>
      <c r="EI53" s="2692"/>
      <c r="EJ53" s="2692"/>
      <c r="EK53" s="2692"/>
      <c r="EL53" s="2692"/>
      <c r="EM53" s="2692"/>
      <c r="EN53" s="2692"/>
      <c r="EO53" s="2692"/>
      <c r="EP53" s="2692"/>
      <c r="EQ53" s="2692"/>
      <c r="ER53" s="2692"/>
      <c r="ES53" s="2692"/>
      <c r="ET53" s="2692"/>
      <c r="EU53" s="2692"/>
      <c r="EV53" s="2692"/>
      <c r="EW53" s="2692"/>
      <c r="EX53" s="2692"/>
      <c r="EY53" s="2692"/>
      <c r="EZ53" s="2692"/>
      <c r="FA53" s="2692"/>
      <c r="FB53" s="2692"/>
      <c r="FC53" s="2692"/>
      <c r="FD53" s="2692"/>
      <c r="FE53" s="2692"/>
      <c r="FF53" s="2692"/>
      <c r="FG53" s="2692"/>
      <c r="FH53" s="2692"/>
      <c r="FI53" s="2692"/>
      <c r="FJ53" s="2692"/>
      <c r="FK53" s="2692"/>
      <c r="FL53" s="2692"/>
      <c r="FM53" s="2692"/>
      <c r="FN53" s="2692"/>
      <c r="FO53" s="2692"/>
      <c r="FP53" s="2692"/>
      <c r="FQ53" s="2692"/>
      <c r="FR53" s="2692"/>
      <c r="FS53" s="2692"/>
      <c r="FT53" s="2692"/>
      <c r="FU53" s="2692"/>
      <c r="FV53" s="2692"/>
      <c r="FW53" s="2692"/>
      <c r="FX53" s="2692"/>
      <c r="FY53" s="2692"/>
      <c r="FZ53" s="2692"/>
      <c r="GA53" s="2692"/>
      <c r="GB53" s="2692"/>
      <c r="GC53" s="2692"/>
      <c r="GD53" s="2692"/>
      <c r="GE53" s="2692"/>
      <c r="GF53" s="2692"/>
      <c r="GG53" s="2692"/>
      <c r="GH53" s="2692"/>
      <c r="GI53" s="2692"/>
      <c r="GJ53" s="2692"/>
      <c r="GK53" s="2692"/>
      <c r="GL53" s="2692"/>
      <c r="GM53" s="2692"/>
      <c r="GN53" s="2692"/>
      <c r="GO53" s="2692"/>
      <c r="GP53" s="2692"/>
      <c r="GQ53" s="2692"/>
      <c r="GR53" s="2692"/>
      <c r="GS53" s="2692"/>
      <c r="GT53" s="2692"/>
      <c r="GU53" s="2692"/>
      <c r="GV53" s="2692"/>
      <c r="GW53" s="2692"/>
      <c r="GX53" s="2692"/>
      <c r="GY53" s="2692"/>
      <c r="GZ53" s="2692"/>
      <c r="HA53" s="2692"/>
      <c r="HB53" s="2692"/>
      <c r="HC53" s="2692"/>
      <c r="HD53" s="2692"/>
      <c r="HE53" s="2692"/>
      <c r="HF53" s="2692"/>
      <c r="HG53" s="2692"/>
      <c r="HH53" s="2692"/>
      <c r="HI53" s="2692"/>
      <c r="HJ53" s="2692"/>
      <c r="HK53" s="2692"/>
      <c r="HL53" s="2692"/>
      <c r="HM53" s="2692"/>
      <c r="HN53" s="2692"/>
      <c r="HO53" s="2692"/>
      <c r="HP53" s="2692"/>
      <c r="HQ53" s="2692"/>
      <c r="HR53" s="2692"/>
      <c r="HS53" s="2692"/>
      <c r="HT53" s="2692"/>
      <c r="HU53" s="2692"/>
      <c r="HV53" s="2692"/>
      <c r="HW53" s="2692"/>
      <c r="HX53" s="2692"/>
      <c r="HY53" s="2692"/>
      <c r="HZ53" s="2692"/>
      <c r="IA53" s="2692"/>
      <c r="IB53" s="2692"/>
      <c r="IC53" s="2692"/>
      <c r="ID53" s="2692"/>
      <c r="IE53" s="2692"/>
      <c r="IF53" s="2692"/>
      <c r="IG53" s="2692"/>
      <c r="IH53" s="2692"/>
      <c r="II53" s="2692"/>
      <c r="IJ53" s="2692"/>
      <c r="IK53" s="2692"/>
      <c r="IL53" s="2692"/>
      <c r="IM53" s="2692"/>
      <c r="IN53" s="2692"/>
      <c r="IO53" s="2692"/>
      <c r="IP53" s="2692"/>
      <c r="IQ53" s="2692"/>
      <c r="IR53" s="2692"/>
      <c r="IS53" s="2692"/>
      <c r="IT53" s="2692"/>
      <c r="IU53" s="2692"/>
      <c r="IV53" s="2692"/>
    </row>
    <row r="54" spans="1:256" s="40" customFormat="1" ht="13.5" thickBot="1" x14ac:dyDescent="0.35">
      <c r="A54" s="2769"/>
      <c r="B54" s="2770"/>
      <c r="C54" s="2770"/>
      <c r="D54" s="2770"/>
      <c r="E54" s="2771"/>
      <c r="F54" s="2770"/>
      <c r="G54" s="2770"/>
      <c r="H54" s="2770"/>
      <c r="I54" s="2770"/>
      <c r="J54" s="2771"/>
    </row>
    <row r="55" spans="1:256" s="40" customFormat="1" ht="13.5" thickTop="1" x14ac:dyDescent="0.3">
      <c r="A55" s="2691"/>
      <c r="B55" s="2692"/>
      <c r="C55" s="2692"/>
      <c r="D55" s="2692"/>
      <c r="E55" s="2692"/>
      <c r="F55" s="2692"/>
      <c r="G55" s="2692"/>
      <c r="H55" s="2692"/>
      <c r="I55" s="2692"/>
      <c r="J55" s="2692"/>
    </row>
  </sheetData>
  <mergeCells count="57">
    <mergeCell ref="G47:J47"/>
    <mergeCell ref="H37:J37"/>
    <mergeCell ref="A38:B38"/>
    <mergeCell ref="A39:B39"/>
    <mergeCell ref="A43:B43"/>
    <mergeCell ref="A44:E44"/>
    <mergeCell ref="H29:I29"/>
    <mergeCell ref="N30:P30"/>
    <mergeCell ref="M32:N32"/>
    <mergeCell ref="M33:N33"/>
    <mergeCell ref="B36:D36"/>
    <mergeCell ref="G36:I36"/>
    <mergeCell ref="C22:D22"/>
    <mergeCell ref="H22:I22"/>
    <mergeCell ref="C23:D23"/>
    <mergeCell ref="H23:I23"/>
    <mergeCell ref="C24:D24"/>
    <mergeCell ref="H25:I25"/>
    <mergeCell ref="A26:B26"/>
    <mergeCell ref="H26:I26"/>
    <mergeCell ref="H27:I27"/>
    <mergeCell ref="H28:I28"/>
    <mergeCell ref="A14:E14"/>
    <mergeCell ref="G14:J14"/>
    <mergeCell ref="C15:D15"/>
    <mergeCell ref="G15:J15"/>
    <mergeCell ref="G16:J16"/>
    <mergeCell ref="B17:E17"/>
    <mergeCell ref="G18:J18"/>
    <mergeCell ref="B19:E19"/>
    <mergeCell ref="A21:E21"/>
    <mergeCell ref="G21:I21"/>
    <mergeCell ref="D12:E12"/>
    <mergeCell ref="F12:G12"/>
    <mergeCell ref="H12:J12"/>
    <mergeCell ref="M12:Q12"/>
    <mergeCell ref="F13:G13"/>
    <mergeCell ref="M13:Q13"/>
    <mergeCell ref="D10:E10"/>
    <mergeCell ref="G10:J10"/>
    <mergeCell ref="M10:Q10"/>
    <mergeCell ref="D11:E11"/>
    <mergeCell ref="G11:J11"/>
    <mergeCell ref="M11:Q11"/>
    <mergeCell ref="B8:D8"/>
    <mergeCell ref="G8:I8"/>
    <mergeCell ref="D9:E9"/>
    <mergeCell ref="G9:J9"/>
    <mergeCell ref="M9:Q9"/>
    <mergeCell ref="D3:G3"/>
    <mergeCell ref="A4:P4"/>
    <mergeCell ref="D1:G1"/>
    <mergeCell ref="I1:J1"/>
    <mergeCell ref="L1:M1"/>
    <mergeCell ref="D2:G2"/>
    <mergeCell ref="I2:J2"/>
    <mergeCell ref="L2:M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7200-000000000000}">
      <formula1>AvancementTheme</formula1>
    </dataValidation>
  </dataValidations>
  <hyperlinks>
    <hyperlink ref="O1" location="DPDV_02AT" display="PdV" xr:uid="{00000000-0004-0000-7200-000000000000}"/>
    <hyperlink ref="P1" location="DKPI_02AT" display="KPI's" xr:uid="{00000000-0004-0000-7200-000001000000}"/>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Feuil99">
    <tabColor rgb="FF92D050"/>
    <pageSetUpPr fitToPage="1"/>
  </sheetPr>
  <dimension ref="A1:P55"/>
  <sheetViews>
    <sheetView showGridLines="0" zoomScale="90" zoomScaleNormal="90" zoomScaleSheetLayoutView="70" workbookViewId="0">
      <pane ySplit="5" topLeftCell="A6" activePane="bottomLeft" state="frozen"/>
      <selection activeCell="C13" sqref="C13:Q13"/>
      <selection pane="bottomLeft" activeCell="O14" sqref="O14"/>
    </sheetView>
  </sheetViews>
  <sheetFormatPr baseColWidth="10" defaultColWidth="11.453125" defaultRowHeight="14.5" x14ac:dyDescent="0.35"/>
  <cols>
    <col min="1" max="11" width="11.453125" style="60"/>
    <col min="12" max="12" width="12.81640625" style="60" customWidth="1"/>
    <col min="13" max="14" width="11.453125" style="60"/>
    <col min="15" max="15" width="11.453125" style="60" customWidth="1"/>
    <col min="16" max="16384" width="11.453125" style="60"/>
  </cols>
  <sheetData>
    <row r="1" spans="1:16" s="54" customFormat="1" ht="15" customHeight="1" x14ac:dyDescent="0.35">
      <c r="A1" s="2835"/>
      <c r="B1" s="2835"/>
      <c r="C1" s="2835"/>
      <c r="D1" s="3341" t="s">
        <v>5</v>
      </c>
      <c r="E1" s="3341"/>
      <c r="F1" s="3341"/>
      <c r="G1" s="3341"/>
      <c r="H1" s="391"/>
      <c r="I1" s="3341" t="s">
        <v>6</v>
      </c>
      <c r="J1" s="3341"/>
      <c r="K1" s="2835"/>
      <c r="L1" s="3341" t="s">
        <v>9</v>
      </c>
      <c r="M1" s="3341"/>
      <c r="N1" s="2835"/>
      <c r="O1" s="479" t="s">
        <v>2</v>
      </c>
      <c r="P1" s="479" t="s">
        <v>3</v>
      </c>
    </row>
    <row r="2" spans="1:16" s="58" customFormat="1" ht="18" customHeight="1" x14ac:dyDescent="0.35">
      <c r="A2" s="393"/>
      <c r="B2" s="393"/>
      <c r="C2" s="393"/>
      <c r="D2" s="3342" t="s">
        <v>2359</v>
      </c>
      <c r="E2" s="3343"/>
      <c r="F2" s="3343"/>
      <c r="G2" s="3344"/>
      <c r="H2" s="393"/>
      <c r="I2" s="3345" t="s">
        <v>407</v>
      </c>
      <c r="J2" s="3346"/>
      <c r="K2" s="393"/>
      <c r="L2" s="3347">
        <v>42969.382928240739</v>
      </c>
      <c r="M2" s="3348"/>
      <c r="N2" s="394"/>
      <c r="O2" s="451" t="e">
        <f>IF(LEN(DPDV_01SW)&gt;0,LEN(DPDV_01SW),0-PDV_NBmini)</f>
        <v>#REF!</v>
      </c>
      <c r="P2" s="451" t="e">
        <f>IF(LEN(DKPI_01SW)&gt;0,LEN(DKPI_01SW),0-KPI_NBmini)</f>
        <v>#REF!</v>
      </c>
    </row>
    <row r="3" spans="1:16" ht="10.5" customHeight="1" thickBot="1" x14ac:dyDescent="0.4">
      <c r="A3" s="396"/>
      <c r="B3" s="396"/>
      <c r="C3" s="396"/>
      <c r="D3" s="3937" t="s">
        <v>1792</v>
      </c>
      <c r="E3" s="3937"/>
      <c r="F3" s="3937"/>
      <c r="G3" s="3937"/>
      <c r="H3" s="396"/>
      <c r="I3" s="396"/>
      <c r="J3" s="396"/>
      <c r="K3" s="396"/>
      <c r="L3" s="396"/>
      <c r="M3" s="396"/>
      <c r="N3" s="396"/>
      <c r="O3" s="396"/>
      <c r="P3" s="396"/>
    </row>
    <row r="4" spans="1:16" s="1" customFormat="1" ht="24.75" customHeight="1" thickBot="1" x14ac:dyDescent="0.4">
      <c r="A4" s="7037" t="s">
        <v>2734</v>
      </c>
      <c r="B4" s="7037"/>
      <c r="C4" s="7037"/>
      <c r="D4" s="7037"/>
      <c r="E4" s="7037"/>
      <c r="F4" s="7037"/>
      <c r="G4" s="7037"/>
      <c r="H4" s="7037"/>
      <c r="I4" s="7037"/>
      <c r="J4" s="7037"/>
      <c r="K4" s="7037"/>
      <c r="L4" s="7037"/>
      <c r="M4" s="7037"/>
      <c r="N4" s="7037"/>
      <c r="O4" s="7037"/>
      <c r="P4" s="7038"/>
    </row>
    <row r="5" spans="1:16" s="2837" customFormat="1" ht="18.75" customHeight="1" x14ac:dyDescent="0.35">
      <c r="A5" s="3438" t="s">
        <v>14</v>
      </c>
      <c r="B5" s="3438"/>
      <c r="C5" s="3439" t="s">
        <v>2735</v>
      </c>
      <c r="D5" s="3439"/>
      <c r="E5" s="3439"/>
      <c r="F5" s="3439"/>
      <c r="G5" s="3439"/>
      <c r="H5" s="3439"/>
      <c r="I5" s="3439"/>
      <c r="J5" s="3439"/>
      <c r="K5" s="3439"/>
      <c r="L5" s="3439"/>
      <c r="M5" s="3439"/>
      <c r="N5" s="3439"/>
      <c r="O5" s="3439"/>
      <c r="P5" s="3439"/>
    </row>
    <row r="6" spans="1:16" ht="51.75" customHeight="1" thickBot="1" x14ac:dyDescent="0.4">
      <c r="A6" s="7035" t="s">
        <v>2738</v>
      </c>
      <c r="B6" s="7036"/>
      <c r="C6" s="7036"/>
      <c r="D6" s="7036"/>
      <c r="E6" s="7036"/>
      <c r="F6" s="7036"/>
      <c r="G6" s="7036"/>
      <c r="H6" s="7036"/>
      <c r="I6" s="7036"/>
      <c r="J6" s="7036"/>
      <c r="K6" s="7036"/>
      <c r="L6" s="7036"/>
      <c r="M6" s="7036"/>
      <c r="N6" s="7036"/>
    </row>
    <row r="7" spans="1:16" ht="19" thickTop="1" x14ac:dyDescent="0.35">
      <c r="B7" s="3464" t="s">
        <v>2736</v>
      </c>
      <c r="C7" s="3465"/>
      <c r="D7" s="3465"/>
      <c r="E7" s="3465"/>
      <c r="F7" s="3465"/>
      <c r="G7" s="3466"/>
      <c r="H7" s="4405" t="s">
        <v>2737</v>
      </c>
      <c r="I7" s="4406"/>
      <c r="J7" s="4406"/>
      <c r="K7" s="4406"/>
      <c r="L7" s="4406"/>
      <c r="M7" s="4407"/>
    </row>
    <row r="8" spans="1:16" x14ac:dyDescent="0.35">
      <c r="B8" s="3447"/>
      <c r="C8" s="3448"/>
      <c r="D8" s="3448"/>
      <c r="E8" s="3448"/>
      <c r="F8" s="3448"/>
      <c r="G8" s="3449"/>
      <c r="H8" s="3450"/>
      <c r="I8" s="3451"/>
      <c r="J8" s="3451"/>
      <c r="K8" s="3451"/>
      <c r="L8" s="3451"/>
      <c r="M8" s="4430"/>
    </row>
    <row r="9" spans="1:16" x14ac:dyDescent="0.35">
      <c r="B9" s="3447"/>
      <c r="C9" s="3448"/>
      <c r="D9" s="3448"/>
      <c r="E9" s="3448"/>
      <c r="F9" s="3448"/>
      <c r="G9" s="3449"/>
      <c r="H9" s="3450"/>
      <c r="I9" s="3451"/>
      <c r="J9" s="3451"/>
      <c r="K9" s="3451"/>
      <c r="L9" s="3451"/>
      <c r="M9" s="4430"/>
    </row>
    <row r="10" spans="1:16" x14ac:dyDescent="0.35">
      <c r="B10" s="3447"/>
      <c r="C10" s="3448"/>
      <c r="D10" s="3448"/>
      <c r="E10" s="3448"/>
      <c r="F10" s="3448"/>
      <c r="G10" s="3449"/>
      <c r="H10" s="3450"/>
      <c r="I10" s="3451"/>
      <c r="J10" s="3451"/>
      <c r="K10" s="3451"/>
      <c r="L10" s="3451"/>
      <c r="M10" s="4430"/>
    </row>
    <row r="11" spans="1:16" x14ac:dyDescent="0.35">
      <c r="B11" s="3447"/>
      <c r="C11" s="3448"/>
      <c r="D11" s="3448"/>
      <c r="E11" s="3448"/>
      <c r="F11" s="3448"/>
      <c r="G11" s="3449"/>
      <c r="H11" s="3450"/>
      <c r="I11" s="3451"/>
      <c r="J11" s="3451"/>
      <c r="K11" s="3451"/>
      <c r="L11" s="3451"/>
      <c r="M11" s="4430"/>
    </row>
    <row r="12" spans="1:16" x14ac:dyDescent="0.35">
      <c r="B12" s="3447"/>
      <c r="C12" s="3448"/>
      <c r="D12" s="3448"/>
      <c r="E12" s="3448"/>
      <c r="F12" s="3448"/>
      <c r="G12" s="3449"/>
      <c r="H12" s="3450"/>
      <c r="I12" s="3451"/>
      <c r="J12" s="3451"/>
      <c r="K12" s="3451"/>
      <c r="L12" s="3451"/>
      <c r="M12" s="4430"/>
    </row>
    <row r="13" spans="1:16" x14ac:dyDescent="0.35">
      <c r="B13" s="3447"/>
      <c r="C13" s="3448"/>
      <c r="D13" s="3448"/>
      <c r="E13" s="3448"/>
      <c r="F13" s="3448"/>
      <c r="G13" s="3449"/>
      <c r="H13" s="3450"/>
      <c r="I13" s="3451"/>
      <c r="J13" s="3451"/>
      <c r="K13" s="3451"/>
      <c r="L13" s="3451"/>
      <c r="M13" s="4430"/>
    </row>
    <row r="14" spans="1:16" x14ac:dyDescent="0.35">
      <c r="B14" s="3447"/>
      <c r="C14" s="3448"/>
      <c r="D14" s="3448"/>
      <c r="E14" s="3448"/>
      <c r="F14" s="3448"/>
      <c r="G14" s="3449"/>
      <c r="H14" s="3450"/>
      <c r="I14" s="3451"/>
      <c r="J14" s="3451"/>
      <c r="K14" s="3451"/>
      <c r="L14" s="3451"/>
      <c r="M14" s="4430"/>
    </row>
    <row r="15" spans="1:16" x14ac:dyDescent="0.35">
      <c r="B15" s="3447"/>
      <c r="C15" s="3448"/>
      <c r="D15" s="3448"/>
      <c r="E15" s="3448"/>
      <c r="F15" s="3448"/>
      <c r="G15" s="3449"/>
      <c r="H15" s="3450"/>
      <c r="I15" s="3451"/>
      <c r="J15" s="3451"/>
      <c r="K15" s="3451"/>
      <c r="L15" s="3451"/>
      <c r="M15" s="4430"/>
    </row>
    <row r="16" spans="1:16" x14ac:dyDescent="0.35">
      <c r="B16" s="3447"/>
      <c r="C16" s="3448"/>
      <c r="D16" s="3448"/>
      <c r="E16" s="3448"/>
      <c r="F16" s="3448"/>
      <c r="G16" s="3449"/>
      <c r="H16" s="3450"/>
      <c r="I16" s="3451"/>
      <c r="J16" s="3451"/>
      <c r="K16" s="3451"/>
      <c r="L16" s="3451"/>
      <c r="M16" s="4430"/>
    </row>
    <row r="17" spans="2:13" x14ac:dyDescent="0.35">
      <c r="B17" s="3447"/>
      <c r="C17" s="3448"/>
      <c r="D17" s="3448"/>
      <c r="E17" s="3448"/>
      <c r="F17" s="3448"/>
      <c r="G17" s="3449"/>
      <c r="H17" s="3450"/>
      <c r="I17" s="3451"/>
      <c r="J17" s="3451"/>
      <c r="K17" s="3451"/>
      <c r="L17" s="3451"/>
      <c r="M17" s="4430"/>
    </row>
    <row r="18" spans="2:13" x14ac:dyDescent="0.35">
      <c r="B18" s="3447"/>
      <c r="C18" s="3448"/>
      <c r="D18" s="3448"/>
      <c r="E18" s="3448"/>
      <c r="F18" s="3448"/>
      <c r="G18" s="3449"/>
      <c r="H18" s="3450"/>
      <c r="I18" s="3451"/>
      <c r="J18" s="3451"/>
      <c r="K18" s="3451"/>
      <c r="L18" s="3451"/>
      <c r="M18" s="4430"/>
    </row>
    <row r="19" spans="2:13" x14ac:dyDescent="0.35">
      <c r="B19" s="3447"/>
      <c r="C19" s="3448"/>
      <c r="D19" s="3448"/>
      <c r="E19" s="3448"/>
      <c r="F19" s="3448"/>
      <c r="G19" s="3449"/>
      <c r="H19" s="3450"/>
      <c r="I19" s="3451"/>
      <c r="J19" s="3451"/>
      <c r="K19" s="3451"/>
      <c r="L19" s="3451"/>
      <c r="M19" s="4430"/>
    </row>
    <row r="20" spans="2:13" x14ac:dyDescent="0.35">
      <c r="B20" s="3447"/>
      <c r="C20" s="3448"/>
      <c r="D20" s="3448"/>
      <c r="E20" s="3448"/>
      <c r="F20" s="3448"/>
      <c r="G20" s="3449"/>
      <c r="H20" s="3450"/>
      <c r="I20" s="3451"/>
      <c r="J20" s="3451"/>
      <c r="K20" s="3451"/>
      <c r="L20" s="3451"/>
      <c r="M20" s="4430"/>
    </row>
    <row r="21" spans="2:13" x14ac:dyDescent="0.35">
      <c r="B21" s="3447"/>
      <c r="C21" s="3448"/>
      <c r="D21" s="3448"/>
      <c r="E21" s="3448"/>
      <c r="F21" s="3448"/>
      <c r="G21" s="3449"/>
      <c r="H21" s="3450"/>
      <c r="I21" s="3451"/>
      <c r="J21" s="3451"/>
      <c r="K21" s="3451"/>
      <c r="L21" s="3451"/>
      <c r="M21" s="4430"/>
    </row>
    <row r="22" spans="2:13" x14ac:dyDescent="0.35">
      <c r="B22" s="3447"/>
      <c r="C22" s="3448"/>
      <c r="D22" s="3448"/>
      <c r="E22" s="3448"/>
      <c r="F22" s="3448"/>
      <c r="G22" s="3449"/>
      <c r="H22" s="3450"/>
      <c r="I22" s="3451"/>
      <c r="J22" s="3451"/>
      <c r="K22" s="3451"/>
      <c r="L22" s="3451"/>
      <c r="M22" s="4430"/>
    </row>
    <row r="23" spans="2:13" x14ac:dyDescent="0.35">
      <c r="B23" s="3447"/>
      <c r="C23" s="3448"/>
      <c r="D23" s="3448"/>
      <c r="E23" s="3448"/>
      <c r="F23" s="3448"/>
      <c r="G23" s="3449"/>
      <c r="H23" s="3450"/>
      <c r="I23" s="3451"/>
      <c r="J23" s="3451"/>
      <c r="K23" s="3451"/>
      <c r="L23" s="3451"/>
      <c r="M23" s="4430"/>
    </row>
    <row r="24" spans="2:13" ht="13.5" customHeight="1" x14ac:dyDescent="0.35">
      <c r="B24" s="3447"/>
      <c r="C24" s="3448"/>
      <c r="D24" s="3448"/>
      <c r="E24" s="3448"/>
      <c r="F24" s="3448"/>
      <c r="G24" s="3449"/>
      <c r="H24" s="3450"/>
      <c r="I24" s="3451"/>
      <c r="J24" s="3451"/>
      <c r="K24" s="3451"/>
      <c r="L24" s="3451"/>
      <c r="M24" s="4430"/>
    </row>
    <row r="25" spans="2:13" x14ac:dyDescent="0.35">
      <c r="B25" s="3447"/>
      <c r="C25" s="3448"/>
      <c r="D25" s="3448"/>
      <c r="E25" s="3448"/>
      <c r="F25" s="3448"/>
      <c r="G25" s="3449"/>
      <c r="H25" s="3450"/>
      <c r="I25" s="3451"/>
      <c r="J25" s="3451"/>
      <c r="K25" s="3451"/>
      <c r="L25" s="3451"/>
      <c r="M25" s="4430"/>
    </row>
    <row r="26" spans="2:13" ht="15" thickBot="1" x14ac:dyDescent="0.4">
      <c r="B26" s="4435"/>
      <c r="C26" s="4436"/>
      <c r="D26" s="4436"/>
      <c r="E26" s="4436"/>
      <c r="F26" s="4436"/>
      <c r="G26" s="1668"/>
      <c r="H26" s="4437"/>
      <c r="I26" s="4438"/>
      <c r="J26" s="4438"/>
      <c r="K26" s="4438"/>
      <c r="L26" s="4438"/>
      <c r="M26" s="1669"/>
    </row>
    <row r="27" spans="2:13" ht="19" thickTop="1" x14ac:dyDescent="0.35">
      <c r="B27" s="3441" t="s">
        <v>2291</v>
      </c>
      <c r="C27" s="3442"/>
      <c r="D27" s="3442"/>
      <c r="E27" s="3442"/>
      <c r="F27" s="3442"/>
      <c r="G27" s="3443"/>
      <c r="H27" s="3444" t="s">
        <v>2292</v>
      </c>
      <c r="I27" s="3445"/>
      <c r="J27" s="3445"/>
      <c r="K27" s="3445"/>
      <c r="L27" s="3445"/>
      <c r="M27" s="4425"/>
    </row>
    <row r="28" spans="2:13" x14ac:dyDescent="0.35">
      <c r="B28" s="3413"/>
      <c r="C28" s="3414"/>
      <c r="D28" s="3414"/>
      <c r="E28" s="3414"/>
      <c r="F28" s="3414"/>
      <c r="G28" s="3415"/>
      <c r="H28" s="3413"/>
      <c r="I28" s="3414"/>
      <c r="J28" s="3414"/>
      <c r="K28" s="3414"/>
      <c r="L28" s="3414"/>
      <c r="M28" s="3431"/>
    </row>
    <row r="29" spans="2:13" x14ac:dyDescent="0.35">
      <c r="B29" s="3462"/>
      <c r="C29" s="3414"/>
      <c r="D29" s="3414"/>
      <c r="E29" s="3414"/>
      <c r="F29" s="3414"/>
      <c r="G29" s="3415"/>
      <c r="H29" s="3413"/>
      <c r="I29" s="3414"/>
      <c r="J29" s="3414"/>
      <c r="K29" s="3414"/>
      <c r="L29" s="3414"/>
      <c r="M29" s="3431"/>
    </row>
    <row r="30" spans="2:13" x14ac:dyDescent="0.35">
      <c r="B30" s="3413"/>
      <c r="C30" s="3414"/>
      <c r="D30" s="3414"/>
      <c r="E30" s="3414"/>
      <c r="F30" s="3414"/>
      <c r="G30" s="3415"/>
      <c r="H30" s="3413"/>
      <c r="I30" s="3414"/>
      <c r="J30" s="3414"/>
      <c r="K30" s="3414"/>
      <c r="L30" s="3414"/>
      <c r="M30" s="3431"/>
    </row>
    <row r="31" spans="2:13" x14ac:dyDescent="0.35">
      <c r="B31" s="3413"/>
      <c r="C31" s="3414"/>
      <c r="D31" s="3414"/>
      <c r="E31" s="3414"/>
      <c r="F31" s="3414"/>
      <c r="G31" s="3415"/>
      <c r="H31" s="3413"/>
      <c r="I31" s="3414"/>
      <c r="J31" s="3414"/>
      <c r="K31" s="3414"/>
      <c r="L31" s="3414"/>
      <c r="M31" s="3431"/>
    </row>
    <row r="32" spans="2:13" x14ac:dyDescent="0.35">
      <c r="B32" s="3413"/>
      <c r="C32" s="3414"/>
      <c r="D32" s="3414"/>
      <c r="E32" s="3414"/>
      <c r="F32" s="3414"/>
      <c r="G32" s="3415"/>
      <c r="H32" s="3413"/>
      <c r="I32" s="3414"/>
      <c r="J32" s="3414"/>
      <c r="K32" s="3414"/>
      <c r="L32" s="3414"/>
      <c r="M32" s="3431"/>
    </row>
    <row r="33" spans="1:16" x14ac:dyDescent="0.35">
      <c r="B33" s="3413"/>
      <c r="C33" s="3414"/>
      <c r="D33" s="3414"/>
      <c r="E33" s="3414"/>
      <c r="F33" s="3414"/>
      <c r="G33" s="3415"/>
      <c r="H33" s="3413"/>
      <c r="I33" s="3414"/>
      <c r="J33" s="3414"/>
      <c r="K33" s="3414"/>
      <c r="L33" s="3414"/>
      <c r="M33" s="3431"/>
    </row>
    <row r="34" spans="1:16" x14ac:dyDescent="0.35">
      <c r="B34" s="3413"/>
      <c r="C34" s="3414"/>
      <c r="D34" s="3414"/>
      <c r="E34" s="3414"/>
      <c r="F34" s="3414"/>
      <c r="G34" s="3415"/>
      <c r="H34" s="3413"/>
      <c r="I34" s="3414"/>
      <c r="J34" s="3414"/>
      <c r="K34" s="3414"/>
      <c r="L34" s="3414"/>
      <c r="M34" s="3431"/>
    </row>
    <row r="35" spans="1:16" x14ac:dyDescent="0.35">
      <c r="B35" s="3413"/>
      <c r="C35" s="3414"/>
      <c r="D35" s="3414"/>
      <c r="E35" s="3414"/>
      <c r="F35" s="3414"/>
      <c r="G35" s="3415"/>
      <c r="H35" s="3413"/>
      <c r="I35" s="3414"/>
      <c r="J35" s="3414"/>
      <c r="K35" s="3414"/>
      <c r="L35" s="3414"/>
      <c r="M35" s="3431"/>
    </row>
    <row r="36" spans="1:16" x14ac:dyDescent="0.35">
      <c r="B36" s="3413"/>
      <c r="C36" s="3414"/>
      <c r="D36" s="3414"/>
      <c r="E36" s="3414"/>
      <c r="F36" s="3414"/>
      <c r="G36" s="3415"/>
      <c r="H36" s="3413"/>
      <c r="I36" s="3414"/>
      <c r="J36" s="3414"/>
      <c r="K36" s="3414"/>
      <c r="L36" s="3414"/>
      <c r="M36" s="3431"/>
    </row>
    <row r="37" spans="1:16" x14ac:dyDescent="0.35">
      <c r="B37" s="3413"/>
      <c r="C37" s="3414"/>
      <c r="D37" s="3414"/>
      <c r="E37" s="3414"/>
      <c r="F37" s="3414"/>
      <c r="G37" s="3415"/>
      <c r="H37" s="3413"/>
      <c r="I37" s="3414"/>
      <c r="J37" s="3414"/>
      <c r="K37" s="3414"/>
      <c r="L37" s="3414"/>
      <c r="M37" s="3431"/>
    </row>
    <row r="38" spans="1:16" x14ac:dyDescent="0.35">
      <c r="B38" s="3413"/>
      <c r="C38" s="3414"/>
      <c r="D38" s="3414"/>
      <c r="E38" s="3414"/>
      <c r="F38" s="3414"/>
      <c r="G38" s="3415"/>
      <c r="H38" s="3413"/>
      <c r="I38" s="3414"/>
      <c r="J38" s="3414"/>
      <c r="K38" s="3414"/>
      <c r="L38" s="3414"/>
      <c r="M38" s="3431"/>
    </row>
    <row r="39" spans="1:16" x14ac:dyDescent="0.35">
      <c r="B39" s="3413"/>
      <c r="C39" s="3414"/>
      <c r="D39" s="3414"/>
      <c r="E39" s="3414"/>
      <c r="F39" s="3414"/>
      <c r="G39" s="3415"/>
      <c r="H39" s="3413"/>
      <c r="I39" s="3414"/>
      <c r="J39" s="3414"/>
      <c r="K39" s="3414"/>
      <c r="L39" s="3414"/>
      <c r="M39" s="3431"/>
    </row>
    <row r="40" spans="1:16" x14ac:dyDescent="0.35">
      <c r="B40" s="3413"/>
      <c r="C40" s="3414"/>
      <c r="D40" s="3414"/>
      <c r="E40" s="3414"/>
      <c r="F40" s="3414"/>
      <c r="G40" s="3415"/>
      <c r="H40" s="3413"/>
      <c r="I40" s="3414"/>
      <c r="J40" s="3414"/>
      <c r="K40" s="3414"/>
      <c r="L40" s="3414"/>
      <c r="M40" s="3431"/>
    </row>
    <row r="41" spans="1:16" x14ac:dyDescent="0.35">
      <c r="B41" s="3413"/>
      <c r="C41" s="3414"/>
      <c r="D41" s="3414"/>
      <c r="E41" s="3414"/>
      <c r="F41" s="3414"/>
      <c r="G41" s="3415"/>
      <c r="H41" s="3413"/>
      <c r="I41" s="3414"/>
      <c r="J41" s="3414"/>
      <c r="K41" s="3414"/>
      <c r="L41" s="3414"/>
      <c r="M41" s="3431"/>
    </row>
    <row r="42" spans="1:16" x14ac:dyDescent="0.35">
      <c r="B42" s="3413"/>
      <c r="C42" s="3414"/>
      <c r="D42" s="3414"/>
      <c r="E42" s="3414"/>
      <c r="F42" s="3414"/>
      <c r="G42" s="3415"/>
      <c r="H42" s="3413"/>
      <c r="I42" s="3414"/>
      <c r="J42" s="3414"/>
      <c r="K42" s="3414"/>
      <c r="L42" s="3414"/>
      <c r="M42" s="3431"/>
    </row>
    <row r="43" spans="1:16" x14ac:dyDescent="0.35">
      <c r="B43" s="3413"/>
      <c r="C43" s="3414"/>
      <c r="D43" s="3414"/>
      <c r="E43" s="3414"/>
      <c r="F43" s="3414"/>
      <c r="G43" s="3415"/>
      <c r="H43" s="3413"/>
      <c r="I43" s="3414"/>
      <c r="J43" s="3414"/>
      <c r="K43" s="3414"/>
      <c r="L43" s="3414"/>
      <c r="M43" s="3431"/>
    </row>
    <row r="44" spans="1:16" x14ac:dyDescent="0.35">
      <c r="B44" s="3413"/>
      <c r="C44" s="3414"/>
      <c r="D44" s="3414"/>
      <c r="E44" s="3414"/>
      <c r="F44" s="3414"/>
      <c r="G44" s="3415"/>
      <c r="H44" s="3413"/>
      <c r="I44" s="3414"/>
      <c r="J44" s="3414"/>
      <c r="K44" s="3414"/>
      <c r="L44" s="3414"/>
      <c r="M44" s="3431"/>
    </row>
    <row r="45" spans="1:16" x14ac:dyDescent="0.35">
      <c r="B45" s="3413"/>
      <c r="C45" s="3414"/>
      <c r="D45" s="3414"/>
      <c r="E45" s="3414"/>
      <c r="F45" s="3414"/>
      <c r="G45" s="3415"/>
      <c r="H45" s="3413"/>
      <c r="I45" s="3414"/>
      <c r="J45" s="3414"/>
      <c r="K45" s="3414"/>
      <c r="L45" s="3414"/>
      <c r="M45" s="3431"/>
    </row>
    <row r="46" spans="1:16" ht="15" thickBot="1" x14ac:dyDescent="0.4">
      <c r="B46" s="4439"/>
      <c r="C46" s="4440"/>
      <c r="D46" s="4440"/>
      <c r="E46" s="4440"/>
      <c r="F46" s="4440"/>
      <c r="G46" s="1670"/>
      <c r="H46" s="4441"/>
      <c r="I46" s="4442"/>
      <c r="J46" s="4442"/>
      <c r="K46" s="4442"/>
      <c r="L46" s="4442"/>
      <c r="M46" s="1671"/>
    </row>
    <row r="47" spans="1:16" ht="18" customHeight="1" thickTop="1" x14ac:dyDescent="0.35">
      <c r="A47" s="1672"/>
      <c r="B47" s="1673"/>
      <c r="C47" s="1673"/>
      <c r="D47" s="1673"/>
      <c r="E47" s="1674"/>
      <c r="F47" s="1674"/>
      <c r="G47" s="1674"/>
      <c r="H47" s="1674"/>
      <c r="I47" s="1674"/>
      <c r="J47" s="1674"/>
      <c r="K47" s="1675"/>
      <c r="L47" s="1675"/>
      <c r="M47" s="1675"/>
      <c r="N47" s="1675"/>
      <c r="O47" s="63"/>
      <c r="P47" s="63"/>
    </row>
    <row r="48" spans="1:16" x14ac:dyDescent="0.35">
      <c r="A48" s="64"/>
      <c r="B48" s="64"/>
      <c r="C48" s="64"/>
      <c r="D48" s="64"/>
      <c r="E48" s="64"/>
      <c r="F48" s="64"/>
      <c r="G48" s="64"/>
      <c r="H48" s="64"/>
      <c r="I48" s="64"/>
      <c r="J48" s="64"/>
      <c r="K48" s="64"/>
      <c r="L48" s="64"/>
      <c r="M48" s="64"/>
      <c r="N48" s="64"/>
      <c r="O48" s="64"/>
      <c r="P48" s="64"/>
    </row>
    <row r="55" spans="1:16" x14ac:dyDescent="0.35">
      <c r="A55" s="64"/>
      <c r="B55" s="64"/>
      <c r="C55" s="64"/>
      <c r="D55" s="64"/>
      <c r="E55" s="64"/>
      <c r="F55" s="64"/>
      <c r="G55" s="64"/>
      <c r="H55" s="64"/>
      <c r="I55" s="64"/>
      <c r="J55" s="64"/>
      <c r="K55" s="64"/>
      <c r="L55" s="64"/>
      <c r="M55" s="64"/>
      <c r="N55" s="64"/>
      <c r="O55" s="64"/>
      <c r="P55" s="64"/>
    </row>
  </sheetData>
  <mergeCells count="91">
    <mergeCell ref="B46:F46"/>
    <mergeCell ref="H46:L46"/>
    <mergeCell ref="A4:P4"/>
    <mergeCell ref="B43:G43"/>
    <mergeCell ref="H43:M43"/>
    <mergeCell ref="B44:G44"/>
    <mergeCell ref="H44:M44"/>
    <mergeCell ref="B45:G45"/>
    <mergeCell ref="H45:M45"/>
    <mergeCell ref="B40:G40"/>
    <mergeCell ref="H40:M40"/>
    <mergeCell ref="B41:G41"/>
    <mergeCell ref="H41:M41"/>
    <mergeCell ref="B42:G42"/>
    <mergeCell ref="H42:M42"/>
    <mergeCell ref="B37:G37"/>
    <mergeCell ref="H37:M37"/>
    <mergeCell ref="B38:G38"/>
    <mergeCell ref="H38:M38"/>
    <mergeCell ref="B39:G39"/>
    <mergeCell ref="H39:M39"/>
    <mergeCell ref="B34:G34"/>
    <mergeCell ref="H34:M34"/>
    <mergeCell ref="B35:G35"/>
    <mergeCell ref="H35:M35"/>
    <mergeCell ref="B36:G36"/>
    <mergeCell ref="H36:M36"/>
    <mergeCell ref="B31:G31"/>
    <mergeCell ref="H31:M31"/>
    <mergeCell ref="B32:G32"/>
    <mergeCell ref="H32:M32"/>
    <mergeCell ref="B33:G33"/>
    <mergeCell ref="H33:M33"/>
    <mergeCell ref="B28:G28"/>
    <mergeCell ref="H28:M28"/>
    <mergeCell ref="B29:G29"/>
    <mergeCell ref="H29:M29"/>
    <mergeCell ref="B30:G30"/>
    <mergeCell ref="H30:M30"/>
    <mergeCell ref="B25:G25"/>
    <mergeCell ref="H25:M25"/>
    <mergeCell ref="B26:F26"/>
    <mergeCell ref="H26:L26"/>
    <mergeCell ref="B27:G27"/>
    <mergeCell ref="H27:M27"/>
    <mergeCell ref="B22:G22"/>
    <mergeCell ref="H22:M22"/>
    <mergeCell ref="B23:G23"/>
    <mergeCell ref="H23:M23"/>
    <mergeCell ref="B24:G24"/>
    <mergeCell ref="H24:M24"/>
    <mergeCell ref="B19:G19"/>
    <mergeCell ref="H19:M19"/>
    <mergeCell ref="B20:G20"/>
    <mergeCell ref="H20:M20"/>
    <mergeCell ref="B21:G21"/>
    <mergeCell ref="H21:M21"/>
    <mergeCell ref="B16:G16"/>
    <mergeCell ref="H16:M16"/>
    <mergeCell ref="B17:G17"/>
    <mergeCell ref="H17:M17"/>
    <mergeCell ref="B18:G18"/>
    <mergeCell ref="H18:M18"/>
    <mergeCell ref="B13:G13"/>
    <mergeCell ref="H13:M13"/>
    <mergeCell ref="B14:G14"/>
    <mergeCell ref="H14:M14"/>
    <mergeCell ref="B15:G15"/>
    <mergeCell ref="H15:M15"/>
    <mergeCell ref="B10:G10"/>
    <mergeCell ref="H10:M10"/>
    <mergeCell ref="B11:G11"/>
    <mergeCell ref="H11:M11"/>
    <mergeCell ref="B12:G12"/>
    <mergeCell ref="H12:M12"/>
    <mergeCell ref="B7:G7"/>
    <mergeCell ref="H7:M7"/>
    <mergeCell ref="B8:G8"/>
    <mergeCell ref="H8:M8"/>
    <mergeCell ref="B9:G9"/>
    <mergeCell ref="H9:M9"/>
    <mergeCell ref="D3:G3"/>
    <mergeCell ref="A5:B5"/>
    <mergeCell ref="C5:P5"/>
    <mergeCell ref="A6:N6"/>
    <mergeCell ref="D1:G1"/>
    <mergeCell ref="I1:J1"/>
    <mergeCell ref="L1:M1"/>
    <mergeCell ref="D2:G2"/>
    <mergeCell ref="I2:J2"/>
    <mergeCell ref="L2:M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7300-000000000000}">
      <formula1>AvancementTheme</formula1>
    </dataValidation>
  </dataValidations>
  <hyperlinks>
    <hyperlink ref="O1" location="DPDV_01SW" display="PdV" xr:uid="{00000000-0004-0000-7300-000000000000}"/>
    <hyperlink ref="P1" location="DKPI_01SW" display="KPI's" xr:uid="{00000000-0004-0000-7300-000001000000}"/>
  </hyperlink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Feuil3">
    <tabColor rgb="FF92D050"/>
    <pageSetUpPr fitToPage="1"/>
  </sheetPr>
  <dimension ref="A1:R54"/>
  <sheetViews>
    <sheetView showGridLines="0" zoomScaleNormal="100" workbookViewId="0">
      <pane ySplit="8" topLeftCell="A9" activePane="bottomLeft" state="frozen"/>
      <selection activeCell="H7" sqref="H7"/>
      <selection pane="bottomLeft" activeCell="M39" sqref="M39:P39"/>
    </sheetView>
  </sheetViews>
  <sheetFormatPr baseColWidth="10" defaultColWidth="11.453125" defaultRowHeight="14.5" x14ac:dyDescent="0.35"/>
  <cols>
    <col min="1" max="11" width="11.453125" style="60"/>
    <col min="12" max="12" width="12.81640625" style="60" customWidth="1"/>
    <col min="13" max="14" width="11.453125" style="60"/>
    <col min="15" max="15" width="11.453125" style="60" customWidth="1"/>
    <col min="16" max="16384" width="11.453125" style="60"/>
  </cols>
  <sheetData>
    <row r="1" spans="1:18" s="54" customFormat="1" ht="15" customHeight="1" x14ac:dyDescent="0.35">
      <c r="A1" s="389"/>
      <c r="B1" s="389"/>
      <c r="C1" s="389"/>
      <c r="D1" s="3341" t="s">
        <v>5</v>
      </c>
      <c r="E1" s="3341"/>
      <c r="F1" s="3341"/>
      <c r="G1" s="3341"/>
      <c r="H1" s="391"/>
      <c r="I1" s="3341" t="s">
        <v>6</v>
      </c>
      <c r="J1" s="3341"/>
      <c r="K1" s="389"/>
      <c r="L1" s="3341" t="s">
        <v>9</v>
      </c>
      <c r="M1" s="3341"/>
      <c r="N1" s="389"/>
      <c r="O1" s="479"/>
      <c r="P1" s="479"/>
      <c r="Q1" s="458"/>
    </row>
    <row r="2" spans="1:18" s="58" customFormat="1" ht="18" customHeight="1" x14ac:dyDescent="0.35">
      <c r="A2" s="393"/>
      <c r="B2" s="393"/>
      <c r="C2" s="393"/>
      <c r="D2" s="3342" t="str">
        <f>NomClient</f>
        <v xml:space="preserve">EQUINIX </v>
      </c>
      <c r="E2" s="3343"/>
      <c r="F2" s="3343"/>
      <c r="G2" s="3344"/>
      <c r="H2" s="393"/>
      <c r="I2" s="3345" t="s">
        <v>406</v>
      </c>
      <c r="J2" s="3346"/>
      <c r="K2" s="393"/>
      <c r="L2" s="3347">
        <v>42965.891921296294</v>
      </c>
      <c r="M2" s="3348"/>
      <c r="N2" s="394"/>
      <c r="O2" s="451"/>
      <c r="P2" s="451"/>
      <c r="Q2" s="459"/>
    </row>
    <row r="3" spans="1:18" ht="12" customHeight="1" thickBot="1" x14ac:dyDescent="0.4">
      <c r="A3" s="396"/>
      <c r="B3" s="396"/>
      <c r="C3" s="396"/>
      <c r="D3" s="3696" t="s">
        <v>1792</v>
      </c>
      <c r="E3" s="3696"/>
      <c r="F3" s="3696"/>
      <c r="G3" s="3696"/>
      <c r="H3" s="396"/>
      <c r="I3" s="396"/>
      <c r="J3" s="396"/>
      <c r="K3" s="396"/>
      <c r="L3" s="396"/>
      <c r="M3" s="396"/>
      <c r="N3" s="396"/>
      <c r="O3" s="396"/>
      <c r="P3" s="396"/>
      <c r="Q3" s="64"/>
    </row>
    <row r="4" spans="1:18" s="1" customFormat="1" ht="18" customHeight="1" thickBot="1" x14ac:dyDescent="0.4">
      <c r="A4" s="4040" t="str">
        <f>Parametre!B24 &amp; "  : "</f>
        <v xml:space="preserve">Vision, Attente &amp; Stratégie  : </v>
      </c>
      <c r="B4" s="4040"/>
      <c r="C4" s="4040"/>
      <c r="D4" s="4040"/>
      <c r="E4" s="4040"/>
      <c r="F4" s="4040"/>
      <c r="G4" s="4040"/>
      <c r="H4" s="5807" t="s">
        <v>2293</v>
      </c>
      <c r="I4" s="5807"/>
      <c r="J4" s="5807"/>
      <c r="K4" s="5807"/>
      <c r="L4" s="5807"/>
      <c r="M4" s="5807"/>
      <c r="N4" s="5807"/>
      <c r="O4" s="5807"/>
      <c r="P4" s="5808"/>
      <c r="Q4" s="444"/>
    </row>
    <row r="5" spans="1:18" s="193" customFormat="1" ht="18.75" customHeight="1" thickBot="1" x14ac:dyDescent="0.4">
      <c r="A5" s="3438" t="s">
        <v>14</v>
      </c>
      <c r="B5" s="3438"/>
      <c r="C5" s="3508" t="s">
        <v>2294</v>
      </c>
      <c r="D5" s="3439"/>
      <c r="E5" s="3439"/>
      <c r="F5" s="3439"/>
      <c r="G5" s="3439"/>
      <c r="H5" s="3439"/>
      <c r="I5" s="3439"/>
      <c r="J5" s="3439"/>
      <c r="K5" s="3439"/>
      <c r="L5" s="3439"/>
      <c r="M5" s="3439"/>
      <c r="N5" s="3439"/>
      <c r="O5" s="3439"/>
      <c r="P5" s="3439"/>
      <c r="Q5" s="460"/>
    </row>
    <row r="6" spans="1:18" s="61" customFormat="1" ht="20.25" customHeight="1" thickTop="1" thickBot="1" x14ac:dyDescent="0.4">
      <c r="A6" s="461"/>
      <c r="B6" s="461"/>
      <c r="C6" s="461"/>
      <c r="D6" s="7072" t="s">
        <v>17</v>
      </c>
      <c r="E6" s="7073"/>
      <c r="F6" s="7073"/>
      <c r="G6" s="7074" t="s">
        <v>1023</v>
      </c>
      <c r="H6" s="7074"/>
      <c r="I6" s="7074" t="s">
        <v>2286</v>
      </c>
      <c r="J6" s="7074"/>
      <c r="K6" s="7074" t="s">
        <v>246</v>
      </c>
      <c r="L6" s="7075"/>
      <c r="M6" s="461"/>
      <c r="N6" s="461"/>
      <c r="O6" s="461"/>
      <c r="P6" s="461"/>
      <c r="Q6" s="461"/>
    </row>
    <row r="7" spans="1:18" s="61" customFormat="1" ht="16" thickTop="1" x14ac:dyDescent="0.35">
      <c r="A7" s="7079" t="s">
        <v>2295</v>
      </c>
      <c r="B7" s="7080"/>
      <c r="C7" s="7080"/>
      <c r="D7" s="7080"/>
      <c r="E7" s="7080"/>
      <c r="F7" s="7080"/>
      <c r="G7" s="7076" t="s">
        <v>16</v>
      </c>
      <c r="H7" s="7076"/>
      <c r="I7" s="7076" t="s">
        <v>16</v>
      </c>
      <c r="J7" s="7076"/>
      <c r="K7" s="7076" t="s">
        <v>16</v>
      </c>
      <c r="L7" s="7076"/>
      <c r="M7" s="7076" t="s">
        <v>701</v>
      </c>
      <c r="N7" s="7076"/>
      <c r="O7" s="7076"/>
      <c r="P7" s="7077"/>
      <c r="Q7" s="461"/>
    </row>
    <row r="8" spans="1:18" s="61" customFormat="1" ht="29.25" customHeight="1" x14ac:dyDescent="0.35">
      <c r="A8" s="7081"/>
      <c r="B8" s="7082"/>
      <c r="C8" s="7082"/>
      <c r="D8" s="7082"/>
      <c r="E8" s="7082"/>
      <c r="F8" s="7082"/>
      <c r="G8" s="6572"/>
      <c r="H8" s="6572"/>
      <c r="I8" s="6572"/>
      <c r="J8" s="6572"/>
      <c r="K8" s="6572"/>
      <c r="L8" s="6572"/>
      <c r="M8" s="6572"/>
      <c r="N8" s="6572"/>
      <c r="O8" s="6572"/>
      <c r="P8" s="7078"/>
      <c r="Q8" s="461"/>
    </row>
    <row r="9" spans="1:18" s="61" customFormat="1" ht="5.25" customHeight="1" x14ac:dyDescent="0.35">
      <c r="A9" s="7047"/>
      <c r="B9" s="7048"/>
      <c r="C9" s="7048"/>
      <c r="D9" s="7048"/>
      <c r="E9" s="7048"/>
      <c r="F9" s="7048"/>
      <c r="G9" s="7048"/>
      <c r="H9" s="7048"/>
      <c r="I9" s="7048"/>
      <c r="J9" s="7048"/>
      <c r="K9" s="7048"/>
      <c r="L9" s="7048"/>
      <c r="M9" s="7048"/>
      <c r="N9" s="7048"/>
      <c r="O9" s="7048"/>
      <c r="P9" s="7049"/>
      <c r="Q9" s="461"/>
    </row>
    <row r="10" spans="1:18" ht="18.75" customHeight="1" x14ac:dyDescent="0.35">
      <c r="A10" s="7060" t="s">
        <v>525</v>
      </c>
      <c r="B10" s="7061"/>
      <c r="C10" s="7061"/>
      <c r="D10" s="7061"/>
      <c r="E10" s="7061"/>
      <c r="F10" s="7061"/>
      <c r="G10" s="7061"/>
      <c r="H10" s="7061"/>
      <c r="I10" s="7061"/>
      <c r="J10" s="7061"/>
      <c r="K10" s="7061"/>
      <c r="L10" s="7061"/>
      <c r="M10" s="7061"/>
      <c r="N10" s="7061"/>
      <c r="O10" s="7061"/>
      <c r="P10" s="7062"/>
      <c r="Q10" s="463"/>
      <c r="R10" s="63"/>
    </row>
    <row r="11" spans="1:18" s="61" customFormat="1" ht="4.5" customHeight="1" x14ac:dyDescent="0.35">
      <c r="A11" s="7047"/>
      <c r="B11" s="7048"/>
      <c r="C11" s="7048"/>
      <c r="D11" s="7048"/>
      <c r="E11" s="7048"/>
      <c r="F11" s="7048"/>
      <c r="G11" s="7048"/>
      <c r="H11" s="7048"/>
      <c r="I11" s="7048"/>
      <c r="J11" s="7048"/>
      <c r="K11" s="7048"/>
      <c r="L11" s="7048"/>
      <c r="M11" s="7048"/>
      <c r="N11" s="7048"/>
      <c r="O11" s="7048"/>
      <c r="P11" s="7049"/>
      <c r="Q11" s="461"/>
    </row>
    <row r="12" spans="1:18" ht="25.5" customHeight="1" x14ac:dyDescent="0.35">
      <c r="A12" s="7044" t="s">
        <v>848</v>
      </c>
      <c r="B12" s="7045"/>
      <c r="C12" s="7045"/>
      <c r="D12" s="7045"/>
      <c r="E12" s="7045"/>
      <c r="F12" s="7046"/>
      <c r="G12" s="7042"/>
      <c r="H12" s="7042"/>
      <c r="I12" s="6479"/>
      <c r="J12" s="6479"/>
      <c r="K12" s="7043">
        <f>ABS(G12-I12)</f>
        <v>0</v>
      </c>
      <c r="L12" s="7043"/>
      <c r="M12" s="7063"/>
      <c r="N12" s="7064"/>
      <c r="O12" s="7064"/>
      <c r="P12" s="7065"/>
      <c r="Q12" s="463"/>
      <c r="R12" s="63"/>
    </row>
    <row r="13" spans="1:18" ht="25.5" customHeight="1" x14ac:dyDescent="0.35">
      <c r="A13" s="7044" t="s">
        <v>1214</v>
      </c>
      <c r="B13" s="7045"/>
      <c r="C13" s="7045"/>
      <c r="D13" s="7045"/>
      <c r="E13" s="7045"/>
      <c r="F13" s="7046"/>
      <c r="G13" s="7042"/>
      <c r="H13" s="7042"/>
      <c r="I13" s="6479"/>
      <c r="J13" s="6479"/>
      <c r="K13" s="7043">
        <f>ABS(G13-I13)</f>
        <v>0</v>
      </c>
      <c r="L13" s="7043"/>
      <c r="M13" s="7063"/>
      <c r="N13" s="7064"/>
      <c r="O13" s="7064"/>
      <c r="P13" s="7065"/>
      <c r="Q13" s="463"/>
      <c r="R13" s="63"/>
    </row>
    <row r="14" spans="1:18" s="65" customFormat="1" ht="25.5" customHeight="1" x14ac:dyDescent="0.35">
      <c r="A14" s="7044" t="s">
        <v>1216</v>
      </c>
      <c r="B14" s="7045"/>
      <c r="C14" s="7045"/>
      <c r="D14" s="7045"/>
      <c r="E14" s="7045"/>
      <c r="F14" s="7046"/>
      <c r="G14" s="7042"/>
      <c r="H14" s="7042"/>
      <c r="I14" s="6479"/>
      <c r="J14" s="6479"/>
      <c r="K14" s="7043">
        <f t="shared" ref="K14:K22" si="0">ABS(G14-I14)</f>
        <v>0</v>
      </c>
      <c r="L14" s="7043"/>
      <c r="M14" s="7085"/>
      <c r="N14" s="7086"/>
      <c r="O14" s="7086"/>
      <c r="P14" s="7087"/>
      <c r="Q14" s="398"/>
    </row>
    <row r="15" spans="1:18" ht="30" customHeight="1" x14ac:dyDescent="0.35">
      <c r="A15" s="7044" t="s">
        <v>527</v>
      </c>
      <c r="B15" s="7045"/>
      <c r="C15" s="7045"/>
      <c r="D15" s="7045"/>
      <c r="E15" s="7045"/>
      <c r="F15" s="7046"/>
      <c r="G15" s="7042"/>
      <c r="H15" s="7042"/>
      <c r="I15" s="6479"/>
      <c r="J15" s="6479"/>
      <c r="K15" s="7043">
        <f t="shared" si="0"/>
        <v>0</v>
      </c>
      <c r="L15" s="7043"/>
      <c r="M15" s="7063"/>
      <c r="N15" s="7064"/>
      <c r="O15" s="7064"/>
      <c r="P15" s="7065"/>
      <c r="Q15" s="463"/>
      <c r="R15" s="63"/>
    </row>
    <row r="16" spans="1:18" ht="30" customHeight="1" x14ac:dyDescent="0.35">
      <c r="A16" s="7044" t="s">
        <v>526</v>
      </c>
      <c r="B16" s="7045"/>
      <c r="C16" s="7045"/>
      <c r="D16" s="7045"/>
      <c r="E16" s="7045"/>
      <c r="F16" s="7046"/>
      <c r="G16" s="7042"/>
      <c r="H16" s="7042"/>
      <c r="I16" s="6479"/>
      <c r="J16" s="6479"/>
      <c r="K16" s="7043">
        <f t="shared" si="0"/>
        <v>0</v>
      </c>
      <c r="L16" s="7043"/>
      <c r="M16" s="7063"/>
      <c r="N16" s="7064"/>
      <c r="O16" s="7064"/>
      <c r="P16" s="7065"/>
      <c r="Q16" s="463"/>
      <c r="R16" s="63"/>
    </row>
    <row r="17" spans="1:18" ht="33" customHeight="1" x14ac:dyDescent="0.35">
      <c r="A17" s="7044" t="s">
        <v>528</v>
      </c>
      <c r="B17" s="7045"/>
      <c r="C17" s="7045"/>
      <c r="D17" s="7045"/>
      <c r="E17" s="7045"/>
      <c r="F17" s="7046"/>
      <c r="G17" s="7042"/>
      <c r="H17" s="7042"/>
      <c r="I17" s="6479"/>
      <c r="J17" s="6479"/>
      <c r="K17" s="7043">
        <f t="shared" si="0"/>
        <v>0</v>
      </c>
      <c r="L17" s="7043"/>
      <c r="M17" s="7063"/>
      <c r="N17" s="7064"/>
      <c r="O17" s="7064"/>
      <c r="P17" s="7065"/>
      <c r="Q17" s="463"/>
      <c r="R17" s="63"/>
    </row>
    <row r="18" spans="1:18" ht="35.25" customHeight="1" x14ac:dyDescent="0.35">
      <c r="A18" s="7044" t="s">
        <v>529</v>
      </c>
      <c r="B18" s="7045"/>
      <c r="C18" s="7045"/>
      <c r="D18" s="7045"/>
      <c r="E18" s="7045"/>
      <c r="F18" s="7046"/>
      <c r="G18" s="7042"/>
      <c r="H18" s="7042"/>
      <c r="I18" s="6479"/>
      <c r="J18" s="6479"/>
      <c r="K18" s="7043">
        <f t="shared" si="0"/>
        <v>0</v>
      </c>
      <c r="L18" s="7043"/>
      <c r="M18" s="7063"/>
      <c r="N18" s="7064"/>
      <c r="O18" s="7064"/>
      <c r="P18" s="7065"/>
      <c r="Q18" s="463"/>
      <c r="R18" s="63"/>
    </row>
    <row r="19" spans="1:18" ht="39.75" customHeight="1" x14ac:dyDescent="0.35">
      <c r="A19" s="7044" t="s">
        <v>532</v>
      </c>
      <c r="B19" s="7045"/>
      <c r="C19" s="7045"/>
      <c r="D19" s="7045"/>
      <c r="E19" s="7045"/>
      <c r="F19" s="7046"/>
      <c r="G19" s="7042"/>
      <c r="H19" s="7042"/>
      <c r="I19" s="6479"/>
      <c r="J19" s="6479"/>
      <c r="K19" s="7043">
        <f t="shared" si="0"/>
        <v>0</v>
      </c>
      <c r="L19" s="7043"/>
      <c r="M19" s="7063"/>
      <c r="N19" s="7064"/>
      <c r="O19" s="7064"/>
      <c r="P19" s="7065"/>
      <c r="Q19" s="463"/>
      <c r="R19" s="63"/>
    </row>
    <row r="20" spans="1:18" ht="41.25" customHeight="1" x14ac:dyDescent="0.35">
      <c r="A20" s="7044" t="s">
        <v>530</v>
      </c>
      <c r="B20" s="7045"/>
      <c r="C20" s="7045"/>
      <c r="D20" s="7045"/>
      <c r="E20" s="7045"/>
      <c r="F20" s="7046"/>
      <c r="G20" s="7042"/>
      <c r="H20" s="7042"/>
      <c r="I20" s="6479"/>
      <c r="J20" s="6479"/>
      <c r="K20" s="7043">
        <f t="shared" si="0"/>
        <v>0</v>
      </c>
      <c r="L20" s="7043"/>
      <c r="M20" s="7063"/>
      <c r="N20" s="7064"/>
      <c r="O20" s="7064"/>
      <c r="P20" s="7065"/>
      <c r="Q20" s="463"/>
      <c r="R20" s="63"/>
    </row>
    <row r="21" spans="1:18" ht="25.5" customHeight="1" x14ac:dyDescent="0.35">
      <c r="A21" s="7044" t="s">
        <v>1215</v>
      </c>
      <c r="B21" s="7045"/>
      <c r="C21" s="7045"/>
      <c r="D21" s="7045"/>
      <c r="E21" s="7045"/>
      <c r="F21" s="7046"/>
      <c r="G21" s="7042"/>
      <c r="H21" s="7042"/>
      <c r="I21" s="6479"/>
      <c r="J21" s="6479"/>
      <c r="K21" s="7043">
        <f t="shared" si="0"/>
        <v>0</v>
      </c>
      <c r="L21" s="7043"/>
      <c r="M21" s="7039"/>
      <c r="N21" s="7039"/>
      <c r="O21" s="7039"/>
      <c r="P21" s="7040"/>
      <c r="Q21" s="463"/>
      <c r="R21" s="63"/>
    </row>
    <row r="22" spans="1:18" ht="25.5" customHeight="1" x14ac:dyDescent="0.35">
      <c r="A22" s="7069"/>
      <c r="B22" s="7070"/>
      <c r="C22" s="7070"/>
      <c r="D22" s="7070"/>
      <c r="E22" s="7070"/>
      <c r="F22" s="7071"/>
      <c r="G22" s="7042"/>
      <c r="H22" s="7042"/>
      <c r="I22" s="6479"/>
      <c r="J22" s="6479"/>
      <c r="K22" s="7043">
        <f t="shared" si="0"/>
        <v>0</v>
      </c>
      <c r="L22" s="7043"/>
      <c r="M22" s="7083"/>
      <c r="N22" s="7083"/>
      <c r="O22" s="7083"/>
      <c r="P22" s="7084"/>
      <c r="Q22" s="463"/>
      <c r="R22" s="63"/>
    </row>
    <row r="23" spans="1:18" s="61" customFormat="1" ht="4.5" customHeight="1" x14ac:dyDescent="0.35">
      <c r="A23" s="7047"/>
      <c r="B23" s="7048"/>
      <c r="C23" s="7048"/>
      <c r="D23" s="7048"/>
      <c r="E23" s="7048"/>
      <c r="F23" s="7048"/>
      <c r="G23" s="7048"/>
      <c r="H23" s="7048"/>
      <c r="I23" s="7048"/>
      <c r="J23" s="7048"/>
      <c r="K23" s="7048"/>
      <c r="L23" s="7048"/>
      <c r="M23" s="7048"/>
      <c r="N23" s="7048"/>
      <c r="O23" s="7048"/>
      <c r="P23" s="7049"/>
      <c r="Q23" s="461"/>
    </row>
    <row r="24" spans="1:18" ht="18.75" customHeight="1" x14ac:dyDescent="0.35">
      <c r="A24" s="7060" t="s">
        <v>531</v>
      </c>
      <c r="B24" s="7061"/>
      <c r="C24" s="7061"/>
      <c r="D24" s="7061"/>
      <c r="E24" s="7061"/>
      <c r="F24" s="7061"/>
      <c r="G24" s="7061"/>
      <c r="H24" s="7061"/>
      <c r="I24" s="7061"/>
      <c r="J24" s="7061"/>
      <c r="K24" s="7061"/>
      <c r="L24" s="7061"/>
      <c r="M24" s="7061"/>
      <c r="N24" s="7061"/>
      <c r="O24" s="7061"/>
      <c r="P24" s="7062"/>
      <c r="Q24" s="463"/>
      <c r="R24" s="63"/>
    </row>
    <row r="25" spans="1:18" s="61" customFormat="1" ht="4.5" customHeight="1" x14ac:dyDescent="0.35">
      <c r="A25" s="7047"/>
      <c r="B25" s="7048"/>
      <c r="C25" s="7048"/>
      <c r="D25" s="7048"/>
      <c r="E25" s="7048"/>
      <c r="F25" s="7048"/>
      <c r="G25" s="7048"/>
      <c r="H25" s="7048"/>
      <c r="I25" s="7048"/>
      <c r="J25" s="7048"/>
      <c r="K25" s="7048"/>
      <c r="L25" s="7048"/>
      <c r="M25" s="7048"/>
      <c r="N25" s="7048"/>
      <c r="O25" s="7048"/>
      <c r="P25" s="7049"/>
      <c r="Q25" s="461"/>
    </row>
    <row r="26" spans="1:18" s="65" customFormat="1" ht="51.75" customHeight="1" x14ac:dyDescent="0.35">
      <c r="A26" s="7044" t="s">
        <v>2296</v>
      </c>
      <c r="B26" s="7045"/>
      <c r="C26" s="7045"/>
      <c r="D26" s="7045"/>
      <c r="E26" s="7045"/>
      <c r="F26" s="7046"/>
      <c r="G26" s="7042"/>
      <c r="H26" s="7042"/>
      <c r="I26" s="6479"/>
      <c r="J26" s="6479"/>
      <c r="K26" s="7043">
        <f t="shared" ref="K26:K32" si="1">ABS(G26-I26)</f>
        <v>0</v>
      </c>
      <c r="L26" s="7043"/>
      <c r="M26" s="7039"/>
      <c r="N26" s="7039"/>
      <c r="O26" s="7039"/>
      <c r="P26" s="7040"/>
      <c r="Q26" s="398"/>
    </row>
    <row r="27" spans="1:18" s="65" customFormat="1" ht="38.25" customHeight="1" x14ac:dyDescent="0.35">
      <c r="A27" s="7044" t="s">
        <v>1218</v>
      </c>
      <c r="B27" s="7045"/>
      <c r="C27" s="7045"/>
      <c r="D27" s="7045"/>
      <c r="E27" s="7045"/>
      <c r="F27" s="7046"/>
      <c r="G27" s="7042"/>
      <c r="H27" s="7042"/>
      <c r="I27" s="6479"/>
      <c r="J27" s="6479"/>
      <c r="K27" s="7043">
        <f t="shared" si="1"/>
        <v>0</v>
      </c>
      <c r="L27" s="7043"/>
      <c r="M27" s="7039"/>
      <c r="N27" s="7039"/>
      <c r="O27" s="7039"/>
      <c r="P27" s="7040"/>
      <c r="Q27" s="398"/>
    </row>
    <row r="28" spans="1:18" s="65" customFormat="1" ht="44.25" customHeight="1" x14ac:dyDescent="0.35">
      <c r="A28" s="7044" t="s">
        <v>2297</v>
      </c>
      <c r="B28" s="7045"/>
      <c r="C28" s="7045"/>
      <c r="D28" s="7045"/>
      <c r="E28" s="7045"/>
      <c r="F28" s="7046"/>
      <c r="G28" s="7042"/>
      <c r="H28" s="7042"/>
      <c r="I28" s="6479"/>
      <c r="J28" s="6479"/>
      <c r="K28" s="7043">
        <f t="shared" si="1"/>
        <v>0</v>
      </c>
      <c r="L28" s="7043"/>
      <c r="M28" s="7039"/>
      <c r="N28" s="7039"/>
      <c r="O28" s="7039"/>
      <c r="P28" s="7040"/>
      <c r="Q28" s="398"/>
    </row>
    <row r="29" spans="1:18" s="65" customFormat="1" ht="45" customHeight="1" x14ac:dyDescent="0.35">
      <c r="A29" s="7044" t="s">
        <v>702</v>
      </c>
      <c r="B29" s="7045"/>
      <c r="C29" s="7045"/>
      <c r="D29" s="7045"/>
      <c r="E29" s="7045"/>
      <c r="F29" s="7046"/>
      <c r="G29" s="7042"/>
      <c r="H29" s="7042"/>
      <c r="I29" s="6479"/>
      <c r="J29" s="6479"/>
      <c r="K29" s="7043">
        <f t="shared" si="1"/>
        <v>0</v>
      </c>
      <c r="L29" s="7043"/>
      <c r="M29" s="7039"/>
      <c r="N29" s="7039"/>
      <c r="O29" s="7039"/>
      <c r="P29" s="7040"/>
      <c r="Q29" s="398"/>
    </row>
    <row r="30" spans="1:18" s="65" customFormat="1" ht="45" customHeight="1" x14ac:dyDescent="0.35">
      <c r="A30" s="7044" t="s">
        <v>2298</v>
      </c>
      <c r="B30" s="7045"/>
      <c r="C30" s="7045"/>
      <c r="D30" s="7045"/>
      <c r="E30" s="7045"/>
      <c r="F30" s="7046"/>
      <c r="G30" s="7042"/>
      <c r="H30" s="7042"/>
      <c r="I30" s="6479"/>
      <c r="J30" s="6479"/>
      <c r="K30" s="7043">
        <f t="shared" si="1"/>
        <v>0</v>
      </c>
      <c r="L30" s="7043"/>
      <c r="M30" s="7039"/>
      <c r="N30" s="7039"/>
      <c r="O30" s="7039"/>
      <c r="P30" s="7040"/>
      <c r="Q30" s="398"/>
    </row>
    <row r="31" spans="1:18" s="65" customFormat="1" ht="54" customHeight="1" x14ac:dyDescent="0.35">
      <c r="A31" s="7044" t="s">
        <v>1217</v>
      </c>
      <c r="B31" s="7045"/>
      <c r="C31" s="7045"/>
      <c r="D31" s="7045"/>
      <c r="E31" s="7045"/>
      <c r="F31" s="7046"/>
      <c r="G31" s="7042"/>
      <c r="H31" s="7042"/>
      <c r="I31" s="6479"/>
      <c r="J31" s="6479"/>
      <c r="K31" s="7043">
        <f t="shared" si="1"/>
        <v>0</v>
      </c>
      <c r="L31" s="7043"/>
      <c r="M31" s="7039"/>
      <c r="N31" s="7039"/>
      <c r="O31" s="7039"/>
      <c r="P31" s="7040"/>
      <c r="Q31" s="398"/>
    </row>
    <row r="32" spans="1:18" s="65" customFormat="1" ht="51" customHeight="1" x14ac:dyDescent="0.35">
      <c r="A32" s="7066" t="s">
        <v>1219</v>
      </c>
      <c r="B32" s="7067"/>
      <c r="C32" s="7067"/>
      <c r="D32" s="7067"/>
      <c r="E32" s="7067"/>
      <c r="F32" s="7068"/>
      <c r="G32" s="7042"/>
      <c r="H32" s="7042"/>
      <c r="I32" s="6479"/>
      <c r="J32" s="6479"/>
      <c r="K32" s="7043">
        <f t="shared" si="1"/>
        <v>0</v>
      </c>
      <c r="L32" s="7043"/>
      <c r="M32" s="7039"/>
      <c r="N32" s="7039"/>
      <c r="O32" s="7039"/>
      <c r="P32" s="7040"/>
      <c r="Q32" s="398"/>
    </row>
    <row r="33" spans="1:18" s="65" customFormat="1" ht="25.5" customHeight="1" x14ac:dyDescent="0.35">
      <c r="A33" s="7069"/>
      <c r="B33" s="7070"/>
      <c r="C33" s="7070"/>
      <c r="D33" s="7070"/>
      <c r="E33" s="7070"/>
      <c r="F33" s="7071"/>
      <c r="G33" s="7042"/>
      <c r="H33" s="7042"/>
      <c r="I33" s="6479"/>
      <c r="J33" s="6479"/>
      <c r="K33" s="7043"/>
      <c r="L33" s="7043"/>
      <c r="M33" s="7039"/>
      <c r="N33" s="7039"/>
      <c r="O33" s="7039"/>
      <c r="P33" s="7040"/>
      <c r="Q33" s="398"/>
    </row>
    <row r="34" spans="1:18" s="61" customFormat="1" ht="4.5" customHeight="1" x14ac:dyDescent="0.35">
      <c r="A34" s="7047"/>
      <c r="B34" s="7048"/>
      <c r="C34" s="7048"/>
      <c r="D34" s="7048"/>
      <c r="E34" s="7048"/>
      <c r="F34" s="7048"/>
      <c r="G34" s="7048"/>
      <c r="H34" s="7048"/>
      <c r="I34" s="7048"/>
      <c r="J34" s="7048"/>
      <c r="K34" s="7048"/>
      <c r="L34" s="7048"/>
      <c r="M34" s="7048"/>
      <c r="N34" s="7048"/>
      <c r="O34" s="7048"/>
      <c r="P34" s="7049"/>
      <c r="Q34" s="461"/>
    </row>
    <row r="35" spans="1:18" ht="18.75" customHeight="1" x14ac:dyDescent="0.35">
      <c r="A35" s="7060" t="s">
        <v>533</v>
      </c>
      <c r="B35" s="7061"/>
      <c r="C35" s="7061"/>
      <c r="D35" s="7061"/>
      <c r="E35" s="7061"/>
      <c r="F35" s="7061"/>
      <c r="G35" s="7061"/>
      <c r="H35" s="7061"/>
      <c r="I35" s="7061"/>
      <c r="J35" s="7061"/>
      <c r="K35" s="7061"/>
      <c r="L35" s="7061"/>
      <c r="M35" s="7061"/>
      <c r="N35" s="7061"/>
      <c r="O35" s="7061"/>
      <c r="P35" s="7062"/>
      <c r="Q35" s="463"/>
      <c r="R35" s="63"/>
    </row>
    <row r="36" spans="1:18" s="61" customFormat="1" ht="4.5" customHeight="1" x14ac:dyDescent="0.35">
      <c r="A36" s="7047"/>
      <c r="B36" s="7048"/>
      <c r="C36" s="7048"/>
      <c r="D36" s="7048"/>
      <c r="E36" s="7048"/>
      <c r="F36" s="7048"/>
      <c r="G36" s="7048"/>
      <c r="H36" s="7048"/>
      <c r="I36" s="7048"/>
      <c r="J36" s="7048"/>
      <c r="K36" s="7048"/>
      <c r="L36" s="7048"/>
      <c r="M36" s="7048"/>
      <c r="N36" s="7048"/>
      <c r="O36" s="7048"/>
      <c r="P36" s="7049"/>
      <c r="Q36" s="461"/>
    </row>
    <row r="37" spans="1:18" ht="25.5" customHeight="1" x14ac:dyDescent="0.35">
      <c r="A37" s="7044" t="s">
        <v>138</v>
      </c>
      <c r="B37" s="7045"/>
      <c r="C37" s="7045"/>
      <c r="D37" s="7045"/>
      <c r="E37" s="7045"/>
      <c r="F37" s="7046"/>
      <c r="G37" s="7042"/>
      <c r="H37" s="7042"/>
      <c r="I37" s="6479"/>
      <c r="J37" s="6479"/>
      <c r="K37" s="7043">
        <f t="shared" ref="K37" si="2">ABS(G37-I37)</f>
        <v>0</v>
      </c>
      <c r="L37" s="7043"/>
      <c r="M37" s="6547"/>
      <c r="N37" s="6547"/>
      <c r="O37" s="6547"/>
      <c r="P37" s="7041"/>
      <c r="Q37" s="463"/>
      <c r="R37" s="63"/>
    </row>
    <row r="38" spans="1:18" ht="25.5" customHeight="1" x14ac:dyDescent="0.35">
      <c r="A38" s="7044" t="s">
        <v>2299</v>
      </c>
      <c r="B38" s="7045"/>
      <c r="C38" s="7045"/>
      <c r="D38" s="7045"/>
      <c r="E38" s="7045"/>
      <c r="F38" s="7046"/>
      <c r="G38" s="7042"/>
      <c r="H38" s="7042"/>
      <c r="I38" s="6479"/>
      <c r="J38" s="6479"/>
      <c r="K38" s="7043">
        <f t="shared" ref="K38:K49" si="3">ABS(G38-I38)</f>
        <v>0</v>
      </c>
      <c r="L38" s="7043"/>
      <c r="M38" s="6547"/>
      <c r="N38" s="6547"/>
      <c r="O38" s="6547"/>
      <c r="P38" s="7041"/>
      <c r="Q38" s="463"/>
      <c r="R38" s="63"/>
    </row>
    <row r="39" spans="1:18" ht="25.5" customHeight="1" x14ac:dyDescent="0.35">
      <c r="A39" s="7044" t="s">
        <v>2301</v>
      </c>
      <c r="B39" s="7045"/>
      <c r="C39" s="7045"/>
      <c r="D39" s="7045"/>
      <c r="E39" s="7045"/>
      <c r="F39" s="7046"/>
      <c r="G39" s="7042"/>
      <c r="H39" s="7042"/>
      <c r="I39" s="6479"/>
      <c r="J39" s="6479"/>
      <c r="K39" s="7043">
        <f t="shared" si="3"/>
        <v>0</v>
      </c>
      <c r="L39" s="7043"/>
      <c r="M39" s="6547"/>
      <c r="N39" s="6547"/>
      <c r="O39" s="6547"/>
      <c r="P39" s="7041"/>
      <c r="Q39" s="463"/>
      <c r="R39" s="63"/>
    </row>
    <row r="40" spans="1:18" ht="25.5" customHeight="1" x14ac:dyDescent="0.35">
      <c r="A40" s="7044" t="s">
        <v>2300</v>
      </c>
      <c r="B40" s="7045"/>
      <c r="C40" s="7045"/>
      <c r="D40" s="7045"/>
      <c r="E40" s="7045"/>
      <c r="F40" s="7046"/>
      <c r="G40" s="7042"/>
      <c r="H40" s="7042"/>
      <c r="I40" s="6479"/>
      <c r="J40" s="6479"/>
      <c r="K40" s="7043">
        <f t="shared" si="3"/>
        <v>0</v>
      </c>
      <c r="L40" s="7043"/>
      <c r="M40" s="6547"/>
      <c r="N40" s="6547"/>
      <c r="O40" s="6547"/>
      <c r="P40" s="7041"/>
      <c r="Q40" s="463"/>
      <c r="R40" s="63"/>
    </row>
    <row r="41" spans="1:18" ht="25.5" customHeight="1" x14ac:dyDescent="0.35">
      <c r="A41" s="7044" t="s">
        <v>139</v>
      </c>
      <c r="B41" s="7045"/>
      <c r="C41" s="7045"/>
      <c r="D41" s="7045"/>
      <c r="E41" s="7045"/>
      <c r="F41" s="7046"/>
      <c r="G41" s="7042"/>
      <c r="H41" s="7042"/>
      <c r="I41" s="6479"/>
      <c r="J41" s="6479"/>
      <c r="K41" s="7043">
        <f t="shared" si="3"/>
        <v>0</v>
      </c>
      <c r="L41" s="7043"/>
      <c r="M41" s="7088"/>
      <c r="N41" s="6547"/>
      <c r="O41" s="6547"/>
      <c r="P41" s="7041"/>
      <c r="Q41" s="463"/>
      <c r="R41" s="63"/>
    </row>
    <row r="42" spans="1:18" ht="25.5" customHeight="1" x14ac:dyDescent="0.35">
      <c r="A42" s="7044" t="s">
        <v>140</v>
      </c>
      <c r="B42" s="7045"/>
      <c r="C42" s="7045"/>
      <c r="D42" s="7045"/>
      <c r="E42" s="7045"/>
      <c r="F42" s="7046"/>
      <c r="G42" s="7042"/>
      <c r="H42" s="7042"/>
      <c r="I42" s="6479"/>
      <c r="J42" s="6479"/>
      <c r="K42" s="7043">
        <f t="shared" si="3"/>
        <v>0</v>
      </c>
      <c r="L42" s="7043"/>
      <c r="M42" s="7039"/>
      <c r="N42" s="7039"/>
      <c r="O42" s="7039"/>
      <c r="P42" s="7040"/>
      <c r="Q42" s="463"/>
      <c r="R42" s="63"/>
    </row>
    <row r="43" spans="1:18" ht="29.25" customHeight="1" x14ac:dyDescent="0.35">
      <c r="A43" s="7044" t="s">
        <v>2302</v>
      </c>
      <c r="B43" s="7045"/>
      <c r="C43" s="7045"/>
      <c r="D43" s="7045"/>
      <c r="E43" s="7045"/>
      <c r="F43" s="7046"/>
      <c r="G43" s="7042"/>
      <c r="H43" s="7042"/>
      <c r="I43" s="6479"/>
      <c r="J43" s="6479"/>
      <c r="K43" s="7043">
        <f t="shared" si="3"/>
        <v>0</v>
      </c>
      <c r="L43" s="7043"/>
      <c r="M43" s="7039"/>
      <c r="N43" s="7039"/>
      <c r="O43" s="7039"/>
      <c r="P43" s="7040"/>
      <c r="Q43" s="463"/>
      <c r="R43" s="63"/>
    </row>
    <row r="44" spans="1:18" ht="25.5" customHeight="1" x14ac:dyDescent="0.35">
      <c r="A44" s="7044" t="s">
        <v>141</v>
      </c>
      <c r="B44" s="7045"/>
      <c r="C44" s="7045"/>
      <c r="D44" s="7045"/>
      <c r="E44" s="7045"/>
      <c r="F44" s="7046"/>
      <c r="G44" s="7042"/>
      <c r="H44" s="7042"/>
      <c r="I44" s="6479"/>
      <c r="J44" s="6479"/>
      <c r="K44" s="7043">
        <f t="shared" si="3"/>
        <v>0</v>
      </c>
      <c r="L44" s="7043"/>
      <c r="M44" s="7039"/>
      <c r="N44" s="7039"/>
      <c r="O44" s="7039"/>
      <c r="P44" s="7040"/>
      <c r="Q44" s="463"/>
      <c r="R44" s="63"/>
    </row>
    <row r="45" spans="1:18" ht="25.5" customHeight="1" x14ac:dyDescent="0.35">
      <c r="A45" s="7044" t="s">
        <v>142</v>
      </c>
      <c r="B45" s="7045"/>
      <c r="C45" s="7045"/>
      <c r="D45" s="7045"/>
      <c r="E45" s="7045"/>
      <c r="F45" s="7046"/>
      <c r="G45" s="7042"/>
      <c r="H45" s="7042"/>
      <c r="I45" s="6479"/>
      <c r="J45" s="6479"/>
      <c r="K45" s="7043">
        <f t="shared" si="3"/>
        <v>0</v>
      </c>
      <c r="L45" s="7043"/>
      <c r="M45" s="7039"/>
      <c r="N45" s="7039"/>
      <c r="O45" s="7039"/>
      <c r="P45" s="7040"/>
      <c r="Q45" s="463"/>
      <c r="R45" s="63"/>
    </row>
    <row r="46" spans="1:18" ht="25.5" customHeight="1" x14ac:dyDescent="0.35">
      <c r="A46" s="7044" t="s">
        <v>143</v>
      </c>
      <c r="B46" s="7045"/>
      <c r="C46" s="7045"/>
      <c r="D46" s="7045"/>
      <c r="E46" s="7045"/>
      <c r="F46" s="7046"/>
      <c r="G46" s="7042"/>
      <c r="H46" s="7042"/>
      <c r="I46" s="6479"/>
      <c r="J46" s="6479"/>
      <c r="K46" s="7043">
        <f t="shared" si="3"/>
        <v>0</v>
      </c>
      <c r="L46" s="7043"/>
      <c r="M46" s="7039"/>
      <c r="N46" s="7039"/>
      <c r="O46" s="7039"/>
      <c r="P46" s="7040"/>
      <c r="Q46" s="463"/>
      <c r="R46" s="63"/>
    </row>
    <row r="47" spans="1:18" ht="25.5" customHeight="1" x14ac:dyDescent="0.35">
      <c r="A47" s="7044" t="s">
        <v>144</v>
      </c>
      <c r="B47" s="7045"/>
      <c r="C47" s="7045"/>
      <c r="D47" s="7045"/>
      <c r="E47" s="7045"/>
      <c r="F47" s="7046"/>
      <c r="G47" s="7042"/>
      <c r="H47" s="7042"/>
      <c r="I47" s="6479"/>
      <c r="J47" s="6479"/>
      <c r="K47" s="7043">
        <f t="shared" si="3"/>
        <v>0</v>
      </c>
      <c r="L47" s="7043"/>
      <c r="M47" s="7039"/>
      <c r="N47" s="7039"/>
      <c r="O47" s="7039"/>
      <c r="P47" s="7040"/>
      <c r="Q47" s="64"/>
    </row>
    <row r="48" spans="1:18" ht="25.5" customHeight="1" x14ac:dyDescent="0.35">
      <c r="A48" s="7044" t="s">
        <v>847</v>
      </c>
      <c r="B48" s="7045"/>
      <c r="C48" s="7045"/>
      <c r="D48" s="7045"/>
      <c r="E48" s="7045"/>
      <c r="F48" s="7046"/>
      <c r="G48" s="7042"/>
      <c r="H48" s="7042"/>
      <c r="I48" s="6479"/>
      <c r="J48" s="6479"/>
      <c r="K48" s="7043">
        <f t="shared" si="3"/>
        <v>0</v>
      </c>
      <c r="L48" s="7043"/>
      <c r="M48" s="7039"/>
      <c r="N48" s="7039"/>
      <c r="O48" s="7039"/>
      <c r="P48" s="7040"/>
      <c r="Q48" s="64"/>
    </row>
    <row r="49" spans="1:17" ht="25.5" customHeight="1" x14ac:dyDescent="0.35">
      <c r="A49" s="7051" t="s">
        <v>1634</v>
      </c>
      <c r="B49" s="7052"/>
      <c r="C49" s="7052"/>
      <c r="D49" s="7052"/>
      <c r="E49" s="7052"/>
      <c r="F49" s="7053"/>
      <c r="G49" s="7042"/>
      <c r="H49" s="7042"/>
      <c r="I49" s="6479"/>
      <c r="J49" s="6479"/>
      <c r="K49" s="7043">
        <f t="shared" si="3"/>
        <v>0</v>
      </c>
      <c r="L49" s="7043"/>
      <c r="M49" s="7039"/>
      <c r="N49" s="7039"/>
      <c r="O49" s="7039"/>
      <c r="P49" s="7040"/>
      <c r="Q49" s="64"/>
    </row>
    <row r="50" spans="1:17" ht="25.5" customHeight="1" thickBot="1" x14ac:dyDescent="0.4">
      <c r="A50" s="7057"/>
      <c r="B50" s="7058"/>
      <c r="C50" s="7058"/>
      <c r="D50" s="7058"/>
      <c r="E50" s="7058"/>
      <c r="F50" s="7059"/>
      <c r="G50" s="7050"/>
      <c r="H50" s="7050"/>
      <c r="I50" s="7054"/>
      <c r="J50" s="7054"/>
      <c r="K50" s="7050"/>
      <c r="L50" s="7050"/>
      <c r="M50" s="7055"/>
      <c r="N50" s="7055"/>
      <c r="O50" s="7055"/>
      <c r="P50" s="7056"/>
      <c r="Q50" s="64"/>
    </row>
    <row r="51" spans="1:17" ht="15" thickTop="1" x14ac:dyDescent="0.35">
      <c r="A51" s="64"/>
      <c r="B51" s="64"/>
      <c r="C51" s="64"/>
      <c r="D51" s="64"/>
      <c r="E51" s="64"/>
      <c r="F51" s="64"/>
      <c r="G51" s="64"/>
      <c r="H51" s="64"/>
      <c r="I51" s="64"/>
      <c r="J51" s="64"/>
      <c r="K51" s="64"/>
      <c r="L51" s="64"/>
      <c r="M51" s="64"/>
      <c r="N51" s="64"/>
      <c r="O51" s="64"/>
      <c r="P51" s="64"/>
      <c r="Q51" s="64"/>
    </row>
    <row r="52" spans="1:17" x14ac:dyDescent="0.35">
      <c r="A52" s="64"/>
      <c r="B52" s="64"/>
      <c r="C52" s="64"/>
      <c r="D52" s="64"/>
      <c r="E52" s="64"/>
      <c r="F52" s="64"/>
      <c r="G52" s="64"/>
      <c r="H52" s="64"/>
      <c r="I52" s="64"/>
      <c r="J52" s="64"/>
      <c r="K52" s="64"/>
      <c r="L52" s="64"/>
      <c r="M52" s="64"/>
      <c r="N52" s="64"/>
      <c r="O52" s="64"/>
      <c r="P52" s="64"/>
      <c r="Q52" s="64"/>
    </row>
    <row r="53" spans="1:17" x14ac:dyDescent="0.35">
      <c r="M53" s="64"/>
      <c r="N53" s="64"/>
      <c r="O53" s="64"/>
    </row>
    <row r="54" spans="1:17" x14ac:dyDescent="0.35">
      <c r="M54" s="64"/>
      <c r="N54" s="64"/>
      <c r="O54" s="64"/>
    </row>
  </sheetData>
  <mergeCells count="194">
    <mergeCell ref="G28:H28"/>
    <mergeCell ref="A26:F26"/>
    <mergeCell ref="K21:L21"/>
    <mergeCell ref="M21:P21"/>
    <mergeCell ref="A27:F27"/>
    <mergeCell ref="G21:H21"/>
    <mergeCell ref="M47:P47"/>
    <mergeCell ref="K47:L47"/>
    <mergeCell ref="D3:G3"/>
    <mergeCell ref="A13:F13"/>
    <mergeCell ref="G13:H13"/>
    <mergeCell ref="I13:J13"/>
    <mergeCell ref="K13:L13"/>
    <mergeCell ref="M13:P13"/>
    <mergeCell ref="A14:F14"/>
    <mergeCell ref="G14:H14"/>
    <mergeCell ref="I14:J14"/>
    <mergeCell ref="K14:L14"/>
    <mergeCell ref="M14:P14"/>
    <mergeCell ref="A9:P9"/>
    <mergeCell ref="A11:P11"/>
    <mergeCell ref="G12:H12"/>
    <mergeCell ref="M41:P41"/>
    <mergeCell ref="G42:H42"/>
    <mergeCell ref="G17:H17"/>
    <mergeCell ref="I17:J17"/>
    <mergeCell ref="M16:P16"/>
    <mergeCell ref="M17:P17"/>
    <mergeCell ref="K16:L16"/>
    <mergeCell ref="K18:L18"/>
    <mergeCell ref="M18:P18"/>
    <mergeCell ref="G22:H22"/>
    <mergeCell ref="G27:H27"/>
    <mergeCell ref="I27:J27"/>
    <mergeCell ref="G26:H26"/>
    <mergeCell ref="I26:J26"/>
    <mergeCell ref="K26:L26"/>
    <mergeCell ref="K27:L27"/>
    <mergeCell ref="M27:P27"/>
    <mergeCell ref="M26:P26"/>
    <mergeCell ref="I22:J22"/>
    <mergeCell ref="K22:L22"/>
    <mergeCell ref="M22:P22"/>
    <mergeCell ref="A22:F22"/>
    <mergeCell ref="G19:H19"/>
    <mergeCell ref="K19:L19"/>
    <mergeCell ref="M19:P19"/>
    <mergeCell ref="G20:H20"/>
    <mergeCell ref="I20:J20"/>
    <mergeCell ref="K20:L20"/>
    <mergeCell ref="M20:P20"/>
    <mergeCell ref="A19:F19"/>
    <mergeCell ref="A20:F20"/>
    <mergeCell ref="D1:G1"/>
    <mergeCell ref="I1:J1"/>
    <mergeCell ref="L1:M1"/>
    <mergeCell ref="D2:G2"/>
    <mergeCell ref="I2:J2"/>
    <mergeCell ref="L2:M2"/>
    <mergeCell ref="K12:L12"/>
    <mergeCell ref="M12:P12"/>
    <mergeCell ref="A10:P10"/>
    <mergeCell ref="A5:B5"/>
    <mergeCell ref="C5:P5"/>
    <mergeCell ref="H4:P4"/>
    <mergeCell ref="A4:G4"/>
    <mergeCell ref="D6:F6"/>
    <mergeCell ref="G6:H6"/>
    <mergeCell ref="I6:J6"/>
    <mergeCell ref="K6:L6"/>
    <mergeCell ref="I12:J12"/>
    <mergeCell ref="A12:F12"/>
    <mergeCell ref="M7:P8"/>
    <mergeCell ref="A7:F8"/>
    <mergeCell ref="G7:H8"/>
    <mergeCell ref="I7:J8"/>
    <mergeCell ref="K7:L8"/>
    <mergeCell ref="I29:J29"/>
    <mergeCell ref="K29:L29"/>
    <mergeCell ref="M29:P29"/>
    <mergeCell ref="M31:P31"/>
    <mergeCell ref="M33:P33"/>
    <mergeCell ref="G44:H44"/>
    <mergeCell ref="I44:J44"/>
    <mergeCell ref="M43:P43"/>
    <mergeCell ref="K41:L41"/>
    <mergeCell ref="K31:L31"/>
    <mergeCell ref="K40:L40"/>
    <mergeCell ref="G33:H33"/>
    <mergeCell ref="I38:J38"/>
    <mergeCell ref="K38:L38"/>
    <mergeCell ref="G40:H40"/>
    <mergeCell ref="I40:J40"/>
    <mergeCell ref="A35:P35"/>
    <mergeCell ref="I37:J37"/>
    <mergeCell ref="K37:L37"/>
    <mergeCell ref="A29:F29"/>
    <mergeCell ref="K42:L42"/>
    <mergeCell ref="I43:J43"/>
    <mergeCell ref="K43:L43"/>
    <mergeCell ref="A33:F33"/>
    <mergeCell ref="A28:F28"/>
    <mergeCell ref="M38:P38"/>
    <mergeCell ref="A15:F15"/>
    <mergeCell ref="I16:J16"/>
    <mergeCell ref="I18:J18"/>
    <mergeCell ref="A17:F17"/>
    <mergeCell ref="G15:H15"/>
    <mergeCell ref="I19:J19"/>
    <mergeCell ref="I21:J21"/>
    <mergeCell ref="A23:P23"/>
    <mergeCell ref="A25:P25"/>
    <mergeCell ref="A24:P24"/>
    <mergeCell ref="A16:F16"/>
    <mergeCell ref="G16:H16"/>
    <mergeCell ref="I15:J15"/>
    <mergeCell ref="K15:L15"/>
    <mergeCell ref="M15:P15"/>
    <mergeCell ref="A32:F32"/>
    <mergeCell ref="I28:J28"/>
    <mergeCell ref="K28:L28"/>
    <mergeCell ref="M28:P28"/>
    <mergeCell ref="M37:P37"/>
    <mergeCell ref="A30:F30"/>
    <mergeCell ref="G29:H29"/>
    <mergeCell ref="G48:H48"/>
    <mergeCell ref="I48:J48"/>
    <mergeCell ref="K48:L48"/>
    <mergeCell ref="M48:P48"/>
    <mergeCell ref="A48:F48"/>
    <mergeCell ref="G18:H18"/>
    <mergeCell ref="K17:L17"/>
    <mergeCell ref="A21:F21"/>
    <mergeCell ref="A18:F18"/>
    <mergeCell ref="A42:F42"/>
    <mergeCell ref="G32:H32"/>
    <mergeCell ref="I32:J32"/>
    <mergeCell ref="A38:F38"/>
    <mergeCell ref="G41:H41"/>
    <mergeCell ref="I41:J41"/>
    <mergeCell ref="A41:F41"/>
    <mergeCell ref="A31:F31"/>
    <mergeCell ref="G31:H31"/>
    <mergeCell ref="I31:J31"/>
    <mergeCell ref="A43:F43"/>
    <mergeCell ref="G43:H43"/>
    <mergeCell ref="A40:F40"/>
    <mergeCell ref="M46:P46"/>
    <mergeCell ref="A46:F46"/>
    <mergeCell ref="G50:H50"/>
    <mergeCell ref="A49:F49"/>
    <mergeCell ref="G47:H47"/>
    <mergeCell ref="I47:J47"/>
    <mergeCell ref="I45:J45"/>
    <mergeCell ref="K45:L45"/>
    <mergeCell ref="M45:P45"/>
    <mergeCell ref="K44:L44"/>
    <mergeCell ref="M44:P44"/>
    <mergeCell ref="G46:H46"/>
    <mergeCell ref="I46:J46"/>
    <mergeCell ref="K46:L46"/>
    <mergeCell ref="I50:J50"/>
    <mergeCell ref="K50:L50"/>
    <mergeCell ref="M50:P50"/>
    <mergeCell ref="A50:F50"/>
    <mergeCell ref="A47:F47"/>
    <mergeCell ref="A45:F45"/>
    <mergeCell ref="A44:F44"/>
    <mergeCell ref="G45:H45"/>
    <mergeCell ref="G49:H49"/>
    <mergeCell ref="I49:J49"/>
    <mergeCell ref="K49:L49"/>
    <mergeCell ref="M49:P49"/>
    <mergeCell ref="M42:P42"/>
    <mergeCell ref="M40:P40"/>
    <mergeCell ref="G38:H38"/>
    <mergeCell ref="G30:H30"/>
    <mergeCell ref="I30:J30"/>
    <mergeCell ref="K30:L30"/>
    <mergeCell ref="M30:P30"/>
    <mergeCell ref="A39:F39"/>
    <mergeCell ref="G39:H39"/>
    <mergeCell ref="I39:J39"/>
    <mergeCell ref="K39:L39"/>
    <mergeCell ref="M39:P39"/>
    <mergeCell ref="I33:J33"/>
    <mergeCell ref="K33:L33"/>
    <mergeCell ref="M32:P32"/>
    <mergeCell ref="K32:L32"/>
    <mergeCell ref="A34:P34"/>
    <mergeCell ref="A36:P36"/>
    <mergeCell ref="G37:H37"/>
    <mergeCell ref="A37:F37"/>
    <mergeCell ref="I42:J42"/>
  </mergeCells>
  <conditionalFormatting sqref="O2">
    <cfRule type="iconSet" priority="2">
      <iconSet iconSet="3Symbols2" showValue="0">
        <cfvo type="percent" val="0"/>
        <cfvo type="num" val="0"/>
        <cfvo type="num" val="10"/>
      </iconSet>
    </cfRule>
  </conditionalFormatting>
  <conditionalFormatting sqref="P2">
    <cfRule type="iconSet" priority="1">
      <iconSet iconSet="3Symbols2" showValue="0">
        <cfvo type="percent" val="0"/>
        <cfvo type="num" val="0"/>
        <cfvo type="num" val="10"/>
      </iconSet>
    </cfRule>
  </conditionalFormatting>
  <dataValidations count="1">
    <dataValidation type="list" allowBlank="1" showInputMessage="1" showErrorMessage="1" sqref="I2" xr:uid="{00000000-0002-0000-7400-000000000000}">
      <formula1>AvancementTheme</formula1>
    </dataValidation>
  </dataValidations>
  <pageMargins left="0.70866141732283472" right="0.70866141732283472" top="0.74803149606299213" bottom="0.74803149606299213" header="0.31496062992125984" footer="0.31496062992125984"/>
  <pageSetup paperSize="9" scale="47" orientation="portrait" r:id="rId1"/>
  <headerFooter>
    <oddHeader>&amp;LPAD Methodology (c) 2013-2014&amp;RStrategic Management Workshop</oddHeader>
    <oddFooter>&amp;L&amp;F&amp;C&amp;A&amp;RSituation au : &amp;D - page : &amp;P/&amp;N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101</vt:i4>
      </vt:variant>
      <vt:variant>
        <vt:lpstr>Graphiques</vt:lpstr>
      </vt:variant>
      <vt:variant>
        <vt:i4>19</vt:i4>
      </vt:variant>
      <vt:variant>
        <vt:lpstr>Plages nommées</vt:lpstr>
      </vt:variant>
      <vt:variant>
        <vt:i4>268</vt:i4>
      </vt:variant>
    </vt:vector>
  </HeadingPairs>
  <TitlesOfParts>
    <vt:vector size="388" baseType="lpstr">
      <vt:lpstr>METHODOLOGY</vt:lpstr>
      <vt:lpstr>SUMMARY</vt:lpstr>
      <vt:lpstr>CHRONO</vt:lpstr>
      <vt:lpstr>ACTORS</vt:lpstr>
      <vt:lpstr>KEY FIGURES</vt:lpstr>
      <vt:lpstr>ADDED VALUE</vt:lpstr>
      <vt:lpstr>POSITIONING-OFR1</vt:lpstr>
      <vt:lpstr>BUSINESSCARD</vt:lpstr>
      <vt:lpstr>RESPONSABPARTNER</vt:lpstr>
      <vt:lpstr>SECTORMARKET</vt:lpstr>
      <vt:lpstr>COMPETITION</vt:lpstr>
      <vt:lpstr>VISION</vt:lpstr>
      <vt:lpstr>SALESPLAN 3Y</vt:lpstr>
      <vt:lpstr>BIZ PLAN 2018 ventes et formati</vt:lpstr>
      <vt:lpstr>BIZ PLAN 2018 Marktg</vt:lpstr>
      <vt:lpstr>BIZ PLAN 2018 Commercial</vt:lpstr>
      <vt:lpstr>PLAN D'ACTIONS</vt:lpstr>
      <vt:lpstr>GOVERNANCE</vt:lpstr>
      <vt:lpstr>CRITICALFACTORS</vt:lpstr>
      <vt:lpstr>TODO</vt:lpstr>
      <vt:lpstr>EVALUATION</vt:lpstr>
      <vt:lpstr>SWOT</vt:lpstr>
      <vt:lpstr>INTERLOCUTORS</vt:lpstr>
      <vt:lpstr>CHANNELREADY</vt:lpstr>
      <vt:lpstr>DOMESTICMARKET</vt:lpstr>
      <vt:lpstr>FOREIGNMARKET</vt:lpstr>
      <vt:lpstr>TYPOPARTNER</vt:lpstr>
      <vt:lpstr>PROFILPARTNER</vt:lpstr>
      <vt:lpstr>10-BUDGETPROGRAM-OFR2</vt:lpstr>
      <vt:lpstr>10-BUDGETPROGRAM-OFR3</vt:lpstr>
      <vt:lpstr>00-PARAMETERS</vt:lpstr>
      <vt:lpstr>Parametre</vt:lpstr>
      <vt:lpstr>PARTNERSALESKIT</vt:lpstr>
      <vt:lpstr>05-CHANNELTEAM-OFR2</vt:lpstr>
      <vt:lpstr>05-CHANNELTEAM-OFR3</vt:lpstr>
      <vt:lpstr>02-CHANNELCAPACITY-LIC-OFR1</vt:lpstr>
      <vt:lpstr>PRICINGSTRATEGY</vt:lpstr>
      <vt:lpstr>10-PARTNERSALESKIT-OFR2</vt:lpstr>
      <vt:lpstr>10-PARTNERSALESKIT-OFR3</vt:lpstr>
      <vt:lpstr>PROGRAMPARTNER</vt:lpstr>
      <vt:lpstr>BUDGETPROGRAM</vt:lpstr>
      <vt:lpstr>03-BUSINESSCARD-OFR2</vt:lpstr>
      <vt:lpstr>03-MARKETREADY-OFR2</vt:lpstr>
      <vt:lpstr>03-POSITIONING-OFR2</vt:lpstr>
      <vt:lpstr>03-CRITICITY-OFR2</vt:lpstr>
      <vt:lpstr>03-COMPETITION-OFR2</vt:lpstr>
      <vt:lpstr>03-CHANNELREADY-OFR2</vt:lpstr>
      <vt:lpstr>04-SECTORMARKET-OFR2</vt:lpstr>
      <vt:lpstr>04-DOMESTICMARKET-OFR2</vt:lpstr>
      <vt:lpstr>04-FOREIGNMARKET-OFR2</vt:lpstr>
      <vt:lpstr>06-TYPOPARTNER-OFR2</vt:lpstr>
      <vt:lpstr>06-RESPONSABPARTNER-OFR2</vt:lpstr>
      <vt:lpstr>06-PROFILPARTNER-OFR2</vt:lpstr>
      <vt:lpstr>08-VALUEAD4PARTNER-OFR2</vt:lpstr>
      <vt:lpstr>07-RECRUITMENTPLAN-OFR2</vt:lpstr>
      <vt:lpstr>02-SALESPLAN-OFR2</vt:lpstr>
      <vt:lpstr>02-BUSINESS4PARTNER-OFR2</vt:lpstr>
      <vt:lpstr>02-CHANNELCAPACITY-SAAS-OFR2</vt:lpstr>
      <vt:lpstr>02-CHANNELCAPACITY-LIC-OFR2</vt:lpstr>
      <vt:lpstr>09-PROFITPARTNER-OFR2</vt:lpstr>
      <vt:lpstr>10-LEADSCOVERAGE-OFR2</vt:lpstr>
      <vt:lpstr>03-BUSINESSCARD-OFR3</vt:lpstr>
      <vt:lpstr>09-PROFITPARTNER-OFR3</vt:lpstr>
      <vt:lpstr>03-MARKETREADY-OFR3</vt:lpstr>
      <vt:lpstr>03-POSITIONING-OFR3</vt:lpstr>
      <vt:lpstr>03-CRITICITY-OFR3</vt:lpstr>
      <vt:lpstr>03-COMPETITION-OFR3</vt:lpstr>
      <vt:lpstr>03-CHANNELREADY-OFR3</vt:lpstr>
      <vt:lpstr>04-SECTORMARKET-OFR3</vt:lpstr>
      <vt:lpstr>04-FOREIGNMARKET-OFR3</vt:lpstr>
      <vt:lpstr>04-DOMESTICMARKET-OFR3</vt:lpstr>
      <vt:lpstr>06-TYPOPARTNER-OFR3</vt:lpstr>
      <vt:lpstr>06-RESPONSABPARTNER-OFR3</vt:lpstr>
      <vt:lpstr>06-PROFILPARTNER-OFR3</vt:lpstr>
      <vt:lpstr>07-RECRUITMENTPLAN-OFR3</vt:lpstr>
      <vt:lpstr>10-LEADSCOVERAGE-OFR3</vt:lpstr>
      <vt:lpstr>08-VALUEAD4PARTNER-OFR3</vt:lpstr>
      <vt:lpstr>02-SALESPLAN-OFR3</vt:lpstr>
      <vt:lpstr>02-BUSINESS4PARTNER-OFR3</vt:lpstr>
      <vt:lpstr>02-CHANNELCAPACITY-SAAS-OFR3</vt:lpstr>
      <vt:lpstr>02-CHANNELCAPACITY-LIC-OFR3</vt:lpstr>
      <vt:lpstr>02-CHANNELSTRATEGY</vt:lpstr>
      <vt:lpstr>03-MARKETREADY-OFR1</vt:lpstr>
      <vt:lpstr>02-CHANNELCAPACITY-SAAS-OFR1</vt:lpstr>
      <vt:lpstr>02-BUSINESS4PARTNER-OFR1</vt:lpstr>
      <vt:lpstr>07-RECRUITMENTPLAN-OFR1</vt:lpstr>
      <vt:lpstr>05-GOTOMARKET</vt:lpstr>
      <vt:lpstr>05-CHANNELTEAM-OFR1</vt:lpstr>
      <vt:lpstr>08-VALUEAD4PARTNER-OFR1</vt:lpstr>
      <vt:lpstr>09-PROFITPARTNER-OFR1</vt:lpstr>
      <vt:lpstr>10-LEADSCOVERAGE-OFR1</vt:lpstr>
      <vt:lpstr>08-DISCOUNTSTRATEGY</vt:lpstr>
      <vt:lpstr>05-SOURCECONFLICT</vt:lpstr>
      <vt:lpstr>11-KPIsFOLLOWUP</vt:lpstr>
      <vt:lpstr>11-GUIDE4VALUEPROP</vt:lpstr>
      <vt:lpstr>INPROGRESS</vt:lpstr>
      <vt:lpstr>Fiche partenaire</vt:lpstr>
      <vt:lpstr> SWOT PARTNERSHIP</vt:lpstr>
      <vt:lpstr>EXPECTATIONS</vt:lpstr>
      <vt:lpstr>CRITICITY</vt:lpstr>
      <vt:lpstr>MARKETSPECIFICITIES</vt:lpstr>
      <vt:lpstr>Graph BIC</vt:lpstr>
      <vt:lpstr>Graph Plan de vente</vt:lpstr>
      <vt:lpstr>Graph Critical factors</vt:lpstr>
      <vt:lpstr>Radar Channel ready</vt:lpstr>
      <vt:lpstr>Graph New biz 3 ans</vt:lpstr>
      <vt:lpstr>Graph CA  indirect 3 ans </vt:lpstr>
      <vt:lpstr>Graph recrutement par channel</vt:lpstr>
      <vt:lpstr>Graph Budget</vt:lpstr>
      <vt:lpstr>Martg Ready</vt:lpstr>
      <vt:lpstr>Graph New biz par canal</vt:lpstr>
      <vt:lpstr>Graph No partenaires 3 ans </vt:lpstr>
      <vt:lpstr>Graph CA des Partenaires</vt:lpstr>
      <vt:lpstr>Graph Plan de recrutement 3 ans</vt:lpstr>
      <vt:lpstr>Value Add 1</vt:lpstr>
      <vt:lpstr>Value Add 2</vt:lpstr>
      <vt:lpstr>Value Add 3</vt:lpstr>
      <vt:lpstr>Graph Profitabilité partenaire</vt:lpstr>
      <vt:lpstr>Graph Conflits</vt:lpstr>
      <vt:lpstr>Graph Expectations</vt:lpstr>
      <vt:lpstr>_1_A_traiter</vt:lpstr>
      <vt:lpstr>_11_08_2014_10_10</vt:lpstr>
      <vt:lpstr>_22_05_2014_21_57</vt:lpstr>
      <vt:lpstr>_29_09_2014_10_38</vt:lpstr>
      <vt:lpstr>_3_A_revalider</vt:lpstr>
      <vt:lpstr>_4_Validé</vt:lpstr>
      <vt:lpstr>AbrevClient</vt:lpstr>
      <vt:lpstr>AnReference</vt:lpstr>
      <vt:lpstr>AvancementTheme</vt:lpstr>
      <vt:lpstr>ChanlReadyAxe1</vt:lpstr>
      <vt:lpstr>ChanlReadyAxe2</vt:lpstr>
      <vt:lpstr>GOVERNANCE!DernOnglet</vt:lpstr>
      <vt:lpstr>DernOnglet</vt:lpstr>
      <vt:lpstr>'02-CHANNELCAPACITY-LIC-OFR1'!DKPI_02DL1</vt:lpstr>
      <vt:lpstr>DKPI_02DL2</vt:lpstr>
      <vt:lpstr>DKPI_02DL3</vt:lpstr>
      <vt:lpstr>'02-CHANNELCAPACITY-SAAS-OFR1'!DKPI_02DS1</vt:lpstr>
      <vt:lpstr>DKPI_02DS2</vt:lpstr>
      <vt:lpstr>DKPI_02DS3</vt:lpstr>
      <vt:lpstr>DKPI_02MV2</vt:lpstr>
      <vt:lpstr>DKPI_02MV3</vt:lpstr>
      <vt:lpstr>DKPI_02OP1</vt:lpstr>
      <vt:lpstr>DKPI_02OP2</vt:lpstr>
      <vt:lpstr>DKPI_02OP3</vt:lpstr>
      <vt:lpstr>'02-CHANNELSTRATEGY'!DKPI_02ST</vt:lpstr>
      <vt:lpstr>DKPI_03BI2</vt:lpstr>
      <vt:lpstr>DKPI_03BI3</vt:lpstr>
      <vt:lpstr>DKPI_03CK2</vt:lpstr>
      <vt:lpstr>DKPI_03CK3</vt:lpstr>
      <vt:lpstr>DKPI_03CP1</vt:lpstr>
      <vt:lpstr>DKPI_03CP2</vt:lpstr>
      <vt:lpstr>DKPI_03CP3</vt:lpstr>
      <vt:lpstr>DKPI_03CR1</vt:lpstr>
      <vt:lpstr>DKPI_03CR2</vt:lpstr>
      <vt:lpstr>DKPI_03CR3</vt:lpstr>
      <vt:lpstr>DKPI_03MK1</vt:lpstr>
      <vt:lpstr>DKPI_03MK2</vt:lpstr>
      <vt:lpstr>DKPI_03MK3</vt:lpstr>
      <vt:lpstr>DKPI_03PO2</vt:lpstr>
      <vt:lpstr>DKPI_03PO3</vt:lpstr>
      <vt:lpstr>DKPI_04GF1</vt:lpstr>
      <vt:lpstr>DKPI_04GF2</vt:lpstr>
      <vt:lpstr>DKPI_04GF3</vt:lpstr>
      <vt:lpstr>DKPI_04GI1</vt:lpstr>
      <vt:lpstr>DKPI_04GI2</vt:lpstr>
      <vt:lpstr>DKPI_04GI3</vt:lpstr>
      <vt:lpstr>DKPI_04SC2</vt:lpstr>
      <vt:lpstr>DKPI_04SC3</vt:lpstr>
      <vt:lpstr>DKPI_05CT1</vt:lpstr>
      <vt:lpstr>DKPI_05CT2</vt:lpstr>
      <vt:lpstr>DKPI_05CT3</vt:lpstr>
      <vt:lpstr>DKPI_05GM</vt:lpstr>
      <vt:lpstr>DKPI_05SC</vt:lpstr>
      <vt:lpstr>DKPI_06PP1</vt:lpstr>
      <vt:lpstr>DKPI_06PP2</vt:lpstr>
      <vt:lpstr>DKPI_06PP21</vt:lpstr>
      <vt:lpstr>DKPI_06PP3</vt:lpstr>
      <vt:lpstr>DKPI_06RP1</vt:lpstr>
      <vt:lpstr>DKPI_06RP2</vt:lpstr>
      <vt:lpstr>DKPI_06RP3</vt:lpstr>
      <vt:lpstr>DKPI_06TP1</vt:lpstr>
      <vt:lpstr>DKPI_06TP2</vt:lpstr>
      <vt:lpstr>DKPI_06TP3</vt:lpstr>
      <vt:lpstr>DKPI_07DC1</vt:lpstr>
      <vt:lpstr>DKPI_07DC2</vt:lpstr>
      <vt:lpstr>DKPI_07DC3</vt:lpstr>
      <vt:lpstr>DKPI_08SP</vt:lpstr>
      <vt:lpstr>DKPI_08SR</vt:lpstr>
      <vt:lpstr>DKPI_08VA1</vt:lpstr>
      <vt:lpstr>DKPI_08VA2</vt:lpstr>
      <vt:lpstr>DKPI_08VA3</vt:lpstr>
      <vt:lpstr>'09-PROFITPARTNER-OFR2'!DKPI_09PP1</vt:lpstr>
      <vt:lpstr>'09-PROFITPARTNER-OFR3'!DKPI_09PP1</vt:lpstr>
      <vt:lpstr>DKPI_09PP1</vt:lpstr>
      <vt:lpstr>DKPI_09PP2</vt:lpstr>
      <vt:lpstr>DKPI_09PP3</vt:lpstr>
      <vt:lpstr>DKPI_10BP1</vt:lpstr>
      <vt:lpstr>DKPI_10BP2</vt:lpstr>
      <vt:lpstr>DKPI_10BP3</vt:lpstr>
      <vt:lpstr>DKPI_10SK2</vt:lpstr>
      <vt:lpstr>DKPI_10SK3</vt:lpstr>
      <vt:lpstr>DKPI_10TL1</vt:lpstr>
      <vt:lpstr>DKPI_10TL2</vt:lpstr>
      <vt:lpstr>DKPI_10TL3</vt:lpstr>
      <vt:lpstr>DKPI_11FC</vt:lpstr>
      <vt:lpstr>'02-CHANNELCAPACITY-LIC-OFR1'!DPDV_02DL1</vt:lpstr>
      <vt:lpstr>DPDV_02DL2</vt:lpstr>
      <vt:lpstr>DPDV_02DL3</vt:lpstr>
      <vt:lpstr>'02-CHANNELCAPACITY-SAAS-OFR1'!DPDV_02DS1</vt:lpstr>
      <vt:lpstr>DPDV_02DS2</vt:lpstr>
      <vt:lpstr>DPDV_02DS3</vt:lpstr>
      <vt:lpstr>DPDV_02MV2</vt:lpstr>
      <vt:lpstr>DPDV_02MV3</vt:lpstr>
      <vt:lpstr>DPDV_02OP1</vt:lpstr>
      <vt:lpstr>DPDV_02OP2</vt:lpstr>
      <vt:lpstr>DPDV_02OP3</vt:lpstr>
      <vt:lpstr>DPDV_02ST</vt:lpstr>
      <vt:lpstr>DPDV_03BI2</vt:lpstr>
      <vt:lpstr>DPDV_03BI3</vt:lpstr>
      <vt:lpstr>DPDV_03CK2</vt:lpstr>
      <vt:lpstr>DPDV_03CK3</vt:lpstr>
      <vt:lpstr>DPDV_03CP1</vt:lpstr>
      <vt:lpstr>DPDV_03CP2</vt:lpstr>
      <vt:lpstr>DPDV_03CP3</vt:lpstr>
      <vt:lpstr>DPDV_03CR1</vt:lpstr>
      <vt:lpstr>DPDV_03CR2</vt:lpstr>
      <vt:lpstr>DPDV_03CR3</vt:lpstr>
      <vt:lpstr>DPDV_03MK1</vt:lpstr>
      <vt:lpstr>DPDV_03MK2</vt:lpstr>
      <vt:lpstr>DPDV_03MK3</vt:lpstr>
      <vt:lpstr>DPDV_03PO2</vt:lpstr>
      <vt:lpstr>DPDV_03PO3</vt:lpstr>
      <vt:lpstr>DPDV_04GF1</vt:lpstr>
      <vt:lpstr>DPDV_04GF2</vt:lpstr>
      <vt:lpstr>DPDV_04GF3</vt:lpstr>
      <vt:lpstr>DPDV_04GI1</vt:lpstr>
      <vt:lpstr>DPDV_04GI2</vt:lpstr>
      <vt:lpstr>DPDV_04GI3</vt:lpstr>
      <vt:lpstr>DPDV_04SC2</vt:lpstr>
      <vt:lpstr>DPDV_04SC3</vt:lpstr>
      <vt:lpstr>DPDV_05CT1</vt:lpstr>
      <vt:lpstr>DPDV_05CT2</vt:lpstr>
      <vt:lpstr>DPDV_05CT3</vt:lpstr>
      <vt:lpstr>DPDV_05GM</vt:lpstr>
      <vt:lpstr>DPDV_05SC</vt:lpstr>
      <vt:lpstr>DPDV_06PP1</vt:lpstr>
      <vt:lpstr>DPDV_06PP2</vt:lpstr>
      <vt:lpstr>DPDV_06PP3</vt:lpstr>
      <vt:lpstr>DPDV_06RP1</vt:lpstr>
      <vt:lpstr>DPDV_06RP2</vt:lpstr>
      <vt:lpstr>DPDV_06RP3</vt:lpstr>
      <vt:lpstr>DPDV_06TP1</vt:lpstr>
      <vt:lpstr>DPDV_06TP2</vt:lpstr>
      <vt:lpstr>DPDV_06TP3</vt:lpstr>
      <vt:lpstr>DPDV_07DC1</vt:lpstr>
      <vt:lpstr>DPDV_07DC2</vt:lpstr>
      <vt:lpstr>DPDV_07DC3</vt:lpstr>
      <vt:lpstr>DPDV_08SP</vt:lpstr>
      <vt:lpstr>DPDV_08SR</vt:lpstr>
      <vt:lpstr>DPDV_08VA1</vt:lpstr>
      <vt:lpstr>DPDV_08VA2</vt:lpstr>
      <vt:lpstr>DPDV_08VA3</vt:lpstr>
      <vt:lpstr>'09-PROFITPARTNER-OFR2'!DPDV_09PP1</vt:lpstr>
      <vt:lpstr>'09-PROFITPARTNER-OFR3'!DPDV_09PP1</vt:lpstr>
      <vt:lpstr>DPDV_09PP1</vt:lpstr>
      <vt:lpstr>DPDV_09PP2</vt:lpstr>
      <vt:lpstr>DPDV_09PP3</vt:lpstr>
      <vt:lpstr>DPDV_10BP1</vt:lpstr>
      <vt:lpstr>DPDV_10BP2</vt:lpstr>
      <vt:lpstr>DPDV_10BP3</vt:lpstr>
      <vt:lpstr>DPDV_10SK2</vt:lpstr>
      <vt:lpstr>DPDV_10SK3</vt:lpstr>
      <vt:lpstr>DPDV_10TL1</vt:lpstr>
      <vt:lpstr>DPDV_10TL2</vt:lpstr>
      <vt:lpstr>DPDV_10TL3</vt:lpstr>
      <vt:lpstr>DPDV_11FC</vt:lpstr>
      <vt:lpstr>DPDV_11SW</vt:lpstr>
      <vt:lpstr>DPDVGI3</vt:lpstr>
      <vt:lpstr>DPKI_02VA3</vt:lpstr>
      <vt:lpstr>DPKI_03BK2</vt:lpstr>
      <vt:lpstr>DPKI_08VA2</vt:lpstr>
      <vt:lpstr>KPI_NBmini</vt:lpstr>
      <vt:lpstr>KPI_s</vt:lpstr>
      <vt:lpstr>NbAnVision</vt:lpstr>
      <vt:lpstr>NbProduit</vt:lpstr>
      <vt:lpstr>NomClient</vt:lpstr>
      <vt:lpstr>NomProd1</vt:lpstr>
      <vt:lpstr>NomProd2</vt:lpstr>
      <vt:lpstr>NomProd3</vt:lpstr>
      <vt:lpstr>PdV</vt:lpstr>
      <vt:lpstr>PDV_NBmini</vt:lpstr>
      <vt:lpstr>Tableau_du_CA_service_des_partenaires.__Par_canal_de_vente__le_rapport_CA_partenaire___CA_fournisseur</vt:lpstr>
      <vt:lpstr>ThemesAbrev</vt:lpstr>
      <vt:lpstr>ACTORS!TrigramActeur</vt:lpstr>
      <vt:lpstr>' SWOT PARTNERSHIP'!Zone_d_impression</vt:lpstr>
      <vt:lpstr>'02-BUSINESS4PARTNER-OFR1'!Zone_d_impression</vt:lpstr>
      <vt:lpstr>'02-BUSINESS4PARTNER-OFR2'!Zone_d_impression</vt:lpstr>
      <vt:lpstr>'02-BUSINESS4PARTNER-OFR3'!Zone_d_impression</vt:lpstr>
      <vt:lpstr>'02-CHANNELCAPACITY-LIC-OFR1'!Zone_d_impression</vt:lpstr>
      <vt:lpstr>'02-CHANNELCAPACITY-LIC-OFR2'!Zone_d_impression</vt:lpstr>
      <vt:lpstr>'02-CHANNELCAPACITY-LIC-OFR3'!Zone_d_impression</vt:lpstr>
      <vt:lpstr>'02-CHANNELCAPACITY-SAAS-OFR1'!Zone_d_impression</vt:lpstr>
      <vt:lpstr>'02-CHANNELCAPACITY-SAAS-OFR2'!Zone_d_impression</vt:lpstr>
      <vt:lpstr>'02-CHANNELCAPACITY-SAAS-OFR3'!Zone_d_impression</vt:lpstr>
      <vt:lpstr>'02-CHANNELSTRATEGY'!Zone_d_impression</vt:lpstr>
      <vt:lpstr>'02-SALESPLAN-OFR2'!Zone_d_impression</vt:lpstr>
      <vt:lpstr>'02-SALESPLAN-OFR3'!Zone_d_impression</vt:lpstr>
      <vt:lpstr>'03-BUSINESSCARD-OFR2'!Zone_d_impression</vt:lpstr>
      <vt:lpstr>'03-BUSINESSCARD-OFR3'!Zone_d_impression</vt:lpstr>
      <vt:lpstr>'03-CHANNELREADY-OFR2'!Zone_d_impression</vt:lpstr>
      <vt:lpstr>'03-CHANNELREADY-OFR3'!Zone_d_impression</vt:lpstr>
      <vt:lpstr>'03-COMPETITION-OFR2'!Zone_d_impression</vt:lpstr>
      <vt:lpstr>'03-COMPETITION-OFR3'!Zone_d_impression</vt:lpstr>
      <vt:lpstr>'03-CRITICITY-OFR2'!Zone_d_impression</vt:lpstr>
      <vt:lpstr>'03-CRITICITY-OFR3'!Zone_d_impression</vt:lpstr>
      <vt:lpstr>'03-MARKETREADY-OFR1'!Zone_d_impression</vt:lpstr>
      <vt:lpstr>'03-MARKETREADY-OFR2'!Zone_d_impression</vt:lpstr>
      <vt:lpstr>'03-MARKETREADY-OFR3'!Zone_d_impression</vt:lpstr>
      <vt:lpstr>'03-POSITIONING-OFR2'!Zone_d_impression</vt:lpstr>
      <vt:lpstr>'03-POSITIONING-OFR3'!Zone_d_impression</vt:lpstr>
      <vt:lpstr>'04-DOMESTICMARKET-OFR2'!Zone_d_impression</vt:lpstr>
      <vt:lpstr>'04-DOMESTICMARKET-OFR3'!Zone_d_impression</vt:lpstr>
      <vt:lpstr>'04-FOREIGNMARKET-OFR2'!Zone_d_impression</vt:lpstr>
      <vt:lpstr>'04-FOREIGNMARKET-OFR3'!Zone_d_impression</vt:lpstr>
      <vt:lpstr>'04-SECTORMARKET-OFR2'!Zone_d_impression</vt:lpstr>
      <vt:lpstr>'04-SECTORMARKET-OFR3'!Zone_d_impression</vt:lpstr>
      <vt:lpstr>'05-CHANNELTEAM-OFR1'!Zone_d_impression</vt:lpstr>
      <vt:lpstr>'05-CHANNELTEAM-OFR2'!Zone_d_impression</vt:lpstr>
      <vt:lpstr>'05-CHANNELTEAM-OFR3'!Zone_d_impression</vt:lpstr>
      <vt:lpstr>'05-GOTOMARKET'!Zone_d_impression</vt:lpstr>
      <vt:lpstr>'06-PROFILPARTNER-OFR2'!Zone_d_impression</vt:lpstr>
      <vt:lpstr>'06-PROFILPARTNER-OFR3'!Zone_d_impression</vt:lpstr>
      <vt:lpstr>'06-RESPONSABPARTNER-OFR2'!Zone_d_impression</vt:lpstr>
      <vt:lpstr>'06-RESPONSABPARTNER-OFR3'!Zone_d_impression</vt:lpstr>
      <vt:lpstr>'06-TYPOPARTNER-OFR2'!Zone_d_impression</vt:lpstr>
      <vt:lpstr>'06-TYPOPARTNER-OFR3'!Zone_d_impression</vt:lpstr>
      <vt:lpstr>'07-RECRUITMENTPLAN-OFR1'!Zone_d_impression</vt:lpstr>
      <vt:lpstr>'07-RECRUITMENTPLAN-OFR2'!Zone_d_impression</vt:lpstr>
      <vt:lpstr>'07-RECRUITMENTPLAN-OFR3'!Zone_d_impression</vt:lpstr>
      <vt:lpstr>'08-DISCOUNTSTRATEGY'!Zone_d_impression</vt:lpstr>
      <vt:lpstr>'08-VALUEAD4PARTNER-OFR1'!Zone_d_impression</vt:lpstr>
      <vt:lpstr>'08-VALUEAD4PARTNER-OFR2'!Zone_d_impression</vt:lpstr>
      <vt:lpstr>'08-VALUEAD4PARTNER-OFR3'!Zone_d_impression</vt:lpstr>
      <vt:lpstr>'09-PROFITPARTNER-OFR1'!Zone_d_impression</vt:lpstr>
      <vt:lpstr>'09-PROFITPARTNER-OFR2'!Zone_d_impression</vt:lpstr>
      <vt:lpstr>'09-PROFITPARTNER-OFR3'!Zone_d_impression</vt:lpstr>
      <vt:lpstr>'10-BUDGETPROGRAM-OFR2'!Zone_d_impression</vt:lpstr>
      <vt:lpstr>'10-BUDGETPROGRAM-OFR3'!Zone_d_impression</vt:lpstr>
      <vt:lpstr>'10-LEADSCOVERAGE-OFR1'!Zone_d_impression</vt:lpstr>
      <vt:lpstr>'10-LEADSCOVERAGE-OFR2'!Zone_d_impression</vt:lpstr>
      <vt:lpstr>'10-LEADSCOVERAGE-OFR3'!Zone_d_impression</vt:lpstr>
      <vt:lpstr>'10-PARTNERSALESKIT-OFR2'!Zone_d_impression</vt:lpstr>
      <vt:lpstr>'10-PARTNERSALESKIT-OFR3'!Zone_d_impression</vt:lpstr>
      <vt:lpstr>'11-GUIDE4VALUEPROP'!Zone_d_impression</vt:lpstr>
      <vt:lpstr>'11-KPIsFOLLOWUP'!Zone_d_impression</vt:lpstr>
      <vt:lpstr>ACTORS!Zone_d_impression</vt:lpstr>
      <vt:lpstr>'ADDED VALUE'!Zone_d_impression</vt:lpstr>
      <vt:lpstr>BUDGETPROGRAM!Zone_d_impression</vt:lpstr>
      <vt:lpstr>BUSINESSCARD!Zone_d_impression</vt:lpstr>
      <vt:lpstr>CHANNELREADY!Zone_d_impression</vt:lpstr>
      <vt:lpstr>CHRONO!Zone_d_impression</vt:lpstr>
      <vt:lpstr>COMPETITION!Zone_d_impression</vt:lpstr>
      <vt:lpstr>CRITICALFACTORS!Zone_d_impression</vt:lpstr>
      <vt:lpstr>CRITICITY!Zone_d_impression</vt:lpstr>
      <vt:lpstr>DOMESTICMARKET!Zone_d_impression</vt:lpstr>
      <vt:lpstr>EVALUATION!Zone_d_impression</vt:lpstr>
      <vt:lpstr>EXPECTATIONS!Zone_d_impression</vt:lpstr>
      <vt:lpstr>FOREIGNMARKET!Zone_d_impression</vt:lpstr>
      <vt:lpstr>GOVERNANCE!Zone_d_impression</vt:lpstr>
      <vt:lpstr>INPROGRESS!Zone_d_impression</vt:lpstr>
      <vt:lpstr>INTERLOCUTORS!Zone_d_impression</vt:lpstr>
      <vt:lpstr>'KEY FIGURES'!Zone_d_impression</vt:lpstr>
      <vt:lpstr>MARKETSPECIFICITIES!Zone_d_impression</vt:lpstr>
      <vt:lpstr>METHODOLOGY!Zone_d_impression</vt:lpstr>
      <vt:lpstr>PARTNERSALESKIT!Zone_d_impression</vt:lpstr>
      <vt:lpstr>'PLAN D''ACTIONS'!Zone_d_impression</vt:lpstr>
      <vt:lpstr>'POSITIONING-OFR1'!Zone_d_impression</vt:lpstr>
      <vt:lpstr>PRICINGSTRATEGY!Zone_d_impression</vt:lpstr>
      <vt:lpstr>PROFILPARTNER!Zone_d_impression</vt:lpstr>
      <vt:lpstr>PROGRAMPARTNER!Zone_d_impression</vt:lpstr>
      <vt:lpstr>RESPONSABPARTNER!Zone_d_impression</vt:lpstr>
      <vt:lpstr>'SALESPLAN 3Y'!Zone_d_impression</vt:lpstr>
      <vt:lpstr>SECTORMARKET!Zone_d_impression</vt:lpstr>
      <vt:lpstr>SUMMARY!Zone_d_impression</vt:lpstr>
      <vt:lpstr>SWOT!Zone_d_impression</vt:lpstr>
      <vt:lpstr>TODO!Zone_d_impression</vt:lpstr>
      <vt:lpstr>TYPOPARTNER!Zone_d_impression</vt:lpstr>
      <vt:lpstr>VISION!Zone_d_impression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JLuc MAZE</dc:creator>
  <cp:lastModifiedBy>Caroline Causse Fricker</cp:lastModifiedBy>
  <cp:lastPrinted>2016-06-13T20:10:23Z</cp:lastPrinted>
  <dcterms:created xsi:type="dcterms:W3CDTF">2013-07-29T07:07:01Z</dcterms:created>
  <dcterms:modified xsi:type="dcterms:W3CDTF">2020-09-25T12:33:00Z</dcterms:modified>
</cp:coreProperties>
</file>